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drawings/drawing1.xml" ContentType="application/vnd.openxmlformats-officedocument.drawing+xml"/>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codeName="ThisWorkbook"/>
  <mc:AlternateContent xmlns:mc="http://schemas.openxmlformats.org/markup-compatibility/2006">
    <mc:Choice Requires="x15">
      <x15ac:absPath xmlns:x15ac="http://schemas.microsoft.com/office/spreadsheetml/2010/11/ac" url="https://konicaminoltaglobal-my.sharepoint.com/personal/99666fkh_konicaminolta_com/Documents/Month Closing Files/FY22-23/12_March/"/>
    </mc:Choice>
  </mc:AlternateContent>
  <xr:revisionPtr revIDLastSave="10" documentId="8_{4A8D3853-0B57-4F36-80C3-DB6CC3549CE3}" xr6:coauthVersionLast="47" xr6:coauthVersionMax="47" xr10:uidLastSave="{A2F96453-209D-490C-A584-CB19BC006844}"/>
  <bookViews>
    <workbookView xWindow="-110" yWindow="-110" windowWidth="19420" windowHeight="10420" tabRatio="909" activeTab="2" xr2:uid="{00000000-000D-0000-FFFF-FFFF00000000}"/>
  </bookViews>
  <sheets>
    <sheet name="Instruction" sheetId="28" r:id="rId1"/>
    <sheet name="Due date" sheetId="31" r:id="rId2"/>
    <sheet name="PL" sheetId="2" r:id="rId3"/>
    <sheet name="Definition" sheetId="30" r:id="rId4"/>
    <sheet name="Previous" sheetId="18" r:id="rId5"/>
    <sheet name="OP" sheetId="19" r:id="rId6"/>
    <sheet name="DataSending" sheetId="1" state="hidden" r:id="rId7"/>
    <sheet name="Work1" sheetId="8" state="hidden" r:id="rId8"/>
  </sheets>
  <externalReferences>
    <externalReference r:id="rId9"/>
    <externalReference r:id="rId10"/>
  </externalReferences>
  <definedNames>
    <definedName name="_1__123Graph_ACHART_2" localSheetId="3" hidden="1">[1]BV!#REF!</definedName>
    <definedName name="_1__123Graph_ACHART_2" localSheetId="1" hidden="1">[2]BV!#REF!</definedName>
    <definedName name="_1__123Graph_ACHART_2" localSheetId="5" hidden="1">[1]BV!#REF!</definedName>
    <definedName name="_1__123Graph_ACHART_2" localSheetId="4" hidden="1">[1]BV!#REF!</definedName>
    <definedName name="_1__123Graph_ACHART_2" hidden="1">[1]BV!#REF!</definedName>
    <definedName name="_16__123Graph_BCHART_2" localSheetId="1" hidden="1">[2]BV!#REF!</definedName>
    <definedName name="_16__123Graph_BCHART_2" localSheetId="5" hidden="1">[1]BV!#REF!</definedName>
    <definedName name="_16__123Graph_BCHART_2" localSheetId="4" hidden="1">[1]BV!#REF!</definedName>
    <definedName name="_16__123Graph_BCHART_2" hidden="1">[1]BV!#REF!</definedName>
    <definedName name="_2__123Graph_BCHART_2" localSheetId="1" hidden="1">[2]BV!#REF!</definedName>
    <definedName name="_2__123Graph_BCHART_2" hidden="1">[1]BV!#REF!</definedName>
    <definedName name="_24__123Graph_CCHART_2" localSheetId="1" hidden="1">[2]BV!#REF!</definedName>
    <definedName name="_24__123Graph_CCHART_2" hidden="1">[1]BV!#REF!</definedName>
    <definedName name="_3__123Graph_CCHART_2" localSheetId="1" hidden="1">[2]BV!#REF!</definedName>
    <definedName name="_3__123Graph_CCHART_2" hidden="1">[1]BV!#REF!</definedName>
    <definedName name="_32__123Graph_LBL_ACHART_2" localSheetId="1" hidden="1">[2]BV!#REF!</definedName>
    <definedName name="_32__123Graph_LBL_ACHART_2" hidden="1">[1]BV!#REF!</definedName>
    <definedName name="_4__123Graph_LBL_ACHART_2" localSheetId="1" hidden="1">[2]BV!#REF!</definedName>
    <definedName name="_4__123Graph_LBL_ACHART_2" hidden="1">[1]BV!#REF!</definedName>
    <definedName name="_40__123Graph_LBL_BCHART_2" localSheetId="1" hidden="1">[2]BV!#REF!</definedName>
    <definedName name="_40__123Graph_LBL_BCHART_2" hidden="1">[1]BV!#REF!</definedName>
    <definedName name="_48__123Graph_LBL_CCHART_2" localSheetId="1" hidden="1">[2]BV!#REF!</definedName>
    <definedName name="_48__123Graph_LBL_CCHART_2" hidden="1">[1]BV!#REF!</definedName>
    <definedName name="_5__123Graph_LBL_BCHART_2" localSheetId="1" hidden="1">[2]BV!#REF!</definedName>
    <definedName name="_5__123Graph_LBL_BCHART_2" hidden="1">[1]BV!#REF!</definedName>
    <definedName name="_6__123Graph_LBL_CCHART_2" localSheetId="1" hidden="1">[2]BV!#REF!</definedName>
    <definedName name="_6__123Graph_LBL_CCHART_2" hidden="1">[1]BV!#REF!</definedName>
    <definedName name="_8__123Graph_ACHART_2" localSheetId="1" hidden="1">[2]BV!#REF!</definedName>
    <definedName name="_8__123Graph_ACHART_2" hidden="1">[1]BV!#REF!</definedName>
    <definedName name="_Fill" localSheetId="1" hidden="1">#REF!</definedName>
    <definedName name="_Fill" localSheetId="4" hidden="1">#REF!</definedName>
    <definedName name="_Fill" hidden="1">#REF!</definedName>
    <definedName name="_xlnm._FilterDatabase" localSheetId="6" hidden="1">DataSending!$A$6:$P$560</definedName>
    <definedName name="_xlnm._FilterDatabase" localSheetId="5" hidden="1">OP!$Q$10:$T$33</definedName>
    <definedName name="_xlnm._FilterDatabase" localSheetId="2" hidden="1">PL!$A$13:$AJ$1596</definedName>
    <definedName name="_xlnm._FilterDatabase" localSheetId="4" hidden="1">Previous!$C$10:$Z$1114</definedName>
    <definedName name="_Key1" localSheetId="3" hidden="1">#REF!</definedName>
    <definedName name="_Key1" localSheetId="1" hidden="1">#REF!</definedName>
    <definedName name="_Key1" localSheetId="4" hidden="1">#REF!</definedName>
    <definedName name="_Key1" hidden="1">#REF!</definedName>
    <definedName name="_MatInverse_In" localSheetId="1" hidden="1">#REF!</definedName>
    <definedName name="_MatInverse_In" localSheetId="4" hidden="1">#REF!</definedName>
    <definedName name="_MatInverse_In" hidden="1">#REF!</definedName>
    <definedName name="_MatInverse_Out" localSheetId="1" hidden="1">#REF!</definedName>
    <definedName name="_MatInverse_Out" localSheetId="4" hidden="1">#REF!</definedName>
    <definedName name="_MatInverse_Out" hidden="1">#REF!</definedName>
    <definedName name="_Order1" hidden="1">1</definedName>
    <definedName name="_Sort" localSheetId="1" hidden="1">#REF!</definedName>
    <definedName name="_Sort" localSheetId="4" hidden="1">#REF!</definedName>
    <definedName name="_Sort" hidden="1">#REF!</definedName>
    <definedName name="a" localSheetId="1" hidden="1">#REF!</definedName>
    <definedName name="a" localSheetId="4" hidden="1">#REF!</definedName>
    <definedName name="a" hidden="1">#REF!</definedName>
    <definedName name="abcs" localSheetId="1" hidden="1">#REF!</definedName>
    <definedName name="abcs" localSheetId="4" hidden="1">#REF!</definedName>
    <definedName name="abcs" hidden="1">#REF!</definedName>
    <definedName name="AnaplanColHeader_c4cb70b2_6598_4c0e_aa8c_9c4deb501a87" localSheetId="2">PL!$R$10:$AC$10</definedName>
    <definedName name="AnaplanDescription_c4cb70b2_6598_4c0e_aa8c_9c4deb501a87" localSheetId="2">PL!$Q$4:$Q$9</definedName>
    <definedName name="AnaplanRowHeader_c4cb70b2_6598_4c0e_aa8c_9c4deb501a87" localSheetId="2">PL!$Q$11:$Q$1596</definedName>
    <definedName name="AS2DocOpenMode" hidden="1">"AS2DocumentEdit"</definedName>
    <definedName name="fill2" localSheetId="1" hidden="1">#REF!</definedName>
    <definedName name="fill2" localSheetId="4" hidden="1">#REF!</definedName>
    <definedName name="fill2" hidden="1">#REF!</definedName>
    <definedName name="ppp" localSheetId="1" hidden="1">#REF!</definedName>
    <definedName name="ppp" localSheetId="4" hidden="1">#REF!</definedName>
    <definedName name="ppp" hidden="1">#REF!</definedName>
    <definedName name="Pres" localSheetId="3" hidden="1">{"PR1","pr1",TRUE,"Sch PR-1"}</definedName>
    <definedName name="Pres" localSheetId="1" hidden="1">{"PR1","pr1",TRUE,"Sch PR-1"}</definedName>
    <definedName name="Pres" localSheetId="5" hidden="1">{"PR1","pr1",TRUE,"Sch PR-1"}</definedName>
    <definedName name="Pres" localSheetId="4" hidden="1">{"PR1","pr1",TRUE,"Sch PR-1"}</definedName>
    <definedName name="Pres" hidden="1">{"PR1","pr1",TRUE,"Sch PR-1"}</definedName>
    <definedName name="SAPBEXdnldView" hidden="1">"0PT0Y8NGKFQOPLJTD8FCV8OLJ"</definedName>
    <definedName name="SAPBEXrevision" hidden="1">4</definedName>
    <definedName name="SAPBEXsysID" hidden="1">"PBW"</definedName>
    <definedName name="SAPBEXwbID" hidden="1">"CU55R5ABAJTISWAHOLWCD1VI8"</definedName>
    <definedName name="test" localSheetId="1" hidden="1">#REF!</definedName>
    <definedName name="test" localSheetId="4" hidden="1">#REF!</definedName>
    <definedName name="test" hidden="1">#REF!</definedName>
    <definedName name="wrn.Aging._.and._.Trend._.Analysis." localSheetId="3" hidden="1">{#N/A,#N/A,FALSE,"Aging Summary";#N/A,#N/A,FALSE,"Ratio Analysis";#N/A,#N/A,FALSE,"Test 120 Day Accts";#N/A,#N/A,FALSE,"Tickmarks"}</definedName>
    <definedName name="wrn.Aging._.and._.Trend._.Analysis." localSheetId="1" hidden="1">{#N/A,#N/A,FALSE,"Aging Summary";#N/A,#N/A,FALSE,"Ratio Analysis";#N/A,#N/A,FALSE,"Test 120 Day Accts";#N/A,#N/A,FALSE,"Tickmarks"}</definedName>
    <definedName name="wrn.Aging._.and._.Trend._.Analysis." localSheetId="5" hidden="1">{#N/A,#N/A,FALSE,"Aging Summary";#N/A,#N/A,FALSE,"Ratio Analysis";#N/A,#N/A,FALSE,"Test 120 Day Accts";#N/A,#N/A,FALSE,"Tickmarks"}</definedName>
    <definedName name="wrn.Aging._.and._.Trend._.Analysis." localSheetId="4"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Report_PR_1." localSheetId="3" hidden="1">{"PR1","pr1",TRUE,"Sch PR-1"}</definedName>
    <definedName name="wrn.Report_PR_1." localSheetId="1" hidden="1">{"PR1","pr1",TRUE,"Sch PR-1"}</definedName>
    <definedName name="wrn.Report_PR_1." localSheetId="5" hidden="1">{"PR1","pr1",TRUE,"Sch PR-1"}</definedName>
    <definedName name="wrn.Report_PR_1." localSheetId="4" hidden="1">{"PR1","pr1",TRUE,"Sch PR-1"}</definedName>
    <definedName name="wrn.Report_PR_1." hidden="1">{"PR1","pr1",TRUE,"Sch PR-1"}</definedName>
    <definedName name="xxx" localSheetId="1" hidden="1">#REF!</definedName>
    <definedName name="xxx" localSheetId="4" hidden="1">#REF!</definedName>
    <definedName name="xxx" hidden="1">#REF!</definedName>
    <definedName name="yyy" localSheetId="1" hidden="1">#REF!</definedName>
    <definedName name="yyy" localSheetId="4" hidden="1">#REF!</definedName>
    <definedName name="yyy" hidden="1">#REF!</definedName>
    <definedName name="Z_09D898E7_ECDC_41A2_AC15_436A8CA85D98_.wvu.FilterData" localSheetId="5" hidden="1">OP!$A$7:$X$1017</definedName>
    <definedName name="Z_2B18A403_65A3_4827_8427_25DCBBA620C4_.wvu.FilterData" localSheetId="5" hidden="1">OP!$A$7:$X$1017</definedName>
    <definedName name="Z_938C2653_9262_48FB_A429_4A3D9ED4EC09_.wvu.FilterData" localSheetId="5" hidden="1">OP!$A$7:$X$1017</definedName>
    <definedName name="Z_AF95A143_7A8A_40FC_9476_45BF57FBDA26_.wvu.FilterData" localSheetId="5" hidden="1">OP!$A$7:$X$1017</definedName>
    <definedName name="Z_DD0FD0D1_687C_4D6E_BABE_F20416860B33_.wvu.FilterData" localSheetId="5" hidden="1">OP!$A$7:$X$1017</definedName>
    <definedName name="Z_E95933A5_E2FD_4153_86CC_C0BB5485EAF2_.wvu.FilterData" localSheetId="5" hidden="1">OP!$A$7:$X$1017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495" i="2" l="1"/>
  <c r="AC32" i="2" l="1"/>
  <c r="AC393" i="2" l="1"/>
  <c r="AC590" i="2" l="1"/>
  <c r="AB590" i="2" l="1"/>
  <c r="AB495" i="2"/>
  <c r="AB925" i="2"/>
  <c r="AB1053" i="2"/>
  <c r="AB1047" i="2"/>
  <c r="AB1042" i="2"/>
  <c r="AB1036" i="2"/>
  <c r="AB1031" i="2"/>
  <c r="AB1023" i="2"/>
  <c r="AB1017" i="2"/>
  <c r="AB1012" i="2"/>
  <c r="AB1006" i="2"/>
  <c r="AB1001" i="2"/>
  <c r="AB993" i="2"/>
  <c r="AB987" i="2"/>
  <c r="AB982" i="2"/>
  <c r="AB976" i="2"/>
  <c r="AB971" i="2"/>
  <c r="AB963" i="2"/>
  <c r="AB957" i="2"/>
  <c r="AB952" i="2"/>
  <c r="AB946" i="2"/>
  <c r="AB941" i="2"/>
  <c r="AB393" i="2" l="1"/>
  <c r="AB573" i="2" l="1"/>
  <c r="AA187" i="2"/>
  <c r="AA132" i="2"/>
  <c r="AA1073" i="2" l="1"/>
  <c r="AA1066" i="2"/>
  <c r="AA590" i="2" l="1"/>
  <c r="AA495" i="2" l="1"/>
  <c r="Z192" i="2" l="1"/>
  <c r="Z137" i="2"/>
  <c r="Z31" i="2" l="1"/>
  <c r="Z393" i="2" l="1"/>
  <c r="Z590" i="2" l="1"/>
  <c r="Z495" i="2"/>
  <c r="Y45" i="2"/>
  <c r="Y590" i="2"/>
  <c r="Y495" i="2" l="1"/>
  <c r="X797" i="2" l="1"/>
  <c r="X590" i="2"/>
  <c r="X495" i="2"/>
  <c r="X31" i="2" l="1"/>
  <c r="X1163" i="2" l="1"/>
  <c r="W609" i="2" l="1"/>
  <c r="W570" i="2"/>
  <c r="W142" i="2" l="1"/>
  <c r="V142" i="2"/>
  <c r="U142" i="2"/>
  <c r="T142" i="2"/>
  <c r="S142" i="2"/>
  <c r="R142" i="2"/>
  <c r="R234" i="2" l="1"/>
  <c r="R161" i="2"/>
  <c r="W32" i="2" l="1"/>
  <c r="W590" i="2"/>
  <c r="W495" i="2"/>
  <c r="T461" i="2" l="1"/>
  <c r="T464" i="2"/>
  <c r="T471" i="2"/>
  <c r="T470" i="2" s="1"/>
  <c r="T477" i="2"/>
  <c r="T476" i="2" s="1"/>
  <c r="T475" i="2" s="1"/>
  <c r="T480" i="2"/>
  <c r="T488" i="2"/>
  <c r="T487" i="2" s="1"/>
  <c r="T495" i="2"/>
  <c r="T494" i="2" s="1"/>
  <c r="T493" i="2" s="1"/>
  <c r="T492" i="2" s="1"/>
  <c r="T497" i="2"/>
  <c r="T501" i="2"/>
  <c r="T505" i="2"/>
  <c r="T512" i="2"/>
  <c r="T511" i="2" s="1"/>
  <c r="T517" i="2"/>
  <c r="T516" i="2" s="1"/>
  <c r="T518" i="2"/>
  <c r="T521" i="2"/>
  <c r="T525" i="2"/>
  <c r="T529" i="2"/>
  <c r="T486" i="2" l="1"/>
  <c r="T485" i="2" s="1"/>
  <c r="T510" i="2"/>
  <c r="T469" i="2"/>
  <c r="U906" i="2" l="1"/>
  <c r="V31" i="2" l="1"/>
  <c r="V588" i="2" l="1"/>
  <c r="V590" i="2"/>
  <c r="V495" i="2"/>
  <c r="V455" i="2" l="1"/>
  <c r="U1160" i="2" l="1"/>
  <c r="R1160" i="2"/>
  <c r="R1067" i="2" l="1"/>
  <c r="S1067" i="2"/>
  <c r="T1067" i="2"/>
  <c r="U1067" i="2"/>
  <c r="U546" i="2" l="1"/>
  <c r="U539" i="2"/>
  <c r="T416" i="2"/>
  <c r="U447" i="2"/>
  <c r="S447" i="2"/>
  <c r="U443" i="2"/>
  <c r="S443" i="2"/>
  <c r="U439" i="2"/>
  <c r="S439" i="2"/>
  <c r="U431" i="2"/>
  <c r="S431" i="2"/>
  <c r="S90" i="2" s="1"/>
  <c r="U435" i="2"/>
  <c r="S435" i="2"/>
  <c r="U160" i="2"/>
  <c r="U590" i="2" l="1"/>
  <c r="U495" i="2"/>
  <c r="U941" i="2" l="1"/>
  <c r="T133" i="2" l="1"/>
  <c r="T395" i="2"/>
  <c r="T546" i="2" l="1"/>
  <c r="T539" i="2"/>
  <c r="T32" i="2" l="1"/>
  <c r="T1314" i="2" l="1"/>
  <c r="T590" i="2" l="1"/>
  <c r="AC168" i="2" l="1"/>
  <c r="AB168" i="2"/>
  <c r="AA168" i="2"/>
  <c r="Z168" i="2"/>
  <c r="Y168" i="2"/>
  <c r="X168" i="2"/>
  <c r="W168" i="2"/>
  <c r="V168" i="2"/>
  <c r="U168" i="2"/>
  <c r="T168" i="2"/>
  <c r="S168" i="2"/>
  <c r="R168" i="2"/>
  <c r="AC116" i="2"/>
  <c r="AB116" i="2"/>
  <c r="AA116" i="2"/>
  <c r="Z116" i="2"/>
  <c r="Y116" i="2"/>
  <c r="X116" i="2"/>
  <c r="W116" i="2"/>
  <c r="V116" i="2"/>
  <c r="U116" i="2"/>
  <c r="T116" i="2"/>
  <c r="S116" i="2"/>
  <c r="R116" i="2"/>
  <c r="S495" i="2" l="1"/>
  <c r="S133" i="2" l="1"/>
  <c r="S912" i="2" l="1"/>
  <c r="S925" i="2" l="1"/>
  <c r="S590" i="2" l="1"/>
  <c r="AC10" i="2" l="1"/>
  <c r="AB10" i="2"/>
  <c r="AA10" i="2"/>
  <c r="Z10" i="2"/>
  <c r="Y10" i="2"/>
  <c r="X10" i="2"/>
  <c r="W10" i="2"/>
  <c r="V10" i="2"/>
  <c r="U10" i="2"/>
  <c r="T10" i="2"/>
  <c r="S10" i="2"/>
  <c r="R10" i="2"/>
  <c r="Q1596" i="2"/>
  <c r="Q1595" i="2"/>
  <c r="Q1594" i="2"/>
  <c r="Q1593" i="2"/>
  <c r="Q1592" i="2"/>
  <c r="Q1591" i="2"/>
  <c r="Q1590" i="2"/>
  <c r="Q1589" i="2"/>
  <c r="Q1588" i="2"/>
  <c r="Q1587" i="2"/>
  <c r="Q1586" i="2"/>
  <c r="Q1585" i="2"/>
  <c r="Q1584" i="2"/>
  <c r="Q1583" i="2"/>
  <c r="Q1582" i="2"/>
  <c r="Q1581" i="2"/>
  <c r="Q1580" i="2"/>
  <c r="Q1579" i="2"/>
  <c r="Q1578" i="2"/>
  <c r="Q1577" i="2"/>
  <c r="Q1576" i="2"/>
  <c r="Q1575" i="2"/>
  <c r="Q1574" i="2"/>
  <c r="Q1573" i="2"/>
  <c r="Q1572" i="2"/>
  <c r="Q1571" i="2"/>
  <c r="Q1570" i="2"/>
  <c r="Q1569" i="2"/>
  <c r="Q1568" i="2"/>
  <c r="Q1567" i="2"/>
  <c r="Q1566" i="2"/>
  <c r="Q1565" i="2"/>
  <c r="Q1564" i="2"/>
  <c r="Q1563" i="2"/>
  <c r="Q1562" i="2"/>
  <c r="Q1561" i="2"/>
  <c r="Q1560" i="2"/>
  <c r="Q1559" i="2"/>
  <c r="Q1558" i="2"/>
  <c r="Q1557" i="2"/>
  <c r="Q1556" i="2"/>
  <c r="Q1555" i="2"/>
  <c r="Q1554" i="2"/>
  <c r="Q1553" i="2"/>
  <c r="Q1552" i="2"/>
  <c r="Q1551" i="2"/>
  <c r="Q1550" i="2"/>
  <c r="Q1549" i="2"/>
  <c r="Q1548" i="2"/>
  <c r="Q1547" i="2"/>
  <c r="Q1546" i="2"/>
  <c r="Q1545" i="2"/>
  <c r="Q1544" i="2"/>
  <c r="Q1543" i="2"/>
  <c r="Q1542" i="2"/>
  <c r="Q1541" i="2"/>
  <c r="Q1540" i="2"/>
  <c r="Q1539" i="2"/>
  <c r="Q1538" i="2"/>
  <c r="Q1537" i="2"/>
  <c r="Q1536" i="2"/>
  <c r="Q1535" i="2"/>
  <c r="Q1534" i="2"/>
  <c r="Q1533" i="2"/>
  <c r="Q1532" i="2"/>
  <c r="Q1531" i="2"/>
  <c r="Q1530" i="2"/>
  <c r="Q1529" i="2"/>
  <c r="Q1528" i="2"/>
  <c r="Q1527" i="2"/>
  <c r="Q1526" i="2"/>
  <c r="Q1525" i="2"/>
  <c r="Q1524" i="2"/>
  <c r="Q1523" i="2"/>
  <c r="Q1522" i="2"/>
  <c r="Q1521" i="2"/>
  <c r="Q1520" i="2"/>
  <c r="Q1519" i="2"/>
  <c r="Q1518" i="2"/>
  <c r="Q1517" i="2"/>
  <c r="Q1516" i="2"/>
  <c r="Q1515" i="2"/>
  <c r="Q1514" i="2"/>
  <c r="Q1513" i="2"/>
  <c r="Q1512" i="2"/>
  <c r="Q1511" i="2"/>
  <c r="Q1510" i="2"/>
  <c r="Q1509" i="2"/>
  <c r="Q1508" i="2"/>
  <c r="Q1507" i="2"/>
  <c r="Q1506" i="2"/>
  <c r="Q1505" i="2"/>
  <c r="Q1504" i="2"/>
  <c r="Q1503" i="2"/>
  <c r="Q1502" i="2"/>
  <c r="Q1501" i="2"/>
  <c r="Q1500" i="2"/>
  <c r="Q1499" i="2"/>
  <c r="Q1498" i="2"/>
  <c r="Q1497" i="2"/>
  <c r="Q1496" i="2"/>
  <c r="Q1495" i="2"/>
  <c r="Q1494" i="2"/>
  <c r="Q1493" i="2"/>
  <c r="Q1492" i="2"/>
  <c r="Q1491" i="2"/>
  <c r="Q1490" i="2"/>
  <c r="Q1489" i="2"/>
  <c r="Q1488" i="2"/>
  <c r="Q1487" i="2"/>
  <c r="Q1486" i="2"/>
  <c r="Q1485" i="2"/>
  <c r="Q1484" i="2"/>
  <c r="Q1483" i="2"/>
  <c r="Q1482" i="2"/>
  <c r="Q1481" i="2"/>
  <c r="Q1480" i="2"/>
  <c r="Q1479" i="2"/>
  <c r="Q1478" i="2"/>
  <c r="Q1477" i="2"/>
  <c r="Q1476" i="2"/>
  <c r="Q1475" i="2"/>
  <c r="Q1474" i="2"/>
  <c r="Q1473" i="2"/>
  <c r="Q1472" i="2"/>
  <c r="Q1471" i="2"/>
  <c r="Q1470" i="2"/>
  <c r="Q1469" i="2"/>
  <c r="Q1468" i="2"/>
  <c r="Q1467" i="2"/>
  <c r="Q1466" i="2"/>
  <c r="Q1465" i="2"/>
  <c r="Q1464" i="2"/>
  <c r="Q1463" i="2"/>
  <c r="Q1462" i="2"/>
  <c r="Q1461" i="2"/>
  <c r="Q1460" i="2"/>
  <c r="Q1459" i="2"/>
  <c r="Q1458" i="2"/>
  <c r="Q1457" i="2"/>
  <c r="Q1456" i="2"/>
  <c r="Q1455" i="2"/>
  <c r="Q1454" i="2"/>
  <c r="Q1453" i="2"/>
  <c r="Q1452" i="2"/>
  <c r="Q1451" i="2"/>
  <c r="Q1450" i="2"/>
  <c r="Q1449" i="2"/>
  <c r="Q1448" i="2"/>
  <c r="Q1447" i="2"/>
  <c r="Q1446" i="2"/>
  <c r="Q1445" i="2"/>
  <c r="Q1444" i="2"/>
  <c r="Q1443" i="2"/>
  <c r="Q1442" i="2"/>
  <c r="Q1441" i="2"/>
  <c r="Q1440" i="2"/>
  <c r="Q1439" i="2"/>
  <c r="Q1438" i="2"/>
  <c r="Q1437" i="2"/>
  <c r="Q1436" i="2"/>
  <c r="Q1435" i="2"/>
  <c r="Q1434" i="2"/>
  <c r="Q1433" i="2"/>
  <c r="Q1432" i="2"/>
  <c r="Q1431" i="2"/>
  <c r="Q1430" i="2"/>
  <c r="Q1429" i="2"/>
  <c r="Q1428" i="2"/>
  <c r="Q1427" i="2"/>
  <c r="Q1426" i="2"/>
  <c r="Q1425" i="2"/>
  <c r="Q1424" i="2"/>
  <c r="Q1423" i="2"/>
  <c r="Q1422" i="2"/>
  <c r="Q1421" i="2"/>
  <c r="Q1420" i="2"/>
  <c r="Q1419" i="2"/>
  <c r="Q1418" i="2"/>
  <c r="Q1417" i="2"/>
  <c r="Q1416" i="2"/>
  <c r="Q1415" i="2"/>
  <c r="Q1414" i="2"/>
  <c r="Q1413" i="2"/>
  <c r="Q1412" i="2"/>
  <c r="Q1411" i="2"/>
  <c r="Q1410" i="2"/>
  <c r="Q1409" i="2"/>
  <c r="Q1408" i="2"/>
  <c r="Q1407" i="2"/>
  <c r="Q1406" i="2"/>
  <c r="Q1405" i="2"/>
  <c r="Q1404" i="2"/>
  <c r="Q1403" i="2"/>
  <c r="Q1402" i="2"/>
  <c r="Q1401" i="2"/>
  <c r="Q1400" i="2"/>
  <c r="Q1399" i="2"/>
  <c r="Q1398" i="2"/>
  <c r="Q1397" i="2"/>
  <c r="Q1396" i="2"/>
  <c r="Q1395" i="2"/>
  <c r="Q1394" i="2"/>
  <c r="Q1393" i="2"/>
  <c r="Q1392" i="2"/>
  <c r="Q1391" i="2"/>
  <c r="Q1390" i="2"/>
  <c r="Q1389" i="2"/>
  <c r="Q1388" i="2"/>
  <c r="Q1387" i="2"/>
  <c r="Q1386" i="2"/>
  <c r="Q1385" i="2"/>
  <c r="Q1384" i="2"/>
  <c r="Q1383" i="2"/>
  <c r="Q1382" i="2"/>
  <c r="Q1381" i="2"/>
  <c r="Q1380" i="2"/>
  <c r="Q1379" i="2"/>
  <c r="Q1378" i="2"/>
  <c r="Q1377" i="2"/>
  <c r="Q1376" i="2"/>
  <c r="Q1375" i="2"/>
  <c r="Q1374" i="2"/>
  <c r="Q1373" i="2"/>
  <c r="Q1372" i="2"/>
  <c r="Q1371" i="2"/>
  <c r="Q1370" i="2"/>
  <c r="Q1369" i="2"/>
  <c r="Q1368" i="2"/>
  <c r="Q1367" i="2"/>
  <c r="Q1366" i="2"/>
  <c r="Q1365" i="2"/>
  <c r="Q1364" i="2"/>
  <c r="Q1363" i="2"/>
  <c r="Q1362" i="2"/>
  <c r="Q1361" i="2"/>
  <c r="Q1360" i="2"/>
  <c r="Q1359" i="2"/>
  <c r="Q1358" i="2"/>
  <c r="Q1357" i="2"/>
  <c r="Q1356" i="2"/>
  <c r="Q1355" i="2"/>
  <c r="Q1354" i="2"/>
  <c r="Q1353" i="2"/>
  <c r="Q1352" i="2"/>
  <c r="Q1351" i="2"/>
  <c r="Q1350" i="2"/>
  <c r="Q1349" i="2"/>
  <c r="Q1348" i="2"/>
  <c r="Q1347" i="2"/>
  <c r="Q1346" i="2"/>
  <c r="Q1345" i="2"/>
  <c r="Q1344" i="2"/>
  <c r="Q1343" i="2"/>
  <c r="Q1342" i="2"/>
  <c r="Q1341" i="2"/>
  <c r="Q1340" i="2"/>
  <c r="Q1339" i="2"/>
  <c r="Q1338" i="2"/>
  <c r="Q1337" i="2"/>
  <c r="Q1336" i="2"/>
  <c r="Q1335" i="2"/>
  <c r="Q1334" i="2"/>
  <c r="Q1333" i="2"/>
  <c r="Q1332" i="2"/>
  <c r="Q1331" i="2"/>
  <c r="Q1330" i="2"/>
  <c r="Q1329" i="2"/>
  <c r="Q1328" i="2"/>
  <c r="Q1327" i="2"/>
  <c r="Q1326" i="2"/>
  <c r="Q1325" i="2"/>
  <c r="Q1324" i="2"/>
  <c r="Q1323" i="2"/>
  <c r="Q1322" i="2"/>
  <c r="Q1321" i="2"/>
  <c r="Q1320" i="2"/>
  <c r="Q1319" i="2"/>
  <c r="Q1318" i="2"/>
  <c r="Q1317" i="2"/>
  <c r="Q1316" i="2"/>
  <c r="Q1315" i="2"/>
  <c r="Q1314" i="2"/>
  <c r="Q1313" i="2"/>
  <c r="Q1312" i="2"/>
  <c r="Q1311" i="2"/>
  <c r="Q1310" i="2"/>
  <c r="Q1309" i="2"/>
  <c r="Q1308" i="2"/>
  <c r="Q1307" i="2"/>
  <c r="Q1306" i="2"/>
  <c r="Q1305" i="2"/>
  <c r="Q1304" i="2"/>
  <c r="Q1303" i="2"/>
  <c r="Q1302" i="2"/>
  <c r="Q1301" i="2"/>
  <c r="Q1300" i="2"/>
  <c r="Q1299" i="2"/>
  <c r="Q1298" i="2"/>
  <c r="Q1297" i="2"/>
  <c r="Q1296" i="2"/>
  <c r="Q1295" i="2"/>
  <c r="Q1294" i="2"/>
  <c r="Q1293" i="2"/>
  <c r="Q1292" i="2"/>
  <c r="Q1291" i="2"/>
  <c r="Q1290" i="2"/>
  <c r="Q1289" i="2"/>
  <c r="Q1288" i="2"/>
  <c r="Q1287" i="2"/>
  <c r="Q1286" i="2"/>
  <c r="Q1285" i="2"/>
  <c r="Q1284" i="2"/>
  <c r="Q1283" i="2"/>
  <c r="Q1282" i="2"/>
  <c r="Q1281" i="2"/>
  <c r="Q1280" i="2"/>
  <c r="Q1279" i="2"/>
  <c r="Q1278" i="2"/>
  <c r="Q1277" i="2"/>
  <c r="Q1276" i="2"/>
  <c r="Q1275" i="2"/>
  <c r="Q1274" i="2"/>
  <c r="Q1273" i="2"/>
  <c r="Q1272" i="2"/>
  <c r="Q1271" i="2"/>
  <c r="Q1270" i="2"/>
  <c r="Q1269" i="2"/>
  <c r="Q1268" i="2"/>
  <c r="Q1267" i="2"/>
  <c r="Q1266" i="2"/>
  <c r="Q1265" i="2"/>
  <c r="Q1264" i="2"/>
  <c r="Q1263" i="2"/>
  <c r="Q1262" i="2"/>
  <c r="Q1261" i="2"/>
  <c r="Q1260" i="2"/>
  <c r="Q1259" i="2"/>
  <c r="Q1258" i="2"/>
  <c r="Q1257" i="2"/>
  <c r="Q1256" i="2"/>
  <c r="Q1255" i="2"/>
  <c r="Q1254" i="2"/>
  <c r="Q1253" i="2"/>
  <c r="Q1252" i="2"/>
  <c r="Q1251" i="2"/>
  <c r="Q1250" i="2"/>
  <c r="Q1249" i="2"/>
  <c r="Q1248" i="2"/>
  <c r="Q1247" i="2"/>
  <c r="Q1246" i="2"/>
  <c r="Q1245" i="2"/>
  <c r="Q1244" i="2"/>
  <c r="Q1243" i="2"/>
  <c r="Q1242" i="2"/>
  <c r="Q1241" i="2"/>
  <c r="Q1240" i="2"/>
  <c r="Q1239" i="2"/>
  <c r="Q1238" i="2"/>
  <c r="Q1237" i="2"/>
  <c r="Q1236" i="2"/>
  <c r="Q1235" i="2"/>
  <c r="Q1234" i="2"/>
  <c r="Q1233" i="2"/>
  <c r="Q1232" i="2"/>
  <c r="Q1231" i="2"/>
  <c r="Q1230" i="2"/>
  <c r="Q1229" i="2"/>
  <c r="Q1228" i="2"/>
  <c r="Q1227" i="2"/>
  <c r="Q1226" i="2"/>
  <c r="Q1225" i="2"/>
  <c r="Q1224" i="2"/>
  <c r="Q1223" i="2"/>
  <c r="Q1222" i="2"/>
  <c r="Q1221" i="2"/>
  <c r="Q1220" i="2"/>
  <c r="Q1219" i="2"/>
  <c r="Q1218" i="2"/>
  <c r="Q1217" i="2"/>
  <c r="Q1216" i="2"/>
  <c r="Q1215" i="2"/>
  <c r="Q1214" i="2"/>
  <c r="Q1213" i="2"/>
  <c r="Q1212" i="2"/>
  <c r="Q1211" i="2"/>
  <c r="Q1210" i="2"/>
  <c r="Q1209" i="2"/>
  <c r="Q1208" i="2"/>
  <c r="Q1207" i="2"/>
  <c r="Q1206" i="2"/>
  <c r="Q1205" i="2"/>
  <c r="Q1204" i="2"/>
  <c r="Q1203" i="2"/>
  <c r="Q1202" i="2"/>
  <c r="Q1201" i="2"/>
  <c r="Q1200" i="2"/>
  <c r="Q1199" i="2"/>
  <c r="Q1198" i="2"/>
  <c r="Q1197" i="2"/>
  <c r="Q1196" i="2"/>
  <c r="Q1195" i="2"/>
  <c r="Q1194" i="2"/>
  <c r="Q1193" i="2"/>
  <c r="Q1192" i="2"/>
  <c r="Q1191" i="2"/>
  <c r="Q1190" i="2"/>
  <c r="Q1189" i="2"/>
  <c r="Q1188" i="2"/>
  <c r="Q1187" i="2"/>
  <c r="Q1186" i="2"/>
  <c r="Q1185" i="2"/>
  <c r="Q1184" i="2"/>
  <c r="Q1183" i="2"/>
  <c r="Q1182" i="2"/>
  <c r="Q1181" i="2"/>
  <c r="Q1180" i="2"/>
  <c r="Q1179" i="2"/>
  <c r="Q1178" i="2"/>
  <c r="Q1177" i="2"/>
  <c r="Q1176" i="2"/>
  <c r="Q1175" i="2"/>
  <c r="Q1174" i="2"/>
  <c r="Q1173" i="2"/>
  <c r="Q1172" i="2"/>
  <c r="Q1171" i="2"/>
  <c r="Q1170" i="2"/>
  <c r="Q1169" i="2"/>
  <c r="Q1168" i="2"/>
  <c r="Q1167" i="2"/>
  <c r="Q1166" i="2"/>
  <c r="Q1165" i="2"/>
  <c r="Q1164" i="2"/>
  <c r="Q1163" i="2"/>
  <c r="Q1162" i="2"/>
  <c r="Q1161" i="2"/>
  <c r="Q1160" i="2"/>
  <c r="Q1159" i="2"/>
  <c r="Q1158" i="2"/>
  <c r="Q1157" i="2"/>
  <c r="Q1156" i="2"/>
  <c r="Q1155" i="2"/>
  <c r="Q1154" i="2"/>
  <c r="Q1153" i="2"/>
  <c r="Q1152" i="2"/>
  <c r="Q1151" i="2"/>
  <c r="Q1150" i="2"/>
  <c r="Q1149" i="2"/>
  <c r="Q1148" i="2"/>
  <c r="Q1147" i="2"/>
  <c r="Q1146" i="2"/>
  <c r="Q1145" i="2"/>
  <c r="Q1144" i="2"/>
  <c r="Q1143" i="2"/>
  <c r="Q1142" i="2"/>
  <c r="Q1141" i="2"/>
  <c r="Q1140" i="2"/>
  <c r="Q1139" i="2"/>
  <c r="Q1138" i="2"/>
  <c r="Q1137" i="2"/>
  <c r="Q1136" i="2"/>
  <c r="Q1135" i="2"/>
  <c r="Q1134" i="2"/>
  <c r="Q1133" i="2"/>
  <c r="Q1132" i="2"/>
  <c r="Q1131" i="2"/>
  <c r="Q1130" i="2"/>
  <c r="Q1129" i="2"/>
  <c r="Q1128" i="2"/>
  <c r="Q1127" i="2"/>
  <c r="Q1126" i="2"/>
  <c r="Q1125" i="2"/>
  <c r="Q1124" i="2"/>
  <c r="Q1123" i="2"/>
  <c r="Q1122" i="2"/>
  <c r="Q1121" i="2"/>
  <c r="Q1120" i="2"/>
  <c r="Q1119" i="2"/>
  <c r="Q1118" i="2"/>
  <c r="Q1117" i="2"/>
  <c r="Q1116" i="2"/>
  <c r="Q1115" i="2"/>
  <c r="Q1114" i="2"/>
  <c r="Q1113" i="2"/>
  <c r="Q1112" i="2"/>
  <c r="Q1111" i="2"/>
  <c r="Q1110" i="2"/>
  <c r="Q1109" i="2"/>
  <c r="Q1108" i="2"/>
  <c r="Q1107" i="2"/>
  <c r="Q1106" i="2"/>
  <c r="Q1104" i="2"/>
  <c r="Q1103" i="2"/>
  <c r="Q1102" i="2"/>
  <c r="Q1101" i="2"/>
  <c r="Q1100" i="2"/>
  <c r="Q1099" i="2"/>
  <c r="Q1098" i="2"/>
  <c r="Q1105" i="2" s="1"/>
  <c r="Q1097" i="2"/>
  <c r="Q1096" i="2"/>
  <c r="Q1095" i="2"/>
  <c r="Q1094" i="2"/>
  <c r="Q1093" i="2"/>
  <c r="Q1092" i="2"/>
  <c r="Q1091" i="2"/>
  <c r="Q1090" i="2"/>
  <c r="Q1089" i="2"/>
  <c r="Q1088" i="2"/>
  <c r="Q1087" i="2"/>
  <c r="Q1086" i="2"/>
  <c r="Q1085" i="2"/>
  <c r="Q1084" i="2"/>
  <c r="Q1083" i="2"/>
  <c r="Q1082" i="2"/>
  <c r="Q1081" i="2"/>
  <c r="Q1080" i="2"/>
  <c r="Q1079" i="2"/>
  <c r="Q1078" i="2"/>
  <c r="Q1077" i="2"/>
  <c r="Q1076" i="2"/>
  <c r="Q1075" i="2"/>
  <c r="Q1074" i="2"/>
  <c r="Q1073" i="2"/>
  <c r="Q1072" i="2"/>
  <c r="Q1071" i="2"/>
  <c r="Q1070" i="2"/>
  <c r="Q1069" i="2"/>
  <c r="Q1068" i="2"/>
  <c r="Q1067" i="2"/>
  <c r="Q1066" i="2"/>
  <c r="Q1065" i="2"/>
  <c r="Q1064" i="2"/>
  <c r="Q1063" i="2"/>
  <c r="Q1062" i="2"/>
  <c r="Q1061" i="2"/>
  <c r="Q1060" i="2"/>
  <c r="Q1059" i="2"/>
  <c r="Q1058" i="2"/>
  <c r="Q1057" i="2"/>
  <c r="Q1056" i="2"/>
  <c r="Q1055" i="2"/>
  <c r="Q1054" i="2"/>
  <c r="Q1053" i="2"/>
  <c r="Q1052" i="2"/>
  <c r="Q1051" i="2"/>
  <c r="Q1050" i="2"/>
  <c r="Q1049" i="2"/>
  <c r="Q1048" i="2"/>
  <c r="Q1047" i="2"/>
  <c r="Q1046" i="2"/>
  <c r="Q1045" i="2"/>
  <c r="Q1044" i="2"/>
  <c r="Q1043" i="2"/>
  <c r="Q1042" i="2"/>
  <c r="Q1041" i="2"/>
  <c r="Q1040" i="2"/>
  <c r="Q1039" i="2"/>
  <c r="Q1038" i="2"/>
  <c r="Q1037" i="2"/>
  <c r="Q1036" i="2"/>
  <c r="Q1035" i="2"/>
  <c r="Q1034" i="2"/>
  <c r="Q1033" i="2"/>
  <c r="Q1032" i="2"/>
  <c r="Q1031" i="2"/>
  <c r="Q1030" i="2"/>
  <c r="Q1029" i="2"/>
  <c r="Q1028" i="2"/>
  <c r="Q1027" i="2"/>
  <c r="Q1026" i="2"/>
  <c r="Q1025" i="2"/>
  <c r="Q1024" i="2"/>
  <c r="Q1023" i="2"/>
  <c r="Q1022" i="2"/>
  <c r="Q1021" i="2"/>
  <c r="Q1020" i="2"/>
  <c r="Q1019" i="2"/>
  <c r="Q1018" i="2"/>
  <c r="Q1017" i="2"/>
  <c r="Q1016" i="2"/>
  <c r="Q1015" i="2"/>
  <c r="Q1014" i="2"/>
  <c r="Q1013" i="2"/>
  <c r="Q1012" i="2"/>
  <c r="Q1011" i="2"/>
  <c r="Q1010" i="2"/>
  <c r="Q1009" i="2"/>
  <c r="Q1008" i="2"/>
  <c r="Q1007" i="2"/>
  <c r="Q1006" i="2"/>
  <c r="Q1005" i="2"/>
  <c r="Q1004" i="2"/>
  <c r="Q1003" i="2"/>
  <c r="Q1002" i="2"/>
  <c r="Q1001" i="2"/>
  <c r="Q1000" i="2"/>
  <c r="Q999" i="2"/>
  <c r="Q998" i="2"/>
  <c r="Q997" i="2"/>
  <c r="Q996" i="2"/>
  <c r="Q995" i="2"/>
  <c r="Q994" i="2"/>
  <c r="Q993" i="2"/>
  <c r="Q992" i="2"/>
  <c r="Q991" i="2"/>
  <c r="Q990" i="2"/>
  <c r="Q989" i="2"/>
  <c r="Q988" i="2"/>
  <c r="Q987" i="2"/>
  <c r="Q986" i="2"/>
  <c r="Q985" i="2"/>
  <c r="Q984" i="2"/>
  <c r="Q983" i="2"/>
  <c r="Q982" i="2"/>
  <c r="Q981" i="2"/>
  <c r="Q980" i="2"/>
  <c r="Q979" i="2"/>
  <c r="Q978" i="2"/>
  <c r="Q977" i="2"/>
  <c r="Q976" i="2"/>
  <c r="Q975" i="2"/>
  <c r="Q974" i="2"/>
  <c r="Q973" i="2"/>
  <c r="Q972" i="2"/>
  <c r="Q971" i="2"/>
  <c r="Q970" i="2"/>
  <c r="Q969" i="2"/>
  <c r="Q968" i="2"/>
  <c r="Q967" i="2"/>
  <c r="Q966" i="2"/>
  <c r="Q965" i="2"/>
  <c r="Q964" i="2"/>
  <c r="Q963" i="2"/>
  <c r="Q962" i="2"/>
  <c r="Q961" i="2"/>
  <c r="Q960" i="2"/>
  <c r="Q959" i="2"/>
  <c r="Q958" i="2"/>
  <c r="Q957" i="2"/>
  <c r="Q956" i="2"/>
  <c r="Q955" i="2"/>
  <c r="Q954" i="2"/>
  <c r="Q953" i="2"/>
  <c r="Q952" i="2"/>
  <c r="Q951" i="2"/>
  <c r="Q950" i="2"/>
  <c r="Q949" i="2"/>
  <c r="Q948" i="2"/>
  <c r="Q947" i="2"/>
  <c r="Q946" i="2"/>
  <c r="Q945" i="2"/>
  <c r="Q944" i="2"/>
  <c r="Q943" i="2"/>
  <c r="Q942" i="2"/>
  <c r="Q941" i="2"/>
  <c r="Q940" i="2"/>
  <c r="Q939" i="2"/>
  <c r="Q938" i="2"/>
  <c r="Q937" i="2"/>
  <c r="Q936" i="2"/>
  <c r="Q935" i="2"/>
  <c r="Q934" i="2"/>
  <c r="Q933" i="2"/>
  <c r="Q932" i="2"/>
  <c r="Q931" i="2"/>
  <c r="Q930" i="2"/>
  <c r="Q929" i="2"/>
  <c r="Q928" i="2"/>
  <c r="Q927" i="2"/>
  <c r="Q926" i="2"/>
  <c r="Q925" i="2"/>
  <c r="Q924" i="2"/>
  <c r="Q923" i="2"/>
  <c r="Q922" i="2"/>
  <c r="Q921" i="2"/>
  <c r="Q920" i="2"/>
  <c r="Q919" i="2"/>
  <c r="Q918" i="2"/>
  <c r="Q917" i="2"/>
  <c r="Q916" i="2"/>
  <c r="Q915" i="2"/>
  <c r="Q914" i="2"/>
  <c r="Q913" i="2"/>
  <c r="Q912" i="2"/>
  <c r="Q911" i="2"/>
  <c r="Q910" i="2"/>
  <c r="Q909" i="2"/>
  <c r="Q908" i="2"/>
  <c r="Q907" i="2"/>
  <c r="Q906" i="2"/>
  <c r="Q905" i="2"/>
  <c r="Q904" i="2"/>
  <c r="Q903" i="2"/>
  <c r="Q902" i="2"/>
  <c r="Q901" i="2"/>
  <c r="Q900" i="2"/>
  <c r="Q899" i="2"/>
  <c r="Q898" i="2"/>
  <c r="Q897" i="2"/>
  <c r="Q896" i="2"/>
  <c r="Q895" i="2"/>
  <c r="Q894" i="2"/>
  <c r="Q893" i="2"/>
  <c r="Q892" i="2"/>
  <c r="Q891" i="2"/>
  <c r="Q890" i="2"/>
  <c r="Q889" i="2"/>
  <c r="Q888" i="2"/>
  <c r="Q887" i="2"/>
  <c r="Q886" i="2"/>
  <c r="Q885" i="2"/>
  <c r="Q884" i="2"/>
  <c r="Q883" i="2"/>
  <c r="Q882" i="2"/>
  <c r="Q881" i="2"/>
  <c r="Q880" i="2"/>
  <c r="Q879" i="2"/>
  <c r="Q878" i="2"/>
  <c r="Q877" i="2"/>
  <c r="Q876" i="2"/>
  <c r="Q875" i="2"/>
  <c r="Q874" i="2"/>
  <c r="Q873" i="2"/>
  <c r="Q872" i="2"/>
  <c r="Q871" i="2"/>
  <c r="Q870" i="2"/>
  <c r="Q869" i="2"/>
  <c r="Q868" i="2"/>
  <c r="Q867" i="2"/>
  <c r="Q866" i="2"/>
  <c r="Q865" i="2"/>
  <c r="Q864" i="2"/>
  <c r="Q863" i="2"/>
  <c r="Q862" i="2"/>
  <c r="Q861" i="2"/>
  <c r="Q860" i="2"/>
  <c r="Q859" i="2"/>
  <c r="Q858" i="2"/>
  <c r="Q857" i="2"/>
  <c r="Q856" i="2"/>
  <c r="Q855" i="2"/>
  <c r="Q854" i="2"/>
  <c r="Q853" i="2"/>
  <c r="Q852" i="2"/>
  <c r="Q851" i="2"/>
  <c r="Q850" i="2"/>
  <c r="Q849" i="2"/>
  <c r="Q848" i="2"/>
  <c r="Q847" i="2"/>
  <c r="Q846" i="2"/>
  <c r="Q845" i="2"/>
  <c r="Q844" i="2"/>
  <c r="Q843" i="2"/>
  <c r="Q842" i="2"/>
  <c r="Q841" i="2"/>
  <c r="Q840" i="2"/>
  <c r="Q839" i="2"/>
  <c r="Q838" i="2"/>
  <c r="Q837" i="2"/>
  <c r="Q836" i="2"/>
  <c r="Q835" i="2"/>
  <c r="Q834" i="2"/>
  <c r="Q833" i="2"/>
  <c r="Q832" i="2"/>
  <c r="Q831" i="2"/>
  <c r="Q830" i="2"/>
  <c r="Q829" i="2"/>
  <c r="Q828" i="2"/>
  <c r="Q827" i="2"/>
  <c r="Q826" i="2"/>
  <c r="Q825" i="2"/>
  <c r="Q824" i="2"/>
  <c r="Q823" i="2"/>
  <c r="Q822" i="2"/>
  <c r="Q821" i="2"/>
  <c r="Q820" i="2"/>
  <c r="Q819" i="2"/>
  <c r="Q818" i="2"/>
  <c r="Q817" i="2"/>
  <c r="Q816" i="2"/>
  <c r="Q815" i="2"/>
  <c r="Q814" i="2"/>
  <c r="Q813" i="2"/>
  <c r="Q812" i="2"/>
  <c r="Q811" i="2"/>
  <c r="Q810" i="2"/>
  <c r="Q809" i="2"/>
  <c r="Q808" i="2"/>
  <c r="Q807" i="2"/>
  <c r="Q806" i="2"/>
  <c r="Q805" i="2"/>
  <c r="Q804" i="2"/>
  <c r="Q803" i="2"/>
  <c r="Q802" i="2"/>
  <c r="Q801" i="2"/>
  <c r="Q800" i="2"/>
  <c r="Q799" i="2"/>
  <c r="Q798" i="2"/>
  <c r="Q797" i="2"/>
  <c r="Q796" i="2"/>
  <c r="Q795" i="2"/>
  <c r="Q794" i="2"/>
  <c r="Q793" i="2"/>
  <c r="Q792" i="2"/>
  <c r="Q791" i="2"/>
  <c r="Q790" i="2"/>
  <c r="Q789" i="2"/>
  <c r="Q788" i="2"/>
  <c r="Q787" i="2"/>
  <c r="Q786" i="2"/>
  <c r="Q785" i="2"/>
  <c r="Q784" i="2"/>
  <c r="Q783" i="2"/>
  <c r="Q782" i="2"/>
  <c r="Q781" i="2"/>
  <c r="Q780" i="2"/>
  <c r="Q779" i="2"/>
  <c r="Q778" i="2"/>
  <c r="Q777" i="2"/>
  <c r="Q776" i="2"/>
  <c r="Q775" i="2"/>
  <c r="Q774" i="2"/>
  <c r="Q773" i="2"/>
  <c r="Q772" i="2"/>
  <c r="Q771" i="2"/>
  <c r="Q770" i="2"/>
  <c r="Q769" i="2"/>
  <c r="Q768" i="2"/>
  <c r="Q767" i="2"/>
  <c r="Q766" i="2"/>
  <c r="Q765" i="2"/>
  <c r="Q764" i="2"/>
  <c r="Q763" i="2"/>
  <c r="Q762" i="2"/>
  <c r="Q761" i="2"/>
  <c r="Q760" i="2"/>
  <c r="Q759" i="2"/>
  <c r="Q758" i="2"/>
  <c r="Q757" i="2"/>
  <c r="Q756" i="2"/>
  <c r="Q755" i="2"/>
  <c r="Q754" i="2"/>
  <c r="Q753" i="2"/>
  <c r="Q752" i="2"/>
  <c r="Q751" i="2"/>
  <c r="Q750" i="2"/>
  <c r="Q749" i="2"/>
  <c r="Q748" i="2"/>
  <c r="Q747" i="2"/>
  <c r="Q746" i="2"/>
  <c r="Q745" i="2"/>
  <c r="Q744" i="2"/>
  <c r="Q743" i="2"/>
  <c r="Q742" i="2"/>
  <c r="Q741" i="2"/>
  <c r="Q740" i="2"/>
  <c r="Q739" i="2"/>
  <c r="Q738" i="2"/>
  <c r="Q737" i="2"/>
  <c r="Q736" i="2"/>
  <c r="Q735" i="2"/>
  <c r="Q734" i="2"/>
  <c r="Q733" i="2"/>
  <c r="Q732" i="2"/>
  <c r="Q731" i="2"/>
  <c r="Q730" i="2"/>
  <c r="Q729" i="2"/>
  <c r="Q728" i="2"/>
  <c r="Q727" i="2"/>
  <c r="Q726" i="2"/>
  <c r="Q725" i="2"/>
  <c r="Q724" i="2"/>
  <c r="Q723" i="2"/>
  <c r="Q722" i="2"/>
  <c r="Q721" i="2"/>
  <c r="Q720" i="2"/>
  <c r="Q719" i="2"/>
  <c r="Q718" i="2"/>
  <c r="Q717" i="2"/>
  <c r="Q716" i="2"/>
  <c r="Q715" i="2"/>
  <c r="Q714" i="2"/>
  <c r="Q713" i="2"/>
  <c r="Q712" i="2"/>
  <c r="Q711" i="2"/>
  <c r="Q710" i="2"/>
  <c r="Q709" i="2"/>
  <c r="Q708" i="2"/>
  <c r="Q707" i="2"/>
  <c r="Q706" i="2"/>
  <c r="Q705" i="2"/>
  <c r="Q704" i="2"/>
  <c r="Q703" i="2"/>
  <c r="Q702" i="2"/>
  <c r="Q701" i="2"/>
  <c r="Q700" i="2"/>
  <c r="Q699" i="2"/>
  <c r="Q698" i="2"/>
  <c r="Q697" i="2"/>
  <c r="Q696" i="2"/>
  <c r="Q695" i="2"/>
  <c r="Q694" i="2"/>
  <c r="Q693" i="2"/>
  <c r="Q692" i="2"/>
  <c r="Q691" i="2"/>
  <c r="Q690" i="2"/>
  <c r="Q689" i="2"/>
  <c r="Q688" i="2"/>
  <c r="Q687" i="2"/>
  <c r="Q686" i="2"/>
  <c r="Q685" i="2"/>
  <c r="Q684" i="2"/>
  <c r="Q683" i="2"/>
  <c r="Q682" i="2"/>
  <c r="Q681" i="2"/>
  <c r="Q680" i="2"/>
  <c r="Q679" i="2"/>
  <c r="Q678" i="2"/>
  <c r="Q677" i="2"/>
  <c r="Q676" i="2"/>
  <c r="Q675" i="2"/>
  <c r="Q674" i="2"/>
  <c r="Q673" i="2"/>
  <c r="Q672" i="2"/>
  <c r="Q671" i="2"/>
  <c r="Q670" i="2"/>
  <c r="Q669" i="2"/>
  <c r="Q668" i="2"/>
  <c r="Q667" i="2"/>
  <c r="Q666" i="2"/>
  <c r="Q665" i="2"/>
  <c r="Q664" i="2"/>
  <c r="Q663" i="2"/>
  <c r="Q662" i="2"/>
  <c r="Q661" i="2"/>
  <c r="Q660" i="2"/>
  <c r="Q659" i="2"/>
  <c r="Q658" i="2"/>
  <c r="Q657" i="2"/>
  <c r="Q656" i="2"/>
  <c r="Q655" i="2"/>
  <c r="Q654" i="2"/>
  <c r="Q653" i="2"/>
  <c r="Q652" i="2"/>
  <c r="Q651" i="2"/>
  <c r="Q650" i="2"/>
  <c r="Q649" i="2"/>
  <c r="Q648" i="2"/>
  <c r="Q647" i="2"/>
  <c r="Q646" i="2"/>
  <c r="Q645" i="2"/>
  <c r="Q644" i="2"/>
  <c r="Q643" i="2"/>
  <c r="Q642" i="2"/>
  <c r="Q641" i="2"/>
  <c r="Q640" i="2"/>
  <c r="Q639" i="2"/>
  <c r="Q638" i="2"/>
  <c r="Q637" i="2"/>
  <c r="Q636" i="2"/>
  <c r="Q635" i="2"/>
  <c r="Q634" i="2"/>
  <c r="Q633" i="2"/>
  <c r="Q632" i="2"/>
  <c r="Q631" i="2"/>
  <c r="Q630" i="2"/>
  <c r="Q629" i="2"/>
  <c r="Q628" i="2"/>
  <c r="Q627" i="2"/>
  <c r="Q626" i="2"/>
  <c r="Q625" i="2"/>
  <c r="Q624" i="2"/>
  <c r="Q623" i="2"/>
  <c r="Q622" i="2"/>
  <c r="Q621" i="2"/>
  <c r="Q620" i="2"/>
  <c r="Q619" i="2"/>
  <c r="Q618" i="2"/>
  <c r="Q617" i="2"/>
  <c r="Q616" i="2"/>
  <c r="Q615" i="2"/>
  <c r="Q614" i="2"/>
  <c r="Q613" i="2"/>
  <c r="Q612" i="2"/>
  <c r="Q611" i="2"/>
  <c r="Q610" i="2"/>
  <c r="Q609" i="2"/>
  <c r="Q608" i="2"/>
  <c r="Q607" i="2"/>
  <c r="Q606" i="2"/>
  <c r="Q605" i="2"/>
  <c r="Q604" i="2"/>
  <c r="Q603" i="2"/>
  <c r="Q602" i="2"/>
  <c r="Q601" i="2"/>
  <c r="Q600" i="2"/>
  <c r="Q599" i="2"/>
  <c r="Q598" i="2"/>
  <c r="Q597" i="2"/>
  <c r="Q596" i="2"/>
  <c r="Q595" i="2"/>
  <c r="Q594" i="2"/>
  <c r="Q593" i="2"/>
  <c r="Q592" i="2"/>
  <c r="Q591" i="2"/>
  <c r="Q590" i="2"/>
  <c r="Q589" i="2"/>
  <c r="Q588" i="2"/>
  <c r="Q587" i="2"/>
  <c r="Q586" i="2"/>
  <c r="Q585" i="2"/>
  <c r="Q584" i="2"/>
  <c r="Q583" i="2"/>
  <c r="Q582" i="2"/>
  <c r="Q581" i="2"/>
  <c r="Q580" i="2"/>
  <c r="Q579" i="2"/>
  <c r="Q578" i="2"/>
  <c r="Q577" i="2"/>
  <c r="Q576" i="2"/>
  <c r="Q575" i="2"/>
  <c r="Q574" i="2"/>
  <c r="Q573" i="2"/>
  <c r="Q572" i="2"/>
  <c r="Q571" i="2"/>
  <c r="Q570" i="2"/>
  <c r="Q569" i="2"/>
  <c r="Q568" i="2"/>
  <c r="Q567" i="2"/>
  <c r="Q566" i="2"/>
  <c r="Q565" i="2"/>
  <c r="Q564" i="2"/>
  <c r="Q563" i="2"/>
  <c r="Q562" i="2"/>
  <c r="Q561" i="2"/>
  <c r="Q560" i="2"/>
  <c r="Q559" i="2"/>
  <c r="Q558" i="2"/>
  <c r="Q557" i="2"/>
  <c r="Q556" i="2"/>
  <c r="Q555" i="2"/>
  <c r="Q554" i="2"/>
  <c r="Q553" i="2"/>
  <c r="Q552" i="2"/>
  <c r="Q551" i="2"/>
  <c r="Q550" i="2"/>
  <c r="Q549" i="2"/>
  <c r="Q548" i="2"/>
  <c r="Q547" i="2"/>
  <c r="Q546" i="2"/>
  <c r="Q545" i="2"/>
  <c r="Q544" i="2"/>
  <c r="Q543" i="2"/>
  <c r="Q542" i="2"/>
  <c r="Q541" i="2"/>
  <c r="Q540" i="2"/>
  <c r="Q539" i="2"/>
  <c r="Q538" i="2"/>
  <c r="Q537" i="2"/>
  <c r="Q536" i="2"/>
  <c r="Q535" i="2"/>
  <c r="Q534" i="2"/>
  <c r="Q533" i="2"/>
  <c r="Q532" i="2"/>
  <c r="Q531" i="2"/>
  <c r="Q530" i="2"/>
  <c r="Q529" i="2"/>
  <c r="Q528" i="2"/>
  <c r="Q527" i="2"/>
  <c r="Q526" i="2"/>
  <c r="Q525" i="2"/>
  <c r="Q524" i="2"/>
  <c r="Q523" i="2"/>
  <c r="Q522" i="2"/>
  <c r="Q521" i="2"/>
  <c r="Q520" i="2"/>
  <c r="Q519" i="2"/>
  <c r="Q518" i="2"/>
  <c r="Q517" i="2"/>
  <c r="Q516" i="2"/>
  <c r="Q515" i="2"/>
  <c r="Q514" i="2"/>
  <c r="Q513" i="2"/>
  <c r="Q512" i="2"/>
  <c r="Q511" i="2"/>
  <c r="Q510" i="2"/>
  <c r="Q509" i="2"/>
  <c r="Q508" i="2"/>
  <c r="Q507" i="2"/>
  <c r="Q506" i="2"/>
  <c r="Q505" i="2"/>
  <c r="Q504" i="2"/>
  <c r="Q503" i="2"/>
  <c r="Q502" i="2"/>
  <c r="Q501" i="2"/>
  <c r="Q500" i="2"/>
  <c r="Q499" i="2"/>
  <c r="Q498" i="2"/>
  <c r="Q497" i="2"/>
  <c r="Q496" i="2"/>
  <c r="Q495" i="2"/>
  <c r="Q494" i="2"/>
  <c r="Q493" i="2"/>
  <c r="Q492" i="2"/>
  <c r="Q491" i="2"/>
  <c r="Q490" i="2"/>
  <c r="Q489" i="2"/>
  <c r="Q488" i="2"/>
  <c r="Q487" i="2"/>
  <c r="Q486" i="2"/>
  <c r="Q485" i="2"/>
  <c r="Q484" i="2"/>
  <c r="Q483" i="2"/>
  <c r="Q482" i="2"/>
  <c r="Q481" i="2"/>
  <c r="Q480" i="2"/>
  <c r="Q479" i="2"/>
  <c r="Q478" i="2"/>
  <c r="Q477" i="2"/>
  <c r="Q476" i="2"/>
  <c r="Q475" i="2"/>
  <c r="Q474" i="2"/>
  <c r="Q473" i="2"/>
  <c r="Q472" i="2"/>
  <c r="Q471" i="2"/>
  <c r="Q470" i="2"/>
  <c r="Q469" i="2"/>
  <c r="Q468" i="2"/>
  <c r="Q467" i="2"/>
  <c r="Q466" i="2"/>
  <c r="Q465" i="2"/>
  <c r="Q464" i="2"/>
  <c r="Q463" i="2"/>
  <c r="Q462" i="2"/>
  <c r="Q461" i="2"/>
  <c r="Q460" i="2"/>
  <c r="Q459" i="2"/>
  <c r="Q458" i="2"/>
  <c r="Q457" i="2"/>
  <c r="Q456" i="2"/>
  <c r="Q455" i="2"/>
  <c r="Q454" i="2"/>
  <c r="Q453" i="2"/>
  <c r="Q452" i="2"/>
  <c r="Q451" i="2"/>
  <c r="Q450" i="2"/>
  <c r="Q449" i="2"/>
  <c r="Q448" i="2"/>
  <c r="Q447" i="2"/>
  <c r="Q446" i="2"/>
  <c r="Q445" i="2"/>
  <c r="Q444" i="2"/>
  <c r="Q443" i="2"/>
  <c r="Q442" i="2"/>
  <c r="Q441" i="2"/>
  <c r="Q440" i="2"/>
  <c r="Q439" i="2"/>
  <c r="Q438" i="2"/>
  <c r="Q437" i="2"/>
  <c r="Q436" i="2"/>
  <c r="Q435" i="2"/>
  <c r="Q434" i="2"/>
  <c r="Q433" i="2"/>
  <c r="Q432" i="2"/>
  <c r="Q431" i="2"/>
  <c r="Q430" i="2"/>
  <c r="Q429" i="2"/>
  <c r="Q428" i="2"/>
  <c r="Q427" i="2"/>
  <c r="Q426" i="2"/>
  <c r="Q425" i="2"/>
  <c r="Q424" i="2"/>
  <c r="Q423" i="2"/>
  <c r="Q422" i="2"/>
  <c r="Q421" i="2"/>
  <c r="Q420" i="2"/>
  <c r="Q419" i="2"/>
  <c r="Q418" i="2"/>
  <c r="Q417" i="2"/>
  <c r="Q416" i="2"/>
  <c r="Q415" i="2"/>
  <c r="Q414" i="2"/>
  <c r="Q413" i="2"/>
  <c r="Q412" i="2"/>
  <c r="Q411" i="2"/>
  <c r="Q410" i="2"/>
  <c r="Q409" i="2"/>
  <c r="Q408" i="2"/>
  <c r="Q407" i="2"/>
  <c r="Q406" i="2"/>
  <c r="Q405" i="2"/>
  <c r="Q404" i="2"/>
  <c r="Q403" i="2"/>
  <c r="Q402" i="2"/>
  <c r="Q401" i="2"/>
  <c r="Q400" i="2"/>
  <c r="Q399" i="2"/>
  <c r="Q398" i="2"/>
  <c r="Q397" i="2"/>
  <c r="Q396" i="2"/>
  <c r="Q395" i="2"/>
  <c r="Q394" i="2"/>
  <c r="Q393" i="2"/>
  <c r="Q392" i="2"/>
  <c r="Q391" i="2"/>
  <c r="Q390" i="2"/>
  <c r="Q389" i="2"/>
  <c r="Q388" i="2"/>
  <c r="Q387" i="2"/>
  <c r="Q386" i="2"/>
  <c r="Q385" i="2"/>
  <c r="Q384" i="2"/>
  <c r="Q383" i="2"/>
  <c r="Q382" i="2"/>
  <c r="Q381" i="2"/>
  <c r="Q380" i="2"/>
  <c r="Q379" i="2"/>
  <c r="Q378" i="2"/>
  <c r="Q377" i="2"/>
  <c r="Q376" i="2"/>
  <c r="Q375" i="2"/>
  <c r="Q374" i="2"/>
  <c r="Q373" i="2"/>
  <c r="Q372" i="2"/>
  <c r="Q371" i="2"/>
  <c r="Q370" i="2"/>
  <c r="Q369" i="2"/>
  <c r="Q368" i="2"/>
  <c r="Q367" i="2"/>
  <c r="Q366" i="2"/>
  <c r="Q365" i="2"/>
  <c r="Q364" i="2"/>
  <c r="Q363" i="2"/>
  <c r="Q362" i="2"/>
  <c r="Q361" i="2"/>
  <c r="Q360" i="2"/>
  <c r="Q359" i="2"/>
  <c r="Q358" i="2"/>
  <c r="Q357" i="2"/>
  <c r="Q356" i="2"/>
  <c r="Q355" i="2"/>
  <c r="Q354" i="2"/>
  <c r="Q353" i="2"/>
  <c r="Q352" i="2"/>
  <c r="Q351" i="2"/>
  <c r="Q350" i="2"/>
  <c r="Q349" i="2"/>
  <c r="Q348" i="2"/>
  <c r="Q347" i="2"/>
  <c r="Q346" i="2"/>
  <c r="Q345" i="2"/>
  <c r="Q344" i="2"/>
  <c r="Q343" i="2"/>
  <c r="Q342" i="2"/>
  <c r="Q341" i="2"/>
  <c r="Q340" i="2"/>
  <c r="Q339" i="2"/>
  <c r="Q338" i="2"/>
  <c r="Q337" i="2"/>
  <c r="Q336" i="2"/>
  <c r="Q335" i="2"/>
  <c r="Q334" i="2"/>
  <c r="Q333" i="2"/>
  <c r="Q332" i="2"/>
  <c r="Q331" i="2"/>
  <c r="Q330" i="2"/>
  <c r="Q329" i="2"/>
  <c r="Q328" i="2"/>
  <c r="Q327" i="2"/>
  <c r="Q326" i="2"/>
  <c r="Q325" i="2"/>
  <c r="Q324" i="2"/>
  <c r="Q323" i="2"/>
  <c r="Q322" i="2"/>
  <c r="Q321" i="2"/>
  <c r="Q320" i="2"/>
  <c r="Q319" i="2"/>
  <c r="Q318" i="2"/>
  <c r="Q317" i="2"/>
  <c r="Q316" i="2"/>
  <c r="Q315" i="2"/>
  <c r="Q314" i="2"/>
  <c r="Q313" i="2"/>
  <c r="Q312" i="2"/>
  <c r="Q311" i="2"/>
  <c r="Q310" i="2"/>
  <c r="Q309" i="2"/>
  <c r="Q308" i="2"/>
  <c r="Q307" i="2"/>
  <c r="Q306" i="2"/>
  <c r="Q305" i="2"/>
  <c r="Q304" i="2"/>
  <c r="Q303" i="2"/>
  <c r="Q302" i="2"/>
  <c r="Q301" i="2"/>
  <c r="Q300" i="2"/>
  <c r="Q299" i="2"/>
  <c r="Q298" i="2"/>
  <c r="Q297" i="2"/>
  <c r="Q296" i="2"/>
  <c r="Q295" i="2"/>
  <c r="Q294" i="2"/>
  <c r="Q293" i="2"/>
  <c r="Q292" i="2"/>
  <c r="Q291" i="2"/>
  <c r="Q290" i="2"/>
  <c r="Q289" i="2"/>
  <c r="Q288" i="2"/>
  <c r="Q287" i="2"/>
  <c r="Q286" i="2"/>
  <c r="Q285" i="2"/>
  <c r="Q284" i="2"/>
  <c r="Q283" i="2"/>
  <c r="Q282" i="2"/>
  <c r="Q281" i="2"/>
  <c r="Q280" i="2"/>
  <c r="Q279" i="2"/>
  <c r="Q278" i="2"/>
  <c r="Q277" i="2"/>
  <c r="Q276" i="2"/>
  <c r="Q275" i="2"/>
  <c r="Q274" i="2"/>
  <c r="Q273" i="2"/>
  <c r="Q272" i="2"/>
  <c r="Q271" i="2"/>
  <c r="Q270" i="2"/>
  <c r="Q269" i="2"/>
  <c r="Q268" i="2"/>
  <c r="Q267" i="2"/>
  <c r="Q266" i="2"/>
  <c r="Q265" i="2"/>
  <c r="Q264" i="2"/>
  <c r="Q263" i="2"/>
  <c r="Q262" i="2"/>
  <c r="Q261" i="2"/>
  <c r="Q260" i="2"/>
  <c r="Q259" i="2"/>
  <c r="Q258" i="2"/>
  <c r="Q257" i="2"/>
  <c r="Q256" i="2"/>
  <c r="Q255" i="2"/>
  <c r="Q254" i="2"/>
  <c r="Q253" i="2"/>
  <c r="Q252" i="2"/>
  <c r="Q251" i="2"/>
  <c r="Q250" i="2"/>
  <c r="Q249" i="2"/>
  <c r="Q248" i="2"/>
  <c r="Q247" i="2"/>
  <c r="Q246" i="2"/>
  <c r="Q245" i="2"/>
  <c r="Q244" i="2"/>
  <c r="Q243" i="2"/>
  <c r="Q242" i="2"/>
  <c r="Q241" i="2"/>
  <c r="Q240" i="2"/>
  <c r="Q239" i="2"/>
  <c r="Q238" i="2"/>
  <c r="Q237" i="2"/>
  <c r="Q236" i="2"/>
  <c r="Q235" i="2"/>
  <c r="Q234" i="2"/>
  <c r="Q233" i="2"/>
  <c r="Q232" i="2"/>
  <c r="Q231" i="2"/>
  <c r="Q230" i="2"/>
  <c r="Q229" i="2"/>
  <c r="Q228" i="2"/>
  <c r="Q227" i="2"/>
  <c r="Q226" i="2"/>
  <c r="Q225" i="2"/>
  <c r="Q224" i="2"/>
  <c r="Q223" i="2"/>
  <c r="Q222" i="2"/>
  <c r="Q221" i="2"/>
  <c r="Q220" i="2"/>
  <c r="Q219" i="2"/>
  <c r="Q218" i="2"/>
  <c r="Q217" i="2"/>
  <c r="Q216" i="2"/>
  <c r="Q215" i="2"/>
  <c r="Q214" i="2"/>
  <c r="Q213" i="2"/>
  <c r="Q212" i="2"/>
  <c r="Q211" i="2"/>
  <c r="Q210" i="2"/>
  <c r="Q209" i="2"/>
  <c r="Q208" i="2"/>
  <c r="Q207" i="2"/>
  <c r="Q206" i="2"/>
  <c r="Q205" i="2"/>
  <c r="Q204" i="2"/>
  <c r="Q203" i="2"/>
  <c r="Q202" i="2"/>
  <c r="Q201" i="2"/>
  <c r="Q200" i="2"/>
  <c r="Q199" i="2"/>
  <c r="Q198" i="2"/>
  <c r="Q197" i="2"/>
  <c r="Q196" i="2"/>
  <c r="Q195" i="2"/>
  <c r="Q194" i="2"/>
  <c r="Q193" i="2"/>
  <c r="Q192" i="2"/>
  <c r="Q191" i="2"/>
  <c r="Q190" i="2"/>
  <c r="Q189" i="2"/>
  <c r="Q188" i="2"/>
  <c r="Q187" i="2"/>
  <c r="Q186" i="2"/>
  <c r="Q185" i="2"/>
  <c r="Q184" i="2"/>
  <c r="Q183" i="2"/>
  <c r="Q182" i="2"/>
  <c r="Q181" i="2"/>
  <c r="Q180" i="2"/>
  <c r="Q179" i="2"/>
  <c r="Q178" i="2"/>
  <c r="Q177" i="2"/>
  <c r="Q176" i="2"/>
  <c r="Q175" i="2"/>
  <c r="Q174" i="2"/>
  <c r="Q173" i="2"/>
  <c r="Q172" i="2"/>
  <c r="Q171" i="2"/>
  <c r="Q170" i="2"/>
  <c r="Q169" i="2"/>
  <c r="Q168" i="2"/>
  <c r="Q167" i="2"/>
  <c r="Q166" i="2"/>
  <c r="Q165" i="2"/>
  <c r="Q164" i="2"/>
  <c r="Q163" i="2"/>
  <c r="Q162" i="2"/>
  <c r="Q161" i="2"/>
  <c r="Q160" i="2"/>
  <c r="Q159" i="2"/>
  <c r="Q158" i="2"/>
  <c r="Q157" i="2"/>
  <c r="Q156" i="2"/>
  <c r="Q155" i="2"/>
  <c r="Q154" i="2"/>
  <c r="Q153" i="2"/>
  <c r="Q152" i="2"/>
  <c r="Q151" i="2"/>
  <c r="Q150" i="2"/>
  <c r="Q149" i="2"/>
  <c r="Q148" i="2"/>
  <c r="Q147" i="2"/>
  <c r="Q146" i="2"/>
  <c r="Q145" i="2"/>
  <c r="Q144" i="2"/>
  <c r="Q143" i="2"/>
  <c r="Q142" i="2"/>
  <c r="Q141" i="2"/>
  <c r="Q140" i="2"/>
  <c r="Q139" i="2"/>
  <c r="Q138" i="2"/>
  <c r="Q137" i="2"/>
  <c r="Q136" i="2"/>
  <c r="Q135" i="2"/>
  <c r="Q134" i="2"/>
  <c r="Q133" i="2"/>
  <c r="Q132" i="2"/>
  <c r="Q131" i="2"/>
  <c r="Q130" i="2"/>
  <c r="Q129" i="2"/>
  <c r="Q128" i="2"/>
  <c r="Q127" i="2"/>
  <c r="Q126" i="2"/>
  <c r="Q125" i="2"/>
  <c r="Q124" i="2"/>
  <c r="Q123" i="2"/>
  <c r="Q122" i="2"/>
  <c r="Q121" i="2"/>
  <c r="Q120" i="2"/>
  <c r="Q119" i="2"/>
  <c r="Q118" i="2"/>
  <c r="Q117" i="2"/>
  <c r="Q116" i="2"/>
  <c r="Q115" i="2"/>
  <c r="Q114" i="2"/>
  <c r="Q113" i="2"/>
  <c r="Q112" i="2"/>
  <c r="Q111" i="2"/>
  <c r="Q110" i="2"/>
  <c r="Q109" i="2"/>
  <c r="Q108" i="2"/>
  <c r="Q107" i="2"/>
  <c r="Q106" i="2"/>
  <c r="Q105" i="2"/>
  <c r="Q104" i="2"/>
  <c r="Q103" i="2"/>
  <c r="Q102" i="2"/>
  <c r="Q101" i="2"/>
  <c r="Q100" i="2"/>
  <c r="Q99" i="2"/>
  <c r="Q98" i="2"/>
  <c r="Q97" i="2"/>
  <c r="Q96" i="2"/>
  <c r="Q95" i="2"/>
  <c r="Q94" i="2"/>
  <c r="Q93" i="2"/>
  <c r="Q92" i="2"/>
  <c r="Q91" i="2"/>
  <c r="Q90" i="2"/>
  <c r="Q89" i="2"/>
  <c r="Q88" i="2"/>
  <c r="Q87" i="2"/>
  <c r="Q86" i="2"/>
  <c r="Q85" i="2"/>
  <c r="Q84" i="2"/>
  <c r="Q83" i="2"/>
  <c r="Q82" i="2"/>
  <c r="Q81" i="2"/>
  <c r="Q80" i="2"/>
  <c r="Q79" i="2"/>
  <c r="Q78" i="2"/>
  <c r="Q77" i="2"/>
  <c r="Q76" i="2"/>
  <c r="Q75" i="2"/>
  <c r="Q74" i="2"/>
  <c r="Q73" i="2"/>
  <c r="Q72" i="2"/>
  <c r="Q71" i="2"/>
  <c r="Q70" i="2"/>
  <c r="Q69" i="2"/>
  <c r="Q68" i="2"/>
  <c r="Q67" i="2"/>
  <c r="Q66" i="2"/>
  <c r="Q65" i="2"/>
  <c r="Q64" i="2"/>
  <c r="Q63" i="2"/>
  <c r="Q62" i="2"/>
  <c r="Q61" i="2"/>
  <c r="Q60" i="2"/>
  <c r="Q59" i="2"/>
  <c r="Q58" i="2"/>
  <c r="Q57" i="2"/>
  <c r="Q56" i="2"/>
  <c r="Q55" i="2"/>
  <c r="Q54" i="2"/>
  <c r="Q53" i="2"/>
  <c r="Q52" i="2"/>
  <c r="Q51" i="2"/>
  <c r="Q50" i="2"/>
  <c r="Q49" i="2"/>
  <c r="Q48" i="2"/>
  <c r="Q47" i="2"/>
  <c r="Q46" i="2"/>
  <c r="Q45" i="2"/>
  <c r="Q44" i="2"/>
  <c r="Q43" i="2"/>
  <c r="Q42" i="2"/>
  <c r="Q41" i="2"/>
  <c r="Q40" i="2"/>
  <c r="Q39" i="2"/>
  <c r="Q38" i="2"/>
  <c r="Q37" i="2"/>
  <c r="Q36" i="2"/>
  <c r="Q35" i="2"/>
  <c r="Q34" i="2"/>
  <c r="Q33" i="2"/>
  <c r="Q32" i="2"/>
  <c r="Q31" i="2"/>
  <c r="Q30" i="2"/>
  <c r="Q29" i="2"/>
  <c r="Q28" i="2"/>
  <c r="Q27" i="2"/>
  <c r="Q26" i="2"/>
  <c r="Q25" i="2"/>
  <c r="Q24" i="2"/>
  <c r="Q23" i="2"/>
  <c r="Q22" i="2"/>
  <c r="Q21" i="2"/>
  <c r="Q20" i="2"/>
  <c r="Q19" i="2"/>
  <c r="Q18" i="2"/>
  <c r="Q17" i="2"/>
  <c r="Q16" i="2"/>
  <c r="Q15" i="2"/>
  <c r="Q14" i="2"/>
  <c r="Q13" i="2"/>
  <c r="Q12" i="2"/>
  <c r="Q11" i="2"/>
  <c r="R6" i="2"/>
  <c r="R7" i="2"/>
  <c r="R11" i="2"/>
  <c r="R13" i="2"/>
  <c r="R30" i="2"/>
  <c r="R31" i="2"/>
  <c r="R40" i="2"/>
  <c r="R44" i="2"/>
  <c r="R59" i="2" s="1"/>
  <c r="R48" i="2"/>
  <c r="R78" i="2"/>
  <c r="R83" i="2"/>
  <c r="R84" i="2"/>
  <c r="R85" i="2"/>
  <c r="R23" i="2" s="1"/>
  <c r="R87" i="2"/>
  <c r="R26" i="2" s="1"/>
  <c r="R88" i="2"/>
  <c r="R27" i="2" s="1"/>
  <c r="R91" i="2"/>
  <c r="R97" i="2"/>
  <c r="R98" i="2"/>
  <c r="R105" i="2"/>
  <c r="R106" i="2"/>
  <c r="R80" i="2" s="1"/>
  <c r="R113" i="2"/>
  <c r="R117" i="2"/>
  <c r="R120" i="2"/>
  <c r="R122" i="2"/>
  <c r="R127" i="2"/>
  <c r="R130" i="2"/>
  <c r="R131" i="2"/>
  <c r="R146" i="2"/>
  <c r="R158" i="2"/>
  <c r="R159" i="2"/>
  <c r="R169" i="2"/>
  <c r="R172" i="2"/>
  <c r="R185" i="2"/>
  <c r="R186" i="2"/>
  <c r="R197" i="2"/>
  <c r="R433" i="2" s="1"/>
  <c r="R203" i="2"/>
  <c r="R204" i="2"/>
  <c r="R205" i="2"/>
  <c r="R210" i="2"/>
  <c r="R209" i="2" s="1"/>
  <c r="R211" i="2"/>
  <c r="R212" i="2"/>
  <c r="R213" i="2"/>
  <c r="R214" i="2"/>
  <c r="R215" i="2"/>
  <c r="R216" i="2"/>
  <c r="R217" i="2"/>
  <c r="R218" i="2"/>
  <c r="R219" i="2"/>
  <c r="R220" i="2"/>
  <c r="R221" i="2"/>
  <c r="R222" i="2"/>
  <c r="R224" i="2"/>
  <c r="R231" i="2"/>
  <c r="R255" i="2"/>
  <c r="R256" i="2"/>
  <c r="R242" i="2" s="1"/>
  <c r="R257" i="2"/>
  <c r="R243" i="2" s="1"/>
  <c r="R258" i="2"/>
  <c r="R244" i="2" s="1"/>
  <c r="R259" i="2"/>
  <c r="R260" i="2"/>
  <c r="R246" i="2" s="1"/>
  <c r="R268" i="2"/>
  <c r="R279" i="2"/>
  <c r="R437" i="2" s="1"/>
  <c r="R285" i="2"/>
  <c r="R283" i="2" s="1"/>
  <c r="R286" i="2"/>
  <c r="R287" i="2"/>
  <c r="R291" i="2"/>
  <c r="R295" i="2"/>
  <c r="R290" i="2" s="1"/>
  <c r="R301" i="2"/>
  <c r="R305" i="2"/>
  <c r="R313" i="2"/>
  <c r="R314" i="2"/>
  <c r="R315" i="2"/>
  <c r="R317" i="2"/>
  <c r="R318" i="2"/>
  <c r="R319" i="2"/>
  <c r="R320" i="2"/>
  <c r="R321" i="2"/>
  <c r="R312" i="2" s="1"/>
  <c r="R331" i="2"/>
  <c r="R342" i="2"/>
  <c r="R348" i="2"/>
  <c r="R346" i="2" s="1"/>
  <c r="R349" i="2"/>
  <c r="R350" i="2"/>
  <c r="R363" i="2"/>
  <c r="R367" i="2"/>
  <c r="R362" i="2" s="1"/>
  <c r="R387" i="2"/>
  <c r="R391" i="2"/>
  <c r="R389" i="2" s="1"/>
  <c r="R397" i="2"/>
  <c r="R402" i="2"/>
  <c r="R404" i="2"/>
  <c r="R414" i="2"/>
  <c r="R445" i="2" s="1"/>
  <c r="R420" i="2"/>
  <c r="R421" i="2"/>
  <c r="R422" i="2"/>
  <c r="R429" i="2"/>
  <c r="R441" i="2"/>
  <c r="R451" i="2"/>
  <c r="R454" i="2"/>
  <c r="R103" i="2" s="1"/>
  <c r="R455" i="2"/>
  <c r="R112" i="2" s="1"/>
  <c r="R111" i="2" s="1"/>
  <c r="R461" i="2"/>
  <c r="R460" i="2" s="1"/>
  <c r="R459" i="2" s="1"/>
  <c r="R464" i="2"/>
  <c r="R471" i="2"/>
  <c r="R470" i="2" s="1"/>
  <c r="R477" i="2"/>
  <c r="R480" i="2"/>
  <c r="R488" i="2"/>
  <c r="R487" i="2" s="1"/>
  <c r="R495" i="2"/>
  <c r="R494" i="2" s="1"/>
  <c r="R493" i="2" s="1"/>
  <c r="R492" i="2" s="1"/>
  <c r="R497" i="2"/>
  <c r="R501" i="2"/>
  <c r="R505" i="2"/>
  <c r="R512" i="2"/>
  <c r="R511" i="2" s="1"/>
  <c r="R518" i="2"/>
  <c r="R517" i="2" s="1"/>
  <c r="R516" i="2" s="1"/>
  <c r="R521" i="2"/>
  <c r="R525" i="2"/>
  <c r="R529" i="2"/>
  <c r="R119" i="2" s="1"/>
  <c r="R537" i="2"/>
  <c r="R536" i="2" s="1"/>
  <c r="R143" i="2" s="1"/>
  <c r="R544" i="2"/>
  <c r="R543" i="2" s="1"/>
  <c r="R145" i="2" s="1"/>
  <c r="R150" i="2" s="1"/>
  <c r="R151" i="2" s="1"/>
  <c r="R554" i="2"/>
  <c r="R558" i="2"/>
  <c r="R557" i="2" s="1"/>
  <c r="R1523" i="2" s="1"/>
  <c r="R562" i="2"/>
  <c r="R569" i="2"/>
  <c r="R568" i="2" s="1"/>
  <c r="R573" i="2"/>
  <c r="R572" i="2" s="1"/>
  <c r="R577" i="2"/>
  <c r="R585" i="2"/>
  <c r="R182" i="2" s="1"/>
  <c r="R589" i="2"/>
  <c r="R590" i="2"/>
  <c r="R593" i="2"/>
  <c r="R170" i="2" s="1"/>
  <c r="R597" i="2"/>
  <c r="R171" i="2" s="1"/>
  <c r="R601" i="2"/>
  <c r="R184" i="2" s="1"/>
  <c r="R608" i="2"/>
  <c r="R612" i="2"/>
  <c r="R611" i="2" s="1"/>
  <c r="R607" i="2" s="1"/>
  <c r="R616" i="2"/>
  <c r="R620" i="2"/>
  <c r="R624" i="2"/>
  <c r="R634" i="2"/>
  <c r="R633" i="2" s="1"/>
  <c r="R641" i="2"/>
  <c r="R648" i="2"/>
  <c r="R649" i="2"/>
  <c r="R656" i="2"/>
  <c r="R665" i="2"/>
  <c r="R675" i="2"/>
  <c r="R673" i="2" s="1"/>
  <c r="R681" i="2"/>
  <c r="R679" i="2" s="1"/>
  <c r="R687" i="2"/>
  <c r="R685" i="2" s="1"/>
  <c r="R264" i="2" s="1"/>
  <c r="R250" i="2" s="1"/>
  <c r="R693" i="2"/>
  <c r="R691" i="2" s="1"/>
  <c r="R699" i="2"/>
  <c r="R697" i="2" s="1"/>
  <c r="R266" i="2" s="1"/>
  <c r="R252" i="2" s="1"/>
  <c r="R703" i="2"/>
  <c r="R709" i="2"/>
  <c r="R719" i="2"/>
  <c r="R717" i="2" s="1"/>
  <c r="R725" i="2"/>
  <c r="R723" i="2" s="1"/>
  <c r="R731" i="2"/>
  <c r="R729" i="2" s="1"/>
  <c r="R737" i="2"/>
  <c r="R735" i="2" s="1"/>
  <c r="R743" i="2"/>
  <c r="R741" i="2" s="1"/>
  <c r="R747" i="2"/>
  <c r="R756" i="2"/>
  <c r="R355" i="2" s="1"/>
  <c r="R761" i="2"/>
  <c r="R359" i="2" s="1"/>
  <c r="R766" i="2"/>
  <c r="R356" i="2" s="1"/>
  <c r="R771" i="2"/>
  <c r="R357" i="2" s="1"/>
  <c r="R776" i="2"/>
  <c r="R360" i="2" s="1"/>
  <c r="R781" i="2"/>
  <c r="R361" i="2" s="1"/>
  <c r="R786" i="2"/>
  <c r="R795" i="2"/>
  <c r="R382" i="2" s="1"/>
  <c r="R800" i="2"/>
  <c r="R805" i="2"/>
  <c r="R383" i="2" s="1"/>
  <c r="R375" i="2" s="1"/>
  <c r="R810" i="2"/>
  <c r="R384" i="2" s="1"/>
  <c r="R815" i="2"/>
  <c r="R820" i="2"/>
  <c r="R388" i="2" s="1"/>
  <c r="R825" i="2"/>
  <c r="R844" i="2"/>
  <c r="R845" i="2"/>
  <c r="R840" i="2" s="1"/>
  <c r="R839" i="2" s="1"/>
  <c r="R1511" i="2" s="1"/>
  <c r="R1510" i="2" s="1"/>
  <c r="R846" i="2"/>
  <c r="R841" i="2" s="1"/>
  <c r="R836" i="2" s="1"/>
  <c r="R847" i="2"/>
  <c r="R842" i="2" s="1"/>
  <c r="R848" i="2"/>
  <c r="R843" i="2" s="1"/>
  <c r="R849" i="2"/>
  <c r="R855" i="2"/>
  <c r="R856" i="2"/>
  <c r="R857" i="2"/>
  <c r="R858" i="2"/>
  <c r="R860" i="2"/>
  <c r="R859" i="2" s="1"/>
  <c r="R1592" i="2" s="1"/>
  <c r="R861" i="2"/>
  <c r="R862" i="2"/>
  <c r="R863" i="2"/>
  <c r="R864" i="2"/>
  <c r="R330" i="2" s="1"/>
  <c r="R325" i="2" s="1"/>
  <c r="R869" i="2"/>
  <c r="R881" i="2"/>
  <c r="R880" i="2" s="1"/>
  <c r="R882" i="2"/>
  <c r="R883" i="2"/>
  <c r="R884" i="2"/>
  <c r="R886" i="2"/>
  <c r="R887" i="2"/>
  <c r="R885" i="2" s="1"/>
  <c r="R1398" i="2" s="1"/>
  <c r="R888" i="2"/>
  <c r="R889" i="2"/>
  <c r="R890" i="2"/>
  <c r="R892" i="2"/>
  <c r="R891" i="2" s="1"/>
  <c r="R1399" i="2" s="1"/>
  <c r="R893" i="2"/>
  <c r="R894" i="2"/>
  <c r="R895" i="2"/>
  <c r="R897" i="2"/>
  <c r="R898" i="2"/>
  <c r="R899" i="2"/>
  <c r="R900" i="2"/>
  <c r="R901" i="2"/>
  <c r="R903" i="2"/>
  <c r="R902" i="2" s="1"/>
  <c r="R1401" i="2" s="1"/>
  <c r="R904" i="2"/>
  <c r="R905" i="2"/>
  <c r="R906" i="2"/>
  <c r="R911" i="2"/>
  <c r="R916" i="2"/>
  <c r="R922" i="2"/>
  <c r="R927" i="2"/>
  <c r="R933" i="2"/>
  <c r="R941" i="2"/>
  <c r="R946" i="2"/>
  <c r="R952" i="2"/>
  <c r="R957" i="2"/>
  <c r="R963" i="2"/>
  <c r="R971" i="2"/>
  <c r="R976" i="2"/>
  <c r="R982" i="2"/>
  <c r="R987" i="2"/>
  <c r="R993" i="2"/>
  <c r="R1001" i="2"/>
  <c r="R1006" i="2"/>
  <c r="R1000" i="2" s="1"/>
  <c r="R1012" i="2"/>
  <c r="R1017" i="2"/>
  <c r="R1023" i="2"/>
  <c r="R1031" i="2"/>
  <c r="R1036" i="2"/>
  <c r="R1042" i="2"/>
  <c r="R1047" i="2"/>
  <c r="R1053" i="2"/>
  <c r="R1061" i="2"/>
  <c r="R1063" i="2"/>
  <c r="R1062" i="2" s="1"/>
  <c r="R1064" i="2"/>
  <c r="R1065" i="2"/>
  <c r="R1182" i="2" s="1"/>
  <c r="R1066" i="2"/>
  <c r="R1185" i="2" s="1"/>
  <c r="R1069" i="2"/>
  <c r="R1186" i="2" s="1"/>
  <c r="R1072" i="2"/>
  <c r="R1076" i="2"/>
  <c r="R1187" i="2" s="1"/>
  <c r="R1079" i="2"/>
  <c r="R1084" i="2"/>
  <c r="R1085" i="2"/>
  <c r="R1088" i="2"/>
  <c r="R1089" i="2" s="1"/>
  <c r="R1090" i="2"/>
  <c r="R1093" i="2"/>
  <c r="R1098" i="2"/>
  <c r="R1111" i="2"/>
  <c r="R1112" i="2"/>
  <c r="R1116" i="2"/>
  <c r="R1121" i="2"/>
  <c r="R1125" i="2"/>
  <c r="R1129" i="2"/>
  <c r="R1152" i="2"/>
  <c r="R1157" i="2"/>
  <c r="R1158" i="2"/>
  <c r="R1163" i="2"/>
  <c r="R1162" i="2" s="1"/>
  <c r="R1166" i="2"/>
  <c r="R1165" i="2" s="1"/>
  <c r="R1169" i="2"/>
  <c r="R1168" i="2" s="1"/>
  <c r="R1171" i="2"/>
  <c r="R1176" i="2"/>
  <c r="R1189" i="2" s="1"/>
  <c r="R1188" i="2"/>
  <c r="R1195" i="2"/>
  <c r="R1201" i="2"/>
  <c r="R1206" i="2"/>
  <c r="R1212" i="2"/>
  <c r="R1217" i="2"/>
  <c r="R1218" i="2"/>
  <c r="R1219" i="2"/>
  <c r="R1220" i="2"/>
  <c r="R1221" i="2"/>
  <c r="R1222" i="2"/>
  <c r="R1224" i="2"/>
  <c r="R1225" i="2"/>
  <c r="R1226" i="2"/>
  <c r="R1227" i="2"/>
  <c r="R1232" i="2"/>
  <c r="R1241" i="2"/>
  <c r="R1246" i="2"/>
  <c r="R1251" i="2"/>
  <c r="R1276" i="2"/>
  <c r="R1278" i="2"/>
  <c r="R1279" i="2"/>
  <c r="R1280" i="2"/>
  <c r="R1281" i="2"/>
  <c r="R1285" i="2"/>
  <c r="R1293" i="2"/>
  <c r="R1395" i="2" s="1"/>
  <c r="R1311" i="2"/>
  <c r="R1312" i="2"/>
  <c r="R1314" i="2"/>
  <c r="R1323" i="2"/>
  <c r="R1324" i="2"/>
  <c r="R1328" i="2" s="1"/>
  <c r="R1340" i="2"/>
  <c r="R1339" i="2" s="1"/>
  <c r="R1343" i="2"/>
  <c r="R1345" i="2"/>
  <c r="R1355" i="2"/>
  <c r="R1354" i="2" s="1"/>
  <c r="R1353" i="2" s="1"/>
  <c r="R1352" i="2" s="1"/>
  <c r="R1351" i="2" s="1"/>
  <c r="R1358" i="2"/>
  <c r="R1360" i="2"/>
  <c r="R1370" i="2"/>
  <c r="R1373" i="2"/>
  <c r="R1375" i="2"/>
  <c r="R1382" i="2"/>
  <c r="R1402" i="2"/>
  <c r="R1405" i="2"/>
  <c r="R1414" i="2"/>
  <c r="R1423" i="2"/>
  <c r="R1429" i="2"/>
  <c r="R1430" i="2"/>
  <c r="R1432" i="2"/>
  <c r="R1431" i="2" s="1"/>
  <c r="R1433" i="2"/>
  <c r="R1435" i="2"/>
  <c r="R1436" i="2"/>
  <c r="R1426" i="2" s="1"/>
  <c r="R1437" i="2"/>
  <c r="R1439" i="2"/>
  <c r="R1440" i="2"/>
  <c r="R1442" i="2"/>
  <c r="R1443" i="2"/>
  <c r="R1444" i="2"/>
  <c r="R1447" i="2"/>
  <c r="R1454" i="2"/>
  <c r="R1460" i="2"/>
  <c r="R1466" i="2"/>
  <c r="R1482" i="2"/>
  <c r="R1500" i="2" s="1"/>
  <c r="R1509" i="2" s="1"/>
  <c r="R1491" i="2"/>
  <c r="R1512" i="2"/>
  <c r="R1520" i="2"/>
  <c r="R1526" i="2"/>
  <c r="R1529" i="2"/>
  <c r="R1556" i="2"/>
  <c r="R1564" i="2"/>
  <c r="R1563" i="2" s="1"/>
  <c r="R1565" i="2"/>
  <c r="R1567" i="2"/>
  <c r="R1566" i="2" s="1"/>
  <c r="R1568" i="2"/>
  <c r="R1571" i="2"/>
  <c r="R1570" i="2" s="1"/>
  <c r="R1572" i="2"/>
  <c r="R1580" i="2" s="1"/>
  <c r="R1587" i="2" s="1"/>
  <c r="R1576" i="2"/>
  <c r="R1593" i="2"/>
  <c r="R442" i="2" l="1"/>
  <c r="R347" i="2"/>
  <c r="R62" i="2"/>
  <c r="R67" i="2" s="1"/>
  <c r="R1306" i="2"/>
  <c r="R1441" i="2"/>
  <c r="R1427" i="2"/>
  <c r="R1223" i="2"/>
  <c r="R940" i="2"/>
  <c r="R910" i="2"/>
  <c r="R265" i="2"/>
  <c r="R251" i="2" s="1"/>
  <c r="R157" i="2"/>
  <c r="R418" i="2"/>
  <c r="R245" i="2"/>
  <c r="R223" i="2"/>
  <c r="R201" i="2"/>
  <c r="R202" i="2" s="1"/>
  <c r="R129" i="2"/>
  <c r="R1425" i="2"/>
  <c r="R1338" i="2"/>
  <c r="R1337" i="2" s="1"/>
  <c r="R1336" i="2" s="1"/>
  <c r="R896" i="2"/>
  <c r="R1400" i="2" s="1"/>
  <c r="R316" i="2"/>
  <c r="R854" i="2"/>
  <c r="R1555" i="2" s="1"/>
  <c r="R1554" i="2" s="1"/>
  <c r="R632" i="2"/>
  <c r="R1530" i="2"/>
  <c r="R1528" i="2" s="1"/>
  <c r="R1438" i="2"/>
  <c r="R1428" i="2"/>
  <c r="R1369" i="2"/>
  <c r="R1368" i="2" s="1"/>
  <c r="R1367" i="2" s="1"/>
  <c r="R1366" i="2" s="1"/>
  <c r="R1381" i="2" s="1"/>
  <c r="R380" i="2"/>
  <c r="R379" i="2"/>
  <c r="R263" i="2"/>
  <c r="R249" i="2" s="1"/>
  <c r="R476" i="2"/>
  <c r="R475" i="2" s="1"/>
  <c r="R1480" i="2" s="1"/>
  <c r="R440" i="2"/>
  <c r="R22" i="2"/>
  <c r="R1302" i="2" s="1"/>
  <c r="R1299" i="2" s="1"/>
  <c r="R1030" i="2"/>
  <c r="R838" i="2"/>
  <c r="R1237" i="2" s="1"/>
  <c r="R1238" i="2" s="1"/>
  <c r="R588" i="2"/>
  <c r="R155" i="2"/>
  <c r="R178" i="2" s="1"/>
  <c r="R403" i="2"/>
  <c r="R175" i="2"/>
  <c r="R1535" i="2" s="1"/>
  <c r="R1544" i="2" s="1"/>
  <c r="R1553" i="2" s="1"/>
  <c r="R82" i="2"/>
  <c r="R1579" i="2"/>
  <c r="R1586" i="2" s="1"/>
  <c r="R1120" i="2"/>
  <c r="R1110" i="2" s="1"/>
  <c r="R837" i="2"/>
  <c r="R376" i="2"/>
  <c r="R401" i="2"/>
  <c r="R254" i="2"/>
  <c r="R21" i="2"/>
  <c r="R1301" i="2" s="1"/>
  <c r="R1228" i="2"/>
  <c r="R1591" i="2"/>
  <c r="R358" i="2"/>
  <c r="R118" i="2"/>
  <c r="R208" i="2"/>
  <c r="R180" i="2"/>
  <c r="R1521" i="2"/>
  <c r="R1538" i="2"/>
  <c r="R1547" i="2" s="1"/>
  <c r="R1310" i="2"/>
  <c r="R1277" i="2"/>
  <c r="R1181" i="2"/>
  <c r="R1180" i="2" s="1"/>
  <c r="R1161" i="2" s="1"/>
  <c r="R970" i="2"/>
  <c r="R794" i="2"/>
  <c r="R793" i="2" s="1"/>
  <c r="R354" i="2"/>
  <c r="R353" i="2" s="1"/>
  <c r="R267" i="2"/>
  <c r="R253" i="2" s="1"/>
  <c r="R300" i="2"/>
  <c r="R15" i="2" s="1"/>
  <c r="R1295" i="2" s="1"/>
  <c r="R241" i="2"/>
  <c r="R879" i="2"/>
  <c r="R1397" i="2"/>
  <c r="R1396" i="2" s="1"/>
  <c r="R1424" i="2"/>
  <c r="R1386" i="2"/>
  <c r="R262" i="2"/>
  <c r="R672" i="2"/>
  <c r="R183" i="2"/>
  <c r="R176" i="2" s="1"/>
  <c r="R510" i="2"/>
  <c r="R1486" i="2"/>
  <c r="R469" i="2"/>
  <c r="R1477" i="2"/>
  <c r="R1495" i="2" s="1"/>
  <c r="R1504" i="2" s="1"/>
  <c r="R381" i="2"/>
  <c r="R374" i="2"/>
  <c r="R1329" i="2"/>
  <c r="R1332" i="2"/>
  <c r="R1333" i="2" s="1"/>
  <c r="R1489" i="2"/>
  <c r="R1498" i="2" s="1"/>
  <c r="R1507" i="2" s="1"/>
  <c r="R716" i="2"/>
  <c r="R1575" i="2" s="1"/>
  <c r="R1583" i="2" s="1"/>
  <c r="R1590" i="2" s="1"/>
  <c r="R584" i="2"/>
  <c r="R583" i="2" s="1"/>
  <c r="R310" i="2"/>
  <c r="R438" i="2"/>
  <c r="R436" i="2" s="1"/>
  <c r="R284" i="2"/>
  <c r="R240" i="2"/>
  <c r="R1578" i="2"/>
  <c r="R1585" i="2" s="1"/>
  <c r="R1562" i="2"/>
  <c r="R1190" i="2"/>
  <c r="R1481" i="2"/>
  <c r="R1490" i="2"/>
  <c r="R1479" i="2"/>
  <c r="R104" i="2"/>
  <c r="R1524" i="2"/>
  <c r="R1542" i="2" s="1"/>
  <c r="R1551" i="2" s="1"/>
  <c r="R1533" i="2"/>
  <c r="R68" i="2"/>
  <c r="R73" i="2" s="1"/>
  <c r="R1307" i="2"/>
  <c r="R1525" i="2"/>
  <c r="R174" i="2"/>
  <c r="R1534" i="2" s="1"/>
  <c r="R128" i="2"/>
  <c r="R486" i="2"/>
  <c r="R419" i="2"/>
  <c r="R446" i="2"/>
  <c r="R434" i="2"/>
  <c r="R1303" i="2"/>
  <c r="R1467" i="2"/>
  <c r="R1519" i="2"/>
  <c r="R1485" i="2"/>
  <c r="R835" i="2"/>
  <c r="R453" i="2"/>
  <c r="R426" i="2"/>
  <c r="R386" i="2"/>
  <c r="R181" i="2"/>
  <c r="R99" i="2"/>
  <c r="R95" i="2" s="1"/>
  <c r="R1476" i="2"/>
  <c r="R1434" i="2"/>
  <c r="R553" i="2"/>
  <c r="R552" i="2" s="1"/>
  <c r="R755" i="2"/>
  <c r="R754" i="2" s="1"/>
  <c r="R156" i="2"/>
  <c r="R166" i="2" s="1"/>
  <c r="R173" i="2" s="1"/>
  <c r="R1532" i="2"/>
  <c r="R1531" i="2" s="1"/>
  <c r="R1109" i="2" l="1"/>
  <c r="R1156" i="2" s="1"/>
  <c r="R1155" i="2" s="1"/>
  <c r="R1151" i="2" s="1"/>
  <c r="R1140" i="2"/>
  <c r="R1148" i="2" s="1"/>
  <c r="R1108" i="2"/>
  <c r="R1484" i="2"/>
  <c r="R154" i="2"/>
  <c r="R177" i="2" s="1"/>
  <c r="R1527" i="2"/>
  <c r="R1191" i="2"/>
  <c r="R165" i="2"/>
  <c r="R1459" i="2"/>
  <c r="R114" i="2"/>
  <c r="R19" i="2"/>
  <c r="R1499" i="2"/>
  <c r="R1508" i="2" s="1"/>
  <c r="R1539" i="2"/>
  <c r="R1548" i="2" s="1"/>
  <c r="R430" i="2"/>
  <c r="R96" i="2"/>
  <c r="R1543" i="2"/>
  <c r="R1552" i="2" s="1"/>
  <c r="R190" i="2"/>
  <c r="R164" i="2"/>
  <c r="R1522" i="2"/>
  <c r="R1540" i="2" s="1"/>
  <c r="R1549" i="2" s="1"/>
  <c r="R373" i="2"/>
  <c r="R407" i="2"/>
  <c r="R179" i="2"/>
  <c r="R1387" i="2"/>
  <c r="R1390" i="2"/>
  <c r="R1391" i="2" s="1"/>
  <c r="R452" i="2"/>
  <c r="R102" i="2"/>
  <c r="R79" i="2" s="1"/>
  <c r="R1488" i="2"/>
  <c r="R1487" i="2" s="1"/>
  <c r="R1478" i="2"/>
  <c r="R1496" i="2" s="1"/>
  <c r="R1505" i="2" s="1"/>
  <c r="R1574" i="2"/>
  <c r="R664" i="2"/>
  <c r="R663" i="2" s="1"/>
  <c r="R1541" i="2"/>
  <c r="R1550" i="2" s="1"/>
  <c r="R385" i="2"/>
  <c r="R371" i="2" s="1"/>
  <c r="R378" i="2"/>
  <c r="R834" i="2"/>
  <c r="R1465" i="2" s="1"/>
  <c r="R1463" i="2" s="1"/>
  <c r="R58" i="2"/>
  <c r="R57" i="2" s="1"/>
  <c r="R126" i="2"/>
  <c r="R261" i="2"/>
  <c r="R248" i="2"/>
  <c r="R444" i="2"/>
  <c r="R1483" i="2"/>
  <c r="R485" i="2"/>
  <c r="R335" i="2"/>
  <c r="R311" i="2"/>
  <c r="R1494" i="2"/>
  <c r="R1503" i="2" s="1"/>
  <c r="R1475" i="2"/>
  <c r="R1537" i="2"/>
  <c r="R1546" i="2" s="1"/>
  <c r="R1518" i="2"/>
  <c r="R1536" i="2" s="1"/>
  <c r="R123" i="2"/>
  <c r="R125" i="2"/>
  <c r="R708" i="2"/>
  <c r="R432" i="2"/>
  <c r="R14" i="2" l="1"/>
  <c r="R20" i="2" s="1"/>
  <c r="R1183" i="2"/>
  <c r="R121" i="2"/>
  <c r="R110" i="2"/>
  <c r="R1497" i="2"/>
  <c r="R1506" i="2" s="1"/>
  <c r="R372" i="2"/>
  <c r="R405" i="2"/>
  <c r="R247" i="2"/>
  <c r="R238" i="2"/>
  <c r="R1573" i="2"/>
  <c r="R1582" i="2"/>
  <c r="R1589" i="2" s="1"/>
  <c r="R427" i="2"/>
  <c r="R431" i="2" s="1"/>
  <c r="R90" i="2" s="1"/>
  <c r="R428" i="2"/>
  <c r="R336" i="2"/>
  <c r="R339" i="2"/>
  <c r="R340" i="2" s="1"/>
  <c r="R124" i="2"/>
  <c r="R135" i="2"/>
  <c r="R81" i="2"/>
  <c r="R191" i="2"/>
  <c r="R194" i="2"/>
  <c r="R195" i="2" s="1"/>
  <c r="R1474" i="2"/>
  <c r="R1492" i="2" s="1"/>
  <c r="R1493" i="2"/>
  <c r="R1502" i="2" s="1"/>
  <c r="R1545" i="2"/>
  <c r="R1558" i="2" s="1"/>
  <c r="R1559" i="2" s="1"/>
  <c r="R1557" i="2"/>
  <c r="R408" i="2"/>
  <c r="R377" i="2"/>
  <c r="R1294" i="2" l="1"/>
  <c r="R1455" i="2"/>
  <c r="R1464" i="2" s="1"/>
  <c r="R1300" i="2"/>
  <c r="R443" i="2"/>
  <c r="R341" i="2" s="1"/>
  <c r="R447" i="2"/>
  <c r="R413" i="2" s="1"/>
  <c r="R439" i="2"/>
  <c r="R278" i="2" s="1"/>
  <c r="R435" i="2"/>
  <c r="R196" i="2" s="1"/>
  <c r="R425" i="2"/>
  <c r="R17" i="2"/>
  <c r="R86" i="2"/>
  <c r="R89" i="2" s="1"/>
  <c r="R1513" i="2"/>
  <c r="R1501" i="2"/>
  <c r="R1514" i="2" s="1"/>
  <c r="R1515" i="2" s="1"/>
  <c r="R406" i="2"/>
  <c r="R411" i="2"/>
  <c r="R412" i="2" s="1"/>
  <c r="R136" i="2"/>
  <c r="R139" i="2"/>
  <c r="R140" i="2" s="1"/>
  <c r="R1581" i="2"/>
  <c r="R1588" i="2" s="1"/>
  <c r="R1569" i="2"/>
  <c r="R1577" i="2" s="1"/>
  <c r="R272" i="2"/>
  <c r="R239" i="2"/>
  <c r="R1594" i="2" l="1"/>
  <c r="R1584" i="2"/>
  <c r="R1595" i="2" s="1"/>
  <c r="R1596" i="2" s="1"/>
  <c r="R18" i="2"/>
  <c r="R1297" i="2"/>
  <c r="R24" i="2"/>
  <c r="R16" i="2"/>
  <c r="R1458" i="2" s="1"/>
  <c r="R1456" i="2" s="1"/>
  <c r="R273" i="2"/>
  <c r="R276" i="2"/>
  <c r="R277" i="2" s="1"/>
  <c r="R25" i="2" l="1"/>
  <c r="R28" i="2"/>
  <c r="R1304" i="2"/>
  <c r="R1298" i="2"/>
  <c r="R1296" i="2"/>
  <c r="R1457" i="2"/>
  <c r="R1461" i="2"/>
  <c r="R1305" i="2" l="1"/>
  <c r="R1308" i="2"/>
  <c r="R29" i="2"/>
  <c r="R33" i="2"/>
  <c r="R35" i="2" s="1"/>
  <c r="R36" i="2" s="1"/>
  <c r="R1462" i="2"/>
  <c r="R1468" i="2" s="1"/>
  <c r="R1469" i="2" s="1"/>
  <c r="R1470" i="2"/>
  <c r="R1471" i="2" s="1"/>
  <c r="R1313" i="2" l="1"/>
  <c r="R1315" i="2" s="1"/>
  <c r="R1316" i="2" s="1"/>
  <c r="R1309" i="2"/>
  <c r="AB111" i="18"/>
  <c r="W110" i="18"/>
  <c r="AA109" i="18"/>
  <c r="S109" i="18"/>
  <c r="AA107" i="18"/>
  <c r="AB105" i="18"/>
  <c r="AA105" i="18"/>
  <c r="Z105" i="18"/>
  <c r="Y105" i="18"/>
  <c r="X105" i="18"/>
  <c r="AE105" i="18" s="1"/>
  <c r="W105" i="18"/>
  <c r="V105" i="18"/>
  <c r="U105" i="18"/>
  <c r="T105" i="18"/>
  <c r="S105" i="18"/>
  <c r="R105" i="18"/>
  <c r="Q105" i="18"/>
  <c r="AB104" i="18"/>
  <c r="AA104" i="18"/>
  <c r="Z104" i="18"/>
  <c r="Y104" i="18"/>
  <c r="X104" i="18"/>
  <c r="W104" i="18"/>
  <c r="V104" i="18"/>
  <c r="U104" i="18"/>
  <c r="U101" i="18" s="1"/>
  <c r="T104" i="18"/>
  <c r="S104" i="18"/>
  <c r="R104" i="18"/>
  <c r="Q104" i="18"/>
  <c r="AB103" i="18"/>
  <c r="AA103" i="18"/>
  <c r="Z103" i="18"/>
  <c r="Y103" i="18"/>
  <c r="Y100" i="18" s="1"/>
  <c r="X103" i="18"/>
  <c r="X100" i="18" s="1"/>
  <c r="W103" i="18"/>
  <c r="V103" i="18"/>
  <c r="U103" i="18"/>
  <c r="T103" i="18"/>
  <c r="S103" i="18"/>
  <c r="R103" i="18"/>
  <c r="Q103" i="18"/>
  <c r="Q100" i="18" s="1"/>
  <c r="AB102" i="18"/>
  <c r="AA102" i="18"/>
  <c r="Z102" i="18"/>
  <c r="Y102" i="18"/>
  <c r="X102" i="18"/>
  <c r="W102" i="18"/>
  <c r="V102" i="18"/>
  <c r="U102" i="18"/>
  <c r="U99" i="18" s="1"/>
  <c r="T102" i="18"/>
  <c r="S102" i="18"/>
  <c r="R102" i="18"/>
  <c r="Q102" i="18"/>
  <c r="AA97" i="18"/>
  <c r="AA98" i="18" s="1"/>
  <c r="Z97" i="18"/>
  <c r="Z98" i="18" s="1"/>
  <c r="Y97" i="18"/>
  <c r="Y109" i="18" s="1"/>
  <c r="W97" i="18"/>
  <c r="W109" i="18" s="1"/>
  <c r="W113" i="18" s="1"/>
  <c r="W114" i="18" s="1"/>
  <c r="V97" i="18"/>
  <c r="V109" i="18" s="1"/>
  <c r="S97" i="18"/>
  <c r="S98" i="18" s="1"/>
  <c r="R97" i="18"/>
  <c r="R98" i="18" s="1"/>
  <c r="Q97" i="18"/>
  <c r="Q109" i="18" s="1"/>
  <c r="AB96" i="18"/>
  <c r="AF96" i="18" s="1"/>
  <c r="AH96" i="18" s="1"/>
  <c r="AA96" i="18"/>
  <c r="Z96" i="18"/>
  <c r="Y96" i="18"/>
  <c r="X96" i="18"/>
  <c r="W96" i="18"/>
  <c r="V96" i="18"/>
  <c r="U96" i="18"/>
  <c r="T96" i="18"/>
  <c r="AD96" i="18" s="1"/>
  <c r="S96" i="18"/>
  <c r="R96" i="18"/>
  <c r="Q96" i="18"/>
  <c r="AB94" i="18"/>
  <c r="AF94" i="18" s="1"/>
  <c r="AH94" i="18" s="1"/>
  <c r="AA94" i="18"/>
  <c r="Z94" i="18"/>
  <c r="Y94" i="18"/>
  <c r="X94" i="18"/>
  <c r="W94" i="18"/>
  <c r="V94" i="18"/>
  <c r="U94" i="18"/>
  <c r="T94" i="18"/>
  <c r="AD94" i="18" s="1"/>
  <c r="S94" i="18"/>
  <c r="R94" i="18"/>
  <c r="Q94" i="18"/>
  <c r="AB93" i="18"/>
  <c r="AA93" i="18"/>
  <c r="Z93" i="18"/>
  <c r="Y93" i="18"/>
  <c r="X93" i="18"/>
  <c r="AE93" i="18" s="1"/>
  <c r="W93" i="18"/>
  <c r="V93" i="18"/>
  <c r="U93" i="18"/>
  <c r="T93" i="18"/>
  <c r="S93" i="18"/>
  <c r="R93" i="18"/>
  <c r="Q93" i="18"/>
  <c r="AB92" i="18"/>
  <c r="AF92" i="18" s="1"/>
  <c r="AA92" i="18"/>
  <c r="Z92" i="18"/>
  <c r="Y92" i="18"/>
  <c r="X92" i="18"/>
  <c r="W92" i="18"/>
  <c r="V92" i="18"/>
  <c r="U92" i="18"/>
  <c r="T92" i="18"/>
  <c r="AD92" i="18" s="1"/>
  <c r="S92" i="18"/>
  <c r="R92" i="18"/>
  <c r="Q92" i="18"/>
  <c r="Y91" i="18"/>
  <c r="X91" i="18"/>
  <c r="Q91" i="18"/>
  <c r="AB90" i="18"/>
  <c r="AA90" i="18"/>
  <c r="AA91" i="18" s="1"/>
  <c r="Z90" i="18"/>
  <c r="Z91" i="18" s="1"/>
  <c r="Y90" i="18"/>
  <c r="X90" i="18"/>
  <c r="W90" i="18"/>
  <c r="W91" i="18" s="1"/>
  <c r="V90" i="18"/>
  <c r="V91" i="18" s="1"/>
  <c r="U90" i="18"/>
  <c r="U91" i="18" s="1"/>
  <c r="T90" i="18"/>
  <c r="S90" i="18"/>
  <c r="S91" i="18" s="1"/>
  <c r="R90" i="18"/>
  <c r="R91" i="18" s="1"/>
  <c r="Q90" i="18"/>
  <c r="Y88" i="18"/>
  <c r="Y95" i="18" s="1"/>
  <c r="Q88" i="18"/>
  <c r="Q95" i="18" s="1"/>
  <c r="AB87" i="18"/>
  <c r="AF87" i="18" s="1"/>
  <c r="AH87" i="18" s="1"/>
  <c r="AA87" i="18"/>
  <c r="Z87" i="18"/>
  <c r="Y87" i="18"/>
  <c r="X87" i="18"/>
  <c r="W87" i="18"/>
  <c r="V87" i="18"/>
  <c r="U87" i="18"/>
  <c r="T87" i="18"/>
  <c r="AD87" i="18" s="1"/>
  <c r="S87" i="18"/>
  <c r="R87" i="18"/>
  <c r="Q87" i="18"/>
  <c r="AB86" i="18"/>
  <c r="AA86" i="18"/>
  <c r="Z86" i="18"/>
  <c r="Y86" i="18"/>
  <c r="Y85" i="18" s="1"/>
  <c r="Y84" i="18" s="1"/>
  <c r="X86" i="18"/>
  <c r="W86" i="18"/>
  <c r="V86" i="18"/>
  <c r="U86" i="18"/>
  <c r="T86" i="18"/>
  <c r="S86" i="18"/>
  <c r="R86" i="18"/>
  <c r="Q86" i="18"/>
  <c r="Q85" i="18" s="1"/>
  <c r="Q84" i="18" s="1"/>
  <c r="AB85" i="18"/>
  <c r="AA85" i="18"/>
  <c r="Z85" i="18"/>
  <c r="W85" i="18"/>
  <c r="V85" i="18"/>
  <c r="U85" i="18"/>
  <c r="U84" i="18" s="1"/>
  <c r="S85" i="18"/>
  <c r="R85" i="18"/>
  <c r="AB80" i="18"/>
  <c r="AF80" i="18" s="1"/>
  <c r="AA80" i="18"/>
  <c r="Z80" i="18"/>
  <c r="Y80" i="18"/>
  <c r="X80" i="18"/>
  <c r="W80" i="18"/>
  <c r="V80" i="18"/>
  <c r="U80" i="18"/>
  <c r="T80" i="18"/>
  <c r="AD80" i="18" s="1"/>
  <c r="S80" i="18"/>
  <c r="R80" i="18"/>
  <c r="Q80" i="18"/>
  <c r="AB79" i="18"/>
  <c r="AA79" i="18"/>
  <c r="AA101" i="18" s="1"/>
  <c r="Z79" i="18"/>
  <c r="Z101" i="18" s="1"/>
  <c r="Y79" i="18"/>
  <c r="Y101" i="18" s="1"/>
  <c r="X79" i="18"/>
  <c r="AE79" i="18" s="1"/>
  <c r="AH79" i="18" s="1"/>
  <c r="W79" i="18"/>
  <c r="W101" i="18" s="1"/>
  <c r="V79" i="18"/>
  <c r="V101" i="18" s="1"/>
  <c r="U79" i="18"/>
  <c r="T79" i="18"/>
  <c r="S79" i="18"/>
  <c r="S101" i="18" s="1"/>
  <c r="R79" i="18"/>
  <c r="R101" i="18" s="1"/>
  <c r="Q79" i="18"/>
  <c r="Q101" i="18" s="1"/>
  <c r="AB78" i="18"/>
  <c r="AA78" i="18"/>
  <c r="AA88" i="18" s="1"/>
  <c r="Z78" i="18"/>
  <c r="Z100" i="18" s="1"/>
  <c r="Y78" i="18"/>
  <c r="X78" i="18"/>
  <c r="W78" i="18"/>
  <c r="W100" i="18" s="1"/>
  <c r="V78" i="18"/>
  <c r="V88" i="18" s="1"/>
  <c r="U78" i="18"/>
  <c r="U88" i="18" s="1"/>
  <c r="U95" i="18" s="1"/>
  <c r="T78" i="18"/>
  <c r="T100" i="18" s="1"/>
  <c r="S78" i="18"/>
  <c r="S88" i="18" s="1"/>
  <c r="R78" i="18"/>
  <c r="R100" i="18" s="1"/>
  <c r="Q78" i="18"/>
  <c r="AB77" i="18"/>
  <c r="AA77" i="18"/>
  <c r="AA99" i="18" s="1"/>
  <c r="Z77" i="18"/>
  <c r="Z99" i="18" s="1"/>
  <c r="Y77" i="18"/>
  <c r="Y76" i="18" s="1"/>
  <c r="Y11" i="18" s="1"/>
  <c r="X77" i="18"/>
  <c r="X99" i="18" s="1"/>
  <c r="W77" i="18"/>
  <c r="W99" i="18" s="1"/>
  <c r="V77" i="18"/>
  <c r="V99" i="18" s="1"/>
  <c r="U77" i="18"/>
  <c r="T77" i="18"/>
  <c r="S77" i="18"/>
  <c r="S99" i="18" s="1"/>
  <c r="R77" i="18"/>
  <c r="R99" i="18" s="1"/>
  <c r="Q77" i="18"/>
  <c r="Q76" i="18" s="1"/>
  <c r="AB76" i="18"/>
  <c r="AA76" i="18"/>
  <c r="Z76" i="18"/>
  <c r="W76" i="18"/>
  <c r="V76" i="18"/>
  <c r="U76" i="18"/>
  <c r="U11" i="18" s="1"/>
  <c r="S76" i="18"/>
  <c r="R76" i="18"/>
  <c r="AB75" i="18"/>
  <c r="AA75" i="18"/>
  <c r="Z75" i="18"/>
  <c r="Y75" i="18"/>
  <c r="X75" i="18"/>
  <c r="W75" i="18"/>
  <c r="V75" i="18"/>
  <c r="U75" i="18"/>
  <c r="T75" i="18"/>
  <c r="S75" i="18"/>
  <c r="R75" i="18"/>
  <c r="Q75" i="18"/>
  <c r="Y65" i="18"/>
  <c r="Y70" i="18" s="1"/>
  <c r="X65" i="18"/>
  <c r="X70" i="18" s="1"/>
  <c r="Q65" i="18"/>
  <c r="Q70" i="18" s="1"/>
  <c r="T64" i="18"/>
  <c r="X59" i="18"/>
  <c r="X64" i="18" s="1"/>
  <c r="AB56" i="18"/>
  <c r="AB55" i="18"/>
  <c r="AA55" i="18"/>
  <c r="Z55" i="18"/>
  <c r="Y55" i="18"/>
  <c r="X55" i="18"/>
  <c r="W55" i="18"/>
  <c r="V55" i="18"/>
  <c r="U55" i="18"/>
  <c r="T55" i="18"/>
  <c r="S55" i="18"/>
  <c r="R55" i="18"/>
  <c r="Q55" i="18"/>
  <c r="Q54" i="18" s="1"/>
  <c r="AB54" i="18"/>
  <c r="AB51" i="18"/>
  <c r="V49" i="18"/>
  <c r="S49" i="18"/>
  <c r="AB47" i="18"/>
  <c r="AB45" i="18" s="1"/>
  <c r="Y47" i="18"/>
  <c r="Y45" i="18" s="1"/>
  <c r="S47" i="18"/>
  <c r="AA45" i="18"/>
  <c r="Z45" i="18"/>
  <c r="X45" i="18"/>
  <c r="W45" i="18"/>
  <c r="V45" i="18"/>
  <c r="U45" i="18"/>
  <c r="T45" i="18"/>
  <c r="S45" i="18"/>
  <c r="R45" i="18"/>
  <c r="Q45" i="18"/>
  <c r="AA43" i="18"/>
  <c r="T43" i="18"/>
  <c r="T41" i="18" s="1"/>
  <c r="T56" i="18" s="1"/>
  <c r="AA42" i="18"/>
  <c r="AB41" i="18"/>
  <c r="Z41" i="18"/>
  <c r="Z56" i="18" s="1"/>
  <c r="Y41" i="18"/>
  <c r="Y56" i="18" s="1"/>
  <c r="X41" i="18"/>
  <c r="X56" i="18" s="1"/>
  <c r="W41" i="18"/>
  <c r="W56" i="18" s="1"/>
  <c r="V41" i="18"/>
  <c r="V56" i="18" s="1"/>
  <c r="V54" i="18" s="1"/>
  <c r="U41" i="18"/>
  <c r="U56" i="18" s="1"/>
  <c r="U54" i="18" s="1"/>
  <c r="S41" i="18"/>
  <c r="S56" i="18" s="1"/>
  <c r="S54" i="18" s="1"/>
  <c r="R41" i="18"/>
  <c r="R56" i="18" s="1"/>
  <c r="R54" i="18" s="1"/>
  <c r="Q41" i="18"/>
  <c r="Q56" i="18" s="1"/>
  <c r="AB37" i="18"/>
  <c r="AA37" i="18"/>
  <c r="Z37" i="18"/>
  <c r="Y37" i="18"/>
  <c r="X37" i="18"/>
  <c r="W37" i="18"/>
  <c r="V37" i="18"/>
  <c r="U37" i="18"/>
  <c r="T37" i="18"/>
  <c r="S37" i="18"/>
  <c r="R37" i="18"/>
  <c r="Q37" i="18"/>
  <c r="Q1100" i="18" s="1"/>
  <c r="V29" i="18"/>
  <c r="AB28" i="18"/>
  <c r="V28" i="18"/>
  <c r="V27" i="18" s="1"/>
  <c r="AD27" i="18" s="1"/>
  <c r="AB27" i="18"/>
  <c r="AA27" i="18"/>
  <c r="Z27" i="18"/>
  <c r="Y27" i="18"/>
  <c r="X27" i="18"/>
  <c r="AE27" i="18" s="1"/>
  <c r="AH27" i="18" s="1"/>
  <c r="W27" i="18"/>
  <c r="U27" i="18"/>
  <c r="T27" i="18"/>
  <c r="S27" i="18"/>
  <c r="R27" i="18"/>
  <c r="Q27" i="18"/>
  <c r="AB24" i="18"/>
  <c r="AB65" i="18" s="1"/>
  <c r="AB70" i="18" s="1"/>
  <c r="AA24" i="18"/>
  <c r="AA65" i="18" s="1"/>
  <c r="AA70" i="18" s="1"/>
  <c r="Z24" i="18"/>
  <c r="Z65" i="18" s="1"/>
  <c r="Z70" i="18" s="1"/>
  <c r="Y24" i="18"/>
  <c r="X24" i="18"/>
  <c r="W24" i="18"/>
  <c r="W65" i="18" s="1"/>
  <c r="W70" i="18" s="1"/>
  <c r="V24" i="18"/>
  <c r="V65" i="18" s="1"/>
  <c r="V70" i="18" s="1"/>
  <c r="U24" i="18"/>
  <c r="U65" i="18" s="1"/>
  <c r="U70" i="18" s="1"/>
  <c r="T24" i="18"/>
  <c r="S24" i="18"/>
  <c r="S65" i="18" s="1"/>
  <c r="S70" i="18" s="1"/>
  <c r="R24" i="18"/>
  <c r="R65" i="18" s="1"/>
  <c r="R70" i="18" s="1"/>
  <c r="Q24" i="18"/>
  <c r="AB23" i="18"/>
  <c r="AB59" i="18" s="1"/>
  <c r="AB64" i="18" s="1"/>
  <c r="AA23" i="18"/>
  <c r="AA59" i="18" s="1"/>
  <c r="AA64" i="18" s="1"/>
  <c r="Z23" i="18"/>
  <c r="Z59" i="18" s="1"/>
  <c r="Z64" i="18" s="1"/>
  <c r="Y23" i="18"/>
  <c r="Y59" i="18" s="1"/>
  <c r="Y64" i="18" s="1"/>
  <c r="X23" i="18"/>
  <c r="AE23" i="18" s="1"/>
  <c r="AE59" i="18" s="1"/>
  <c r="AE64" i="18" s="1"/>
  <c r="W23" i="18"/>
  <c r="W59" i="18" s="1"/>
  <c r="W64" i="18" s="1"/>
  <c r="V23" i="18"/>
  <c r="V59" i="18" s="1"/>
  <c r="V64" i="18" s="1"/>
  <c r="U23" i="18"/>
  <c r="U59" i="18" s="1"/>
  <c r="U64" i="18" s="1"/>
  <c r="T23" i="18"/>
  <c r="T59" i="18" s="1"/>
  <c r="S23" i="18"/>
  <c r="S59" i="18" s="1"/>
  <c r="S64" i="18" s="1"/>
  <c r="R23" i="18"/>
  <c r="R59" i="18" s="1"/>
  <c r="R64" i="18" s="1"/>
  <c r="Q23" i="18"/>
  <c r="Q59" i="18" s="1"/>
  <c r="Q64" i="18" s="1"/>
  <c r="AB20" i="18"/>
  <c r="AF20" i="18" s="1"/>
  <c r="AA20" i="18"/>
  <c r="Z20" i="18"/>
  <c r="Y20" i="18"/>
  <c r="X20" i="18"/>
  <c r="W20" i="18"/>
  <c r="V20" i="18"/>
  <c r="U20" i="18"/>
  <c r="T20" i="18"/>
  <c r="AD20" i="18" s="1"/>
  <c r="AD1107" i="18" s="1"/>
  <c r="S20" i="18"/>
  <c r="R20" i="18"/>
  <c r="Q20" i="18"/>
  <c r="AB19" i="18"/>
  <c r="AA19" i="18"/>
  <c r="Z19" i="18"/>
  <c r="Y19" i="18"/>
  <c r="Y16" i="18" s="1"/>
  <c r="Y17" i="18" s="1"/>
  <c r="X19" i="18"/>
  <c r="X1099" i="18" s="1"/>
  <c r="W19" i="18"/>
  <c r="V19" i="18"/>
  <c r="U19" i="18"/>
  <c r="T19" i="18"/>
  <c r="S19" i="18"/>
  <c r="R19" i="18"/>
  <c r="Q19" i="18"/>
  <c r="Q16" i="18" s="1"/>
  <c r="AB18" i="18"/>
  <c r="AB16" i="18" s="1"/>
  <c r="AA18" i="18"/>
  <c r="Z18" i="18"/>
  <c r="Y18" i="18"/>
  <c r="X18" i="18"/>
  <c r="W18" i="18"/>
  <c r="V18" i="18"/>
  <c r="U18" i="18"/>
  <c r="T18" i="18"/>
  <c r="AD18" i="18" s="1"/>
  <c r="AD1100" i="18" s="1"/>
  <c r="S18" i="18"/>
  <c r="R18" i="18"/>
  <c r="Q18" i="18"/>
  <c r="AA16" i="18"/>
  <c r="AA17" i="18" s="1"/>
  <c r="Z16" i="18"/>
  <c r="Z17" i="18" s="1"/>
  <c r="W16" i="18"/>
  <c r="W17" i="18" s="1"/>
  <c r="V16" i="18"/>
  <c r="V17" i="18" s="1"/>
  <c r="U16" i="18"/>
  <c r="U17" i="18" s="1"/>
  <c r="S16" i="18"/>
  <c r="S17" i="18" s="1"/>
  <c r="R16" i="18"/>
  <c r="R17" i="18" s="1"/>
  <c r="AA14" i="18"/>
  <c r="AA21" i="18" s="1"/>
  <c r="Z14" i="18"/>
  <c r="Z21" i="18" s="1"/>
  <c r="W14" i="18"/>
  <c r="W21" i="18" s="1"/>
  <c r="V14" i="18"/>
  <c r="V21" i="18" s="1"/>
  <c r="S14" i="18"/>
  <c r="S21" i="18" s="1"/>
  <c r="R14" i="18"/>
  <c r="R21" i="18" s="1"/>
  <c r="AB12" i="18"/>
  <c r="AF12" i="18" s="1"/>
  <c r="AH12" i="18" s="1"/>
  <c r="AA12" i="18"/>
  <c r="Z12" i="18"/>
  <c r="Y12" i="18"/>
  <c r="X12" i="18"/>
  <c r="W12" i="18"/>
  <c r="V12" i="18"/>
  <c r="U12" i="18"/>
  <c r="T12" i="18"/>
  <c r="AD12" i="18" s="1"/>
  <c r="S12" i="18"/>
  <c r="R12" i="18"/>
  <c r="Q12" i="18"/>
  <c r="AA11" i="18"/>
  <c r="AA13" i="18" s="1"/>
  <c r="Z11" i="18"/>
  <c r="Z13" i="18" s="1"/>
  <c r="W11" i="18"/>
  <c r="W13" i="18" s="1"/>
  <c r="V11" i="18"/>
  <c r="V13" i="18" s="1"/>
  <c r="S11" i="18"/>
  <c r="S13" i="18" s="1"/>
  <c r="R11" i="18"/>
  <c r="R13" i="18" s="1"/>
  <c r="AF112" i="18"/>
  <c r="AH112" i="18" s="1"/>
  <c r="AE112" i="18"/>
  <c r="AD112" i="18"/>
  <c r="AC112" i="18"/>
  <c r="AF111" i="18"/>
  <c r="AH111" i="18" s="1"/>
  <c r="AE111" i="18"/>
  <c r="AD111" i="18"/>
  <c r="AC111" i="18"/>
  <c r="AG111" i="18" s="1"/>
  <c r="AF108" i="18"/>
  <c r="AH108" i="18" s="1"/>
  <c r="AE108" i="18"/>
  <c r="AD108" i="18"/>
  <c r="AC108" i="18"/>
  <c r="AG108" i="18" s="1"/>
  <c r="AI108" i="18" s="1"/>
  <c r="AF107" i="18"/>
  <c r="AE107" i="18"/>
  <c r="AD107" i="18"/>
  <c r="AC107" i="18"/>
  <c r="AF106" i="18"/>
  <c r="AH106" i="18" s="1"/>
  <c r="AE106" i="18"/>
  <c r="AD106" i="18"/>
  <c r="AC106" i="18"/>
  <c r="AG106" i="18" s="1"/>
  <c r="AF105" i="18"/>
  <c r="AD105" i="18"/>
  <c r="AC105" i="18"/>
  <c r="AE104" i="18"/>
  <c r="AC104" i="18"/>
  <c r="AF103" i="18"/>
  <c r="AD103" i="18"/>
  <c r="AC103" i="18"/>
  <c r="AG103" i="18" s="1"/>
  <c r="AE102" i="18"/>
  <c r="AC102" i="18"/>
  <c r="AC99" i="18" s="1"/>
  <c r="AC97" i="18"/>
  <c r="AC109" i="18" s="1"/>
  <c r="AE96" i="18"/>
  <c r="AC96" i="18"/>
  <c r="AE94" i="18"/>
  <c r="AC94" i="18"/>
  <c r="AF93" i="18"/>
  <c r="AD93" i="18"/>
  <c r="AC93" i="18"/>
  <c r="AE92" i="18"/>
  <c r="AC92" i="18"/>
  <c r="AE90" i="18"/>
  <c r="AC90" i="18"/>
  <c r="AF89" i="18"/>
  <c r="AH89" i="18" s="1"/>
  <c r="AE89" i="18"/>
  <c r="AD89" i="18"/>
  <c r="AC89" i="18"/>
  <c r="AG89" i="18" s="1"/>
  <c r="AE87" i="18"/>
  <c r="AC87" i="18"/>
  <c r="AG86" i="18"/>
  <c r="AF86" i="18"/>
  <c r="AD86" i="18"/>
  <c r="AC86" i="18"/>
  <c r="AC85" i="18"/>
  <c r="AF83" i="18"/>
  <c r="AH83" i="18" s="1"/>
  <c r="AE83" i="18"/>
  <c r="AD83" i="18"/>
  <c r="AC83" i="18"/>
  <c r="AG83" i="18" s="1"/>
  <c r="AF82" i="18"/>
  <c r="AH82" i="18" s="1"/>
  <c r="AE82" i="18"/>
  <c r="AD82" i="18"/>
  <c r="AC82" i="18"/>
  <c r="AG82" i="18" s="1"/>
  <c r="AF81" i="18"/>
  <c r="AH81" i="18" s="1"/>
  <c r="AE81" i="18"/>
  <c r="AD81" i="18"/>
  <c r="AC81" i="18"/>
  <c r="AG81" i="18" s="1"/>
  <c r="AE80" i="18"/>
  <c r="AC80" i="18"/>
  <c r="AF79" i="18"/>
  <c r="AD79" i="18"/>
  <c r="AC79" i="18"/>
  <c r="AG79" i="18" s="1"/>
  <c r="AE78" i="18"/>
  <c r="AC78" i="18"/>
  <c r="AC100" i="18" s="1"/>
  <c r="AF77" i="18"/>
  <c r="AD77" i="18"/>
  <c r="AC77" i="18"/>
  <c r="AI75" i="18"/>
  <c r="AH75" i="18"/>
  <c r="AG75" i="18"/>
  <c r="AF75" i="18"/>
  <c r="AE75" i="18"/>
  <c r="AD75" i="18"/>
  <c r="AC75" i="18"/>
  <c r="AF69" i="18"/>
  <c r="AH69" i="18" s="1"/>
  <c r="AE69" i="18"/>
  <c r="AD69" i="18"/>
  <c r="AC69" i="18"/>
  <c r="AG69" i="18" s="1"/>
  <c r="AI69" i="18" s="1"/>
  <c r="AF68" i="18"/>
  <c r="AH68" i="18" s="1"/>
  <c r="AE68" i="18"/>
  <c r="AD68" i="18"/>
  <c r="AC68" i="18"/>
  <c r="AG68" i="18" s="1"/>
  <c r="AI68" i="18" s="1"/>
  <c r="AF67" i="18"/>
  <c r="AE67" i="18"/>
  <c r="AH67" i="18" s="1"/>
  <c r="AD67" i="18"/>
  <c r="AC67" i="18"/>
  <c r="AF66" i="18"/>
  <c r="AE66" i="18"/>
  <c r="AH66" i="18" s="1"/>
  <c r="AD66" i="18"/>
  <c r="AC66" i="18"/>
  <c r="AG66" i="18" s="1"/>
  <c r="AI66" i="18" s="1"/>
  <c r="AF63" i="18"/>
  <c r="AE63" i="18"/>
  <c r="AD63" i="18"/>
  <c r="AC63" i="18"/>
  <c r="AF62" i="18"/>
  <c r="AE62" i="18"/>
  <c r="AD62" i="18"/>
  <c r="AC62" i="18"/>
  <c r="AG62" i="18" s="1"/>
  <c r="AF61" i="18"/>
  <c r="AH61" i="18" s="1"/>
  <c r="AE61" i="18"/>
  <c r="AD61" i="18"/>
  <c r="AC61" i="18"/>
  <c r="AG61" i="18" s="1"/>
  <c r="AF60" i="18"/>
  <c r="AE60" i="18"/>
  <c r="AD60" i="18"/>
  <c r="AC60" i="18"/>
  <c r="AG60" i="18" s="1"/>
  <c r="AF55" i="18"/>
  <c r="AD55" i="18"/>
  <c r="AC55" i="18"/>
  <c r="AG55" i="18" s="1"/>
  <c r="AF51" i="18"/>
  <c r="AH51" i="18" s="1"/>
  <c r="AE51" i="18"/>
  <c r="AD51" i="18"/>
  <c r="AC51" i="18"/>
  <c r="AF50" i="18"/>
  <c r="AE50" i="18"/>
  <c r="AH50" i="18" s="1"/>
  <c r="AD50" i="18"/>
  <c r="AC50" i="18"/>
  <c r="AG50" i="18" s="1"/>
  <c r="AF49" i="18"/>
  <c r="AE49" i="18"/>
  <c r="AD49" i="18"/>
  <c r="AC49" i="18"/>
  <c r="AF48" i="18"/>
  <c r="AE48" i="18"/>
  <c r="AD48" i="18"/>
  <c r="AC48" i="18"/>
  <c r="AG48" i="18" s="1"/>
  <c r="AF47" i="18"/>
  <c r="AE47" i="18"/>
  <c r="AD47" i="18"/>
  <c r="AC47" i="18"/>
  <c r="AG47" i="18" s="1"/>
  <c r="AF46" i="18"/>
  <c r="AE46" i="18"/>
  <c r="AH46" i="18" s="1"/>
  <c r="AD46" i="18"/>
  <c r="AC46" i="18"/>
  <c r="AC45" i="18" s="1"/>
  <c r="AF45" i="18"/>
  <c r="AF44" i="18"/>
  <c r="AH44" i="18" s="1"/>
  <c r="AE44" i="18"/>
  <c r="AD44" i="18"/>
  <c r="AC44" i="18"/>
  <c r="AF43" i="18"/>
  <c r="AE43" i="18"/>
  <c r="AH43" i="18" s="1"/>
  <c r="AD43" i="18"/>
  <c r="AD1099" i="18" s="1"/>
  <c r="AC43" i="18"/>
  <c r="AE42" i="18"/>
  <c r="AD42" i="18"/>
  <c r="AC42" i="18"/>
  <c r="AG42" i="18" s="1"/>
  <c r="AF40" i="18"/>
  <c r="AE40" i="18"/>
  <c r="AD40" i="18"/>
  <c r="AC40" i="18"/>
  <c r="AF39" i="18"/>
  <c r="AH39" i="18" s="1"/>
  <c r="AE39" i="18"/>
  <c r="AD39" i="18"/>
  <c r="AC39" i="18"/>
  <c r="AG39" i="18" s="1"/>
  <c r="AG38" i="18"/>
  <c r="AI38" i="18" s="1"/>
  <c r="AF38" i="18"/>
  <c r="AH38" i="18" s="1"/>
  <c r="AE38" i="18"/>
  <c r="AD38" i="18"/>
  <c r="AC38" i="18"/>
  <c r="AF29" i="18"/>
  <c r="AH29" i="18" s="1"/>
  <c r="AE29" i="18"/>
  <c r="AD29" i="18"/>
  <c r="AC29" i="18"/>
  <c r="AG29" i="18" s="1"/>
  <c r="AI29" i="18" s="1"/>
  <c r="AH28" i="18"/>
  <c r="AF28" i="18"/>
  <c r="AE28" i="18"/>
  <c r="AD28" i="18"/>
  <c r="AC28" i="18"/>
  <c r="AG28" i="18" s="1"/>
  <c r="AF27" i="18"/>
  <c r="AC27" i="18"/>
  <c r="AF24" i="18"/>
  <c r="AE24" i="18"/>
  <c r="AE65" i="18" s="1"/>
  <c r="AC24" i="18"/>
  <c r="AC65" i="18" s="1"/>
  <c r="AF23" i="18"/>
  <c r="AF59" i="18" s="1"/>
  <c r="AD23" i="18"/>
  <c r="AD59" i="18" s="1"/>
  <c r="AD64" i="18" s="1"/>
  <c r="AC23" i="18"/>
  <c r="AG23" i="18" s="1"/>
  <c r="AE20" i="18"/>
  <c r="AE1107" i="18" s="1"/>
  <c r="AC20" i="18"/>
  <c r="AF19" i="18"/>
  <c r="AD19" i="18"/>
  <c r="AC19" i="18"/>
  <c r="AC1099" i="18" s="1"/>
  <c r="AE18" i="18"/>
  <c r="AC18" i="18"/>
  <c r="AE12" i="18"/>
  <c r="AC12" i="18"/>
  <c r="AC1107" i="18"/>
  <c r="AF1106" i="18"/>
  <c r="AC1106" i="18"/>
  <c r="AB1106" i="18"/>
  <c r="AA1106" i="18"/>
  <c r="Z1106" i="18"/>
  <c r="Y1106" i="18"/>
  <c r="X1106" i="18"/>
  <c r="W1106" i="18"/>
  <c r="V1106" i="18"/>
  <c r="U1106" i="18"/>
  <c r="T1106" i="18"/>
  <c r="S1106" i="18"/>
  <c r="R1106" i="18"/>
  <c r="Q1106" i="18"/>
  <c r="AE1100" i="18"/>
  <c r="AC1100" i="18"/>
  <c r="AF1099" i="18"/>
  <c r="AI1094" i="18"/>
  <c r="AH1094" i="18"/>
  <c r="AG1094" i="18"/>
  <c r="AF1094" i="18"/>
  <c r="AE1094" i="18"/>
  <c r="AD1094" i="18"/>
  <c r="AC1094" i="18"/>
  <c r="AB1094" i="18"/>
  <c r="AA1094" i="18"/>
  <c r="Z1094" i="18"/>
  <c r="Y1094" i="18"/>
  <c r="X1094" i="18"/>
  <c r="W1094" i="18"/>
  <c r="V1094" i="18"/>
  <c r="U1094" i="18"/>
  <c r="T1094" i="18"/>
  <c r="S1094" i="18"/>
  <c r="R1094" i="18"/>
  <c r="Q1094" i="18"/>
  <c r="AB1090" i="18"/>
  <c r="AA1090" i="18"/>
  <c r="AF1090" i="18" s="1"/>
  <c r="Z1090" i="18"/>
  <c r="Y1090" i="18"/>
  <c r="X1090" i="18"/>
  <c r="W1090" i="18"/>
  <c r="AE1090" i="18" s="1"/>
  <c r="V1090" i="18"/>
  <c r="AD1090" i="18" s="1"/>
  <c r="U1090" i="18"/>
  <c r="T1090" i="18"/>
  <c r="S1090" i="18"/>
  <c r="R1090" i="18"/>
  <c r="Q1090" i="18"/>
  <c r="AC1090" i="18" s="1"/>
  <c r="AG1089" i="18"/>
  <c r="AB1089" i="18"/>
  <c r="AA1089" i="18"/>
  <c r="Z1089" i="18"/>
  <c r="AF1089" i="18" s="1"/>
  <c r="Y1089" i="18"/>
  <c r="X1089" i="18"/>
  <c r="W1089" i="18"/>
  <c r="AE1089" i="18" s="1"/>
  <c r="V1089" i="18"/>
  <c r="AD1089" i="18" s="1"/>
  <c r="U1089" i="18"/>
  <c r="T1089" i="18"/>
  <c r="S1089" i="18"/>
  <c r="R1089" i="18"/>
  <c r="Q1089" i="18"/>
  <c r="AC1089" i="18" s="1"/>
  <c r="AH1086" i="18"/>
  <c r="AB1086" i="18"/>
  <c r="AA1086" i="18"/>
  <c r="Z1086" i="18"/>
  <c r="AF1086" i="18" s="1"/>
  <c r="Y1086" i="18"/>
  <c r="X1086" i="18"/>
  <c r="W1086" i="18"/>
  <c r="AE1086" i="18" s="1"/>
  <c r="V1086" i="18"/>
  <c r="U1086" i="18"/>
  <c r="T1086" i="18"/>
  <c r="AD1086" i="18" s="1"/>
  <c r="S1086" i="18"/>
  <c r="R1086" i="18"/>
  <c r="AC1086" i="18" s="1"/>
  <c r="Q1086" i="18"/>
  <c r="AC1085" i="18"/>
  <c r="AB1085" i="18"/>
  <c r="AA1085" i="18"/>
  <c r="Z1085" i="18"/>
  <c r="AF1085" i="18" s="1"/>
  <c r="AH1085" i="18" s="1"/>
  <c r="Y1085" i="18"/>
  <c r="X1085" i="18"/>
  <c r="W1085" i="18"/>
  <c r="AE1085" i="18" s="1"/>
  <c r="V1085" i="18"/>
  <c r="U1085" i="18"/>
  <c r="AD1085" i="18" s="1"/>
  <c r="T1085" i="18"/>
  <c r="S1085" i="18"/>
  <c r="R1085" i="18"/>
  <c r="Q1085" i="18"/>
  <c r="AF1084" i="18"/>
  <c r="AB1084" i="18"/>
  <c r="AA1084" i="18"/>
  <c r="Z1084" i="18"/>
  <c r="Z1082" i="18" s="1"/>
  <c r="Y1084" i="18"/>
  <c r="X1084" i="18"/>
  <c r="X1082" i="18" s="1"/>
  <c r="W1084" i="18"/>
  <c r="AE1084" i="18" s="1"/>
  <c r="V1084" i="18"/>
  <c r="U1084" i="18"/>
  <c r="AD1084" i="18" s="1"/>
  <c r="T1084" i="18"/>
  <c r="S1084" i="18"/>
  <c r="R1084" i="18"/>
  <c r="R1082" i="18" s="1"/>
  <c r="Q1084" i="18"/>
  <c r="AC1084" i="18" s="1"/>
  <c r="AG1084" i="18" s="1"/>
  <c r="AB1082" i="18"/>
  <c r="AA1082" i="18"/>
  <c r="Y1082" i="18"/>
  <c r="W1082" i="18"/>
  <c r="V1082" i="18"/>
  <c r="T1082" i="18"/>
  <c r="S1082" i="18"/>
  <c r="Q1082" i="18"/>
  <c r="AF1074" i="18"/>
  <c r="AB1074" i="18"/>
  <c r="AA1074" i="18"/>
  <c r="Z1074" i="18"/>
  <c r="Y1074" i="18"/>
  <c r="X1074" i="18"/>
  <c r="W1074" i="18"/>
  <c r="V1074" i="18"/>
  <c r="U1074" i="18"/>
  <c r="T1074" i="18"/>
  <c r="S1074" i="18"/>
  <c r="R1074" i="18"/>
  <c r="Q1074" i="18"/>
  <c r="AC1074" i="18" s="1"/>
  <c r="AB1073" i="18"/>
  <c r="AA1073" i="18"/>
  <c r="Z1073" i="18"/>
  <c r="Y1073" i="18"/>
  <c r="X1073" i="18"/>
  <c r="W1073" i="18"/>
  <c r="V1073" i="18"/>
  <c r="U1073" i="18"/>
  <c r="T1073" i="18"/>
  <c r="S1073" i="18"/>
  <c r="R1073" i="18"/>
  <c r="Q1073" i="18"/>
  <c r="AC1073" i="18" s="1"/>
  <c r="AB1070" i="18"/>
  <c r="AA1070" i="18"/>
  <c r="Z1070" i="18"/>
  <c r="AF1070" i="18" s="1"/>
  <c r="Y1070" i="18"/>
  <c r="X1070" i="18"/>
  <c r="W1070" i="18"/>
  <c r="V1070" i="18"/>
  <c r="U1070" i="18"/>
  <c r="T1070" i="18"/>
  <c r="S1070" i="18"/>
  <c r="R1070" i="18"/>
  <c r="Q1070" i="18"/>
  <c r="AC1070" i="18" s="1"/>
  <c r="AB1068" i="18"/>
  <c r="AA1068" i="18"/>
  <c r="Z1068" i="18"/>
  <c r="Y1068" i="18"/>
  <c r="X1068" i="18"/>
  <c r="W1068" i="18"/>
  <c r="V1068" i="18"/>
  <c r="U1068" i="18"/>
  <c r="T1068" i="18"/>
  <c r="S1068" i="18"/>
  <c r="R1068" i="18"/>
  <c r="Q1068" i="18"/>
  <c r="AC1068" i="18" s="1"/>
  <c r="AI1061" i="18"/>
  <c r="AH1061" i="18"/>
  <c r="AG1061" i="18"/>
  <c r="AF1061" i="18"/>
  <c r="AE1061" i="18"/>
  <c r="AD1061" i="18"/>
  <c r="AC1061" i="18"/>
  <c r="AB1061" i="18"/>
  <c r="AA1061" i="18"/>
  <c r="Z1061" i="18"/>
  <c r="Y1061" i="18"/>
  <c r="X1061" i="18"/>
  <c r="W1061" i="18"/>
  <c r="V1061" i="18"/>
  <c r="U1061" i="18"/>
  <c r="T1061" i="18"/>
  <c r="S1061" i="18"/>
  <c r="R1061" i="18"/>
  <c r="Q1061" i="18"/>
  <c r="AH1057" i="18"/>
  <c r="AG1057" i="18"/>
  <c r="AI1057" i="18" s="1"/>
  <c r="AF1057" i="18"/>
  <c r="AE1057" i="18"/>
  <c r="AD1057" i="18"/>
  <c r="AC1057" i="18"/>
  <c r="AG1056" i="18"/>
  <c r="AF1056" i="18"/>
  <c r="AH1056" i="18" s="1"/>
  <c r="AE1056" i="18"/>
  <c r="AD1056" i="18"/>
  <c r="AC1056" i="18"/>
  <c r="AG1055" i="18"/>
  <c r="AF1055" i="18"/>
  <c r="AH1055" i="18" s="1"/>
  <c r="AE1055" i="18"/>
  <c r="AD1055" i="18"/>
  <c r="AC1055" i="18"/>
  <c r="AF1054" i="18"/>
  <c r="AH1054" i="18" s="1"/>
  <c r="AE1054" i="18"/>
  <c r="AD1054" i="18"/>
  <c r="AG1054" i="18" s="1"/>
  <c r="AI1054" i="18" s="1"/>
  <c r="AC1054" i="18"/>
  <c r="AF1053" i="18"/>
  <c r="AH1053" i="18" s="1"/>
  <c r="AE1053" i="18"/>
  <c r="AD1053" i="18"/>
  <c r="AC1053" i="18"/>
  <c r="AG1053" i="18" s="1"/>
  <c r="AI1053" i="18" s="1"/>
  <c r="AF1052" i="18"/>
  <c r="AH1052" i="18" s="1"/>
  <c r="AE1052" i="18"/>
  <c r="AD1052" i="18"/>
  <c r="AC1052" i="18"/>
  <c r="AG1052" i="18" s="1"/>
  <c r="AI1052" i="18" s="1"/>
  <c r="AI1051" i="18"/>
  <c r="AF1051" i="18"/>
  <c r="AH1051" i="18" s="1"/>
  <c r="AE1051" i="18"/>
  <c r="AD1051" i="18"/>
  <c r="AC1051" i="18"/>
  <c r="AG1051" i="18" s="1"/>
  <c r="AH1050" i="18"/>
  <c r="AF1050" i="18"/>
  <c r="AE1050" i="18"/>
  <c r="AD1050" i="18"/>
  <c r="AC1050" i="18"/>
  <c r="AG1050" i="18" s="1"/>
  <c r="AH1049" i="18"/>
  <c r="AG1049" i="18"/>
  <c r="AI1049" i="18" s="1"/>
  <c r="AF1049" i="18"/>
  <c r="AE1049" i="18"/>
  <c r="AD1049" i="18"/>
  <c r="AC1049" i="18"/>
  <c r="AG1048" i="18"/>
  <c r="AI1048" i="18" s="1"/>
  <c r="AF1048" i="18"/>
  <c r="AH1048" i="18" s="1"/>
  <c r="AE1048" i="18"/>
  <c r="AD1048" i="18"/>
  <c r="AC1048" i="18"/>
  <c r="AG1047" i="18"/>
  <c r="AF1047" i="18"/>
  <c r="AH1047" i="18" s="1"/>
  <c r="AE1047" i="18"/>
  <c r="AD1047" i="18"/>
  <c r="AC1047" i="18"/>
  <c r="AF1046" i="18"/>
  <c r="AH1046" i="18" s="1"/>
  <c r="AE1046" i="18"/>
  <c r="AD1046" i="18"/>
  <c r="AG1046" i="18" s="1"/>
  <c r="AI1046" i="18" s="1"/>
  <c r="AC1046" i="18"/>
  <c r="AF1045" i="18"/>
  <c r="AH1045" i="18" s="1"/>
  <c r="AE1045" i="18"/>
  <c r="AD1045" i="18"/>
  <c r="AC1045" i="18"/>
  <c r="AG1045" i="18" s="1"/>
  <c r="AF1044" i="18"/>
  <c r="AH1044" i="18" s="1"/>
  <c r="AE1044" i="18"/>
  <c r="AD1044" i="18"/>
  <c r="AC1044" i="18"/>
  <c r="AG1044" i="18" s="1"/>
  <c r="AI1044" i="18" s="1"/>
  <c r="AI1043" i="18"/>
  <c r="AF1043" i="18"/>
  <c r="AH1043" i="18" s="1"/>
  <c r="AE1043" i="18"/>
  <c r="AD1043" i="18"/>
  <c r="AC1043" i="18"/>
  <c r="AG1043" i="18" s="1"/>
  <c r="AH1042" i="18"/>
  <c r="AF1042" i="18"/>
  <c r="AE1042" i="18"/>
  <c r="AD1042" i="18"/>
  <c r="AC1042" i="18"/>
  <c r="AG1042" i="18" s="1"/>
  <c r="AH1041" i="18"/>
  <c r="AG1041" i="18"/>
  <c r="AI1041" i="18" s="1"/>
  <c r="AF1041" i="18"/>
  <c r="AE1041" i="18"/>
  <c r="AD1041" i="18"/>
  <c r="AC1041" i="18"/>
  <c r="AG1040" i="18"/>
  <c r="AI1040" i="18" s="1"/>
  <c r="AF1040" i="18"/>
  <c r="AH1040" i="18" s="1"/>
  <c r="AE1040" i="18"/>
  <c r="AD1040" i="18"/>
  <c r="AC1040" i="18"/>
  <c r="AG1039" i="18"/>
  <c r="AF1039" i="18"/>
  <c r="AE1039" i="18"/>
  <c r="AD1039" i="18"/>
  <c r="AC1039" i="18"/>
  <c r="AF1038" i="18"/>
  <c r="AH1038" i="18" s="1"/>
  <c r="AE1038" i="18"/>
  <c r="AD1038" i="18"/>
  <c r="AC1038" i="18"/>
  <c r="AG1038" i="18" s="1"/>
  <c r="AI1038" i="18" s="1"/>
  <c r="AF1037" i="18"/>
  <c r="AH1037" i="18" s="1"/>
  <c r="AE1037" i="18"/>
  <c r="AD1037" i="18"/>
  <c r="AC1037" i="18"/>
  <c r="AG1037" i="18" s="1"/>
  <c r="AI1037" i="18" s="1"/>
  <c r="AF1036" i="18"/>
  <c r="AH1036" i="18" s="1"/>
  <c r="AE1036" i="18"/>
  <c r="AD1036" i="18"/>
  <c r="AC1036" i="18"/>
  <c r="AG1036" i="18" s="1"/>
  <c r="AI1036" i="18" s="1"/>
  <c r="AI1035" i="18"/>
  <c r="AH1035" i="18"/>
  <c r="AG1035" i="18"/>
  <c r="AF1035" i="18"/>
  <c r="AE1035" i="18"/>
  <c r="AD1035" i="18"/>
  <c r="AC1035" i="18"/>
  <c r="AB1035" i="18"/>
  <c r="AA1035" i="18"/>
  <c r="Z1035" i="18"/>
  <c r="Y1035" i="18"/>
  <c r="X1035" i="18"/>
  <c r="W1035" i="18"/>
  <c r="V1035" i="18"/>
  <c r="U1035" i="18"/>
  <c r="T1035" i="18"/>
  <c r="S1035" i="18"/>
  <c r="R1035" i="18"/>
  <c r="Q1035" i="18"/>
  <c r="AF1032" i="18"/>
  <c r="AH1032" i="18" s="1"/>
  <c r="AI1032" i="18" s="1"/>
  <c r="AE1032" i="18"/>
  <c r="AD1032" i="18"/>
  <c r="AG1032" i="18" s="1"/>
  <c r="AC1032" i="18"/>
  <c r="AF1031" i="18"/>
  <c r="AH1031" i="18" s="1"/>
  <c r="AI1031" i="18" s="1"/>
  <c r="AE1031" i="18"/>
  <c r="AD1031" i="18"/>
  <c r="AG1031" i="18" s="1"/>
  <c r="AC1031" i="18"/>
  <c r="AC1030" i="18"/>
  <c r="AB1030" i="18"/>
  <c r="AF1030" i="18" s="1"/>
  <c r="AH1030" i="18" s="1"/>
  <c r="AI1030" i="18" s="1"/>
  <c r="AA1030" i="18"/>
  <c r="Z1030" i="18"/>
  <c r="Y1030" i="18"/>
  <c r="AE1030" i="18" s="1"/>
  <c r="X1030" i="18"/>
  <c r="W1030" i="18"/>
  <c r="V1030" i="18"/>
  <c r="AD1030" i="18" s="1"/>
  <c r="AG1030" i="18" s="1"/>
  <c r="U1030" i="18"/>
  <c r="T1030" i="18"/>
  <c r="S1030" i="18"/>
  <c r="R1030" i="18"/>
  <c r="Q1030" i="18"/>
  <c r="AG1027" i="18"/>
  <c r="AF1027" i="18"/>
  <c r="AH1027" i="18" s="1"/>
  <c r="AI1027" i="18" s="1"/>
  <c r="AE1027" i="18"/>
  <c r="AD1027" i="18"/>
  <c r="AC1027" i="18"/>
  <c r="AF1026" i="18"/>
  <c r="AH1026" i="18" s="1"/>
  <c r="AI1026" i="18" s="1"/>
  <c r="AE1026" i="18"/>
  <c r="AD1026" i="18"/>
  <c r="AG1026" i="18" s="1"/>
  <c r="AC1026" i="18"/>
  <c r="AE1025" i="18"/>
  <c r="AC1025" i="18"/>
  <c r="AB1025" i="18"/>
  <c r="AF1025" i="18" s="1"/>
  <c r="AH1025" i="18" s="1"/>
  <c r="AI1025" i="18" s="1"/>
  <c r="AA1025" i="18"/>
  <c r="Z1025" i="18"/>
  <c r="Y1025" i="18"/>
  <c r="X1025" i="18"/>
  <c r="W1025" i="18"/>
  <c r="V1025" i="18"/>
  <c r="AD1025" i="18" s="1"/>
  <c r="AG1025" i="18" s="1"/>
  <c r="U1025" i="18"/>
  <c r="T1025" i="18"/>
  <c r="S1025" i="18"/>
  <c r="R1025" i="18"/>
  <c r="Q1025" i="18"/>
  <c r="AF1020" i="18"/>
  <c r="AH1020" i="18" s="1"/>
  <c r="AE1020" i="18"/>
  <c r="AD1020" i="18"/>
  <c r="AC1020" i="18"/>
  <c r="AG1020" i="18" s="1"/>
  <c r="AI1020" i="18" s="1"/>
  <c r="AF1016" i="18"/>
  <c r="AH1016" i="18" s="1"/>
  <c r="AE1016" i="18"/>
  <c r="AD1016" i="18"/>
  <c r="AC1016" i="18"/>
  <c r="AG1016" i="18" s="1"/>
  <c r="AI1016" i="18" s="1"/>
  <c r="AF1013" i="18"/>
  <c r="AH1013" i="18" s="1"/>
  <c r="AE1013" i="18"/>
  <c r="AD1013" i="18"/>
  <c r="AC1013" i="18"/>
  <c r="AG1013" i="18" s="1"/>
  <c r="AI1013" i="18" s="1"/>
  <c r="AF1012" i="18"/>
  <c r="AH1012" i="18" s="1"/>
  <c r="AE1012" i="18"/>
  <c r="AD1012" i="18"/>
  <c r="AC1012" i="18"/>
  <c r="AG1012" i="18" s="1"/>
  <c r="AI1012" i="18" s="1"/>
  <c r="AB1011" i="18"/>
  <c r="AA1011" i="18"/>
  <c r="Z1011" i="18"/>
  <c r="AF1011" i="18" s="1"/>
  <c r="AH1011" i="18" s="1"/>
  <c r="Y1011" i="18"/>
  <c r="X1011" i="18"/>
  <c r="W1011" i="18"/>
  <c r="AE1011" i="18" s="1"/>
  <c r="V1011" i="18"/>
  <c r="U1011" i="18"/>
  <c r="T1011" i="18"/>
  <c r="AD1011" i="18" s="1"/>
  <c r="S1011" i="18"/>
  <c r="R1011" i="18"/>
  <c r="AC1011" i="18" s="1"/>
  <c r="AG1011" i="18" s="1"/>
  <c r="Q1011" i="18"/>
  <c r="AF1010" i="18"/>
  <c r="AH1010" i="18" s="1"/>
  <c r="AE1010" i="18"/>
  <c r="AD1010" i="18"/>
  <c r="AC1010" i="18"/>
  <c r="AG1010" i="18" s="1"/>
  <c r="AB1006" i="18"/>
  <c r="AF1006" i="18" s="1"/>
  <c r="AH1006" i="18" s="1"/>
  <c r="AI1006" i="18" s="1"/>
  <c r="T1006" i="18"/>
  <c r="AG1005" i="18"/>
  <c r="AF1005" i="18"/>
  <c r="AH1005" i="18" s="1"/>
  <c r="AI1005" i="18" s="1"/>
  <c r="AE1005" i="18"/>
  <c r="AD1005" i="18"/>
  <c r="AC1005" i="18"/>
  <c r="AF1004" i="18"/>
  <c r="AH1004" i="18" s="1"/>
  <c r="AI1004" i="18" s="1"/>
  <c r="AE1004" i="18"/>
  <c r="AD1004" i="18"/>
  <c r="AG1004" i="18" s="1"/>
  <c r="AC1004" i="18"/>
  <c r="AD1003" i="18"/>
  <c r="AC1003" i="18"/>
  <c r="AB1003" i="18"/>
  <c r="AA1003" i="18"/>
  <c r="AA1006" i="18" s="1"/>
  <c r="Z1003" i="18"/>
  <c r="Z1006" i="18" s="1"/>
  <c r="Y1003" i="18"/>
  <c r="Y1006" i="18" s="1"/>
  <c r="AE1006" i="18" s="1"/>
  <c r="X1003" i="18"/>
  <c r="X1006" i="18" s="1"/>
  <c r="W1003" i="18"/>
  <c r="W1006" i="18" s="1"/>
  <c r="V1003" i="18"/>
  <c r="V1006" i="18" s="1"/>
  <c r="AD1006" i="18" s="1"/>
  <c r="AG1006" i="18" s="1"/>
  <c r="U1003" i="18"/>
  <c r="U1006" i="18" s="1"/>
  <c r="T1003" i="18"/>
  <c r="S1003" i="18"/>
  <c r="S1006" i="18" s="1"/>
  <c r="AC1006" i="18" s="1"/>
  <c r="R1003" i="18"/>
  <c r="R1006" i="18" s="1"/>
  <c r="Q1003" i="18"/>
  <c r="Q1006" i="18" s="1"/>
  <c r="Z1002" i="18"/>
  <c r="Y1002" i="18"/>
  <c r="AE1002" i="18" s="1"/>
  <c r="X1002" i="18"/>
  <c r="R1002" i="18"/>
  <c r="Q1002" i="18"/>
  <c r="AE1001" i="18"/>
  <c r="AB1001" i="18"/>
  <c r="AF1001" i="18" s="1"/>
  <c r="AH1001" i="18" s="1"/>
  <c r="AI1001" i="18" s="1"/>
  <c r="AA1001" i="18"/>
  <c r="Z1001" i="18"/>
  <c r="Y1001" i="18"/>
  <c r="X1001" i="18"/>
  <c r="W1001" i="18"/>
  <c r="V1001" i="18"/>
  <c r="AD1001" i="18" s="1"/>
  <c r="AG1001" i="18" s="1"/>
  <c r="U1001" i="18"/>
  <c r="T1001" i="18"/>
  <c r="S1001" i="18"/>
  <c r="AC1001" i="18" s="1"/>
  <c r="R1001" i="18"/>
  <c r="Q1001" i="18"/>
  <c r="AF1000" i="18"/>
  <c r="AH1000" i="18" s="1"/>
  <c r="AI1000" i="18" s="1"/>
  <c r="AE1000" i="18"/>
  <c r="AD1000" i="18"/>
  <c r="AG1000" i="18" s="1"/>
  <c r="AC1000" i="18"/>
  <c r="AF999" i="18"/>
  <c r="AH999" i="18" s="1"/>
  <c r="AI999" i="18" s="1"/>
  <c r="AE999" i="18"/>
  <c r="AD999" i="18"/>
  <c r="AG999" i="18" s="1"/>
  <c r="AC999" i="18"/>
  <c r="AC998" i="18"/>
  <c r="AB998" i="18"/>
  <c r="AA998" i="18"/>
  <c r="Z998" i="18"/>
  <c r="Y998" i="18"/>
  <c r="X998" i="18"/>
  <c r="W998" i="18"/>
  <c r="W1002" i="18" s="1"/>
  <c r="V998" i="18"/>
  <c r="V997" i="18" s="1"/>
  <c r="U998" i="18"/>
  <c r="T998" i="18"/>
  <c r="S998" i="18"/>
  <c r="R998" i="18"/>
  <c r="Q998" i="18"/>
  <c r="AA997" i="18"/>
  <c r="Z997" i="18"/>
  <c r="Y997" i="18"/>
  <c r="X997" i="18"/>
  <c r="W997" i="18"/>
  <c r="S997" i="18"/>
  <c r="R997" i="18"/>
  <c r="Q997" i="18"/>
  <c r="AH994" i="18"/>
  <c r="AF994" i="18"/>
  <c r="AE994" i="18"/>
  <c r="AD994" i="18"/>
  <c r="AG994" i="18" s="1"/>
  <c r="AC994" i="18"/>
  <c r="AH993" i="18"/>
  <c r="AI993" i="18" s="1"/>
  <c r="AG993" i="18"/>
  <c r="AG992" i="18" s="1"/>
  <c r="AF993" i="18"/>
  <c r="AE993" i="18"/>
  <c r="AD993" i="18"/>
  <c r="AC993" i="18"/>
  <c r="AF992" i="18"/>
  <c r="AE992" i="18"/>
  <c r="AD992" i="18"/>
  <c r="AC992" i="18"/>
  <c r="AB992" i="18"/>
  <c r="AA992" i="18"/>
  <c r="Z992" i="18"/>
  <c r="Y992" i="18"/>
  <c r="X992" i="18"/>
  <c r="W992" i="18"/>
  <c r="V992" i="18"/>
  <c r="U992" i="18"/>
  <c r="T992" i="18"/>
  <c r="S992" i="18"/>
  <c r="R992" i="18"/>
  <c r="Q992" i="18"/>
  <c r="AI991" i="18"/>
  <c r="AF991" i="18"/>
  <c r="AH991" i="18" s="1"/>
  <c r="AE991" i="18"/>
  <c r="AD991" i="18"/>
  <c r="AG991" i="18" s="1"/>
  <c r="AC991" i="18"/>
  <c r="AH990" i="18"/>
  <c r="AG990" i="18"/>
  <c r="AF990" i="18"/>
  <c r="AE990" i="18"/>
  <c r="AE989" i="18" s="1"/>
  <c r="AD990" i="18"/>
  <c r="AC990" i="18"/>
  <c r="AC989" i="18" s="1"/>
  <c r="AG989" i="18"/>
  <c r="AF989" i="18"/>
  <c r="AD989" i="18"/>
  <c r="AB989" i="18"/>
  <c r="AA989" i="18"/>
  <c r="Z989" i="18"/>
  <c r="Y989" i="18"/>
  <c r="X989" i="18"/>
  <c r="W989" i="18"/>
  <c r="V989" i="18"/>
  <c r="U989" i="18"/>
  <c r="T989" i="18"/>
  <c r="S989" i="18"/>
  <c r="R989" i="18"/>
  <c r="Q989" i="18"/>
  <c r="AI988" i="18"/>
  <c r="AI1003" i="18" s="1"/>
  <c r="AH988" i="18"/>
  <c r="AH1003" i="18" s="1"/>
  <c r="AF988" i="18"/>
  <c r="AF1003" i="18" s="1"/>
  <c r="AE988" i="18"/>
  <c r="AE1003" i="18" s="1"/>
  <c r="AD988" i="18"/>
  <c r="AG988" i="18" s="1"/>
  <c r="AC988" i="18"/>
  <c r="AI987" i="18"/>
  <c r="AI977" i="18" s="1"/>
  <c r="AF987" i="18"/>
  <c r="AH987" i="18" s="1"/>
  <c r="AH977" i="18" s="1"/>
  <c r="AE987" i="18"/>
  <c r="AD987" i="18"/>
  <c r="AG987" i="18" s="1"/>
  <c r="AG977" i="18" s="1"/>
  <c r="AC987" i="18"/>
  <c r="AH986" i="18"/>
  <c r="AG986" i="18"/>
  <c r="AG998" i="18" s="1"/>
  <c r="AF986" i="18"/>
  <c r="AF998" i="18" s="1"/>
  <c r="AF997" i="18" s="1"/>
  <c r="AE986" i="18"/>
  <c r="AE985" i="18" s="1"/>
  <c r="AD986" i="18"/>
  <c r="AD998" i="18" s="1"/>
  <c r="AD997" i="18" s="1"/>
  <c r="AC986" i="18"/>
  <c r="AC985" i="18" s="1"/>
  <c r="AF985" i="18"/>
  <c r="AB985" i="18"/>
  <c r="AA985" i="18"/>
  <c r="Z985" i="18"/>
  <c r="Y985" i="18"/>
  <c r="X985" i="18"/>
  <c r="W985" i="18"/>
  <c r="V985" i="18"/>
  <c r="U985" i="18"/>
  <c r="T985" i="18"/>
  <c r="S985" i="18"/>
  <c r="R985" i="18"/>
  <c r="Q985" i="18"/>
  <c r="AH984" i="18"/>
  <c r="AI984" i="18" s="1"/>
  <c r="AF984" i="18"/>
  <c r="AE984" i="18"/>
  <c r="AD984" i="18"/>
  <c r="AG984" i="18" s="1"/>
  <c r="AG982" i="18" s="1"/>
  <c r="AC984" i="18"/>
  <c r="AI983" i="18"/>
  <c r="AI982" i="18" s="1"/>
  <c r="AG983" i="18"/>
  <c r="AF983" i="18"/>
  <c r="AH983" i="18" s="1"/>
  <c r="AH982" i="18" s="1"/>
  <c r="AE983" i="18"/>
  <c r="AD983" i="18"/>
  <c r="AD982" i="18" s="1"/>
  <c r="AC983" i="18"/>
  <c r="AC982" i="18" s="1"/>
  <c r="AF982" i="18"/>
  <c r="AE982" i="18"/>
  <c r="AB982" i="18"/>
  <c r="AA982" i="18"/>
  <c r="Z982" i="18"/>
  <c r="Y982" i="18"/>
  <c r="X982" i="18"/>
  <c r="W982" i="18"/>
  <c r="V982" i="18"/>
  <c r="U982" i="18"/>
  <c r="T982" i="18"/>
  <c r="S982" i="18"/>
  <c r="R982" i="18"/>
  <c r="Q982" i="18"/>
  <c r="AH981" i="18"/>
  <c r="AI981" i="18" s="1"/>
  <c r="AF981" i="18"/>
  <c r="AE981" i="18"/>
  <c r="AE978" i="18" s="1"/>
  <c r="AD981" i="18"/>
  <c r="AD978" i="18" s="1"/>
  <c r="AC981" i="18"/>
  <c r="AC978" i="18" s="1"/>
  <c r="AD980" i="18"/>
  <c r="AG980" i="18" s="1"/>
  <c r="AB980" i="18"/>
  <c r="Z980" i="18"/>
  <c r="Y980" i="18"/>
  <c r="AE980" i="18" s="1"/>
  <c r="X980" i="18"/>
  <c r="V980" i="18"/>
  <c r="U980" i="18"/>
  <c r="T980" i="18"/>
  <c r="T979" i="18" s="1"/>
  <c r="S980" i="18"/>
  <c r="S979" i="18" s="1"/>
  <c r="R980" i="18"/>
  <c r="Q980" i="18"/>
  <c r="AD979" i="18"/>
  <c r="AA979" i="18"/>
  <c r="Z979" i="18"/>
  <c r="Y979" i="18"/>
  <c r="X979" i="18"/>
  <c r="W979" i="18"/>
  <c r="V979" i="18"/>
  <c r="U979" i="18"/>
  <c r="Q979" i="18"/>
  <c r="AF978" i="18"/>
  <c r="AB978" i="18"/>
  <c r="AA978" i="18"/>
  <c r="Z978" i="18"/>
  <c r="Y978" i="18"/>
  <c r="X978" i="18"/>
  <c r="W978" i="18"/>
  <c r="V978" i="18"/>
  <c r="U978" i="18"/>
  <c r="T978" i="18"/>
  <c r="S978" i="18"/>
  <c r="R978" i="18"/>
  <c r="Q978" i="18"/>
  <c r="AF977" i="18"/>
  <c r="AE977" i="18"/>
  <c r="AD977" i="18"/>
  <c r="AC977" i="18"/>
  <c r="AB977" i="18"/>
  <c r="AA977" i="18"/>
  <c r="AA975" i="18" s="1"/>
  <c r="Z977" i="18"/>
  <c r="Y977" i="18"/>
  <c r="X977" i="18"/>
  <c r="W977" i="18"/>
  <c r="V977" i="18"/>
  <c r="U977" i="18"/>
  <c r="T977" i="18"/>
  <c r="T975" i="18" s="1"/>
  <c r="S977" i="18"/>
  <c r="R977" i="18"/>
  <c r="Q977" i="18"/>
  <c r="AD976" i="18"/>
  <c r="AA976" i="18"/>
  <c r="Z976" i="18"/>
  <c r="Y976" i="18"/>
  <c r="X976" i="18"/>
  <c r="X975" i="18" s="1"/>
  <c r="W976" i="18"/>
  <c r="W975" i="18" s="1"/>
  <c r="V976" i="18"/>
  <c r="V975" i="18" s="1"/>
  <c r="U976" i="18"/>
  <c r="T976" i="18"/>
  <c r="Q976" i="18"/>
  <c r="Z975" i="18"/>
  <c r="Y975" i="18"/>
  <c r="U975" i="18"/>
  <c r="Q975" i="18"/>
  <c r="AI974" i="18"/>
  <c r="AH974" i="18"/>
  <c r="AG974" i="18"/>
  <c r="AF974" i="18"/>
  <c r="AE974" i="18"/>
  <c r="AD974" i="18"/>
  <c r="AC974" i="18"/>
  <c r="AB974" i="18"/>
  <c r="AA974" i="18"/>
  <c r="Z974" i="18"/>
  <c r="Y974" i="18"/>
  <c r="X974" i="18"/>
  <c r="W974" i="18"/>
  <c r="V974" i="18"/>
  <c r="U974" i="18"/>
  <c r="T974" i="18"/>
  <c r="S974" i="18"/>
  <c r="R974" i="18"/>
  <c r="Q974" i="18"/>
  <c r="AG970" i="18"/>
  <c r="AF970" i="18"/>
  <c r="AH970" i="18" s="1"/>
  <c r="AI970" i="18" s="1"/>
  <c r="AE970" i="18"/>
  <c r="AD970" i="18"/>
  <c r="AC970" i="18"/>
  <c r="AF969" i="18"/>
  <c r="AH969" i="18" s="1"/>
  <c r="AI969" i="18" s="1"/>
  <c r="AE969" i="18"/>
  <c r="AD969" i="18"/>
  <c r="AG969" i="18" s="1"/>
  <c r="AC969" i="18"/>
  <c r="AF968" i="18"/>
  <c r="AH968" i="18" s="1"/>
  <c r="AE968" i="18"/>
  <c r="AE966" i="18" s="1"/>
  <c r="AD968" i="18"/>
  <c r="AG968" i="18" s="1"/>
  <c r="AC968" i="18"/>
  <c r="AH967" i="18"/>
  <c r="AI967" i="18" s="1"/>
  <c r="AF967" i="18"/>
  <c r="AE967" i="18"/>
  <c r="AD967" i="18"/>
  <c r="AG967" i="18" s="1"/>
  <c r="AC967" i="18"/>
  <c r="AC966" i="18" s="1"/>
  <c r="AF966" i="18"/>
  <c r="AB966" i="18"/>
  <c r="AB943" i="18" s="1"/>
  <c r="AA966" i="18"/>
  <c r="AA943" i="18" s="1"/>
  <c r="Z966" i="18"/>
  <c r="Y966" i="18"/>
  <c r="X966" i="18"/>
  <c r="W966" i="18"/>
  <c r="V966" i="18"/>
  <c r="U966" i="18"/>
  <c r="T966" i="18"/>
  <c r="T943" i="18" s="1"/>
  <c r="S966" i="18"/>
  <c r="S943" i="18" s="1"/>
  <c r="R966" i="18"/>
  <c r="Q966" i="18"/>
  <c r="AF965" i="18"/>
  <c r="AH965" i="18" s="1"/>
  <c r="AI965" i="18" s="1"/>
  <c r="AE965" i="18"/>
  <c r="AE960" i="18" s="1"/>
  <c r="AD965" i="18"/>
  <c r="AG965" i="18" s="1"/>
  <c r="AC965" i="18"/>
  <c r="AF964" i="18"/>
  <c r="AH964" i="18" s="1"/>
  <c r="AI964" i="18" s="1"/>
  <c r="AE964" i="18"/>
  <c r="AD964" i="18"/>
  <c r="AD960" i="18" s="1"/>
  <c r="AC964" i="18"/>
  <c r="AF963" i="18"/>
  <c r="AH963" i="18" s="1"/>
  <c r="AI963" i="18" s="1"/>
  <c r="AE963" i="18"/>
  <c r="AD963" i="18"/>
  <c r="AG963" i="18" s="1"/>
  <c r="AC963" i="18"/>
  <c r="AC960" i="18" s="1"/>
  <c r="AF962" i="18"/>
  <c r="AH962" i="18" s="1"/>
  <c r="AI962" i="18" s="1"/>
  <c r="AE962" i="18"/>
  <c r="AD962" i="18"/>
  <c r="AG962" i="18" s="1"/>
  <c r="AC962" i="18"/>
  <c r="AH961" i="18"/>
  <c r="AF961" i="18"/>
  <c r="AE961" i="18"/>
  <c r="AD961" i="18"/>
  <c r="AG961" i="18" s="1"/>
  <c r="AC961" i="18"/>
  <c r="AF960" i="18"/>
  <c r="AB960" i="18"/>
  <c r="AA960" i="18"/>
  <c r="Z960" i="18"/>
  <c r="Z943" i="18" s="1"/>
  <c r="Y960" i="18"/>
  <c r="Y943" i="18" s="1"/>
  <c r="X960" i="18"/>
  <c r="W960" i="18"/>
  <c r="V960" i="18"/>
  <c r="U960" i="18"/>
  <c r="T960" i="18"/>
  <c r="S960" i="18"/>
  <c r="R960" i="18"/>
  <c r="R943" i="18" s="1"/>
  <c r="Q960" i="18"/>
  <c r="Q943" i="18" s="1"/>
  <c r="AF959" i="18"/>
  <c r="AH959" i="18" s="1"/>
  <c r="AI959" i="18" s="1"/>
  <c r="AE959" i="18"/>
  <c r="AD959" i="18"/>
  <c r="AG959" i="18" s="1"/>
  <c r="AC959" i="18"/>
  <c r="AC955" i="18" s="1"/>
  <c r="AF958" i="18"/>
  <c r="AH958" i="18" s="1"/>
  <c r="AI958" i="18" s="1"/>
  <c r="AE958" i="18"/>
  <c r="AD958" i="18"/>
  <c r="AG958" i="18" s="1"/>
  <c r="AC958" i="18"/>
  <c r="AH957" i="18"/>
  <c r="AI957" i="18" s="1"/>
  <c r="AF957" i="18"/>
  <c r="AE957" i="18"/>
  <c r="AD957" i="18"/>
  <c r="AG957" i="18" s="1"/>
  <c r="AC957" i="18"/>
  <c r="AH956" i="18"/>
  <c r="AG956" i="18"/>
  <c r="AG955" i="18" s="1"/>
  <c r="AF956" i="18"/>
  <c r="AE956" i="18"/>
  <c r="AD956" i="18"/>
  <c r="AC956" i="18"/>
  <c r="AF955" i="18"/>
  <c r="AE955" i="18"/>
  <c r="AD955" i="18"/>
  <c r="AB955" i="18"/>
  <c r="AA955" i="18"/>
  <c r="Z955" i="18"/>
  <c r="Y955" i="18"/>
  <c r="X955" i="18"/>
  <c r="W955" i="18"/>
  <c r="V955" i="18"/>
  <c r="U955" i="18"/>
  <c r="T955" i="18"/>
  <c r="S955" i="18"/>
  <c r="R955" i="18"/>
  <c r="Q955" i="18"/>
  <c r="AF954" i="18"/>
  <c r="AH954" i="18" s="1"/>
  <c r="AI954" i="18" s="1"/>
  <c r="AE954" i="18"/>
  <c r="AD954" i="18"/>
  <c r="AG954" i="18" s="1"/>
  <c r="AC954" i="18"/>
  <c r="AH953" i="18"/>
  <c r="AI953" i="18" s="1"/>
  <c r="AF953" i="18"/>
  <c r="AE953" i="18"/>
  <c r="AD953" i="18"/>
  <c r="AG953" i="18" s="1"/>
  <c r="AC953" i="18"/>
  <c r="AH952" i="18"/>
  <c r="AI952" i="18" s="1"/>
  <c r="AG952" i="18"/>
  <c r="AF952" i="18"/>
  <c r="AE952" i="18"/>
  <c r="AD952" i="18"/>
  <c r="AC952" i="18"/>
  <c r="AG951" i="18"/>
  <c r="AF951" i="18"/>
  <c r="AH951" i="18" s="1"/>
  <c r="AI951" i="18" s="1"/>
  <c r="AE951" i="18"/>
  <c r="AD951" i="18"/>
  <c r="AC951" i="18"/>
  <c r="AF950" i="18"/>
  <c r="AE950" i="18"/>
  <c r="AD950" i="18"/>
  <c r="AG950" i="18" s="1"/>
  <c r="AC950" i="18"/>
  <c r="AE949" i="18"/>
  <c r="AD949" i="18"/>
  <c r="AC949" i="18"/>
  <c r="AB949" i="18"/>
  <c r="AA949" i="18"/>
  <c r="Z949" i="18"/>
  <c r="Y949" i="18"/>
  <c r="X949" i="18"/>
  <c r="W949" i="18"/>
  <c r="W943" i="18" s="1"/>
  <c r="V949" i="18"/>
  <c r="U949" i="18"/>
  <c r="T949" i="18"/>
  <c r="S949" i="18"/>
  <c r="R949" i="18"/>
  <c r="Q949" i="18"/>
  <c r="AH948" i="18"/>
  <c r="AI948" i="18" s="1"/>
  <c r="AG948" i="18"/>
  <c r="AF948" i="18"/>
  <c r="AE948" i="18"/>
  <c r="AD948" i="18"/>
  <c r="AC948" i="18"/>
  <c r="AG947" i="18"/>
  <c r="AF947" i="18"/>
  <c r="AH947" i="18" s="1"/>
  <c r="AI947" i="18" s="1"/>
  <c r="AE947" i="18"/>
  <c r="AD947" i="18"/>
  <c r="AC947" i="18"/>
  <c r="AF946" i="18"/>
  <c r="AE946" i="18"/>
  <c r="AD946" i="18"/>
  <c r="AG946" i="18" s="1"/>
  <c r="AC946" i="18"/>
  <c r="AH945" i="18"/>
  <c r="AI945" i="18" s="1"/>
  <c r="AF945" i="18"/>
  <c r="AE945" i="18"/>
  <c r="AE944" i="18" s="1"/>
  <c r="AD945" i="18"/>
  <c r="AG945" i="18" s="1"/>
  <c r="AG944" i="18" s="1"/>
  <c r="AC945" i="18"/>
  <c r="AC944" i="18"/>
  <c r="AB944" i="18"/>
  <c r="AA944" i="18"/>
  <c r="Z944" i="18"/>
  <c r="Y944" i="18"/>
  <c r="X944" i="18"/>
  <c r="W944" i="18"/>
  <c r="V944" i="18"/>
  <c r="U944" i="18"/>
  <c r="U943" i="18" s="1"/>
  <c r="T944" i="18"/>
  <c r="S944" i="18"/>
  <c r="R944" i="18"/>
  <c r="Q944" i="18"/>
  <c r="X943" i="18"/>
  <c r="AF940" i="18"/>
  <c r="AH940" i="18" s="1"/>
  <c r="AI940" i="18" s="1"/>
  <c r="AE940" i="18"/>
  <c r="AD940" i="18"/>
  <c r="AG940" i="18" s="1"/>
  <c r="AC940" i="18"/>
  <c r="AH939" i="18"/>
  <c r="AI939" i="18" s="1"/>
  <c r="AF939" i="18"/>
  <c r="AE939" i="18"/>
  <c r="AD939" i="18"/>
  <c r="AG939" i="18" s="1"/>
  <c r="AC939" i="18"/>
  <c r="AH938" i="18"/>
  <c r="AI938" i="18" s="1"/>
  <c r="AG938" i="18"/>
  <c r="AF938" i="18"/>
  <c r="AE938" i="18"/>
  <c r="AD938" i="18"/>
  <c r="AC938" i="18"/>
  <c r="AG937" i="18"/>
  <c r="AG936" i="18" s="1"/>
  <c r="AF937" i="18"/>
  <c r="AH937" i="18" s="1"/>
  <c r="AE937" i="18"/>
  <c r="AD937" i="18"/>
  <c r="AC937" i="18"/>
  <c r="AF936" i="18"/>
  <c r="AE936" i="18"/>
  <c r="AD936" i="18"/>
  <c r="AC936" i="18"/>
  <c r="AB936" i="18"/>
  <c r="AA936" i="18"/>
  <c r="Z936" i="18"/>
  <c r="Y936" i="18"/>
  <c r="X936" i="18"/>
  <c r="X913" i="18" s="1"/>
  <c r="W936" i="18"/>
  <c r="V936" i="18"/>
  <c r="U936" i="18"/>
  <c r="T936" i="18"/>
  <c r="S936" i="18"/>
  <c r="R936" i="18"/>
  <c r="Q936" i="18"/>
  <c r="AI935" i="18"/>
  <c r="AH935" i="18"/>
  <c r="AF935" i="18"/>
  <c r="AE935" i="18"/>
  <c r="AD935" i="18"/>
  <c r="AG935" i="18" s="1"/>
  <c r="AC935" i="18"/>
  <c r="AH934" i="18"/>
  <c r="AI934" i="18" s="1"/>
  <c r="AG934" i="18"/>
  <c r="AF934" i="18"/>
  <c r="AE934" i="18"/>
  <c r="AD934" i="18"/>
  <c r="AC934" i="18"/>
  <c r="AG933" i="18"/>
  <c r="AF933" i="18"/>
  <c r="AH933" i="18" s="1"/>
  <c r="AI933" i="18" s="1"/>
  <c r="AE933" i="18"/>
  <c r="AD933" i="18"/>
  <c r="AC933" i="18"/>
  <c r="AF932" i="18"/>
  <c r="AH932" i="18" s="1"/>
  <c r="AI932" i="18" s="1"/>
  <c r="AE932" i="18"/>
  <c r="AD932" i="18"/>
  <c r="AG932" i="18" s="1"/>
  <c r="AC932" i="18"/>
  <c r="AF931" i="18"/>
  <c r="AH931" i="18" s="1"/>
  <c r="AE931" i="18"/>
  <c r="AE930" i="18" s="1"/>
  <c r="AD931" i="18"/>
  <c r="AG931" i="18" s="1"/>
  <c r="AC931" i="18"/>
  <c r="AC930" i="18"/>
  <c r="AB930" i="18"/>
  <c r="AA930" i="18"/>
  <c r="Z930" i="18"/>
  <c r="Y930" i="18"/>
  <c r="X930" i="18"/>
  <c r="W930" i="18"/>
  <c r="V930" i="18"/>
  <c r="U930" i="18"/>
  <c r="T930" i="18"/>
  <c r="S930" i="18"/>
  <c r="R930" i="18"/>
  <c r="Q930" i="18"/>
  <c r="AG929" i="18"/>
  <c r="AF929" i="18"/>
  <c r="AH929" i="18" s="1"/>
  <c r="AI929" i="18" s="1"/>
  <c r="AE929" i="18"/>
  <c r="AD929" i="18"/>
  <c r="AC929" i="18"/>
  <c r="AF928" i="18"/>
  <c r="AE928" i="18"/>
  <c r="AD928" i="18"/>
  <c r="AG928" i="18" s="1"/>
  <c r="AC928" i="18"/>
  <c r="AF927" i="18"/>
  <c r="AH927" i="18" s="1"/>
  <c r="AI927" i="18" s="1"/>
  <c r="AE927" i="18"/>
  <c r="AD927" i="18"/>
  <c r="AG927" i="18" s="1"/>
  <c r="AC927" i="18"/>
  <c r="AF926" i="18"/>
  <c r="AH926" i="18" s="1"/>
  <c r="AE926" i="18"/>
  <c r="AD926" i="18"/>
  <c r="AC926" i="18"/>
  <c r="AC925" i="18"/>
  <c r="AB925" i="18"/>
  <c r="AA925" i="18"/>
  <c r="Z925" i="18"/>
  <c r="Y925" i="18"/>
  <c r="X925" i="18"/>
  <c r="W925" i="18"/>
  <c r="V925" i="18"/>
  <c r="U925" i="18"/>
  <c r="T925" i="18"/>
  <c r="S925" i="18"/>
  <c r="R925" i="18"/>
  <c r="Q925" i="18"/>
  <c r="AF924" i="18"/>
  <c r="AE924" i="18"/>
  <c r="AD924" i="18"/>
  <c r="AG924" i="18" s="1"/>
  <c r="AC924" i="18"/>
  <c r="AF923" i="18"/>
  <c r="AH923" i="18" s="1"/>
  <c r="AI923" i="18" s="1"/>
  <c r="AE923" i="18"/>
  <c r="AD923" i="18"/>
  <c r="AG923" i="18" s="1"/>
  <c r="AC923" i="18"/>
  <c r="AF922" i="18"/>
  <c r="AH922" i="18" s="1"/>
  <c r="AI922" i="18" s="1"/>
  <c r="AE922" i="18"/>
  <c r="AD922" i="18"/>
  <c r="AG922" i="18" s="1"/>
  <c r="AC922" i="18"/>
  <c r="AF921" i="18"/>
  <c r="AH921" i="18" s="1"/>
  <c r="AI921" i="18" s="1"/>
  <c r="AE921" i="18"/>
  <c r="AD921" i="18"/>
  <c r="AG921" i="18" s="1"/>
  <c r="AC921" i="18"/>
  <c r="AI920" i="18"/>
  <c r="AF920" i="18"/>
  <c r="AH920" i="18" s="1"/>
  <c r="AE920" i="18"/>
  <c r="AD920" i="18"/>
  <c r="AG920" i="18" s="1"/>
  <c r="AC920" i="18"/>
  <c r="AB919" i="18"/>
  <c r="AA919" i="18"/>
  <c r="AA913" i="18" s="1"/>
  <c r="Z919" i="18"/>
  <c r="Y919" i="18"/>
  <c r="X919" i="18"/>
  <c r="W919" i="18"/>
  <c r="V919" i="18"/>
  <c r="U919" i="18"/>
  <c r="T919" i="18"/>
  <c r="S919" i="18"/>
  <c r="S913" i="18" s="1"/>
  <c r="R919" i="18"/>
  <c r="Q919" i="18"/>
  <c r="AF918" i="18"/>
  <c r="AH918" i="18" s="1"/>
  <c r="AI918" i="18" s="1"/>
  <c r="AE918" i="18"/>
  <c r="AD918" i="18"/>
  <c r="AG918" i="18" s="1"/>
  <c r="AC918" i="18"/>
  <c r="AI917" i="18"/>
  <c r="AH917" i="18"/>
  <c r="AF917" i="18"/>
  <c r="AE917" i="18"/>
  <c r="AD917" i="18"/>
  <c r="AG917" i="18" s="1"/>
  <c r="AC917" i="18"/>
  <c r="AF916" i="18"/>
  <c r="AH916" i="18" s="1"/>
  <c r="AI916" i="18" s="1"/>
  <c r="AE916" i="18"/>
  <c r="AD916" i="18"/>
  <c r="AG916" i="18" s="1"/>
  <c r="AG914" i="18" s="1"/>
  <c r="AC916" i="18"/>
  <c r="AH915" i="18"/>
  <c r="AI915" i="18" s="1"/>
  <c r="AI914" i="18" s="1"/>
  <c r="AG915" i="18"/>
  <c r="AF915" i="18"/>
  <c r="AE915" i="18"/>
  <c r="AE914" i="18" s="1"/>
  <c r="AD915" i="18"/>
  <c r="AC915" i="18"/>
  <c r="AC914" i="18" s="1"/>
  <c r="AF914" i="18"/>
  <c r="AD914" i="18"/>
  <c r="AB914" i="18"/>
  <c r="AB913" i="18" s="1"/>
  <c r="AA914" i="18"/>
  <c r="Z914" i="18"/>
  <c r="Z913" i="18" s="1"/>
  <c r="Y914" i="18"/>
  <c r="X914" i="18"/>
  <c r="W914" i="18"/>
  <c r="V914" i="18"/>
  <c r="V913" i="18" s="1"/>
  <c r="U914" i="18"/>
  <c r="U913" i="18" s="1"/>
  <c r="T914" i="18"/>
  <c r="T913" i="18" s="1"/>
  <c r="S914" i="18"/>
  <c r="R914" i="18"/>
  <c r="R913" i="18" s="1"/>
  <c r="Q914" i="18"/>
  <c r="Y913" i="18"/>
  <c r="W913" i="18"/>
  <c r="Q913" i="18"/>
  <c r="AH910" i="18"/>
  <c r="AI910" i="18" s="1"/>
  <c r="AF910" i="18"/>
  <c r="AE910" i="18"/>
  <c r="AD910" i="18"/>
  <c r="AG910" i="18" s="1"/>
  <c r="AC910" i="18"/>
  <c r="AI909" i="18"/>
  <c r="AH909" i="18"/>
  <c r="AG909" i="18"/>
  <c r="AF909" i="18"/>
  <c r="AE909" i="18"/>
  <c r="AD909" i="18"/>
  <c r="AC909" i="18"/>
  <c r="AH908" i="18"/>
  <c r="AI908" i="18" s="1"/>
  <c r="AG908" i="18"/>
  <c r="AF908" i="18"/>
  <c r="AE908" i="18"/>
  <c r="AD908" i="18"/>
  <c r="AC908" i="18"/>
  <c r="AG907" i="18"/>
  <c r="AF907" i="18"/>
  <c r="AH907" i="18" s="1"/>
  <c r="AE907" i="18"/>
  <c r="AE906" i="18" s="1"/>
  <c r="AD907" i="18"/>
  <c r="AC907" i="18"/>
  <c r="AC906" i="18" s="1"/>
  <c r="AF906" i="18"/>
  <c r="AD906" i="18"/>
  <c r="AB906" i="18"/>
  <c r="AA906" i="18"/>
  <c r="Z906" i="18"/>
  <c r="Y906" i="18"/>
  <c r="X906" i="18"/>
  <c r="W906" i="18"/>
  <c r="V906" i="18"/>
  <c r="U906" i="18"/>
  <c r="T906" i="18"/>
  <c r="S906" i="18"/>
  <c r="R906" i="18"/>
  <c r="Q906" i="18"/>
  <c r="AI905" i="18"/>
  <c r="AH905" i="18"/>
  <c r="AG905" i="18"/>
  <c r="AF905" i="18"/>
  <c r="AE905" i="18"/>
  <c r="AD905" i="18"/>
  <c r="AC905" i="18"/>
  <c r="AH904" i="18"/>
  <c r="AI904" i="18" s="1"/>
  <c r="AG904" i="18"/>
  <c r="AF904" i="18"/>
  <c r="AE904" i="18"/>
  <c r="AD904" i="18"/>
  <c r="AC904" i="18"/>
  <c r="AG903" i="18"/>
  <c r="AF903" i="18"/>
  <c r="AH903" i="18" s="1"/>
  <c r="AI903" i="18" s="1"/>
  <c r="AE903" i="18"/>
  <c r="AD903" i="18"/>
  <c r="AC903" i="18"/>
  <c r="AF902" i="18"/>
  <c r="AE902" i="18"/>
  <c r="AD902" i="18"/>
  <c r="AG902" i="18" s="1"/>
  <c r="AC902" i="18"/>
  <c r="AH901" i="18"/>
  <c r="AI901" i="18" s="1"/>
  <c r="AF901" i="18"/>
  <c r="AE901" i="18"/>
  <c r="AD901" i="18"/>
  <c r="AG901" i="18" s="1"/>
  <c r="AC901" i="18"/>
  <c r="AC900" i="18" s="1"/>
  <c r="AB900" i="18"/>
  <c r="AB883" i="18" s="1"/>
  <c r="AA900" i="18"/>
  <c r="Z900" i="18"/>
  <c r="Y900" i="18"/>
  <c r="X900" i="18"/>
  <c r="W900" i="18"/>
  <c r="V900" i="18"/>
  <c r="U900" i="18"/>
  <c r="T900" i="18"/>
  <c r="T883" i="18" s="1"/>
  <c r="S900" i="18"/>
  <c r="R900" i="18"/>
  <c r="Q900" i="18"/>
  <c r="AG899" i="18"/>
  <c r="AF899" i="18"/>
  <c r="AH899" i="18" s="1"/>
  <c r="AI899" i="18" s="1"/>
  <c r="AE899" i="18"/>
  <c r="AD899" i="18"/>
  <c r="AC899" i="18"/>
  <c r="AF898" i="18"/>
  <c r="AE898" i="18"/>
  <c r="AD898" i="18"/>
  <c r="AG898" i="18" s="1"/>
  <c r="AC898" i="18"/>
  <c r="AH897" i="18"/>
  <c r="AI897" i="18" s="1"/>
  <c r="AF897" i="18"/>
  <c r="AE897" i="18"/>
  <c r="AD897" i="18"/>
  <c r="AG897" i="18" s="1"/>
  <c r="AC897" i="18"/>
  <c r="AC895" i="18" s="1"/>
  <c r="AH896" i="18"/>
  <c r="AI896" i="18" s="1"/>
  <c r="AF896" i="18"/>
  <c r="AE896" i="18"/>
  <c r="AD896" i="18"/>
  <c r="AC896" i="18"/>
  <c r="AB895" i="18"/>
  <c r="AA895" i="18"/>
  <c r="Z895" i="18"/>
  <c r="Y895" i="18"/>
  <c r="X895" i="18"/>
  <c r="W895" i="18"/>
  <c r="V895" i="18"/>
  <c r="U895" i="18"/>
  <c r="T895" i="18"/>
  <c r="S895" i="18"/>
  <c r="R895" i="18"/>
  <c r="Q895" i="18"/>
  <c r="AF894" i="18"/>
  <c r="AH894" i="18" s="1"/>
  <c r="AI894" i="18" s="1"/>
  <c r="AE894" i="18"/>
  <c r="AD894" i="18"/>
  <c r="AG894" i="18" s="1"/>
  <c r="AC894" i="18"/>
  <c r="AH893" i="18"/>
  <c r="AI893" i="18" s="1"/>
  <c r="AF893" i="18"/>
  <c r="AE893" i="18"/>
  <c r="AD893" i="18"/>
  <c r="AG893" i="18" s="1"/>
  <c r="AC893" i="18"/>
  <c r="AH892" i="18"/>
  <c r="AI892" i="18" s="1"/>
  <c r="AF892" i="18"/>
  <c r="AE892" i="18"/>
  <c r="AD892" i="18"/>
  <c r="AC892" i="18"/>
  <c r="AI891" i="18"/>
  <c r="AG891" i="18"/>
  <c r="AF891" i="18"/>
  <c r="AH891" i="18" s="1"/>
  <c r="AE891" i="18"/>
  <c r="AD891" i="18"/>
  <c r="AC891" i="18"/>
  <c r="AH890" i="18"/>
  <c r="AF890" i="18"/>
  <c r="AE890" i="18"/>
  <c r="AE889" i="18" s="1"/>
  <c r="AD890" i="18"/>
  <c r="AG890" i="18" s="1"/>
  <c r="AC890" i="18"/>
  <c r="AB889" i="18"/>
  <c r="AA889" i="18"/>
  <c r="Z889" i="18"/>
  <c r="Y889" i="18"/>
  <c r="X889" i="18"/>
  <c r="W889" i="18"/>
  <c r="V889" i="18"/>
  <c r="U889" i="18"/>
  <c r="T889" i="18"/>
  <c r="S889" i="18"/>
  <c r="R889" i="18"/>
  <c r="Q889" i="18"/>
  <c r="AH888" i="18"/>
  <c r="AI888" i="18" s="1"/>
  <c r="AF888" i="18"/>
  <c r="AE888" i="18"/>
  <c r="AD888" i="18"/>
  <c r="AG888" i="18" s="1"/>
  <c r="AC888" i="18"/>
  <c r="AG887" i="18"/>
  <c r="AF887" i="18"/>
  <c r="AH887" i="18" s="1"/>
  <c r="AI887" i="18" s="1"/>
  <c r="AE887" i="18"/>
  <c r="AD887" i="18"/>
  <c r="AC887" i="18"/>
  <c r="AC884" i="18" s="1"/>
  <c r="AH886" i="18"/>
  <c r="AI886" i="18" s="1"/>
  <c r="AF886" i="18"/>
  <c r="AE886" i="18"/>
  <c r="AD886" i="18"/>
  <c r="AG886" i="18" s="1"/>
  <c r="AC886" i="18"/>
  <c r="AI885" i="18"/>
  <c r="AH885" i="18"/>
  <c r="AG885" i="18"/>
  <c r="AG884" i="18" s="1"/>
  <c r="AF885" i="18"/>
  <c r="AE885" i="18"/>
  <c r="AE884" i="18" s="1"/>
  <c r="AD885" i="18"/>
  <c r="AD884" i="18" s="1"/>
  <c r="AC885" i="18"/>
  <c r="AH884" i="18"/>
  <c r="AF884" i="18"/>
  <c r="AB884" i="18"/>
  <c r="AA884" i="18"/>
  <c r="Z884" i="18"/>
  <c r="Z883" i="18" s="1"/>
  <c r="Y884" i="18"/>
  <c r="X884" i="18"/>
  <c r="X883" i="18" s="1"/>
  <c r="W884" i="18"/>
  <c r="V884" i="18"/>
  <c r="V883" i="18" s="1"/>
  <c r="U884" i="18"/>
  <c r="T884" i="18"/>
  <c r="S884" i="18"/>
  <c r="R884" i="18"/>
  <c r="R883" i="18" s="1"/>
  <c r="Q884" i="18"/>
  <c r="AA883" i="18"/>
  <c r="W883" i="18"/>
  <c r="U883" i="18"/>
  <c r="S883" i="18"/>
  <c r="AF880" i="18"/>
  <c r="AH880" i="18" s="1"/>
  <c r="AI880" i="18" s="1"/>
  <c r="AE880" i="18"/>
  <c r="AD880" i="18"/>
  <c r="AG880" i="18" s="1"/>
  <c r="AC880" i="18"/>
  <c r="AH879" i="18"/>
  <c r="AI879" i="18" s="1"/>
  <c r="AF879" i="18"/>
  <c r="AE879" i="18"/>
  <c r="AE876" i="18" s="1"/>
  <c r="AD879" i="18"/>
  <c r="AG879" i="18" s="1"/>
  <c r="AC879" i="18"/>
  <c r="AH878" i="18"/>
  <c r="AI878" i="18" s="1"/>
  <c r="AF878" i="18"/>
  <c r="AE878" i="18"/>
  <c r="AD878" i="18"/>
  <c r="AC878" i="18"/>
  <c r="AI877" i="18"/>
  <c r="AI876" i="18" s="1"/>
  <c r="AG877" i="18"/>
  <c r="AF877" i="18"/>
  <c r="AH877" i="18" s="1"/>
  <c r="AE877" i="18"/>
  <c r="AD877" i="18"/>
  <c r="AC877" i="18"/>
  <c r="AC876" i="18" s="1"/>
  <c r="AH876" i="18"/>
  <c r="AB876" i="18"/>
  <c r="AA876" i="18"/>
  <c r="Z876" i="18"/>
  <c r="Y876" i="18"/>
  <c r="X876" i="18"/>
  <c r="W876" i="18"/>
  <c r="V876" i="18"/>
  <c r="U876" i="18"/>
  <c r="T876" i="18"/>
  <c r="S876" i="18"/>
  <c r="R876" i="18"/>
  <c r="Q876" i="18"/>
  <c r="AH875" i="18"/>
  <c r="AI875" i="18" s="1"/>
  <c r="AF875" i="18"/>
  <c r="AE875" i="18"/>
  <c r="AD875" i="18"/>
  <c r="AG875" i="18" s="1"/>
  <c r="AC875" i="18"/>
  <c r="AH874" i="18"/>
  <c r="AI874" i="18" s="1"/>
  <c r="AF874" i="18"/>
  <c r="AE874" i="18"/>
  <c r="AD874" i="18"/>
  <c r="AG874" i="18" s="1"/>
  <c r="AC874" i="18"/>
  <c r="AI873" i="18"/>
  <c r="AG873" i="18"/>
  <c r="AF873" i="18"/>
  <c r="AH873" i="18" s="1"/>
  <c r="AE873" i="18"/>
  <c r="AD873" i="18"/>
  <c r="AC873" i="18"/>
  <c r="AC870" i="18" s="1"/>
  <c r="AH872" i="18"/>
  <c r="AI872" i="18" s="1"/>
  <c r="AF872" i="18"/>
  <c r="AE872" i="18"/>
  <c r="AD872" i="18"/>
  <c r="AG872" i="18" s="1"/>
  <c r="AC872" i="18"/>
  <c r="AI871" i="18"/>
  <c r="AI870" i="18" s="1"/>
  <c r="AH871" i="18"/>
  <c r="AG871" i="18"/>
  <c r="AF871" i="18"/>
  <c r="AE871" i="18"/>
  <c r="AE870" i="18" s="1"/>
  <c r="AD871" i="18"/>
  <c r="AD870" i="18" s="1"/>
  <c r="AC871" i="18"/>
  <c r="AF870" i="18"/>
  <c r="AB870" i="18"/>
  <c r="AA870" i="18"/>
  <c r="Z870" i="18"/>
  <c r="Y870" i="18"/>
  <c r="X870" i="18"/>
  <c r="X853" i="18" s="1"/>
  <c r="W870" i="18"/>
  <c r="V870" i="18"/>
  <c r="U870" i="18"/>
  <c r="T870" i="18"/>
  <c r="S870" i="18"/>
  <c r="R870" i="18"/>
  <c r="Q870" i="18"/>
  <c r="AI869" i="18"/>
  <c r="AG869" i="18"/>
  <c r="AF869" i="18"/>
  <c r="AH869" i="18" s="1"/>
  <c r="AE869" i="18"/>
  <c r="AD869" i="18"/>
  <c r="AC869" i="18"/>
  <c r="AH868" i="18"/>
  <c r="AI868" i="18" s="1"/>
  <c r="AF868" i="18"/>
  <c r="AE868" i="18"/>
  <c r="AD868" i="18"/>
  <c r="AG868" i="18" s="1"/>
  <c r="AG865" i="18" s="1"/>
  <c r="AC868" i="18"/>
  <c r="AI867" i="18"/>
  <c r="AH867" i="18"/>
  <c r="AG867" i="18"/>
  <c r="AF867" i="18"/>
  <c r="AE867" i="18"/>
  <c r="AD867" i="18"/>
  <c r="AC867" i="18"/>
  <c r="AG866" i="18"/>
  <c r="AF866" i="18"/>
  <c r="AE866" i="18"/>
  <c r="AD866" i="18"/>
  <c r="AD865" i="18" s="1"/>
  <c r="AC866" i="18"/>
  <c r="AC865" i="18" s="1"/>
  <c r="AE865" i="18"/>
  <c r="AB865" i="18"/>
  <c r="AA865" i="18"/>
  <c r="Z865" i="18"/>
  <c r="Y865" i="18"/>
  <c r="X865" i="18"/>
  <c r="W865" i="18"/>
  <c r="V865" i="18"/>
  <c r="U865" i="18"/>
  <c r="T865" i="18"/>
  <c r="S865" i="18"/>
  <c r="R865" i="18"/>
  <c r="Q865" i="18"/>
  <c r="AH864" i="18"/>
  <c r="AI864" i="18" s="1"/>
  <c r="AF864" i="18"/>
  <c r="AE864" i="18"/>
  <c r="AD864" i="18"/>
  <c r="AG864" i="18" s="1"/>
  <c r="AC864" i="18"/>
  <c r="AI863" i="18"/>
  <c r="AH863" i="18"/>
  <c r="AG863" i="18"/>
  <c r="AF863" i="18"/>
  <c r="AE863" i="18"/>
  <c r="AD863" i="18"/>
  <c r="AC863" i="18"/>
  <c r="AG862" i="18"/>
  <c r="AF862" i="18"/>
  <c r="AH862" i="18" s="1"/>
  <c r="AI862" i="18" s="1"/>
  <c r="AE862" i="18"/>
  <c r="AD862" i="18"/>
  <c r="AC862" i="18"/>
  <c r="AG861" i="18"/>
  <c r="AF861" i="18"/>
  <c r="AH861" i="18" s="1"/>
  <c r="AI861" i="18" s="1"/>
  <c r="AE861" i="18"/>
  <c r="AD861" i="18"/>
  <c r="AC861" i="18"/>
  <c r="AF860" i="18"/>
  <c r="AE860" i="18"/>
  <c r="AD860" i="18"/>
  <c r="AC860" i="18"/>
  <c r="AE859" i="18"/>
  <c r="AC859" i="18"/>
  <c r="AB859" i="18"/>
  <c r="AA859" i="18"/>
  <c r="Z859" i="18"/>
  <c r="Y859" i="18"/>
  <c r="X859" i="18"/>
  <c r="W859" i="18"/>
  <c r="V859" i="18"/>
  <c r="U859" i="18"/>
  <c r="T859" i="18"/>
  <c r="S859" i="18"/>
  <c r="R859" i="18"/>
  <c r="Q859" i="18"/>
  <c r="AG858" i="18"/>
  <c r="AF858" i="18"/>
  <c r="AH858" i="18" s="1"/>
  <c r="AI858" i="18" s="1"/>
  <c r="AE858" i="18"/>
  <c r="AD858" i="18"/>
  <c r="AC858" i="18"/>
  <c r="AG857" i="18"/>
  <c r="AF857" i="18"/>
  <c r="AH857" i="18" s="1"/>
  <c r="AI857" i="18" s="1"/>
  <c r="AE857" i="18"/>
  <c r="AD857" i="18"/>
  <c r="AC857" i="18"/>
  <c r="AF856" i="18"/>
  <c r="AE856" i="18"/>
  <c r="AD856" i="18"/>
  <c r="AG856" i="18" s="1"/>
  <c r="AC856" i="18"/>
  <c r="AH855" i="18"/>
  <c r="AI855" i="18" s="1"/>
  <c r="AF855" i="18"/>
  <c r="AE855" i="18"/>
  <c r="AD855" i="18"/>
  <c r="AG855" i="18" s="1"/>
  <c r="AG854" i="18" s="1"/>
  <c r="AC855" i="18"/>
  <c r="AC854" i="18" s="1"/>
  <c r="AD854" i="18"/>
  <c r="AB854" i="18"/>
  <c r="AB853" i="18" s="1"/>
  <c r="AA854" i="18"/>
  <c r="Z854" i="18"/>
  <c r="Y854" i="18"/>
  <c r="X854" i="18"/>
  <c r="W854" i="18"/>
  <c r="V854" i="18"/>
  <c r="V853" i="18" s="1"/>
  <c r="U854" i="18"/>
  <c r="U853" i="18" s="1"/>
  <c r="T854" i="18"/>
  <c r="T853" i="18" s="1"/>
  <c r="S854" i="18"/>
  <c r="R854" i="18"/>
  <c r="Q854" i="18"/>
  <c r="AA853" i="18"/>
  <c r="Y853" i="18"/>
  <c r="W853" i="18"/>
  <c r="S853" i="18"/>
  <c r="Q853" i="18"/>
  <c r="AH850" i="18"/>
  <c r="AI850" i="18" s="1"/>
  <c r="AF850" i="18"/>
  <c r="AE850" i="18"/>
  <c r="AD850" i="18"/>
  <c r="AG850" i="18" s="1"/>
  <c r="AC850" i="18"/>
  <c r="AI849" i="18"/>
  <c r="AH849" i="18"/>
  <c r="AG849" i="18"/>
  <c r="AF849" i="18"/>
  <c r="AE849" i="18"/>
  <c r="AD849" i="18"/>
  <c r="AC849" i="18"/>
  <c r="AH848" i="18"/>
  <c r="AI848" i="18" s="1"/>
  <c r="AG848" i="18"/>
  <c r="AF848" i="18"/>
  <c r="AE848" i="18"/>
  <c r="AD848" i="18"/>
  <c r="AC848" i="18"/>
  <c r="AG847" i="18"/>
  <c r="AG846" i="18" s="1"/>
  <c r="AF847" i="18"/>
  <c r="AH847" i="18" s="1"/>
  <c r="AE847" i="18"/>
  <c r="AE846" i="18" s="1"/>
  <c r="AD847" i="18"/>
  <c r="AC847" i="18"/>
  <c r="AC846" i="18" s="1"/>
  <c r="AF846" i="18"/>
  <c r="AD846" i="18"/>
  <c r="AB846" i="18"/>
  <c r="AA846" i="18"/>
  <c r="Z846" i="18"/>
  <c r="Y846" i="18"/>
  <c r="X846" i="18"/>
  <c r="W846" i="18"/>
  <c r="V846" i="18"/>
  <c r="U846" i="18"/>
  <c r="T846" i="18"/>
  <c r="S846" i="18"/>
  <c r="R846" i="18"/>
  <c r="Q846" i="18"/>
  <c r="AI845" i="18"/>
  <c r="AH845" i="18"/>
  <c r="AG845" i="18"/>
  <c r="AF845" i="18"/>
  <c r="AE845" i="18"/>
  <c r="AD845" i="18"/>
  <c r="AC845" i="18"/>
  <c r="AH844" i="18"/>
  <c r="AI844" i="18" s="1"/>
  <c r="AG844" i="18"/>
  <c r="AF844" i="18"/>
  <c r="AE844" i="18"/>
  <c r="AD844" i="18"/>
  <c r="AC844" i="18"/>
  <c r="AG843" i="18"/>
  <c r="AF843" i="18"/>
  <c r="AH843" i="18" s="1"/>
  <c r="AI843" i="18" s="1"/>
  <c r="AE843" i="18"/>
  <c r="AD843" i="18"/>
  <c r="AC843" i="18"/>
  <c r="AF842" i="18"/>
  <c r="AE842" i="18"/>
  <c r="AD842" i="18"/>
  <c r="AG842" i="18" s="1"/>
  <c r="AC842" i="18"/>
  <c r="AH841" i="18"/>
  <c r="AI841" i="18" s="1"/>
  <c r="AF841" i="18"/>
  <c r="AE841" i="18"/>
  <c r="AE840" i="18" s="1"/>
  <c r="AD841" i="18"/>
  <c r="AG841" i="18" s="1"/>
  <c r="AC841" i="18"/>
  <c r="AC840" i="18" s="1"/>
  <c r="AD840" i="18"/>
  <c r="AB840" i="18"/>
  <c r="AB823" i="18" s="1"/>
  <c r="AA840" i="18"/>
  <c r="Z840" i="18"/>
  <c r="Y840" i="18"/>
  <c r="X840" i="18"/>
  <c r="W840" i="18"/>
  <c r="V840" i="18"/>
  <c r="U840" i="18"/>
  <c r="T840" i="18"/>
  <c r="T823" i="18" s="1"/>
  <c r="S840" i="18"/>
  <c r="R840" i="18"/>
  <c r="Q840" i="18"/>
  <c r="AG839" i="18"/>
  <c r="AF839" i="18"/>
  <c r="AH839" i="18" s="1"/>
  <c r="AI839" i="18" s="1"/>
  <c r="AE839" i="18"/>
  <c r="AD839" i="18"/>
  <c r="AC839" i="18"/>
  <c r="AF838" i="18"/>
  <c r="AE838" i="18"/>
  <c r="AD838" i="18"/>
  <c r="AG838" i="18" s="1"/>
  <c r="AC838" i="18"/>
  <c r="AH837" i="18"/>
  <c r="AI837" i="18" s="1"/>
  <c r="AF837" i="18"/>
  <c r="AE837" i="18"/>
  <c r="AE835" i="18" s="1"/>
  <c r="AD837" i="18"/>
  <c r="AG837" i="18" s="1"/>
  <c r="AC837" i="18"/>
  <c r="AC835" i="18" s="1"/>
  <c r="AH836" i="18"/>
  <c r="AI836" i="18" s="1"/>
  <c r="AF836" i="18"/>
  <c r="AE836" i="18"/>
  <c r="AD836" i="18"/>
  <c r="AC836" i="18"/>
  <c r="AB835" i="18"/>
  <c r="AA835" i="18"/>
  <c r="Z835" i="18"/>
  <c r="Y835" i="18"/>
  <c r="X835" i="18"/>
  <c r="W835" i="18"/>
  <c r="V835" i="18"/>
  <c r="U835" i="18"/>
  <c r="T835" i="18"/>
  <c r="S835" i="18"/>
  <c r="R835" i="18"/>
  <c r="Q835" i="18"/>
  <c r="AF834" i="18"/>
  <c r="AH834" i="18" s="1"/>
  <c r="AI834" i="18" s="1"/>
  <c r="AE834" i="18"/>
  <c r="AD834" i="18"/>
  <c r="AG834" i="18" s="1"/>
  <c r="AC834" i="18"/>
  <c r="AH833" i="18"/>
  <c r="AI833" i="18" s="1"/>
  <c r="AF833" i="18"/>
  <c r="AE833" i="18"/>
  <c r="AD833" i="18"/>
  <c r="AG833" i="18" s="1"/>
  <c r="AC833" i="18"/>
  <c r="AH832" i="18"/>
  <c r="AI832" i="18" s="1"/>
  <c r="AF832" i="18"/>
  <c r="AE832" i="18"/>
  <c r="AD832" i="18"/>
  <c r="AC832" i="18"/>
  <c r="AI831" i="18"/>
  <c r="AG831" i="18"/>
  <c r="AF831" i="18"/>
  <c r="AH831" i="18" s="1"/>
  <c r="AE831" i="18"/>
  <c r="AD831" i="18"/>
  <c r="AC831" i="18"/>
  <c r="AC829" i="18" s="1"/>
  <c r="AH830" i="18"/>
  <c r="AF830" i="18"/>
  <c r="AF829" i="18" s="1"/>
  <c r="AE830" i="18"/>
  <c r="AE829" i="18" s="1"/>
  <c r="AD830" i="18"/>
  <c r="AG830" i="18" s="1"/>
  <c r="AC830" i="18"/>
  <c r="AB829" i="18"/>
  <c r="AA829" i="18"/>
  <c r="Z829" i="18"/>
  <c r="Y829" i="18"/>
  <c r="X829" i="18"/>
  <c r="W829" i="18"/>
  <c r="V829" i="18"/>
  <c r="U829" i="18"/>
  <c r="T829" i="18"/>
  <c r="S829" i="18"/>
  <c r="R829" i="18"/>
  <c r="Q829" i="18"/>
  <c r="AH828" i="18"/>
  <c r="AI828" i="18" s="1"/>
  <c r="AF828" i="18"/>
  <c r="AE828" i="18"/>
  <c r="AD828" i="18"/>
  <c r="AG828" i="18" s="1"/>
  <c r="AC828" i="18"/>
  <c r="AI827" i="18"/>
  <c r="AG827" i="18"/>
  <c r="AF827" i="18"/>
  <c r="AH827" i="18" s="1"/>
  <c r="AE827" i="18"/>
  <c r="AD827" i="18"/>
  <c r="AC827" i="18"/>
  <c r="AH826" i="18"/>
  <c r="AF826" i="18"/>
  <c r="AE826" i="18"/>
  <c r="AD826" i="18"/>
  <c r="AG826" i="18" s="1"/>
  <c r="AC826" i="18"/>
  <c r="AI825" i="18"/>
  <c r="AH825" i="18"/>
  <c r="AF825" i="18"/>
  <c r="AE825" i="18"/>
  <c r="AD825" i="18"/>
  <c r="AC825" i="18"/>
  <c r="AF824" i="18"/>
  <c r="AC824" i="18"/>
  <c r="AB824" i="18"/>
  <c r="AA824" i="18"/>
  <c r="Z824" i="18"/>
  <c r="Z823" i="18" s="1"/>
  <c r="Y824" i="18"/>
  <c r="Y823" i="18" s="1"/>
  <c r="X824" i="18"/>
  <c r="X823" i="18" s="1"/>
  <c r="W824" i="18"/>
  <c r="V824" i="18"/>
  <c r="U824" i="18"/>
  <c r="U823" i="18" s="1"/>
  <c r="T824" i="18"/>
  <c r="S824" i="18"/>
  <c r="R824" i="18"/>
  <c r="R823" i="18" s="1"/>
  <c r="Q824" i="18"/>
  <c r="Q823" i="18" s="1"/>
  <c r="AA823" i="18"/>
  <c r="W823" i="18"/>
  <c r="S823" i="18"/>
  <c r="AI819" i="18"/>
  <c r="AF819" i="18"/>
  <c r="AH819" i="18" s="1"/>
  <c r="AE819" i="18"/>
  <c r="AD819" i="18"/>
  <c r="AG819" i="18" s="1"/>
  <c r="AB819" i="18"/>
  <c r="AA819" i="18"/>
  <c r="Z819" i="18"/>
  <c r="Y819" i="18"/>
  <c r="X819" i="18"/>
  <c r="W819" i="18"/>
  <c r="V819" i="18"/>
  <c r="U819" i="18"/>
  <c r="T819" i="18"/>
  <c r="S819" i="18"/>
  <c r="AC819" i="18" s="1"/>
  <c r="R819" i="18"/>
  <c r="Q819" i="18"/>
  <c r="AI818" i="18"/>
  <c r="AD818" i="18"/>
  <c r="AG818" i="18" s="1"/>
  <c r="AB818" i="18"/>
  <c r="AF818" i="18" s="1"/>
  <c r="AH818" i="18" s="1"/>
  <c r="AA818" i="18"/>
  <c r="AA815" i="18" s="1"/>
  <c r="Z818" i="18"/>
  <c r="Y818" i="18"/>
  <c r="AE818" i="18" s="1"/>
  <c r="X818" i="18"/>
  <c r="W818" i="18"/>
  <c r="V818" i="18"/>
  <c r="U818" i="18"/>
  <c r="T818" i="18"/>
  <c r="S818" i="18"/>
  <c r="R818" i="18"/>
  <c r="Q818" i="18"/>
  <c r="AC817" i="18"/>
  <c r="AB817" i="18"/>
  <c r="AF817" i="18" s="1"/>
  <c r="AH817" i="18" s="1"/>
  <c r="AI817" i="18" s="1"/>
  <c r="AA817" i="18"/>
  <c r="Z817" i="18"/>
  <c r="Y817" i="18"/>
  <c r="AE817" i="18" s="1"/>
  <c r="X817" i="18"/>
  <c r="W817" i="18"/>
  <c r="V817" i="18"/>
  <c r="V815" i="18" s="1"/>
  <c r="U817" i="18"/>
  <c r="T817" i="18"/>
  <c r="S817" i="18"/>
  <c r="R817" i="18"/>
  <c r="Q817" i="18"/>
  <c r="AE816" i="18"/>
  <c r="AC816" i="18"/>
  <c r="AB816" i="18"/>
  <c r="AF816" i="18" s="1"/>
  <c r="AA816" i="18"/>
  <c r="Z816" i="18"/>
  <c r="Y816" i="18"/>
  <c r="X816" i="18"/>
  <c r="X815" i="18" s="1"/>
  <c r="W816" i="18"/>
  <c r="W815" i="18" s="1"/>
  <c r="V816" i="18"/>
  <c r="AD816" i="18" s="1"/>
  <c r="U816" i="18"/>
  <c r="U815" i="18" s="1"/>
  <c r="T816" i="18"/>
  <c r="S816" i="18"/>
  <c r="R816" i="18"/>
  <c r="Q816" i="18"/>
  <c r="AB815" i="18"/>
  <c r="Z815" i="18"/>
  <c r="T815" i="18"/>
  <c r="R815" i="18"/>
  <c r="AE814" i="18"/>
  <c r="AC814" i="18"/>
  <c r="AB814" i="18"/>
  <c r="AF814" i="18" s="1"/>
  <c r="AH814" i="18" s="1"/>
  <c r="AI814" i="18" s="1"/>
  <c r="AA814" i="18"/>
  <c r="Z814" i="18"/>
  <c r="Y814" i="18"/>
  <c r="X814" i="18"/>
  <c r="W814" i="18"/>
  <c r="V814" i="18"/>
  <c r="AD814" i="18" s="1"/>
  <c r="AG814" i="18" s="1"/>
  <c r="U814" i="18"/>
  <c r="T814" i="18"/>
  <c r="S814" i="18"/>
  <c r="R814" i="18"/>
  <c r="Q814" i="18"/>
  <c r="AH813" i="18"/>
  <c r="AI813" i="18" s="1"/>
  <c r="AF813" i="18"/>
  <c r="AC813" i="18"/>
  <c r="AB813" i="18"/>
  <c r="AA813" i="18"/>
  <c r="Z813" i="18"/>
  <c r="Y813" i="18"/>
  <c r="AE813" i="18" s="1"/>
  <c r="X813" i="18"/>
  <c r="W813" i="18"/>
  <c r="V813" i="18"/>
  <c r="AD813" i="18" s="1"/>
  <c r="AG813" i="18" s="1"/>
  <c r="U813" i="18"/>
  <c r="T813" i="18"/>
  <c r="S813" i="18"/>
  <c r="R813" i="18"/>
  <c r="Q813" i="18"/>
  <c r="AF812" i="18"/>
  <c r="AH812" i="18" s="1"/>
  <c r="AI812" i="18" s="1"/>
  <c r="AB812" i="18"/>
  <c r="AA812" i="18"/>
  <c r="Z812" i="18"/>
  <c r="Y812" i="18"/>
  <c r="AE812" i="18" s="1"/>
  <c r="X812" i="18"/>
  <c r="W812" i="18"/>
  <c r="V812" i="18"/>
  <c r="AD812" i="18" s="1"/>
  <c r="AG812" i="18" s="1"/>
  <c r="U812" i="18"/>
  <c r="T812" i="18"/>
  <c r="S812" i="18"/>
  <c r="AC812" i="18" s="1"/>
  <c r="R812" i="18"/>
  <c r="Q812" i="18"/>
  <c r="AF811" i="18"/>
  <c r="AH811" i="18" s="1"/>
  <c r="AI811" i="18" s="1"/>
  <c r="AE811" i="18"/>
  <c r="AB811" i="18"/>
  <c r="AA811" i="18"/>
  <c r="Z811" i="18"/>
  <c r="Y811" i="18"/>
  <c r="X811" i="18"/>
  <c r="W811" i="18"/>
  <c r="V811" i="18"/>
  <c r="AD811" i="18" s="1"/>
  <c r="AG811" i="18" s="1"/>
  <c r="U811" i="18"/>
  <c r="T811" i="18"/>
  <c r="S811" i="18"/>
  <c r="AC811" i="18" s="1"/>
  <c r="R811" i="18"/>
  <c r="Q811" i="18"/>
  <c r="AD810" i="18"/>
  <c r="AB810" i="18"/>
  <c r="AF810" i="18" s="1"/>
  <c r="AA810" i="18"/>
  <c r="AA809" i="18" s="1"/>
  <c r="Z810" i="18"/>
  <c r="Y810" i="18"/>
  <c r="X810" i="18"/>
  <c r="W810" i="18"/>
  <c r="W809" i="18" s="1"/>
  <c r="V810" i="18"/>
  <c r="V809" i="18" s="1"/>
  <c r="U810" i="18"/>
  <c r="T810" i="18"/>
  <c r="S810" i="18"/>
  <c r="R810" i="18"/>
  <c r="Q810" i="18"/>
  <c r="Q809" i="18" s="1"/>
  <c r="AB809" i="18"/>
  <c r="T809" i="18"/>
  <c r="AE808" i="18"/>
  <c r="AB808" i="18"/>
  <c r="AF808" i="18" s="1"/>
  <c r="AH808" i="18" s="1"/>
  <c r="AI808" i="18" s="1"/>
  <c r="AA808" i="18"/>
  <c r="Z808" i="18"/>
  <c r="Y808" i="18"/>
  <c r="X808" i="18"/>
  <c r="W808" i="18"/>
  <c r="V808" i="18"/>
  <c r="AD808" i="18" s="1"/>
  <c r="AG808" i="18" s="1"/>
  <c r="U808" i="18"/>
  <c r="T808" i="18"/>
  <c r="S808" i="18"/>
  <c r="AC808" i="18" s="1"/>
  <c r="R808" i="18"/>
  <c r="Q808" i="18"/>
  <c r="AE807" i="18"/>
  <c r="AB807" i="18"/>
  <c r="AA807" i="18"/>
  <c r="Z807" i="18"/>
  <c r="Y807" i="18"/>
  <c r="X807" i="18"/>
  <c r="W807" i="18"/>
  <c r="V807" i="18"/>
  <c r="AD807" i="18" s="1"/>
  <c r="AG807" i="18" s="1"/>
  <c r="U807" i="18"/>
  <c r="T807" i="18"/>
  <c r="T804" i="18" s="1"/>
  <c r="S807" i="18"/>
  <c r="AC807" i="18" s="1"/>
  <c r="R807" i="18"/>
  <c r="Q807" i="18"/>
  <c r="AH806" i="18"/>
  <c r="AI806" i="18" s="1"/>
  <c r="AE806" i="18"/>
  <c r="AC806" i="18"/>
  <c r="AB806" i="18"/>
  <c r="AF806" i="18" s="1"/>
  <c r="AA806" i="18"/>
  <c r="Z806" i="18"/>
  <c r="Y806" i="18"/>
  <c r="X806" i="18"/>
  <c r="W806" i="18"/>
  <c r="W804" i="18" s="1"/>
  <c r="V806" i="18"/>
  <c r="AD806" i="18" s="1"/>
  <c r="AG806" i="18" s="1"/>
  <c r="U806" i="18"/>
  <c r="U804" i="18" s="1"/>
  <c r="T806" i="18"/>
  <c r="S806" i="18"/>
  <c r="R806" i="18"/>
  <c r="Q806" i="18"/>
  <c r="AF805" i="18"/>
  <c r="AH805" i="18" s="1"/>
  <c r="AC805" i="18"/>
  <c r="AB805" i="18"/>
  <c r="AA805" i="18"/>
  <c r="Z805" i="18"/>
  <c r="Y805" i="18"/>
  <c r="AE805" i="18" s="1"/>
  <c r="X805" i="18"/>
  <c r="W805" i="18"/>
  <c r="V805" i="18"/>
  <c r="AD805" i="18" s="1"/>
  <c r="U805" i="18"/>
  <c r="T805" i="18"/>
  <c r="S805" i="18"/>
  <c r="R805" i="18"/>
  <c r="Q805" i="18"/>
  <c r="Q804" i="18" s="1"/>
  <c r="AA804" i="18"/>
  <c r="X804" i="18"/>
  <c r="S804" i="18"/>
  <c r="AI803" i="18"/>
  <c r="AF803" i="18"/>
  <c r="AH803" i="18" s="1"/>
  <c r="AE803" i="18"/>
  <c r="AD803" i="18"/>
  <c r="AG803" i="18" s="1"/>
  <c r="AB803" i="18"/>
  <c r="AA803" i="18"/>
  <c r="Z803" i="18"/>
  <c r="Y803" i="18"/>
  <c r="X803" i="18"/>
  <c r="W803" i="18"/>
  <c r="V803" i="18"/>
  <c r="U803" i="18"/>
  <c r="T803" i="18"/>
  <c r="S803" i="18"/>
  <c r="AC803" i="18" s="1"/>
  <c r="R803" i="18"/>
  <c r="Q803" i="18"/>
  <c r="AI802" i="18"/>
  <c r="AD802" i="18"/>
  <c r="AG802" i="18" s="1"/>
  <c r="AB802" i="18"/>
  <c r="AF802" i="18" s="1"/>
  <c r="AH802" i="18" s="1"/>
  <c r="AA802" i="18"/>
  <c r="Z802" i="18"/>
  <c r="Y802" i="18"/>
  <c r="AE802" i="18" s="1"/>
  <c r="X802" i="18"/>
  <c r="W802" i="18"/>
  <c r="V802" i="18"/>
  <c r="U802" i="18"/>
  <c r="T802" i="18"/>
  <c r="S802" i="18"/>
  <c r="AC802" i="18" s="1"/>
  <c r="R802" i="18"/>
  <c r="Q802" i="18"/>
  <c r="AC801" i="18"/>
  <c r="AB801" i="18"/>
  <c r="AF801" i="18" s="1"/>
  <c r="AH801" i="18" s="1"/>
  <c r="AI801" i="18" s="1"/>
  <c r="AA801" i="18"/>
  <c r="Z801" i="18"/>
  <c r="Y801" i="18"/>
  <c r="AE801" i="18" s="1"/>
  <c r="X801" i="18"/>
  <c r="W801" i="18"/>
  <c r="V801" i="18"/>
  <c r="AD801" i="18" s="1"/>
  <c r="AG801" i="18" s="1"/>
  <c r="U801" i="18"/>
  <c r="T801" i="18"/>
  <c r="S801" i="18"/>
  <c r="R801" i="18"/>
  <c r="Q801" i="18"/>
  <c r="AG800" i="18"/>
  <c r="AB800" i="18"/>
  <c r="AF800" i="18" s="1"/>
  <c r="AH800" i="18" s="1"/>
  <c r="AI800" i="18" s="1"/>
  <c r="AA800" i="18"/>
  <c r="AA798" i="18" s="1"/>
  <c r="Z800" i="18"/>
  <c r="Y800" i="18"/>
  <c r="X800" i="18"/>
  <c r="W800" i="18"/>
  <c r="V800" i="18"/>
  <c r="AD800" i="18" s="1"/>
  <c r="U800" i="18"/>
  <c r="T800" i="18"/>
  <c r="S800" i="18"/>
  <c r="S798" i="18" s="1"/>
  <c r="R800" i="18"/>
  <c r="Q800" i="18"/>
  <c r="AE799" i="18"/>
  <c r="AB799" i="18"/>
  <c r="AA799" i="18"/>
  <c r="Z799" i="18"/>
  <c r="Z798" i="18" s="1"/>
  <c r="Y799" i="18"/>
  <c r="X799" i="18"/>
  <c r="W799" i="18"/>
  <c r="V799" i="18"/>
  <c r="U799" i="18"/>
  <c r="T799" i="18"/>
  <c r="T798" i="18" s="1"/>
  <c r="S799" i="18"/>
  <c r="AC799" i="18" s="1"/>
  <c r="R799" i="18"/>
  <c r="Q799" i="18"/>
  <c r="W798" i="18"/>
  <c r="W792" i="18" s="1"/>
  <c r="U798" i="18"/>
  <c r="R798" i="18"/>
  <c r="AF797" i="18"/>
  <c r="AH797" i="18" s="1"/>
  <c r="AI797" i="18" s="1"/>
  <c r="AC797" i="18"/>
  <c r="AB797" i="18"/>
  <c r="AA797" i="18"/>
  <c r="Z797" i="18"/>
  <c r="Z793" i="18" s="1"/>
  <c r="Y797" i="18"/>
  <c r="AE797" i="18" s="1"/>
  <c r="X797" i="18"/>
  <c r="W797" i="18"/>
  <c r="V797" i="18"/>
  <c r="AD797" i="18" s="1"/>
  <c r="AG797" i="18" s="1"/>
  <c r="U797" i="18"/>
  <c r="T797" i="18"/>
  <c r="S797" i="18"/>
  <c r="R797" i="18"/>
  <c r="Q797" i="18"/>
  <c r="AF796" i="18"/>
  <c r="AH796" i="18" s="1"/>
  <c r="AI796" i="18" s="1"/>
  <c r="AB796" i="18"/>
  <c r="AA796" i="18"/>
  <c r="Z796" i="18"/>
  <c r="Y796" i="18"/>
  <c r="AE796" i="18" s="1"/>
  <c r="X796" i="18"/>
  <c r="W796" i="18"/>
  <c r="V796" i="18"/>
  <c r="AD796" i="18" s="1"/>
  <c r="AG796" i="18" s="1"/>
  <c r="U796" i="18"/>
  <c r="U793" i="18" s="1"/>
  <c r="T796" i="18"/>
  <c r="S796" i="18"/>
  <c r="AC796" i="18" s="1"/>
  <c r="R796" i="18"/>
  <c r="Q796" i="18"/>
  <c r="AF795" i="18"/>
  <c r="AH795" i="18" s="1"/>
  <c r="AI795" i="18" s="1"/>
  <c r="AD795" i="18"/>
  <c r="AG795" i="18" s="1"/>
  <c r="AB795" i="18"/>
  <c r="AA795" i="18"/>
  <c r="Z795" i="18"/>
  <c r="Y795" i="18"/>
  <c r="AE795" i="18" s="1"/>
  <c r="X795" i="18"/>
  <c r="X793" i="18" s="1"/>
  <c r="W795" i="18"/>
  <c r="V795" i="18"/>
  <c r="U795" i="18"/>
  <c r="T795" i="18"/>
  <c r="S795" i="18"/>
  <c r="AC795" i="18" s="1"/>
  <c r="R795" i="18"/>
  <c r="Q795" i="18"/>
  <c r="AD794" i="18"/>
  <c r="AG794" i="18" s="1"/>
  <c r="AG793" i="18" s="1"/>
  <c r="AB794" i="18"/>
  <c r="AF794" i="18" s="1"/>
  <c r="AA794" i="18"/>
  <c r="AA793" i="18" s="1"/>
  <c r="Z794" i="18"/>
  <c r="Y794" i="18"/>
  <c r="AE794" i="18" s="1"/>
  <c r="AE793" i="18" s="1"/>
  <c r="X794" i="18"/>
  <c r="W794" i="18"/>
  <c r="W793" i="18" s="1"/>
  <c r="V794" i="18"/>
  <c r="U794" i="18"/>
  <c r="T794" i="18"/>
  <c r="S794" i="18"/>
  <c r="R794" i="18"/>
  <c r="Q794" i="18"/>
  <c r="Q793" i="18" s="1"/>
  <c r="AB793" i="18"/>
  <c r="Y793" i="18"/>
  <c r="V793" i="18"/>
  <c r="T793" i="18"/>
  <c r="T792" i="18" s="1"/>
  <c r="R793" i="18"/>
  <c r="AF786" i="18"/>
  <c r="AE786" i="18"/>
  <c r="AH786" i="18" s="1"/>
  <c r="AD786" i="18"/>
  <c r="AC786" i="18"/>
  <c r="AG786" i="18" s="1"/>
  <c r="AF785" i="18"/>
  <c r="AE785" i="18"/>
  <c r="AH785" i="18" s="1"/>
  <c r="AD785" i="18"/>
  <c r="AG785" i="18" s="1"/>
  <c r="AI785" i="18" s="1"/>
  <c r="AC785" i="18"/>
  <c r="AF784" i="18"/>
  <c r="AF782" i="18" s="1"/>
  <c r="AE784" i="18"/>
  <c r="AD784" i="18"/>
  <c r="AC784" i="18"/>
  <c r="AG784" i="18" s="1"/>
  <c r="AF783" i="18"/>
  <c r="AE783" i="18"/>
  <c r="AD783" i="18"/>
  <c r="AC783" i="18"/>
  <c r="AC782" i="18" s="1"/>
  <c r="AD782" i="18"/>
  <c r="AB782" i="18"/>
  <c r="AA782" i="18"/>
  <c r="Z782" i="18"/>
  <c r="Y782" i="18"/>
  <c r="X782" i="18"/>
  <c r="W782" i="18"/>
  <c r="V782" i="18"/>
  <c r="U782" i="18"/>
  <c r="T782" i="18"/>
  <c r="S782" i="18"/>
  <c r="R782" i="18"/>
  <c r="Q782" i="18"/>
  <c r="AI781" i="18"/>
  <c r="AG781" i="18"/>
  <c r="AF781" i="18"/>
  <c r="AE781" i="18"/>
  <c r="AH781" i="18" s="1"/>
  <c r="AD781" i="18"/>
  <c r="AC781" i="18"/>
  <c r="AH780" i="18"/>
  <c r="AF780" i="18"/>
  <c r="AE780" i="18"/>
  <c r="AD780" i="18"/>
  <c r="AC780" i="18"/>
  <c r="AF779" i="18"/>
  <c r="AE779" i="18"/>
  <c r="AH779" i="18" s="1"/>
  <c r="AD779" i="18"/>
  <c r="AC779" i="18"/>
  <c r="AG779" i="18" s="1"/>
  <c r="AI779" i="18" s="1"/>
  <c r="AF778" i="18"/>
  <c r="AE778" i="18"/>
  <c r="AD778" i="18"/>
  <c r="AC778" i="18"/>
  <c r="AE777" i="18"/>
  <c r="AC777" i="18"/>
  <c r="AB777" i="18"/>
  <c r="AA777" i="18"/>
  <c r="Z777" i="18"/>
  <c r="Y777" i="18"/>
  <c r="X777" i="18"/>
  <c r="W777" i="18"/>
  <c r="V777" i="18"/>
  <c r="U777" i="18"/>
  <c r="T777" i="18"/>
  <c r="S777" i="18"/>
  <c r="R777" i="18"/>
  <c r="Q777" i="18"/>
  <c r="AF776" i="18"/>
  <c r="AH776" i="18" s="1"/>
  <c r="AC776" i="18"/>
  <c r="AB776" i="18"/>
  <c r="AA776" i="18"/>
  <c r="Z776" i="18"/>
  <c r="Y776" i="18"/>
  <c r="X776" i="18"/>
  <c r="W776" i="18"/>
  <c r="AE776" i="18" s="1"/>
  <c r="V776" i="18"/>
  <c r="U776" i="18"/>
  <c r="AD776" i="18" s="1"/>
  <c r="T776" i="18"/>
  <c r="S776" i="18"/>
  <c r="R776" i="18"/>
  <c r="Q776" i="18"/>
  <c r="AG775" i="18"/>
  <c r="AF775" i="18"/>
  <c r="AC775" i="18"/>
  <c r="AB775" i="18"/>
  <c r="AA775" i="18"/>
  <c r="Z775" i="18"/>
  <c r="Y775" i="18"/>
  <c r="X775" i="18"/>
  <c r="W775" i="18"/>
  <c r="AE775" i="18" s="1"/>
  <c r="V775" i="18"/>
  <c r="U775" i="18"/>
  <c r="T775" i="18"/>
  <c r="AD775" i="18" s="1"/>
  <c r="S775" i="18"/>
  <c r="R775" i="18"/>
  <c r="Q775" i="18"/>
  <c r="AF774" i="18"/>
  <c r="AB774" i="18"/>
  <c r="AB772" i="18" s="1"/>
  <c r="AA774" i="18"/>
  <c r="Z774" i="18"/>
  <c r="Y774" i="18"/>
  <c r="X774" i="18"/>
  <c r="X772" i="18" s="1"/>
  <c r="W774" i="18"/>
  <c r="V774" i="18"/>
  <c r="U774" i="18"/>
  <c r="T774" i="18"/>
  <c r="S774" i="18"/>
  <c r="R774" i="18"/>
  <c r="Q774" i="18"/>
  <c r="AE773" i="18"/>
  <c r="AB773" i="18"/>
  <c r="AA773" i="18"/>
  <c r="Z773" i="18"/>
  <c r="Y773" i="18"/>
  <c r="X773" i="18"/>
  <c r="W773" i="18"/>
  <c r="W772" i="18" s="1"/>
  <c r="V773" i="18"/>
  <c r="U773" i="18"/>
  <c r="T773" i="18"/>
  <c r="S773" i="18"/>
  <c r="S772" i="18" s="1"/>
  <c r="R773" i="18"/>
  <c r="Q773" i="18"/>
  <c r="Q772" i="18" s="1"/>
  <c r="Z772" i="18"/>
  <c r="Y772" i="18"/>
  <c r="R772" i="18"/>
  <c r="AC771" i="18"/>
  <c r="AB771" i="18"/>
  <c r="AA771" i="18"/>
  <c r="Z771" i="18"/>
  <c r="Y771" i="18"/>
  <c r="Y761" i="18" s="1"/>
  <c r="Y1021" i="18" s="1"/>
  <c r="Y1022" i="18" s="1"/>
  <c r="X771" i="18"/>
  <c r="W771" i="18"/>
  <c r="V771" i="18"/>
  <c r="U771" i="18"/>
  <c r="T771" i="18"/>
  <c r="AD771" i="18" s="1"/>
  <c r="S771" i="18"/>
  <c r="R771" i="18"/>
  <c r="Q771" i="18"/>
  <c r="Q761" i="18" s="1"/>
  <c r="Q1021" i="18" s="1"/>
  <c r="AF770" i="18"/>
  <c r="AB770" i="18"/>
  <c r="AA770" i="18"/>
  <c r="Z770" i="18"/>
  <c r="Y770" i="18"/>
  <c r="X770" i="18"/>
  <c r="AE770" i="18" s="1"/>
  <c r="W770" i="18"/>
  <c r="V770" i="18"/>
  <c r="U770" i="18"/>
  <c r="T770" i="18"/>
  <c r="S770" i="18"/>
  <c r="R770" i="18"/>
  <c r="Q770" i="18"/>
  <c r="AC770" i="18" s="1"/>
  <c r="AE769" i="18"/>
  <c r="AB769" i="18"/>
  <c r="AA769" i="18"/>
  <c r="AA759" i="18" s="1"/>
  <c r="Z769" i="18"/>
  <c r="Y769" i="18"/>
  <c r="X769" i="18"/>
  <c r="W769" i="18"/>
  <c r="V769" i="18"/>
  <c r="U769" i="18"/>
  <c r="T769" i="18"/>
  <c r="AD769" i="18" s="1"/>
  <c r="S769" i="18"/>
  <c r="R769" i="18"/>
  <c r="Q769" i="18"/>
  <c r="AF768" i="18"/>
  <c r="AC768" i="18"/>
  <c r="AB768" i="18"/>
  <c r="AA768" i="18"/>
  <c r="Z768" i="18"/>
  <c r="Y768" i="18"/>
  <c r="X768" i="18"/>
  <c r="X767" i="18" s="1"/>
  <c r="W768" i="18"/>
  <c r="V768" i="18"/>
  <c r="U768" i="18"/>
  <c r="T768" i="18"/>
  <c r="S768" i="18"/>
  <c r="R768" i="18"/>
  <c r="Q768" i="18"/>
  <c r="Y767" i="18"/>
  <c r="AD766" i="18"/>
  <c r="AB766" i="18"/>
  <c r="AA766" i="18"/>
  <c r="Z766" i="18"/>
  <c r="Y766" i="18"/>
  <c r="X766" i="18"/>
  <c r="X761" i="18" s="1"/>
  <c r="X1021" i="18" s="1"/>
  <c r="X1022" i="18" s="1"/>
  <c r="W766" i="18"/>
  <c r="AE766" i="18" s="1"/>
  <c r="V766" i="18"/>
  <c r="V761" i="18" s="1"/>
  <c r="V1021" i="18" s="1"/>
  <c r="V1022" i="18" s="1"/>
  <c r="U766" i="18"/>
  <c r="T766" i="18"/>
  <c r="S766" i="18"/>
  <c r="R766" i="18"/>
  <c r="Q766" i="18"/>
  <c r="AC766" i="18" s="1"/>
  <c r="AD765" i="18"/>
  <c r="AB765" i="18"/>
  <c r="AA765" i="18"/>
  <c r="Z765" i="18"/>
  <c r="AF765" i="18" s="1"/>
  <c r="Y765" i="18"/>
  <c r="Y760" i="18" s="1"/>
  <c r="X765" i="18"/>
  <c r="W765" i="18"/>
  <c r="V765" i="18"/>
  <c r="U765" i="18"/>
  <c r="T765" i="18"/>
  <c r="S765" i="18"/>
  <c r="R765" i="18"/>
  <c r="Q765" i="18"/>
  <c r="AB764" i="18"/>
  <c r="AB762" i="18" s="1"/>
  <c r="AA764" i="18"/>
  <c r="Z764" i="18"/>
  <c r="Y764" i="18"/>
  <c r="X764" i="18"/>
  <c r="W764" i="18"/>
  <c r="V764" i="18"/>
  <c r="U764" i="18"/>
  <c r="T764" i="18"/>
  <c r="S764" i="18"/>
  <c r="R764" i="18"/>
  <c r="R759" i="18" s="1"/>
  <c r="Q764" i="18"/>
  <c r="AC764" i="18" s="1"/>
  <c r="AC763" i="18"/>
  <c r="AB763" i="18"/>
  <c r="AA763" i="18"/>
  <c r="Z763" i="18"/>
  <c r="AF763" i="18" s="1"/>
  <c r="Y763" i="18"/>
  <c r="X763" i="18"/>
  <c r="W763" i="18"/>
  <c r="W758" i="18" s="1"/>
  <c r="V763" i="18"/>
  <c r="U763" i="18"/>
  <c r="T763" i="18"/>
  <c r="S763" i="18"/>
  <c r="R763" i="18"/>
  <c r="Q763" i="18"/>
  <c r="Z762" i="18"/>
  <c r="X762" i="18"/>
  <c r="W762" i="18"/>
  <c r="R762" i="18"/>
  <c r="AA761" i="18"/>
  <c r="AA1021" i="18" s="1"/>
  <c r="AA1022" i="18" s="1"/>
  <c r="Z761" i="18"/>
  <c r="S761" i="18"/>
  <c r="S1021" i="18" s="1"/>
  <c r="S1022" i="18" s="1"/>
  <c r="R761" i="18"/>
  <c r="R1021" i="18" s="1"/>
  <c r="R1022" i="18" s="1"/>
  <c r="Z760" i="18"/>
  <c r="X760" i="18"/>
  <c r="V760" i="18"/>
  <c r="R760" i="18"/>
  <c r="Y759" i="18"/>
  <c r="X759" i="18"/>
  <c r="U759" i="18"/>
  <c r="Q759" i="18"/>
  <c r="AB758" i="18"/>
  <c r="X758" i="18"/>
  <c r="X757" i="18" s="1"/>
  <c r="X1105" i="18" s="1"/>
  <c r="T758" i="18"/>
  <c r="S758" i="18"/>
  <c r="AH754" i="18"/>
  <c r="AF754" i="18"/>
  <c r="AE754" i="18"/>
  <c r="AD754" i="18"/>
  <c r="AG754" i="18" s="1"/>
  <c r="AI754" i="18" s="1"/>
  <c r="AC754" i="18"/>
  <c r="AF753" i="18"/>
  <c r="AH753" i="18" s="1"/>
  <c r="AE753" i="18"/>
  <c r="AD753" i="18"/>
  <c r="AC753" i="18"/>
  <c r="AG753" i="18" s="1"/>
  <c r="AI753" i="18" s="1"/>
  <c r="AF752" i="18"/>
  <c r="AH752" i="18" s="1"/>
  <c r="AE752" i="18"/>
  <c r="AD752" i="18"/>
  <c r="AC752" i="18"/>
  <c r="AG752" i="18" s="1"/>
  <c r="AG751" i="18"/>
  <c r="AF751" i="18"/>
  <c r="AE751" i="18"/>
  <c r="AE749" i="18" s="1"/>
  <c r="AD751" i="18"/>
  <c r="AC751" i="18"/>
  <c r="AF750" i="18"/>
  <c r="AE750" i="18"/>
  <c r="AD750" i="18"/>
  <c r="AC750" i="18"/>
  <c r="AB749" i="18"/>
  <c r="AA749" i="18"/>
  <c r="Z749" i="18"/>
  <c r="Y749" i="18"/>
  <c r="X749" i="18"/>
  <c r="W749" i="18"/>
  <c r="V749" i="18"/>
  <c r="U749" i="18"/>
  <c r="T749" i="18"/>
  <c r="S749" i="18"/>
  <c r="R749" i="18"/>
  <c r="Q749" i="18"/>
  <c r="AF748" i="18"/>
  <c r="AF744" i="18" s="1"/>
  <c r="AE748" i="18"/>
  <c r="AD748" i="18"/>
  <c r="AC748" i="18"/>
  <c r="AG748" i="18" s="1"/>
  <c r="AG747" i="18"/>
  <c r="AF747" i="18"/>
  <c r="AE747" i="18"/>
  <c r="AD747" i="18"/>
  <c r="AC747" i="18"/>
  <c r="AF746" i="18"/>
  <c r="AH746" i="18" s="1"/>
  <c r="AD746" i="18"/>
  <c r="AC746" i="18"/>
  <c r="AG746" i="18" s="1"/>
  <c r="X746" i="18"/>
  <c r="AE746" i="18" s="1"/>
  <c r="R746" i="18"/>
  <c r="AF745" i="18"/>
  <c r="AE745" i="18"/>
  <c r="AD745" i="18"/>
  <c r="AC745" i="18"/>
  <c r="AD744" i="18"/>
  <c r="AB744" i="18"/>
  <c r="AA744" i="18"/>
  <c r="Z744" i="18"/>
  <c r="Y744" i="18"/>
  <c r="X744" i="18"/>
  <c r="W744" i="18"/>
  <c r="V744" i="18"/>
  <c r="U744" i="18"/>
  <c r="T744" i="18"/>
  <c r="S744" i="18"/>
  <c r="R744" i="18"/>
  <c r="Q744" i="18"/>
  <c r="AG743" i="18"/>
  <c r="AI743" i="18" s="1"/>
  <c r="AF743" i="18"/>
  <c r="AH743" i="18" s="1"/>
  <c r="AE743" i="18"/>
  <c r="AD743" i="18"/>
  <c r="AC743" i="18"/>
  <c r="AF742" i="18"/>
  <c r="AH742" i="18" s="1"/>
  <c r="AE742" i="18"/>
  <c r="AD742" i="18"/>
  <c r="AC742" i="18"/>
  <c r="AG742" i="18" s="1"/>
  <c r="AF741" i="18"/>
  <c r="AH741" i="18" s="1"/>
  <c r="AE741" i="18"/>
  <c r="AD741" i="18"/>
  <c r="AC741" i="18"/>
  <c r="AG741" i="18" s="1"/>
  <c r="AH740" i="18"/>
  <c r="AH739" i="18" s="1"/>
  <c r="AF740" i="18"/>
  <c r="AE740" i="18"/>
  <c r="AD740" i="18"/>
  <c r="AC740" i="18"/>
  <c r="AG740" i="18" s="1"/>
  <c r="AE739" i="18"/>
  <c r="AC739" i="18"/>
  <c r="AB739" i="18"/>
  <c r="AA739" i="18"/>
  <c r="Z739" i="18"/>
  <c r="Y739" i="18"/>
  <c r="X739" i="18"/>
  <c r="W739" i="18"/>
  <c r="V739" i="18"/>
  <c r="U739" i="18"/>
  <c r="U723" i="18" s="1"/>
  <c r="U722" i="18" s="1"/>
  <c r="T739" i="18"/>
  <c r="S739" i="18"/>
  <c r="R739" i="18"/>
  <c r="Q739" i="18"/>
  <c r="AF738" i="18"/>
  <c r="AH738" i="18" s="1"/>
  <c r="AE738" i="18"/>
  <c r="AD738" i="18"/>
  <c r="AC738" i="18"/>
  <c r="AG738" i="18" s="1"/>
  <c r="AI738" i="18" s="1"/>
  <c r="AF737" i="18"/>
  <c r="AH737" i="18" s="1"/>
  <c r="AE737" i="18"/>
  <c r="AD737" i="18"/>
  <c r="AC737" i="18"/>
  <c r="AG737" i="18" s="1"/>
  <c r="AI737" i="18" s="1"/>
  <c r="AH736" i="18"/>
  <c r="AF736" i="18"/>
  <c r="AE736" i="18"/>
  <c r="AD736" i="18"/>
  <c r="AC736" i="18"/>
  <c r="AG736" i="18" s="1"/>
  <c r="AG735" i="18"/>
  <c r="AF735" i="18"/>
  <c r="AE735" i="18"/>
  <c r="AD735" i="18"/>
  <c r="AC735" i="18"/>
  <c r="AD734" i="18"/>
  <c r="AB734" i="18"/>
  <c r="AA734" i="18"/>
  <c r="AA723" i="18" s="1"/>
  <c r="AA722" i="18" s="1"/>
  <c r="Z734" i="18"/>
  <c r="Y734" i="18"/>
  <c r="X734" i="18"/>
  <c r="W734" i="18"/>
  <c r="V734" i="18"/>
  <c r="V723" i="18" s="1"/>
  <c r="U734" i="18"/>
  <c r="T734" i="18"/>
  <c r="S734" i="18"/>
  <c r="R734" i="18"/>
  <c r="Q734" i="18"/>
  <c r="AF733" i="18"/>
  <c r="AH733" i="18" s="1"/>
  <c r="AE733" i="18"/>
  <c r="AD733" i="18"/>
  <c r="AC733" i="18"/>
  <c r="AG733" i="18" s="1"/>
  <c r="AF732" i="18"/>
  <c r="AH732" i="18" s="1"/>
  <c r="AE732" i="18"/>
  <c r="AD732" i="18"/>
  <c r="AC732" i="18"/>
  <c r="AH731" i="18"/>
  <c r="AF731" i="18"/>
  <c r="AE731" i="18"/>
  <c r="AD731" i="18"/>
  <c r="AC731" i="18"/>
  <c r="AH730" i="18"/>
  <c r="AG730" i="18"/>
  <c r="AI730" i="18" s="1"/>
  <c r="AF730" i="18"/>
  <c r="AE730" i="18"/>
  <c r="AE729" i="18" s="1"/>
  <c r="AD730" i="18"/>
  <c r="AD729" i="18" s="1"/>
  <c r="AC730" i="18"/>
  <c r="AB729" i="18"/>
  <c r="AA729" i="18"/>
  <c r="Z729" i="18"/>
  <c r="Y729" i="18"/>
  <c r="Y723" i="18" s="1"/>
  <c r="Y722" i="18" s="1"/>
  <c r="X729" i="18"/>
  <c r="W729" i="18"/>
  <c r="V729" i="18"/>
  <c r="U729" i="18"/>
  <c r="T729" i="18"/>
  <c r="S729" i="18"/>
  <c r="R729" i="18"/>
  <c r="Q729" i="18"/>
  <c r="Q723" i="18" s="1"/>
  <c r="Q722" i="18" s="1"/>
  <c r="AF728" i="18"/>
  <c r="AH728" i="18" s="1"/>
  <c r="AI728" i="18" s="1"/>
  <c r="AE728" i="18"/>
  <c r="AD728" i="18"/>
  <c r="AC728" i="18"/>
  <c r="AG728" i="18" s="1"/>
  <c r="AH727" i="18"/>
  <c r="AH724" i="18" s="1"/>
  <c r="AF727" i="18"/>
  <c r="AE727" i="18"/>
  <c r="AD727" i="18"/>
  <c r="AC727" i="18"/>
  <c r="AG727" i="18" s="1"/>
  <c r="AI727" i="18" s="1"/>
  <c r="AH726" i="18"/>
  <c r="AG726" i="18"/>
  <c r="AI726" i="18" s="1"/>
  <c r="AF726" i="18"/>
  <c r="AE726" i="18"/>
  <c r="AD726" i="18"/>
  <c r="AC726" i="18"/>
  <c r="AG725" i="18"/>
  <c r="AG724" i="18" s="1"/>
  <c r="AF725" i="18"/>
  <c r="AH725" i="18" s="1"/>
  <c r="AE725" i="18"/>
  <c r="AD725" i="18"/>
  <c r="AD724" i="18" s="1"/>
  <c r="AC725" i="18"/>
  <c r="AF724" i="18"/>
  <c r="AE724" i="18"/>
  <c r="AB724" i="18"/>
  <c r="AA724" i="18"/>
  <c r="Z724" i="18"/>
  <c r="Y724" i="18"/>
  <c r="X724" i="18"/>
  <c r="W724" i="18"/>
  <c r="W723" i="18" s="1"/>
  <c r="V724" i="18"/>
  <c r="U724" i="18"/>
  <c r="T724" i="18"/>
  <c r="S724" i="18"/>
  <c r="R724" i="18"/>
  <c r="Q724" i="18"/>
  <c r="Z723" i="18"/>
  <c r="Z722" i="18" s="1"/>
  <c r="R723" i="18"/>
  <c r="R722" i="18" s="1"/>
  <c r="V722" i="18"/>
  <c r="AG721" i="18"/>
  <c r="AI721" i="18" s="1"/>
  <c r="AF721" i="18"/>
  <c r="AH721" i="18" s="1"/>
  <c r="AE721" i="18"/>
  <c r="AD721" i="18"/>
  <c r="AC721" i="18"/>
  <c r="AH720" i="18"/>
  <c r="AF720" i="18"/>
  <c r="AE720" i="18"/>
  <c r="AD720" i="18"/>
  <c r="AC720" i="18"/>
  <c r="AG720" i="18" s="1"/>
  <c r="AF719" i="18"/>
  <c r="AE719" i="18"/>
  <c r="AD719" i="18"/>
  <c r="AC719" i="18"/>
  <c r="AF718" i="18"/>
  <c r="AE718" i="18"/>
  <c r="AD718" i="18"/>
  <c r="AC718" i="18"/>
  <c r="AF717" i="18"/>
  <c r="AE717" i="18"/>
  <c r="AE716" i="18" s="1"/>
  <c r="AD717" i="18"/>
  <c r="AC717" i="18"/>
  <c r="AB716" i="18"/>
  <c r="AA716" i="18"/>
  <c r="Z716" i="18"/>
  <c r="Y716" i="18"/>
  <c r="X716" i="18"/>
  <c r="W716" i="18"/>
  <c r="V716" i="18"/>
  <c r="U716" i="18"/>
  <c r="T716" i="18"/>
  <c r="S716" i="18"/>
  <c r="R716" i="18"/>
  <c r="Q716" i="18"/>
  <c r="AG715" i="18"/>
  <c r="AF715" i="18"/>
  <c r="AE715" i="18"/>
  <c r="AD715" i="18"/>
  <c r="AC715" i="18"/>
  <c r="AF714" i="18"/>
  <c r="AH714" i="18" s="1"/>
  <c r="AE714" i="18"/>
  <c r="AD714" i="18"/>
  <c r="AC714" i="18"/>
  <c r="AE713" i="18"/>
  <c r="AD713" i="18"/>
  <c r="AC713" i="18"/>
  <c r="AG713" i="18" s="1"/>
  <c r="AB713" i="18"/>
  <c r="X713" i="18"/>
  <c r="T713" i="18"/>
  <c r="AG712" i="18"/>
  <c r="AF712" i="18"/>
  <c r="AH712" i="18" s="1"/>
  <c r="AE712" i="18"/>
  <c r="AD712" i="18"/>
  <c r="AD711" i="18" s="1"/>
  <c r="AC712" i="18"/>
  <c r="AA711" i="18"/>
  <c r="Z711" i="18"/>
  <c r="Y711" i="18"/>
  <c r="X711" i="18"/>
  <c r="X690" i="18" s="1"/>
  <c r="W711" i="18"/>
  <c r="V711" i="18"/>
  <c r="U711" i="18"/>
  <c r="T711" i="18"/>
  <c r="S711" i="18"/>
  <c r="R711" i="18"/>
  <c r="Q711" i="18"/>
  <c r="AG710" i="18"/>
  <c r="AI710" i="18" s="1"/>
  <c r="AF710" i="18"/>
  <c r="AH710" i="18" s="1"/>
  <c r="AE710" i="18"/>
  <c r="AD710" i="18"/>
  <c r="AC710" i="18"/>
  <c r="AH709" i="18"/>
  <c r="AG709" i="18"/>
  <c r="AF709" i="18"/>
  <c r="AE709" i="18"/>
  <c r="AD709" i="18"/>
  <c r="AC709" i="18"/>
  <c r="AG708" i="18"/>
  <c r="AF708" i="18"/>
  <c r="AE708" i="18"/>
  <c r="AE706" i="18" s="1"/>
  <c r="AD708" i="18"/>
  <c r="AC708" i="18"/>
  <c r="AF707" i="18"/>
  <c r="AE707" i="18"/>
  <c r="AD707" i="18"/>
  <c r="AD706" i="18" s="1"/>
  <c r="AC707" i="18"/>
  <c r="AG707" i="18" s="1"/>
  <c r="AC706" i="18"/>
  <c r="AB706" i="18"/>
  <c r="AA706" i="18"/>
  <c r="Z706" i="18"/>
  <c r="Y706" i="18"/>
  <c r="X706" i="18"/>
  <c r="W706" i="18"/>
  <c r="V706" i="18"/>
  <c r="U706" i="18"/>
  <c r="U690" i="18" s="1"/>
  <c r="U689" i="18" s="1"/>
  <c r="T706" i="18"/>
  <c r="S706" i="18"/>
  <c r="R706" i="18"/>
  <c r="Q706" i="18"/>
  <c r="AG705" i="18"/>
  <c r="AF705" i="18"/>
  <c r="AH705" i="18" s="1"/>
  <c r="AE705" i="18"/>
  <c r="AD705" i="18"/>
  <c r="AC705" i="18"/>
  <c r="AG704" i="18"/>
  <c r="AI704" i="18" s="1"/>
  <c r="AF704" i="18"/>
  <c r="AH704" i="18" s="1"/>
  <c r="AE704" i="18"/>
  <c r="AD704" i="18"/>
  <c r="AC704" i="18"/>
  <c r="AF703" i="18"/>
  <c r="AE703" i="18"/>
  <c r="AD703" i="18"/>
  <c r="AD701" i="18" s="1"/>
  <c r="AC703" i="18"/>
  <c r="AG703" i="18" s="1"/>
  <c r="AF702" i="18"/>
  <c r="AH702" i="18" s="1"/>
  <c r="AE702" i="18"/>
  <c r="AD702" i="18"/>
  <c r="AC702" i="18"/>
  <c r="AB701" i="18"/>
  <c r="AA701" i="18"/>
  <c r="Z701" i="18"/>
  <c r="Y701" i="18"/>
  <c r="X701" i="18"/>
  <c r="W701" i="18"/>
  <c r="V701" i="18"/>
  <c r="U701" i="18"/>
  <c r="T701" i="18"/>
  <c r="S701" i="18"/>
  <c r="R701" i="18"/>
  <c r="Q701" i="18"/>
  <c r="AG700" i="18"/>
  <c r="AF700" i="18"/>
  <c r="AE700" i="18"/>
  <c r="AD700" i="18"/>
  <c r="AC700" i="18"/>
  <c r="AF699" i="18"/>
  <c r="AH699" i="18" s="1"/>
  <c r="AE699" i="18"/>
  <c r="AD699" i="18"/>
  <c r="AC699" i="18"/>
  <c r="AG699" i="18" s="1"/>
  <c r="AF698" i="18"/>
  <c r="AE698" i="18"/>
  <c r="AE696" i="18" s="1"/>
  <c r="AD698" i="18"/>
  <c r="AC698" i="18"/>
  <c r="AG698" i="18" s="1"/>
  <c r="AF697" i="18"/>
  <c r="AH697" i="18" s="1"/>
  <c r="AE697" i="18"/>
  <c r="AD697" i="18"/>
  <c r="AD696" i="18" s="1"/>
  <c r="AC697" i="18"/>
  <c r="AG697" i="18" s="1"/>
  <c r="AC696" i="18"/>
  <c r="AB696" i="18"/>
  <c r="AA696" i="18"/>
  <c r="Z696" i="18"/>
  <c r="Y696" i="18"/>
  <c r="X696" i="18"/>
  <c r="W696" i="18"/>
  <c r="V696" i="18"/>
  <c r="U696" i="18"/>
  <c r="T696" i="18"/>
  <c r="S696" i="18"/>
  <c r="R696" i="18"/>
  <c r="Q696" i="18"/>
  <c r="AF695" i="18"/>
  <c r="AH695" i="18" s="1"/>
  <c r="AE695" i="18"/>
  <c r="AD695" i="18"/>
  <c r="AC695" i="18"/>
  <c r="AG695" i="18" s="1"/>
  <c r="AF694" i="18"/>
  <c r="AH694" i="18" s="1"/>
  <c r="AE694" i="18"/>
  <c r="AD694" i="18"/>
  <c r="AC694" i="18"/>
  <c r="AG694" i="18" s="1"/>
  <c r="AI693" i="18"/>
  <c r="AF693" i="18"/>
  <c r="AH693" i="18" s="1"/>
  <c r="AE693" i="18"/>
  <c r="AD693" i="18"/>
  <c r="AD691" i="18" s="1"/>
  <c r="AC693" i="18"/>
  <c r="AG693" i="18" s="1"/>
  <c r="AH692" i="18"/>
  <c r="AF692" i="18"/>
  <c r="AE692" i="18"/>
  <c r="AE691" i="18" s="1"/>
  <c r="AD692" i="18"/>
  <c r="AC692" i="18"/>
  <c r="AB691" i="18"/>
  <c r="AA691" i="18"/>
  <c r="Z691" i="18"/>
  <c r="Y691" i="18"/>
  <c r="Y690" i="18" s="1"/>
  <c r="Y689" i="18" s="1"/>
  <c r="X691" i="18"/>
  <c r="W691" i="18"/>
  <c r="V691" i="18"/>
  <c r="U691" i="18"/>
  <c r="T691" i="18"/>
  <c r="T690" i="18" s="1"/>
  <c r="T689" i="18" s="1"/>
  <c r="S691" i="18"/>
  <c r="R691" i="18"/>
  <c r="Q691" i="18"/>
  <c r="Q690" i="18" s="1"/>
  <c r="Q689" i="18" s="1"/>
  <c r="W690" i="18"/>
  <c r="X689" i="18"/>
  <c r="W689" i="18"/>
  <c r="AH686" i="18"/>
  <c r="AF686" i="18"/>
  <c r="AE686" i="18"/>
  <c r="AD686" i="18"/>
  <c r="AC686" i="18"/>
  <c r="AG686" i="18" s="1"/>
  <c r="AI686" i="18" s="1"/>
  <c r="AH685" i="18"/>
  <c r="AG685" i="18"/>
  <c r="AF685" i="18"/>
  <c r="AE685" i="18"/>
  <c r="AD685" i="18"/>
  <c r="AC685" i="18"/>
  <c r="AG684" i="18"/>
  <c r="AI684" i="18" s="1"/>
  <c r="AF684" i="18"/>
  <c r="AH684" i="18" s="1"/>
  <c r="AE684" i="18"/>
  <c r="AD684" i="18"/>
  <c r="AC684" i="18"/>
  <c r="AH683" i="18"/>
  <c r="AG683" i="18"/>
  <c r="AI683" i="18" s="1"/>
  <c r="AF683" i="18"/>
  <c r="AE683" i="18"/>
  <c r="AD683" i="18"/>
  <c r="AC683" i="18"/>
  <c r="AD682" i="18"/>
  <c r="AB682" i="18"/>
  <c r="AA682" i="18"/>
  <c r="AF682" i="18" s="1"/>
  <c r="Z682" i="18"/>
  <c r="Y682" i="18"/>
  <c r="AE682" i="18" s="1"/>
  <c r="X682" i="18"/>
  <c r="W682" i="18"/>
  <c r="V682" i="18"/>
  <c r="U682" i="18"/>
  <c r="T682" i="18"/>
  <c r="S682" i="18"/>
  <c r="R682" i="18"/>
  <c r="Q682" i="18"/>
  <c r="AC682" i="18" s="1"/>
  <c r="AH681" i="18"/>
  <c r="AG681" i="18"/>
  <c r="AF681" i="18"/>
  <c r="AE681" i="18"/>
  <c r="AD681" i="18"/>
  <c r="AC681" i="18"/>
  <c r="AG680" i="18"/>
  <c r="AI680" i="18" s="1"/>
  <c r="AF680" i="18"/>
  <c r="AH680" i="18" s="1"/>
  <c r="AE680" i="18"/>
  <c r="AD680" i="18"/>
  <c r="AC680" i="18"/>
  <c r="AH679" i="18"/>
  <c r="AF679" i="18"/>
  <c r="AE679" i="18"/>
  <c r="AD679" i="18"/>
  <c r="AC679" i="18"/>
  <c r="AG679" i="18" s="1"/>
  <c r="AD678" i="18"/>
  <c r="AB678" i="18"/>
  <c r="AA678" i="18"/>
  <c r="Z678" i="18"/>
  <c r="AF678" i="18" s="1"/>
  <c r="Y678" i="18"/>
  <c r="AE678" i="18" s="1"/>
  <c r="AE676" i="18" s="1"/>
  <c r="X678" i="18"/>
  <c r="W678" i="18"/>
  <c r="W676" i="18" s="1"/>
  <c r="V678" i="18"/>
  <c r="V676" i="18" s="1"/>
  <c r="U678" i="18"/>
  <c r="T678" i="18"/>
  <c r="S678" i="18"/>
  <c r="R678" i="18"/>
  <c r="Q678" i="18"/>
  <c r="AC678" i="18" s="1"/>
  <c r="AC676" i="18" s="1"/>
  <c r="AH677" i="18"/>
  <c r="AG677" i="18"/>
  <c r="AF677" i="18"/>
  <c r="AE677" i="18"/>
  <c r="AD677" i="18"/>
  <c r="AC677" i="18"/>
  <c r="AF676" i="18"/>
  <c r="AB676" i="18"/>
  <c r="AA676" i="18"/>
  <c r="Z676" i="18"/>
  <c r="Y676" i="18"/>
  <c r="X676" i="18"/>
  <c r="U676" i="18"/>
  <c r="T676" i="18"/>
  <c r="S676" i="18"/>
  <c r="R676" i="18"/>
  <c r="AF675" i="18"/>
  <c r="AH675" i="18" s="1"/>
  <c r="AI675" i="18" s="1"/>
  <c r="AE675" i="18"/>
  <c r="AD675" i="18"/>
  <c r="AC675" i="18"/>
  <c r="AG675" i="18" s="1"/>
  <c r="AI674" i="18"/>
  <c r="AH674" i="18"/>
  <c r="AF674" i="18"/>
  <c r="AE674" i="18"/>
  <c r="AD674" i="18"/>
  <c r="AC674" i="18"/>
  <c r="AG674" i="18" s="1"/>
  <c r="AH673" i="18"/>
  <c r="AG673" i="18"/>
  <c r="AI673" i="18" s="1"/>
  <c r="AF673" i="18"/>
  <c r="AE673" i="18"/>
  <c r="AD673" i="18"/>
  <c r="AC673" i="18"/>
  <c r="AB672" i="18"/>
  <c r="AA672" i="18"/>
  <c r="AF672" i="18" s="1"/>
  <c r="Z672" i="18"/>
  <c r="Y672" i="18"/>
  <c r="Y670" i="18" s="1"/>
  <c r="X672" i="18"/>
  <c r="X670" i="18" s="1"/>
  <c r="W672" i="18"/>
  <c r="AE672" i="18" s="1"/>
  <c r="AE670" i="18" s="1"/>
  <c r="V672" i="18"/>
  <c r="U672" i="18"/>
  <c r="T672" i="18"/>
  <c r="AD672" i="18" s="1"/>
  <c r="S672" i="18"/>
  <c r="S670" i="18" s="1"/>
  <c r="R672" i="18"/>
  <c r="Q672" i="18"/>
  <c r="AF671" i="18"/>
  <c r="AH671" i="18" s="1"/>
  <c r="AE671" i="18"/>
  <c r="AD671" i="18"/>
  <c r="AC671" i="18"/>
  <c r="AB670" i="18"/>
  <c r="AA670" i="18"/>
  <c r="Z670" i="18"/>
  <c r="W670" i="18"/>
  <c r="V670" i="18"/>
  <c r="U670" i="18"/>
  <c r="T670" i="18"/>
  <c r="R670" i="18"/>
  <c r="AF669" i="18"/>
  <c r="AH669" i="18" s="1"/>
  <c r="AE669" i="18"/>
  <c r="AD669" i="18"/>
  <c r="AC669" i="18"/>
  <c r="AG669" i="18" s="1"/>
  <c r="AF668" i="18"/>
  <c r="AH668" i="18" s="1"/>
  <c r="AE668" i="18"/>
  <c r="AD668" i="18"/>
  <c r="AC668" i="18"/>
  <c r="AG668" i="18" s="1"/>
  <c r="AI668" i="18" s="1"/>
  <c r="AF667" i="18"/>
  <c r="AH667" i="18" s="1"/>
  <c r="AE667" i="18"/>
  <c r="AD667" i="18"/>
  <c r="AC667" i="18"/>
  <c r="AC666" i="18"/>
  <c r="AB666" i="18"/>
  <c r="AA666" i="18"/>
  <c r="AA664" i="18" s="1"/>
  <c r="Z666" i="18"/>
  <c r="Y666" i="18"/>
  <c r="X666" i="18"/>
  <c r="W666" i="18"/>
  <c r="AE666" i="18" s="1"/>
  <c r="V666" i="18"/>
  <c r="U666" i="18"/>
  <c r="AD666" i="18" s="1"/>
  <c r="T666" i="18"/>
  <c r="S666" i="18"/>
  <c r="S664" i="18" s="1"/>
  <c r="R666" i="18"/>
  <c r="R664" i="18" s="1"/>
  <c r="Q666" i="18"/>
  <c r="AF665" i="18"/>
  <c r="AE665" i="18"/>
  <c r="AD665" i="18"/>
  <c r="AC665" i="18"/>
  <c r="AE664" i="18"/>
  <c r="AB664" i="18"/>
  <c r="Y664" i="18"/>
  <c r="X664" i="18"/>
  <c r="W664" i="18"/>
  <c r="V664" i="18"/>
  <c r="U664" i="18"/>
  <c r="T664" i="18"/>
  <c r="Q664" i="18"/>
  <c r="AG663" i="18"/>
  <c r="AF663" i="18"/>
  <c r="AH663" i="18" s="1"/>
  <c r="AI663" i="18" s="1"/>
  <c r="AE663" i="18"/>
  <c r="AD663" i="18"/>
  <c r="AC663" i="18"/>
  <c r="AG662" i="18"/>
  <c r="AF662" i="18"/>
  <c r="AE662" i="18"/>
  <c r="AD662" i="18"/>
  <c r="AC662" i="18"/>
  <c r="AF661" i="18"/>
  <c r="AH661" i="18" s="1"/>
  <c r="AE661" i="18"/>
  <c r="AD661" i="18"/>
  <c r="AC661" i="18"/>
  <c r="AG661" i="18" s="1"/>
  <c r="AI661" i="18" s="1"/>
  <c r="AC660" i="18"/>
  <c r="AB660" i="18"/>
  <c r="AA660" i="18"/>
  <c r="Z660" i="18"/>
  <c r="Y660" i="18"/>
  <c r="X660" i="18"/>
  <c r="W660" i="18"/>
  <c r="V660" i="18"/>
  <c r="U660" i="18"/>
  <c r="U658" i="18" s="1"/>
  <c r="T660" i="18"/>
  <c r="S660" i="18"/>
  <c r="R660" i="18"/>
  <c r="Q660" i="18"/>
  <c r="Q658" i="18" s="1"/>
  <c r="AH659" i="18"/>
  <c r="AG659" i="18"/>
  <c r="AI659" i="18" s="1"/>
  <c r="AF659" i="18"/>
  <c r="AE659" i="18"/>
  <c r="AD659" i="18"/>
  <c r="AC659" i="18"/>
  <c r="AA658" i="18"/>
  <c r="Z658" i="18"/>
  <c r="Y658" i="18"/>
  <c r="X658" i="18"/>
  <c r="V658" i="18"/>
  <c r="S658" i="18"/>
  <c r="R658" i="18"/>
  <c r="AH657" i="18"/>
  <c r="AF657" i="18"/>
  <c r="AE657" i="18"/>
  <c r="AD657" i="18"/>
  <c r="AG657" i="18" s="1"/>
  <c r="AI657" i="18" s="1"/>
  <c r="AC657" i="18"/>
  <c r="AF656" i="18"/>
  <c r="AH656" i="18" s="1"/>
  <c r="AE656" i="18"/>
  <c r="AD656" i="18"/>
  <c r="AC656" i="18"/>
  <c r="AG656" i="18" s="1"/>
  <c r="AI656" i="18" s="1"/>
  <c r="AG655" i="18"/>
  <c r="AF655" i="18"/>
  <c r="AH655" i="18" s="1"/>
  <c r="AI655" i="18" s="1"/>
  <c r="AE655" i="18"/>
  <c r="AD655" i="18"/>
  <c r="AC655" i="18"/>
  <c r="AB654" i="18"/>
  <c r="AA654" i="18"/>
  <c r="AA652" i="18" s="1"/>
  <c r="AA651" i="18" s="1"/>
  <c r="AA643" i="18" s="1"/>
  <c r="Z654" i="18"/>
  <c r="Y654" i="18"/>
  <c r="X654" i="18"/>
  <c r="W654" i="18"/>
  <c r="AE654" i="18" s="1"/>
  <c r="V654" i="18"/>
  <c r="AD654" i="18" s="1"/>
  <c r="U654" i="18"/>
  <c r="T654" i="18"/>
  <c r="S654" i="18"/>
  <c r="S652" i="18" s="1"/>
  <c r="S651" i="18" s="1"/>
  <c r="S643" i="18" s="1"/>
  <c r="R654" i="18"/>
  <c r="Q654" i="18"/>
  <c r="AH653" i="18"/>
  <c r="AF653" i="18"/>
  <c r="AE653" i="18"/>
  <c r="AE652" i="18" s="1"/>
  <c r="AD653" i="18"/>
  <c r="AC653" i="18"/>
  <c r="AB652" i="18"/>
  <c r="Y652" i="18"/>
  <c r="Y651" i="18" s="1"/>
  <c r="X652" i="18"/>
  <c r="U652" i="18"/>
  <c r="T652" i="18"/>
  <c r="Q652" i="18"/>
  <c r="X651" i="18"/>
  <c r="X643" i="18" s="1"/>
  <c r="AH650" i="18"/>
  <c r="AF650" i="18"/>
  <c r="AE650" i="18"/>
  <c r="AD650" i="18"/>
  <c r="AC650" i="18"/>
  <c r="AG650" i="18" s="1"/>
  <c r="AI650" i="18" s="1"/>
  <c r="AH649" i="18"/>
  <c r="AG649" i="18"/>
  <c r="AF649" i="18"/>
  <c r="AE649" i="18"/>
  <c r="AD649" i="18"/>
  <c r="AC649" i="18"/>
  <c r="AG648" i="18"/>
  <c r="AF648" i="18"/>
  <c r="AH648" i="18" s="1"/>
  <c r="AE648" i="18"/>
  <c r="AD648" i="18"/>
  <c r="AC648" i="18"/>
  <c r="AF647" i="18"/>
  <c r="AE647" i="18"/>
  <c r="AD647" i="18"/>
  <c r="AC647" i="18"/>
  <c r="AG647" i="18" s="1"/>
  <c r="AF646" i="18"/>
  <c r="AE646" i="18"/>
  <c r="AH646" i="18" s="1"/>
  <c r="AD646" i="18"/>
  <c r="AC646" i="18"/>
  <c r="AG646" i="18" s="1"/>
  <c r="AH645" i="18"/>
  <c r="AF645" i="18"/>
  <c r="AE645" i="18"/>
  <c r="AD645" i="18"/>
  <c r="AC645" i="18"/>
  <c r="AG645" i="18" s="1"/>
  <c r="AC644" i="18"/>
  <c r="AB644" i="18"/>
  <c r="AA644" i="18"/>
  <c r="Z644" i="18"/>
  <c r="Y644" i="18"/>
  <c r="Y643" i="18" s="1"/>
  <c r="X644" i="18"/>
  <c r="W644" i="18"/>
  <c r="V644" i="18"/>
  <c r="U644" i="18"/>
  <c r="T644" i="18"/>
  <c r="S644" i="18"/>
  <c r="R644" i="18"/>
  <c r="Q644" i="18"/>
  <c r="AH642" i="18"/>
  <c r="AI642" i="18" s="1"/>
  <c r="AF642" i="18"/>
  <c r="AE642" i="18"/>
  <c r="AD642" i="18"/>
  <c r="AC642" i="18"/>
  <c r="AG642" i="18" s="1"/>
  <c r="AH641" i="18"/>
  <c r="AG641" i="18"/>
  <c r="AI641" i="18" s="1"/>
  <c r="AF641" i="18"/>
  <c r="AE641" i="18"/>
  <c r="AD641" i="18"/>
  <c r="AC641" i="18"/>
  <c r="AG640" i="18"/>
  <c r="AI640" i="18" s="1"/>
  <c r="AF640" i="18"/>
  <c r="AH640" i="18" s="1"/>
  <c r="AE640" i="18"/>
  <c r="AD640" i="18"/>
  <c r="AC640" i="18"/>
  <c r="AF639" i="18"/>
  <c r="AH639" i="18" s="1"/>
  <c r="AE639" i="18"/>
  <c r="AD639" i="18"/>
  <c r="AC639" i="18"/>
  <c r="AG639" i="18" s="1"/>
  <c r="AI639" i="18" s="1"/>
  <c r="AD638" i="18"/>
  <c r="AB638" i="18"/>
  <c r="AA638" i="18"/>
  <c r="Z638" i="18"/>
  <c r="AF638" i="18" s="1"/>
  <c r="Y638" i="18"/>
  <c r="X638" i="18"/>
  <c r="W638" i="18"/>
  <c r="AE638" i="18" s="1"/>
  <c r="V638" i="18"/>
  <c r="U638" i="18"/>
  <c r="T638" i="18"/>
  <c r="S638" i="18"/>
  <c r="R638" i="18"/>
  <c r="AC638" i="18" s="1"/>
  <c r="Q638" i="18"/>
  <c r="AH637" i="18"/>
  <c r="AG637" i="18"/>
  <c r="AF637" i="18"/>
  <c r="AE637" i="18"/>
  <c r="AD637" i="18"/>
  <c r="AC637" i="18"/>
  <c r="AG636" i="18"/>
  <c r="AI636" i="18" s="1"/>
  <c r="AF636" i="18"/>
  <c r="AH636" i="18" s="1"/>
  <c r="AE636" i="18"/>
  <c r="AD636" i="18"/>
  <c r="AC636" i="18"/>
  <c r="AF635" i="18"/>
  <c r="AE635" i="18"/>
  <c r="AD635" i="18"/>
  <c r="AC635" i="18"/>
  <c r="AG635" i="18" s="1"/>
  <c r="AD634" i="18"/>
  <c r="AB634" i="18"/>
  <c r="AA634" i="18"/>
  <c r="AA632" i="18" s="1"/>
  <c r="Z634" i="18"/>
  <c r="AF634" i="18" s="1"/>
  <c r="Y634" i="18"/>
  <c r="X634" i="18"/>
  <c r="W634" i="18"/>
  <c r="W632" i="18" s="1"/>
  <c r="V634" i="18"/>
  <c r="V632" i="18" s="1"/>
  <c r="U634" i="18"/>
  <c r="T634" i="18"/>
  <c r="S634" i="18"/>
  <c r="S632" i="18" s="1"/>
  <c r="R634" i="18"/>
  <c r="R632" i="18" s="1"/>
  <c r="Q634" i="18"/>
  <c r="AH633" i="18"/>
  <c r="AG633" i="18"/>
  <c r="AI633" i="18" s="1"/>
  <c r="AF633" i="18"/>
  <c r="AE633" i="18"/>
  <c r="AD633" i="18"/>
  <c r="AC633" i="18"/>
  <c r="AF632" i="18"/>
  <c r="AB632" i="18"/>
  <c r="Y632" i="18"/>
  <c r="X632" i="18"/>
  <c r="U632" i="18"/>
  <c r="T632" i="18"/>
  <c r="Q632" i="18"/>
  <c r="AI631" i="18"/>
  <c r="AG631" i="18"/>
  <c r="AF631" i="18"/>
  <c r="AH631" i="18" s="1"/>
  <c r="AE631" i="18"/>
  <c r="AD631" i="18"/>
  <c r="AC631" i="18"/>
  <c r="AF630" i="18"/>
  <c r="AE630" i="18"/>
  <c r="AH630" i="18" s="1"/>
  <c r="AI630" i="18" s="1"/>
  <c r="AD630" i="18"/>
  <c r="AG630" i="18" s="1"/>
  <c r="AC630" i="18"/>
  <c r="AH629" i="18"/>
  <c r="AF629" i="18"/>
  <c r="AE629" i="18"/>
  <c r="AD629" i="18"/>
  <c r="AG629" i="18" s="1"/>
  <c r="AI629" i="18" s="1"/>
  <c r="AC629" i="18"/>
  <c r="AF628" i="18"/>
  <c r="AB628" i="18"/>
  <c r="AB626" i="18" s="1"/>
  <c r="AA628" i="18"/>
  <c r="Z628" i="18"/>
  <c r="Y628" i="18"/>
  <c r="Y626" i="18" s="1"/>
  <c r="X628" i="18"/>
  <c r="X626" i="18" s="1"/>
  <c r="W628" i="18"/>
  <c r="V628" i="18"/>
  <c r="U628" i="18"/>
  <c r="U626" i="18" s="1"/>
  <c r="T628" i="18"/>
  <c r="AD628" i="18" s="1"/>
  <c r="AD626" i="18" s="1"/>
  <c r="S628" i="18"/>
  <c r="R628" i="18"/>
  <c r="Q628" i="18"/>
  <c r="Q626" i="18" s="1"/>
  <c r="AG627" i="18"/>
  <c r="AF627" i="18"/>
  <c r="AE627" i="18"/>
  <c r="AD627" i="18"/>
  <c r="AC627" i="18"/>
  <c r="AA626" i="18"/>
  <c r="Z626" i="18"/>
  <c r="W626" i="18"/>
  <c r="V626" i="18"/>
  <c r="S626" i="18"/>
  <c r="R626" i="18"/>
  <c r="AH625" i="18"/>
  <c r="AF625" i="18"/>
  <c r="AE625" i="18"/>
  <c r="AD625" i="18"/>
  <c r="AC625" i="18"/>
  <c r="AF624" i="18"/>
  <c r="AH624" i="18" s="1"/>
  <c r="AE624" i="18"/>
  <c r="AD624" i="18"/>
  <c r="AC624" i="18"/>
  <c r="AG624" i="18" s="1"/>
  <c r="AI624" i="18" s="1"/>
  <c r="AG623" i="18"/>
  <c r="AF623" i="18"/>
  <c r="AH623" i="18" s="1"/>
  <c r="AI623" i="18" s="1"/>
  <c r="AE623" i="18"/>
  <c r="AD623" i="18"/>
  <c r="AC623" i="18"/>
  <c r="AB622" i="18"/>
  <c r="AB620" i="18" s="1"/>
  <c r="AA622" i="18"/>
  <c r="AA620" i="18" s="1"/>
  <c r="Z622" i="18"/>
  <c r="AF622" i="18" s="1"/>
  <c r="AF620" i="18" s="1"/>
  <c r="Y622" i="18"/>
  <c r="X622" i="18"/>
  <c r="X620" i="18" s="1"/>
  <c r="W622" i="18"/>
  <c r="W620" i="18" s="1"/>
  <c r="V622" i="18"/>
  <c r="AD622" i="18" s="1"/>
  <c r="AD620" i="18" s="1"/>
  <c r="U622" i="18"/>
  <c r="T622" i="18"/>
  <c r="T620" i="18" s="1"/>
  <c r="S622" i="18"/>
  <c r="S620" i="18" s="1"/>
  <c r="R622" i="18"/>
  <c r="AC622" i="18" s="1"/>
  <c r="Q622" i="18"/>
  <c r="AH621" i="18"/>
  <c r="AF621" i="18"/>
  <c r="AE621" i="18"/>
  <c r="AD621" i="18"/>
  <c r="AC621" i="18"/>
  <c r="AG621" i="18" s="1"/>
  <c r="Q621" i="18"/>
  <c r="Z620" i="18"/>
  <c r="Y620" i="18"/>
  <c r="V620" i="18"/>
  <c r="U620" i="18"/>
  <c r="Q620" i="18"/>
  <c r="AG619" i="18"/>
  <c r="AI619" i="18" s="1"/>
  <c r="AF619" i="18"/>
  <c r="AH619" i="18" s="1"/>
  <c r="AE619" i="18"/>
  <c r="AD619" i="18"/>
  <c r="AC619" i="18"/>
  <c r="AF618" i="18"/>
  <c r="AH618" i="18" s="1"/>
  <c r="AE618" i="18"/>
  <c r="AD618" i="18"/>
  <c r="AC618" i="18"/>
  <c r="AG618" i="18" s="1"/>
  <c r="AF617" i="18"/>
  <c r="AE617" i="18"/>
  <c r="AH617" i="18" s="1"/>
  <c r="AD617" i="18"/>
  <c r="AC617" i="18"/>
  <c r="AG617" i="18" s="1"/>
  <c r="AB616" i="18"/>
  <c r="AA616" i="18"/>
  <c r="Z616" i="18"/>
  <c r="Y616" i="18"/>
  <c r="Y614" i="18" s="1"/>
  <c r="X616" i="18"/>
  <c r="W616" i="18"/>
  <c r="AE616" i="18" s="1"/>
  <c r="V616" i="18"/>
  <c r="V614" i="18" s="1"/>
  <c r="U616" i="18"/>
  <c r="U614" i="18" s="1"/>
  <c r="T616" i="18"/>
  <c r="S616" i="18"/>
  <c r="R616" i="18"/>
  <c r="Q616" i="18"/>
  <c r="Q614" i="18" s="1"/>
  <c r="AG615" i="18"/>
  <c r="AF615" i="18"/>
  <c r="AH615" i="18" s="1"/>
  <c r="AE615" i="18"/>
  <c r="AD615" i="18"/>
  <c r="AC615" i="18"/>
  <c r="AE614" i="18"/>
  <c r="AB614" i="18"/>
  <c r="AA614" i="18"/>
  <c r="X614" i="18"/>
  <c r="W614" i="18"/>
  <c r="T614" i="18"/>
  <c r="S614" i="18"/>
  <c r="AH613" i="18"/>
  <c r="AI613" i="18" s="1"/>
  <c r="AF613" i="18"/>
  <c r="AE613" i="18"/>
  <c r="AD613" i="18"/>
  <c r="AC613" i="18"/>
  <c r="AG613" i="18" s="1"/>
  <c r="AH612" i="18"/>
  <c r="AF612" i="18"/>
  <c r="AE612" i="18"/>
  <c r="AD612" i="18"/>
  <c r="AC612" i="18"/>
  <c r="AG612" i="18" s="1"/>
  <c r="AI612" i="18" s="1"/>
  <c r="AF611" i="18"/>
  <c r="AH611" i="18" s="1"/>
  <c r="AE611" i="18"/>
  <c r="AD611" i="18"/>
  <c r="AC611" i="18"/>
  <c r="AG611" i="18" s="1"/>
  <c r="AI611" i="18" s="1"/>
  <c r="AB610" i="18"/>
  <c r="AA610" i="18"/>
  <c r="AA608" i="18" s="1"/>
  <c r="AA607" i="18" s="1"/>
  <c r="Z610" i="18"/>
  <c r="Y610" i="18"/>
  <c r="X610" i="18"/>
  <c r="X608" i="18" s="1"/>
  <c r="X607" i="18" s="1"/>
  <c r="W610" i="18"/>
  <c r="V610" i="18"/>
  <c r="U610" i="18"/>
  <c r="T610" i="18"/>
  <c r="AD610" i="18" s="1"/>
  <c r="S610" i="18"/>
  <c r="R610" i="18"/>
  <c r="Q610" i="18"/>
  <c r="AH609" i="18"/>
  <c r="AF609" i="18"/>
  <c r="AE609" i="18"/>
  <c r="AD609" i="18"/>
  <c r="AD608" i="18" s="1"/>
  <c r="T609" i="18"/>
  <c r="R609" i="18"/>
  <c r="R608" i="18" s="1"/>
  <c r="Q609" i="18"/>
  <c r="AB608" i="18"/>
  <c r="AB607" i="18" s="1"/>
  <c r="Z608" i="18"/>
  <c r="Y608" i="18"/>
  <c r="V608" i="18"/>
  <c r="U608" i="18"/>
  <c r="U607" i="18" s="1"/>
  <c r="T608" i="18"/>
  <c r="Q608" i="18"/>
  <c r="AH606" i="18"/>
  <c r="AF606" i="18"/>
  <c r="AE606" i="18"/>
  <c r="AD606" i="18"/>
  <c r="AC606" i="18"/>
  <c r="AG606" i="18" s="1"/>
  <c r="AI606" i="18" s="1"/>
  <c r="AH605" i="18"/>
  <c r="AG605" i="18"/>
  <c r="AI605" i="18" s="1"/>
  <c r="AF605" i="18"/>
  <c r="AE605" i="18"/>
  <c r="AD605" i="18"/>
  <c r="AC605" i="18"/>
  <c r="AG604" i="18"/>
  <c r="AF604" i="18"/>
  <c r="AH604" i="18" s="1"/>
  <c r="AE604" i="18"/>
  <c r="AD604" i="18"/>
  <c r="AC604" i="18"/>
  <c r="AF603" i="18"/>
  <c r="AH603" i="18" s="1"/>
  <c r="AE603" i="18"/>
  <c r="AD603" i="18"/>
  <c r="AC603" i="18"/>
  <c r="AG603" i="18" s="1"/>
  <c r="AI603" i="18" s="1"/>
  <c r="AF602" i="18"/>
  <c r="AE602" i="18"/>
  <c r="AH602" i="18" s="1"/>
  <c r="AD602" i="18"/>
  <c r="AC602" i="18"/>
  <c r="AH601" i="18"/>
  <c r="AG601" i="18"/>
  <c r="AF601" i="18"/>
  <c r="AE601" i="18"/>
  <c r="AD601" i="18"/>
  <c r="AC601" i="18"/>
  <c r="AC600" i="18"/>
  <c r="AB600" i="18"/>
  <c r="AB599" i="18" s="1"/>
  <c r="AA600" i="18"/>
  <c r="Z600" i="18"/>
  <c r="Y600" i="18"/>
  <c r="X600" i="18"/>
  <c r="X599" i="18" s="1"/>
  <c r="X598" i="18" s="1"/>
  <c r="W600" i="18"/>
  <c r="V600" i="18"/>
  <c r="U600" i="18"/>
  <c r="U599" i="18" s="1"/>
  <c r="T600" i="18"/>
  <c r="S600" i="18"/>
  <c r="R600" i="18"/>
  <c r="Q600" i="18"/>
  <c r="AA599" i="18"/>
  <c r="AA598" i="18" s="1"/>
  <c r="AH597" i="18"/>
  <c r="AF597" i="18"/>
  <c r="AE597" i="18"/>
  <c r="AD597" i="18"/>
  <c r="AC597" i="18"/>
  <c r="AG597" i="18" s="1"/>
  <c r="AI597" i="18" s="1"/>
  <c r="AG596" i="18"/>
  <c r="AF596" i="18"/>
  <c r="AH596" i="18" s="1"/>
  <c r="AE596" i="18"/>
  <c r="AD596" i="18"/>
  <c r="AC596" i="18"/>
  <c r="AG595" i="18"/>
  <c r="AF595" i="18"/>
  <c r="AE595" i="18"/>
  <c r="AE591" i="18" s="1"/>
  <c r="AD595" i="18"/>
  <c r="AC595" i="18"/>
  <c r="AF594" i="18"/>
  <c r="AH594" i="18" s="1"/>
  <c r="AE594" i="18"/>
  <c r="AD594" i="18"/>
  <c r="AC594" i="18"/>
  <c r="AG594" i="18" s="1"/>
  <c r="AI594" i="18" s="1"/>
  <c r="AH593" i="18"/>
  <c r="AF593" i="18"/>
  <c r="AE593" i="18"/>
  <c r="AD593" i="18"/>
  <c r="AC593" i="18"/>
  <c r="AG593" i="18" s="1"/>
  <c r="AF592" i="18"/>
  <c r="AH592" i="18" s="1"/>
  <c r="AE592" i="18"/>
  <c r="AD592" i="18"/>
  <c r="AC592" i="18"/>
  <c r="AG592" i="18" s="1"/>
  <c r="AB591" i="18"/>
  <c r="AA591" i="18"/>
  <c r="AA583" i="18" s="1"/>
  <c r="Z591" i="18"/>
  <c r="Y591" i="18"/>
  <c r="X591" i="18"/>
  <c r="W591" i="18"/>
  <c r="W583" i="18" s="1"/>
  <c r="V591" i="18"/>
  <c r="U591" i="18"/>
  <c r="T591" i="18"/>
  <c r="S591" i="18"/>
  <c r="S583" i="18" s="1"/>
  <c r="R591" i="18"/>
  <c r="Q591" i="18"/>
  <c r="AH590" i="18"/>
  <c r="AF590" i="18"/>
  <c r="AE590" i="18"/>
  <c r="AD590" i="18"/>
  <c r="AD584" i="18" s="1"/>
  <c r="AC590" i="18"/>
  <c r="AG590" i="18" s="1"/>
  <c r="AI590" i="18" s="1"/>
  <c r="AG589" i="18"/>
  <c r="AF589" i="18"/>
  <c r="AE589" i="18"/>
  <c r="AH589" i="18" s="1"/>
  <c r="AD589" i="18"/>
  <c r="AC589" i="18"/>
  <c r="AG588" i="18"/>
  <c r="AF588" i="18"/>
  <c r="AH588" i="18" s="1"/>
  <c r="AE588" i="18"/>
  <c r="AD588" i="18"/>
  <c r="AC588" i="18"/>
  <c r="AG587" i="18"/>
  <c r="AF587" i="18"/>
  <c r="AE587" i="18"/>
  <c r="AD587" i="18"/>
  <c r="AC587" i="18"/>
  <c r="AF586" i="18"/>
  <c r="AH586" i="18" s="1"/>
  <c r="AE586" i="18"/>
  <c r="AD586" i="18"/>
  <c r="AC586" i="18"/>
  <c r="AG586" i="18" s="1"/>
  <c r="AG585" i="18"/>
  <c r="AF585" i="18"/>
  <c r="AE585" i="18"/>
  <c r="AH585" i="18" s="1"/>
  <c r="AD585" i="18"/>
  <c r="AC585" i="18"/>
  <c r="AC584" i="18"/>
  <c r="AB584" i="18"/>
  <c r="AB583" i="18" s="1"/>
  <c r="AA584" i="18"/>
  <c r="Z584" i="18"/>
  <c r="Z583" i="18" s="1"/>
  <c r="Y584" i="18"/>
  <c r="X584" i="18"/>
  <c r="X583" i="18" s="1"/>
  <c r="W584" i="18"/>
  <c r="V584" i="18"/>
  <c r="V583" i="18" s="1"/>
  <c r="U584" i="18"/>
  <c r="T584" i="18"/>
  <c r="T583" i="18" s="1"/>
  <c r="S584" i="18"/>
  <c r="R584" i="18"/>
  <c r="R583" i="18" s="1"/>
  <c r="Q584" i="18"/>
  <c r="Q583" i="18" s="1"/>
  <c r="Y583" i="18"/>
  <c r="U583" i="18"/>
  <c r="AF582" i="18"/>
  <c r="AH582" i="18" s="1"/>
  <c r="AE582" i="18"/>
  <c r="AD582" i="18"/>
  <c r="AC582" i="18"/>
  <c r="AF581" i="18"/>
  <c r="AE581" i="18"/>
  <c r="AH581" i="18" s="1"/>
  <c r="AD581" i="18"/>
  <c r="AC581" i="18"/>
  <c r="AG581" i="18" s="1"/>
  <c r="AF580" i="18"/>
  <c r="AH580" i="18" s="1"/>
  <c r="AE580" i="18"/>
  <c r="AD580" i="18"/>
  <c r="AC580" i="18"/>
  <c r="AG580" i="18" s="1"/>
  <c r="AI580" i="18" s="1"/>
  <c r="AG579" i="18"/>
  <c r="AF579" i="18"/>
  <c r="AF576" i="18" s="1"/>
  <c r="AE579" i="18"/>
  <c r="AD579" i="18"/>
  <c r="AC579" i="18"/>
  <c r="AH578" i="18"/>
  <c r="AF578" i="18"/>
  <c r="AE578" i="18"/>
  <c r="AD578" i="18"/>
  <c r="AC578" i="18"/>
  <c r="AG578" i="18" s="1"/>
  <c r="AH577" i="18"/>
  <c r="AG577" i="18"/>
  <c r="AI577" i="18" s="1"/>
  <c r="AF577" i="18"/>
  <c r="AE577" i="18"/>
  <c r="AD577" i="18"/>
  <c r="AC577" i="18"/>
  <c r="AD576" i="18"/>
  <c r="AC576" i="18"/>
  <c r="AB576" i="18"/>
  <c r="AA576" i="18"/>
  <c r="Z576" i="18"/>
  <c r="Y576" i="18"/>
  <c r="X576" i="18"/>
  <c r="W576" i="18"/>
  <c r="V576" i="18"/>
  <c r="U576" i="18"/>
  <c r="U568" i="18" s="1"/>
  <c r="U567" i="18" s="1"/>
  <c r="T576" i="18"/>
  <c r="S576" i="18"/>
  <c r="R576" i="18"/>
  <c r="Q576" i="18"/>
  <c r="AF575" i="18"/>
  <c r="AE575" i="18"/>
  <c r="AD575" i="18"/>
  <c r="AC575" i="18"/>
  <c r="AG575" i="18" s="1"/>
  <c r="AH574" i="18"/>
  <c r="AF574" i="18"/>
  <c r="AE574" i="18"/>
  <c r="AD574" i="18"/>
  <c r="AC574" i="18"/>
  <c r="AG574" i="18" s="1"/>
  <c r="AI574" i="18" s="1"/>
  <c r="AH573" i="18"/>
  <c r="AF573" i="18"/>
  <c r="AE573" i="18"/>
  <c r="AD573" i="18"/>
  <c r="AC573" i="18"/>
  <c r="AG573" i="18" s="1"/>
  <c r="AI573" i="18" s="1"/>
  <c r="AH572" i="18"/>
  <c r="AF572" i="18"/>
  <c r="AE572" i="18"/>
  <c r="AD572" i="18"/>
  <c r="AC572" i="18"/>
  <c r="AG572" i="18" s="1"/>
  <c r="AI572" i="18" s="1"/>
  <c r="AG571" i="18"/>
  <c r="AF571" i="18"/>
  <c r="AH571" i="18" s="1"/>
  <c r="AE571" i="18"/>
  <c r="AD571" i="18"/>
  <c r="AC571" i="18"/>
  <c r="AC569" i="18" s="1"/>
  <c r="AC568" i="18" s="1"/>
  <c r="AG570" i="18"/>
  <c r="AF570" i="18"/>
  <c r="AE570" i="18"/>
  <c r="AE569" i="18" s="1"/>
  <c r="AD570" i="18"/>
  <c r="AC570" i="18"/>
  <c r="AD569" i="18"/>
  <c r="AD568" i="18" s="1"/>
  <c r="AB569" i="18"/>
  <c r="AB568" i="18" s="1"/>
  <c r="AA569" i="18"/>
  <c r="AA568" i="18" s="1"/>
  <c r="AA567" i="18" s="1"/>
  <c r="Z569" i="18"/>
  <c r="Y569" i="18"/>
  <c r="X569" i="18"/>
  <c r="X568" i="18" s="1"/>
  <c r="W569" i="18"/>
  <c r="W568" i="18" s="1"/>
  <c r="V569" i="18"/>
  <c r="V568" i="18" s="1"/>
  <c r="V567" i="18" s="1"/>
  <c r="U569" i="18"/>
  <c r="T569" i="18"/>
  <c r="T568" i="18" s="1"/>
  <c r="S569" i="18"/>
  <c r="S568" i="18" s="1"/>
  <c r="S567" i="18" s="1"/>
  <c r="R569" i="18"/>
  <c r="Q569" i="18"/>
  <c r="Z568" i="18"/>
  <c r="Z567" i="18" s="1"/>
  <c r="Y568" i="18"/>
  <c r="Y567" i="18" s="1"/>
  <c r="R568" i="18"/>
  <c r="R567" i="18" s="1"/>
  <c r="Q568" i="18"/>
  <c r="Q567" i="18" s="1"/>
  <c r="AB567" i="18"/>
  <c r="T567" i="18"/>
  <c r="AF564" i="18"/>
  <c r="AE564" i="18"/>
  <c r="AD564" i="18"/>
  <c r="AC564" i="18"/>
  <c r="AG564" i="18" s="1"/>
  <c r="AF563" i="18"/>
  <c r="AE563" i="18"/>
  <c r="AH563" i="18" s="1"/>
  <c r="AD563" i="18"/>
  <c r="AG563" i="18" s="1"/>
  <c r="AI563" i="18" s="1"/>
  <c r="AC563" i="18"/>
  <c r="AF562" i="18"/>
  <c r="AH562" i="18" s="1"/>
  <c r="AE562" i="18"/>
  <c r="AD562" i="18"/>
  <c r="AC562" i="18"/>
  <c r="AG562" i="18" s="1"/>
  <c r="AI562" i="18" s="1"/>
  <c r="AF561" i="18"/>
  <c r="AH561" i="18" s="1"/>
  <c r="AE561" i="18"/>
  <c r="AD561" i="18"/>
  <c r="AC561" i="18"/>
  <c r="AG561" i="18" s="1"/>
  <c r="AI561" i="18" s="1"/>
  <c r="AG560" i="18"/>
  <c r="AF560" i="18"/>
  <c r="AH560" i="18" s="1"/>
  <c r="AI560" i="18" s="1"/>
  <c r="AI559" i="18" s="1"/>
  <c r="AE560" i="18"/>
  <c r="AE559" i="18" s="1"/>
  <c r="AD560" i="18"/>
  <c r="AC560" i="18"/>
  <c r="AH559" i="18"/>
  <c r="AB559" i="18"/>
  <c r="AA559" i="18"/>
  <c r="Z559" i="18"/>
  <c r="Y559" i="18"/>
  <c r="X559" i="18"/>
  <c r="W559" i="18"/>
  <c r="V559" i="18"/>
  <c r="U559" i="18"/>
  <c r="T559" i="18"/>
  <c r="S559" i="18"/>
  <c r="R559" i="18"/>
  <c r="Q559" i="18"/>
  <c r="AF558" i="18"/>
  <c r="AH558" i="18" s="1"/>
  <c r="AE558" i="18"/>
  <c r="AD558" i="18"/>
  <c r="AC558" i="18"/>
  <c r="AG558" i="18" s="1"/>
  <c r="AI558" i="18" s="1"/>
  <c r="AF557" i="18"/>
  <c r="AH557" i="18" s="1"/>
  <c r="AH555" i="18" s="1"/>
  <c r="AE557" i="18"/>
  <c r="AD557" i="18"/>
  <c r="AC557" i="18"/>
  <c r="AG557" i="18" s="1"/>
  <c r="AI556" i="18"/>
  <c r="AG556" i="18"/>
  <c r="AF556" i="18"/>
  <c r="AH556" i="18" s="1"/>
  <c r="AE556" i="18"/>
  <c r="AE555" i="18" s="1"/>
  <c r="AD556" i="18"/>
  <c r="AC556" i="18"/>
  <c r="AD555" i="18"/>
  <c r="AB555" i="18"/>
  <c r="AA555" i="18"/>
  <c r="Z555" i="18"/>
  <c r="Y555" i="18"/>
  <c r="X555" i="18"/>
  <c r="W555" i="18"/>
  <c r="V555" i="18"/>
  <c r="U555" i="18"/>
  <c r="T555" i="18"/>
  <c r="S555" i="18"/>
  <c r="R555" i="18"/>
  <c r="Q555" i="18"/>
  <c r="AF554" i="18"/>
  <c r="AH554" i="18" s="1"/>
  <c r="AE554" i="18"/>
  <c r="AD554" i="18"/>
  <c r="AD551" i="18" s="1"/>
  <c r="AC554" i="18"/>
  <c r="AG554" i="18" s="1"/>
  <c r="AF553" i="18"/>
  <c r="AH553" i="18" s="1"/>
  <c r="AE553" i="18"/>
  <c r="AD553" i="18"/>
  <c r="AC553" i="18"/>
  <c r="AG553" i="18" s="1"/>
  <c r="AI553" i="18" s="1"/>
  <c r="AI552" i="18"/>
  <c r="AG552" i="18"/>
  <c r="AF552" i="18"/>
  <c r="AH552" i="18" s="1"/>
  <c r="AH551" i="18" s="1"/>
  <c r="AE552" i="18"/>
  <c r="AE551" i="18" s="1"/>
  <c r="AD552" i="18"/>
  <c r="AC552" i="18"/>
  <c r="AB551" i="18"/>
  <c r="AA551" i="18"/>
  <c r="Z551" i="18"/>
  <c r="Y551" i="18"/>
  <c r="X551" i="18"/>
  <c r="W551" i="18"/>
  <c r="V551" i="18"/>
  <c r="U551" i="18"/>
  <c r="T551" i="18"/>
  <c r="S551" i="18"/>
  <c r="R551" i="18"/>
  <c r="Q551" i="18"/>
  <c r="AF550" i="18"/>
  <c r="AH550" i="18" s="1"/>
  <c r="AE550" i="18"/>
  <c r="AD550" i="18"/>
  <c r="AC550" i="18"/>
  <c r="AG550" i="18" s="1"/>
  <c r="AF549" i="18"/>
  <c r="AH549" i="18" s="1"/>
  <c r="AE549" i="18"/>
  <c r="AD549" i="18"/>
  <c r="AC549" i="18"/>
  <c r="AG549" i="18" s="1"/>
  <c r="AI548" i="18"/>
  <c r="AF548" i="18"/>
  <c r="AH548" i="18" s="1"/>
  <c r="AE548" i="18"/>
  <c r="AE547" i="18" s="1"/>
  <c r="AD548" i="18"/>
  <c r="AG548" i="18" s="1"/>
  <c r="AC548" i="18"/>
  <c r="AD547" i="18"/>
  <c r="AB547" i="18"/>
  <c r="AB546" i="18" s="1"/>
  <c r="AB542" i="18" s="1"/>
  <c r="AA547" i="18"/>
  <c r="AA546" i="18" s="1"/>
  <c r="Z547" i="18"/>
  <c r="Y547" i="18"/>
  <c r="X547" i="18"/>
  <c r="W547" i="18"/>
  <c r="W546" i="18" s="1"/>
  <c r="V547" i="18"/>
  <c r="U547" i="18"/>
  <c r="T547" i="18"/>
  <c r="S547" i="18"/>
  <c r="S546" i="18" s="1"/>
  <c r="R547" i="18"/>
  <c r="Q547" i="18"/>
  <c r="AD546" i="18"/>
  <c r="Y546" i="18"/>
  <c r="X546" i="18"/>
  <c r="X542" i="18" s="1"/>
  <c r="V546" i="18"/>
  <c r="U546" i="18"/>
  <c r="U542" i="18" s="1"/>
  <c r="T546" i="18"/>
  <c r="Q546" i="18"/>
  <c r="AG545" i="18"/>
  <c r="AF545" i="18"/>
  <c r="AH545" i="18" s="1"/>
  <c r="AE545" i="18"/>
  <c r="AD545" i="18"/>
  <c r="AC545" i="18"/>
  <c r="AF544" i="18"/>
  <c r="AE544" i="18"/>
  <c r="AD544" i="18"/>
  <c r="AC544" i="18"/>
  <c r="AG544" i="18" s="1"/>
  <c r="AE543" i="18"/>
  <c r="AD543" i="18"/>
  <c r="AB543" i="18"/>
  <c r="AA543" i="18"/>
  <c r="AA542" i="18" s="1"/>
  <c r="Z543" i="18"/>
  <c r="Y543" i="18"/>
  <c r="X543" i="18"/>
  <c r="W543" i="18"/>
  <c r="V543" i="18"/>
  <c r="V542" i="18" s="1"/>
  <c r="U543" i="18"/>
  <c r="T543" i="18"/>
  <c r="S543" i="18"/>
  <c r="S542" i="18" s="1"/>
  <c r="R543" i="18"/>
  <c r="Q543" i="18"/>
  <c r="Y542" i="18"/>
  <c r="T542" i="18"/>
  <c r="Q542" i="18"/>
  <c r="AF541" i="18"/>
  <c r="AH541" i="18" s="1"/>
  <c r="AE541" i="18"/>
  <c r="AD541" i="18"/>
  <c r="AC541" i="18"/>
  <c r="AG541" i="18" s="1"/>
  <c r="AI541" i="18" s="1"/>
  <c r="AF540" i="18"/>
  <c r="AH540" i="18" s="1"/>
  <c r="AE540" i="18"/>
  <c r="AD540" i="18"/>
  <c r="AG540" i="18" s="1"/>
  <c r="AI540" i="18" s="1"/>
  <c r="AC540" i="18"/>
  <c r="AH539" i="18"/>
  <c r="AF539" i="18"/>
  <c r="AE539" i="18"/>
  <c r="AD539" i="18"/>
  <c r="AC539" i="18"/>
  <c r="AG539" i="18" s="1"/>
  <c r="AI539" i="18" s="1"/>
  <c r="AH538" i="18"/>
  <c r="AG538" i="18"/>
  <c r="AF538" i="18"/>
  <c r="AE538" i="18"/>
  <c r="AD538" i="18"/>
  <c r="AC538" i="18"/>
  <c r="AC536" i="18" s="1"/>
  <c r="AG537" i="18"/>
  <c r="AF537" i="18"/>
  <c r="AH537" i="18" s="1"/>
  <c r="AE537" i="18"/>
  <c r="AD537" i="18"/>
  <c r="AD536" i="18" s="1"/>
  <c r="AC537" i="18"/>
  <c r="AF536" i="18"/>
  <c r="AE536" i="18"/>
  <c r="AB536" i="18"/>
  <c r="AA536" i="18"/>
  <c r="Z536" i="18"/>
  <c r="Y536" i="18"/>
  <c r="X536" i="18"/>
  <c r="W536" i="18"/>
  <c r="V536" i="18"/>
  <c r="U536" i="18"/>
  <c r="T536" i="18"/>
  <c r="S536" i="18"/>
  <c r="R536" i="18"/>
  <c r="Q536" i="18"/>
  <c r="AH535" i="18"/>
  <c r="AF535" i="18"/>
  <c r="AE535" i="18"/>
  <c r="AD535" i="18"/>
  <c r="AC535" i="18"/>
  <c r="AG535" i="18" s="1"/>
  <c r="AI535" i="18" s="1"/>
  <c r="AH534" i="18"/>
  <c r="AG534" i="18"/>
  <c r="AF534" i="18"/>
  <c r="AE534" i="18"/>
  <c r="AD534" i="18"/>
  <c r="AC534" i="18"/>
  <c r="AC532" i="18" s="1"/>
  <c r="AG533" i="18"/>
  <c r="AF533" i="18"/>
  <c r="AH533" i="18" s="1"/>
  <c r="AE533" i="18"/>
  <c r="AD533" i="18"/>
  <c r="AD532" i="18" s="1"/>
  <c r="AC533" i="18"/>
  <c r="AE532" i="18"/>
  <c r="AB532" i="18"/>
  <c r="AA532" i="18"/>
  <c r="Z532" i="18"/>
  <c r="Y532" i="18"/>
  <c r="X532" i="18"/>
  <c r="W532" i="18"/>
  <c r="V532" i="18"/>
  <c r="U532" i="18"/>
  <c r="T532" i="18"/>
  <c r="S532" i="18"/>
  <c r="R532" i="18"/>
  <c r="Q532" i="18"/>
  <c r="AI531" i="18"/>
  <c r="AH531" i="18"/>
  <c r="AF531" i="18"/>
  <c r="AE531" i="18"/>
  <c r="AD531" i="18"/>
  <c r="AC531" i="18"/>
  <c r="AG531" i="18" s="1"/>
  <c r="AH530" i="18"/>
  <c r="AG530" i="18"/>
  <c r="AI530" i="18" s="1"/>
  <c r="AF530" i="18"/>
  <c r="AE530" i="18"/>
  <c r="AD530" i="18"/>
  <c r="AC530" i="18"/>
  <c r="AC528" i="18" s="1"/>
  <c r="AG529" i="18"/>
  <c r="AF529" i="18"/>
  <c r="AH529" i="18" s="1"/>
  <c r="AE529" i="18"/>
  <c r="AD529" i="18"/>
  <c r="AD528" i="18" s="1"/>
  <c r="AC529" i="18"/>
  <c r="AE528" i="18"/>
  <c r="AB528" i="18"/>
  <c r="AA528" i="18"/>
  <c r="Z528" i="18"/>
  <c r="Y528" i="18"/>
  <c r="X528" i="18"/>
  <c r="W528" i="18"/>
  <c r="V528" i="18"/>
  <c r="U528" i="18"/>
  <c r="T528" i="18"/>
  <c r="S528" i="18"/>
  <c r="R528" i="18"/>
  <c r="Q528" i="18"/>
  <c r="AH527" i="18"/>
  <c r="AF527" i="18"/>
  <c r="AE527" i="18"/>
  <c r="AD527" i="18"/>
  <c r="AC527" i="18"/>
  <c r="AG527" i="18" s="1"/>
  <c r="AI527" i="18" s="1"/>
  <c r="AH526" i="18"/>
  <c r="AG526" i="18"/>
  <c r="AI526" i="18" s="1"/>
  <c r="AF526" i="18"/>
  <c r="AE526" i="18"/>
  <c r="AD526" i="18"/>
  <c r="AC526" i="18"/>
  <c r="AF525" i="18"/>
  <c r="AB525" i="18"/>
  <c r="AA525" i="18"/>
  <c r="Z525" i="18"/>
  <c r="Y525" i="18"/>
  <c r="Y524" i="18" s="1"/>
  <c r="Y523" i="18" s="1"/>
  <c r="Y519" i="18" s="1"/>
  <c r="Y518" i="18" s="1"/>
  <c r="X525" i="18"/>
  <c r="X524" i="18" s="1"/>
  <c r="W525" i="18"/>
  <c r="V525" i="18"/>
  <c r="V524" i="18" s="1"/>
  <c r="V523" i="18" s="1"/>
  <c r="V519" i="18" s="1"/>
  <c r="U525" i="18"/>
  <c r="U524" i="18" s="1"/>
  <c r="U523" i="18" s="1"/>
  <c r="T525" i="18"/>
  <c r="AD525" i="18" s="1"/>
  <c r="AD524" i="18" s="1"/>
  <c r="AD523" i="18" s="1"/>
  <c r="S525" i="18"/>
  <c r="R525" i="18"/>
  <c r="Q525" i="18"/>
  <c r="AB524" i="18"/>
  <c r="AB523" i="18" s="1"/>
  <c r="AA524" i="18"/>
  <c r="AA523" i="18" s="1"/>
  <c r="AA519" i="18" s="1"/>
  <c r="AA518" i="18" s="1"/>
  <c r="Z524" i="18"/>
  <c r="W524" i="18"/>
  <c r="T524" i="18"/>
  <c r="T523" i="18" s="1"/>
  <c r="S524" i="18"/>
  <c r="S523" i="18" s="1"/>
  <c r="R524" i="18"/>
  <c r="Z523" i="18"/>
  <c r="W523" i="18"/>
  <c r="R523" i="18"/>
  <c r="AH522" i="18"/>
  <c r="AG522" i="18"/>
  <c r="AF522" i="18"/>
  <c r="AE522" i="18"/>
  <c r="AD522" i="18"/>
  <c r="AC522" i="18"/>
  <c r="AC520" i="18" s="1"/>
  <c r="AG521" i="18"/>
  <c r="AF521" i="18"/>
  <c r="AH521" i="18" s="1"/>
  <c r="AE521" i="18"/>
  <c r="AD521" i="18"/>
  <c r="AD520" i="18" s="1"/>
  <c r="AC521" i="18"/>
  <c r="AE520" i="18"/>
  <c r="AB520" i="18"/>
  <c r="AB519" i="18" s="1"/>
  <c r="AB518" i="18" s="1"/>
  <c r="AA520" i="18"/>
  <c r="Z520" i="18"/>
  <c r="Y520" i="18"/>
  <c r="X520" i="18"/>
  <c r="W520" i="18"/>
  <c r="V520" i="18"/>
  <c r="U520" i="18"/>
  <c r="T520" i="18"/>
  <c r="T519" i="18" s="1"/>
  <c r="T518" i="18" s="1"/>
  <c r="S520" i="18"/>
  <c r="R520" i="18"/>
  <c r="Q520" i="18"/>
  <c r="Z519" i="18"/>
  <c r="S519" i="18"/>
  <c r="S518" i="18" s="1"/>
  <c r="R519" i="18"/>
  <c r="AG517" i="18"/>
  <c r="AF517" i="18"/>
  <c r="AH517" i="18" s="1"/>
  <c r="AE517" i="18"/>
  <c r="AD517" i="18"/>
  <c r="AC517" i="18"/>
  <c r="AF516" i="18"/>
  <c r="AH516" i="18" s="1"/>
  <c r="AE516" i="18"/>
  <c r="AD516" i="18"/>
  <c r="AC516" i="18"/>
  <c r="AG516" i="18" s="1"/>
  <c r="AF515" i="18"/>
  <c r="AE515" i="18"/>
  <c r="AD515" i="18"/>
  <c r="AG515" i="18" s="1"/>
  <c r="AC515" i="18"/>
  <c r="AF514" i="18"/>
  <c r="AH514" i="18" s="1"/>
  <c r="AE514" i="18"/>
  <c r="AD514" i="18"/>
  <c r="AC514" i="18"/>
  <c r="AG514" i="18" s="1"/>
  <c r="AF513" i="18"/>
  <c r="AH513" i="18" s="1"/>
  <c r="AE513" i="18"/>
  <c r="AD513" i="18"/>
  <c r="AC513" i="18"/>
  <c r="AB512" i="18"/>
  <c r="AA512" i="18"/>
  <c r="Z512" i="18"/>
  <c r="Y512" i="18"/>
  <c r="X512" i="18"/>
  <c r="W512" i="18"/>
  <c r="V512" i="18"/>
  <c r="U512" i="18"/>
  <c r="T512" i="18"/>
  <c r="S512" i="18"/>
  <c r="R512" i="18"/>
  <c r="Q512" i="18"/>
  <c r="AF511" i="18"/>
  <c r="AE511" i="18"/>
  <c r="AH511" i="18" s="1"/>
  <c r="AD511" i="18"/>
  <c r="AG511" i="18" s="1"/>
  <c r="AI511" i="18" s="1"/>
  <c r="AC511" i="18"/>
  <c r="AF510" i="18"/>
  <c r="AH510" i="18" s="1"/>
  <c r="AE510" i="18"/>
  <c r="AD510" i="18"/>
  <c r="AD508" i="18" s="1"/>
  <c r="AC510" i="18"/>
  <c r="AG510" i="18" s="1"/>
  <c r="AI510" i="18" s="1"/>
  <c r="AF509" i="18"/>
  <c r="AH509" i="18" s="1"/>
  <c r="AH508" i="18" s="1"/>
  <c r="AH507" i="18" s="1"/>
  <c r="AE509" i="18"/>
  <c r="AD509" i="18"/>
  <c r="AC509" i="18"/>
  <c r="AE508" i="18"/>
  <c r="AB508" i="18"/>
  <c r="AB507" i="18" s="1"/>
  <c r="AA508" i="18"/>
  <c r="AA507" i="18" s="1"/>
  <c r="AA503" i="18" s="1"/>
  <c r="AA487" i="18" s="1"/>
  <c r="Z508" i="18"/>
  <c r="Y508" i="18"/>
  <c r="Y507" i="18" s="1"/>
  <c r="Y503" i="18" s="1"/>
  <c r="X508" i="18"/>
  <c r="X507" i="18" s="1"/>
  <c r="W508" i="18"/>
  <c r="V508" i="18"/>
  <c r="U508" i="18"/>
  <c r="T508" i="18"/>
  <c r="T507" i="18" s="1"/>
  <c r="S508" i="18"/>
  <c r="S507" i="18" s="1"/>
  <c r="S503" i="18" s="1"/>
  <c r="R508" i="18"/>
  <c r="Q508" i="18"/>
  <c r="Q507" i="18" s="1"/>
  <c r="Q503" i="18" s="1"/>
  <c r="AE507" i="18"/>
  <c r="AD507" i="18"/>
  <c r="Z507" i="18"/>
  <c r="W507" i="18"/>
  <c r="V507" i="18"/>
  <c r="V503" i="18" s="1"/>
  <c r="U507" i="18"/>
  <c r="R507" i="18"/>
  <c r="AH506" i="18"/>
  <c r="AG506" i="18"/>
  <c r="AI506" i="18" s="1"/>
  <c r="AF506" i="18"/>
  <c r="AE506" i="18"/>
  <c r="AD506" i="18"/>
  <c r="AC506" i="18"/>
  <c r="AC504" i="18" s="1"/>
  <c r="AG505" i="18"/>
  <c r="AF505" i="18"/>
  <c r="AE505" i="18"/>
  <c r="AD505" i="18"/>
  <c r="AD504" i="18" s="1"/>
  <c r="AC505" i="18"/>
  <c r="AE504" i="18"/>
  <c r="AB504" i="18"/>
  <c r="AA504" i="18"/>
  <c r="Z504" i="18"/>
  <c r="Y504" i="18"/>
  <c r="X504" i="18"/>
  <c r="X503" i="18" s="1"/>
  <c r="W504" i="18"/>
  <c r="W503" i="18" s="1"/>
  <c r="V504" i="18"/>
  <c r="U504" i="18"/>
  <c r="U503" i="18" s="1"/>
  <c r="T504" i="18"/>
  <c r="S504" i="18"/>
  <c r="R504" i="18"/>
  <c r="Q504" i="18"/>
  <c r="Z503" i="18"/>
  <c r="R503" i="18"/>
  <c r="AF502" i="18"/>
  <c r="AH502" i="18" s="1"/>
  <c r="AE502" i="18"/>
  <c r="AD502" i="18"/>
  <c r="AC502" i="18"/>
  <c r="AG502" i="18" s="1"/>
  <c r="AF501" i="18"/>
  <c r="AH501" i="18" s="1"/>
  <c r="AE501" i="18"/>
  <c r="AD501" i="18"/>
  <c r="AC501" i="18"/>
  <c r="AG501" i="18" s="1"/>
  <c r="AI501" i="18" s="1"/>
  <c r="AG500" i="18"/>
  <c r="AF500" i="18"/>
  <c r="AE500" i="18"/>
  <c r="AD500" i="18"/>
  <c r="AC500" i="18"/>
  <c r="AH499" i="18"/>
  <c r="AF499" i="18"/>
  <c r="AE499" i="18"/>
  <c r="AD499" i="18"/>
  <c r="AD497" i="18" s="1"/>
  <c r="AC499" i="18"/>
  <c r="AG499" i="18" s="1"/>
  <c r="AH498" i="18"/>
  <c r="AF498" i="18"/>
  <c r="AE498" i="18"/>
  <c r="AE497" i="18" s="1"/>
  <c r="AD498" i="18"/>
  <c r="AC498" i="18"/>
  <c r="AF497" i="18"/>
  <c r="AB497" i="18"/>
  <c r="AA497" i="18"/>
  <c r="Z497" i="18"/>
  <c r="Y497" i="18"/>
  <c r="X497" i="18"/>
  <c r="W497" i="18"/>
  <c r="V497" i="18"/>
  <c r="U497" i="18"/>
  <c r="T497" i="18"/>
  <c r="S497" i="18"/>
  <c r="R497" i="18"/>
  <c r="Q497" i="18"/>
  <c r="AG496" i="18"/>
  <c r="AF496" i="18"/>
  <c r="AE496" i="18"/>
  <c r="AD496" i="18"/>
  <c r="AC496" i="18"/>
  <c r="AH495" i="18"/>
  <c r="AH493" i="18" s="1"/>
  <c r="AF495" i="18"/>
  <c r="AF493" i="18" s="1"/>
  <c r="AF492" i="18" s="1"/>
  <c r="AE495" i="18"/>
  <c r="AD495" i="18"/>
  <c r="AD493" i="18" s="1"/>
  <c r="AD492" i="18" s="1"/>
  <c r="AC495" i="18"/>
  <c r="AH494" i="18"/>
  <c r="AF494" i="18"/>
  <c r="AE494" i="18"/>
  <c r="AD494" i="18"/>
  <c r="AC494" i="18"/>
  <c r="AG494" i="18" s="1"/>
  <c r="Y494" i="18"/>
  <c r="AE493" i="18"/>
  <c r="AC493" i="18"/>
  <c r="AB493" i="18"/>
  <c r="AA493" i="18"/>
  <c r="Z493" i="18"/>
  <c r="Z492" i="18" s="1"/>
  <c r="Y493" i="18"/>
  <c r="Y492" i="18" s="1"/>
  <c r="X493" i="18"/>
  <c r="W493" i="18"/>
  <c r="W492" i="18" s="1"/>
  <c r="W488" i="18" s="1"/>
  <c r="V493" i="18"/>
  <c r="V492" i="18" s="1"/>
  <c r="U493" i="18"/>
  <c r="T493" i="18"/>
  <c r="S493" i="18"/>
  <c r="R493" i="18"/>
  <c r="R492" i="18" s="1"/>
  <c r="Q493" i="18"/>
  <c r="Q492" i="18" s="1"/>
  <c r="AC492" i="18"/>
  <c r="AB492" i="18"/>
  <c r="AA492" i="18"/>
  <c r="X492" i="18"/>
  <c r="X488" i="18" s="1"/>
  <c r="X487" i="18" s="1"/>
  <c r="U492" i="18"/>
  <c r="T492" i="18"/>
  <c r="S492" i="18"/>
  <c r="AF491" i="18"/>
  <c r="AE491" i="18"/>
  <c r="AD491" i="18"/>
  <c r="AC491" i="18"/>
  <c r="AG491" i="18" s="1"/>
  <c r="AH490" i="18"/>
  <c r="AF490" i="18"/>
  <c r="AE490" i="18"/>
  <c r="AE489" i="18" s="1"/>
  <c r="AD490" i="18"/>
  <c r="AG490" i="18" s="1"/>
  <c r="AC490" i="18"/>
  <c r="AC489" i="18"/>
  <c r="AB489" i="18"/>
  <c r="AA489" i="18"/>
  <c r="AA488" i="18" s="1"/>
  <c r="Z489" i="18"/>
  <c r="Z488" i="18" s="1"/>
  <c r="Z487" i="18" s="1"/>
  <c r="Y489" i="18"/>
  <c r="X489" i="18"/>
  <c r="W489" i="18"/>
  <c r="V489" i="18"/>
  <c r="U489" i="18"/>
  <c r="U488" i="18" s="1"/>
  <c r="U487" i="18" s="1"/>
  <c r="T489" i="18"/>
  <c r="S489" i="18"/>
  <c r="S488" i="18" s="1"/>
  <c r="S487" i="18" s="1"/>
  <c r="R489" i="18"/>
  <c r="R488" i="18" s="1"/>
  <c r="Q489" i="18"/>
  <c r="AB488" i="18"/>
  <c r="Y488" i="18"/>
  <c r="Y487" i="18" s="1"/>
  <c r="V488" i="18"/>
  <c r="V487" i="18" s="1"/>
  <c r="T488" i="18"/>
  <c r="W487" i="18"/>
  <c r="AH484" i="18"/>
  <c r="AF484" i="18"/>
  <c r="AE484" i="18"/>
  <c r="AD484" i="18"/>
  <c r="AG484" i="18" s="1"/>
  <c r="AC484" i="18"/>
  <c r="AF483" i="18"/>
  <c r="AH483" i="18" s="1"/>
  <c r="AE483" i="18"/>
  <c r="AD483" i="18"/>
  <c r="AC483" i="18"/>
  <c r="AH482" i="18"/>
  <c r="AF482" i="18"/>
  <c r="AE482" i="18"/>
  <c r="AD482" i="18"/>
  <c r="AC482" i="18"/>
  <c r="AG482" i="18" s="1"/>
  <c r="AG481" i="18"/>
  <c r="AG480" i="18" s="1"/>
  <c r="AF481" i="18"/>
  <c r="AE481" i="18"/>
  <c r="AE480" i="18" s="1"/>
  <c r="AD481" i="18"/>
  <c r="AC481" i="18"/>
  <c r="AF480" i="18"/>
  <c r="AD480" i="18"/>
  <c r="AC480" i="18"/>
  <c r="AB480" i="18"/>
  <c r="AA480" i="18"/>
  <c r="Z480" i="18"/>
  <c r="Y480" i="18"/>
  <c r="X480" i="18"/>
  <c r="W480" i="18"/>
  <c r="V480" i="18"/>
  <c r="U480" i="18"/>
  <c r="T480" i="18"/>
  <c r="S480" i="18"/>
  <c r="R480" i="18"/>
  <c r="Q480" i="18"/>
  <c r="AH479" i="18"/>
  <c r="AG479" i="18"/>
  <c r="AF479" i="18"/>
  <c r="AE479" i="18"/>
  <c r="AD479" i="18"/>
  <c r="AC479" i="18"/>
  <c r="AF478" i="18"/>
  <c r="AE478" i="18"/>
  <c r="AE476" i="18" s="1"/>
  <c r="AD478" i="18"/>
  <c r="AC478" i="18"/>
  <c r="AG478" i="18" s="1"/>
  <c r="AF477" i="18"/>
  <c r="AE477" i="18"/>
  <c r="AD477" i="18"/>
  <c r="AD476" i="18" s="1"/>
  <c r="AC477" i="18"/>
  <c r="AB476" i="18"/>
  <c r="AA476" i="18"/>
  <c r="Z476" i="18"/>
  <c r="Y476" i="18"/>
  <c r="X476" i="18"/>
  <c r="W476" i="18"/>
  <c r="V476" i="18"/>
  <c r="U476" i="18"/>
  <c r="T476" i="18"/>
  <c r="T467" i="18" s="1"/>
  <c r="S476" i="18"/>
  <c r="R476" i="18"/>
  <c r="Q476" i="18"/>
  <c r="AF475" i="18"/>
  <c r="AE475" i="18"/>
  <c r="AH475" i="18" s="1"/>
  <c r="AD475" i="18"/>
  <c r="AC475" i="18"/>
  <c r="AH474" i="18"/>
  <c r="AF474" i="18"/>
  <c r="AE474" i="18"/>
  <c r="AD474" i="18"/>
  <c r="AC474" i="18"/>
  <c r="AG474" i="18" s="1"/>
  <c r="AI474" i="18" s="1"/>
  <c r="AH473" i="18"/>
  <c r="AH472" i="18" s="1"/>
  <c r="AF473" i="18"/>
  <c r="AE473" i="18"/>
  <c r="AD473" i="18"/>
  <c r="AD472" i="18" s="1"/>
  <c r="AC473" i="18"/>
  <c r="AF472" i="18"/>
  <c r="AE472" i="18"/>
  <c r="AB472" i="18"/>
  <c r="AB468" i="18" s="1"/>
  <c r="AB467" i="18" s="1"/>
  <c r="AA472" i="18"/>
  <c r="Z472" i="18"/>
  <c r="Y472" i="18"/>
  <c r="X472" i="18"/>
  <c r="W472" i="18"/>
  <c r="W468" i="18" s="1"/>
  <c r="W467" i="18" s="1"/>
  <c r="V472" i="18"/>
  <c r="U472" i="18"/>
  <c r="T472" i="18"/>
  <c r="T468" i="18" s="1"/>
  <c r="S472" i="18"/>
  <c r="R472" i="18"/>
  <c r="Q472" i="18"/>
  <c r="AF471" i="18"/>
  <c r="AF469" i="18" s="1"/>
  <c r="AE471" i="18"/>
  <c r="AD471" i="18"/>
  <c r="AC471" i="18"/>
  <c r="AG471" i="18" s="1"/>
  <c r="AH470" i="18"/>
  <c r="AF470" i="18"/>
  <c r="AE470" i="18"/>
  <c r="AD470" i="18"/>
  <c r="AD469" i="18" s="1"/>
  <c r="AD468" i="18" s="1"/>
  <c r="AD467" i="18" s="1"/>
  <c r="AC470" i="18"/>
  <c r="Q470" i="18"/>
  <c r="AC469" i="18"/>
  <c r="AB469" i="18"/>
  <c r="AA469" i="18"/>
  <c r="AA468" i="18" s="1"/>
  <c r="Z469" i="18"/>
  <c r="Z468" i="18" s="1"/>
  <c r="Z467" i="18" s="1"/>
  <c r="Y469" i="18"/>
  <c r="X469" i="18"/>
  <c r="W469" i="18"/>
  <c r="V469" i="18"/>
  <c r="V468" i="18" s="1"/>
  <c r="U469" i="18"/>
  <c r="U468" i="18" s="1"/>
  <c r="U467" i="18" s="1"/>
  <c r="T469" i="18"/>
  <c r="S469" i="18"/>
  <c r="S468" i="18" s="1"/>
  <c r="S467" i="18" s="1"/>
  <c r="S461" i="18" s="1"/>
  <c r="R469" i="18"/>
  <c r="R468" i="18" s="1"/>
  <c r="R467" i="18" s="1"/>
  <c r="Q469" i="18"/>
  <c r="AF468" i="18"/>
  <c r="Y468" i="18"/>
  <c r="Y467" i="18" s="1"/>
  <c r="X468" i="18"/>
  <c r="X467" i="18" s="1"/>
  <c r="Q468" i="18"/>
  <c r="Q467" i="18" s="1"/>
  <c r="AA467" i="18"/>
  <c r="AA461" i="18" s="1"/>
  <c r="AF466" i="18"/>
  <c r="AE466" i="18"/>
  <c r="AH466" i="18" s="1"/>
  <c r="AD466" i="18"/>
  <c r="AC466" i="18"/>
  <c r="AG466" i="18" s="1"/>
  <c r="AI466" i="18" s="1"/>
  <c r="AH465" i="18"/>
  <c r="AF465" i="18"/>
  <c r="AE465" i="18"/>
  <c r="AE463" i="18" s="1"/>
  <c r="AD465" i="18"/>
  <c r="AD463" i="18" s="1"/>
  <c r="AD462" i="18" s="1"/>
  <c r="AC465" i="18"/>
  <c r="AH464" i="18"/>
  <c r="AF464" i="18"/>
  <c r="AE464" i="18"/>
  <c r="AD464" i="18"/>
  <c r="AC464" i="18"/>
  <c r="Q464" i="18"/>
  <c r="Q463" i="18" s="1"/>
  <c r="Q462" i="18" s="1"/>
  <c r="Q461" i="18" s="1"/>
  <c r="AH463" i="18"/>
  <c r="AH462" i="18" s="1"/>
  <c r="AF463" i="18"/>
  <c r="AB463" i="18"/>
  <c r="AB462" i="18" s="1"/>
  <c r="AA463" i="18"/>
  <c r="Z463" i="18"/>
  <c r="Z462" i="18" s="1"/>
  <c r="Y463" i="18"/>
  <c r="Y462" i="18" s="1"/>
  <c r="Y461" i="18" s="1"/>
  <c r="X463" i="18"/>
  <c r="W463" i="18"/>
  <c r="V463" i="18"/>
  <c r="U463" i="18"/>
  <c r="U462" i="18" s="1"/>
  <c r="U461" i="18" s="1"/>
  <c r="T463" i="18"/>
  <c r="T462" i="18" s="1"/>
  <c r="S463" i="18"/>
  <c r="R463" i="18"/>
  <c r="R462" i="18" s="1"/>
  <c r="AF462" i="18"/>
  <c r="AA462" i="18"/>
  <c r="X462" i="18"/>
  <c r="W462" i="18"/>
  <c r="V462" i="18"/>
  <c r="S462" i="18"/>
  <c r="Z461" i="18"/>
  <c r="R461" i="18"/>
  <c r="AH460" i="18"/>
  <c r="AF460" i="18"/>
  <c r="AE460" i="18"/>
  <c r="AD460" i="18"/>
  <c r="AC460" i="18"/>
  <c r="AH459" i="18"/>
  <c r="AF459" i="18"/>
  <c r="AE459" i="18"/>
  <c r="AD459" i="18"/>
  <c r="AC459" i="18"/>
  <c r="AG459" i="18" s="1"/>
  <c r="AI459" i="18" s="1"/>
  <c r="AG458" i="18"/>
  <c r="AF458" i="18"/>
  <c r="AH458" i="18" s="1"/>
  <c r="AI458" i="18" s="1"/>
  <c r="AE458" i="18"/>
  <c r="AD458" i="18"/>
  <c r="AC458" i="18"/>
  <c r="AH457" i="18"/>
  <c r="AH456" i="18" s="1"/>
  <c r="AF457" i="18"/>
  <c r="AF456" i="18" s="1"/>
  <c r="AE457" i="18"/>
  <c r="AD457" i="18"/>
  <c r="AG457" i="18" s="1"/>
  <c r="AI457" i="18" s="1"/>
  <c r="AC457" i="18"/>
  <c r="AG456" i="18"/>
  <c r="AE456" i="18"/>
  <c r="AD456" i="18"/>
  <c r="AC456" i="18"/>
  <c r="AB456" i="18"/>
  <c r="AA456" i="18"/>
  <c r="Z456" i="18"/>
  <c r="Y456" i="18"/>
  <c r="X456" i="18"/>
  <c r="W456" i="18"/>
  <c r="V456" i="18"/>
  <c r="U456" i="18"/>
  <c r="T456" i="18"/>
  <c r="S456" i="18"/>
  <c r="R456" i="18"/>
  <c r="Q456" i="18"/>
  <c r="AH455" i="18"/>
  <c r="AF455" i="18"/>
  <c r="AE455" i="18"/>
  <c r="AD455" i="18"/>
  <c r="AC455" i="18"/>
  <c r="AI454" i="18"/>
  <c r="AG454" i="18"/>
  <c r="AF454" i="18"/>
  <c r="AH454" i="18" s="1"/>
  <c r="AE454" i="18"/>
  <c r="AD454" i="18"/>
  <c r="AC454" i="18"/>
  <c r="AH453" i="18"/>
  <c r="AH452" i="18" s="1"/>
  <c r="AF453" i="18"/>
  <c r="AF452" i="18" s="1"/>
  <c r="AE453" i="18"/>
  <c r="AD453" i="18"/>
  <c r="AG453" i="18" s="1"/>
  <c r="AI453" i="18" s="1"/>
  <c r="AC453" i="18"/>
  <c r="AE452" i="18"/>
  <c r="AD452" i="18"/>
  <c r="AB452" i="18"/>
  <c r="AA452" i="18"/>
  <c r="Z452" i="18"/>
  <c r="Y452" i="18"/>
  <c r="X452" i="18"/>
  <c r="W452" i="18"/>
  <c r="V452" i="18"/>
  <c r="U452" i="18"/>
  <c r="T452" i="18"/>
  <c r="S452" i="18"/>
  <c r="R452" i="18"/>
  <c r="Q452" i="18"/>
  <c r="AH451" i="18"/>
  <c r="AF451" i="18"/>
  <c r="AE451" i="18"/>
  <c r="AD451" i="18"/>
  <c r="AC451" i="18"/>
  <c r="AG451" i="18" s="1"/>
  <c r="AI451" i="18" s="1"/>
  <c r="AI450" i="18"/>
  <c r="AG450" i="18"/>
  <c r="AF450" i="18"/>
  <c r="AH450" i="18" s="1"/>
  <c r="AE450" i="18"/>
  <c r="AD450" i="18"/>
  <c r="AC450" i="18"/>
  <c r="AI449" i="18"/>
  <c r="AI448" i="18" s="1"/>
  <c r="AH449" i="18"/>
  <c r="AF449" i="18"/>
  <c r="AF448" i="18" s="1"/>
  <c r="AE449" i="18"/>
  <c r="AD449" i="18"/>
  <c r="AG449" i="18" s="1"/>
  <c r="AG448" i="18" s="1"/>
  <c r="AC449" i="18"/>
  <c r="AH448" i="18"/>
  <c r="AE448" i="18"/>
  <c r="AD448" i="18"/>
  <c r="AC448" i="18"/>
  <c r="AB448" i="18"/>
  <c r="AA448" i="18"/>
  <c r="Z448" i="18"/>
  <c r="Y448" i="18"/>
  <c r="X448" i="18"/>
  <c r="W448" i="18"/>
  <c r="V448" i="18"/>
  <c r="U448" i="18"/>
  <c r="T448" i="18"/>
  <c r="S448" i="18"/>
  <c r="R448" i="18"/>
  <c r="R444" i="18" s="1"/>
  <c r="R443" i="18" s="1"/>
  <c r="Q448" i="18"/>
  <c r="AH447" i="18"/>
  <c r="AF447" i="18"/>
  <c r="AE447" i="18"/>
  <c r="AD447" i="18"/>
  <c r="AC447" i="18"/>
  <c r="AG447" i="18" s="1"/>
  <c r="AI447" i="18" s="1"/>
  <c r="AB446" i="18"/>
  <c r="AB445" i="18" s="1"/>
  <c r="AB444" i="18" s="1"/>
  <c r="AA446" i="18"/>
  <c r="Z446" i="18"/>
  <c r="Y446" i="18"/>
  <c r="Y445" i="18" s="1"/>
  <c r="Y444" i="18" s="1"/>
  <c r="Y443" i="18" s="1"/>
  <c r="X446" i="18"/>
  <c r="X445" i="18" s="1"/>
  <c r="X444" i="18" s="1"/>
  <c r="X443" i="18" s="1"/>
  <c r="W446" i="18"/>
  <c r="AE446" i="18" s="1"/>
  <c r="AE445" i="18" s="1"/>
  <c r="AE444" i="18" s="1"/>
  <c r="AE443" i="18" s="1"/>
  <c r="V446" i="18"/>
  <c r="U446" i="18"/>
  <c r="U445" i="18" s="1"/>
  <c r="U444" i="18" s="1"/>
  <c r="U443" i="18" s="1"/>
  <c r="T446" i="18"/>
  <c r="S446" i="18"/>
  <c r="S445" i="18" s="1"/>
  <c r="S444" i="18" s="1"/>
  <c r="S443" i="18" s="1"/>
  <c r="R446" i="18"/>
  <c r="Q446" i="18"/>
  <c r="Q445" i="18" s="1"/>
  <c r="Q444" i="18" s="1"/>
  <c r="Q443" i="18" s="1"/>
  <c r="Z445" i="18"/>
  <c r="W445" i="18"/>
  <c r="W444" i="18" s="1"/>
  <c r="W443" i="18" s="1"/>
  <c r="V445" i="18"/>
  <c r="V444" i="18" s="1"/>
  <c r="V443" i="18" s="1"/>
  <c r="R445" i="18"/>
  <c r="Z444" i="18"/>
  <c r="AB443" i="18"/>
  <c r="AF442" i="18"/>
  <c r="AE442" i="18"/>
  <c r="AD442" i="18"/>
  <c r="AC442" i="18"/>
  <c r="AG442" i="18" s="1"/>
  <c r="AF441" i="18"/>
  <c r="AE441" i="18"/>
  <c r="AH441" i="18" s="1"/>
  <c r="AH439" i="18" s="1"/>
  <c r="AD441" i="18"/>
  <c r="AC441" i="18"/>
  <c r="AG441" i="18" s="1"/>
  <c r="AI441" i="18" s="1"/>
  <c r="AH440" i="18"/>
  <c r="AF440" i="18"/>
  <c r="AE440" i="18"/>
  <c r="AD440" i="18"/>
  <c r="AD439" i="18" s="1"/>
  <c r="AD438" i="18" s="1"/>
  <c r="AC440" i="18"/>
  <c r="AC439" i="18" s="1"/>
  <c r="AC438" i="18" s="1"/>
  <c r="AF439" i="18"/>
  <c r="AB439" i="18"/>
  <c r="AB438" i="18" s="1"/>
  <c r="AB437" i="18" s="1"/>
  <c r="AA439" i="18"/>
  <c r="Z439" i="18"/>
  <c r="Z438" i="18" s="1"/>
  <c r="Y439" i="18"/>
  <c r="Y438" i="18" s="1"/>
  <c r="X439" i="18"/>
  <c r="W439" i="18"/>
  <c r="V439" i="18"/>
  <c r="V438" i="18" s="1"/>
  <c r="V437" i="18" s="1"/>
  <c r="U439" i="18"/>
  <c r="U438" i="18" s="1"/>
  <c r="T439" i="18"/>
  <c r="T438" i="18" s="1"/>
  <c r="S439" i="18"/>
  <c r="R439" i="18"/>
  <c r="R438" i="18" s="1"/>
  <c r="R437" i="18" s="1"/>
  <c r="R436" i="18" s="1"/>
  <c r="Q439" i="18"/>
  <c r="Q438" i="18" s="1"/>
  <c r="AF438" i="18"/>
  <c r="AA438" i="18"/>
  <c r="X438" i="18"/>
  <c r="W438" i="18"/>
  <c r="W437" i="18" s="1"/>
  <c r="S438" i="18"/>
  <c r="S437" i="18"/>
  <c r="AG435" i="18"/>
  <c r="AI435" i="18" s="1"/>
  <c r="AF435" i="18"/>
  <c r="AH435" i="18" s="1"/>
  <c r="AE435" i="18"/>
  <c r="AD435" i="18"/>
  <c r="AC435" i="18"/>
  <c r="AF434" i="18"/>
  <c r="AE434" i="18"/>
  <c r="AD434" i="18"/>
  <c r="AC434" i="18"/>
  <c r="AG434" i="18" s="1"/>
  <c r="AF433" i="18"/>
  <c r="AE433" i="18"/>
  <c r="AH433" i="18" s="1"/>
  <c r="AH431" i="18" s="1"/>
  <c r="AD433" i="18"/>
  <c r="AC433" i="18"/>
  <c r="AG433" i="18" s="1"/>
  <c r="AI433" i="18" s="1"/>
  <c r="AH432" i="18"/>
  <c r="AF432" i="18"/>
  <c r="AE432" i="18"/>
  <c r="AD432" i="18"/>
  <c r="AD431" i="18" s="1"/>
  <c r="AC432" i="18"/>
  <c r="AC431" i="18" s="1"/>
  <c r="AC427" i="18" s="1"/>
  <c r="AC426" i="18" s="1"/>
  <c r="AF431" i="18"/>
  <c r="AB431" i="18"/>
  <c r="AB427" i="18" s="1"/>
  <c r="AA431" i="18"/>
  <c r="Z431" i="18"/>
  <c r="Y431" i="18"/>
  <c r="X431" i="18"/>
  <c r="W431" i="18"/>
  <c r="V431" i="18"/>
  <c r="U431" i="18"/>
  <c r="T431" i="18"/>
  <c r="T427" i="18" s="1"/>
  <c r="S431" i="18"/>
  <c r="R431" i="18"/>
  <c r="Q431" i="18"/>
  <c r="AF430" i="18"/>
  <c r="AE430" i="18"/>
  <c r="AD430" i="18"/>
  <c r="AC430" i="18"/>
  <c r="AG430" i="18" s="1"/>
  <c r="AF429" i="18"/>
  <c r="AF428" i="18" s="1"/>
  <c r="AF427" i="18" s="1"/>
  <c r="AF426" i="18" s="1"/>
  <c r="AE429" i="18"/>
  <c r="AD429" i="18"/>
  <c r="AC429" i="18"/>
  <c r="AD428" i="18"/>
  <c r="AC428" i="18"/>
  <c r="AB428" i="18"/>
  <c r="AA428" i="18"/>
  <c r="AA427" i="18" s="1"/>
  <c r="AA426" i="18" s="1"/>
  <c r="Z428" i="18"/>
  <c r="Z427" i="18" s="1"/>
  <c r="Z426" i="18" s="1"/>
  <c r="Y428" i="18"/>
  <c r="X428" i="18"/>
  <c r="W428" i="18"/>
  <c r="V428" i="18"/>
  <c r="V427" i="18" s="1"/>
  <c r="V426" i="18" s="1"/>
  <c r="U428" i="18"/>
  <c r="U427" i="18" s="1"/>
  <c r="U426" i="18" s="1"/>
  <c r="T428" i="18"/>
  <c r="S428" i="18"/>
  <c r="S427" i="18" s="1"/>
  <c r="S426" i="18" s="1"/>
  <c r="R428" i="18"/>
  <c r="Q428" i="18"/>
  <c r="AD427" i="18"/>
  <c r="AD426" i="18" s="1"/>
  <c r="Y427" i="18"/>
  <c r="X427" i="18"/>
  <c r="X426" i="18" s="1"/>
  <c r="W427" i="18"/>
  <c r="Q427" i="18"/>
  <c r="Q426" i="18" s="1"/>
  <c r="AB426" i="18"/>
  <c r="Y426" i="18"/>
  <c r="W426" i="18"/>
  <c r="T426" i="18"/>
  <c r="AI425" i="18"/>
  <c r="AF425" i="18"/>
  <c r="AE425" i="18"/>
  <c r="AH425" i="18" s="1"/>
  <c r="AD425" i="18"/>
  <c r="AC425" i="18"/>
  <c r="AG425" i="18" s="1"/>
  <c r="AI424" i="18"/>
  <c r="AH424" i="18"/>
  <c r="AF424" i="18"/>
  <c r="AE424" i="18"/>
  <c r="AD424" i="18"/>
  <c r="AC424" i="18"/>
  <c r="AG424" i="18" s="1"/>
  <c r="AH423" i="18"/>
  <c r="AF423" i="18"/>
  <c r="AE423" i="18"/>
  <c r="AD423" i="18"/>
  <c r="AC423" i="18"/>
  <c r="AF422" i="18"/>
  <c r="AF421" i="18" s="1"/>
  <c r="AE422" i="18"/>
  <c r="AB422" i="18"/>
  <c r="AB421" i="18" s="1"/>
  <c r="AA422" i="18"/>
  <c r="Z422" i="18"/>
  <c r="Y422" i="18"/>
  <c r="Y421" i="18" s="1"/>
  <c r="Y420" i="18" s="1"/>
  <c r="X422" i="18"/>
  <c r="X421" i="18" s="1"/>
  <c r="W422" i="18"/>
  <c r="V422" i="18"/>
  <c r="U422" i="18"/>
  <c r="U421" i="18" s="1"/>
  <c r="T422" i="18"/>
  <c r="T421" i="18" s="1"/>
  <c r="S422" i="18"/>
  <c r="S421" i="18" s="1"/>
  <c r="S420" i="18" s="1"/>
  <c r="R422" i="18"/>
  <c r="Q422" i="18"/>
  <c r="Q421" i="18" s="1"/>
  <c r="AE421" i="18"/>
  <c r="AA421" i="18"/>
  <c r="AA420" i="18" s="1"/>
  <c r="Z421" i="18"/>
  <c r="W421" i="18"/>
  <c r="V421" i="18"/>
  <c r="V420" i="18" s="1"/>
  <c r="R421" i="18"/>
  <c r="Z420" i="18"/>
  <c r="W420" i="18"/>
  <c r="Q420" i="18"/>
  <c r="AH419" i="18"/>
  <c r="AF419" i="18"/>
  <c r="AE419" i="18"/>
  <c r="AD419" i="18"/>
  <c r="AC419" i="18"/>
  <c r="AG419" i="18" s="1"/>
  <c r="AI419" i="18" s="1"/>
  <c r="AG418" i="18"/>
  <c r="AI418" i="18" s="1"/>
  <c r="AF418" i="18"/>
  <c r="AH418" i="18" s="1"/>
  <c r="AE418" i="18"/>
  <c r="AD418" i="18"/>
  <c r="AC418" i="18"/>
  <c r="AF417" i="18"/>
  <c r="AH417" i="18" s="1"/>
  <c r="AE417" i="18"/>
  <c r="AD417" i="18"/>
  <c r="AG417" i="18" s="1"/>
  <c r="AC417" i="18"/>
  <c r="AH416" i="18"/>
  <c r="AH415" i="18" s="1"/>
  <c r="AF416" i="18"/>
  <c r="AE416" i="18"/>
  <c r="AD416" i="18"/>
  <c r="AG416" i="18" s="1"/>
  <c r="AC416" i="18"/>
  <c r="AD415" i="18"/>
  <c r="AC415" i="18"/>
  <c r="AB415" i="18"/>
  <c r="AA415" i="18"/>
  <c r="Z415" i="18"/>
  <c r="Y415" i="18"/>
  <c r="X415" i="18"/>
  <c r="X411" i="18" s="1"/>
  <c r="X410" i="18" s="1"/>
  <c r="W415" i="18"/>
  <c r="V415" i="18"/>
  <c r="U415" i="18"/>
  <c r="T415" i="18"/>
  <c r="S415" i="18"/>
  <c r="R415" i="18"/>
  <c r="Q415" i="18"/>
  <c r="AG414" i="18"/>
  <c r="AF414" i="18"/>
  <c r="AH414" i="18" s="1"/>
  <c r="AI414" i="18" s="1"/>
  <c r="AE414" i="18"/>
  <c r="AD414" i="18"/>
  <c r="AC414" i="18"/>
  <c r="AH413" i="18"/>
  <c r="AH412" i="18" s="1"/>
  <c r="AH411" i="18" s="1"/>
  <c r="AH410" i="18" s="1"/>
  <c r="AF413" i="18"/>
  <c r="AE413" i="18"/>
  <c r="AD413" i="18"/>
  <c r="AG413" i="18" s="1"/>
  <c r="AC413" i="18"/>
  <c r="AE412" i="18"/>
  <c r="AD412" i="18"/>
  <c r="AD411" i="18" s="1"/>
  <c r="AD410" i="18" s="1"/>
  <c r="AD404" i="18" s="1"/>
  <c r="AC412" i="18"/>
  <c r="AB412" i="18"/>
  <c r="AA412" i="18"/>
  <c r="AA411" i="18" s="1"/>
  <c r="AA410" i="18" s="1"/>
  <c r="AA404" i="18" s="1"/>
  <c r="Z412" i="18"/>
  <c r="Z411" i="18" s="1"/>
  <c r="Z410" i="18" s="1"/>
  <c r="Y412" i="18"/>
  <c r="X412" i="18"/>
  <c r="W412" i="18"/>
  <c r="W411" i="18" s="1"/>
  <c r="V412" i="18"/>
  <c r="V411" i="18" s="1"/>
  <c r="V410" i="18" s="1"/>
  <c r="U412" i="18"/>
  <c r="T412" i="18"/>
  <c r="S412" i="18"/>
  <c r="S411" i="18" s="1"/>
  <c r="S410" i="18" s="1"/>
  <c r="S404" i="18" s="1"/>
  <c r="S403" i="18" s="1"/>
  <c r="R412" i="18"/>
  <c r="R411" i="18" s="1"/>
  <c r="R410" i="18" s="1"/>
  <c r="Q412" i="18"/>
  <c r="Q411" i="18" s="1"/>
  <c r="Q410" i="18" s="1"/>
  <c r="Q404" i="18" s="1"/>
  <c r="AC411" i="18"/>
  <c r="AC410" i="18" s="1"/>
  <c r="AB411" i="18"/>
  <c r="Y411" i="18"/>
  <c r="Y410" i="18" s="1"/>
  <c r="Y404" i="18" s="1"/>
  <c r="Y403" i="18" s="1"/>
  <c r="U411" i="18"/>
  <c r="U410" i="18" s="1"/>
  <c r="T411" i="18"/>
  <c r="T410" i="18" s="1"/>
  <c r="AB410" i="18"/>
  <c r="W410" i="18"/>
  <c r="AF409" i="18"/>
  <c r="AE409" i="18"/>
  <c r="AH409" i="18" s="1"/>
  <c r="AI409" i="18" s="1"/>
  <c r="AD409" i="18"/>
  <c r="AG409" i="18" s="1"/>
  <c r="AC409" i="18"/>
  <c r="AG408" i="18"/>
  <c r="AF408" i="18"/>
  <c r="AE408" i="18"/>
  <c r="AH408" i="18" s="1"/>
  <c r="AD408" i="18"/>
  <c r="AC408" i="18"/>
  <c r="AF407" i="18"/>
  <c r="AH407" i="18" s="1"/>
  <c r="AE407" i="18"/>
  <c r="AD407" i="18"/>
  <c r="AD406" i="18" s="1"/>
  <c r="AD405" i="18" s="1"/>
  <c r="AC407" i="18"/>
  <c r="AF406" i="18"/>
  <c r="AF405" i="18" s="1"/>
  <c r="AB406" i="18"/>
  <c r="AB405" i="18" s="1"/>
  <c r="AA406" i="18"/>
  <c r="Z406" i="18"/>
  <c r="Y406" i="18"/>
  <c r="X406" i="18"/>
  <c r="X405" i="18" s="1"/>
  <c r="X404" i="18" s="1"/>
  <c r="W406" i="18"/>
  <c r="V406" i="18"/>
  <c r="U406" i="18"/>
  <c r="U405" i="18" s="1"/>
  <c r="U404" i="18" s="1"/>
  <c r="T406" i="18"/>
  <c r="T405" i="18" s="1"/>
  <c r="S406" i="18"/>
  <c r="R406" i="18"/>
  <c r="Q406" i="18"/>
  <c r="AA405" i="18"/>
  <c r="Z405" i="18"/>
  <c r="Z404" i="18" s="1"/>
  <c r="Z403" i="18" s="1"/>
  <c r="Y405" i="18"/>
  <c r="W405" i="18"/>
  <c r="W404" i="18" s="1"/>
  <c r="W403" i="18" s="1"/>
  <c r="V405" i="18"/>
  <c r="S405" i="18"/>
  <c r="R405" i="18"/>
  <c r="R404" i="18" s="1"/>
  <c r="Q405" i="18"/>
  <c r="V404" i="18"/>
  <c r="V403" i="18" s="1"/>
  <c r="AI402" i="18"/>
  <c r="AH402" i="18"/>
  <c r="AG402" i="18"/>
  <c r="AF402" i="18"/>
  <c r="AE402" i="18"/>
  <c r="AD402" i="18"/>
  <c r="AC402" i="18"/>
  <c r="AB402" i="18"/>
  <c r="AA402" i="18"/>
  <c r="Z402" i="18"/>
  <c r="Y402" i="18"/>
  <c r="X402" i="18"/>
  <c r="W402" i="18"/>
  <c r="V402" i="18"/>
  <c r="U402" i="18"/>
  <c r="T402" i="18"/>
  <c r="S402" i="18"/>
  <c r="R402" i="18"/>
  <c r="Q402" i="18"/>
  <c r="AC396" i="18"/>
  <c r="AB396" i="18"/>
  <c r="Z396" i="18"/>
  <c r="Y396" i="18"/>
  <c r="T396" i="18"/>
  <c r="R396" i="18"/>
  <c r="Q396" i="18"/>
  <c r="Y392" i="18"/>
  <c r="AF373" i="18"/>
  <c r="AB373" i="18"/>
  <c r="AA373" i="18"/>
  <c r="Z373" i="18"/>
  <c r="Y373" i="18"/>
  <c r="X373" i="18"/>
  <c r="W373" i="18"/>
  <c r="V373" i="18"/>
  <c r="U373" i="18"/>
  <c r="T373" i="18"/>
  <c r="AD373" i="18" s="1"/>
  <c r="S373" i="18"/>
  <c r="R373" i="18"/>
  <c r="Q373" i="18"/>
  <c r="AC373" i="18" s="1"/>
  <c r="AG373" i="18" s="1"/>
  <c r="AB372" i="18"/>
  <c r="AB369" i="18" s="1"/>
  <c r="Z372" i="18"/>
  <c r="W372" i="18"/>
  <c r="W369" i="18" s="1"/>
  <c r="V372" i="18"/>
  <c r="S372" i="18"/>
  <c r="S369" i="18" s="1"/>
  <c r="R372" i="18"/>
  <c r="AD371" i="18"/>
  <c r="AB371" i="18"/>
  <c r="AA371" i="18"/>
  <c r="Z371" i="18"/>
  <c r="Y371" i="18"/>
  <c r="X371" i="18"/>
  <c r="W371" i="18"/>
  <c r="AE371" i="18" s="1"/>
  <c r="V371" i="18"/>
  <c r="V369" i="18" s="1"/>
  <c r="V370" i="18" s="1"/>
  <c r="U371" i="18"/>
  <c r="T371" i="18"/>
  <c r="S371" i="18"/>
  <c r="R371" i="18"/>
  <c r="R369" i="18" s="1"/>
  <c r="R397" i="18" s="1"/>
  <c r="Q371" i="18"/>
  <c r="AC371" i="18" s="1"/>
  <c r="AF368" i="18"/>
  <c r="AE368" i="18"/>
  <c r="AE365" i="18" s="1"/>
  <c r="AD368" i="18"/>
  <c r="AG368" i="18" s="1"/>
  <c r="AC368" i="18"/>
  <c r="AH367" i="18"/>
  <c r="AF367" i="18"/>
  <c r="AE367" i="18"/>
  <c r="AD367" i="18"/>
  <c r="AC367" i="18"/>
  <c r="AG367" i="18" s="1"/>
  <c r="AF366" i="18"/>
  <c r="AH366" i="18" s="1"/>
  <c r="AE366" i="18"/>
  <c r="AD366" i="18"/>
  <c r="AC366" i="18"/>
  <c r="AG366" i="18" s="1"/>
  <c r="AF365" i="18"/>
  <c r="AB365" i="18"/>
  <c r="AA365" i="18"/>
  <c r="AA396" i="18" s="1"/>
  <c r="Z365" i="18"/>
  <c r="Y365" i="18"/>
  <c r="X365" i="18"/>
  <c r="X396" i="18" s="1"/>
  <c r="W365" i="18"/>
  <c r="W396" i="18" s="1"/>
  <c r="V365" i="18"/>
  <c r="V396" i="18" s="1"/>
  <c r="U365" i="18"/>
  <c r="U396" i="18" s="1"/>
  <c r="T365" i="18"/>
  <c r="S365" i="18"/>
  <c r="S396" i="18" s="1"/>
  <c r="R365" i="18"/>
  <c r="Q365" i="18"/>
  <c r="AG361" i="18"/>
  <c r="AF361" i="18"/>
  <c r="AH361" i="18" s="1"/>
  <c r="AE361" i="18"/>
  <c r="AD361" i="18"/>
  <c r="AC361" i="18"/>
  <c r="AF360" i="18"/>
  <c r="AH360" i="18" s="1"/>
  <c r="AE360" i="18"/>
  <c r="AD360" i="18"/>
  <c r="AC360" i="18"/>
  <c r="AG360" i="18" s="1"/>
  <c r="AI360" i="18" s="1"/>
  <c r="W358" i="18"/>
  <c r="W362" i="18" s="1"/>
  <c r="R358" i="18"/>
  <c r="AH357" i="18"/>
  <c r="AF357" i="18"/>
  <c r="AE357" i="18"/>
  <c r="AD357" i="18"/>
  <c r="AC357" i="18"/>
  <c r="AG357" i="18" s="1"/>
  <c r="AI357" i="18" s="1"/>
  <c r="AG356" i="18"/>
  <c r="AF356" i="18"/>
  <c r="AH356" i="18" s="1"/>
  <c r="AE356" i="18"/>
  <c r="AD356" i="18"/>
  <c r="AC356" i="18"/>
  <c r="AF355" i="18"/>
  <c r="AH355" i="18" s="1"/>
  <c r="AE355" i="18"/>
  <c r="AD355" i="18"/>
  <c r="AC355" i="18"/>
  <c r="AG355" i="18" s="1"/>
  <c r="AI355" i="18" s="1"/>
  <c r="AH354" i="18"/>
  <c r="AF354" i="18"/>
  <c r="AE354" i="18"/>
  <c r="AD354" i="18"/>
  <c r="AC354" i="18"/>
  <c r="AG354" i="18" s="1"/>
  <c r="AF353" i="18"/>
  <c r="AH353" i="18" s="1"/>
  <c r="AE353" i="18"/>
  <c r="AD353" i="18"/>
  <c r="AG353" i="18" s="1"/>
  <c r="AI353" i="18" s="1"/>
  <c r="AC353" i="18"/>
  <c r="AF352" i="18"/>
  <c r="AC352" i="18"/>
  <c r="AB352" i="18"/>
  <c r="AB1069" i="18" s="1"/>
  <c r="AB1066" i="18" s="1"/>
  <c r="AA352" i="18"/>
  <c r="AA1069" i="18" s="1"/>
  <c r="AA1066" i="18" s="1"/>
  <c r="Z352" i="18"/>
  <c r="Z1069" i="18" s="1"/>
  <c r="Y352" i="18"/>
  <c r="X352" i="18"/>
  <c r="W352" i="18"/>
  <c r="W1069" i="18" s="1"/>
  <c r="V352" i="18"/>
  <c r="V1069" i="18" s="1"/>
  <c r="V1066" i="18" s="1"/>
  <c r="U352" i="18"/>
  <c r="T352" i="18"/>
  <c r="T1069" i="18" s="1"/>
  <c r="S352" i="18"/>
  <c r="S1069" i="18" s="1"/>
  <c r="S1066" i="18" s="1"/>
  <c r="R352" i="18"/>
  <c r="R1069" i="18" s="1"/>
  <c r="Q352" i="18"/>
  <c r="AF351" i="18"/>
  <c r="AE351" i="18"/>
  <c r="AD351" i="18"/>
  <c r="AC351" i="18"/>
  <c r="AG351" i="18" s="1"/>
  <c r="Z350" i="18"/>
  <c r="Y350" i="18"/>
  <c r="W350" i="18"/>
  <c r="V350" i="18"/>
  <c r="R350" i="18"/>
  <c r="R370" i="18" s="1"/>
  <c r="Q350" i="18"/>
  <c r="AB349" i="18"/>
  <c r="AA349" i="18"/>
  <c r="Z349" i="18"/>
  <c r="Y349" i="18"/>
  <c r="X349" i="18"/>
  <c r="X344" i="18" s="1"/>
  <c r="W349" i="18"/>
  <c r="AE349" i="18" s="1"/>
  <c r="V349" i="18"/>
  <c r="V344" i="18" s="1"/>
  <c r="U349" i="18"/>
  <c r="U344" i="18" s="1"/>
  <c r="T349" i="18"/>
  <c r="AD349" i="18" s="1"/>
  <c r="S349" i="18"/>
  <c r="R349" i="18"/>
  <c r="R344" i="18" s="1"/>
  <c r="Q349" i="18"/>
  <c r="AF348" i="18"/>
  <c r="AC348" i="18"/>
  <c r="AB348" i="18"/>
  <c r="AA348" i="18"/>
  <c r="AA343" i="18" s="1"/>
  <c r="Z348" i="18"/>
  <c r="Y348" i="18"/>
  <c r="Y343" i="18" s="1"/>
  <c r="X348" i="18"/>
  <c r="X343" i="18" s="1"/>
  <c r="W348" i="18"/>
  <c r="W338" i="18" s="1"/>
  <c r="V348" i="18"/>
  <c r="U348" i="18"/>
  <c r="T348" i="18"/>
  <c r="AD348" i="18" s="1"/>
  <c r="AD343" i="18" s="1"/>
  <c r="S348" i="18"/>
  <c r="S343" i="18" s="1"/>
  <c r="R348" i="18"/>
  <c r="Q348" i="18"/>
  <c r="Q343" i="18" s="1"/>
  <c r="AF347" i="18"/>
  <c r="AB347" i="18"/>
  <c r="AB342" i="18" s="1"/>
  <c r="AA347" i="18"/>
  <c r="AA342" i="18" s="1"/>
  <c r="Z347" i="18"/>
  <c r="Z338" i="18" s="1"/>
  <c r="Z358" i="18" s="1"/>
  <c r="Y347" i="18"/>
  <c r="X347" i="18"/>
  <c r="X342" i="18" s="1"/>
  <c r="W347" i="18"/>
  <c r="AE347" i="18" s="1"/>
  <c r="V347" i="18"/>
  <c r="AD347" i="18" s="1"/>
  <c r="U347" i="18"/>
  <c r="T347" i="18"/>
  <c r="T342" i="18" s="1"/>
  <c r="S347" i="18"/>
  <c r="S342" i="18" s="1"/>
  <c r="R347" i="18"/>
  <c r="R338" i="18" s="1"/>
  <c r="Q347" i="18"/>
  <c r="AD346" i="18"/>
  <c r="AB346" i="18"/>
  <c r="AA346" i="18"/>
  <c r="AA341" i="18" s="1"/>
  <c r="Z346" i="18"/>
  <c r="AF346" i="18" s="1"/>
  <c r="Y346" i="18"/>
  <c r="Y341" i="18" s="1"/>
  <c r="X346" i="18"/>
  <c r="W346" i="18"/>
  <c r="V346" i="18"/>
  <c r="V341" i="18" s="1"/>
  <c r="U346" i="18"/>
  <c r="T346" i="18"/>
  <c r="S346" i="18"/>
  <c r="S341" i="18" s="1"/>
  <c r="R346" i="18"/>
  <c r="Q346" i="18"/>
  <c r="AB345" i="18"/>
  <c r="AF345" i="18" s="1"/>
  <c r="AA345" i="18"/>
  <c r="Z345" i="18"/>
  <c r="Y345" i="18"/>
  <c r="X345" i="18"/>
  <c r="W345" i="18"/>
  <c r="V345" i="18"/>
  <c r="V340" i="18" s="1"/>
  <c r="U345" i="18"/>
  <c r="T345" i="18"/>
  <c r="T338" i="18" s="1"/>
  <c r="S345" i="18"/>
  <c r="R345" i="18"/>
  <c r="Q345" i="18"/>
  <c r="AA344" i="18"/>
  <c r="Y344" i="18"/>
  <c r="T344" i="18"/>
  <c r="S344" i="18"/>
  <c r="Q344" i="18"/>
  <c r="AB343" i="18"/>
  <c r="V343" i="18"/>
  <c r="T343" i="18"/>
  <c r="AE342" i="18"/>
  <c r="Y342" i="18"/>
  <c r="W342" i="18"/>
  <c r="Q342" i="18"/>
  <c r="AB341" i="18"/>
  <c r="Z341" i="18"/>
  <c r="T341" i="18"/>
  <c r="R341" i="18"/>
  <c r="W340" i="18"/>
  <c r="U340" i="18"/>
  <c r="AA338" i="18"/>
  <c r="S338" i="18"/>
  <c r="AF337" i="18"/>
  <c r="AH337" i="18" s="1"/>
  <c r="AE337" i="18"/>
  <c r="AD337" i="18"/>
  <c r="AG337" i="18" s="1"/>
  <c r="AI337" i="18" s="1"/>
  <c r="AC337" i="18"/>
  <c r="AF336" i="18"/>
  <c r="AH336" i="18" s="1"/>
  <c r="AE336" i="18"/>
  <c r="AD336" i="18"/>
  <c r="AC336" i="18"/>
  <c r="AG336" i="18" s="1"/>
  <c r="AF335" i="18"/>
  <c r="AE335" i="18"/>
  <c r="AD335" i="18"/>
  <c r="AC335" i="18"/>
  <c r="AG335" i="18" s="1"/>
  <c r="AF334" i="18"/>
  <c r="AE334" i="18"/>
  <c r="AH334" i="18" s="1"/>
  <c r="AD334" i="18"/>
  <c r="AC334" i="18"/>
  <c r="AG334" i="18" s="1"/>
  <c r="AI334" i="18" s="1"/>
  <c r="AH333" i="18"/>
  <c r="AF333" i="18"/>
  <c r="AF332" i="18" s="1"/>
  <c r="AE333" i="18"/>
  <c r="AD333" i="18"/>
  <c r="AC333" i="18"/>
  <c r="AB332" i="18"/>
  <c r="AA332" i="18"/>
  <c r="AA1063" i="18" s="1"/>
  <c r="Z332" i="18"/>
  <c r="Z1063" i="18" s="1"/>
  <c r="Y332" i="18"/>
  <c r="Y1063" i="18" s="1"/>
  <c r="X332" i="18"/>
  <c r="X1063" i="18" s="1"/>
  <c r="W332" i="18"/>
  <c r="W1063" i="18" s="1"/>
  <c r="V332" i="18"/>
  <c r="V1063" i="18" s="1"/>
  <c r="U332" i="18"/>
  <c r="U1063" i="18" s="1"/>
  <c r="T332" i="18"/>
  <c r="S332" i="18"/>
  <c r="S1063" i="18" s="1"/>
  <c r="R332" i="18"/>
  <c r="R1063" i="18" s="1"/>
  <c r="Q332" i="18"/>
  <c r="Q1063" i="18" s="1"/>
  <c r="AE331" i="18"/>
  <c r="AA331" i="18"/>
  <c r="Z331" i="18"/>
  <c r="Y331" i="18"/>
  <c r="X331" i="18"/>
  <c r="W331" i="18"/>
  <c r="W344" i="18" s="1"/>
  <c r="V331" i="18"/>
  <c r="U331" i="18"/>
  <c r="T331" i="18"/>
  <c r="AD331" i="18" s="1"/>
  <c r="S331" i="18"/>
  <c r="R331" i="18"/>
  <c r="AC331" i="18" s="1"/>
  <c r="AG331" i="18" s="1"/>
  <c r="Q331" i="18"/>
  <c r="AB330" i="18"/>
  <c r="AA330" i="18"/>
  <c r="Z330" i="18"/>
  <c r="Y330" i="18"/>
  <c r="X330" i="18"/>
  <c r="W330" i="18"/>
  <c r="W343" i="18" s="1"/>
  <c r="V330" i="18"/>
  <c r="U330" i="18"/>
  <c r="AD330" i="18" s="1"/>
  <c r="T330" i="18"/>
  <c r="S330" i="18"/>
  <c r="R330" i="18"/>
  <c r="R343" i="18" s="1"/>
  <c r="Q330" i="18"/>
  <c r="AB329" i="18"/>
  <c r="AA329" i="18"/>
  <c r="Z329" i="18"/>
  <c r="AF329" i="18" s="1"/>
  <c r="AH329" i="18" s="1"/>
  <c r="Y329" i="18"/>
  <c r="X329" i="18"/>
  <c r="W329" i="18"/>
  <c r="AE329" i="18" s="1"/>
  <c r="V329" i="18"/>
  <c r="U329" i="18"/>
  <c r="U342" i="18" s="1"/>
  <c r="T329" i="18"/>
  <c r="AD329" i="18" s="1"/>
  <c r="S329" i="18"/>
  <c r="R329" i="18"/>
  <c r="R342" i="18" s="1"/>
  <c r="Q329" i="18"/>
  <c r="AF328" i="18"/>
  <c r="AC328" i="18"/>
  <c r="AB328" i="18"/>
  <c r="AA328" i="18"/>
  <c r="Z328" i="18"/>
  <c r="Y328" i="18"/>
  <c r="X328" i="18"/>
  <c r="X341" i="18" s="1"/>
  <c r="W328" i="18"/>
  <c r="W326" i="18" s="1"/>
  <c r="V328" i="18"/>
  <c r="U328" i="18"/>
  <c r="U341" i="18" s="1"/>
  <c r="T328" i="18"/>
  <c r="S328" i="18"/>
  <c r="R328" i="18"/>
  <c r="Q328" i="18"/>
  <c r="AF327" i="18"/>
  <c r="AB327" i="18"/>
  <c r="AA327" i="18"/>
  <c r="AA340" i="18" s="1"/>
  <c r="Z327" i="18"/>
  <c r="Y327" i="18"/>
  <c r="X327" i="18"/>
  <c r="W327" i="18"/>
  <c r="AE327" i="18" s="1"/>
  <c r="V327" i="18"/>
  <c r="AD327" i="18" s="1"/>
  <c r="U327" i="18"/>
  <c r="T327" i="18"/>
  <c r="T326" i="18" s="1"/>
  <c r="S327" i="18"/>
  <c r="S340" i="18" s="1"/>
  <c r="R327" i="18"/>
  <c r="Q327" i="18"/>
  <c r="AA326" i="18"/>
  <c r="Y326" i="18"/>
  <c r="V326" i="18"/>
  <c r="Q326" i="18"/>
  <c r="AG323" i="18"/>
  <c r="AI323" i="18" s="1"/>
  <c r="AB323" i="18"/>
  <c r="AF323" i="18" s="1"/>
  <c r="AH323" i="18" s="1"/>
  <c r="AA323" i="18"/>
  <c r="Z323" i="18"/>
  <c r="Y323" i="18"/>
  <c r="X323" i="18"/>
  <c r="X319" i="18" s="1"/>
  <c r="W323" i="18"/>
  <c r="AE323" i="18" s="1"/>
  <c r="V323" i="18"/>
  <c r="U323" i="18"/>
  <c r="T323" i="18"/>
  <c r="AD323" i="18" s="1"/>
  <c r="S323" i="18"/>
  <c r="R323" i="18"/>
  <c r="Q323" i="18"/>
  <c r="AC323" i="18" s="1"/>
  <c r="AB322" i="18"/>
  <c r="AA322" i="18"/>
  <c r="AF322" i="18" s="1"/>
  <c r="Z322" i="18"/>
  <c r="Y322" i="18"/>
  <c r="Y319" i="18" s="1"/>
  <c r="Y393" i="18" s="1"/>
  <c r="X322" i="18"/>
  <c r="W322" i="18"/>
  <c r="AE322" i="18" s="1"/>
  <c r="V322" i="18"/>
  <c r="U322" i="18"/>
  <c r="T322" i="18"/>
  <c r="AD322" i="18" s="1"/>
  <c r="S322" i="18"/>
  <c r="R322" i="18"/>
  <c r="Q322" i="18"/>
  <c r="AE321" i="18"/>
  <c r="AD321" i="18"/>
  <c r="AD319" i="18" s="1"/>
  <c r="AD320" i="18" s="1"/>
  <c r="AB321" i="18"/>
  <c r="AA321" i="18"/>
  <c r="Z321" i="18"/>
  <c r="AF321" i="18" s="1"/>
  <c r="AH321" i="18" s="1"/>
  <c r="Y321" i="18"/>
  <c r="X321" i="18"/>
  <c r="W321" i="18"/>
  <c r="V321" i="18"/>
  <c r="V319" i="18" s="1"/>
  <c r="V320" i="18" s="1"/>
  <c r="U321" i="18"/>
  <c r="T321" i="18"/>
  <c r="T319" i="18" s="1"/>
  <c r="S321" i="18"/>
  <c r="R321" i="18"/>
  <c r="Q321" i="18"/>
  <c r="AF319" i="18"/>
  <c r="AF320" i="18" s="1"/>
  <c r="AB319" i="18"/>
  <c r="Z319" i="18"/>
  <c r="Z393" i="18" s="1"/>
  <c r="U319" i="18"/>
  <c r="U393" i="18" s="1"/>
  <c r="R319" i="18"/>
  <c r="R393" i="18" s="1"/>
  <c r="AI318" i="18"/>
  <c r="AF318" i="18"/>
  <c r="AH318" i="18" s="1"/>
  <c r="AE318" i="18"/>
  <c r="AD318" i="18"/>
  <c r="AC318" i="18"/>
  <c r="AG318" i="18" s="1"/>
  <c r="AF317" i="18"/>
  <c r="AE317" i="18"/>
  <c r="AH317" i="18" s="1"/>
  <c r="AD317" i="18"/>
  <c r="AC317" i="18"/>
  <c r="AF316" i="18"/>
  <c r="AE316" i="18"/>
  <c r="AD316" i="18"/>
  <c r="AC316" i="18"/>
  <c r="AC315" i="18" s="1"/>
  <c r="AF315" i="18"/>
  <c r="AB315" i="18"/>
  <c r="AB392" i="18" s="1"/>
  <c r="AA315" i="18"/>
  <c r="AA392" i="18" s="1"/>
  <c r="Z315" i="18"/>
  <c r="Z392" i="18" s="1"/>
  <c r="Y315" i="18"/>
  <c r="X315" i="18"/>
  <c r="X392" i="18" s="1"/>
  <c r="W315" i="18"/>
  <c r="W392" i="18" s="1"/>
  <c r="V315" i="18"/>
  <c r="V392" i="18" s="1"/>
  <c r="U315" i="18"/>
  <c r="U392" i="18" s="1"/>
  <c r="U391" i="18" s="1"/>
  <c r="T315" i="18"/>
  <c r="T392" i="18" s="1"/>
  <c r="S315" i="18"/>
  <c r="S392" i="18" s="1"/>
  <c r="R315" i="18"/>
  <c r="R392" i="18" s="1"/>
  <c r="Q315" i="18"/>
  <c r="Q392" i="18" s="1"/>
  <c r="V312" i="18"/>
  <c r="V313" i="18" s="1"/>
  <c r="AF311" i="18"/>
  <c r="AH311" i="18" s="1"/>
  <c r="AE311" i="18"/>
  <c r="AD311" i="18"/>
  <c r="AG311" i="18" s="1"/>
  <c r="AI311" i="18" s="1"/>
  <c r="AC311" i="18"/>
  <c r="AF310" i="18"/>
  <c r="AE310" i="18"/>
  <c r="AD310" i="18"/>
  <c r="AC310" i="18"/>
  <c r="AG310" i="18" s="1"/>
  <c r="S308" i="18"/>
  <c r="AF307" i="18"/>
  <c r="AH307" i="18" s="1"/>
  <c r="AE307" i="18"/>
  <c r="AD307" i="18"/>
  <c r="AC307" i="18"/>
  <c r="AG306" i="18"/>
  <c r="AF306" i="18"/>
  <c r="AE306" i="18"/>
  <c r="AE304" i="18" s="1"/>
  <c r="AD306" i="18"/>
  <c r="AC306" i="18"/>
  <c r="AF305" i="18"/>
  <c r="AF304" i="18" s="1"/>
  <c r="AE305" i="18"/>
  <c r="AD305" i="18"/>
  <c r="AD304" i="18" s="1"/>
  <c r="AC305" i="18"/>
  <c r="AG305" i="18" s="1"/>
  <c r="AC304" i="18"/>
  <c r="AB304" i="18"/>
  <c r="AA304" i="18"/>
  <c r="Z304" i="18"/>
  <c r="Y304" i="18"/>
  <c r="Y320" i="18" s="1"/>
  <c r="X304" i="18"/>
  <c r="W304" i="18"/>
  <c r="V304" i="18"/>
  <c r="U304" i="18"/>
  <c r="T304" i="18"/>
  <c r="S304" i="18"/>
  <c r="R304" i="18"/>
  <c r="Q304" i="18"/>
  <c r="AC303" i="18"/>
  <c r="AB303" i="18"/>
  <c r="AB298" i="18" s="1"/>
  <c r="AA303" i="18"/>
  <c r="Z303" i="18"/>
  <c r="Z298" i="18" s="1"/>
  <c r="Y303" i="18"/>
  <c r="X303" i="18"/>
  <c r="X298" i="18" s="1"/>
  <c r="W303" i="18"/>
  <c r="AE303" i="18" s="1"/>
  <c r="V303" i="18"/>
  <c r="V298" i="18" s="1"/>
  <c r="U303" i="18"/>
  <c r="U298" i="18" s="1"/>
  <c r="U289" i="18" s="1"/>
  <c r="T303" i="18"/>
  <c r="S303" i="18"/>
  <c r="R303" i="18"/>
  <c r="R298" i="18" s="1"/>
  <c r="Q303" i="18"/>
  <c r="AF302" i="18"/>
  <c r="AE302" i="18"/>
  <c r="AE293" i="18" s="1"/>
  <c r="AD302" i="18"/>
  <c r="AC302" i="18"/>
  <c r="AH301" i="18"/>
  <c r="AF301" i="18"/>
  <c r="AE301" i="18"/>
  <c r="AD301" i="18"/>
  <c r="AC301" i="18"/>
  <c r="AG300" i="18"/>
  <c r="AF300" i="18"/>
  <c r="AE300" i="18"/>
  <c r="AD300" i="18"/>
  <c r="AD291" i="18" s="1"/>
  <c r="AC300" i="18"/>
  <c r="AH299" i="18"/>
  <c r="AF299" i="18"/>
  <c r="AE299" i="18"/>
  <c r="AD299" i="18"/>
  <c r="AD290" i="18" s="1"/>
  <c r="AC299" i="18"/>
  <c r="AA298" i="18"/>
  <c r="AA289" i="18" s="1"/>
  <c r="Y298" i="18"/>
  <c r="Y289" i="18" s="1"/>
  <c r="W298" i="18"/>
  <c r="AE298" i="18" s="1"/>
  <c r="S298" i="18"/>
  <c r="Q298" i="18"/>
  <c r="AF297" i="18"/>
  <c r="AE297" i="18"/>
  <c r="AE288" i="18" s="1"/>
  <c r="AD297" i="18"/>
  <c r="AC297" i="18"/>
  <c r="AG297" i="18" s="1"/>
  <c r="AF296" i="18"/>
  <c r="AE296" i="18"/>
  <c r="AD296" i="18"/>
  <c r="AC296" i="18"/>
  <c r="AG295" i="18"/>
  <c r="AF295" i="18"/>
  <c r="AH295" i="18" s="1"/>
  <c r="AE295" i="18"/>
  <c r="AD295" i="18"/>
  <c r="AC295" i="18"/>
  <c r="AB294" i="18"/>
  <c r="AA294" i="18"/>
  <c r="AF294" i="18" s="1"/>
  <c r="Z294" i="18"/>
  <c r="Y294" i="18"/>
  <c r="X294" i="18"/>
  <c r="W294" i="18"/>
  <c r="W283" i="18" s="1"/>
  <c r="W308" i="18" s="1"/>
  <c r="V294" i="18"/>
  <c r="U294" i="18"/>
  <c r="T294" i="18"/>
  <c r="S294" i="18"/>
  <c r="S283" i="18" s="1"/>
  <c r="R294" i="18"/>
  <c r="Q294" i="18"/>
  <c r="Q283" i="18" s="1"/>
  <c r="AB293" i="18"/>
  <c r="AA293" i="18"/>
  <c r="Z293" i="18"/>
  <c r="Y293" i="18"/>
  <c r="X293" i="18"/>
  <c r="W293" i="18"/>
  <c r="V293" i="18"/>
  <c r="U293" i="18"/>
  <c r="T293" i="18"/>
  <c r="S293" i="18"/>
  <c r="R293" i="18"/>
  <c r="Q293" i="18"/>
  <c r="AB292" i="18"/>
  <c r="AA292" i="18"/>
  <c r="Z292" i="18"/>
  <c r="Y292" i="18"/>
  <c r="X292" i="18"/>
  <c r="W292" i="18"/>
  <c r="V292" i="18"/>
  <c r="U292" i="18"/>
  <c r="T292" i="18"/>
  <c r="S292" i="18"/>
  <c r="R292" i="18"/>
  <c r="Q292" i="18"/>
  <c r="AB291" i="18"/>
  <c r="AA291" i="18"/>
  <c r="Z291" i="18"/>
  <c r="Y291" i="18"/>
  <c r="X291" i="18"/>
  <c r="W291" i="18"/>
  <c r="V291" i="18"/>
  <c r="U291" i="18"/>
  <c r="T291" i="18"/>
  <c r="S291" i="18"/>
  <c r="R291" i="18"/>
  <c r="Q291" i="18"/>
  <c r="AE290" i="18"/>
  <c r="AC290" i="18"/>
  <c r="AB290" i="18"/>
  <c r="AA290" i="18"/>
  <c r="Z290" i="18"/>
  <c r="Y290" i="18"/>
  <c r="X290" i="18"/>
  <c r="W290" i="18"/>
  <c r="V290" i="18"/>
  <c r="U290" i="18"/>
  <c r="T290" i="18"/>
  <c r="S290" i="18"/>
  <c r="R290" i="18"/>
  <c r="Q290" i="18"/>
  <c r="V289" i="18"/>
  <c r="AB288" i="18"/>
  <c r="AA288" i="18"/>
  <c r="Z288" i="18"/>
  <c r="Y288" i="18"/>
  <c r="X288" i="18"/>
  <c r="W288" i="18"/>
  <c r="V288" i="18"/>
  <c r="U288" i="18"/>
  <c r="T288" i="18"/>
  <c r="S288" i="18"/>
  <c r="R288" i="18"/>
  <c r="Q288" i="18"/>
  <c r="AF287" i="18"/>
  <c r="AD287" i="18"/>
  <c r="AB287" i="18"/>
  <c r="AA287" i="18"/>
  <c r="Z287" i="18"/>
  <c r="Y287" i="18"/>
  <c r="X287" i="18"/>
  <c r="W287" i="18"/>
  <c r="V287" i="18"/>
  <c r="U287" i="18"/>
  <c r="T287" i="18"/>
  <c r="S287" i="18"/>
  <c r="R287" i="18"/>
  <c r="Q287" i="18"/>
  <c r="AF286" i="18"/>
  <c r="AB286" i="18"/>
  <c r="AA286" i="18"/>
  <c r="Z286" i="18"/>
  <c r="Y286" i="18"/>
  <c r="X286" i="18"/>
  <c r="W286" i="18"/>
  <c r="V286" i="18"/>
  <c r="U286" i="18"/>
  <c r="T286" i="18"/>
  <c r="S286" i="18"/>
  <c r="R286" i="18"/>
  <c r="Q286" i="18"/>
  <c r="W285" i="18"/>
  <c r="Z283" i="18"/>
  <c r="Z308" i="18" s="1"/>
  <c r="V283" i="18"/>
  <c r="V308" i="18" s="1"/>
  <c r="V309" i="18" s="1"/>
  <c r="R283" i="18"/>
  <c r="R308" i="18" s="1"/>
  <c r="AF282" i="18"/>
  <c r="AE282" i="18"/>
  <c r="AD282" i="18"/>
  <c r="AC282" i="18"/>
  <c r="AG282" i="18" s="1"/>
  <c r="AF281" i="18"/>
  <c r="AH281" i="18" s="1"/>
  <c r="AI281" i="18" s="1"/>
  <c r="AE281" i="18"/>
  <c r="AD281" i="18"/>
  <c r="AG281" i="18" s="1"/>
  <c r="AC281" i="18"/>
  <c r="AH280" i="18"/>
  <c r="AF280" i="18"/>
  <c r="AE280" i="18"/>
  <c r="AD280" i="18"/>
  <c r="AC280" i="18"/>
  <c r="AG280" i="18" s="1"/>
  <c r="AI280" i="18" s="1"/>
  <c r="AH279" i="18"/>
  <c r="AG279" i="18"/>
  <c r="AI279" i="18" s="1"/>
  <c r="AF279" i="18"/>
  <c r="AE279" i="18"/>
  <c r="AD279" i="18"/>
  <c r="AC279" i="18"/>
  <c r="AF278" i="18"/>
  <c r="AB278" i="18"/>
  <c r="AA278" i="18"/>
  <c r="Z278" i="18"/>
  <c r="Y278" i="18"/>
  <c r="X278" i="18"/>
  <c r="W278" i="18"/>
  <c r="AE278" i="18" s="1"/>
  <c r="V278" i="18"/>
  <c r="AD278" i="18" s="1"/>
  <c r="U278" i="18"/>
  <c r="T278" i="18"/>
  <c r="S278" i="18"/>
  <c r="R278" i="18"/>
  <c r="Q278" i="18"/>
  <c r="AC278" i="18" s="1"/>
  <c r="AF277" i="18"/>
  <c r="AH277" i="18" s="1"/>
  <c r="AE277" i="18"/>
  <c r="AD277" i="18"/>
  <c r="AG277" i="18" s="1"/>
  <c r="AI277" i="18" s="1"/>
  <c r="AC277" i="18"/>
  <c r="AH276" i="18"/>
  <c r="AF276" i="18"/>
  <c r="AE276" i="18"/>
  <c r="AD276" i="18"/>
  <c r="AC276" i="18"/>
  <c r="AG276" i="18" s="1"/>
  <c r="AI276" i="18" s="1"/>
  <c r="AH275" i="18"/>
  <c r="AG275" i="18"/>
  <c r="AI275" i="18" s="1"/>
  <c r="AF275" i="18"/>
  <c r="AE275" i="18"/>
  <c r="AD275" i="18"/>
  <c r="AC275" i="18"/>
  <c r="AF274" i="18"/>
  <c r="AB274" i="18"/>
  <c r="AA274" i="18"/>
  <c r="Z274" i="18"/>
  <c r="Y274" i="18"/>
  <c r="Y273" i="18" s="1"/>
  <c r="X274" i="18"/>
  <c r="W274" i="18"/>
  <c r="W273" i="18" s="1"/>
  <c r="V274" i="18"/>
  <c r="U274" i="18"/>
  <c r="AD274" i="18" s="1"/>
  <c r="T274" i="18"/>
  <c r="S274" i="18"/>
  <c r="R274" i="18"/>
  <c r="Q274" i="18"/>
  <c r="Q273" i="18" s="1"/>
  <c r="AB273" i="18"/>
  <c r="AA273" i="18"/>
  <c r="Z273" i="18"/>
  <c r="V273" i="18"/>
  <c r="T273" i="18"/>
  <c r="S273" i="18"/>
  <c r="R273" i="18"/>
  <c r="AF272" i="18"/>
  <c r="AF293" i="18" s="1"/>
  <c r="AE272" i="18"/>
  <c r="AH272" i="18" s="1"/>
  <c r="AD272" i="18"/>
  <c r="AC272" i="18"/>
  <c r="AF271" i="18"/>
  <c r="AH271" i="18" s="1"/>
  <c r="AH292" i="18" s="1"/>
  <c r="AE271" i="18"/>
  <c r="AE292" i="18" s="1"/>
  <c r="AD271" i="18"/>
  <c r="AD292" i="18" s="1"/>
  <c r="AC271" i="18"/>
  <c r="AF270" i="18"/>
  <c r="AF291" i="18" s="1"/>
  <c r="AE270" i="18"/>
  <c r="AH270" i="18" s="1"/>
  <c r="AD270" i="18"/>
  <c r="AC270" i="18"/>
  <c r="AG270" i="18" s="1"/>
  <c r="AF269" i="18"/>
  <c r="AF290" i="18" s="1"/>
  <c r="AE269" i="18"/>
  <c r="AD269" i="18"/>
  <c r="AG269" i="18" s="1"/>
  <c r="AC269" i="18"/>
  <c r="AB268" i="18"/>
  <c r="AA268" i="18"/>
  <c r="Z268" i="18"/>
  <c r="AF268" i="18" s="1"/>
  <c r="AH268" i="18" s="1"/>
  <c r="Y268" i="18"/>
  <c r="X268" i="18"/>
  <c r="X289" i="18" s="1"/>
  <c r="W268" i="18"/>
  <c r="AE268" i="18" s="1"/>
  <c r="AE289" i="18" s="1"/>
  <c r="V268" i="18"/>
  <c r="U268" i="18"/>
  <c r="T268" i="18"/>
  <c r="AD268" i="18" s="1"/>
  <c r="S268" i="18"/>
  <c r="S289" i="18" s="1"/>
  <c r="R268" i="18"/>
  <c r="Q268" i="18"/>
  <c r="AF267" i="18"/>
  <c r="AH267" i="18" s="1"/>
  <c r="AE267" i="18"/>
  <c r="AD267" i="18"/>
  <c r="AD288" i="18" s="1"/>
  <c r="AC267" i="18"/>
  <c r="AG267" i="18" s="1"/>
  <c r="AF266" i="18"/>
  <c r="AE266" i="18"/>
  <c r="AH266" i="18" s="1"/>
  <c r="AD266" i="18"/>
  <c r="AC266" i="18"/>
  <c r="AG266" i="18" s="1"/>
  <c r="AI266" i="18" s="1"/>
  <c r="AF265" i="18"/>
  <c r="AH265" i="18" s="1"/>
  <c r="AI265" i="18" s="1"/>
  <c r="AE265" i="18"/>
  <c r="AE286" i="18" s="1"/>
  <c r="AD265" i="18"/>
  <c r="AG265" i="18" s="1"/>
  <c r="AG286" i="18" s="1"/>
  <c r="AC265" i="18"/>
  <c r="AC286" i="18" s="1"/>
  <c r="AB264" i="18"/>
  <c r="AB285" i="18" s="1"/>
  <c r="AA264" i="18"/>
  <c r="AA263" i="18" s="1"/>
  <c r="Z264" i="18"/>
  <c r="Y264" i="18"/>
  <c r="Y263" i="18" s="1"/>
  <c r="X264" i="18"/>
  <c r="W264" i="18"/>
  <c r="AE264" i="18" s="1"/>
  <c r="V264" i="18"/>
  <c r="V285" i="18" s="1"/>
  <c r="U264" i="18"/>
  <c r="T264" i="18"/>
  <c r="T285" i="18" s="1"/>
  <c r="S264" i="18"/>
  <c r="S263" i="18" s="1"/>
  <c r="S284" i="18" s="1"/>
  <c r="R264" i="18"/>
  <c r="Q264" i="18"/>
  <c r="Q263" i="18" s="1"/>
  <c r="AB263" i="18"/>
  <c r="X263" i="18"/>
  <c r="V263" i="18"/>
  <c r="V284" i="18" s="1"/>
  <c r="U263" i="18"/>
  <c r="T263" i="18"/>
  <c r="AF260" i="18"/>
  <c r="AB260" i="18"/>
  <c r="AA260" i="18"/>
  <c r="Z260" i="18"/>
  <c r="Y260" i="18"/>
  <c r="Y256" i="18" s="1"/>
  <c r="Y389" i="18" s="1"/>
  <c r="X260" i="18"/>
  <c r="W260" i="18"/>
  <c r="AE260" i="18" s="1"/>
  <c r="V260" i="18"/>
  <c r="U260" i="18"/>
  <c r="AD260" i="18" s="1"/>
  <c r="T260" i="18"/>
  <c r="S260" i="18"/>
  <c r="R260" i="18"/>
  <c r="Q260" i="18"/>
  <c r="AC260" i="18" s="1"/>
  <c r="AB259" i="18"/>
  <c r="AA259" i="18"/>
  <c r="Z259" i="18"/>
  <c r="Y259" i="18"/>
  <c r="X259" i="18"/>
  <c r="W259" i="18"/>
  <c r="AE259" i="18" s="1"/>
  <c r="V259" i="18"/>
  <c r="U259" i="18"/>
  <c r="T259" i="18"/>
  <c r="AD259" i="18" s="1"/>
  <c r="S259" i="18"/>
  <c r="S256" i="18" s="1"/>
  <c r="R259" i="18"/>
  <c r="Q259" i="18"/>
  <c r="AB258" i="18"/>
  <c r="AA258" i="18"/>
  <c r="Z258" i="18"/>
  <c r="AF258" i="18" s="1"/>
  <c r="Y258" i="18"/>
  <c r="X258" i="18"/>
  <c r="W258" i="18"/>
  <c r="W256" i="18" s="1"/>
  <c r="V258" i="18"/>
  <c r="V256" i="18" s="1"/>
  <c r="U258" i="18"/>
  <c r="T258" i="18"/>
  <c r="S258" i="18"/>
  <c r="R258" i="18"/>
  <c r="Q258" i="18"/>
  <c r="AC258" i="18" s="1"/>
  <c r="AB256" i="18"/>
  <c r="Z256" i="18"/>
  <c r="Z389" i="18" s="1"/>
  <c r="U256" i="18"/>
  <c r="U389" i="18" s="1"/>
  <c r="T256" i="18"/>
  <c r="R256" i="18"/>
  <c r="R389" i="18" s="1"/>
  <c r="AF255" i="18"/>
  <c r="AH255" i="18" s="1"/>
  <c r="AE255" i="18"/>
  <c r="AD255" i="18"/>
  <c r="AC255" i="18"/>
  <c r="AG255" i="18" s="1"/>
  <c r="AF254" i="18"/>
  <c r="AH254" i="18" s="1"/>
  <c r="AE254" i="18"/>
  <c r="AD254" i="18"/>
  <c r="AC254" i="18"/>
  <c r="AG254" i="18" s="1"/>
  <c r="AI254" i="18" s="1"/>
  <c r="AF253" i="18"/>
  <c r="AH253" i="18" s="1"/>
  <c r="AH252" i="18" s="1"/>
  <c r="AE253" i="18"/>
  <c r="AD253" i="18"/>
  <c r="AD252" i="18" s="1"/>
  <c r="AC253" i="18"/>
  <c r="AB252" i="18"/>
  <c r="AB388" i="18" s="1"/>
  <c r="AA252" i="18"/>
  <c r="AA388" i="18" s="1"/>
  <c r="Z252" i="18"/>
  <c r="Z388" i="18" s="1"/>
  <c r="Y252" i="18"/>
  <c r="Y388" i="18" s="1"/>
  <c r="X252" i="18"/>
  <c r="X388" i="18" s="1"/>
  <c r="W252" i="18"/>
  <c r="W388" i="18" s="1"/>
  <c r="V252" i="18"/>
  <c r="V388" i="18" s="1"/>
  <c r="U252" i="18"/>
  <c r="U388" i="18" s="1"/>
  <c r="U387" i="18" s="1"/>
  <c r="T252" i="18"/>
  <c r="T388" i="18" s="1"/>
  <c r="S252" i="18"/>
  <c r="S388" i="18" s="1"/>
  <c r="R252" i="18"/>
  <c r="R388" i="18" s="1"/>
  <c r="Q252" i="18"/>
  <c r="Q388" i="18" s="1"/>
  <c r="AG248" i="18"/>
  <c r="AI248" i="18" s="1"/>
  <c r="AF248" i="18"/>
  <c r="AH248" i="18" s="1"/>
  <c r="AE248" i="18"/>
  <c r="AD248" i="18"/>
  <c r="AC248" i="18"/>
  <c r="AF247" i="18"/>
  <c r="AH247" i="18" s="1"/>
  <c r="AE247" i="18"/>
  <c r="AD247" i="18"/>
  <c r="AC247" i="18"/>
  <c r="AG247" i="18" s="1"/>
  <c r="AI247" i="18" s="1"/>
  <c r="AH244" i="18"/>
  <c r="AF244" i="18"/>
  <c r="AE244" i="18"/>
  <c r="AD244" i="18"/>
  <c r="AC244" i="18"/>
  <c r="AG244" i="18" s="1"/>
  <c r="AI244" i="18" s="1"/>
  <c r="AI243" i="18"/>
  <c r="AG243" i="18"/>
  <c r="AF243" i="18"/>
  <c r="AH243" i="18" s="1"/>
  <c r="AE243" i="18"/>
  <c r="AD243" i="18"/>
  <c r="AC243" i="18"/>
  <c r="AH242" i="18"/>
  <c r="AG242" i="18"/>
  <c r="AF242" i="18"/>
  <c r="AF241" i="18" s="1"/>
  <c r="AE242" i="18"/>
  <c r="AD242" i="18"/>
  <c r="AC242" i="18"/>
  <c r="AC241" i="18" s="1"/>
  <c r="AE241" i="18"/>
  <c r="AD241" i="18"/>
  <c r="AB241" i="18"/>
  <c r="AA241" i="18"/>
  <c r="Z241" i="18"/>
  <c r="Z257" i="18" s="1"/>
  <c r="Y241" i="18"/>
  <c r="Y257" i="18" s="1"/>
  <c r="X241" i="18"/>
  <c r="W241" i="18"/>
  <c r="V241" i="18"/>
  <c r="U241" i="18"/>
  <c r="T241" i="18"/>
  <c r="S241" i="18"/>
  <c r="R241" i="18"/>
  <c r="R257" i="18" s="1"/>
  <c r="Q241" i="18"/>
  <c r="AC240" i="18"/>
  <c r="AB240" i="18"/>
  <c r="AA240" i="18"/>
  <c r="Z240" i="18"/>
  <c r="AF240" i="18" s="1"/>
  <c r="Y240" i="18"/>
  <c r="X240" i="18"/>
  <c r="W240" i="18"/>
  <c r="AE240" i="18" s="1"/>
  <c r="V240" i="18"/>
  <c r="U240" i="18"/>
  <c r="T240" i="18"/>
  <c r="S240" i="18"/>
  <c r="R240" i="18"/>
  <c r="Q240" i="18"/>
  <c r="AB239" i="18"/>
  <c r="AA239" i="18"/>
  <c r="Y239" i="18"/>
  <c r="X239" i="18"/>
  <c r="W239" i="18"/>
  <c r="W225" i="18" s="1"/>
  <c r="V239" i="18"/>
  <c r="U239" i="18"/>
  <c r="T239" i="18"/>
  <c r="AD239" i="18" s="1"/>
  <c r="S239" i="18"/>
  <c r="R239" i="18"/>
  <c r="AB238" i="18"/>
  <c r="AA238" i="18"/>
  <c r="Z238" i="18"/>
  <c r="Y238" i="18"/>
  <c r="X238" i="18"/>
  <c r="W238" i="18"/>
  <c r="AE238" i="18" s="1"/>
  <c r="V238" i="18"/>
  <c r="U238" i="18"/>
  <c r="S238" i="18"/>
  <c r="R238" i="18"/>
  <c r="R224" i="18" s="1"/>
  <c r="AB237" i="18"/>
  <c r="AA237" i="18"/>
  <c r="Y237" i="18"/>
  <c r="X237" i="18"/>
  <c r="W237" i="18"/>
  <c r="AE237" i="18" s="1"/>
  <c r="V237" i="18"/>
  <c r="U237" i="18"/>
  <c r="T237" i="18"/>
  <c r="S237" i="18"/>
  <c r="Q237" i="18"/>
  <c r="AA236" i="18"/>
  <c r="Y236" i="18"/>
  <c r="X236" i="18"/>
  <c r="V236" i="18"/>
  <c r="U236" i="18"/>
  <c r="S236" i="18"/>
  <c r="Q236" i="18"/>
  <c r="AB235" i="18"/>
  <c r="AA235" i="18"/>
  <c r="Y235" i="18"/>
  <c r="Y234" i="18" s="1"/>
  <c r="X235" i="18"/>
  <c r="X234" i="18" s="1"/>
  <c r="U235" i="18"/>
  <c r="T235" i="18"/>
  <c r="Q235" i="18"/>
  <c r="AB233" i="18"/>
  <c r="AA233" i="18"/>
  <c r="Z233" i="18"/>
  <c r="AF233" i="18" s="1"/>
  <c r="Y233" i="18"/>
  <c r="Y219" i="18" s="1"/>
  <c r="X233" i="18"/>
  <c r="W233" i="18"/>
  <c r="V233" i="18"/>
  <c r="AD233" i="18" s="1"/>
  <c r="U233" i="18"/>
  <c r="T233" i="18"/>
  <c r="S233" i="18"/>
  <c r="R233" i="18"/>
  <c r="Q233" i="18"/>
  <c r="AC232" i="18"/>
  <c r="AB232" i="18"/>
  <c r="AA232" i="18"/>
  <c r="Z232" i="18"/>
  <c r="Y232" i="18"/>
  <c r="X232" i="18"/>
  <c r="W232" i="18"/>
  <c r="AE232" i="18" s="1"/>
  <c r="V232" i="18"/>
  <c r="U232" i="18"/>
  <c r="T232" i="18"/>
  <c r="S232" i="18"/>
  <c r="R232" i="18"/>
  <c r="Q232" i="18"/>
  <c r="AF231" i="18"/>
  <c r="AC231" i="18"/>
  <c r="AG231" i="18" s="1"/>
  <c r="AB231" i="18"/>
  <c r="AA231" i="18"/>
  <c r="Z231" i="18"/>
  <c r="Y231" i="18"/>
  <c r="X231" i="18"/>
  <c r="W231" i="18"/>
  <c r="W217" i="18" s="1"/>
  <c r="V231" i="18"/>
  <c r="U231" i="18"/>
  <c r="T231" i="18"/>
  <c r="AD231" i="18" s="1"/>
  <c r="S231" i="18"/>
  <c r="R231" i="18"/>
  <c r="Q231" i="18"/>
  <c r="AB230" i="18"/>
  <c r="AA230" i="18"/>
  <c r="Z230" i="18"/>
  <c r="Y230" i="18"/>
  <c r="X230" i="18"/>
  <c r="W230" i="18"/>
  <c r="AE230" i="18" s="1"/>
  <c r="V230" i="18"/>
  <c r="U230" i="18"/>
  <c r="T230" i="18"/>
  <c r="AD230" i="18" s="1"/>
  <c r="S230" i="18"/>
  <c r="R230" i="18"/>
  <c r="Q230" i="18"/>
  <c r="AC229" i="18"/>
  <c r="AB229" i="18"/>
  <c r="AA229" i="18"/>
  <c r="Z229" i="18"/>
  <c r="AF229" i="18" s="1"/>
  <c r="AH229" i="18" s="1"/>
  <c r="Y229" i="18"/>
  <c r="X229" i="18"/>
  <c r="W229" i="18"/>
  <c r="AE229" i="18" s="1"/>
  <c r="V229" i="18"/>
  <c r="U229" i="18"/>
  <c r="T229" i="18"/>
  <c r="S229" i="18"/>
  <c r="R229" i="18"/>
  <c r="Q229" i="18"/>
  <c r="AF228" i="18"/>
  <c r="AB228" i="18"/>
  <c r="AA228" i="18"/>
  <c r="Z228" i="18"/>
  <c r="Y228" i="18"/>
  <c r="X228" i="18"/>
  <c r="W228" i="18"/>
  <c r="W227" i="18" s="1"/>
  <c r="V228" i="18"/>
  <c r="V227" i="18" s="1"/>
  <c r="U228" i="18"/>
  <c r="AD228" i="18" s="1"/>
  <c r="T228" i="18"/>
  <c r="S228" i="18"/>
  <c r="R228" i="18"/>
  <c r="Q228" i="18"/>
  <c r="AA227" i="18"/>
  <c r="S227" i="18"/>
  <c r="V226" i="18"/>
  <c r="X220" i="18"/>
  <c r="AB219" i="18"/>
  <c r="AA219" i="18"/>
  <c r="W218" i="18"/>
  <c r="Q217" i="18"/>
  <c r="W215" i="18"/>
  <c r="AF210" i="18"/>
  <c r="AH210" i="18" s="1"/>
  <c r="AE210" i="18"/>
  <c r="AD210" i="18"/>
  <c r="AC210" i="18"/>
  <c r="AG210" i="18" s="1"/>
  <c r="AI210" i="18" s="1"/>
  <c r="AF209" i="18"/>
  <c r="AH209" i="18" s="1"/>
  <c r="AE209" i="18"/>
  <c r="AD209" i="18"/>
  <c r="AC209" i="18"/>
  <c r="AF208" i="18"/>
  <c r="AE208" i="18"/>
  <c r="AH208" i="18" s="1"/>
  <c r="AD208" i="18"/>
  <c r="AC208" i="18"/>
  <c r="AG208" i="18" s="1"/>
  <c r="AI208" i="18" s="1"/>
  <c r="AI207" i="18"/>
  <c r="AH207" i="18"/>
  <c r="AF207" i="18"/>
  <c r="AE207" i="18"/>
  <c r="AD207" i="18"/>
  <c r="AG207" i="18" s="1"/>
  <c r="AC207" i="18"/>
  <c r="AH206" i="18"/>
  <c r="AF206" i="18"/>
  <c r="AE206" i="18"/>
  <c r="AD206" i="18"/>
  <c r="AC206" i="18"/>
  <c r="AG206" i="18" s="1"/>
  <c r="AI206" i="18" s="1"/>
  <c r="AH205" i="18"/>
  <c r="AG205" i="18"/>
  <c r="AF205" i="18"/>
  <c r="AE205" i="18"/>
  <c r="AD205" i="18"/>
  <c r="AC205" i="18"/>
  <c r="AF204" i="18"/>
  <c r="AB204" i="18"/>
  <c r="AA204" i="18"/>
  <c r="Z204" i="18"/>
  <c r="Y204" i="18"/>
  <c r="X204" i="18"/>
  <c r="X196" i="18" s="1"/>
  <c r="W204" i="18"/>
  <c r="V204" i="18"/>
  <c r="U204" i="18"/>
  <c r="AD204" i="18" s="1"/>
  <c r="T204" i="18"/>
  <c r="S204" i="18"/>
  <c r="R204" i="18"/>
  <c r="Q204" i="18"/>
  <c r="AC204" i="18" s="1"/>
  <c r="AG204" i="18" s="1"/>
  <c r="AI203" i="18"/>
  <c r="AF203" i="18"/>
  <c r="AH203" i="18" s="1"/>
  <c r="AE203" i="18"/>
  <c r="AD203" i="18"/>
  <c r="AG203" i="18" s="1"/>
  <c r="AC203" i="18"/>
  <c r="AH202" i="18"/>
  <c r="AF202" i="18"/>
  <c r="AE202" i="18"/>
  <c r="AD202" i="18"/>
  <c r="AC202" i="18"/>
  <c r="AG202" i="18" s="1"/>
  <c r="AI202" i="18" s="1"/>
  <c r="AH201" i="18"/>
  <c r="AG201" i="18"/>
  <c r="AI201" i="18" s="1"/>
  <c r="AF201" i="18"/>
  <c r="AE201" i="18"/>
  <c r="AD201" i="18"/>
  <c r="AC201" i="18"/>
  <c r="AG200" i="18"/>
  <c r="AF200" i="18"/>
  <c r="AH200" i="18" s="1"/>
  <c r="AE200" i="18"/>
  <c r="AD200" i="18"/>
  <c r="AC200" i="18"/>
  <c r="AF199" i="18"/>
  <c r="AE199" i="18"/>
  <c r="AD199" i="18"/>
  <c r="AC199" i="18"/>
  <c r="AG199" i="18" s="1"/>
  <c r="AF198" i="18"/>
  <c r="AH198" i="18" s="1"/>
  <c r="AE198" i="18"/>
  <c r="AD198" i="18"/>
  <c r="AC198" i="18"/>
  <c r="AC197" i="18"/>
  <c r="AB197" i="18"/>
  <c r="AB196" i="18" s="1"/>
  <c r="AA197" i="18"/>
  <c r="Z197" i="18"/>
  <c r="AF197" i="18" s="1"/>
  <c r="AH197" i="18" s="1"/>
  <c r="Y197" i="18"/>
  <c r="X197" i="18"/>
  <c r="W197" i="18"/>
  <c r="AE197" i="18" s="1"/>
  <c r="V197" i="18"/>
  <c r="V196" i="18" s="1"/>
  <c r="U197" i="18"/>
  <c r="U196" i="18" s="1"/>
  <c r="T197" i="18"/>
  <c r="T196" i="18" s="1"/>
  <c r="S197" i="18"/>
  <c r="R197" i="18"/>
  <c r="R196" i="18" s="1"/>
  <c r="Q197" i="18"/>
  <c r="AA196" i="18"/>
  <c r="Y196" i="18"/>
  <c r="W196" i="18"/>
  <c r="S196" i="18"/>
  <c r="AB195" i="18"/>
  <c r="AA195" i="18"/>
  <c r="AA226" i="18" s="1"/>
  <c r="Z195" i="18"/>
  <c r="Y195" i="18"/>
  <c r="Y226" i="18" s="1"/>
  <c r="X195" i="18"/>
  <c r="X226" i="18" s="1"/>
  <c r="W195" i="18"/>
  <c r="AE195" i="18" s="1"/>
  <c r="V195" i="18"/>
  <c r="U195" i="18"/>
  <c r="U226" i="18" s="1"/>
  <c r="T195" i="18"/>
  <c r="AD195" i="18" s="1"/>
  <c r="S195" i="18"/>
  <c r="S226" i="18" s="1"/>
  <c r="R195" i="18"/>
  <c r="R226" i="18" s="1"/>
  <c r="Q195" i="18"/>
  <c r="Q226" i="18" s="1"/>
  <c r="AB194" i="18"/>
  <c r="AB225" i="18" s="1"/>
  <c r="AA194" i="18"/>
  <c r="AA225" i="18" s="1"/>
  <c r="Z194" i="18"/>
  <c r="AF194" i="18" s="1"/>
  <c r="Y194" i="18"/>
  <c r="Y225" i="18" s="1"/>
  <c r="X194" i="18"/>
  <c r="X225" i="18" s="1"/>
  <c r="W194" i="18"/>
  <c r="AE194" i="18" s="1"/>
  <c r="V194" i="18"/>
  <c r="V225" i="18" s="1"/>
  <c r="U194" i="18"/>
  <c r="U225" i="18" s="1"/>
  <c r="T194" i="18"/>
  <c r="T225" i="18" s="1"/>
  <c r="S194" i="18"/>
  <c r="S225" i="18" s="1"/>
  <c r="R194" i="18"/>
  <c r="R225" i="18" s="1"/>
  <c r="Q194" i="18"/>
  <c r="AB193" i="18"/>
  <c r="AF193" i="18" s="1"/>
  <c r="AA193" i="18"/>
  <c r="AA224" i="18" s="1"/>
  <c r="Z193" i="18"/>
  <c r="Y193" i="18"/>
  <c r="Y224" i="18" s="1"/>
  <c r="X193" i="18"/>
  <c r="X224" i="18" s="1"/>
  <c r="W193" i="18"/>
  <c r="W224" i="18" s="1"/>
  <c r="V193" i="18"/>
  <c r="V224" i="18" s="1"/>
  <c r="U193" i="18"/>
  <c r="U224" i="18" s="1"/>
  <c r="T193" i="18"/>
  <c r="AD193" i="18" s="1"/>
  <c r="S193" i="18"/>
  <c r="S224" i="18" s="1"/>
  <c r="R193" i="18"/>
  <c r="Q193" i="18"/>
  <c r="AC193" i="18" s="1"/>
  <c r="AG193" i="18" s="1"/>
  <c r="AC192" i="18"/>
  <c r="AB192" i="18"/>
  <c r="AA192" i="18"/>
  <c r="AA223" i="18" s="1"/>
  <c r="Z192" i="18"/>
  <c r="Y192" i="18"/>
  <c r="Y223" i="18" s="1"/>
  <c r="X192" i="18"/>
  <c r="X223" i="18" s="1"/>
  <c r="W192" i="18"/>
  <c r="W223" i="18" s="1"/>
  <c r="V192" i="18"/>
  <c r="V223" i="18" s="1"/>
  <c r="U192" i="18"/>
  <c r="T192" i="18"/>
  <c r="S192" i="18"/>
  <c r="S223" i="18" s="1"/>
  <c r="R192" i="18"/>
  <c r="R189" i="18" s="1"/>
  <c r="Q192" i="18"/>
  <c r="Q223" i="18" s="1"/>
  <c r="AF191" i="18"/>
  <c r="AC191" i="18"/>
  <c r="AB191" i="18"/>
  <c r="AA191" i="18"/>
  <c r="AA222" i="18" s="1"/>
  <c r="Z191" i="18"/>
  <c r="Y191" i="18"/>
  <c r="Y222" i="18" s="1"/>
  <c r="X191" i="18"/>
  <c r="W191" i="18"/>
  <c r="AE191" i="18" s="1"/>
  <c r="AH191" i="18" s="1"/>
  <c r="V191" i="18"/>
  <c r="V222" i="18" s="1"/>
  <c r="U191" i="18"/>
  <c r="T191" i="18"/>
  <c r="S191" i="18"/>
  <c r="S222" i="18" s="1"/>
  <c r="R191" i="18"/>
  <c r="Q191" i="18"/>
  <c r="Q222" i="18" s="1"/>
  <c r="AF190" i="18"/>
  <c r="AC190" i="18"/>
  <c r="AB190" i="18"/>
  <c r="AB221" i="18" s="1"/>
  <c r="AA190" i="18"/>
  <c r="AA189" i="18" s="1"/>
  <c r="Z190" i="18"/>
  <c r="Z189" i="18" s="1"/>
  <c r="Y190" i="18"/>
  <c r="X190" i="18"/>
  <c r="X221" i="18" s="1"/>
  <c r="W190" i="18"/>
  <c r="V190" i="18"/>
  <c r="U190" i="18"/>
  <c r="U189" i="18" s="1"/>
  <c r="T190" i="18"/>
  <c r="S190" i="18"/>
  <c r="S189" i="18" s="1"/>
  <c r="R190" i="18"/>
  <c r="Q190" i="18"/>
  <c r="X189" i="18"/>
  <c r="V189" i="18"/>
  <c r="AF188" i="18"/>
  <c r="AE188" i="18"/>
  <c r="AC188" i="18"/>
  <c r="AA188" i="18"/>
  <c r="Z188" i="18"/>
  <c r="Z219" i="18" s="1"/>
  <c r="Y188" i="18"/>
  <c r="X188" i="18"/>
  <c r="X219" i="18" s="1"/>
  <c r="W188" i="18"/>
  <c r="W219" i="18" s="1"/>
  <c r="V188" i="18"/>
  <c r="V219" i="18" s="1"/>
  <c r="U188" i="18"/>
  <c r="U219" i="18" s="1"/>
  <c r="T188" i="18"/>
  <c r="S188" i="18"/>
  <c r="S219" i="18" s="1"/>
  <c r="R188" i="18"/>
  <c r="R219" i="18" s="1"/>
  <c r="Q188" i="18"/>
  <c r="AB187" i="18"/>
  <c r="AA187" i="18"/>
  <c r="AA218" i="18" s="1"/>
  <c r="Z187" i="18"/>
  <c r="Z218" i="18" s="1"/>
  <c r="Y187" i="18"/>
  <c r="X187" i="18"/>
  <c r="X218" i="18" s="1"/>
  <c r="W187" i="18"/>
  <c r="AE187" i="18" s="1"/>
  <c r="AE218" i="18" s="1"/>
  <c r="V187" i="18"/>
  <c r="V218" i="18" s="1"/>
  <c r="U187" i="18"/>
  <c r="U218" i="18" s="1"/>
  <c r="T187" i="18"/>
  <c r="AD187" i="18" s="1"/>
  <c r="S187" i="18"/>
  <c r="S218" i="18" s="1"/>
  <c r="R187" i="18"/>
  <c r="R218" i="18" s="1"/>
  <c r="Q187" i="18"/>
  <c r="AC186" i="18"/>
  <c r="AC217" i="18" s="1"/>
  <c r="AB186" i="18"/>
  <c r="AA186" i="18"/>
  <c r="AA217" i="18" s="1"/>
  <c r="Z186" i="18"/>
  <c r="Z217" i="18" s="1"/>
  <c r="Y186" i="18"/>
  <c r="Y217" i="18" s="1"/>
  <c r="X186" i="18"/>
  <c r="X217" i="18" s="1"/>
  <c r="W186" i="18"/>
  <c r="AE186" i="18" s="1"/>
  <c r="V186" i="18"/>
  <c r="V217" i="18" s="1"/>
  <c r="U186" i="18"/>
  <c r="U217" i="18" s="1"/>
  <c r="T186" i="18"/>
  <c r="S186" i="18"/>
  <c r="S217" i="18" s="1"/>
  <c r="R186" i="18"/>
  <c r="R217" i="18" s="1"/>
  <c r="Q186" i="18"/>
  <c r="AF185" i="18"/>
  <c r="AC185" i="18"/>
  <c r="AB185" i="18"/>
  <c r="AB216" i="18" s="1"/>
  <c r="AA185" i="18"/>
  <c r="AA216" i="18" s="1"/>
  <c r="Z185" i="18"/>
  <c r="Y185" i="18"/>
  <c r="Y216" i="18" s="1"/>
  <c r="X185" i="18"/>
  <c r="X216" i="18" s="1"/>
  <c r="W185" i="18"/>
  <c r="AE185" i="18" s="1"/>
  <c r="V185" i="18"/>
  <c r="V216" i="18" s="1"/>
  <c r="U185" i="18"/>
  <c r="AD185" i="18" s="1"/>
  <c r="T185" i="18"/>
  <c r="T216" i="18" s="1"/>
  <c r="S185" i="18"/>
  <c r="S216" i="18" s="1"/>
  <c r="R185" i="18"/>
  <c r="Q185" i="18"/>
  <c r="Q216" i="18" s="1"/>
  <c r="AB184" i="18"/>
  <c r="AB215" i="18" s="1"/>
  <c r="AA184" i="18"/>
  <c r="AA215" i="18" s="1"/>
  <c r="Z184" i="18"/>
  <c r="Y184" i="18"/>
  <c r="Y215" i="18" s="1"/>
  <c r="X184" i="18"/>
  <c r="X215" i="18" s="1"/>
  <c r="W184" i="18"/>
  <c r="AE184" i="18" s="1"/>
  <c r="V184" i="18"/>
  <c r="V215" i="18" s="1"/>
  <c r="U184" i="18"/>
  <c r="T184" i="18"/>
  <c r="T215" i="18" s="1"/>
  <c r="S184" i="18"/>
  <c r="S215" i="18" s="1"/>
  <c r="R184" i="18"/>
  <c r="Q184" i="18"/>
  <c r="Q215" i="18" s="1"/>
  <c r="AC183" i="18"/>
  <c r="AB183" i="18"/>
  <c r="AB214" i="18" s="1"/>
  <c r="AA183" i="18"/>
  <c r="AA214" i="18" s="1"/>
  <c r="Z183" i="18"/>
  <c r="Z214" i="18" s="1"/>
  <c r="Y183" i="18"/>
  <c r="Y214" i="18" s="1"/>
  <c r="X183" i="18"/>
  <c r="W183" i="18"/>
  <c r="W214" i="18" s="1"/>
  <c r="V183" i="18"/>
  <c r="V214" i="18" s="1"/>
  <c r="U183" i="18"/>
  <c r="T183" i="18"/>
  <c r="T214" i="18" s="1"/>
  <c r="S183" i="18"/>
  <c r="S214" i="18" s="1"/>
  <c r="R183" i="18"/>
  <c r="R214" i="18" s="1"/>
  <c r="Q183" i="18"/>
  <c r="Q214" i="18" s="1"/>
  <c r="X182" i="18"/>
  <c r="X181" i="18" s="1"/>
  <c r="AD178" i="18"/>
  <c r="AB178" i="18"/>
  <c r="AA178" i="18"/>
  <c r="Z178" i="18"/>
  <c r="AF178" i="18" s="1"/>
  <c r="Y178" i="18"/>
  <c r="X178" i="18"/>
  <c r="W178" i="18"/>
  <c r="AE178" i="18" s="1"/>
  <c r="V178" i="18"/>
  <c r="V174" i="18" s="1"/>
  <c r="U178" i="18"/>
  <c r="T178" i="18"/>
  <c r="S178" i="18"/>
  <c r="R178" i="18"/>
  <c r="AC178" i="18" s="1"/>
  <c r="AG178" i="18" s="1"/>
  <c r="Q178" i="18"/>
  <c r="AB177" i="18"/>
  <c r="AA177" i="18"/>
  <c r="Z177" i="18"/>
  <c r="AF177" i="18" s="1"/>
  <c r="Y177" i="18"/>
  <c r="Y174" i="18" s="1"/>
  <c r="X177" i="18"/>
  <c r="W177" i="18"/>
  <c r="AE177" i="18" s="1"/>
  <c r="V177" i="18"/>
  <c r="U177" i="18"/>
  <c r="T177" i="18"/>
  <c r="AD177" i="18" s="1"/>
  <c r="S177" i="18"/>
  <c r="R177" i="18"/>
  <c r="Q177" i="18"/>
  <c r="AC176" i="18"/>
  <c r="AB176" i="18"/>
  <c r="AB174" i="18" s="1"/>
  <c r="AA176" i="18"/>
  <c r="Z176" i="18"/>
  <c r="AF176" i="18" s="1"/>
  <c r="Y176" i="18"/>
  <c r="X176" i="18"/>
  <c r="W176" i="18"/>
  <c r="W174" i="18" s="1"/>
  <c r="W385" i="18" s="1"/>
  <c r="V176" i="18"/>
  <c r="U176" i="18"/>
  <c r="U174" i="18" s="1"/>
  <c r="T176" i="18"/>
  <c r="S176" i="18"/>
  <c r="R176" i="18"/>
  <c r="Q176" i="18"/>
  <c r="W175" i="18"/>
  <c r="AA174" i="18"/>
  <c r="AA385" i="18" s="1"/>
  <c r="Z174" i="18"/>
  <c r="X174" i="18"/>
  <c r="X385" i="18" s="1"/>
  <c r="S174" i="18"/>
  <c r="S385" i="18" s="1"/>
  <c r="R174" i="18"/>
  <c r="AE173" i="18"/>
  <c r="AD173" i="18"/>
  <c r="AC173" i="18"/>
  <c r="AG173" i="18" s="1"/>
  <c r="AB173" i="18"/>
  <c r="AF173" i="18" s="1"/>
  <c r="AH173" i="18" s="1"/>
  <c r="AF172" i="18"/>
  <c r="AH172" i="18" s="1"/>
  <c r="AE172" i="18"/>
  <c r="AD172" i="18"/>
  <c r="AD170" i="18" s="1"/>
  <c r="AC172" i="18"/>
  <c r="AG172" i="18" s="1"/>
  <c r="AI172" i="18" s="1"/>
  <c r="AH171" i="18"/>
  <c r="AF171" i="18"/>
  <c r="AE171" i="18"/>
  <c r="AD171" i="18"/>
  <c r="AC171" i="18"/>
  <c r="AG171" i="18" s="1"/>
  <c r="AE170" i="18"/>
  <c r="AB170" i="18"/>
  <c r="AB384" i="18" s="1"/>
  <c r="AA170" i="18"/>
  <c r="AA384" i="18" s="1"/>
  <c r="AA383" i="18" s="1"/>
  <c r="Z170" i="18"/>
  <c r="Z384" i="18" s="1"/>
  <c r="Y170" i="18"/>
  <c r="Y384" i="18" s="1"/>
  <c r="X170" i="18"/>
  <c r="X384" i="18" s="1"/>
  <c r="W170" i="18"/>
  <c r="W384" i="18" s="1"/>
  <c r="V170" i="18"/>
  <c r="V384" i="18" s="1"/>
  <c r="U170" i="18"/>
  <c r="U384" i="18" s="1"/>
  <c r="T170" i="18"/>
  <c r="T384" i="18" s="1"/>
  <c r="S170" i="18"/>
  <c r="S384" i="18" s="1"/>
  <c r="S383" i="18" s="1"/>
  <c r="R170" i="18"/>
  <c r="R384" i="18" s="1"/>
  <c r="Q170" i="18"/>
  <c r="Q384" i="18" s="1"/>
  <c r="AF166" i="18"/>
  <c r="AE166" i="18"/>
  <c r="AD166" i="18"/>
  <c r="AC166" i="18"/>
  <c r="AG166" i="18" s="1"/>
  <c r="AF165" i="18"/>
  <c r="AE165" i="18"/>
  <c r="AH165" i="18" s="1"/>
  <c r="AD165" i="18"/>
  <c r="AC165" i="18"/>
  <c r="AG165" i="18" s="1"/>
  <c r="AI162" i="18"/>
  <c r="AG162" i="18"/>
  <c r="AF162" i="18"/>
  <c r="AE162" i="18"/>
  <c r="AH162" i="18" s="1"/>
  <c r="AD162" i="18"/>
  <c r="AC162" i="18"/>
  <c r="AH161" i="18"/>
  <c r="AF161" i="18"/>
  <c r="AE161" i="18"/>
  <c r="AD161" i="18"/>
  <c r="AC161" i="18"/>
  <c r="AG161" i="18" s="1"/>
  <c r="AH160" i="18"/>
  <c r="AG160" i="18"/>
  <c r="AF160" i="18"/>
  <c r="AE160" i="18"/>
  <c r="AD160" i="18"/>
  <c r="AC160" i="18"/>
  <c r="AF159" i="18"/>
  <c r="AB159" i="18"/>
  <c r="AA159" i="18"/>
  <c r="Z159" i="18"/>
  <c r="Y159" i="18"/>
  <c r="X159" i="18"/>
  <c r="X175" i="18" s="1"/>
  <c r="W159" i="18"/>
  <c r="V159" i="18"/>
  <c r="AD159" i="18" s="1"/>
  <c r="U159" i="18"/>
  <c r="T159" i="18"/>
  <c r="S159" i="18"/>
  <c r="R159" i="18"/>
  <c r="Q159" i="18"/>
  <c r="AC159" i="18" s="1"/>
  <c r="AB158" i="18"/>
  <c r="AB154" i="18" s="1"/>
  <c r="AA158" i="18"/>
  <c r="Z158" i="18"/>
  <c r="Y158" i="18"/>
  <c r="X158" i="18"/>
  <c r="W158" i="18"/>
  <c r="AE158" i="18" s="1"/>
  <c r="V158" i="18"/>
  <c r="U158" i="18"/>
  <c r="T158" i="18"/>
  <c r="T154" i="18" s="1"/>
  <c r="S158" i="18"/>
  <c r="R158" i="18"/>
  <c r="Q158" i="18"/>
  <c r="AD157" i="18"/>
  <c r="AB157" i="18"/>
  <c r="AA157" i="18"/>
  <c r="Z157" i="18"/>
  <c r="AF157" i="18" s="1"/>
  <c r="Y157" i="18"/>
  <c r="X157" i="18"/>
  <c r="W157" i="18"/>
  <c r="W153" i="18" s="1"/>
  <c r="V157" i="18"/>
  <c r="V153" i="18" s="1"/>
  <c r="U157" i="18"/>
  <c r="T157" i="18"/>
  <c r="S157" i="18"/>
  <c r="R157" i="18"/>
  <c r="Q157" i="18"/>
  <c r="AC157" i="18" s="1"/>
  <c r="AB156" i="18"/>
  <c r="AA156" i="18"/>
  <c r="Y156" i="18"/>
  <c r="W156" i="18"/>
  <c r="V156" i="18"/>
  <c r="U156" i="18"/>
  <c r="T156" i="18"/>
  <c r="AD156" i="18" s="1"/>
  <c r="S156" i="18"/>
  <c r="AC155" i="18"/>
  <c r="AB155" i="18"/>
  <c r="AA155" i="18"/>
  <c r="Z155" i="18"/>
  <c r="AF155" i="18" s="1"/>
  <c r="Y155" i="18"/>
  <c r="X155" i="18"/>
  <c r="W155" i="18"/>
  <c r="AE155" i="18" s="1"/>
  <c r="V155" i="18"/>
  <c r="U155" i="18"/>
  <c r="U149" i="18" s="1"/>
  <c r="T155" i="18"/>
  <c r="S155" i="18"/>
  <c r="R155" i="18"/>
  <c r="Q155" i="18"/>
  <c r="W154" i="18"/>
  <c r="U154" i="18"/>
  <c r="Z153" i="18"/>
  <c r="X153" i="18"/>
  <c r="R153" i="18"/>
  <c r="AA152" i="18"/>
  <c r="U152" i="18"/>
  <c r="S152" i="18"/>
  <c r="X151" i="18"/>
  <c r="V151" i="18"/>
  <c r="W149" i="18"/>
  <c r="V149" i="18"/>
  <c r="Z148" i="18"/>
  <c r="Y148" i="18"/>
  <c r="W148" i="18"/>
  <c r="R148" i="18"/>
  <c r="Q148" i="18"/>
  <c r="Z147" i="18"/>
  <c r="U147" i="18"/>
  <c r="R147" i="18"/>
  <c r="AH145" i="18"/>
  <c r="AB145" i="18"/>
  <c r="AA145" i="18"/>
  <c r="Z145" i="18"/>
  <c r="AF145" i="18" s="1"/>
  <c r="Y145" i="18"/>
  <c r="X145" i="18"/>
  <c r="W145" i="18"/>
  <c r="AE145" i="18" s="1"/>
  <c r="V145" i="18"/>
  <c r="AD145" i="18" s="1"/>
  <c r="U145" i="18"/>
  <c r="T145" i="18"/>
  <c r="S145" i="18"/>
  <c r="R145" i="18"/>
  <c r="Q145" i="18"/>
  <c r="AC144" i="18"/>
  <c r="AB144" i="18"/>
  <c r="AA144" i="18"/>
  <c r="AF144" i="18" s="1"/>
  <c r="Z144" i="18"/>
  <c r="Y144" i="18"/>
  <c r="X144" i="18"/>
  <c r="W144" i="18"/>
  <c r="AE144" i="18" s="1"/>
  <c r="V144" i="18"/>
  <c r="U144" i="18"/>
  <c r="AD144" i="18" s="1"/>
  <c r="T144" i="18"/>
  <c r="S144" i="18"/>
  <c r="R144" i="18"/>
  <c r="Q144" i="18"/>
  <c r="AF143" i="18"/>
  <c r="AB143" i="18"/>
  <c r="AA143" i="18"/>
  <c r="Z143" i="18"/>
  <c r="Y143" i="18"/>
  <c r="X143" i="18"/>
  <c r="W143" i="18"/>
  <c r="AE143" i="18" s="1"/>
  <c r="V143" i="18"/>
  <c r="AD143" i="18" s="1"/>
  <c r="U143" i="18"/>
  <c r="T143" i="18"/>
  <c r="S143" i="18"/>
  <c r="R143" i="18"/>
  <c r="Q143" i="18"/>
  <c r="AC143" i="18" s="1"/>
  <c r="AB142" i="18"/>
  <c r="AA142" i="18"/>
  <c r="Y142" i="18"/>
  <c r="T142" i="18"/>
  <c r="S142" i="18"/>
  <c r="AD141" i="18"/>
  <c r="AB141" i="18"/>
  <c r="AA141" i="18"/>
  <c r="Z141" i="18"/>
  <c r="Z142" i="18" s="1"/>
  <c r="Y141" i="18"/>
  <c r="X141" i="18"/>
  <c r="X142" i="18" s="1"/>
  <c r="W141" i="18"/>
  <c r="W142" i="18" s="1"/>
  <c r="V141" i="18"/>
  <c r="V142" i="18" s="1"/>
  <c r="U141" i="18"/>
  <c r="U142" i="18" s="1"/>
  <c r="T141" i="18"/>
  <c r="S141" i="18"/>
  <c r="R141" i="18"/>
  <c r="R142" i="18" s="1"/>
  <c r="AH140" i="18"/>
  <c r="AG140" i="18"/>
  <c r="AF140" i="18"/>
  <c r="AE140" i="18"/>
  <c r="AD140" i="18"/>
  <c r="AD142" i="18" s="1"/>
  <c r="AC140" i="18"/>
  <c r="AA138" i="18"/>
  <c r="T138" i="18"/>
  <c r="S138" i="18"/>
  <c r="AH136" i="18"/>
  <c r="AG136" i="18"/>
  <c r="AF136" i="18"/>
  <c r="AE136" i="18"/>
  <c r="AD136" i="18"/>
  <c r="AC136" i="18"/>
  <c r="AG135" i="18"/>
  <c r="AF135" i="18"/>
  <c r="AH135" i="18" s="1"/>
  <c r="AE135" i="18"/>
  <c r="AD135" i="18"/>
  <c r="AC135" i="18"/>
  <c r="AF134" i="18"/>
  <c r="AE134" i="18"/>
  <c r="AD134" i="18"/>
  <c r="AC134" i="18"/>
  <c r="AG134" i="18" s="1"/>
  <c r="AF133" i="18"/>
  <c r="AE133" i="18"/>
  <c r="AH133" i="18" s="1"/>
  <c r="AD133" i="18"/>
  <c r="AC133" i="18"/>
  <c r="AG133" i="18" s="1"/>
  <c r="AC132" i="18"/>
  <c r="AB132" i="18"/>
  <c r="AA132" i="18"/>
  <c r="AA1079" i="18" s="1"/>
  <c r="Z132" i="18"/>
  <c r="AF132" i="18" s="1"/>
  <c r="Y132" i="18"/>
  <c r="X132" i="18"/>
  <c r="W132" i="18"/>
  <c r="W1079" i="18" s="1"/>
  <c r="V132" i="18"/>
  <c r="U132" i="18"/>
  <c r="T132" i="18"/>
  <c r="S132" i="18"/>
  <c r="S1079" i="18" s="1"/>
  <c r="R132" i="18"/>
  <c r="R1079" i="18" s="1"/>
  <c r="Q132" i="18"/>
  <c r="AF131" i="18"/>
  <c r="AB131" i="18"/>
  <c r="AB148" i="18" s="1"/>
  <c r="AA131" i="18"/>
  <c r="Z131" i="18"/>
  <c r="Z154" i="18" s="1"/>
  <c r="Y131" i="18"/>
  <c r="X131" i="18"/>
  <c r="W131" i="18"/>
  <c r="V131" i="18"/>
  <c r="V154" i="18" s="1"/>
  <c r="U131" i="18"/>
  <c r="U148" i="18" s="1"/>
  <c r="T131" i="18"/>
  <c r="T148" i="18" s="1"/>
  <c r="S131" i="18"/>
  <c r="R131" i="18"/>
  <c r="R154" i="18" s="1"/>
  <c r="Q131" i="18"/>
  <c r="AC131" i="18" s="1"/>
  <c r="AB130" i="18"/>
  <c r="AB147" i="18" s="1"/>
  <c r="AA130" i="18"/>
  <c r="Z130" i="18"/>
  <c r="Y130" i="18"/>
  <c r="Y153" i="18" s="1"/>
  <c r="X130" i="18"/>
  <c r="X147" i="18" s="1"/>
  <c r="W130" i="18"/>
  <c r="AE130" i="18" s="1"/>
  <c r="V130" i="18"/>
  <c r="V147" i="18" s="1"/>
  <c r="U130" i="18"/>
  <c r="U153" i="18" s="1"/>
  <c r="T130" i="18"/>
  <c r="AD130" i="18" s="1"/>
  <c r="S130" i="18"/>
  <c r="R130" i="18"/>
  <c r="Q130" i="18"/>
  <c r="Q153" i="18" s="1"/>
  <c r="AE129" i="18"/>
  <c r="AB129" i="18"/>
  <c r="AB152" i="18" s="1"/>
  <c r="AA129" i="18"/>
  <c r="AA139" i="18" s="1"/>
  <c r="AA146" i="18" s="1"/>
  <c r="Z129" i="18"/>
  <c r="Y129" i="18"/>
  <c r="X129" i="18"/>
  <c r="W129" i="18"/>
  <c r="W139" i="18" s="1"/>
  <c r="W146" i="18" s="1"/>
  <c r="V129" i="18"/>
  <c r="AD129" i="18" s="1"/>
  <c r="U129" i="18"/>
  <c r="U139" i="18" s="1"/>
  <c r="U146" i="18" s="1"/>
  <c r="T129" i="18"/>
  <c r="T152" i="18" s="1"/>
  <c r="S129" i="18"/>
  <c r="S139" i="18" s="1"/>
  <c r="S146" i="18" s="1"/>
  <c r="R129" i="18"/>
  <c r="AC129" i="18" s="1"/>
  <c r="Q129" i="18"/>
  <c r="AB128" i="18"/>
  <c r="AA128" i="18"/>
  <c r="AA151" i="18" s="1"/>
  <c r="Z128" i="18"/>
  <c r="Y128" i="18"/>
  <c r="X128" i="18"/>
  <c r="X138" i="18" s="1"/>
  <c r="W128" i="18"/>
  <c r="W151" i="18" s="1"/>
  <c r="V128" i="18"/>
  <c r="V138" i="18" s="1"/>
  <c r="U128" i="18"/>
  <c r="U138" i="18" s="1"/>
  <c r="U137" i="18" s="1"/>
  <c r="T128" i="18"/>
  <c r="AD128" i="18" s="1"/>
  <c r="S128" i="18"/>
  <c r="S151" i="18" s="1"/>
  <c r="R128" i="18"/>
  <c r="Q128" i="18"/>
  <c r="U127" i="18"/>
  <c r="T127" i="18"/>
  <c r="AB124" i="18"/>
  <c r="AA124" i="18"/>
  <c r="AA120" i="18" s="1"/>
  <c r="Z124" i="18"/>
  <c r="AF124" i="18" s="1"/>
  <c r="Y124" i="18"/>
  <c r="X124" i="18"/>
  <c r="W124" i="18"/>
  <c r="V124" i="18"/>
  <c r="U124" i="18"/>
  <c r="T124" i="18"/>
  <c r="AD124" i="18" s="1"/>
  <c r="S124" i="18"/>
  <c r="S120" i="18" s="1"/>
  <c r="R124" i="18"/>
  <c r="Q124" i="18"/>
  <c r="AC124" i="18" s="1"/>
  <c r="AB123" i="18"/>
  <c r="AA123" i="18"/>
  <c r="Z123" i="18"/>
  <c r="Y123" i="18"/>
  <c r="X123" i="18"/>
  <c r="W123" i="18"/>
  <c r="AE123" i="18" s="1"/>
  <c r="V123" i="18"/>
  <c r="U123" i="18"/>
  <c r="T123" i="18"/>
  <c r="S123" i="18"/>
  <c r="R123" i="18"/>
  <c r="Q123" i="18"/>
  <c r="AB122" i="18"/>
  <c r="AB120" i="18" s="1"/>
  <c r="AA122" i="18"/>
  <c r="Z122" i="18"/>
  <c r="Y122" i="18"/>
  <c r="X122" i="18"/>
  <c r="W122" i="18"/>
  <c r="V122" i="18"/>
  <c r="V120" i="18" s="1"/>
  <c r="U122" i="18"/>
  <c r="U120" i="18" s="1"/>
  <c r="T122" i="18"/>
  <c r="T120" i="18" s="1"/>
  <c r="S122" i="18"/>
  <c r="R122" i="18"/>
  <c r="Q122" i="18"/>
  <c r="AC122" i="18" s="1"/>
  <c r="Y120" i="18"/>
  <c r="Y381" i="18" s="1"/>
  <c r="AF119" i="18"/>
  <c r="AE119" i="18"/>
  <c r="AH119" i="18" s="1"/>
  <c r="AD119" i="18"/>
  <c r="AC119" i="18"/>
  <c r="AE118" i="18"/>
  <c r="AD118" i="18"/>
  <c r="AC118" i="18"/>
  <c r="AA118" i="18"/>
  <c r="AF118" i="18" s="1"/>
  <c r="AH118" i="18" s="1"/>
  <c r="AF117" i="18"/>
  <c r="AH117" i="18" s="1"/>
  <c r="AE117" i="18"/>
  <c r="AD117" i="18"/>
  <c r="AC117" i="18"/>
  <c r="AC116" i="18"/>
  <c r="AB116" i="18"/>
  <c r="AB380" i="18" s="1"/>
  <c r="AA116" i="18"/>
  <c r="AA380" i="18" s="1"/>
  <c r="Z116" i="18"/>
  <c r="Z380" i="18" s="1"/>
  <c r="Y116" i="18"/>
  <c r="Y380" i="18" s="1"/>
  <c r="X116" i="18"/>
  <c r="X380" i="18" s="1"/>
  <c r="W116" i="18"/>
  <c r="W380" i="18" s="1"/>
  <c r="V116" i="18"/>
  <c r="V380" i="18" s="1"/>
  <c r="U116" i="18"/>
  <c r="U380" i="18" s="1"/>
  <c r="T116" i="18"/>
  <c r="S116" i="18"/>
  <c r="S380" i="18" s="1"/>
  <c r="R116" i="18"/>
  <c r="R380" i="18" s="1"/>
  <c r="Q116" i="18"/>
  <c r="Q380" i="18" s="1"/>
  <c r="W1062" i="18"/>
  <c r="AA1107" i="18"/>
  <c r="Z1107" i="18"/>
  <c r="Y1107" i="18"/>
  <c r="X1107" i="18"/>
  <c r="W1107" i="18"/>
  <c r="V1107" i="18"/>
  <c r="U1107" i="18"/>
  <c r="S1107" i="18"/>
  <c r="R1107" i="18"/>
  <c r="Q1107" i="18"/>
  <c r="AB1099" i="18"/>
  <c r="AA1099" i="18"/>
  <c r="Z1099" i="18"/>
  <c r="Y1099" i="18"/>
  <c r="W1099" i="18"/>
  <c r="V1099" i="18"/>
  <c r="U1099" i="18"/>
  <c r="R1099" i="18"/>
  <c r="Q1099" i="18"/>
  <c r="AA1100" i="18"/>
  <c r="Z1100" i="18"/>
  <c r="Y1100" i="18"/>
  <c r="V1100" i="18"/>
  <c r="S1100" i="18"/>
  <c r="R1100" i="18"/>
  <c r="AD56" i="18" l="1"/>
  <c r="T54" i="18"/>
  <c r="AD54" i="18" s="1"/>
  <c r="AB17" i="18"/>
  <c r="AF16" i="18"/>
  <c r="Q120" i="18"/>
  <c r="V25" i="18"/>
  <c r="V22" i="18"/>
  <c r="T1100" i="18"/>
  <c r="AF122" i="18"/>
  <c r="T1063" i="18"/>
  <c r="AD1063" i="18" s="1"/>
  <c r="AB1063" i="18"/>
  <c r="AF18" i="18"/>
  <c r="AF1100" i="18" s="1"/>
  <c r="AI111" i="18"/>
  <c r="W22" i="18"/>
  <c r="W25" i="18"/>
  <c r="AC54" i="18"/>
  <c r="Y54" i="18"/>
  <c r="Q110" i="18"/>
  <c r="Q113" i="18"/>
  <c r="Q114" i="18" s="1"/>
  <c r="S110" i="18"/>
  <c r="S113" i="18"/>
  <c r="S114" i="18" s="1"/>
  <c r="T16" i="18"/>
  <c r="X54" i="18"/>
  <c r="AE55" i="18"/>
  <c r="AD123" i="18"/>
  <c r="AG94" i="18"/>
  <c r="Z22" i="18"/>
  <c r="Z25" i="18"/>
  <c r="AC56" i="18"/>
  <c r="AG56" i="18" s="1"/>
  <c r="Z54" i="18"/>
  <c r="S95" i="18"/>
  <c r="S84" i="18"/>
  <c r="AA95" i="18"/>
  <c r="AA84" i="18"/>
  <c r="AA110" i="18"/>
  <c r="AA113" i="18"/>
  <c r="AA114" i="18" s="1"/>
  <c r="AA25" i="18"/>
  <c r="AA22" i="18"/>
  <c r="AF1107" i="18"/>
  <c r="AH20" i="18"/>
  <c r="AH1107" i="18" s="1"/>
  <c r="AF76" i="18"/>
  <c r="AB11" i="18"/>
  <c r="AF78" i="18"/>
  <c r="AH78" i="18" s="1"/>
  <c r="AB88" i="18"/>
  <c r="AB95" i="18" s="1"/>
  <c r="T1107" i="18"/>
  <c r="AB1107" i="18"/>
  <c r="AH47" i="18"/>
  <c r="Q17" i="18"/>
  <c r="AC16" i="18"/>
  <c r="AA41" i="18"/>
  <c r="AA56" i="18" s="1"/>
  <c r="AA54" i="18" s="1"/>
  <c r="AF42" i="18"/>
  <c r="AC76" i="18"/>
  <c r="Q11" i="18"/>
  <c r="T91" i="18"/>
  <c r="AD90" i="18"/>
  <c r="AD91" i="18" s="1"/>
  <c r="AB91" i="18"/>
  <c r="AF90" i="18"/>
  <c r="AH90" i="18" s="1"/>
  <c r="V113" i="18"/>
  <c r="V114" i="18" s="1"/>
  <c r="V110" i="18"/>
  <c r="X76" i="18"/>
  <c r="AE77" i="18"/>
  <c r="AE99" i="18" s="1"/>
  <c r="AF65" i="18"/>
  <c r="AF70" i="18" s="1"/>
  <c r="AH24" i="18"/>
  <c r="AH65" i="18" s="1"/>
  <c r="AH70" i="18" s="1"/>
  <c r="AI79" i="18"/>
  <c r="R22" i="18"/>
  <c r="R25" i="18"/>
  <c r="T76" i="18"/>
  <c r="V95" i="18"/>
  <c r="V84" i="18"/>
  <c r="AB84" i="18"/>
  <c r="AF85" i="18"/>
  <c r="AE86" i="18"/>
  <c r="X85" i="18"/>
  <c r="AB99" i="18"/>
  <c r="AB97" i="18"/>
  <c r="AF102" i="18"/>
  <c r="AH102" i="18" s="1"/>
  <c r="AF104" i="18"/>
  <c r="AB101" i="18"/>
  <c r="AB1100" i="18"/>
  <c r="AE122" i="18"/>
  <c r="R120" i="18"/>
  <c r="R381" i="18" s="1"/>
  <c r="R379" i="18" s="1"/>
  <c r="AC1063" i="18"/>
  <c r="AG1063" i="18" s="1"/>
  <c r="AG27" i="18"/>
  <c r="AE103" i="18"/>
  <c r="AE100" i="18" s="1"/>
  <c r="S25" i="18"/>
  <c r="S22" i="18"/>
  <c r="AD24" i="18"/>
  <c r="AD65" i="18" s="1"/>
  <c r="AD70" i="18" s="1"/>
  <c r="T65" i="18"/>
  <c r="T70" i="18" s="1"/>
  <c r="X97" i="18"/>
  <c r="AB100" i="18"/>
  <c r="X16" i="18"/>
  <c r="AE19" i="18"/>
  <c r="AE1099" i="18" s="1"/>
  <c r="T88" i="18"/>
  <c r="AD78" i="18"/>
  <c r="AG78" i="18" s="1"/>
  <c r="T99" i="18"/>
  <c r="T97" i="18"/>
  <c r="AD102" i="18"/>
  <c r="AD99" i="18" s="1"/>
  <c r="T101" i="18"/>
  <c r="AD104" i="18"/>
  <c r="Y121" i="18"/>
  <c r="W120" i="18"/>
  <c r="AE56" i="18"/>
  <c r="W54" i="18"/>
  <c r="AE54" i="18" s="1"/>
  <c r="T85" i="18"/>
  <c r="X88" i="18"/>
  <c r="X95" i="18" s="1"/>
  <c r="Y110" i="18"/>
  <c r="Y113" i="18"/>
  <c r="Y114" i="18" s="1"/>
  <c r="X101" i="18"/>
  <c r="AD1068" i="18"/>
  <c r="AD1073" i="18"/>
  <c r="AE1106" i="18"/>
  <c r="AE70" i="18"/>
  <c r="AG43" i="18"/>
  <c r="AH1106" i="18"/>
  <c r="AD45" i="18"/>
  <c r="AG49" i="18"/>
  <c r="AG51" i="18"/>
  <c r="AI51" i="18" s="1"/>
  <c r="AG67" i="18"/>
  <c r="AI67" i="18" s="1"/>
  <c r="AG77" i="18"/>
  <c r="AH86" i="18"/>
  <c r="AI86" i="18" s="1"/>
  <c r="AG93" i="18"/>
  <c r="AD100" i="18"/>
  <c r="AG107" i="18"/>
  <c r="W15" i="18"/>
  <c r="W88" i="18"/>
  <c r="S100" i="18"/>
  <c r="AA100" i="18"/>
  <c r="R109" i="18"/>
  <c r="Z109" i="18"/>
  <c r="AH1070" i="18"/>
  <c r="AG12" i="18"/>
  <c r="AI12" i="18" s="1"/>
  <c r="AI39" i="18"/>
  <c r="AH40" i="18"/>
  <c r="AH37" i="18" s="1"/>
  <c r="AD101" i="18"/>
  <c r="AI83" i="18"/>
  <c r="AG87" i="18"/>
  <c r="AI87" i="18" s="1"/>
  <c r="Q99" i="18"/>
  <c r="Y99" i="18"/>
  <c r="U100" i="18"/>
  <c r="AE1068" i="18"/>
  <c r="AE1073" i="18"/>
  <c r="AD37" i="18"/>
  <c r="AH49" i="18"/>
  <c r="AH45" i="18" s="1"/>
  <c r="AH93" i="18"/>
  <c r="AH103" i="18"/>
  <c r="AH107" i="18"/>
  <c r="R15" i="18"/>
  <c r="Z15" i="18"/>
  <c r="R88" i="18"/>
  <c r="Z88" i="18"/>
  <c r="V98" i="18"/>
  <c r="V100" i="18"/>
  <c r="AD1070" i="18"/>
  <c r="AG1070" i="18" s="1"/>
  <c r="AI1070" i="18" s="1"/>
  <c r="AD1074" i="18"/>
  <c r="AF37" i="18"/>
  <c r="AH55" i="18"/>
  <c r="AI55" i="18" s="1"/>
  <c r="AG92" i="18"/>
  <c r="AI92" i="18" s="1"/>
  <c r="AG104" i="18"/>
  <c r="S15" i="18"/>
  <c r="AA15" i="18"/>
  <c r="W98" i="18"/>
  <c r="AG1068" i="18"/>
  <c r="AG1073" i="18"/>
  <c r="AH1074" i="18"/>
  <c r="AF64" i="18"/>
  <c r="AI28" i="18"/>
  <c r="AC37" i="18"/>
  <c r="AG44" i="18"/>
  <c r="AH60" i="18"/>
  <c r="AI60" i="18" s="1"/>
  <c r="AH62" i="18"/>
  <c r="AI62" i="18" s="1"/>
  <c r="AE91" i="18"/>
  <c r="AF1073" i="18"/>
  <c r="AH1073" i="18" s="1"/>
  <c r="AG18" i="18"/>
  <c r="AG19" i="18"/>
  <c r="AC70" i="18"/>
  <c r="AE41" i="18"/>
  <c r="AG46" i="18"/>
  <c r="AI46" i="18" s="1"/>
  <c r="AI61" i="18"/>
  <c r="AI82" i="18"/>
  <c r="AH91" i="18"/>
  <c r="AH92" i="18"/>
  <c r="AG96" i="18"/>
  <c r="AI96" i="18" s="1"/>
  <c r="AC98" i="18"/>
  <c r="AE101" i="18"/>
  <c r="AG112" i="18"/>
  <c r="AI112" i="18" s="1"/>
  <c r="Q14" i="18"/>
  <c r="Y14" i="18"/>
  <c r="U97" i="18"/>
  <c r="Q98" i="18"/>
  <c r="Y98" i="18"/>
  <c r="AE1070" i="18"/>
  <c r="AE1074" i="18"/>
  <c r="AG20" i="18"/>
  <c r="AE37" i="18"/>
  <c r="AG40" i="18"/>
  <c r="AI40" i="18" s="1"/>
  <c r="AI37" i="18" s="1"/>
  <c r="AI47" i="18"/>
  <c r="AH48" i="18"/>
  <c r="AI48" i="18" s="1"/>
  <c r="AG90" i="18"/>
  <c r="AI90" i="18" s="1"/>
  <c r="V15" i="18"/>
  <c r="AG59" i="18"/>
  <c r="AG80" i="18"/>
  <c r="AI81" i="18"/>
  <c r="AI80" i="18" s="1"/>
  <c r="AC110" i="18"/>
  <c r="AC113" i="18"/>
  <c r="AC114" i="18" s="1"/>
  <c r="AI89" i="18"/>
  <c r="AI27" i="18"/>
  <c r="AG41" i="18"/>
  <c r="AI50" i="18"/>
  <c r="AG101" i="18"/>
  <c r="AI106" i="18"/>
  <c r="AG105" i="18"/>
  <c r="AI44" i="18"/>
  <c r="AH80" i="18"/>
  <c r="AG1100" i="18"/>
  <c r="AI20" i="18"/>
  <c r="AI1107" i="18" s="1"/>
  <c r="AG1107" i="18"/>
  <c r="AI103" i="18"/>
  <c r="AH105" i="18"/>
  <c r="AI43" i="18"/>
  <c r="AG1106" i="18"/>
  <c r="AI93" i="18"/>
  <c r="AI94" i="18"/>
  <c r="AI107" i="18"/>
  <c r="AG1099" i="18"/>
  <c r="AD1106" i="18"/>
  <c r="AE45" i="18"/>
  <c r="AC91" i="18"/>
  <c r="AH19" i="18"/>
  <c r="AH1099" i="18" s="1"/>
  <c r="AG37" i="18"/>
  <c r="AC41" i="18"/>
  <c r="AG45" i="18"/>
  <c r="AH18" i="18"/>
  <c r="AH1100" i="18" s="1"/>
  <c r="AD41" i="18"/>
  <c r="AH77" i="18"/>
  <c r="AH76" i="18" s="1"/>
  <c r="AF91" i="18"/>
  <c r="AC59" i="18"/>
  <c r="AC64" i="18" s="1"/>
  <c r="AH23" i="18"/>
  <c r="AH59" i="18" s="1"/>
  <c r="AC101" i="18"/>
  <c r="AG117" i="18"/>
  <c r="AG119" i="18"/>
  <c r="AI119" i="18" s="1"/>
  <c r="AA381" i="18"/>
  <c r="AA121" i="18"/>
  <c r="AG124" i="18"/>
  <c r="R138" i="18"/>
  <c r="R127" i="18"/>
  <c r="Z138" i="18"/>
  <c r="AF128" i="18"/>
  <c r="AH128" i="18" s="1"/>
  <c r="Z127" i="18"/>
  <c r="AI135" i="18"/>
  <c r="AH144" i="18"/>
  <c r="AD152" i="18"/>
  <c r="AG157" i="18"/>
  <c r="AE159" i="18"/>
  <c r="AI166" i="18"/>
  <c r="R215" i="18"/>
  <c r="R182" i="18"/>
  <c r="R181" i="18" s="1"/>
  <c r="Z215" i="18"/>
  <c r="AF184" i="18"/>
  <c r="AH184" i="18" s="1"/>
  <c r="Z182" i="18"/>
  <c r="AG185" i="18"/>
  <c r="Q218" i="18"/>
  <c r="AC187" i="18"/>
  <c r="Q182" i="18"/>
  <c r="Y218" i="18"/>
  <c r="Y182" i="18"/>
  <c r="AD188" i="18"/>
  <c r="AG188" i="18" s="1"/>
  <c r="AI188" i="18" s="1"/>
  <c r="U222" i="18"/>
  <c r="AD191" i="18"/>
  <c r="AG191" i="18"/>
  <c r="AI191" i="18" s="1"/>
  <c r="X1100" i="18"/>
  <c r="AH176" i="18"/>
  <c r="AH174" i="18" s="1"/>
  <c r="AH175" i="18" s="1"/>
  <c r="AF174" i="18"/>
  <c r="AF175" i="18" s="1"/>
  <c r="AB381" i="18"/>
  <c r="AB121" i="18"/>
  <c r="AH122" i="18"/>
  <c r="AE124" i="18"/>
  <c r="AG143" i="18"/>
  <c r="AI143" i="18" s="1"/>
  <c r="AI171" i="18"/>
  <c r="AI170" i="18" s="1"/>
  <c r="AG170" i="18"/>
  <c r="Z385" i="18"/>
  <c r="Z175" i="18"/>
  <c r="AD176" i="18"/>
  <c r="AD174" i="18" s="1"/>
  <c r="AD175" i="18" s="1"/>
  <c r="T174" i="18"/>
  <c r="AB385" i="18"/>
  <c r="AB175" i="18"/>
  <c r="AI178" i="18"/>
  <c r="AH178" i="18"/>
  <c r="S149" i="18"/>
  <c r="S154" i="18"/>
  <c r="W381" i="18"/>
  <c r="W121" i="18"/>
  <c r="AH124" i="18"/>
  <c r="V139" i="18"/>
  <c r="V127" i="18"/>
  <c r="V152" i="18"/>
  <c r="S148" i="18"/>
  <c r="AC148" i="18" s="1"/>
  <c r="AG148" i="18" s="1"/>
  <c r="AA148" i="18"/>
  <c r="U1079" i="18"/>
  <c r="AG144" i="18"/>
  <c r="AI144" i="18" s="1"/>
  <c r="AH155" i="18"/>
  <c r="U385" i="18"/>
  <c r="U175" i="18"/>
  <c r="W216" i="18"/>
  <c r="W182" i="18"/>
  <c r="AH185" i="18"/>
  <c r="AH116" i="18"/>
  <c r="V1079" i="18"/>
  <c r="AD132" i="18"/>
  <c r="AH134" i="18"/>
  <c r="AI134" i="18" s="1"/>
  <c r="S137" i="18"/>
  <c r="AC145" i="18"/>
  <c r="AG145" i="18" s="1"/>
  <c r="AI145" i="18" s="1"/>
  <c r="T147" i="18"/>
  <c r="AD147" i="18" s="1"/>
  <c r="AF148" i="18"/>
  <c r="T153" i="18"/>
  <c r="AB153" i="18"/>
  <c r="AI160" i="18"/>
  <c r="AI159" i="18" s="1"/>
  <c r="AG159" i="18"/>
  <c r="AH166" i="18"/>
  <c r="AC384" i="18"/>
  <c r="AI173" i="18"/>
  <c r="Q174" i="18"/>
  <c r="AC177" i="18"/>
  <c r="AG177" i="18" s="1"/>
  <c r="AI177" i="18" s="1"/>
  <c r="Y385" i="18"/>
  <c r="Y175" i="18"/>
  <c r="U377" i="18"/>
  <c r="Q138" i="18"/>
  <c r="Q127" i="18"/>
  <c r="AC128" i="18"/>
  <c r="AG128" i="18" s="1"/>
  <c r="Q151" i="18"/>
  <c r="X148" i="18"/>
  <c r="AE148" i="18" s="1"/>
  <c r="X127" i="18"/>
  <c r="X1078" i="18" s="1"/>
  <c r="X154" i="18"/>
  <c r="AF380" i="18"/>
  <c r="U381" i="18"/>
  <c r="U121" i="18"/>
  <c r="U1078" i="18"/>
  <c r="AF130" i="18"/>
  <c r="AH130" i="18" s="1"/>
  <c r="AI133" i="18"/>
  <c r="AG132" i="18"/>
  <c r="T137" i="18"/>
  <c r="AD138" i="18"/>
  <c r="T149" i="18"/>
  <c r="T151" i="18"/>
  <c r="AD155" i="18"/>
  <c r="AD151" i="18" s="1"/>
  <c r="AB149" i="18"/>
  <c r="AB151" i="18"/>
  <c r="AB138" i="18"/>
  <c r="AB137" i="18" s="1"/>
  <c r="Y152" i="18"/>
  <c r="Y149" i="18"/>
  <c r="Y139" i="18"/>
  <c r="Y146" i="18" s="1"/>
  <c r="AD153" i="18"/>
  <c r="AH159" i="18"/>
  <c r="AI165" i="18"/>
  <c r="AF170" i="18"/>
  <c r="AE385" i="18"/>
  <c r="AH177" i="18"/>
  <c r="W189" i="18"/>
  <c r="AE190" i="18"/>
  <c r="AH190" i="18" s="1"/>
  <c r="AH194" i="18"/>
  <c r="Z120" i="18"/>
  <c r="AF123" i="18"/>
  <c r="AH123" i="18" s="1"/>
  <c r="Y138" i="18"/>
  <c r="Y127" i="18"/>
  <c r="Y151" i="18"/>
  <c r="AA149" i="18"/>
  <c r="AA154" i="18"/>
  <c r="AG118" i="18"/>
  <c r="AI118" i="18" s="1"/>
  <c r="S381" i="18"/>
  <c r="S121" i="18"/>
  <c r="V381" i="18"/>
  <c r="V121" i="18"/>
  <c r="AD122" i="18"/>
  <c r="AG122" i="18" s="1"/>
  <c r="X120" i="18"/>
  <c r="AE120" i="18" s="1"/>
  <c r="AE121" i="18" s="1"/>
  <c r="AB127" i="18"/>
  <c r="S147" i="18"/>
  <c r="S127" i="18"/>
  <c r="S153" i="18"/>
  <c r="AA147" i="18"/>
  <c r="AA127" i="18"/>
  <c r="AA1078" i="18" s="1"/>
  <c r="AA1083" i="18" s="1"/>
  <c r="AA153" i="18"/>
  <c r="AI136" i="18"/>
  <c r="AA137" i="18"/>
  <c r="AI140" i="18"/>
  <c r="AH143" i="18"/>
  <c r="AF147" i="18"/>
  <c r="V163" i="18"/>
  <c r="V150" i="18"/>
  <c r="U163" i="18"/>
  <c r="U150" i="18"/>
  <c r="AG155" i="18"/>
  <c r="AC158" i="18"/>
  <c r="Y154" i="18"/>
  <c r="AI161" i="18"/>
  <c r="AH170" i="18"/>
  <c r="V385" i="18"/>
  <c r="V175" i="18"/>
  <c r="T223" i="18"/>
  <c r="AD192" i="18"/>
  <c r="AG192" i="18" s="1"/>
  <c r="T189" i="18"/>
  <c r="AD189" i="18" s="1"/>
  <c r="AB223" i="18"/>
  <c r="AB189" i="18"/>
  <c r="AE215" i="18"/>
  <c r="T1099" i="18"/>
  <c r="AF189" i="18"/>
  <c r="W1100" i="18"/>
  <c r="S1099" i="18"/>
  <c r="W1064" i="18"/>
  <c r="T380" i="18"/>
  <c r="AD116" i="18"/>
  <c r="AB377" i="18"/>
  <c r="AB379" i="18"/>
  <c r="T381" i="18"/>
  <c r="T121" i="18"/>
  <c r="AD120" i="18"/>
  <c r="AD121" i="18" s="1"/>
  <c r="AC123" i="18"/>
  <c r="AG129" i="18"/>
  <c r="AI129" i="18" s="1"/>
  <c r="AE131" i="18"/>
  <c r="AE154" i="18" s="1"/>
  <c r="AF158" i="18"/>
  <c r="R385" i="18"/>
  <c r="R175" i="18"/>
  <c r="U214" i="18"/>
  <c r="U182" i="18"/>
  <c r="U181" i="18" s="1"/>
  <c r="AD183" i="18"/>
  <c r="AG183" i="18"/>
  <c r="T217" i="18"/>
  <c r="T182" i="18"/>
  <c r="AD186" i="18"/>
  <c r="AB217" i="18"/>
  <c r="AB182" i="18"/>
  <c r="AB181" i="18" s="1"/>
  <c r="R312" i="18"/>
  <c r="AD216" i="18"/>
  <c r="AF238" i="18"/>
  <c r="Z224" i="18"/>
  <c r="AH240" i="18"/>
  <c r="AI242" i="18"/>
  <c r="AI241" i="18" s="1"/>
  <c r="AH241" i="18"/>
  <c r="S389" i="18"/>
  <c r="S257" i="18"/>
  <c r="AF259" i="18"/>
  <c r="AH259" i="18" s="1"/>
  <c r="AA256" i="18"/>
  <c r="W312" i="18"/>
  <c r="AG407" i="18"/>
  <c r="AC406" i="18"/>
  <c r="AC405" i="18" s="1"/>
  <c r="AC404" i="18" s="1"/>
  <c r="AE141" i="18"/>
  <c r="AE142" i="18" s="1"/>
  <c r="AE157" i="18"/>
  <c r="AE153" i="18" s="1"/>
  <c r="AD384" i="18"/>
  <c r="AB383" i="18"/>
  <c r="AH188" i="18"/>
  <c r="AF195" i="18"/>
  <c r="AH195" i="18" s="1"/>
  <c r="Z226" i="18"/>
  <c r="AC196" i="18"/>
  <c r="W213" i="18"/>
  <c r="AH215" i="18"/>
  <c r="U223" i="18"/>
  <c r="AD237" i="18"/>
  <c r="AD223" i="18" s="1"/>
  <c r="U234" i="18"/>
  <c r="U220" i="18" s="1"/>
  <c r="AC388" i="18"/>
  <c r="AG258" i="18"/>
  <c r="AC256" i="18"/>
  <c r="AC257" i="18" s="1"/>
  <c r="R289" i="18"/>
  <c r="AC268" i="18"/>
  <c r="AG268" i="18" s="1"/>
  <c r="AI268" i="18" s="1"/>
  <c r="AE294" i="18"/>
  <c r="X283" i="18"/>
  <c r="X285" i="18"/>
  <c r="Z362" i="18"/>
  <c r="X1069" i="18"/>
  <c r="X1066" i="18" s="1"/>
  <c r="X372" i="18"/>
  <c r="X369" i="18" s="1"/>
  <c r="X350" i="18"/>
  <c r="V379" i="18"/>
  <c r="V377" i="18"/>
  <c r="AF129" i="18"/>
  <c r="AH129" i="18" s="1"/>
  <c r="AC130" i="18"/>
  <c r="AG130" i="18" s="1"/>
  <c r="AI130" i="18" s="1"/>
  <c r="AE1079" i="18"/>
  <c r="AE132" i="18"/>
  <c r="AF141" i="18"/>
  <c r="AH141" i="18" s="1"/>
  <c r="AH142" i="18" s="1"/>
  <c r="R151" i="18"/>
  <c r="Z151" i="18"/>
  <c r="W152" i="18"/>
  <c r="Q154" i="18"/>
  <c r="U383" i="18"/>
  <c r="AC170" i="18"/>
  <c r="AE183" i="18"/>
  <c r="Q221" i="18"/>
  <c r="Q189" i="18"/>
  <c r="AC189" i="18" s="1"/>
  <c r="Y221" i="18"/>
  <c r="Y189" i="18"/>
  <c r="AE192" i="18"/>
  <c r="AE223" i="18" s="1"/>
  <c r="AD197" i="18"/>
  <c r="AD196" i="18" s="1"/>
  <c r="AH199" i="18"/>
  <c r="U221" i="18"/>
  <c r="AB224" i="18"/>
  <c r="X214" i="18"/>
  <c r="X227" i="18"/>
  <c r="AF232" i="18"/>
  <c r="Y220" i="18"/>
  <c r="X222" i="18"/>
  <c r="T226" i="18"/>
  <c r="AD240" i="18"/>
  <c r="AD226" i="18" s="1"/>
  <c r="AB226" i="18"/>
  <c r="AG241" i="18"/>
  <c r="T389" i="18"/>
  <c r="T257" i="18"/>
  <c r="AH258" i="18"/>
  <c r="AH256" i="18" s="1"/>
  <c r="AH257" i="18" s="1"/>
  <c r="AF256" i="18"/>
  <c r="AF257" i="18" s="1"/>
  <c r="AI270" i="18"/>
  <c r="AD273" i="18"/>
  <c r="AF273" i="18"/>
  <c r="Q284" i="18"/>
  <c r="Q308" i="18"/>
  <c r="AH286" i="18"/>
  <c r="AG291" i="18"/>
  <c r="AE380" i="18"/>
  <c r="W377" i="18"/>
  <c r="W379" i="18"/>
  <c r="AE116" i="18"/>
  <c r="W127" i="18"/>
  <c r="X1079" i="18"/>
  <c r="W147" i="18"/>
  <c r="AE147" i="18" s="1"/>
  <c r="AD158" i="18"/>
  <c r="V383" i="18"/>
  <c r="AE176" i="18"/>
  <c r="AE174" i="18" s="1"/>
  <c r="S182" i="18"/>
  <c r="S181" i="18" s="1"/>
  <c r="AA182" i="18"/>
  <c r="AA181" i="18" s="1"/>
  <c r="AF183" i="18"/>
  <c r="AH183" i="18" s="1"/>
  <c r="AC184" i="18"/>
  <c r="AG184" i="18" s="1"/>
  <c r="AI184" i="18" s="1"/>
  <c r="AE193" i="18"/>
  <c r="AH193" i="18" s="1"/>
  <c r="AI193" i="18" s="1"/>
  <c r="AC194" i="18"/>
  <c r="AF196" i="18"/>
  <c r="AG198" i="18"/>
  <c r="AI198" i="18" s="1"/>
  <c r="AI205" i="18"/>
  <c r="Q227" i="18"/>
  <c r="Y227" i="18"/>
  <c r="AE216" i="18"/>
  <c r="AD219" i="18"/>
  <c r="AA221" i="18"/>
  <c r="AA234" i="18"/>
  <c r="AA220" i="18" s="1"/>
  <c r="AE252" i="18"/>
  <c r="AG260" i="18"/>
  <c r="AI260" i="18" s="1"/>
  <c r="AD293" i="18"/>
  <c r="AG272" i="18"/>
  <c r="AI272" i="18" s="1"/>
  <c r="AG278" i="18"/>
  <c r="AC288" i="18"/>
  <c r="X377" i="18"/>
  <c r="AF116" i="18"/>
  <c r="Y1079" i="18"/>
  <c r="W138" i="18"/>
  <c r="T139" i="18"/>
  <c r="AB139" i="18"/>
  <c r="AB146" i="18" s="1"/>
  <c r="W150" i="18"/>
  <c r="W383" i="18"/>
  <c r="AE384" i="18"/>
  <c r="S175" i="18"/>
  <c r="AA175" i="18"/>
  <c r="AD184" i="18"/>
  <c r="AF186" i="18"/>
  <c r="AD194" i="18"/>
  <c r="AD225" i="18" s="1"/>
  <c r="AF215" i="18"/>
  <c r="T219" i="18"/>
  <c r="U215" i="18"/>
  <c r="AD229" i="18"/>
  <c r="AD215" i="18" s="1"/>
  <c r="AC215" i="18"/>
  <c r="T218" i="18"/>
  <c r="AD232" i="18"/>
  <c r="AD218" i="18" s="1"/>
  <c r="T227" i="18"/>
  <c r="AB218" i="18"/>
  <c r="AB227" i="18"/>
  <c r="AE233" i="18"/>
  <c r="AE219" i="18" s="1"/>
  <c r="AB234" i="18"/>
  <c r="AB220" i="18" s="1"/>
  <c r="AD388" i="18"/>
  <c r="T387" i="18"/>
  <c r="AB387" i="18"/>
  <c r="AE263" i="18"/>
  <c r="AI267" i="18"/>
  <c r="AG288" i="18"/>
  <c r="R284" i="18"/>
  <c r="AH294" i="18"/>
  <c r="AG296" i="18"/>
  <c r="AC287" i="18"/>
  <c r="Q377" i="18"/>
  <c r="AC380" i="18"/>
  <c r="Y379" i="18"/>
  <c r="Y377" i="18"/>
  <c r="Z1079" i="18"/>
  <c r="AF1079" i="18" s="1"/>
  <c r="Q147" i="18"/>
  <c r="AC147" i="18" s="1"/>
  <c r="AG147" i="18" s="1"/>
  <c r="Y147" i="18"/>
  <c r="V148" i="18"/>
  <c r="AD148" i="18" s="1"/>
  <c r="U151" i="18"/>
  <c r="X383" i="18"/>
  <c r="AG186" i="18"/>
  <c r="AD190" i="18"/>
  <c r="AG190" i="18" s="1"/>
  <c r="Q196" i="18"/>
  <c r="AG209" i="18"/>
  <c r="AI209" i="18" s="1"/>
  <c r="AC230" i="18"/>
  <c r="AD217" i="18"/>
  <c r="AE224" i="18"/>
  <c r="AE226" i="18"/>
  <c r="AG253" i="18"/>
  <c r="AC252" i="18"/>
  <c r="AI255" i="18"/>
  <c r="AB389" i="18"/>
  <c r="AB257" i="18"/>
  <c r="AD258" i="18"/>
  <c r="AD256" i="18" s="1"/>
  <c r="AD257" i="18" s="1"/>
  <c r="X256" i="18"/>
  <c r="X273" i="18"/>
  <c r="Z289" i="18"/>
  <c r="U1100" i="18"/>
  <c r="S1064" i="18"/>
  <c r="R377" i="18"/>
  <c r="Z377" i="18"/>
  <c r="AE128" i="18"/>
  <c r="AE151" i="18" s="1"/>
  <c r="AD131" i="18"/>
  <c r="AG131" i="18" s="1"/>
  <c r="V182" i="18"/>
  <c r="AF192" i="18"/>
  <c r="U216" i="18"/>
  <c r="R216" i="18"/>
  <c r="R227" i="18"/>
  <c r="AF230" i="18"/>
  <c r="Z216" i="18"/>
  <c r="Z227" i="18"/>
  <c r="Q219" i="18"/>
  <c r="AC233" i="18"/>
  <c r="AE239" i="18"/>
  <c r="AE225" i="18" s="1"/>
  <c r="V389" i="18"/>
  <c r="V257" i="18"/>
  <c r="AC259" i="18"/>
  <c r="AG259" i="18" s="1"/>
  <c r="AG271" i="18"/>
  <c r="AI271" i="18" s="1"/>
  <c r="AC292" i="18"/>
  <c r="Z312" i="18"/>
  <c r="U283" i="18"/>
  <c r="X393" i="18"/>
  <c r="X320" i="18"/>
  <c r="AC422" i="18"/>
  <c r="AC421" i="18" s="1"/>
  <c r="AC420" i="18" s="1"/>
  <c r="AG423" i="18"/>
  <c r="AB1064" i="18"/>
  <c r="S379" i="18"/>
  <c r="S377" i="18"/>
  <c r="AA377" i="18"/>
  <c r="AA379" i="18"/>
  <c r="T1079" i="18"/>
  <c r="AD1079" i="18" s="1"/>
  <c r="AB1079" i="18"/>
  <c r="W163" i="18"/>
  <c r="R383" i="18"/>
  <c r="Z383" i="18"/>
  <c r="AF384" i="18"/>
  <c r="AF187" i="18"/>
  <c r="AH187" i="18" s="1"/>
  <c r="AI199" i="18"/>
  <c r="AI200" i="18"/>
  <c r="AE204" i="18"/>
  <c r="AH204" i="18" s="1"/>
  <c r="AA211" i="18"/>
  <c r="AD214" i="18"/>
  <c r="AE231" i="18"/>
  <c r="AE217" i="18" s="1"/>
  <c r="AF219" i="18"/>
  <c r="W389" i="18"/>
  <c r="W257" i="18"/>
  <c r="AH260" i="18"/>
  <c r="R263" i="18"/>
  <c r="R309" i="18" s="1"/>
  <c r="R285" i="18"/>
  <c r="AC264" i="18"/>
  <c r="AF264" i="18"/>
  <c r="Z263" i="18"/>
  <c r="Z309" i="18" s="1"/>
  <c r="Z285" i="18"/>
  <c r="AH278" i="18"/>
  <c r="T298" i="18"/>
  <c r="AD303" i="18"/>
  <c r="AB289" i="18"/>
  <c r="AB283" i="18"/>
  <c r="T393" i="18"/>
  <c r="T320" i="18"/>
  <c r="AE326" i="18"/>
  <c r="AH327" i="18"/>
  <c r="R362" i="18"/>
  <c r="AA403" i="18"/>
  <c r="T221" i="18"/>
  <c r="AE228" i="18"/>
  <c r="AE214" i="18" s="1"/>
  <c r="S387" i="18"/>
  <c r="AH269" i="18"/>
  <c r="AI269" i="18" s="1"/>
  <c r="AE274" i="18"/>
  <c r="AE273" i="18" s="1"/>
  <c r="AG299" i="18"/>
  <c r="AC293" i="18"/>
  <c r="AH306" i="18"/>
  <c r="AI306" i="18" s="1"/>
  <c r="AG317" i="18"/>
  <c r="AI317" i="18" s="1"/>
  <c r="Z320" i="18"/>
  <c r="Z343" i="18"/>
  <c r="AF330" i="18"/>
  <c r="AH330" i="18" s="1"/>
  <c r="AD332" i="18"/>
  <c r="Z342" i="18"/>
  <c r="R340" i="18"/>
  <c r="Z340" i="18"/>
  <c r="AD342" i="18"/>
  <c r="AF349" i="18"/>
  <c r="Z344" i="18"/>
  <c r="AH351" i="18"/>
  <c r="AF350" i="18"/>
  <c r="S397" i="18"/>
  <c r="S370" i="18"/>
  <c r="W226" i="18"/>
  <c r="AE258" i="18"/>
  <c r="AE256" i="18" s="1"/>
  <c r="AE257" i="18" s="1"/>
  <c r="AC291" i="18"/>
  <c r="Q285" i="18"/>
  <c r="Y285" i="18"/>
  <c r="AF288" i="18"/>
  <c r="AG303" i="18"/>
  <c r="S309" i="18"/>
  <c r="AE319" i="18"/>
  <c r="AE320" i="18" s="1"/>
  <c r="X326" i="18"/>
  <c r="X340" i="18"/>
  <c r="T339" i="18"/>
  <c r="AF338" i="18"/>
  <c r="AD344" i="18"/>
  <c r="W363" i="18"/>
  <c r="AI361" i="18"/>
  <c r="AG371" i="18"/>
  <c r="W370" i="18"/>
  <c r="W397" i="18"/>
  <c r="AH373" i="18"/>
  <c r="T437" i="18"/>
  <c r="T436" i="18" s="1"/>
  <c r="AB436" i="18"/>
  <c r="AI456" i="18"/>
  <c r="AC195" i="18"/>
  <c r="Z196" i="18"/>
  <c r="U227" i="18"/>
  <c r="V387" i="18"/>
  <c r="W263" i="18"/>
  <c r="W309" i="18" s="1"/>
  <c r="U273" i="18"/>
  <c r="W284" i="18"/>
  <c r="W289" i="18"/>
  <c r="AE287" i="18"/>
  <c r="AH296" i="18"/>
  <c r="AH287" i="18" s="1"/>
  <c r="AH297" i="18"/>
  <c r="AH288" i="18" s="1"/>
  <c r="AG301" i="18"/>
  <c r="AH302" i="18"/>
  <c r="AH293" i="18" s="1"/>
  <c r="AH305" i="18"/>
  <c r="AH304" i="18" s="1"/>
  <c r="AG307" i="18"/>
  <c r="AI307" i="18" s="1"/>
  <c r="AC392" i="18"/>
  <c r="AD315" i="18"/>
  <c r="W319" i="18"/>
  <c r="S326" i="18"/>
  <c r="S339" i="18" s="1"/>
  <c r="AC327" i="18"/>
  <c r="AE330" i="18"/>
  <c r="AH332" i="18"/>
  <c r="AH335" i="18"/>
  <c r="AI335" i="18" s="1"/>
  <c r="AE332" i="18"/>
  <c r="AD345" i="18"/>
  <c r="W341" i="18"/>
  <c r="AC347" i="18"/>
  <c r="AC349" i="18"/>
  <c r="AI356" i="18"/>
  <c r="AI367" i="18"/>
  <c r="AH368" i="18"/>
  <c r="AI368" i="18" s="1"/>
  <c r="W436" i="18"/>
  <c r="AE388" i="18"/>
  <c r="AA285" i="18"/>
  <c r="AA283" i="18"/>
  <c r="AD286" i="18"/>
  <c r="Q289" i="18"/>
  <c r="AC298" i="18"/>
  <c r="AH290" i="18"/>
  <c r="AG302" i="18"/>
  <c r="AF303" i="18"/>
  <c r="AH303" i="18" s="1"/>
  <c r="R391" i="18"/>
  <c r="Z391" i="18"/>
  <c r="AF392" i="18"/>
  <c r="AE315" i="18"/>
  <c r="R320" i="18"/>
  <c r="AC322" i="18"/>
  <c r="AG322" i="18" s="1"/>
  <c r="AI322" i="18" s="1"/>
  <c r="Q319" i="18"/>
  <c r="U326" i="18"/>
  <c r="R326" i="18"/>
  <c r="R359" i="18" s="1"/>
  <c r="Z326" i="18"/>
  <c r="Z1062" i="18" s="1"/>
  <c r="AF340" i="18"/>
  <c r="AB397" i="18"/>
  <c r="AI417" i="18"/>
  <c r="AG455" i="18"/>
  <c r="AC452" i="18"/>
  <c r="AG464" i="18"/>
  <c r="AC463" i="18"/>
  <c r="AC462" i="18" s="1"/>
  <c r="AF252" i="18"/>
  <c r="U257" i="18"/>
  <c r="AD264" i="18"/>
  <c r="AD263" i="18" s="1"/>
  <c r="AH282" i="18"/>
  <c r="AI282" i="18" s="1"/>
  <c r="Z284" i="18"/>
  <c r="AD294" i="18"/>
  <c r="U320" i="18"/>
  <c r="AC321" i="18"/>
  <c r="AD328" i="18"/>
  <c r="AD326" i="18" s="1"/>
  <c r="AC329" i="18"/>
  <c r="AG329" i="18" s="1"/>
  <c r="AI329" i="18" s="1"/>
  <c r="AI336" i="18"/>
  <c r="AA339" i="18"/>
  <c r="AE345" i="18"/>
  <c r="AC346" i="18"/>
  <c r="U338" i="18"/>
  <c r="U343" i="18"/>
  <c r="AG348" i="18"/>
  <c r="AC343" i="18"/>
  <c r="AE344" i="18"/>
  <c r="AI354" i="18"/>
  <c r="AE372" i="18"/>
  <c r="AE369" i="18" s="1"/>
  <c r="AE370" i="18" s="1"/>
  <c r="AE373" i="18"/>
  <c r="Y391" i="18"/>
  <c r="V397" i="18"/>
  <c r="V395" i="18" s="1"/>
  <c r="AF476" i="18"/>
  <c r="AH478" i="18"/>
  <c r="AC228" i="18"/>
  <c r="Y387" i="18"/>
  <c r="Q256" i="18"/>
  <c r="AC274" i="18"/>
  <c r="Y283" i="18"/>
  <c r="S285" i="18"/>
  <c r="U285" i="18"/>
  <c r="AC294" i="18"/>
  <c r="AF292" i="18"/>
  <c r="AD392" i="18"/>
  <c r="T391" i="18"/>
  <c r="AG316" i="18"/>
  <c r="AH322" i="18"/>
  <c r="AH319" i="18" s="1"/>
  <c r="AH320" i="18" s="1"/>
  <c r="AG328" i="18"/>
  <c r="X338" i="18"/>
  <c r="AF341" i="18"/>
  <c r="AF343" i="18"/>
  <c r="AD350" i="18"/>
  <c r="U1069" i="18"/>
  <c r="U1066" i="18" s="1"/>
  <c r="U372" i="18"/>
  <c r="U350" i="18"/>
  <c r="AC350" i="18"/>
  <c r="U369" i="18"/>
  <c r="AI373" i="18"/>
  <c r="T420" i="18"/>
  <c r="AB420" i="18"/>
  <c r="R387" i="18"/>
  <c r="AF388" i="18"/>
  <c r="Z387" i="18"/>
  <c r="AI295" i="18"/>
  <c r="AI286" i="18" s="1"/>
  <c r="AE291" i="18"/>
  <c r="AH300" i="18"/>
  <c r="AH291" i="18" s="1"/>
  <c r="AF298" i="18"/>
  <c r="AH310" i="18"/>
  <c r="AI310" i="18" s="1"/>
  <c r="S312" i="18"/>
  <c r="S313" i="18" s="1"/>
  <c r="AB393" i="18"/>
  <c r="AB391" i="18" s="1"/>
  <c r="AB320" i="18"/>
  <c r="S319" i="18"/>
  <c r="AA319" i="18"/>
  <c r="AE328" i="18"/>
  <c r="AH328" i="18" s="1"/>
  <c r="AC330" i="18"/>
  <c r="AG330" i="18" s="1"/>
  <c r="AI330" i="18" s="1"/>
  <c r="AC332" i="18"/>
  <c r="AG333" i="18"/>
  <c r="V338" i="18"/>
  <c r="Q338" i="18"/>
  <c r="Q340" i="18"/>
  <c r="AC345" i="18"/>
  <c r="Y338" i="18"/>
  <c r="Y340" i="18"/>
  <c r="AH347" i="18"/>
  <c r="AH342" i="18" s="1"/>
  <c r="AF342" i="18"/>
  <c r="W339" i="18"/>
  <c r="AH352" i="18"/>
  <c r="W359" i="18"/>
  <c r="AI366" i="18"/>
  <c r="AG365" i="18"/>
  <c r="V393" i="18"/>
  <c r="Q403" i="18"/>
  <c r="AG412" i="18"/>
  <c r="AI413" i="18"/>
  <c r="AI412" i="18" s="1"/>
  <c r="AI416" i="18"/>
  <c r="AI415" i="18" s="1"/>
  <c r="AG415" i="18"/>
  <c r="AH316" i="18"/>
  <c r="AH315" i="18" s="1"/>
  <c r="T340" i="18"/>
  <c r="AB340" i="18"/>
  <c r="Q341" i="18"/>
  <c r="V342" i="18"/>
  <c r="T1066" i="18"/>
  <c r="AD1069" i="18"/>
  <c r="AD365" i="18"/>
  <c r="Z369" i="18"/>
  <c r="AF371" i="18"/>
  <c r="T404" i="18"/>
  <c r="T403" i="18" s="1"/>
  <c r="AB404" i="18"/>
  <c r="X420" i="18"/>
  <c r="X403" i="18" s="1"/>
  <c r="R427" i="18"/>
  <c r="R426" i="18" s="1"/>
  <c r="AH429" i="18"/>
  <c r="AE428" i="18"/>
  <c r="AH434" i="18"/>
  <c r="AH442" i="18"/>
  <c r="AH438" i="18" s="1"/>
  <c r="Z443" i="18"/>
  <c r="AG460" i="18"/>
  <c r="AI460" i="18" s="1"/>
  <c r="AE462" i="18"/>
  <c r="AG470" i="18"/>
  <c r="AG473" i="18"/>
  <c r="AC472" i="18"/>
  <c r="AG489" i="18"/>
  <c r="AI499" i="18"/>
  <c r="V518" i="18"/>
  <c r="W542" i="18"/>
  <c r="AG543" i="18"/>
  <c r="AI545" i="18"/>
  <c r="AF1063" i="18"/>
  <c r="AB338" i="18"/>
  <c r="AD352" i="18"/>
  <c r="AG352" i="18" s="1"/>
  <c r="AH365" i="18"/>
  <c r="T372" i="18"/>
  <c r="AF396" i="18"/>
  <c r="AE406" i="18"/>
  <c r="AE405" i="18" s="1"/>
  <c r="AF415" i="18"/>
  <c r="AD422" i="18"/>
  <c r="AD421" i="18" s="1"/>
  <c r="AD420" i="18" s="1"/>
  <c r="AD403" i="18" s="1"/>
  <c r="X437" i="18"/>
  <c r="U437" i="18"/>
  <c r="U436" i="18" s="1"/>
  <c r="AG475" i="18"/>
  <c r="AI475" i="18" s="1"/>
  <c r="AG477" i="18"/>
  <c r="AC476" i="18"/>
  <c r="AG483" i="18"/>
  <c r="AI483" i="18" s="1"/>
  <c r="Q488" i="18"/>
  <c r="Q487" i="18" s="1"/>
  <c r="AH547" i="18"/>
  <c r="AH546" i="18" s="1"/>
  <c r="R652" i="18"/>
  <c r="AC654" i="18"/>
  <c r="AF654" i="18"/>
  <c r="Z652" i="18"/>
  <c r="AE348" i="18"/>
  <c r="AE343" i="18" s="1"/>
  <c r="W1066" i="18"/>
  <c r="AE352" i="18"/>
  <c r="AE350" i="18" s="1"/>
  <c r="AC365" i="18"/>
  <c r="AF412" i="18"/>
  <c r="S436" i="18"/>
  <c r="AF446" i="18"/>
  <c r="AA445" i="18"/>
  <c r="AA444" i="18" s="1"/>
  <c r="AA443" i="18" s="1"/>
  <c r="AH489" i="18"/>
  <c r="AH515" i="18"/>
  <c r="AE512" i="18"/>
  <c r="AI578" i="18"/>
  <c r="AG432" i="18"/>
  <c r="AG440" i="18"/>
  <c r="T445" i="18"/>
  <c r="T444" i="18" s="1"/>
  <c r="T443" i="18" s="1"/>
  <c r="AD446" i="18"/>
  <c r="AD445" i="18" s="1"/>
  <c r="AD444" i="18" s="1"/>
  <c r="AD443" i="18" s="1"/>
  <c r="T461" i="18"/>
  <c r="AB461" i="18"/>
  <c r="AH512" i="18"/>
  <c r="R614" i="18"/>
  <c r="R236" i="18" s="1"/>
  <c r="R222" i="18" s="1"/>
  <c r="AC616" i="18"/>
  <c r="AF616" i="18"/>
  <c r="Z614" i="18"/>
  <c r="Z236" i="18" s="1"/>
  <c r="AE346" i="18"/>
  <c r="AE341" i="18" s="1"/>
  <c r="S350" i="18"/>
  <c r="S358" i="18" s="1"/>
  <c r="AA350" i="18"/>
  <c r="AA358" i="18" s="1"/>
  <c r="Q1069" i="18"/>
  <c r="Q372" i="18"/>
  <c r="AC372" i="18" s="1"/>
  <c r="Y1069" i="18"/>
  <c r="Y1066" i="18" s="1"/>
  <c r="Y372" i="18"/>
  <c r="AE396" i="18"/>
  <c r="AI408" i="18"/>
  <c r="AE411" i="18"/>
  <c r="AE410" i="18" s="1"/>
  <c r="U420" i="18"/>
  <c r="U403" i="18" s="1"/>
  <c r="AH430" i="18"/>
  <c r="AI430" i="18" s="1"/>
  <c r="AI434" i="18"/>
  <c r="AD437" i="18"/>
  <c r="W461" i="18"/>
  <c r="AC468" i="18"/>
  <c r="AC467" i="18" s="1"/>
  <c r="AI471" i="18"/>
  <c r="AH505" i="18"/>
  <c r="AH504" i="18" s="1"/>
  <c r="AF504" i="18"/>
  <c r="U519" i="18"/>
  <c r="U518" i="18" s="1"/>
  <c r="AI529" i="18"/>
  <c r="AI528" i="18" s="1"/>
  <c r="AG528" i="18"/>
  <c r="AE392" i="18"/>
  <c r="T350" i="18"/>
  <c r="T358" i="18" s="1"/>
  <c r="AB350" i="18"/>
  <c r="AB370" i="18" s="1"/>
  <c r="AF1069" i="18"/>
  <c r="AA372" i="18"/>
  <c r="AA369" i="18" s="1"/>
  <c r="R395" i="18"/>
  <c r="AE415" i="18"/>
  <c r="AF420" i="18"/>
  <c r="AH422" i="18"/>
  <c r="AH421" i="18" s="1"/>
  <c r="AG429" i="18"/>
  <c r="AE431" i="18"/>
  <c r="Q437" i="18"/>
  <c r="Q436" i="18" s="1"/>
  <c r="Y437" i="18"/>
  <c r="Y436" i="18" s="1"/>
  <c r="AE439" i="18"/>
  <c r="AE438" i="18" s="1"/>
  <c r="AE437" i="18" s="1"/>
  <c r="X461" i="18"/>
  <c r="AG465" i="18"/>
  <c r="AI465" i="18" s="1"/>
  <c r="V467" i="18"/>
  <c r="AI478" i="18"/>
  <c r="AI479" i="18"/>
  <c r="T487" i="18"/>
  <c r="AC488" i="18"/>
  <c r="AI494" i="18"/>
  <c r="AI493" i="18" s="1"/>
  <c r="AI492" i="18" s="1"/>
  <c r="AI505" i="18"/>
  <c r="AI504" i="18" s="1"/>
  <c r="AG504" i="18"/>
  <c r="AE1063" i="18"/>
  <c r="Y369" i="18"/>
  <c r="W395" i="18"/>
  <c r="AD396" i="18"/>
  <c r="AG396" i="18" s="1"/>
  <c r="AH406" i="18"/>
  <c r="AH405" i="18" s="1"/>
  <c r="AH404" i="18" s="1"/>
  <c r="AD461" i="18"/>
  <c r="AF467" i="18"/>
  <c r="AF461" i="18" s="1"/>
  <c r="AH471" i="18"/>
  <c r="AH469" i="18" s="1"/>
  <c r="AH468" i="18" s="1"/>
  <c r="AH467" i="18" s="1"/>
  <c r="AH461" i="18" s="1"/>
  <c r="AE469" i="18"/>
  <c r="AE468" i="18" s="1"/>
  <c r="AE467" i="18" s="1"/>
  <c r="AH492" i="18"/>
  <c r="AF524" i="18"/>
  <c r="AE542" i="18"/>
  <c r="AH481" i="18"/>
  <c r="AH480" i="18" s="1"/>
  <c r="AC497" i="18"/>
  <c r="AI515" i="18"/>
  <c r="AI521" i="18"/>
  <c r="AI520" i="18" s="1"/>
  <c r="AG520" i="18"/>
  <c r="AH528" i="18"/>
  <c r="AI533" i="18"/>
  <c r="AG532" i="18"/>
  <c r="AG551" i="18"/>
  <c r="AH564" i="18"/>
  <c r="AI564" i="18" s="1"/>
  <c r="AH570" i="18"/>
  <c r="AI592" i="18"/>
  <c r="AG591" i="18"/>
  <c r="AC446" i="18"/>
  <c r="AI482" i="18"/>
  <c r="AD489" i="18"/>
  <c r="AD488" i="18" s="1"/>
  <c r="AD487" i="18" s="1"/>
  <c r="T503" i="18"/>
  <c r="AB503" i="18"/>
  <c r="AB487" i="18" s="1"/>
  <c r="AI514" i="18"/>
  <c r="AI516" i="18"/>
  <c r="AI517" i="18"/>
  <c r="AF520" i="18"/>
  <c r="AE525" i="18"/>
  <c r="AE524" i="18" s="1"/>
  <c r="AE523" i="18" s="1"/>
  <c r="AE519" i="18" s="1"/>
  <c r="AE518" i="18" s="1"/>
  <c r="AF532" i="18"/>
  <c r="AG547" i="18"/>
  <c r="AG546" i="18" s="1"/>
  <c r="AI550" i="18"/>
  <c r="AI585" i="18"/>
  <c r="AD716" i="18"/>
  <c r="AG719" i="18"/>
  <c r="AI719" i="18" s="1"/>
  <c r="AH477" i="18"/>
  <c r="AH476" i="18" s="1"/>
  <c r="AE492" i="18"/>
  <c r="AG498" i="18"/>
  <c r="AE503" i="18"/>
  <c r="AD512" i="18"/>
  <c r="W519" i="18"/>
  <c r="W518" i="18" s="1"/>
  <c r="X523" i="18"/>
  <c r="X156" i="18" s="1"/>
  <c r="AF528" i="18"/>
  <c r="AI538" i="18"/>
  <c r="R546" i="18"/>
  <c r="Z546" i="18"/>
  <c r="AE546" i="18"/>
  <c r="AG555" i="18"/>
  <c r="AI581" i="18"/>
  <c r="AI586" i="18"/>
  <c r="AI593" i="18"/>
  <c r="AI617" i="18"/>
  <c r="AG702" i="18"/>
  <c r="AC701" i="18"/>
  <c r="AH491" i="18"/>
  <c r="AI491" i="18" s="1"/>
  <c r="AF489" i="18"/>
  <c r="AF488" i="18" s="1"/>
  <c r="AD519" i="18"/>
  <c r="AI522" i="18"/>
  <c r="Q524" i="18"/>
  <c r="AC525" i="18"/>
  <c r="AI534" i="18"/>
  <c r="AH544" i="18"/>
  <c r="AH543" i="18" s="1"/>
  <c r="AH542" i="18" s="1"/>
  <c r="AF543" i="18"/>
  <c r="AG584" i="18"/>
  <c r="AG583" i="18" s="1"/>
  <c r="T757" i="18"/>
  <c r="T1105" i="18" s="1"/>
  <c r="T1103" i="18" s="1"/>
  <c r="AD758" i="18"/>
  <c r="AI490" i="18"/>
  <c r="AG495" i="18"/>
  <c r="AI495" i="18" s="1"/>
  <c r="AI502" i="18"/>
  <c r="AG509" i="18"/>
  <c r="AC508" i="18"/>
  <c r="AC507" i="18" s="1"/>
  <c r="AH536" i="18"/>
  <c r="AI554" i="18"/>
  <c r="AI551" i="18" s="1"/>
  <c r="AI557" i="18"/>
  <c r="AI555" i="18" s="1"/>
  <c r="AD559" i="18"/>
  <c r="AD542" i="18" s="1"/>
  <c r="W567" i="18"/>
  <c r="AG569" i="18"/>
  <c r="AG568" i="18" s="1"/>
  <c r="AG567" i="18" s="1"/>
  <c r="AI575" i="18"/>
  <c r="AI741" i="18"/>
  <c r="AG739" i="18"/>
  <c r="AI484" i="18"/>
  <c r="R487" i="18"/>
  <c r="AE488" i="18"/>
  <c r="AE487" i="18" s="1"/>
  <c r="AH496" i="18"/>
  <c r="AI496" i="18" s="1"/>
  <c r="AH500" i="18"/>
  <c r="AI500" i="18" s="1"/>
  <c r="AD503" i="18"/>
  <c r="AG513" i="18"/>
  <c r="AC512" i="18"/>
  <c r="AC503" i="18" s="1"/>
  <c r="AH520" i="18"/>
  <c r="AH532" i="18"/>
  <c r="AI537" i="18"/>
  <c r="AI536" i="18" s="1"/>
  <c r="AG536" i="18"/>
  <c r="AI549" i="18"/>
  <c r="AI547" i="18" s="1"/>
  <c r="AG559" i="18"/>
  <c r="X567" i="18"/>
  <c r="AI579" i="18"/>
  <c r="AI576" i="18" s="1"/>
  <c r="AI601" i="18"/>
  <c r="W608" i="18"/>
  <c r="AE610" i="18"/>
  <c r="AC543" i="18"/>
  <c r="AE576" i="18"/>
  <c r="AE568" i="18" s="1"/>
  <c r="AE567" i="18" s="1"/>
  <c r="AF584" i="18"/>
  <c r="AD591" i="18"/>
  <c r="AD583" i="18" s="1"/>
  <c r="AD567" i="18" s="1"/>
  <c r="Q607" i="18"/>
  <c r="Q599" i="18" s="1"/>
  <c r="AF610" i="18"/>
  <c r="AE622" i="18"/>
  <c r="AE628" i="18"/>
  <c r="AE626" i="18" s="1"/>
  <c r="AI649" i="18"/>
  <c r="AG665" i="18"/>
  <c r="AC664" i="18"/>
  <c r="AG666" i="18"/>
  <c r="AH703" i="18"/>
  <c r="AH701" i="18" s="1"/>
  <c r="AF701" i="18"/>
  <c r="AH708" i="18"/>
  <c r="S723" i="18"/>
  <c r="S722" i="18" s="1"/>
  <c r="AG771" i="18"/>
  <c r="AH575" i="18"/>
  <c r="AI588" i="18"/>
  <c r="AH591" i="18"/>
  <c r="AI596" i="18"/>
  <c r="AH600" i="18"/>
  <c r="AI604" i="18"/>
  <c r="AH635" i="18"/>
  <c r="AI645" i="18"/>
  <c r="AG644" i="18"/>
  <c r="W658" i="18"/>
  <c r="W236" i="18" s="1"/>
  <c r="AE660" i="18"/>
  <c r="AE658" i="18" s="1"/>
  <c r="AE651" i="18" s="1"/>
  <c r="AH698" i="18"/>
  <c r="AH700" i="18"/>
  <c r="AG731" i="18"/>
  <c r="AC729" i="18"/>
  <c r="AB798" i="18"/>
  <c r="AF799" i="18"/>
  <c r="AF569" i="18"/>
  <c r="AF568" i="18" s="1"/>
  <c r="AI571" i="18"/>
  <c r="AH587" i="18"/>
  <c r="AI587" i="18" s="1"/>
  <c r="AC591" i="18"/>
  <c r="AC583" i="18" s="1"/>
  <c r="AC567" i="18" s="1"/>
  <c r="AH595" i="18"/>
  <c r="AI595" i="18" s="1"/>
  <c r="V599" i="18"/>
  <c r="AF600" i="18"/>
  <c r="AG602" i="18"/>
  <c r="AI602" i="18" s="1"/>
  <c r="V607" i="18"/>
  <c r="AC609" i="18"/>
  <c r="AC614" i="18"/>
  <c r="AC620" i="18"/>
  <c r="AD644" i="18"/>
  <c r="AI648" i="18"/>
  <c r="AG653" i="18"/>
  <c r="AH691" i="18"/>
  <c r="AG696" i="18"/>
  <c r="AI697" i="18"/>
  <c r="AG714" i="18"/>
  <c r="AI714" i="18" s="1"/>
  <c r="AI715" i="18"/>
  <c r="U762" i="18"/>
  <c r="U758" i="18"/>
  <c r="AG763" i="18"/>
  <c r="AH783" i="18"/>
  <c r="AH782" i="18" s="1"/>
  <c r="AE782" i="18"/>
  <c r="AC547" i="18"/>
  <c r="AC551" i="18"/>
  <c r="AC555" i="18"/>
  <c r="AC559" i="18"/>
  <c r="AG576" i="18"/>
  <c r="AD614" i="18"/>
  <c r="AD607" i="18" s="1"/>
  <c r="AI618" i="18"/>
  <c r="AD632" i="18"/>
  <c r="AI637" i="18"/>
  <c r="AE644" i="18"/>
  <c r="AD652" i="18"/>
  <c r="AD676" i="18"/>
  <c r="AI712" i="18"/>
  <c r="AG711" i="18"/>
  <c r="T772" i="18"/>
  <c r="AD774" i="18"/>
  <c r="AE584" i="18"/>
  <c r="AE583" i="18" s="1"/>
  <c r="AF591" i="18"/>
  <c r="Y607" i="18"/>
  <c r="Y599" i="18" s="1"/>
  <c r="Y598" i="18" s="1"/>
  <c r="AC610" i="18"/>
  <c r="AG610" i="18" s="1"/>
  <c r="S608" i="18"/>
  <c r="AD616" i="18"/>
  <c r="AG622" i="18"/>
  <c r="T651" i="18"/>
  <c r="T643" i="18" s="1"/>
  <c r="AH672" i="18"/>
  <c r="AH670" i="18" s="1"/>
  <c r="AF508" i="18"/>
  <c r="AF507" i="18" s="1"/>
  <c r="AF512" i="18"/>
  <c r="AH579" i="18"/>
  <c r="AH576" i="18" s="1"/>
  <c r="AG582" i="18"/>
  <c r="AI582" i="18" s="1"/>
  <c r="AD600" i="18"/>
  <c r="R620" i="18"/>
  <c r="R237" i="18" s="1"/>
  <c r="AG625" i="18"/>
  <c r="AI625" i="18" s="1"/>
  <c r="AC628" i="18"/>
  <c r="AG628" i="18" s="1"/>
  <c r="AE634" i="18"/>
  <c r="AH634" i="18" s="1"/>
  <c r="AH632" i="18" s="1"/>
  <c r="AF644" i="18"/>
  <c r="AH647" i="18"/>
  <c r="AI647" i="18" s="1"/>
  <c r="U651" i="18"/>
  <c r="U643" i="18" s="1"/>
  <c r="U598" i="18" s="1"/>
  <c r="AG682" i="18"/>
  <c r="AH696" i="18"/>
  <c r="T723" i="18"/>
  <c r="T722" i="18" s="1"/>
  <c r="AB723" i="18"/>
  <c r="AB722" i="18" s="1"/>
  <c r="AI725" i="18"/>
  <c r="AI724" i="18" s="1"/>
  <c r="AF547" i="18"/>
  <c r="AF546" i="18" s="1"/>
  <c r="AF551" i="18"/>
  <c r="AF555" i="18"/>
  <c r="AF559" i="18"/>
  <c r="AI589" i="18"/>
  <c r="AE600" i="18"/>
  <c r="AE608" i="18"/>
  <c r="AI615" i="18"/>
  <c r="AI621" i="18"/>
  <c r="AG620" i="18"/>
  <c r="AF626" i="18"/>
  <c r="AH627" i="18"/>
  <c r="AI635" i="18"/>
  <c r="AG638" i="18"/>
  <c r="AH638" i="18"/>
  <c r="AI646" i="18"/>
  <c r="AC634" i="18"/>
  <c r="AH662" i="18"/>
  <c r="AI662" i="18" s="1"/>
  <c r="AH682" i="18"/>
  <c r="AG692" i="18"/>
  <c r="AC691" i="18"/>
  <c r="AC690" i="18" s="1"/>
  <c r="AC689" i="18" s="1"/>
  <c r="AI709" i="18"/>
  <c r="AE711" i="18"/>
  <c r="AH715" i="18"/>
  <c r="AG717" i="18"/>
  <c r="AC716" i="18"/>
  <c r="AF729" i="18"/>
  <c r="AH729" i="18"/>
  <c r="AG734" i="18"/>
  <c r="AI735" i="18"/>
  <c r="AF739" i="18"/>
  <c r="AH748" i="18"/>
  <c r="AD749" i="18"/>
  <c r="T761" i="18"/>
  <c r="AB761" i="18"/>
  <c r="AB1021" i="18" s="1"/>
  <c r="AB1022" i="18" s="1"/>
  <c r="AF766" i="18"/>
  <c r="AH766" i="18" s="1"/>
  <c r="T626" i="18"/>
  <c r="T238" i="18" s="1"/>
  <c r="Z632" i="18"/>
  <c r="Z239" i="18" s="1"/>
  <c r="V652" i="18"/>
  <c r="AD664" i="18"/>
  <c r="Q670" i="18"/>
  <c r="Q238" i="18" s="1"/>
  <c r="Q234" i="18" s="1"/>
  <c r="AC672" i="18"/>
  <c r="Q676" i="18"/>
  <c r="Q239" i="18" s="1"/>
  <c r="AI694" i="18"/>
  <c r="AD690" i="18"/>
  <c r="AI699" i="18"/>
  <c r="AI700" i="18"/>
  <c r="AI705" i="18"/>
  <c r="AG706" i="18"/>
  <c r="AI708" i="18"/>
  <c r="AC711" i="18"/>
  <c r="AH717" i="18"/>
  <c r="AH719" i="18"/>
  <c r="X723" i="18"/>
  <c r="X722" i="18" s="1"/>
  <c r="AI733" i="18"/>
  <c r="AI747" i="18"/>
  <c r="X1103" i="18"/>
  <c r="V767" i="18"/>
  <c r="V758" i="18"/>
  <c r="AD768" i="18"/>
  <c r="AD767" i="18" s="1"/>
  <c r="U767" i="18"/>
  <c r="U761" i="18"/>
  <c r="U1021" i="18" s="1"/>
  <c r="U1022" i="18" s="1"/>
  <c r="AA772" i="18"/>
  <c r="AA758" i="18"/>
  <c r="W652" i="18"/>
  <c r="W651" i="18" s="1"/>
  <c r="W643" i="18" s="1"/>
  <c r="AI677" i="18"/>
  <c r="AG678" i="18"/>
  <c r="AI681" i="18"/>
  <c r="R690" i="18"/>
  <c r="R689" i="18" s="1"/>
  <c r="Z690" i="18"/>
  <c r="Z689" i="18" s="1"/>
  <c r="AE701" i="18"/>
  <c r="AE690" i="18" s="1"/>
  <c r="AE689" i="18" s="1"/>
  <c r="AG718" i="18"/>
  <c r="AI718" i="18" s="1"/>
  <c r="W722" i="18"/>
  <c r="AF734" i="18"/>
  <c r="AI746" i="18"/>
  <c r="AA767" i="18"/>
  <c r="AH665" i="18"/>
  <c r="AF664" i="18"/>
  <c r="AG667" i="18"/>
  <c r="AI667" i="18" s="1"/>
  <c r="AI679" i="18"/>
  <c r="AI685" i="18"/>
  <c r="S690" i="18"/>
  <c r="S689" i="18" s="1"/>
  <c r="AA690" i="18"/>
  <c r="AA689" i="18" s="1"/>
  <c r="AB711" i="18"/>
  <c r="AB331" i="18" s="1"/>
  <c r="AB344" i="18" s="1"/>
  <c r="AF713" i="18"/>
  <c r="AI720" i="18"/>
  <c r="AC724" i="18"/>
  <c r="AG745" i="18"/>
  <c r="AC744" i="18"/>
  <c r="Z1021" i="18"/>
  <c r="AF761" i="18"/>
  <c r="T759" i="18"/>
  <c r="AD759" i="18" s="1"/>
  <c r="AD764" i="18"/>
  <c r="AG764" i="18" s="1"/>
  <c r="AB759" i="18"/>
  <c r="AB757" i="18" s="1"/>
  <c r="AB1105" i="18" s="1"/>
  <c r="AB1103" i="18" s="1"/>
  <c r="W760" i="18"/>
  <c r="AE760" i="18" s="1"/>
  <c r="AE765" i="18"/>
  <c r="AH765" i="18" s="1"/>
  <c r="AD770" i="18"/>
  <c r="T760" i="18"/>
  <c r="T767" i="18"/>
  <c r="AB760" i="18"/>
  <c r="AB767" i="18"/>
  <c r="W761" i="18"/>
  <c r="AE771" i="18"/>
  <c r="AE772" i="18"/>
  <c r="AH902" i="18"/>
  <c r="AI902" i="18" s="1"/>
  <c r="AF900" i="18"/>
  <c r="T658" i="18"/>
  <c r="T236" i="18" s="1"/>
  <c r="T234" i="18" s="1"/>
  <c r="AD660" i="18"/>
  <c r="AD658" i="18" s="1"/>
  <c r="AB658" i="18"/>
  <c r="AB236" i="18" s="1"/>
  <c r="AB222" i="18" s="1"/>
  <c r="AF660" i="18"/>
  <c r="AH660" i="18" s="1"/>
  <c r="AH658" i="18" s="1"/>
  <c r="AI669" i="18"/>
  <c r="AH707" i="18"/>
  <c r="AH706" i="18" s="1"/>
  <c r="AF706" i="18"/>
  <c r="AH735" i="18"/>
  <c r="AH734" i="18" s="1"/>
  <c r="AE734" i="18"/>
  <c r="AE723" i="18" s="1"/>
  <c r="AE722" i="18" s="1"/>
  <c r="AI742" i="18"/>
  <c r="AH770" i="18"/>
  <c r="V772" i="18"/>
  <c r="AD773" i="18"/>
  <c r="AD772" i="18" s="1"/>
  <c r="AG776" i="18"/>
  <c r="AI776" i="18" s="1"/>
  <c r="Z792" i="18"/>
  <c r="AF835" i="18"/>
  <c r="AH838" i="18"/>
  <c r="AI838" i="18" s="1"/>
  <c r="AI835" i="18" s="1"/>
  <c r="AC658" i="18"/>
  <c r="AF666" i="18"/>
  <c r="AH666" i="18" s="1"/>
  <c r="Z664" i="18"/>
  <c r="Z237" i="18" s="1"/>
  <c r="AG671" i="18"/>
  <c r="AD670" i="18"/>
  <c r="AH678" i="18"/>
  <c r="AH676" i="18" s="1"/>
  <c r="V690" i="18"/>
  <c r="V689" i="18" s="1"/>
  <c r="AI695" i="18"/>
  <c r="AI698" i="18"/>
  <c r="AH718" i="18"/>
  <c r="AF716" i="18"/>
  <c r="AI751" i="18"/>
  <c r="V762" i="18"/>
  <c r="V759" i="18"/>
  <c r="S767" i="18"/>
  <c r="AC769" i="18"/>
  <c r="S759" i="18"/>
  <c r="AC759" i="18" s="1"/>
  <c r="AG759" i="18" s="1"/>
  <c r="U772" i="18"/>
  <c r="U760" i="18"/>
  <c r="AC794" i="18"/>
  <c r="AC793" i="18" s="1"/>
  <c r="S793" i="18"/>
  <c r="AA792" i="18"/>
  <c r="AG732" i="18"/>
  <c r="AI732" i="18" s="1"/>
  <c r="AC734" i="18"/>
  <c r="AH747" i="18"/>
  <c r="AG750" i="18"/>
  <c r="AH751" i="18"/>
  <c r="AC761" i="18"/>
  <c r="AD763" i="18"/>
  <c r="AD762" i="18" s="1"/>
  <c r="AG768" i="18"/>
  <c r="AH775" i="18"/>
  <c r="AI775" i="18" s="1"/>
  <c r="AH784" i="18"/>
  <c r="AI784" i="18" s="1"/>
  <c r="AC800" i="18"/>
  <c r="AC798" i="18" s="1"/>
  <c r="S809" i="18"/>
  <c r="AC810" i="18"/>
  <c r="AC809" i="18" s="1"/>
  <c r="AE763" i="18"/>
  <c r="AE764" i="18"/>
  <c r="Q767" i="18"/>
  <c r="AE768" i="18"/>
  <c r="W767" i="18"/>
  <c r="W759" i="18"/>
  <c r="AE774" i="18"/>
  <c r="AH774" i="18" s="1"/>
  <c r="AF793" i="18"/>
  <c r="AH794" i="18"/>
  <c r="AE798" i="18"/>
  <c r="AE792" i="18" s="1"/>
  <c r="AE804" i="18"/>
  <c r="AF807" i="18"/>
  <c r="AH807" i="18" s="1"/>
  <c r="AI807" i="18" s="1"/>
  <c r="AB804" i="18"/>
  <c r="AD809" i="18"/>
  <c r="AF865" i="18"/>
  <c r="AH866" i="18"/>
  <c r="AG900" i="18"/>
  <c r="AI736" i="18"/>
  <c r="AI740" i="18"/>
  <c r="AI739" i="18" s="1"/>
  <c r="AE744" i="18"/>
  <c r="AI748" i="18"/>
  <c r="AF749" i="18"/>
  <c r="AI752" i="18"/>
  <c r="AE758" i="18"/>
  <c r="AC765" i="18"/>
  <c r="AG765" i="18" s="1"/>
  <c r="Q760" i="18"/>
  <c r="AC760" i="18" s="1"/>
  <c r="AG766" i="18"/>
  <c r="AI766" i="18" s="1"/>
  <c r="AC1021" i="18"/>
  <c r="Q1022" i="18"/>
  <c r="AC1022" i="18" s="1"/>
  <c r="AG783" i="18"/>
  <c r="AD799" i="18"/>
  <c r="V798" i="18"/>
  <c r="V792" i="18" s="1"/>
  <c r="X798" i="18"/>
  <c r="X792" i="18" s="1"/>
  <c r="R804" i="18"/>
  <c r="R792" i="18" s="1"/>
  <c r="Z804" i="18"/>
  <c r="AD817" i="18"/>
  <c r="AG817" i="18" s="1"/>
  <c r="AC823" i="18"/>
  <c r="AI830" i="18"/>
  <c r="AI829" i="18" s="1"/>
  <c r="AH829" i="18"/>
  <c r="AG832" i="18"/>
  <c r="AG829" i="18" s="1"/>
  <c r="AD829" i="18"/>
  <c r="AG878" i="18"/>
  <c r="AG876" i="18" s="1"/>
  <c r="AD876" i="18"/>
  <c r="AG896" i="18"/>
  <c r="AG895" i="18" s="1"/>
  <c r="AD895" i="18"/>
  <c r="AH966" i="18"/>
  <c r="AI968" i="18"/>
  <c r="AI966" i="18" s="1"/>
  <c r="AF670" i="18"/>
  <c r="AF696" i="18"/>
  <c r="AD739" i="18"/>
  <c r="AD723" i="18" s="1"/>
  <c r="AD722" i="18" s="1"/>
  <c r="AH745" i="18"/>
  <c r="AH744" i="18" s="1"/>
  <c r="AC749" i="18"/>
  <c r="AH750" i="18"/>
  <c r="AG770" i="18"/>
  <c r="AI770" i="18" s="1"/>
  <c r="AF771" i="18"/>
  <c r="AH771" i="18" s="1"/>
  <c r="AC773" i="18"/>
  <c r="AC774" i="18"/>
  <c r="AG774" i="18" s="1"/>
  <c r="AG778" i="18"/>
  <c r="AD777" i="18"/>
  <c r="AD793" i="18"/>
  <c r="Q798" i="18"/>
  <c r="Q792" i="18" s="1"/>
  <c r="Y798" i="18"/>
  <c r="Y792" i="18" s="1"/>
  <c r="AE800" i="18"/>
  <c r="AC804" i="18"/>
  <c r="AF823" i="18"/>
  <c r="AF691" i="18"/>
  <c r="T762" i="18"/>
  <c r="Q758" i="18"/>
  <c r="Q762" i="18"/>
  <c r="Y758" i="18"/>
  <c r="Y762" i="18"/>
  <c r="AF764" i="18"/>
  <c r="Z759" i="18"/>
  <c r="AF759" i="18" s="1"/>
  <c r="S760" i="18"/>
  <c r="S762" i="18"/>
  <c r="AA760" i="18"/>
  <c r="AF760" i="18" s="1"/>
  <c r="AH760" i="18" s="1"/>
  <c r="AA762" i="18"/>
  <c r="R758" i="18"/>
  <c r="R767" i="18"/>
  <c r="Z758" i="18"/>
  <c r="Z767" i="18"/>
  <c r="AF769" i="18"/>
  <c r="AF773" i="18"/>
  <c r="AG780" i="18"/>
  <c r="AI780" i="18" s="1"/>
  <c r="AD815" i="18"/>
  <c r="AG816" i="18"/>
  <c r="AE815" i="18"/>
  <c r="AH778" i="18"/>
  <c r="AH777" i="18" s="1"/>
  <c r="AF777" i="18"/>
  <c r="AE810" i="18"/>
  <c r="AE809" i="18" s="1"/>
  <c r="Y809" i="18"/>
  <c r="AD824" i="18"/>
  <c r="AG825" i="18"/>
  <c r="AG824" i="18" s="1"/>
  <c r="AD853" i="18"/>
  <c r="AG883" i="18"/>
  <c r="AG889" i="18"/>
  <c r="AI786" i="18"/>
  <c r="AH804" i="18"/>
  <c r="AI805" i="18"/>
  <c r="AI804" i="18" s="1"/>
  <c r="AI826" i="18"/>
  <c r="AH824" i="18"/>
  <c r="R809" i="18"/>
  <c r="Z809" i="18"/>
  <c r="AE824" i="18"/>
  <c r="AE823" i="18" s="1"/>
  <c r="AI847" i="18"/>
  <c r="AI846" i="18" s="1"/>
  <c r="AH846" i="18"/>
  <c r="AC853" i="18"/>
  <c r="AH856" i="18"/>
  <c r="AI856" i="18" s="1"/>
  <c r="AF854" i="18"/>
  <c r="AH870" i="18"/>
  <c r="AI884" i="18"/>
  <c r="AE900" i="18"/>
  <c r="AF809" i="18"/>
  <c r="AH810" i="18"/>
  <c r="U809" i="18"/>
  <c r="U792" i="18" s="1"/>
  <c r="Q815" i="18"/>
  <c r="Y815" i="18"/>
  <c r="AC818" i="18"/>
  <c r="AC815" i="18" s="1"/>
  <c r="S815" i="18"/>
  <c r="AE854" i="18"/>
  <c r="AE853" i="18" s="1"/>
  <c r="AF889" i="18"/>
  <c r="AI900" i="18"/>
  <c r="AI907" i="18"/>
  <c r="AI906" i="18" s="1"/>
  <c r="AH906" i="18"/>
  <c r="AD804" i="18"/>
  <c r="AG805" i="18"/>
  <c r="AG804" i="18" s="1"/>
  <c r="AG860" i="18"/>
  <c r="AG859" i="18" s="1"/>
  <c r="AD859" i="18"/>
  <c r="AI890" i="18"/>
  <c r="AI889" i="18" s="1"/>
  <c r="AH889" i="18"/>
  <c r="AG892" i="18"/>
  <c r="AD889" i="18"/>
  <c r="AD883" i="18" s="1"/>
  <c r="AF895" i="18"/>
  <c r="AF883" i="18" s="1"/>
  <c r="AH898" i="18"/>
  <c r="AI898" i="18" s="1"/>
  <c r="AI895" i="18" s="1"/>
  <c r="AG906" i="18"/>
  <c r="AI961" i="18"/>
  <c r="AI960" i="18" s="1"/>
  <c r="AH960" i="18"/>
  <c r="AF804" i="18"/>
  <c r="AG810" i="18"/>
  <c r="AG809" i="18" s="1"/>
  <c r="V823" i="18"/>
  <c r="AI824" i="18"/>
  <c r="AH842" i="18"/>
  <c r="AI842" i="18" s="1"/>
  <c r="AI840" i="18" s="1"/>
  <c r="AF840" i="18"/>
  <c r="R853" i="18"/>
  <c r="Z853" i="18"/>
  <c r="AI854" i="18"/>
  <c r="Q883" i="18"/>
  <c r="Y883" i="18"/>
  <c r="AE883" i="18"/>
  <c r="AC889" i="18"/>
  <c r="AC883" i="18" s="1"/>
  <c r="AG1003" i="18"/>
  <c r="AG997" i="18" s="1"/>
  <c r="AG985" i="18"/>
  <c r="X809" i="18"/>
  <c r="AF815" i="18"/>
  <c r="AH816" i="18"/>
  <c r="AG836" i="18"/>
  <c r="AG835" i="18" s="1"/>
  <c r="AD835" i="18"/>
  <c r="AG840" i="18"/>
  <c r="AH860" i="18"/>
  <c r="AF859" i="18"/>
  <c r="AG870" i="18"/>
  <c r="AE895" i="18"/>
  <c r="AD900" i="18"/>
  <c r="AC919" i="18"/>
  <c r="AC913" i="18" s="1"/>
  <c r="AI926" i="18"/>
  <c r="AI925" i="18" s="1"/>
  <c r="AF925" i="18"/>
  <c r="AH928" i="18"/>
  <c r="AI928" i="18" s="1"/>
  <c r="AI937" i="18"/>
  <c r="AI936" i="18" s="1"/>
  <c r="AH936" i="18"/>
  <c r="AE943" i="18"/>
  <c r="AI956" i="18"/>
  <c r="AI955" i="18" s="1"/>
  <c r="AH955" i="18"/>
  <c r="U997" i="18"/>
  <c r="AC997" i="18"/>
  <c r="AI1042" i="18"/>
  <c r="AI1055" i="18"/>
  <c r="V804" i="18"/>
  <c r="AE919" i="18"/>
  <c r="AG949" i="18"/>
  <c r="AG943" i="18" s="1"/>
  <c r="AG966" i="18"/>
  <c r="AH998" i="18"/>
  <c r="AH997" i="18" s="1"/>
  <c r="AI986" i="18"/>
  <c r="AH985" i="18"/>
  <c r="AI990" i="18"/>
  <c r="AI989" i="18" s="1"/>
  <c r="AH989" i="18"/>
  <c r="AH978" i="18"/>
  <c r="AI994" i="18"/>
  <c r="AI978" i="18" s="1"/>
  <c r="AI1047" i="18"/>
  <c r="AE925" i="18"/>
  <c r="AD930" i="18"/>
  <c r="AI1011" i="18"/>
  <c r="AH1039" i="18"/>
  <c r="AG919" i="18"/>
  <c r="AG913" i="18" s="1"/>
  <c r="AC943" i="18"/>
  <c r="AH950" i="18"/>
  <c r="AF949" i="18"/>
  <c r="AD975" i="18"/>
  <c r="AE979" i="18"/>
  <c r="AE976" i="18"/>
  <c r="AE975" i="18" s="1"/>
  <c r="AI1039" i="18"/>
  <c r="Y804" i="18"/>
  <c r="AH840" i="18"/>
  <c r="AF876" i="18"/>
  <c r="AH900" i="18"/>
  <c r="AH914" i="18"/>
  <c r="AG930" i="18"/>
  <c r="V943" i="18"/>
  <c r="AD944" i="18"/>
  <c r="AD943" i="18" s="1"/>
  <c r="AI992" i="18"/>
  <c r="AI1056" i="18"/>
  <c r="AH835" i="18"/>
  <c r="AG926" i="18"/>
  <c r="AG925" i="18" s="1"/>
  <c r="AD925" i="18"/>
  <c r="AH946" i="18"/>
  <c r="AF944" i="18"/>
  <c r="AF943" i="18" s="1"/>
  <c r="R979" i="18"/>
  <c r="R976" i="18"/>
  <c r="R975" i="18" s="1"/>
  <c r="AB979" i="18"/>
  <c r="AB976" i="18"/>
  <c r="AB975" i="18" s="1"/>
  <c r="AF980" i="18"/>
  <c r="S1002" i="18"/>
  <c r="AC1002" i="18" s="1"/>
  <c r="AA1002" i="18"/>
  <c r="AI1010" i="18"/>
  <c r="AI1045" i="18"/>
  <c r="AI1050" i="18"/>
  <c r="AF919" i="18"/>
  <c r="AF913" i="18" s="1"/>
  <c r="AH924" i="18"/>
  <c r="AI924" i="18" s="1"/>
  <c r="AI919" i="18" s="1"/>
  <c r="AI913" i="18" s="1"/>
  <c r="AI931" i="18"/>
  <c r="AI930" i="18" s="1"/>
  <c r="AH930" i="18"/>
  <c r="AG979" i="18"/>
  <c r="AG976" i="18"/>
  <c r="AG975" i="18" s="1"/>
  <c r="T997" i="18"/>
  <c r="T1002" i="18"/>
  <c r="AB997" i="18"/>
  <c r="AB1002" i="18"/>
  <c r="AF1002" i="18" s="1"/>
  <c r="AH1002" i="18" s="1"/>
  <c r="AI1002" i="18" s="1"/>
  <c r="AC980" i="18"/>
  <c r="AH992" i="18"/>
  <c r="R1066" i="18"/>
  <c r="AF1068" i="18"/>
  <c r="AH1068" i="18" s="1"/>
  <c r="AI1068" i="18" s="1"/>
  <c r="Z1066" i="18"/>
  <c r="X1083" i="18"/>
  <c r="AI1089" i="18"/>
  <c r="AF930" i="18"/>
  <c r="AD966" i="18"/>
  <c r="AE998" i="18"/>
  <c r="AE997" i="18" s="1"/>
  <c r="AG1090" i="18"/>
  <c r="AD919" i="18"/>
  <c r="AD913" i="18" s="1"/>
  <c r="AG964" i="18"/>
  <c r="AG960" i="18" s="1"/>
  <c r="AG981" i="18"/>
  <c r="AG978" i="18" s="1"/>
  <c r="AF1082" i="18"/>
  <c r="AG1085" i="18"/>
  <c r="AI1085" i="18" s="1"/>
  <c r="S976" i="18"/>
  <c r="S975" i="18" s="1"/>
  <c r="AD985" i="18"/>
  <c r="U1002" i="18"/>
  <c r="AH1090" i="18"/>
  <c r="V1002" i="18"/>
  <c r="AD1002" i="18" s="1"/>
  <c r="AG1002" i="18" s="1"/>
  <c r="AG1074" i="18"/>
  <c r="AG1086" i="18"/>
  <c r="AI1086" i="18" s="1"/>
  <c r="AH1084" i="18"/>
  <c r="AI1084" i="18" s="1"/>
  <c r="AH1089" i="18"/>
  <c r="U1082" i="18"/>
  <c r="AC1082" i="18"/>
  <c r="AE1082" i="18"/>
  <c r="C1103" i="2"/>
  <c r="C1102" i="2"/>
  <c r="C1101" i="2"/>
  <c r="C1100" i="2"/>
  <c r="C1099" i="2"/>
  <c r="C1098" i="2"/>
  <c r="C1097" i="2"/>
  <c r="C1096" i="2"/>
  <c r="C1095" i="2"/>
  <c r="C1094" i="2"/>
  <c r="C1093" i="2"/>
  <c r="C1092" i="2"/>
  <c r="C1091" i="2"/>
  <c r="C1090" i="2"/>
  <c r="C1089" i="2"/>
  <c r="C1088" i="2"/>
  <c r="C1087" i="2"/>
  <c r="C1086" i="2"/>
  <c r="C1085" i="2"/>
  <c r="C1084" i="2"/>
  <c r="C1083" i="2"/>
  <c r="C1082" i="2"/>
  <c r="C1081" i="2"/>
  <c r="C1080" i="2"/>
  <c r="C1079" i="2"/>
  <c r="C1078" i="2"/>
  <c r="C1077" i="2"/>
  <c r="C1076" i="2"/>
  <c r="C1075" i="2"/>
  <c r="C1074" i="2"/>
  <c r="C1073" i="2"/>
  <c r="C1072" i="2"/>
  <c r="C1071" i="2"/>
  <c r="C1070" i="2"/>
  <c r="C1069" i="2"/>
  <c r="C1068" i="2"/>
  <c r="C1067" i="2"/>
  <c r="C1066" i="2"/>
  <c r="C1065" i="2"/>
  <c r="C1064" i="2"/>
  <c r="C1063" i="2"/>
  <c r="C1062" i="2"/>
  <c r="C1061" i="2"/>
  <c r="C1060" i="2"/>
  <c r="C1059" i="2"/>
  <c r="C1058" i="2"/>
  <c r="C1057" i="2"/>
  <c r="C1056" i="2"/>
  <c r="C1055" i="2"/>
  <c r="C1054" i="2"/>
  <c r="C1053" i="2"/>
  <c r="C1052" i="2"/>
  <c r="C1051" i="2"/>
  <c r="C1050" i="2"/>
  <c r="C1049" i="2"/>
  <c r="C1048" i="2"/>
  <c r="C1047" i="2"/>
  <c r="C1046" i="2"/>
  <c r="C1045" i="2"/>
  <c r="C1044" i="2"/>
  <c r="C1043" i="2"/>
  <c r="C1042" i="2"/>
  <c r="C1041" i="2"/>
  <c r="C1040" i="2"/>
  <c r="C1039" i="2"/>
  <c r="C1038" i="2"/>
  <c r="C1037" i="2"/>
  <c r="C1036" i="2"/>
  <c r="C1035" i="2"/>
  <c r="C1034" i="2"/>
  <c r="C1033" i="2"/>
  <c r="C1032" i="2"/>
  <c r="C1031" i="2"/>
  <c r="C1030" i="2"/>
  <c r="C1029" i="2"/>
  <c r="C1028" i="2"/>
  <c r="C1027" i="2"/>
  <c r="C1026" i="2"/>
  <c r="C1025" i="2"/>
  <c r="C1024" i="2"/>
  <c r="C1023" i="2"/>
  <c r="C1022" i="2"/>
  <c r="C1021" i="2"/>
  <c r="C1020" i="2"/>
  <c r="C1019" i="2"/>
  <c r="C1018" i="2"/>
  <c r="C1017" i="2"/>
  <c r="C1016" i="2"/>
  <c r="C1015" i="2"/>
  <c r="C1014" i="2"/>
  <c r="C1013" i="2"/>
  <c r="C1012" i="2"/>
  <c r="C1011" i="2"/>
  <c r="C1010" i="2"/>
  <c r="C1009" i="2"/>
  <c r="C1008" i="2"/>
  <c r="C1007" i="2"/>
  <c r="C1006" i="2"/>
  <c r="C1005" i="2"/>
  <c r="C1004" i="2"/>
  <c r="C1003" i="2"/>
  <c r="C1002" i="2"/>
  <c r="C1001" i="2"/>
  <c r="C1000" i="2"/>
  <c r="C999" i="2"/>
  <c r="C998" i="2"/>
  <c r="C997" i="2"/>
  <c r="C996" i="2"/>
  <c r="C995" i="2"/>
  <c r="C994" i="2"/>
  <c r="C993" i="2"/>
  <c r="C992" i="2"/>
  <c r="C991" i="2"/>
  <c r="C990" i="2"/>
  <c r="C989" i="2"/>
  <c r="C988" i="2"/>
  <c r="C987" i="2"/>
  <c r="C986" i="2"/>
  <c r="C985" i="2"/>
  <c r="C984" i="2"/>
  <c r="C983" i="2"/>
  <c r="C982" i="2"/>
  <c r="C981" i="2"/>
  <c r="C980" i="2"/>
  <c r="C979" i="2"/>
  <c r="C978" i="2"/>
  <c r="C977" i="2"/>
  <c r="C976" i="2"/>
  <c r="C975" i="2"/>
  <c r="C974" i="2"/>
  <c r="C973" i="2"/>
  <c r="C972" i="2"/>
  <c r="C971" i="2"/>
  <c r="C970" i="2"/>
  <c r="C969" i="2"/>
  <c r="C968" i="2"/>
  <c r="C967" i="2"/>
  <c r="C966" i="2"/>
  <c r="C965" i="2"/>
  <c r="C964" i="2"/>
  <c r="C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20" i="2"/>
  <c r="C919" i="2"/>
  <c r="C918" i="2"/>
  <c r="C917" i="2"/>
  <c r="C916" i="2"/>
  <c r="C915" i="2"/>
  <c r="C914" i="2"/>
  <c r="C913" i="2"/>
  <c r="C912" i="2"/>
  <c r="C911" i="2"/>
  <c r="C910" i="2"/>
  <c r="C909" i="2"/>
  <c r="C908" i="2"/>
  <c r="C907" i="2"/>
  <c r="C906" i="2"/>
  <c r="C905" i="2"/>
  <c r="C904" i="2"/>
  <c r="C903" i="2"/>
  <c r="C902"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5" i="2"/>
  <c r="C844" i="2"/>
  <c r="C843" i="2"/>
  <c r="C842" i="2"/>
  <c r="C841" i="2"/>
  <c r="C840" i="2"/>
  <c r="C839" i="2"/>
  <c r="C838" i="2"/>
  <c r="C837" i="2"/>
  <c r="C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7"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70" i="2"/>
  <c r="C769" i="2"/>
  <c r="C768" i="2"/>
  <c r="C767" i="2"/>
  <c r="C766" i="2"/>
  <c r="C765" i="2"/>
  <c r="C764" i="2"/>
  <c r="C763" i="2"/>
  <c r="C762" i="2"/>
  <c r="C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81" i="2"/>
  <c r="C680" i="2"/>
  <c r="C679" i="2"/>
  <c r="C678" i="2"/>
  <c r="C677" i="2"/>
  <c r="C676" i="2"/>
  <c r="C675" i="2"/>
  <c r="C674" i="2"/>
  <c r="C673" i="2"/>
  <c r="C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7" i="2"/>
  <c r="C636" i="2"/>
  <c r="C635" i="2"/>
  <c r="C634" i="2"/>
  <c r="C633" i="2"/>
  <c r="C632" i="2"/>
  <c r="C631" i="2"/>
  <c r="C630" i="2"/>
  <c r="C629" i="2"/>
  <c r="C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601" i="2"/>
  <c r="C600" i="2"/>
  <c r="C599" i="2"/>
  <c r="C598" i="2"/>
  <c r="C597" i="2"/>
  <c r="C596" i="2"/>
  <c r="C595" i="2"/>
  <c r="C594" i="2"/>
  <c r="C593" i="2"/>
  <c r="C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2" i="2"/>
  <c r="C541" i="2"/>
  <c r="C540" i="2"/>
  <c r="C539" i="2"/>
  <c r="C538" i="2"/>
  <c r="C537" i="2"/>
  <c r="C536" i="2"/>
  <c r="C535" i="2"/>
  <c r="C534" i="2"/>
  <c r="C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2" i="2"/>
  <c r="C501" i="2"/>
  <c r="C500" i="2"/>
  <c r="C499" i="2"/>
  <c r="C498" i="2"/>
  <c r="C497" i="2"/>
  <c r="C496" i="2"/>
  <c r="C495" i="2"/>
  <c r="C494" i="2"/>
  <c r="C493" i="2"/>
  <c r="C492" i="2"/>
  <c r="C491" i="2"/>
  <c r="C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6" i="2"/>
  <c r="C455" i="2"/>
  <c r="C454" i="2"/>
  <c r="C453" i="2"/>
  <c r="C452" i="2"/>
  <c r="C451" i="2"/>
  <c r="C450" i="2"/>
  <c r="C449" i="2"/>
  <c r="C448" i="2"/>
  <c r="C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10" i="2"/>
  <c r="C409" i="2"/>
  <c r="C408" i="2"/>
  <c r="C407" i="2"/>
  <c r="C406" i="2"/>
  <c r="C405" i="2"/>
  <c r="C404" i="2"/>
  <c r="C403" i="2"/>
  <c r="C402" i="2"/>
  <c r="C401" i="2"/>
  <c r="C400" i="2"/>
  <c r="C399" i="2"/>
  <c r="C398" i="2"/>
  <c r="C397" i="2"/>
  <c r="C396" i="2"/>
  <c r="C395" i="2"/>
  <c r="C394" i="2"/>
  <c r="C393" i="2"/>
  <c r="C392" i="2"/>
  <c r="C391" i="2"/>
  <c r="C390" i="2"/>
  <c r="C389" i="2"/>
  <c r="C388" i="2"/>
  <c r="C387" i="2"/>
  <c r="C386" i="2"/>
  <c r="C384" i="2"/>
  <c r="C383" i="2"/>
  <c r="C382" i="2"/>
  <c r="C380" i="2"/>
  <c r="C379" i="2"/>
  <c r="C378" i="2"/>
  <c r="C377" i="2"/>
  <c r="C376" i="2"/>
  <c r="C375" i="2"/>
  <c r="C374" i="2"/>
  <c r="C373" i="2"/>
  <c r="C372" i="2"/>
  <c r="C371" i="2"/>
  <c r="C370" i="2"/>
  <c r="C369" i="2"/>
  <c r="C368" i="2"/>
  <c r="C367" i="2"/>
  <c r="C366" i="2"/>
  <c r="C365" i="2"/>
  <c r="C364" i="2"/>
  <c r="C363" i="2"/>
  <c r="C362" i="2"/>
  <c r="C361" i="2"/>
  <c r="C360" i="2"/>
  <c r="C359" i="2"/>
  <c r="C358" i="2"/>
  <c r="C357" i="2"/>
  <c r="C356" i="2"/>
  <c r="C355" i="2"/>
  <c r="C354" i="2"/>
  <c r="C353" i="2"/>
  <c r="C352" i="2"/>
  <c r="C351" i="2"/>
  <c r="C350" i="2"/>
  <c r="C349" i="2"/>
  <c r="C348" i="2"/>
  <c r="C347" i="2"/>
  <c r="C346" i="2"/>
  <c r="C345" i="2"/>
  <c r="C344" i="2"/>
  <c r="C343" i="2"/>
  <c r="C342" i="2"/>
  <c r="C341" i="2"/>
  <c r="C340" i="2"/>
  <c r="C339" i="2"/>
  <c r="C338" i="2"/>
  <c r="C337" i="2"/>
  <c r="C336" i="2"/>
  <c r="C335" i="2"/>
  <c r="C334" i="2"/>
  <c r="C333" i="2"/>
  <c r="C332" i="2"/>
  <c r="C331" i="2"/>
  <c r="C330" i="2"/>
  <c r="C329" i="2"/>
  <c r="C328" i="2"/>
  <c r="C327" i="2"/>
  <c r="C326" i="2"/>
  <c r="C325" i="2"/>
  <c r="C324" i="2"/>
  <c r="C323" i="2"/>
  <c r="C322" i="2"/>
  <c r="C321" i="2"/>
  <c r="C320" i="2"/>
  <c r="C319" i="2"/>
  <c r="C318" i="2"/>
  <c r="C317" i="2"/>
  <c r="C316" i="2"/>
  <c r="C315" i="2"/>
  <c r="C314" i="2"/>
  <c r="C313" i="2"/>
  <c r="C312" i="2"/>
  <c r="C311" i="2"/>
  <c r="C310" i="2"/>
  <c r="C309" i="2"/>
  <c r="C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3" i="2"/>
  <c r="C272" i="2"/>
  <c r="C271" i="2"/>
  <c r="C270" i="2"/>
  <c r="C269" i="2"/>
  <c r="C268" i="2"/>
  <c r="C267" i="2"/>
  <c r="C266" i="2"/>
  <c r="C265" i="2"/>
  <c r="C264" i="2"/>
  <c r="C263" i="2"/>
  <c r="C262" i="2"/>
  <c r="C261" i="2"/>
  <c r="C260" i="2"/>
  <c r="C259" i="2"/>
  <c r="C258" i="2"/>
  <c r="C257" i="2"/>
  <c r="C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4" i="2"/>
  <c r="C223" i="2"/>
  <c r="C222" i="2"/>
  <c r="C221" i="2"/>
  <c r="C220" i="2"/>
  <c r="C219" i="2"/>
  <c r="C218" i="2"/>
  <c r="C217" i="2"/>
  <c r="C216" i="2"/>
  <c r="C215" i="2"/>
  <c r="C214" i="2"/>
  <c r="C213" i="2"/>
  <c r="C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9" i="2"/>
  <c r="C168" i="2"/>
  <c r="C167" i="2"/>
  <c r="C166" i="2"/>
  <c r="C165" i="2"/>
  <c r="C164" i="2"/>
  <c r="C163" i="2"/>
  <c r="C162" i="2"/>
  <c r="C161" i="2"/>
  <c r="C160" i="2"/>
  <c r="C159" i="2"/>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2" i="2"/>
  <c r="C21" i="2"/>
  <c r="C20" i="2"/>
  <c r="C19" i="2"/>
  <c r="C18" i="2"/>
  <c r="C17" i="2"/>
  <c r="C16" i="2"/>
  <c r="C15" i="2"/>
  <c r="C14" i="2"/>
  <c r="A372" i="2"/>
  <c r="A371" i="2"/>
  <c r="A78" i="2"/>
  <c r="A77" i="2"/>
  <c r="A76" i="2"/>
  <c r="A75" i="2"/>
  <c r="A74" i="2"/>
  <c r="A73" i="2"/>
  <c r="A72" i="2"/>
  <c r="A71" i="2"/>
  <c r="A70" i="2"/>
  <c r="A69" i="2"/>
  <c r="A68" i="2"/>
  <c r="A67" i="2"/>
  <c r="A66" i="2"/>
  <c r="A65" i="2"/>
  <c r="A64" i="2"/>
  <c r="A63" i="2"/>
  <c r="A62" i="2"/>
  <c r="A61" i="2"/>
  <c r="A60" i="2"/>
  <c r="A59" i="2"/>
  <c r="A58" i="2"/>
  <c r="A57" i="2"/>
  <c r="A56" i="2"/>
  <c r="A55" i="2"/>
  <c r="A54" i="2"/>
  <c r="A53" i="2"/>
  <c r="A52" i="2"/>
  <c r="A51" i="2"/>
  <c r="A50" i="2"/>
  <c r="A49" i="2"/>
  <c r="A48" i="2"/>
  <c r="A47" i="2"/>
  <c r="A46" i="2"/>
  <c r="A45" i="2"/>
  <c r="A44" i="2"/>
  <c r="A43" i="2"/>
  <c r="A42" i="2"/>
  <c r="A41" i="2"/>
  <c r="A40" i="2"/>
  <c r="A39" i="2"/>
  <c r="A38" i="2"/>
  <c r="A37" i="2"/>
  <c r="A36" i="2"/>
  <c r="A35" i="2"/>
  <c r="A34" i="2"/>
  <c r="A33" i="2"/>
  <c r="A32" i="2"/>
  <c r="A31" i="2"/>
  <c r="A30" i="2"/>
  <c r="A29" i="2"/>
  <c r="A28" i="2"/>
  <c r="A27" i="2"/>
  <c r="A26" i="2"/>
  <c r="A25" i="2"/>
  <c r="A24" i="2"/>
  <c r="A23" i="2"/>
  <c r="A22" i="2"/>
  <c r="A21" i="2"/>
  <c r="A20" i="2"/>
  <c r="A19" i="2"/>
  <c r="A18" i="2"/>
  <c r="A17" i="2"/>
  <c r="A16" i="2"/>
  <c r="A15" i="2"/>
  <c r="A14" i="2"/>
  <c r="A833" i="2"/>
  <c r="A834" i="2" s="1"/>
  <c r="A835" i="2" s="1"/>
  <c r="A836" i="2" s="1"/>
  <c r="A837" i="2" s="1"/>
  <c r="A838" i="2" s="1"/>
  <c r="A844" i="2" s="1"/>
  <c r="A827" i="2"/>
  <c r="A828" i="2" s="1"/>
  <c r="A829" i="2" s="1"/>
  <c r="A796" i="2"/>
  <c r="A797" i="2" s="1"/>
  <c r="A798" i="2" s="1"/>
  <c r="A799" i="2" s="1"/>
  <c r="A800" i="2" s="1"/>
  <c r="A801" i="2" s="1"/>
  <c r="A802" i="2" s="1"/>
  <c r="A803" i="2" s="1"/>
  <c r="A804" i="2" s="1"/>
  <c r="A805" i="2" s="1"/>
  <c r="A806" i="2" s="1"/>
  <c r="A807" i="2" s="1"/>
  <c r="A808" i="2" s="1"/>
  <c r="A809" i="2" s="1"/>
  <c r="A810" i="2" s="1"/>
  <c r="A811" i="2" s="1"/>
  <c r="A812" i="2" s="1"/>
  <c r="A813" i="2" s="1"/>
  <c r="A814" i="2" s="1"/>
  <c r="A794" i="2"/>
  <c r="A788" i="2"/>
  <c r="A789" i="2" s="1"/>
  <c r="A790" i="2" s="1"/>
  <c r="A757" i="2"/>
  <c r="A758" i="2" s="1"/>
  <c r="A759" i="2" s="1"/>
  <c r="A760" i="2" s="1"/>
  <c r="A761" i="2" s="1"/>
  <c r="A762" i="2" s="1"/>
  <c r="A763" i="2" s="1"/>
  <c r="A764" i="2" s="1"/>
  <c r="A765" i="2" s="1"/>
  <c r="A766" i="2" s="1"/>
  <c r="A767" i="2" s="1"/>
  <c r="A768" i="2" s="1"/>
  <c r="A769" i="2" s="1"/>
  <c r="A770" i="2" s="1"/>
  <c r="A771" i="2" s="1"/>
  <c r="A772" i="2" s="1"/>
  <c r="A773" i="2" s="1"/>
  <c r="A774" i="2" s="1"/>
  <c r="A775" i="2" s="1"/>
  <c r="A545" i="2"/>
  <c r="A546" i="2" s="1"/>
  <c r="A547" i="2" s="1"/>
  <c r="A548" i="2" s="1"/>
  <c r="A538" i="2"/>
  <c r="A539" i="2" s="1"/>
  <c r="A540" i="2" s="1"/>
  <c r="A541" i="2" s="1"/>
  <c r="A390" i="2"/>
  <c r="A391" i="2" s="1"/>
  <c r="A392" i="2" s="1"/>
  <c r="A393" i="2" s="1"/>
  <c r="A394" i="2" s="1"/>
  <c r="A395" i="2" s="1"/>
  <c r="A396" i="2" s="1"/>
  <c r="A405" i="2" s="1"/>
  <c r="A406"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2" i="2" s="1"/>
  <c r="A443" i="2" s="1"/>
  <c r="A444" i="2" s="1"/>
  <c r="A445" i="2" s="1"/>
  <c r="A446" i="2" s="1"/>
  <c r="A447" i="2" s="1"/>
  <c r="A448" i="2" s="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1" i="2" s="1"/>
  <c r="A482" i="2" s="1"/>
  <c r="A483" i="2" s="1"/>
  <c r="A484" i="2" s="1"/>
  <c r="A485" i="2" s="1"/>
  <c r="A486" i="2" s="1"/>
  <c r="A487" i="2" s="1"/>
  <c r="A488" i="2" s="1"/>
  <c r="A489" i="2" s="1"/>
  <c r="A490" i="2" s="1"/>
  <c r="A491" i="2" s="1"/>
  <c r="A492" i="2" s="1"/>
  <c r="A493" i="2" s="1"/>
  <c r="A494" i="2" s="1"/>
  <c r="A495" i="2" s="1"/>
  <c r="A496" i="2" s="1"/>
  <c r="A497" i="2" s="1"/>
  <c r="A498" i="2" s="1"/>
  <c r="A499" i="2" s="1"/>
  <c r="A500" i="2" s="1"/>
  <c r="A501" i="2" s="1"/>
  <c r="A502" i="2" s="1"/>
  <c r="A503" i="2" s="1"/>
  <c r="A504" i="2" s="1"/>
  <c r="A505" i="2" s="1"/>
  <c r="A506" i="2" s="1"/>
  <c r="A507" i="2" s="1"/>
  <c r="A508" i="2" s="1"/>
  <c r="A509" i="2" s="1"/>
  <c r="A510" i="2" s="1"/>
  <c r="A511" i="2" s="1"/>
  <c r="A512" i="2" s="1"/>
  <c r="A513" i="2" s="1"/>
  <c r="A514" i="2" s="1"/>
  <c r="A515" i="2" s="1"/>
  <c r="A516" i="2" s="1"/>
  <c r="A517" i="2" s="1"/>
  <c r="A518" i="2" s="1"/>
  <c r="A519" i="2" s="1"/>
  <c r="A520" i="2" s="1"/>
  <c r="A521" i="2" s="1"/>
  <c r="A522" i="2" s="1"/>
  <c r="A523" i="2" s="1"/>
  <c r="A524" i="2" s="1"/>
  <c r="A525" i="2" s="1"/>
  <c r="A526" i="2" s="1"/>
  <c r="A527" i="2" s="1"/>
  <c r="A528" i="2" s="1"/>
  <c r="A529" i="2" s="1"/>
  <c r="A530" i="2" s="1"/>
  <c r="A531" i="2" s="1"/>
  <c r="A532" i="2" s="1"/>
  <c r="A533" i="2" s="1"/>
  <c r="A534" i="2" s="1"/>
  <c r="A551" i="2" s="1"/>
  <c r="A552" i="2" s="1"/>
  <c r="A553" i="2" s="1"/>
  <c r="A554" i="2" s="1"/>
  <c r="A555" i="2" s="1"/>
  <c r="A556" i="2" s="1"/>
  <c r="A557" i="2" s="1"/>
  <c r="A558" i="2" s="1"/>
  <c r="A559" i="2" s="1"/>
  <c r="A560" i="2" s="1"/>
  <c r="A561" i="2" s="1"/>
  <c r="A562" i="2" s="1"/>
  <c r="A563" i="2" s="1"/>
  <c r="A564" i="2" s="1"/>
  <c r="A565" i="2" s="1"/>
  <c r="A566" i="2" s="1"/>
  <c r="A567" i="2" s="1"/>
  <c r="A568" i="2" s="1"/>
  <c r="A569" i="2" s="1"/>
  <c r="A570" i="2" s="1"/>
  <c r="A571" i="2" s="1"/>
  <c r="A572" i="2" s="1"/>
  <c r="A573" i="2" s="1"/>
  <c r="A574" i="2" s="1"/>
  <c r="A575" i="2" s="1"/>
  <c r="A576" i="2" s="1"/>
  <c r="A577" i="2" s="1"/>
  <c r="A578" i="2" s="1"/>
  <c r="A579" i="2" s="1"/>
  <c r="A580" i="2" s="1"/>
  <c r="A581" i="2" s="1"/>
  <c r="A582" i="2" s="1"/>
  <c r="A583" i="2" s="1"/>
  <c r="A584" i="2" s="1"/>
  <c r="A585" i="2" s="1"/>
  <c r="A586" i="2" s="1"/>
  <c r="A587" i="2" s="1"/>
  <c r="A588" i="2" s="1"/>
  <c r="A589" i="2" s="1"/>
  <c r="A590" i="2" s="1"/>
  <c r="A591" i="2" s="1"/>
  <c r="A592" i="2" s="1"/>
  <c r="A593" i="2" s="1"/>
  <c r="A594" i="2" s="1"/>
  <c r="A595" i="2" s="1"/>
  <c r="A596" i="2" s="1"/>
  <c r="A597" i="2" s="1"/>
  <c r="A598" i="2" s="1"/>
  <c r="A599" i="2" s="1"/>
  <c r="A600" i="2" s="1"/>
  <c r="A601" i="2" s="1"/>
  <c r="A602" i="2" s="1"/>
  <c r="A603" i="2" s="1"/>
  <c r="A604" i="2" s="1"/>
  <c r="A605" i="2" s="1"/>
  <c r="A606" i="2" s="1"/>
  <c r="A607" i="2" s="1"/>
  <c r="A608" i="2" s="1"/>
  <c r="A609" i="2" s="1"/>
  <c r="A610" i="2" s="1"/>
  <c r="A611" i="2" s="1"/>
  <c r="A612" i="2" s="1"/>
  <c r="A613" i="2" s="1"/>
  <c r="A614" i="2" s="1"/>
  <c r="A615" i="2" s="1"/>
  <c r="A616" i="2" s="1"/>
  <c r="A617" i="2" s="1"/>
  <c r="A618" i="2" s="1"/>
  <c r="A619" i="2" s="1"/>
  <c r="A620" i="2" s="1"/>
  <c r="A621" i="2" s="1"/>
  <c r="A622" i="2" s="1"/>
  <c r="A623" i="2" s="1"/>
  <c r="A624" i="2" s="1"/>
  <c r="A625" i="2" s="1"/>
  <c r="A626" i="2" s="1"/>
  <c r="A627" i="2" s="1"/>
  <c r="A628" i="2" s="1"/>
  <c r="A629" i="2" s="1"/>
  <c r="A630" i="2" s="1"/>
  <c r="A631" i="2" s="1"/>
  <c r="A632" i="2" s="1"/>
  <c r="A633" i="2" s="1"/>
  <c r="A634" i="2" s="1"/>
  <c r="A635" i="2" s="1"/>
  <c r="A636" i="2" s="1"/>
  <c r="A637" i="2" s="1"/>
  <c r="A638" i="2" s="1"/>
  <c r="A639" i="2" s="1"/>
  <c r="A640" i="2" s="1"/>
  <c r="A641" i="2" s="1"/>
  <c r="A642" i="2" s="1"/>
  <c r="A643" i="2" s="1"/>
  <c r="A644" i="2" s="1"/>
  <c r="A645" i="2" s="1"/>
  <c r="A646" i="2" s="1"/>
  <c r="A647" i="2" s="1"/>
  <c r="A648" i="2" s="1"/>
  <c r="A649" i="2" s="1"/>
  <c r="A650" i="2" s="1"/>
  <c r="A651" i="2" s="1"/>
  <c r="A652" i="2" s="1"/>
  <c r="A653" i="2" s="1"/>
  <c r="A654" i="2" s="1"/>
  <c r="A655" i="2" s="1"/>
  <c r="A656" i="2" s="1"/>
  <c r="A657" i="2" s="1"/>
  <c r="A658" i="2" s="1"/>
  <c r="A659" i="2" s="1"/>
  <c r="A660" i="2" s="1"/>
  <c r="A661" i="2" s="1"/>
  <c r="A662" i="2" s="1"/>
  <c r="A663" i="2" s="1"/>
  <c r="A664" i="2" s="1"/>
  <c r="A665" i="2" s="1"/>
  <c r="A666" i="2" s="1"/>
  <c r="A667" i="2" s="1"/>
  <c r="A668" i="2" s="1"/>
  <c r="A669" i="2" s="1"/>
  <c r="A670" i="2" s="1"/>
  <c r="A671" i="2" s="1"/>
  <c r="A672" i="2" s="1"/>
  <c r="A673" i="2" s="1"/>
  <c r="A674" i="2" s="1"/>
  <c r="A675" i="2" s="1"/>
  <c r="A676" i="2" s="1"/>
  <c r="A677" i="2" s="1"/>
  <c r="A678" i="2" s="1"/>
  <c r="A679" i="2" s="1"/>
  <c r="A680" i="2" s="1"/>
  <c r="A681" i="2" s="1"/>
  <c r="A682" i="2" s="1"/>
  <c r="A683" i="2" s="1"/>
  <c r="A684" i="2" s="1"/>
  <c r="A685" i="2" s="1"/>
  <c r="A686" i="2" s="1"/>
  <c r="A687" i="2" s="1"/>
  <c r="A688" i="2" s="1"/>
  <c r="A689" i="2" s="1"/>
  <c r="A690" i="2" s="1"/>
  <c r="A691" i="2" s="1"/>
  <c r="A692" i="2" s="1"/>
  <c r="A693" i="2" s="1"/>
  <c r="A694" i="2" s="1"/>
  <c r="A695" i="2" s="1"/>
  <c r="A696" i="2" s="1"/>
  <c r="A697" i="2" s="1"/>
  <c r="A698" i="2" s="1"/>
  <c r="A699" i="2" s="1"/>
  <c r="A700" i="2" s="1"/>
  <c r="A701" i="2" s="1"/>
  <c r="A702" i="2" s="1"/>
  <c r="A703" i="2" s="1"/>
  <c r="A704" i="2" s="1"/>
  <c r="A705" i="2" s="1"/>
  <c r="A706" i="2" s="1"/>
  <c r="A707" i="2" s="1"/>
  <c r="A708" i="2" s="1"/>
  <c r="A709" i="2" s="1"/>
  <c r="A710" i="2" s="1"/>
  <c r="A711" i="2" s="1"/>
  <c r="A712" i="2" s="1"/>
  <c r="A713" i="2" s="1"/>
  <c r="A714" i="2" s="1"/>
  <c r="A715" i="2" s="1"/>
  <c r="A716" i="2" s="1"/>
  <c r="A717" i="2" s="1"/>
  <c r="A718" i="2" s="1"/>
  <c r="A719" i="2" s="1"/>
  <c r="A720" i="2" s="1"/>
  <c r="A721" i="2" s="1"/>
  <c r="A722" i="2" s="1"/>
  <c r="A723" i="2" s="1"/>
  <c r="A724" i="2" s="1"/>
  <c r="A725" i="2" s="1"/>
  <c r="A726" i="2" s="1"/>
  <c r="A727" i="2" s="1"/>
  <c r="A728" i="2" s="1"/>
  <c r="A729" i="2" s="1"/>
  <c r="A730" i="2" s="1"/>
  <c r="A731" i="2" s="1"/>
  <c r="A732" i="2" s="1"/>
  <c r="A733" i="2" s="1"/>
  <c r="A734" i="2" s="1"/>
  <c r="A735" i="2" s="1"/>
  <c r="A736" i="2" s="1"/>
  <c r="A737" i="2" s="1"/>
  <c r="A738" i="2" s="1"/>
  <c r="A739" i="2" s="1"/>
  <c r="A740" i="2" s="1"/>
  <c r="A741" i="2" s="1"/>
  <c r="A742" i="2" s="1"/>
  <c r="A743" i="2" s="1"/>
  <c r="A744" i="2" s="1"/>
  <c r="A745" i="2" s="1"/>
  <c r="A746" i="2" s="1"/>
  <c r="A747" i="2" s="1"/>
  <c r="A748" i="2" s="1"/>
  <c r="A749" i="2" s="1"/>
  <c r="A750" i="2" s="1"/>
  <c r="A751" i="2" s="1"/>
  <c r="A752" i="2" s="1"/>
  <c r="A753" i="2" s="1"/>
  <c r="A754" i="2" s="1"/>
  <c r="A755" i="2" s="1"/>
  <c r="A386" i="2"/>
  <c r="A383" i="2" s="1"/>
  <c r="A384" i="2" s="1"/>
  <c r="A378" i="2"/>
  <c r="A375" i="2" s="1"/>
  <c r="A376" i="2" s="1"/>
  <c r="A377" i="2"/>
  <c r="A368" i="2"/>
  <c r="A365" i="2" s="1"/>
  <c r="A366" i="2" s="1"/>
  <c r="A359" i="2"/>
  <c r="A356" i="2" s="1"/>
  <c r="A357" i="2" s="1"/>
  <c r="A154" i="2"/>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103" i="2"/>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91" i="2"/>
  <c r="A92" i="2" s="1"/>
  <c r="A93" i="2" s="1"/>
  <c r="A94" i="2" s="1"/>
  <c r="A95" i="2" s="1"/>
  <c r="A96" i="2" s="1"/>
  <c r="A97" i="2" s="1"/>
  <c r="A98" i="2" s="1"/>
  <c r="A99" i="2" s="1"/>
  <c r="AI78" i="18" l="1"/>
  <c r="AG76" i="18"/>
  <c r="AG100" i="18"/>
  <c r="AI1074" i="18"/>
  <c r="AE1069" i="18"/>
  <c r="AI77" i="18"/>
  <c r="AI76" i="18" s="1"/>
  <c r="AC14" i="18"/>
  <c r="Q21" i="18"/>
  <c r="Q15" i="18"/>
  <c r="AI1073" i="18"/>
  <c r="AC88" i="18"/>
  <c r="R95" i="18"/>
  <c r="AC95" i="18" s="1"/>
  <c r="AG95" i="18" s="1"/>
  <c r="R84" i="18"/>
  <c r="Z110" i="18"/>
  <c r="Z113" i="18"/>
  <c r="Z114" i="18" s="1"/>
  <c r="T95" i="18"/>
  <c r="AD95" i="18" s="1"/>
  <c r="AD88" i="18"/>
  <c r="AF11" i="18"/>
  <c r="AF17" i="18" s="1"/>
  <c r="Z26" i="18"/>
  <c r="Z30" i="18"/>
  <c r="Z95" i="18"/>
  <c r="AF95" i="18" s="1"/>
  <c r="Z84" i="18"/>
  <c r="AF88" i="18"/>
  <c r="AD16" i="18"/>
  <c r="AG16" i="18" s="1"/>
  <c r="AI49" i="18"/>
  <c r="AI45" i="18" s="1"/>
  <c r="AI91" i="18"/>
  <c r="R110" i="18"/>
  <c r="R113" i="18"/>
  <c r="R114" i="18" s="1"/>
  <c r="S30" i="18"/>
  <c r="S26" i="18"/>
  <c r="V30" i="18"/>
  <c r="V26" i="18"/>
  <c r="Y21" i="18"/>
  <c r="Y15" i="18"/>
  <c r="AE85" i="18"/>
  <c r="AH85" i="18" s="1"/>
  <c r="X84" i="18"/>
  <c r="AH42" i="18"/>
  <c r="AF41" i="18"/>
  <c r="W30" i="18"/>
  <c r="W26" i="18"/>
  <c r="AG91" i="18"/>
  <c r="AE16" i="18"/>
  <c r="Q381" i="18"/>
  <c r="Q121" i="18"/>
  <c r="AC120" i="18"/>
  <c r="AC121" i="18" s="1"/>
  <c r="AG123" i="18"/>
  <c r="AG24" i="18"/>
  <c r="AG65" i="18" s="1"/>
  <c r="AG70" i="18" s="1"/>
  <c r="AI18" i="18"/>
  <c r="AI1100" i="18" s="1"/>
  <c r="AG102" i="18"/>
  <c r="T84" i="18"/>
  <c r="AD85" i="18"/>
  <c r="AH104" i="18"/>
  <c r="AH97" i="18" s="1"/>
  <c r="AF101" i="18"/>
  <c r="AH16" i="18"/>
  <c r="R121" i="18"/>
  <c r="AH99" i="18"/>
  <c r="AH100" i="18"/>
  <c r="W95" i="18"/>
  <c r="AE95" i="18" s="1"/>
  <c r="W84" i="18"/>
  <c r="AE88" i="18"/>
  <c r="X109" i="18"/>
  <c r="X98" i="18"/>
  <c r="X14" i="18"/>
  <c r="AE97" i="18"/>
  <c r="AE109" i="18" s="1"/>
  <c r="Y13" i="18"/>
  <c r="AD97" i="18"/>
  <c r="T109" i="18"/>
  <c r="T14" i="18"/>
  <c r="T98" i="18"/>
  <c r="AF97" i="18"/>
  <c r="AB109" i="18"/>
  <c r="AB98" i="18"/>
  <c r="AB14" i="18"/>
  <c r="T11" i="18"/>
  <c r="AD76" i="18"/>
  <c r="T1062" i="18"/>
  <c r="AE76" i="18"/>
  <c r="AE98" i="18" s="1"/>
  <c r="X11" i="18"/>
  <c r="X17" i="18" s="1"/>
  <c r="AC11" i="18"/>
  <c r="Q13" i="18"/>
  <c r="AC13" i="18" s="1"/>
  <c r="AA30" i="18"/>
  <c r="AA26" i="18"/>
  <c r="AF56" i="18"/>
  <c r="AH56" i="18" s="1"/>
  <c r="AI56" i="18" s="1"/>
  <c r="U109" i="18"/>
  <c r="U98" i="18"/>
  <c r="U14" i="18"/>
  <c r="AF99" i="18"/>
  <c r="AF100" i="18"/>
  <c r="R26" i="18"/>
  <c r="R30" i="18"/>
  <c r="AF54" i="18"/>
  <c r="AH54" i="18" s="1"/>
  <c r="AG54" i="18"/>
  <c r="AI100" i="18"/>
  <c r="AH63" i="18"/>
  <c r="AH64" i="18"/>
  <c r="AI24" i="18"/>
  <c r="AI65" i="18" s="1"/>
  <c r="AI70" i="18" s="1"/>
  <c r="AI1106" i="18"/>
  <c r="AI19" i="18"/>
  <c r="AI1099" i="18" s="1"/>
  <c r="AI105" i="18"/>
  <c r="AG63" i="18"/>
  <c r="AG64" i="18" s="1"/>
  <c r="AI23" i="18"/>
  <c r="AI59" i="18" s="1"/>
  <c r="S359" i="18"/>
  <c r="S362" i="18"/>
  <c r="S363" i="18" s="1"/>
  <c r="AG853" i="18"/>
  <c r="T362" i="18"/>
  <c r="T363" i="18" s="1"/>
  <c r="T359" i="18"/>
  <c r="Z1064" i="18"/>
  <c r="T220" i="18"/>
  <c r="AI352" i="18"/>
  <c r="AG350" i="18"/>
  <c r="Q220" i="18"/>
  <c r="AH196" i="18"/>
  <c r="AI204" i="18"/>
  <c r="AI122" i="18"/>
  <c r="AG120" i="18"/>
  <c r="AG121" i="18" s="1"/>
  <c r="AA359" i="18"/>
  <c r="AA362" i="18"/>
  <c r="AA363" i="18" s="1"/>
  <c r="AD599" i="18"/>
  <c r="AI731" i="18"/>
  <c r="AI729" i="18" s="1"/>
  <c r="AG729" i="18"/>
  <c r="Y397" i="18"/>
  <c r="Y370" i="18"/>
  <c r="AC219" i="18"/>
  <c r="AG233" i="18"/>
  <c r="AH285" i="18"/>
  <c r="AE138" i="18"/>
  <c r="W137" i="18"/>
  <c r="Y211" i="18"/>
  <c r="Y213" i="18"/>
  <c r="X152" i="18"/>
  <c r="X149" i="18"/>
  <c r="X139" i="18"/>
  <c r="AC487" i="18"/>
  <c r="AI432" i="18"/>
  <c r="AI431" i="18" s="1"/>
  <c r="AG431" i="18"/>
  <c r="AB358" i="18"/>
  <c r="U397" i="18"/>
  <c r="U370" i="18"/>
  <c r="AC461" i="18"/>
  <c r="AA212" i="18"/>
  <c r="AA245" i="18"/>
  <c r="S1071" i="18"/>
  <c r="X389" i="18"/>
  <c r="X257" i="18"/>
  <c r="Z363" i="18"/>
  <c r="AD380" i="18"/>
  <c r="T377" i="18"/>
  <c r="T379" i="18"/>
  <c r="AI117" i="18"/>
  <c r="AI116" i="18" s="1"/>
  <c r="AG116" i="18"/>
  <c r="AG1082" i="18"/>
  <c r="AI1090" i="18"/>
  <c r="AE913" i="18"/>
  <c r="AI816" i="18"/>
  <c r="AI815" i="18" s="1"/>
  <c r="AH815" i="18"/>
  <c r="AF772" i="18"/>
  <c r="AH773" i="18"/>
  <c r="AH772" i="18" s="1"/>
  <c r="AI794" i="18"/>
  <c r="AI793" i="18" s="1"/>
  <c r="AH793" i="18"/>
  <c r="AE762" i="18"/>
  <c r="AI750" i="18"/>
  <c r="AI749" i="18" s="1"/>
  <c r="AG749" i="18"/>
  <c r="W1021" i="18"/>
  <c r="AE761" i="18"/>
  <c r="AI678" i="18"/>
  <c r="AG676" i="18"/>
  <c r="AH716" i="18"/>
  <c r="AD689" i="18"/>
  <c r="AD238" i="18"/>
  <c r="AD224" i="18" s="1"/>
  <c r="T224" i="18"/>
  <c r="AI682" i="18"/>
  <c r="Q651" i="18"/>
  <c r="Q643" i="18" s="1"/>
  <c r="Q598" i="18" s="1"/>
  <c r="AC762" i="18"/>
  <c r="AG609" i="18"/>
  <c r="AC608" i="18"/>
  <c r="AI666" i="18"/>
  <c r="AG626" i="18"/>
  <c r="AG512" i="18"/>
  <c r="AI513" i="18"/>
  <c r="AI512" i="18" s="1"/>
  <c r="AC524" i="18"/>
  <c r="AC523" i="18" s="1"/>
  <c r="AC519" i="18" s="1"/>
  <c r="AG525" i="18"/>
  <c r="AB651" i="18"/>
  <c r="AB643" i="18" s="1"/>
  <c r="AB598" i="18" s="1"/>
  <c r="AG446" i="18"/>
  <c r="AC445" i="18"/>
  <c r="AC444" i="18" s="1"/>
  <c r="AC443" i="18" s="1"/>
  <c r="AC437" i="18" s="1"/>
  <c r="AH1069" i="18"/>
  <c r="AF445" i="18"/>
  <c r="AF444" i="18" s="1"/>
  <c r="AF443" i="18" s="1"/>
  <c r="AF437" i="18" s="1"/>
  <c r="AF436" i="18" s="1"/>
  <c r="AH446" i="18"/>
  <c r="AH445" i="18" s="1"/>
  <c r="AH444" i="18" s="1"/>
  <c r="AH443" i="18" s="1"/>
  <c r="AH437" i="18" s="1"/>
  <c r="AH436" i="18" s="1"/>
  <c r="AE404" i="18"/>
  <c r="AE403" i="18" s="1"/>
  <c r="AH1063" i="18"/>
  <c r="AI1063" i="18" s="1"/>
  <c r="Z397" i="18"/>
  <c r="Z370" i="18"/>
  <c r="AH348" i="18"/>
  <c r="AH343" i="18" s="1"/>
  <c r="AB326" i="18"/>
  <c r="AB339" i="18" s="1"/>
  <c r="AC285" i="18"/>
  <c r="AC283" i="18"/>
  <c r="AG294" i="18"/>
  <c r="AE338" i="18"/>
  <c r="AE340" i="18"/>
  <c r="AG463" i="18"/>
  <c r="AG462" i="18" s="1"/>
  <c r="AI464" i="18"/>
  <c r="AI463" i="18" s="1"/>
  <c r="AI462" i="18" s="1"/>
  <c r="AD340" i="18"/>
  <c r="AD338" i="18"/>
  <c r="U211" i="18"/>
  <c r="U213" i="18"/>
  <c r="X1095" i="18"/>
  <c r="V391" i="18"/>
  <c r="X1062" i="18"/>
  <c r="X1067" i="18" s="1"/>
  <c r="AI259" i="18"/>
  <c r="AH192" i="18"/>
  <c r="AI192" i="18" s="1"/>
  <c r="AB213" i="18"/>
  <c r="AB211" i="18"/>
  <c r="AE383" i="18"/>
  <c r="Q1079" i="18"/>
  <c r="AC1079" i="18" s="1"/>
  <c r="AG1079" i="18" s="1"/>
  <c r="AE127" i="18"/>
  <c r="Q309" i="18"/>
  <c r="Q312" i="18"/>
  <c r="Q313" i="18" s="1"/>
  <c r="AH232" i="18"/>
  <c r="AH218" i="18" s="1"/>
  <c r="AF218" i="18"/>
  <c r="AA1062" i="18"/>
  <c r="AA1067" i="18" s="1"/>
  <c r="Z359" i="18"/>
  <c r="AH231" i="18"/>
  <c r="AI123" i="18"/>
  <c r="AI155" i="18"/>
  <c r="AG151" i="18"/>
  <c r="AH147" i="18"/>
  <c r="V378" i="18"/>
  <c r="V394" i="18" s="1"/>
  <c r="V314" i="18" s="1"/>
  <c r="AG217" i="18"/>
  <c r="AB1080" i="18"/>
  <c r="AB163" i="18"/>
  <c r="AB150" i="18"/>
  <c r="AI132" i="18"/>
  <c r="U1062" i="18"/>
  <c r="AC127" i="18"/>
  <c r="Q385" i="18"/>
  <c r="Q175" i="18"/>
  <c r="AH151" i="18"/>
  <c r="AF385" i="18"/>
  <c r="AI185" i="18"/>
  <c r="AC153" i="18"/>
  <c r="AF138" i="18"/>
  <c r="AI950" i="18"/>
  <c r="AI949" i="18" s="1"/>
  <c r="AH949" i="18"/>
  <c r="AI883" i="18"/>
  <c r="AC792" i="18"/>
  <c r="AI644" i="18"/>
  <c r="V167" i="18"/>
  <c r="V168" i="18" s="1"/>
  <c r="V164" i="18"/>
  <c r="U378" i="18"/>
  <c r="U382" i="18" s="1"/>
  <c r="U115" i="18" s="1"/>
  <c r="Q1062" i="18"/>
  <c r="AI823" i="18"/>
  <c r="AA397" i="18"/>
  <c r="AA370" i="18"/>
  <c r="AC1069" i="18"/>
  <c r="AG1069" i="18" s="1"/>
  <c r="AI1069" i="18" s="1"/>
  <c r="Q1066" i="18"/>
  <c r="AG346" i="18"/>
  <c r="AC341" i="18"/>
  <c r="W393" i="18"/>
  <c r="W320" i="18"/>
  <c r="W167" i="18"/>
  <c r="W168" i="18" s="1"/>
  <c r="W164" i="18"/>
  <c r="AI258" i="18"/>
  <c r="AI256" i="18" s="1"/>
  <c r="AI257" i="18" s="1"/>
  <c r="AG256" i="18"/>
  <c r="AG257" i="18" s="1"/>
  <c r="U1083" i="18"/>
  <c r="AD1082" i="18"/>
  <c r="AH1082" i="18"/>
  <c r="AC976" i="18"/>
  <c r="AC975" i="18" s="1"/>
  <c r="AC979" i="18"/>
  <c r="AH980" i="18"/>
  <c r="AF979" i="18"/>
  <c r="AF976" i="18"/>
  <c r="AF975" i="18" s="1"/>
  <c r="AF853" i="18"/>
  <c r="AH769" i="18"/>
  <c r="AF767" i="18"/>
  <c r="AH749" i="18"/>
  <c r="AH919" i="18"/>
  <c r="AG799" i="18"/>
  <c r="AG798" i="18" s="1"/>
  <c r="AD798" i="18"/>
  <c r="AD792" i="18" s="1"/>
  <c r="AI866" i="18"/>
  <c r="AI865" i="18" s="1"/>
  <c r="AH865" i="18"/>
  <c r="AG660" i="18"/>
  <c r="AD236" i="18"/>
  <c r="AD222" i="18" s="1"/>
  <c r="T222" i="18"/>
  <c r="AI676" i="18"/>
  <c r="V757" i="18"/>
  <c r="V1105" i="18" s="1"/>
  <c r="V1103" i="18" s="1"/>
  <c r="AH723" i="18"/>
  <c r="AG691" i="18"/>
  <c r="AG690" i="18" s="1"/>
  <c r="AG689" i="18" s="1"/>
  <c r="AI692" i="18"/>
  <c r="AI691" i="18" s="1"/>
  <c r="AI638" i="18"/>
  <c r="AE632" i="18"/>
  <c r="AE643" i="18"/>
  <c r="U757" i="18"/>
  <c r="U1105" i="18" s="1"/>
  <c r="U1103" i="18" s="1"/>
  <c r="AB690" i="18"/>
  <c r="AB689" i="18" s="1"/>
  <c r="AE620" i="18"/>
  <c r="AE607" i="18" s="1"/>
  <c r="AE599" i="18" s="1"/>
  <c r="AE598" i="18" s="1"/>
  <c r="AH622" i="18"/>
  <c r="AH620" i="18" s="1"/>
  <c r="Q523" i="18"/>
  <c r="Q141" i="18"/>
  <c r="AI702" i="18"/>
  <c r="AG701" i="18"/>
  <c r="T607" i="18"/>
  <c r="T599" i="18" s="1"/>
  <c r="T598" i="18" s="1"/>
  <c r="AI442" i="18"/>
  <c r="AI481" i="18"/>
  <c r="AI480" i="18" s="1"/>
  <c r="Z651" i="18"/>
  <c r="Z643" i="18" s="1"/>
  <c r="Z235" i="18"/>
  <c r="AG476" i="18"/>
  <c r="AI477" i="18"/>
  <c r="AI476" i="18" s="1"/>
  <c r="AE427" i="18"/>
  <c r="AE426" i="18" s="1"/>
  <c r="AE420" i="18" s="1"/>
  <c r="Y358" i="18"/>
  <c r="Y339" i="18"/>
  <c r="AH298" i="18"/>
  <c r="AH289" i="18" s="1"/>
  <c r="AF289" i="18"/>
  <c r="AH388" i="18"/>
  <c r="AH346" i="18"/>
  <c r="AH341" i="18" s="1"/>
  <c r="AD285" i="18"/>
  <c r="AA308" i="18"/>
  <c r="AA284" i="18"/>
  <c r="AG392" i="18"/>
  <c r="AD393" i="18"/>
  <c r="AD391" i="18" s="1"/>
  <c r="AF263" i="18"/>
  <c r="AH264" i="18"/>
  <c r="AH263" i="18" s="1"/>
  <c r="AH233" i="18"/>
  <c r="AH219" i="18" s="1"/>
  <c r="AF227" i="18"/>
  <c r="Z213" i="18"/>
  <c r="V181" i="18"/>
  <c r="V1078" i="18" s="1"/>
  <c r="V1083" i="18" s="1"/>
  <c r="V213" i="18"/>
  <c r="AG232" i="18"/>
  <c r="AG240" i="18"/>
  <c r="AD389" i="18"/>
  <c r="X211" i="18"/>
  <c r="X213" i="18"/>
  <c r="S1062" i="18"/>
  <c r="S1067" i="18" s="1"/>
  <c r="AG388" i="18"/>
  <c r="AE227" i="18"/>
  <c r="AC403" i="18"/>
  <c r="AD182" i="18"/>
  <c r="AD181" i="18" s="1"/>
  <c r="T181" i="18"/>
  <c r="AH158" i="18"/>
  <c r="AF154" i="18"/>
  <c r="W1071" i="18"/>
  <c r="W1065" i="18"/>
  <c r="AA1080" i="18"/>
  <c r="AA163" i="18"/>
  <c r="AA150" i="18"/>
  <c r="AH131" i="18"/>
  <c r="AI131" i="18" s="1"/>
  <c r="AC138" i="18"/>
  <c r="AE156" i="18"/>
  <c r="AE152" i="18" s="1"/>
  <c r="V146" i="18"/>
  <c r="V137" i="18"/>
  <c r="AH120" i="18"/>
  <c r="AH121" i="18" s="1"/>
  <c r="R378" i="18"/>
  <c r="Z181" i="18"/>
  <c r="AF182" i="18"/>
  <c r="AG153" i="18"/>
  <c r="R1078" i="18"/>
  <c r="R1083" i="18" s="1"/>
  <c r="Y1064" i="18"/>
  <c r="AI671" i="18"/>
  <c r="AG372" i="18"/>
  <c r="AI372" i="18" s="1"/>
  <c r="AI333" i="18"/>
  <c r="AI332" i="18" s="1"/>
  <c r="AG332" i="18"/>
  <c r="AA389" i="18"/>
  <c r="AA257" i="18"/>
  <c r="AC218" i="18"/>
  <c r="AG187" i="18"/>
  <c r="AI187" i="18" s="1"/>
  <c r="R607" i="18"/>
  <c r="R599" i="18" s="1"/>
  <c r="W1067" i="18"/>
  <c r="AE1066" i="18"/>
  <c r="AH392" i="18"/>
  <c r="AE389" i="18"/>
  <c r="AH1079" i="18"/>
  <c r="Q211" i="18"/>
  <c r="Q213" i="18"/>
  <c r="AC227" i="18"/>
  <c r="AF224" i="18"/>
  <c r="AH238" i="18"/>
  <c r="AH224" i="18" s="1"/>
  <c r="Z1067" i="18"/>
  <c r="AF1066" i="18"/>
  <c r="AH895" i="18"/>
  <c r="AH883" i="18" s="1"/>
  <c r="AH823" i="18"/>
  <c r="AI783" i="18"/>
  <c r="AI782" i="18" s="1"/>
  <c r="AG782" i="18"/>
  <c r="AG769" i="18"/>
  <c r="AI769" i="18" s="1"/>
  <c r="AC767" i="18"/>
  <c r="AH713" i="18"/>
  <c r="AF711" i="18"/>
  <c r="AC239" i="18"/>
  <c r="Q225" i="18"/>
  <c r="AF723" i="18"/>
  <c r="AF722" i="18" s="1"/>
  <c r="R223" i="18"/>
  <c r="AC237" i="18"/>
  <c r="AI622" i="18"/>
  <c r="AI620" i="18" s="1"/>
  <c r="AI653" i="18"/>
  <c r="AF798" i="18"/>
  <c r="AF792" i="18" s="1"/>
  <c r="AH799" i="18"/>
  <c r="AI771" i="18"/>
  <c r="AI665" i="18"/>
  <c r="AI664" i="18" s="1"/>
  <c r="AG664" i="18"/>
  <c r="AH610" i="18"/>
  <c r="AH608" i="18" s="1"/>
  <c r="AF608" i="18"/>
  <c r="AI546" i="18"/>
  <c r="AG508" i="18"/>
  <c r="AG507" i="18" s="1"/>
  <c r="AI509" i="18"/>
  <c r="AI508" i="18" s="1"/>
  <c r="AI507" i="18" s="1"/>
  <c r="AI584" i="18"/>
  <c r="AI429" i="18"/>
  <c r="AI428" i="18" s="1"/>
  <c r="AI427" i="18" s="1"/>
  <c r="AI426" i="18" s="1"/>
  <c r="AG428" i="18"/>
  <c r="AG427" i="18" s="1"/>
  <c r="AG426" i="18" s="1"/>
  <c r="AD436" i="18"/>
  <c r="AF372" i="18"/>
  <c r="AH372" i="18" s="1"/>
  <c r="AF652" i="18"/>
  <c r="AH654" i="18"/>
  <c r="AH652" i="18" s="1"/>
  <c r="AH396" i="18"/>
  <c r="AG542" i="18"/>
  <c r="AG472" i="18"/>
  <c r="AI473" i="18"/>
  <c r="AI472" i="18" s="1"/>
  <c r="AH428" i="18"/>
  <c r="AH427" i="18" s="1"/>
  <c r="AH426" i="18" s="1"/>
  <c r="AI365" i="18"/>
  <c r="AC338" i="18"/>
  <c r="AG345" i="18"/>
  <c r="AC340" i="18"/>
  <c r="AI455" i="18"/>
  <c r="AI452" i="18" s="1"/>
  <c r="AG452" i="18"/>
  <c r="AB395" i="18"/>
  <c r="Q393" i="18"/>
  <c r="Q320" i="18"/>
  <c r="AG304" i="18"/>
  <c r="AG195" i="18"/>
  <c r="AI195" i="18" s="1"/>
  <c r="AC226" i="18"/>
  <c r="AH345" i="18"/>
  <c r="AH350" i="18"/>
  <c r="AI351" i="18"/>
  <c r="AI350" i="18" s="1"/>
  <c r="AB308" i="18"/>
  <c r="AB284" i="18"/>
  <c r="AG264" i="18"/>
  <c r="AC263" i="18"/>
  <c r="AI423" i="18"/>
  <c r="AI422" i="18" s="1"/>
  <c r="AI421" i="18" s="1"/>
  <c r="AI420" i="18" s="1"/>
  <c r="AG422" i="18"/>
  <c r="AG421" i="18" s="1"/>
  <c r="AG420" i="18" s="1"/>
  <c r="AI305" i="18"/>
  <c r="AI304" i="18" s="1"/>
  <c r="AC151" i="18"/>
  <c r="AG380" i="18"/>
  <c r="AD227" i="18"/>
  <c r="T213" i="18"/>
  <c r="T211" i="18"/>
  <c r="AE196" i="18"/>
  <c r="AE175" i="18"/>
  <c r="AH274" i="18"/>
  <c r="AH273" i="18" s="1"/>
  <c r="AG189" i="18"/>
  <c r="X308" i="18"/>
  <c r="X284" i="18"/>
  <c r="AA213" i="18"/>
  <c r="AI407" i="18"/>
  <c r="AI406" i="18" s="1"/>
  <c r="AI405" i="18" s="1"/>
  <c r="AG406" i="18"/>
  <c r="AG405" i="18" s="1"/>
  <c r="U167" i="18"/>
  <c r="U168" i="18" s="1"/>
  <c r="U164" i="18"/>
  <c r="S1078" i="18"/>
  <c r="S1083" i="18" s="1"/>
  <c r="AG384" i="18"/>
  <c r="AH148" i="18"/>
  <c r="AI148" i="18" s="1"/>
  <c r="AG744" i="18"/>
  <c r="AI745" i="18"/>
  <c r="AI744" i="18" s="1"/>
  <c r="V651" i="18"/>
  <c r="V643" i="18" s="1"/>
  <c r="V235" i="18"/>
  <c r="AI696" i="18"/>
  <c r="AI570" i="18"/>
  <c r="AI569" i="18" s="1"/>
  <c r="AI568" i="18" s="1"/>
  <c r="AH569" i="18"/>
  <c r="AH568" i="18" s="1"/>
  <c r="U358" i="18"/>
  <c r="U339" i="18"/>
  <c r="AC289" i="18"/>
  <c r="AI301" i="18"/>
  <c r="AI292" i="18" s="1"/>
  <c r="AG292" i="18"/>
  <c r="AC369" i="18"/>
  <c r="AC370" i="18" s="1"/>
  <c r="AB1071" i="18"/>
  <c r="AF237" i="18"/>
  <c r="Z223" i="18"/>
  <c r="Q369" i="18"/>
  <c r="AC214" i="18"/>
  <c r="AG228" i="18"/>
  <c r="AG158" i="18"/>
  <c r="AC154" i="18"/>
  <c r="Y1062" i="18"/>
  <c r="Z381" i="18"/>
  <c r="AF120" i="18"/>
  <c r="AF121" i="18" s="1"/>
  <c r="Z121" i="18"/>
  <c r="AH380" i="18"/>
  <c r="AG127" i="18"/>
  <c r="AI128" i="18"/>
  <c r="U386" i="18"/>
  <c r="U169" i="18" s="1"/>
  <c r="S163" i="18"/>
  <c r="S150" i="18"/>
  <c r="AI998" i="18"/>
  <c r="AI997" i="18" s="1"/>
  <c r="AI985" i="18"/>
  <c r="AH809" i="18"/>
  <c r="AI810" i="18"/>
  <c r="AI809" i="18" s="1"/>
  <c r="Z757" i="18"/>
  <c r="Z1105" i="18" s="1"/>
  <c r="Z1103" i="18" s="1"/>
  <c r="AF758" i="18"/>
  <c r="AH764" i="18"/>
  <c r="AI764" i="18" s="1"/>
  <c r="AG777" i="18"/>
  <c r="AI778" i="18"/>
  <c r="AI777" i="18" s="1"/>
  <c r="AE759" i="18"/>
  <c r="AE757" i="18" s="1"/>
  <c r="AE1105" i="18" s="1"/>
  <c r="W757" i="18"/>
  <c r="W1105" i="18" s="1"/>
  <c r="W1103" i="18" s="1"/>
  <c r="AF762" i="18"/>
  <c r="AH761" i="18"/>
  <c r="X1104" i="18"/>
  <c r="AC670" i="18"/>
  <c r="AG672" i="18"/>
  <c r="AI672" i="18" s="1"/>
  <c r="T1021" i="18"/>
  <c r="AD761" i="18"/>
  <c r="AB792" i="18"/>
  <c r="W222" i="18"/>
  <c r="AE236" i="18"/>
  <c r="AE222" i="18" s="1"/>
  <c r="S757" i="18"/>
  <c r="S1105" i="18" s="1"/>
  <c r="S1103" i="18" s="1"/>
  <c r="W607" i="18"/>
  <c r="W599" i="18" s="1"/>
  <c r="W598" i="18" s="1"/>
  <c r="W235" i="18"/>
  <c r="AD518" i="18"/>
  <c r="Z542" i="18"/>
  <c r="Z518" i="18" s="1"/>
  <c r="Z156" i="18"/>
  <c r="AI498" i="18"/>
  <c r="AI497" i="18" s="1"/>
  <c r="AG497" i="18"/>
  <c r="AI591" i="18"/>
  <c r="AI532" i="18"/>
  <c r="AG503" i="18"/>
  <c r="V461" i="18"/>
  <c r="V436" i="18" s="1"/>
  <c r="AH420" i="18"/>
  <c r="AH403" i="18" s="1"/>
  <c r="AF236" i="18"/>
  <c r="Z222" i="18"/>
  <c r="AF411" i="18"/>
  <c r="AF410" i="18" s="1"/>
  <c r="AF404" i="18" s="1"/>
  <c r="AF403" i="18" s="1"/>
  <c r="AG654" i="18"/>
  <c r="AI654" i="18" s="1"/>
  <c r="AC652" i="18"/>
  <c r="AC651" i="18" s="1"/>
  <c r="AC643" i="18" s="1"/>
  <c r="AD372" i="18"/>
  <c r="AD369" i="18" s="1"/>
  <c r="AD370" i="18" s="1"/>
  <c r="T369" i="18"/>
  <c r="AI544" i="18"/>
  <c r="AI543" i="18" s="1"/>
  <c r="AI470" i="18"/>
  <c r="AI469" i="18" s="1"/>
  <c r="AG469" i="18"/>
  <c r="R420" i="18"/>
  <c r="R403" i="18" s="1"/>
  <c r="AA393" i="18"/>
  <c r="AA378" i="18" s="1"/>
  <c r="AA320" i="18"/>
  <c r="X358" i="18"/>
  <c r="X339" i="18"/>
  <c r="Y308" i="18"/>
  <c r="Y284" i="18"/>
  <c r="Z339" i="18"/>
  <c r="W387" i="18"/>
  <c r="S395" i="18"/>
  <c r="AF358" i="18"/>
  <c r="AI303" i="18"/>
  <c r="Z437" i="18"/>
  <c r="Z436" i="18" s="1"/>
  <c r="AI299" i="18"/>
  <c r="AI290" i="18" s="1"/>
  <c r="AG290" i="18"/>
  <c r="R363" i="18"/>
  <c r="U308" i="18"/>
  <c r="U284" i="18"/>
  <c r="AF216" i="18"/>
  <c r="AH230" i="18"/>
  <c r="AH216" i="18" s="1"/>
  <c r="Y383" i="18"/>
  <c r="AF377" i="18"/>
  <c r="AG230" i="18"/>
  <c r="AC216" i="18"/>
  <c r="AC377" i="18"/>
  <c r="AI296" i="18"/>
  <c r="AI287" i="18" s="1"/>
  <c r="AG287" i="18"/>
  <c r="AI278" i="18"/>
  <c r="AC174" i="18"/>
  <c r="AC175" i="18" s="1"/>
  <c r="AE377" i="18"/>
  <c r="AE283" i="18"/>
  <c r="AE285" i="18"/>
  <c r="AG197" i="18"/>
  <c r="AI183" i="18"/>
  <c r="AH132" i="18"/>
  <c r="AD381" i="18"/>
  <c r="V386" i="18"/>
  <c r="V169" i="18" s="1"/>
  <c r="AE189" i="18"/>
  <c r="AH189" i="18" s="1"/>
  <c r="T1080" i="18"/>
  <c r="T163" i="18"/>
  <c r="T150" i="18"/>
  <c r="AD149" i="18"/>
  <c r="U379" i="18"/>
  <c r="AE182" i="18"/>
  <c r="AE181" i="18" s="1"/>
  <c r="W181" i="18"/>
  <c r="AH157" i="18"/>
  <c r="AH153" i="18" s="1"/>
  <c r="AB378" i="18"/>
  <c r="AB398" i="18" s="1"/>
  <c r="AB364" i="18" s="1"/>
  <c r="Y181" i="18"/>
  <c r="AI124" i="18"/>
  <c r="U1064" i="18"/>
  <c r="AI440" i="18"/>
  <c r="AI439" i="18" s="1"/>
  <c r="AI438" i="18" s="1"/>
  <c r="AG439" i="18"/>
  <c r="AG438" i="18" s="1"/>
  <c r="AC342" i="18"/>
  <c r="AG347" i="18"/>
  <c r="AI147" i="18"/>
  <c r="Z1078" i="18"/>
  <c r="AF127" i="18"/>
  <c r="AH944" i="18"/>
  <c r="AH943" i="18" s="1"/>
  <c r="AI946" i="18"/>
  <c r="AI944" i="18" s="1"/>
  <c r="AI943" i="18" s="1"/>
  <c r="AI734" i="18"/>
  <c r="AG762" i="18"/>
  <c r="AA437" i="18"/>
  <c r="AA436" i="18" s="1"/>
  <c r="AH371" i="18"/>
  <c r="AH369" i="18" s="1"/>
  <c r="AH370" i="18" s="1"/>
  <c r="AF369" i="18"/>
  <c r="AF370" i="18" s="1"/>
  <c r="AI328" i="18"/>
  <c r="AI190" i="18"/>
  <c r="AH127" i="18"/>
  <c r="AI860" i="18"/>
  <c r="AI859" i="18" s="1"/>
  <c r="AI853" i="18" s="1"/>
  <c r="AH859" i="18"/>
  <c r="AG823" i="18"/>
  <c r="AI774" i="18"/>
  <c r="AH763" i="18"/>
  <c r="AI703" i="18"/>
  <c r="AD760" i="18"/>
  <c r="AG760" i="18" s="1"/>
  <c r="AI760" i="18" s="1"/>
  <c r="AF1021" i="18"/>
  <c r="Z1022" i="18"/>
  <c r="AF1022" i="18" s="1"/>
  <c r="AH664" i="18"/>
  <c r="AA757" i="18"/>
  <c r="AA1105" i="18" s="1"/>
  <c r="AA1103" i="18" s="1"/>
  <c r="AI707" i="18"/>
  <c r="AI706" i="18" s="1"/>
  <c r="Q224" i="18"/>
  <c r="AC238" i="18"/>
  <c r="AI717" i="18"/>
  <c r="AI716" i="18" s="1"/>
  <c r="AG716" i="18"/>
  <c r="AF658" i="18"/>
  <c r="AH628" i="18"/>
  <c r="AI628" i="18" s="1"/>
  <c r="AH644" i="18"/>
  <c r="S607" i="18"/>
  <c r="S599" i="18" s="1"/>
  <c r="S598" i="18" s="1"/>
  <c r="S235" i="18"/>
  <c r="AC626" i="18"/>
  <c r="AC546" i="18"/>
  <c r="AC542" i="18" s="1"/>
  <c r="V598" i="18"/>
  <c r="AG600" i="18"/>
  <c r="X519" i="18"/>
  <c r="X518" i="18" s="1"/>
  <c r="R542" i="18"/>
  <c r="R518" i="18" s="1"/>
  <c r="R156" i="18"/>
  <c r="AH525" i="18"/>
  <c r="AH524" i="18" s="1"/>
  <c r="AH523" i="18" s="1"/>
  <c r="AH519" i="18" s="1"/>
  <c r="AH518" i="18" s="1"/>
  <c r="AI503" i="18"/>
  <c r="AF503" i="18"/>
  <c r="AF487" i="18" s="1"/>
  <c r="AH616" i="18"/>
  <c r="AH614" i="18" s="1"/>
  <c r="AF614" i="18"/>
  <c r="R651" i="18"/>
  <c r="R643" i="18" s="1"/>
  <c r="R235" i="18"/>
  <c r="X436" i="18"/>
  <c r="AE461" i="18"/>
  <c r="AE436" i="18" s="1"/>
  <c r="AD1066" i="18"/>
  <c r="T1067" i="18"/>
  <c r="AI411" i="18"/>
  <c r="AI410" i="18" s="1"/>
  <c r="Q358" i="18"/>
  <c r="Q339" i="18"/>
  <c r="S320" i="18"/>
  <c r="S393" i="18"/>
  <c r="S378" i="18" s="1"/>
  <c r="AI297" i="18"/>
  <c r="AI288" i="18" s="1"/>
  <c r="AG315" i="18"/>
  <c r="AI316" i="18"/>
  <c r="AI315" i="18" s="1"/>
  <c r="AC273" i="18"/>
  <c r="AG274" i="18"/>
  <c r="AI348" i="18"/>
  <c r="AI343" i="18" s="1"/>
  <c r="AG343" i="18"/>
  <c r="R339" i="18"/>
  <c r="AG293" i="18"/>
  <c r="AI302" i="18"/>
  <c r="AI293" i="18" s="1"/>
  <c r="AE387" i="18"/>
  <c r="AH349" i="18"/>
  <c r="AH228" i="18"/>
  <c r="AH214" i="18" s="1"/>
  <c r="AH384" i="18"/>
  <c r="AF383" i="18"/>
  <c r="R213" i="18"/>
  <c r="AF285" i="18"/>
  <c r="AF217" i="18"/>
  <c r="AH186" i="18"/>
  <c r="AI186" i="18" s="1"/>
  <c r="AG194" i="18"/>
  <c r="AI194" i="18" s="1"/>
  <c r="X391" i="18"/>
  <c r="W313" i="18"/>
  <c r="AF226" i="18"/>
  <c r="R313" i="18"/>
  <c r="AF151" i="18"/>
  <c r="AB1078" i="18"/>
  <c r="AB1083" i="18" s="1"/>
  <c r="Y1078" i="18"/>
  <c r="Y1083" i="18" s="1"/>
  <c r="Y1080" i="18"/>
  <c r="Y150" i="18"/>
  <c r="Y163" i="18"/>
  <c r="AF142" i="18"/>
  <c r="AF153" i="18"/>
  <c r="Q1064" i="18"/>
  <c r="AG761" i="18"/>
  <c r="AI761" i="18" s="1"/>
  <c r="AC758" i="18"/>
  <c r="Q757" i="18"/>
  <c r="Q1105" i="18" s="1"/>
  <c r="Q1103" i="18" s="1"/>
  <c r="AI765" i="18"/>
  <c r="AF239" i="18"/>
  <c r="Z225" i="18"/>
  <c r="AD651" i="18"/>
  <c r="AD643" i="18" s="1"/>
  <c r="AH854" i="18"/>
  <c r="AH925" i="18"/>
  <c r="AH913" i="18" s="1"/>
  <c r="AD823" i="18"/>
  <c r="AG815" i="18"/>
  <c r="R757" i="18"/>
  <c r="R1105" i="18" s="1"/>
  <c r="R1103" i="18" s="1"/>
  <c r="Y757" i="18"/>
  <c r="Y1105" i="18" s="1"/>
  <c r="Y1103" i="18" s="1"/>
  <c r="AC772" i="18"/>
  <c r="AG773" i="18"/>
  <c r="AF690" i="18"/>
  <c r="AF689" i="18" s="1"/>
  <c r="AE767" i="18"/>
  <c r="AH768" i="18"/>
  <c r="AH767" i="18" s="1"/>
  <c r="S792" i="18"/>
  <c r="AC632" i="18"/>
  <c r="AG634" i="18"/>
  <c r="AH626" i="18"/>
  <c r="AI627" i="18"/>
  <c r="Z607" i="18"/>
  <c r="Z599" i="18" s="1"/>
  <c r="Z598" i="18" s="1"/>
  <c r="AI610" i="18"/>
  <c r="AC723" i="18"/>
  <c r="AC722" i="18" s="1"/>
  <c r="AF583" i="18"/>
  <c r="AF567" i="18" s="1"/>
  <c r="AI600" i="18"/>
  <c r="AI489" i="18"/>
  <c r="AI488" i="18" s="1"/>
  <c r="AI487" i="18" s="1"/>
  <c r="AF542" i="18"/>
  <c r="AH497" i="18"/>
  <c r="AH488" i="18" s="1"/>
  <c r="AH487" i="18" s="1"/>
  <c r="AH584" i="18"/>
  <c r="AH583" i="18" s="1"/>
  <c r="AF523" i="18"/>
  <c r="AF519" i="18" s="1"/>
  <c r="AF518" i="18" s="1"/>
  <c r="AG493" i="18"/>
  <c r="AG492" i="18" s="1"/>
  <c r="AG488" i="18" s="1"/>
  <c r="AG487" i="18" s="1"/>
  <c r="AH503" i="18"/>
  <c r="Y1067" i="18"/>
  <c r="AG616" i="18"/>
  <c r="T1064" i="18"/>
  <c r="AB403" i="18"/>
  <c r="AG411" i="18"/>
  <c r="AG410" i="18" s="1"/>
  <c r="V339" i="18"/>
  <c r="V358" i="18"/>
  <c r="U1067" i="18"/>
  <c r="AF331" i="18"/>
  <c r="AF344" i="18" s="1"/>
  <c r="Q389" i="18"/>
  <c r="Q257" i="18"/>
  <c r="AG321" i="18"/>
  <c r="AC319" i="18"/>
  <c r="AC320" i="18" s="1"/>
  <c r="AC344" i="18"/>
  <c r="AG349" i="18"/>
  <c r="AG327" i="18"/>
  <c r="AC326" i="18"/>
  <c r="AI371" i="18"/>
  <c r="AI369" i="18" s="1"/>
  <c r="AI370" i="18" s="1"/>
  <c r="AG369" i="18"/>
  <c r="AG370" i="18" s="1"/>
  <c r="AD341" i="18"/>
  <c r="AD298" i="18"/>
  <c r="AD289" i="18" s="1"/>
  <c r="T283" i="18"/>
  <c r="T289" i="18"/>
  <c r="AF214" i="18"/>
  <c r="Z313" i="18"/>
  <c r="AC236" i="18"/>
  <c r="R376" i="18"/>
  <c r="AI253" i="18"/>
  <c r="AI252" i="18" s="1"/>
  <c r="AG252" i="18"/>
  <c r="AF283" i="18"/>
  <c r="AD387" i="18"/>
  <c r="AG229" i="18"/>
  <c r="AD139" i="18"/>
  <c r="AD137" i="18" s="1"/>
  <c r="T146" i="18"/>
  <c r="AD146" i="18" s="1"/>
  <c r="AD154" i="18"/>
  <c r="X1064" i="18"/>
  <c r="AI300" i="18"/>
  <c r="AI291" i="18" s="1"/>
  <c r="X397" i="18"/>
  <c r="X370" i="18"/>
  <c r="AH226" i="18"/>
  <c r="AB376" i="18"/>
  <c r="X381" i="18"/>
  <c r="AE381" i="18" s="1"/>
  <c r="X121" i="18"/>
  <c r="V1062" i="18"/>
  <c r="V1067" i="18" s="1"/>
  <c r="Y137" i="18"/>
  <c r="AD127" i="18"/>
  <c r="AG176" i="18"/>
  <c r="W378" i="18"/>
  <c r="T385" i="18"/>
  <c r="T175" i="18"/>
  <c r="R1064" i="18"/>
  <c r="S213" i="18"/>
  <c r="Q181" i="18"/>
  <c r="Q1078" i="18" s="1"/>
  <c r="AC182" i="18"/>
  <c r="A845" i="2"/>
  <c r="A846" i="2" s="1"/>
  <c r="A847" i="2" s="1"/>
  <c r="A848" i="2" s="1"/>
  <c r="A854" i="2" s="1"/>
  <c r="A855" i="2" s="1"/>
  <c r="A856" i="2" s="1"/>
  <c r="A857" i="2" s="1"/>
  <c r="A858" i="2" s="1"/>
  <c r="A859" i="2" s="1"/>
  <c r="A860" i="2" s="1"/>
  <c r="A861" i="2" s="1"/>
  <c r="A862" i="2" s="1"/>
  <c r="A863" i="2" s="1"/>
  <c r="A864" i="2" s="1"/>
  <c r="A865" i="2" s="1"/>
  <c r="A866" i="2" s="1"/>
  <c r="A867" i="2" s="1"/>
  <c r="A868" i="2" s="1"/>
  <c r="A869" i="2" s="1"/>
  <c r="A870" i="2" s="1"/>
  <c r="A871" i="2" s="1"/>
  <c r="A872" i="2" s="1"/>
  <c r="A873" i="2" s="1"/>
  <c r="A874" i="2" s="1"/>
  <c r="A875" i="2" s="1"/>
  <c r="A876" i="2" s="1"/>
  <c r="A877" i="2" s="1"/>
  <c r="A878" i="2" s="1"/>
  <c r="A879" i="2" s="1"/>
  <c r="A880" i="2" s="1"/>
  <c r="A881" i="2" s="1"/>
  <c r="A882" i="2" s="1"/>
  <c r="A883" i="2" s="1"/>
  <c r="A884" i="2" s="1"/>
  <c r="A885" i="2" s="1"/>
  <c r="A886" i="2" s="1"/>
  <c r="A887" i="2" s="1"/>
  <c r="A888" i="2" s="1"/>
  <c r="A889" i="2" s="1"/>
  <c r="A890" i="2" s="1"/>
  <c r="A891" i="2" s="1"/>
  <c r="A892" i="2" s="1"/>
  <c r="A893" i="2" s="1"/>
  <c r="A894" i="2" s="1"/>
  <c r="A895" i="2" s="1"/>
  <c r="A896" i="2" s="1"/>
  <c r="A897" i="2" s="1"/>
  <c r="A898" i="2" s="1"/>
  <c r="A899" i="2" s="1"/>
  <c r="A900" i="2" s="1"/>
  <c r="A901" i="2" s="1"/>
  <c r="A902" i="2" s="1"/>
  <c r="A903" i="2" s="1"/>
  <c r="A904" i="2" s="1"/>
  <c r="A905" i="2" s="1"/>
  <c r="A906" i="2" s="1"/>
  <c r="A907" i="2" s="1"/>
  <c r="A908" i="2" s="1"/>
  <c r="A909" i="2" s="1"/>
  <c r="A910" i="2" s="1"/>
  <c r="A911" i="2" s="1"/>
  <c r="A912" i="2" s="1"/>
  <c r="A913" i="2" s="1"/>
  <c r="A914" i="2" s="1"/>
  <c r="A915" i="2" s="1"/>
  <c r="A916" i="2" s="1"/>
  <c r="A917" i="2" s="1"/>
  <c r="A918" i="2" s="1"/>
  <c r="A919" i="2" s="1"/>
  <c r="A920" i="2" s="1"/>
  <c r="A921" i="2" s="1"/>
  <c r="A922" i="2" s="1"/>
  <c r="A923" i="2" s="1"/>
  <c r="A924" i="2" s="1"/>
  <c r="A925" i="2" s="1"/>
  <c r="A926" i="2" s="1"/>
  <c r="A927" i="2" s="1"/>
  <c r="A928" i="2" s="1"/>
  <c r="A929" i="2" s="1"/>
  <c r="A930" i="2" s="1"/>
  <c r="A931" i="2" s="1"/>
  <c r="A932" i="2" s="1"/>
  <c r="A933" i="2" s="1"/>
  <c r="A934" i="2" s="1"/>
  <c r="A935" i="2" s="1"/>
  <c r="A936" i="2" s="1"/>
  <c r="A937" i="2" s="1"/>
  <c r="A938" i="2" s="1"/>
  <c r="A939" i="2" s="1"/>
  <c r="A940" i="2" s="1"/>
  <c r="A941" i="2" s="1"/>
  <c r="A942" i="2" s="1"/>
  <c r="A943" i="2" s="1"/>
  <c r="A944" i="2" s="1"/>
  <c r="A945" i="2" s="1"/>
  <c r="A946" i="2" s="1"/>
  <c r="A947" i="2" s="1"/>
  <c r="A948" i="2" s="1"/>
  <c r="A949" i="2" s="1"/>
  <c r="A950" i="2" s="1"/>
  <c r="A951" i="2" s="1"/>
  <c r="A952" i="2" s="1"/>
  <c r="A953" i="2" s="1"/>
  <c r="A954" i="2" s="1"/>
  <c r="A955" i="2" s="1"/>
  <c r="A956" i="2" s="1"/>
  <c r="A957" i="2" s="1"/>
  <c r="A958" i="2" s="1"/>
  <c r="A959" i="2" s="1"/>
  <c r="A960" i="2" s="1"/>
  <c r="A961" i="2" s="1"/>
  <c r="A962" i="2" s="1"/>
  <c r="A963" i="2" s="1"/>
  <c r="A964" i="2" s="1"/>
  <c r="A965" i="2" s="1"/>
  <c r="A966" i="2" s="1"/>
  <c r="A967" i="2" s="1"/>
  <c r="A968" i="2" s="1"/>
  <c r="A969" i="2" s="1"/>
  <c r="A970" i="2" s="1"/>
  <c r="A971" i="2" s="1"/>
  <c r="A972" i="2" s="1"/>
  <c r="A973" i="2" s="1"/>
  <c r="A974" i="2" s="1"/>
  <c r="A975" i="2" s="1"/>
  <c r="A976" i="2" s="1"/>
  <c r="A977" i="2" s="1"/>
  <c r="A978" i="2" s="1"/>
  <c r="A979" i="2" s="1"/>
  <c r="A980" i="2" s="1"/>
  <c r="A981" i="2" s="1"/>
  <c r="A982" i="2" s="1"/>
  <c r="A983" i="2" s="1"/>
  <c r="A984" i="2" s="1"/>
  <c r="A985" i="2" s="1"/>
  <c r="A986" i="2" s="1"/>
  <c r="A987" i="2" s="1"/>
  <c r="A988" i="2" s="1"/>
  <c r="A989" i="2" s="1"/>
  <c r="A990" i="2" s="1"/>
  <c r="A991" i="2" s="1"/>
  <c r="A992" i="2" s="1"/>
  <c r="A993" i="2" s="1"/>
  <c r="A994" i="2" s="1"/>
  <c r="A995" i="2" s="1"/>
  <c r="A996" i="2" s="1"/>
  <c r="A997" i="2" s="1"/>
  <c r="A998" i="2" s="1"/>
  <c r="A999" i="2" s="1"/>
  <c r="A1000" i="2" s="1"/>
  <c r="A1001" i="2" s="1"/>
  <c r="A1002" i="2" s="1"/>
  <c r="A1003" i="2" s="1"/>
  <c r="A1004" i="2" s="1"/>
  <c r="A1005" i="2" s="1"/>
  <c r="A1006" i="2" s="1"/>
  <c r="A1007" i="2" s="1"/>
  <c r="A1008" i="2" s="1"/>
  <c r="A1009" i="2" s="1"/>
  <c r="A1010" i="2" s="1"/>
  <c r="A1011" i="2" s="1"/>
  <c r="A1012" i="2" s="1"/>
  <c r="A1013" i="2" s="1"/>
  <c r="A1014" i="2" s="1"/>
  <c r="A1015" i="2" s="1"/>
  <c r="A1016" i="2" s="1"/>
  <c r="A1017" i="2" s="1"/>
  <c r="A1018" i="2" s="1"/>
  <c r="A1019" i="2" s="1"/>
  <c r="A1020" i="2" s="1"/>
  <c r="A1021" i="2" s="1"/>
  <c r="A1022" i="2" s="1"/>
  <c r="A1023" i="2" s="1"/>
  <c r="A1024" i="2" s="1"/>
  <c r="A1025" i="2" s="1"/>
  <c r="A1026" i="2" s="1"/>
  <c r="A1027" i="2" s="1"/>
  <c r="A1028" i="2" s="1"/>
  <c r="A1029" i="2" s="1"/>
  <c r="A1030" i="2" s="1"/>
  <c r="A1031" i="2" s="1"/>
  <c r="A1032" i="2" s="1"/>
  <c r="A1033" i="2" s="1"/>
  <c r="A1034" i="2" s="1"/>
  <c r="A1035" i="2" s="1"/>
  <c r="A1036" i="2" s="1"/>
  <c r="A1037" i="2" s="1"/>
  <c r="A1038" i="2" s="1"/>
  <c r="A1039" i="2" s="1"/>
  <c r="A1040" i="2" s="1"/>
  <c r="A1041" i="2" s="1"/>
  <c r="A1042" i="2" s="1"/>
  <c r="A1043" i="2" s="1"/>
  <c r="A1044" i="2" s="1"/>
  <c r="A1045" i="2" s="1"/>
  <c r="A1046" i="2" s="1"/>
  <c r="A1047" i="2" s="1"/>
  <c r="A1048" i="2" s="1"/>
  <c r="A1049" i="2" s="1"/>
  <c r="A1050" i="2" s="1"/>
  <c r="A1051" i="2" s="1"/>
  <c r="A1052" i="2" s="1"/>
  <c r="A1053" i="2" s="1"/>
  <c r="A1054" i="2" s="1"/>
  <c r="A1055" i="2" s="1"/>
  <c r="A1056" i="2" s="1"/>
  <c r="A1057" i="2" s="1"/>
  <c r="A1058" i="2" s="1"/>
  <c r="A1059" i="2" s="1"/>
  <c r="A1060" i="2" s="1"/>
  <c r="A1061" i="2" s="1"/>
  <c r="A1062" i="2" s="1"/>
  <c r="A1063" i="2" s="1"/>
  <c r="A1064" i="2" s="1"/>
  <c r="A1065" i="2" s="1"/>
  <c r="A1066" i="2" s="1"/>
  <c r="A1067" i="2" s="1"/>
  <c r="A1068" i="2" s="1"/>
  <c r="A1069" i="2" s="1"/>
  <c r="A1070" i="2" s="1"/>
  <c r="A1071" i="2" s="1"/>
  <c r="A1072" i="2" s="1"/>
  <c r="A1073" i="2" s="1"/>
  <c r="A1074" i="2" s="1"/>
  <c r="A1075" i="2" s="1"/>
  <c r="A1076" i="2" s="1"/>
  <c r="A1077" i="2" s="1"/>
  <c r="A1078" i="2" s="1"/>
  <c r="A1079" i="2" s="1"/>
  <c r="A1080" i="2" s="1"/>
  <c r="A1081" i="2" s="1"/>
  <c r="A1082" i="2" s="1"/>
  <c r="A1083" i="2" s="1"/>
  <c r="A1084" i="2" s="1"/>
  <c r="A1085" i="2" s="1"/>
  <c r="A1086" i="2" s="1"/>
  <c r="A1087" i="2" s="1"/>
  <c r="A1088" i="2" s="1"/>
  <c r="A1089" i="2" s="1"/>
  <c r="A1090" i="2" s="1"/>
  <c r="A1091" i="2" s="1"/>
  <c r="A1092" i="2" s="1"/>
  <c r="A1093" i="2" s="1"/>
  <c r="A1094" i="2" s="1"/>
  <c r="A1095" i="2" s="1"/>
  <c r="A1096" i="2" s="1"/>
  <c r="A1097" i="2" s="1"/>
  <c r="A1098" i="2" s="1"/>
  <c r="A1099" i="2" s="1"/>
  <c r="A1100" i="2" s="1"/>
  <c r="A1101" i="2" s="1"/>
  <c r="A1102" i="2" s="1"/>
  <c r="A1103" i="2" s="1"/>
  <c r="A1104" i="2" s="1"/>
  <c r="A1234" i="2" s="1"/>
  <c r="A1235" i="2" s="1"/>
  <c r="A1236" i="2" s="1"/>
  <c r="A1237" i="2" s="1"/>
  <c r="A1238" i="2" s="1"/>
  <c r="A1239" i="2" s="1"/>
  <c r="A1240" i="2" s="1"/>
  <c r="A1241" i="2" s="1"/>
  <c r="A1242" i="2" s="1"/>
  <c r="A1243" i="2" s="1"/>
  <c r="A1244" i="2" s="1"/>
  <c r="A1245" i="2" s="1"/>
  <c r="A1246" i="2" s="1"/>
  <c r="A1247" i="2" s="1"/>
  <c r="A1248" i="2" s="1"/>
  <c r="A1249" i="2" s="1"/>
  <c r="A1250" i="2" s="1"/>
  <c r="A1251" i="2" s="1"/>
  <c r="A1252" i="2" s="1"/>
  <c r="A1253" i="2" s="1"/>
  <c r="A1254" i="2" s="1"/>
  <c r="A1255" i="2" s="1"/>
  <c r="A1256" i="2" s="1"/>
  <c r="A1257" i="2" s="1"/>
  <c r="A1258" i="2" s="1"/>
  <c r="A1259" i="2" s="1"/>
  <c r="A1260" i="2" s="1"/>
  <c r="A1261" i="2" s="1"/>
  <c r="A1262" i="2" s="1"/>
  <c r="A1263" i="2" s="1"/>
  <c r="A1264" i="2" s="1"/>
  <c r="A1265" i="2" s="1"/>
  <c r="A1266" i="2" s="1"/>
  <c r="A1267" i="2" s="1"/>
  <c r="A1268" i="2" s="1"/>
  <c r="A1269" i="2" s="1"/>
  <c r="A1270" i="2" s="1"/>
  <c r="A1271" i="2" s="1"/>
  <c r="A1272" i="2" s="1"/>
  <c r="A1273" i="2" s="1"/>
  <c r="A1274" i="2" s="1"/>
  <c r="A839" i="2"/>
  <c r="A840" i="2" s="1"/>
  <c r="A841" i="2" s="1"/>
  <c r="A842" i="2" s="1"/>
  <c r="A843" i="2" s="1"/>
  <c r="AI16" i="18" l="1"/>
  <c r="AH98" i="18"/>
  <c r="AH109" i="18"/>
  <c r="AH84" i="18"/>
  <c r="Y22" i="18"/>
  <c r="Y25" i="18"/>
  <c r="Z31" i="18"/>
  <c r="Z32" i="18" s="1"/>
  <c r="AI54" i="18"/>
  <c r="U110" i="18"/>
  <c r="U113" i="18"/>
  <c r="U114" i="18" s="1"/>
  <c r="T21" i="18"/>
  <c r="T15" i="18"/>
  <c r="AD14" i="18"/>
  <c r="X113" i="18"/>
  <c r="X114" i="18" s="1"/>
  <c r="X110" i="18"/>
  <c r="T110" i="18"/>
  <c r="T113" i="18"/>
  <c r="T114" i="18" s="1"/>
  <c r="W31" i="18"/>
  <c r="V32" i="18"/>
  <c r="V33" i="18" s="1"/>
  <c r="V31" i="18"/>
  <c r="AI95" i="18"/>
  <c r="AD11" i="18"/>
  <c r="T13" i="18"/>
  <c r="AD13" i="18" s="1"/>
  <c r="AG13" i="18" s="1"/>
  <c r="AA31" i="18"/>
  <c r="AA32" i="18"/>
  <c r="AA33" i="18" s="1"/>
  <c r="AF14" i="18"/>
  <c r="AB21" i="18"/>
  <c r="AB15" i="18"/>
  <c r="AD84" i="18"/>
  <c r="AG85" i="18"/>
  <c r="Q379" i="18"/>
  <c r="AC381" i="18"/>
  <c r="AC379" i="18" s="1"/>
  <c r="AI42" i="18"/>
  <c r="AI41" i="18" s="1"/>
  <c r="AH41" i="18"/>
  <c r="T17" i="18"/>
  <c r="AB13" i="18"/>
  <c r="AF13" i="18" s="1"/>
  <c r="AF1095" i="18"/>
  <c r="AH88" i="18"/>
  <c r="AF84" i="18"/>
  <c r="V376" i="18"/>
  <c r="R31" i="18"/>
  <c r="R32" i="18" s="1"/>
  <c r="R33" i="18" s="1"/>
  <c r="AG88" i="18"/>
  <c r="AI88" i="18" s="1"/>
  <c r="AC84" i="18"/>
  <c r="V398" i="18"/>
  <c r="V364" i="18" s="1"/>
  <c r="V390" i="18"/>
  <c r="V251" i="18" s="1"/>
  <c r="AC1095" i="18"/>
  <c r="AG11" i="18"/>
  <c r="AG17" i="18" s="1"/>
  <c r="AC17" i="18"/>
  <c r="AB110" i="18"/>
  <c r="AB113" i="18"/>
  <c r="AB114" i="18" s="1"/>
  <c r="AE110" i="18"/>
  <c r="AE113" i="18"/>
  <c r="AE114" i="18" s="1"/>
  <c r="AG97" i="18"/>
  <c r="AG109" i="18" s="1"/>
  <c r="AI102" i="18"/>
  <c r="AG99" i="18"/>
  <c r="AE84" i="18"/>
  <c r="S31" i="18"/>
  <c r="S32" i="18"/>
  <c r="S33" i="18" s="1"/>
  <c r="Q22" i="18"/>
  <c r="AC21" i="18"/>
  <c r="Q25" i="18"/>
  <c r="AD109" i="18"/>
  <c r="AD98" i="18"/>
  <c r="AH101" i="18"/>
  <c r="AI104" i="18"/>
  <c r="AI101" i="18" s="1"/>
  <c r="AD17" i="18"/>
  <c r="V382" i="18"/>
  <c r="V115" i="18" s="1"/>
  <c r="U21" i="18"/>
  <c r="U15" i="18"/>
  <c r="U13" i="18"/>
  <c r="AE11" i="18"/>
  <c r="X13" i="18"/>
  <c r="AE13" i="18" s="1"/>
  <c r="AF98" i="18"/>
  <c r="AF109" i="18"/>
  <c r="AE14" i="18"/>
  <c r="X15" i="18"/>
  <c r="X21" i="18"/>
  <c r="AH95" i="18"/>
  <c r="AG14" i="18"/>
  <c r="AC15" i="18"/>
  <c r="AI63" i="18"/>
  <c r="AI64" i="18"/>
  <c r="AH113" i="18"/>
  <c r="AH114" i="18" s="1"/>
  <c r="AH110" i="18"/>
  <c r="AA386" i="18"/>
  <c r="AA169" i="18" s="1"/>
  <c r="AA382" i="18"/>
  <c r="AA115" i="18" s="1"/>
  <c r="AA376" i="18"/>
  <c r="AE379" i="18"/>
  <c r="AC1078" i="18"/>
  <c r="Q1083" i="18"/>
  <c r="X1098" i="18"/>
  <c r="X1096" i="18" s="1"/>
  <c r="X1097" i="18" s="1"/>
  <c r="S386" i="18"/>
  <c r="S169" i="18" s="1"/>
  <c r="S390" i="18"/>
  <c r="S251" i="18" s="1"/>
  <c r="S376" i="18"/>
  <c r="S382" i="18"/>
  <c r="S115" i="18" s="1"/>
  <c r="S398" i="18"/>
  <c r="S364" i="18" s="1"/>
  <c r="Y1095" i="18"/>
  <c r="Y1098" i="18"/>
  <c r="Y1096" i="18" s="1"/>
  <c r="Y1097" i="18" s="1"/>
  <c r="AE1098" i="18"/>
  <c r="AE1096" i="18" s="1"/>
  <c r="AE1103" i="18"/>
  <c r="W386" i="18"/>
  <c r="W169" i="18" s="1"/>
  <c r="AC389" i="18"/>
  <c r="Q387" i="18"/>
  <c r="S221" i="18"/>
  <c r="S234" i="18"/>
  <c r="AI229" i="18"/>
  <c r="AI215" i="18" s="1"/>
  <c r="AG215" i="18"/>
  <c r="W376" i="18"/>
  <c r="AI349" i="18"/>
  <c r="AG344" i="18"/>
  <c r="V359" i="18"/>
  <c r="V362" i="18"/>
  <c r="V363" i="18" s="1"/>
  <c r="AH239" i="18"/>
  <c r="AH225" i="18" s="1"/>
  <c r="AF225" i="18"/>
  <c r="AB386" i="18"/>
  <c r="AB169" i="18" s="1"/>
  <c r="AH762" i="18"/>
  <c r="AD163" i="18"/>
  <c r="AD150" i="18"/>
  <c r="U309" i="18"/>
  <c r="U312" i="18"/>
  <c r="U313" i="18" s="1"/>
  <c r="AF362" i="18"/>
  <c r="Y309" i="18"/>
  <c r="Y312" i="18"/>
  <c r="Y313" i="18" s="1"/>
  <c r="AG468" i="18"/>
  <c r="AG467" i="18" s="1"/>
  <c r="AE235" i="18"/>
  <c r="AE221" i="18" s="1"/>
  <c r="W221" i="18"/>
  <c r="W234" i="18"/>
  <c r="AH237" i="18"/>
  <c r="AH223" i="18" s="1"/>
  <c r="AF223" i="18"/>
  <c r="AG298" i="18"/>
  <c r="AI384" i="18"/>
  <c r="AI583" i="18"/>
  <c r="AI670" i="18"/>
  <c r="W1075" i="18"/>
  <c r="W1072" i="18"/>
  <c r="AI388" i="18"/>
  <c r="AG226" i="18"/>
  <c r="AI240" i="18"/>
  <c r="AI226" i="18" s="1"/>
  <c r="AD283" i="18"/>
  <c r="Y362" i="18"/>
  <c r="Y363" i="18" s="1"/>
  <c r="Y359" i="18"/>
  <c r="AH722" i="18"/>
  <c r="AG461" i="18"/>
  <c r="W1022" i="18"/>
  <c r="AE1022" i="18" s="1"/>
  <c r="AE1021" i="18"/>
  <c r="X387" i="18"/>
  <c r="AH283" i="18"/>
  <c r="AD598" i="18"/>
  <c r="X395" i="18"/>
  <c r="AF308" i="18"/>
  <c r="AF284" i="18"/>
  <c r="T308" i="18"/>
  <c r="T284" i="18"/>
  <c r="AI626" i="18"/>
  <c r="AI773" i="18"/>
  <c r="AI772" i="18" s="1"/>
  <c r="AG772" i="18"/>
  <c r="AG273" i="18"/>
  <c r="AI274" i="18"/>
  <c r="AI273" i="18" s="1"/>
  <c r="Q362" i="18"/>
  <c r="Q363" i="18" s="1"/>
  <c r="Q359" i="18"/>
  <c r="AG767" i="18"/>
  <c r="AG216" i="18"/>
  <c r="AI230" i="18"/>
  <c r="AI216" i="18" s="1"/>
  <c r="W398" i="18"/>
  <c r="W364" i="18" s="1"/>
  <c r="AI468" i="18"/>
  <c r="AI467" i="18" s="1"/>
  <c r="AF222" i="18"/>
  <c r="AH236" i="18"/>
  <c r="AH222" i="18" s="1"/>
  <c r="AH758" i="18"/>
  <c r="AF757" i="18"/>
  <c r="AF1105" i="18" s="1"/>
  <c r="AI228" i="18"/>
  <c r="AI214" i="18" s="1"/>
  <c r="AG214" i="18"/>
  <c r="AG404" i="18"/>
  <c r="AG403" i="18" s="1"/>
  <c r="AB390" i="18"/>
  <c r="AB251" i="18" s="1"/>
  <c r="AG263" i="18"/>
  <c r="AI264" i="18"/>
  <c r="AI263" i="18" s="1"/>
  <c r="AG338" i="18"/>
  <c r="AI345" i="18"/>
  <c r="AG340" i="18"/>
  <c r="AH798" i="18"/>
  <c r="AI799" i="18"/>
  <c r="AI798" i="18" s="1"/>
  <c r="AG670" i="18"/>
  <c r="R394" i="18"/>
  <c r="R314" i="18" s="1"/>
  <c r="R390" i="18"/>
  <c r="R251" i="18" s="1"/>
  <c r="R398" i="18"/>
  <c r="R364" i="18" s="1"/>
  <c r="AG218" i="18"/>
  <c r="AI232" i="18"/>
  <c r="AI218" i="18" s="1"/>
  <c r="AE393" i="18"/>
  <c r="W394" i="18"/>
  <c r="W314" i="18" s="1"/>
  <c r="W391" i="18"/>
  <c r="AB212" i="18"/>
  <c r="AB245" i="18"/>
  <c r="X1101" i="18"/>
  <c r="AC436" i="18"/>
  <c r="S1065" i="18"/>
  <c r="AG219" i="18"/>
  <c r="AI233" i="18"/>
  <c r="AI219" i="18" s="1"/>
  <c r="Q1065" i="18"/>
  <c r="AC1064" i="18"/>
  <c r="Q1071" i="18"/>
  <c r="AG326" i="18"/>
  <c r="AI327" i="18"/>
  <c r="R221" i="18"/>
  <c r="R234" i="18"/>
  <c r="AC235" i="18"/>
  <c r="AD385" i="18"/>
  <c r="T383" i="18"/>
  <c r="V1095" i="18"/>
  <c r="AH853" i="18"/>
  <c r="Y167" i="18"/>
  <c r="Y168" i="18" s="1"/>
  <c r="Y164" i="18"/>
  <c r="AI768" i="18"/>
  <c r="AI767" i="18" s="1"/>
  <c r="AI763" i="18"/>
  <c r="AI762" i="18" s="1"/>
  <c r="AG342" i="18"/>
  <c r="AI347" i="18"/>
  <c r="AI342" i="18" s="1"/>
  <c r="AB382" i="18"/>
  <c r="AB115" i="18" s="1"/>
  <c r="T164" i="18"/>
  <c r="T167" i="18"/>
  <c r="T168" i="18" s="1"/>
  <c r="AE397" i="18"/>
  <c r="AI542" i="18"/>
  <c r="S167" i="18"/>
  <c r="S168" i="18" s="1"/>
  <c r="S164" i="18"/>
  <c r="V221" i="18"/>
  <c r="V234" i="18"/>
  <c r="AD235" i="18"/>
  <c r="AD221" i="18" s="1"/>
  <c r="U376" i="18"/>
  <c r="AI404" i="18"/>
  <c r="AI403" i="18" s="1"/>
  <c r="AG381" i="18"/>
  <c r="AC358" i="18"/>
  <c r="AC339" i="18"/>
  <c r="AH651" i="18"/>
  <c r="AH643" i="18" s="1"/>
  <c r="AH759" i="18"/>
  <c r="AI759" i="18" s="1"/>
  <c r="AA390" i="18"/>
  <c r="AA251" i="18" s="1"/>
  <c r="AA387" i="18"/>
  <c r="AF389" i="18"/>
  <c r="R382" i="18"/>
  <c r="R115" i="18" s="1"/>
  <c r="AH154" i="18"/>
  <c r="S1095" i="18"/>
  <c r="AI701" i="18"/>
  <c r="AI690" i="18" s="1"/>
  <c r="AI689" i="18" s="1"/>
  <c r="V1104" i="18"/>
  <c r="AD757" i="18"/>
  <c r="AD1105" i="18" s="1"/>
  <c r="AH138" i="18"/>
  <c r="AB164" i="18"/>
  <c r="AB167" i="18"/>
  <c r="AB168" i="18" s="1"/>
  <c r="AI151" i="18"/>
  <c r="AE339" i="18"/>
  <c r="AE358" i="18"/>
  <c r="Z398" i="18"/>
  <c r="Z364" i="18" s="1"/>
  <c r="AF397" i="18"/>
  <c r="Z395" i="18"/>
  <c r="AG445" i="18"/>
  <c r="AG444" i="18" s="1"/>
  <c r="AG443" i="18" s="1"/>
  <c r="AI446" i="18"/>
  <c r="AI445" i="18" s="1"/>
  <c r="AI444" i="18" s="1"/>
  <c r="AI443" i="18" s="1"/>
  <c r="AC607" i="18"/>
  <c r="AC599" i="18" s="1"/>
  <c r="AC598" i="18" s="1"/>
  <c r="S1075" i="18"/>
  <c r="S1072" i="18"/>
  <c r="AB362" i="18"/>
  <c r="AB363" i="18" s="1"/>
  <c r="AB359" i="18"/>
  <c r="AI120" i="18"/>
  <c r="AI121" i="18" s="1"/>
  <c r="Z1071" i="18"/>
  <c r="Z1065" i="18"/>
  <c r="T1071" i="18"/>
  <c r="T1065" i="18"/>
  <c r="AI176" i="18"/>
  <c r="AI174" i="18" s="1"/>
  <c r="AI175" i="18" s="1"/>
  <c r="AG174" i="18"/>
  <c r="AG175" i="18" s="1"/>
  <c r="AC181" i="18"/>
  <c r="AG182" i="18"/>
  <c r="W382" i="18"/>
  <c r="W115" i="18" s="1"/>
  <c r="X1065" i="18"/>
  <c r="X1071" i="18"/>
  <c r="AI321" i="18"/>
  <c r="AI319" i="18" s="1"/>
  <c r="AI320" i="18" s="1"/>
  <c r="AG319" i="18"/>
  <c r="AG320" i="18" s="1"/>
  <c r="AI634" i="18"/>
  <c r="AI632" i="18" s="1"/>
  <c r="AG632" i="18"/>
  <c r="T1087" i="18"/>
  <c r="T1081" i="18"/>
  <c r="AH377" i="18"/>
  <c r="X362" i="18"/>
  <c r="X363" i="18" s="1"/>
  <c r="X359" i="18"/>
  <c r="T397" i="18"/>
  <c r="T370" i="18"/>
  <c r="T1022" i="18"/>
  <c r="AD1022" i="18" s="1"/>
  <c r="AG1022" i="18" s="1"/>
  <c r="AD1021" i="18"/>
  <c r="AG1021" i="18" s="1"/>
  <c r="AI1021" i="18" s="1"/>
  <c r="Z382" i="18"/>
  <c r="Z115" i="18" s="1"/>
  <c r="AF381" i="18"/>
  <c r="Z378" i="18"/>
  <c r="Z379" i="18"/>
  <c r="Q397" i="18"/>
  <c r="Q370" i="18"/>
  <c r="U362" i="18"/>
  <c r="U363" i="18" s="1"/>
  <c r="U359" i="18"/>
  <c r="T212" i="18"/>
  <c r="T245" i="18"/>
  <c r="AB312" i="18"/>
  <c r="AB313" i="18" s="1"/>
  <c r="AB309" i="18"/>
  <c r="AC393" i="18"/>
  <c r="Q391" i="18"/>
  <c r="AF651" i="18"/>
  <c r="AF643" i="18" s="1"/>
  <c r="AG652" i="18"/>
  <c r="AG651" i="18" s="1"/>
  <c r="AG643" i="18" s="1"/>
  <c r="AC225" i="18"/>
  <c r="AG239" i="18"/>
  <c r="AG227" i="18"/>
  <c r="AC213" i="18"/>
  <c r="Y1065" i="18"/>
  <c r="Y1071" i="18"/>
  <c r="AA167" i="18"/>
  <c r="AA168" i="18" s="1"/>
  <c r="AA164" i="18"/>
  <c r="T1078" i="18"/>
  <c r="AC141" i="18"/>
  <c r="Q142" i="18"/>
  <c r="AG341" i="18"/>
  <c r="AI346" i="18"/>
  <c r="AI341" i="18" s="1"/>
  <c r="AC385" i="18"/>
  <c r="Q383" i="18"/>
  <c r="Q378" i="18"/>
  <c r="AB1087" i="18"/>
  <c r="AB1081" i="18"/>
  <c r="AG285" i="18"/>
  <c r="AG283" i="18"/>
  <c r="AI294" i="18"/>
  <c r="AI609" i="18"/>
  <c r="AI608" i="18" s="1"/>
  <c r="AG608" i="18"/>
  <c r="AA249" i="18"/>
  <c r="AA250" i="18" s="1"/>
  <c r="AA246" i="18"/>
  <c r="AC222" i="18"/>
  <c r="AG236" i="18"/>
  <c r="AH331" i="18"/>
  <c r="AF326" i="18"/>
  <c r="AF339" i="18" s="1"/>
  <c r="Y1104" i="18"/>
  <c r="AC757" i="18"/>
  <c r="AC1105" i="18" s="1"/>
  <c r="AG758" i="18"/>
  <c r="Y1087" i="18"/>
  <c r="Y1081" i="18"/>
  <c r="AH1022" i="18"/>
  <c r="AG437" i="18"/>
  <c r="AG436" i="18" s="1"/>
  <c r="AI197" i="18"/>
  <c r="AI196" i="18" s="1"/>
  <c r="AG196" i="18"/>
  <c r="AB1075" i="18"/>
  <c r="AB394" i="18"/>
  <c r="AB314" i="18" s="1"/>
  <c r="AF607" i="18"/>
  <c r="AF599" i="18" s="1"/>
  <c r="AF598" i="18" s="1"/>
  <c r="AI652" i="18"/>
  <c r="AA1087" i="18"/>
  <c r="AA1081" i="18"/>
  <c r="AI392" i="18"/>
  <c r="AF235" i="18"/>
  <c r="Z221" i="18"/>
  <c r="Z234" i="18"/>
  <c r="Q519" i="18"/>
  <c r="Q518" i="18" s="1"/>
  <c r="Q156" i="18"/>
  <c r="AG792" i="18"/>
  <c r="AI980" i="18"/>
  <c r="AH979" i="18"/>
  <c r="AH976" i="18"/>
  <c r="AH975" i="18" s="1"/>
  <c r="AC1066" i="18"/>
  <c r="Q1067" i="18"/>
  <c r="R386" i="18"/>
  <c r="R169" i="18" s="1"/>
  <c r="U212" i="18"/>
  <c r="U245" i="18"/>
  <c r="U1080" i="18"/>
  <c r="AC308" i="18"/>
  <c r="AC284" i="18"/>
  <c r="AG524" i="18"/>
  <c r="AG523" i="18" s="1"/>
  <c r="AG519" i="18" s="1"/>
  <c r="AG518" i="18" s="1"/>
  <c r="AI525" i="18"/>
  <c r="AI524" i="18" s="1"/>
  <c r="AI523" i="18" s="1"/>
  <c r="AI519" i="18" s="1"/>
  <c r="AI518" i="18" s="1"/>
  <c r="AH792" i="18"/>
  <c r="AD377" i="18"/>
  <c r="Y245" i="18"/>
  <c r="Y212" i="18"/>
  <c r="Y395" i="18"/>
  <c r="Y378" i="18"/>
  <c r="AI396" i="18"/>
  <c r="X378" i="18"/>
  <c r="X390" i="18" s="1"/>
  <c r="X251" i="18" s="1"/>
  <c r="X379" i="18"/>
  <c r="AH1021" i="18"/>
  <c r="AI437" i="18"/>
  <c r="W1095" i="18"/>
  <c r="AA394" i="18"/>
  <c r="AA314" i="18" s="1"/>
  <c r="AA391" i="18"/>
  <c r="AF393" i="18"/>
  <c r="AF156" i="18"/>
  <c r="Z152" i="18"/>
  <c r="Z139" i="18"/>
  <c r="Z149" i="18"/>
  <c r="AI127" i="18"/>
  <c r="X312" i="18"/>
  <c r="X313" i="18" s="1"/>
  <c r="X309" i="18"/>
  <c r="AD213" i="18"/>
  <c r="AH607" i="18"/>
  <c r="AH599" i="18" s="1"/>
  <c r="AH711" i="18"/>
  <c r="AH690" i="18" s="1"/>
  <c r="AH689" i="18" s="1"/>
  <c r="AI713" i="18"/>
  <c r="AI711" i="18" s="1"/>
  <c r="Q245" i="18"/>
  <c r="Q212" i="18"/>
  <c r="R598" i="18"/>
  <c r="AI157" i="18"/>
  <c r="AI153" i="18" s="1"/>
  <c r="X245" i="18"/>
  <c r="X212" i="18"/>
  <c r="U394" i="18"/>
  <c r="U314" i="18" s="1"/>
  <c r="U390" i="18"/>
  <c r="U251" i="18" s="1"/>
  <c r="AH217" i="18"/>
  <c r="AI231" i="18"/>
  <c r="AI217" i="18" s="1"/>
  <c r="AD339" i="18"/>
  <c r="AD358" i="18"/>
  <c r="AC518" i="18"/>
  <c r="AI792" i="18"/>
  <c r="AD379" i="18"/>
  <c r="S394" i="18"/>
  <c r="S314" i="18" s="1"/>
  <c r="S391" i="18"/>
  <c r="AC224" i="18"/>
  <c r="AG238" i="18"/>
  <c r="Z1095" i="18"/>
  <c r="AE308" i="18"/>
  <c r="AE284" i="18"/>
  <c r="AH567" i="18"/>
  <c r="AG379" i="18"/>
  <c r="AI380" i="18"/>
  <c r="AH340" i="18"/>
  <c r="AH338" i="18"/>
  <c r="AC223" i="18"/>
  <c r="AG237" i="18"/>
  <c r="AE1064" i="18"/>
  <c r="AF213" i="18"/>
  <c r="AH227" i="18"/>
  <c r="AH385" i="18"/>
  <c r="U1098" i="18"/>
  <c r="U1096" i="18" s="1"/>
  <c r="U1095" i="18"/>
  <c r="W1078" i="18"/>
  <c r="AB1062" i="18"/>
  <c r="AF1062" i="18" s="1"/>
  <c r="X146" i="18"/>
  <c r="AE146" i="18" s="1"/>
  <c r="AE139" i="18"/>
  <c r="X137" i="18"/>
  <c r="AE137" i="18"/>
  <c r="AG723" i="18"/>
  <c r="AG722" i="18" s="1"/>
  <c r="R1071" i="18"/>
  <c r="AI616" i="18"/>
  <c r="AI614" i="18" s="1"/>
  <c r="AG614" i="18"/>
  <c r="R152" i="18"/>
  <c r="R139" i="18"/>
  <c r="R149" i="18"/>
  <c r="AF1078" i="18"/>
  <c r="Z1083" i="18"/>
  <c r="U1071" i="18"/>
  <c r="U1065" i="18"/>
  <c r="AG377" i="18"/>
  <c r="AG154" i="18"/>
  <c r="AI158" i="18"/>
  <c r="AI154" i="18" s="1"/>
  <c r="AI567" i="18"/>
  <c r="AI189" i="18"/>
  <c r="AH1066" i="18"/>
  <c r="W390" i="18"/>
  <c r="W251" i="18" s="1"/>
  <c r="AF181" i="18"/>
  <c r="AH182" i="18"/>
  <c r="AH181" i="18" s="1"/>
  <c r="AG138" i="18"/>
  <c r="AE213" i="18"/>
  <c r="AA309" i="18"/>
  <c r="AA312" i="18"/>
  <c r="AA313" i="18" s="1"/>
  <c r="AI660" i="18"/>
  <c r="AI658" i="18" s="1"/>
  <c r="AG658" i="18"/>
  <c r="AA398" i="18"/>
  <c r="AA364" i="18" s="1"/>
  <c r="AA395" i="18"/>
  <c r="AD1062" i="18"/>
  <c r="AD1067" i="18" s="1"/>
  <c r="AA1095" i="18"/>
  <c r="AI1079" i="18"/>
  <c r="AE1062" i="18"/>
  <c r="AE1067" i="18" s="1"/>
  <c r="AI461" i="18"/>
  <c r="AI1082" i="18"/>
  <c r="U398" i="18"/>
  <c r="U364" i="18" s="1"/>
  <c r="U395" i="18"/>
  <c r="X1080" i="18"/>
  <c r="X150" i="18"/>
  <c r="X163" i="18"/>
  <c r="AE149" i="18"/>
  <c r="AI723" i="18"/>
  <c r="AI722" i="18" s="1"/>
  <c r="BH1454" i="2"/>
  <c r="BG1454" i="2"/>
  <c r="BF1454" i="2"/>
  <c r="BE1454" i="2"/>
  <c r="BD1454" i="2"/>
  <c r="BC1454" i="2"/>
  <c r="BB1454" i="2"/>
  <c r="AZ1454" i="2"/>
  <c r="AY1454" i="2"/>
  <c r="AX1454" i="2"/>
  <c r="AW1454" i="2"/>
  <c r="AV1454" i="2"/>
  <c r="AU1454" i="2"/>
  <c r="AT1454" i="2"/>
  <c r="AR1454" i="2"/>
  <c r="AQ1454" i="2"/>
  <c r="AP1454" i="2"/>
  <c r="AO1454" i="2"/>
  <c r="AN1454" i="2"/>
  <c r="AM1454" i="2"/>
  <c r="AL1454" i="2"/>
  <c r="BH1061" i="2"/>
  <c r="BG1061" i="2"/>
  <c r="BF1061" i="2"/>
  <c r="BE1061" i="2"/>
  <c r="BD1061" i="2"/>
  <c r="BC1061" i="2"/>
  <c r="BB1061" i="2"/>
  <c r="AZ1061" i="2"/>
  <c r="AY1061" i="2"/>
  <c r="AX1061" i="2"/>
  <c r="AW1061" i="2"/>
  <c r="AV1061" i="2"/>
  <c r="AU1061" i="2"/>
  <c r="AT1061" i="2"/>
  <c r="AR1061" i="2"/>
  <c r="AQ1061" i="2"/>
  <c r="AP1061" i="2"/>
  <c r="AO1061" i="2"/>
  <c r="AN1061" i="2"/>
  <c r="AM1061" i="2"/>
  <c r="AL1061" i="2"/>
  <c r="BH451" i="2"/>
  <c r="BG451" i="2"/>
  <c r="BF451" i="2"/>
  <c r="BE451" i="2"/>
  <c r="BD451" i="2"/>
  <c r="BC451" i="2"/>
  <c r="BB451" i="2"/>
  <c r="AZ451" i="2"/>
  <c r="AY451" i="2"/>
  <c r="AX451" i="2"/>
  <c r="AW451" i="2"/>
  <c r="AV451" i="2"/>
  <c r="AU451" i="2"/>
  <c r="AT451" i="2"/>
  <c r="AR451" i="2"/>
  <c r="AQ451" i="2"/>
  <c r="AP451" i="2"/>
  <c r="AO451" i="2"/>
  <c r="AN451" i="2"/>
  <c r="AM451" i="2"/>
  <c r="AL451" i="2"/>
  <c r="BH78" i="2"/>
  <c r="BG78" i="2"/>
  <c r="BF78" i="2"/>
  <c r="BE78" i="2"/>
  <c r="BD78" i="2"/>
  <c r="BC78" i="2"/>
  <c r="BB78" i="2"/>
  <c r="AZ78" i="2"/>
  <c r="AY78" i="2"/>
  <c r="AX78" i="2"/>
  <c r="AW78" i="2"/>
  <c r="AV78" i="2"/>
  <c r="AU78" i="2"/>
  <c r="AT78" i="2"/>
  <c r="AR78" i="2"/>
  <c r="AQ78" i="2"/>
  <c r="AP78" i="2"/>
  <c r="AO78" i="2"/>
  <c r="AN78" i="2"/>
  <c r="AM78" i="2"/>
  <c r="AL78" i="2"/>
  <c r="AI13" i="18" l="1"/>
  <c r="Z33" i="18"/>
  <c r="U25" i="18"/>
  <c r="U22" i="18"/>
  <c r="AI99" i="18"/>
  <c r="AI97" i="18"/>
  <c r="AG21" i="18"/>
  <c r="AC22" i="18"/>
  <c r="AG113" i="18"/>
  <c r="AG114" i="18" s="1"/>
  <c r="AG110" i="18"/>
  <c r="T25" i="18"/>
  <c r="AD21" i="18"/>
  <c r="AD22" i="18" s="1"/>
  <c r="T22" i="18"/>
  <c r="Q26" i="18"/>
  <c r="AC25" i="18"/>
  <c r="Q30" i="18"/>
  <c r="AH14" i="18"/>
  <c r="AF15" i="18"/>
  <c r="Y26" i="18"/>
  <c r="Y30" i="18"/>
  <c r="AF113" i="18"/>
  <c r="AF114" i="18" s="1"/>
  <c r="AF110" i="18"/>
  <c r="W32" i="18"/>
  <c r="U1101" i="18"/>
  <c r="AI85" i="18"/>
  <c r="AI84" i="18" s="1"/>
  <c r="AG84" i="18"/>
  <c r="AD1095" i="18"/>
  <c r="AG15" i="18"/>
  <c r="AI14" i="18"/>
  <c r="AI15" i="18" s="1"/>
  <c r="AE15" i="18"/>
  <c r="AE1095" i="18"/>
  <c r="AH11" i="18"/>
  <c r="AE1071" i="18"/>
  <c r="AE1072" i="18" s="1"/>
  <c r="AD113" i="18"/>
  <c r="AD114" i="18" s="1"/>
  <c r="AD110" i="18"/>
  <c r="AE17" i="18"/>
  <c r="AH13" i="18"/>
  <c r="X22" i="18"/>
  <c r="X25" i="18"/>
  <c r="AE21" i="18"/>
  <c r="AE22" i="18" s="1"/>
  <c r="AG98" i="18"/>
  <c r="AI11" i="18"/>
  <c r="AI1095" i="18" s="1"/>
  <c r="AG1095" i="18"/>
  <c r="AB25" i="18"/>
  <c r="AB22" i="18"/>
  <c r="AF21" i="18"/>
  <c r="AD15" i="18"/>
  <c r="AI17" i="18"/>
  <c r="AH1062" i="18"/>
  <c r="AF1067" i="18"/>
  <c r="R150" i="18"/>
  <c r="R163" i="18"/>
  <c r="AG224" i="18"/>
  <c r="AI238" i="18"/>
  <c r="AI224" i="18" s="1"/>
  <c r="Q1075" i="18"/>
  <c r="AC1071" i="18"/>
  <c r="Q1072" i="18"/>
  <c r="AE1104" i="18"/>
  <c r="AA1088" i="18"/>
  <c r="AA1091" i="18"/>
  <c r="Y1075" i="18"/>
  <c r="Y1072" i="18"/>
  <c r="AH1067" i="18"/>
  <c r="R146" i="18"/>
  <c r="R137" i="18"/>
  <c r="U1097" i="18"/>
  <c r="AI237" i="18"/>
  <c r="AI223" i="18" s="1"/>
  <c r="AG223" i="18"/>
  <c r="R1062" i="18"/>
  <c r="AH598" i="18"/>
  <c r="Y382" i="18"/>
  <c r="Y115" i="18" s="1"/>
  <c r="Y394" i="18"/>
  <c r="Y314" i="18" s="1"/>
  <c r="Y390" i="18"/>
  <c r="Y251" i="18" s="1"/>
  <c r="Y376" i="18"/>
  <c r="Y386" i="18"/>
  <c r="Y169" i="18" s="1"/>
  <c r="AF234" i="18"/>
  <c r="Z220" i="18"/>
  <c r="Z211" i="18"/>
  <c r="AI651" i="18"/>
  <c r="AI643" i="18" s="1"/>
  <c r="AB1091" i="18"/>
  <c r="AB1088" i="18"/>
  <c r="AE362" i="18"/>
  <c r="AE363" i="18" s="1"/>
  <c r="AE359" i="18"/>
  <c r="AD1098" i="18"/>
  <c r="AD1096" i="18" s="1"/>
  <c r="AD1103" i="18"/>
  <c r="W1104" i="18"/>
  <c r="AB246" i="18"/>
  <c r="AB249" i="18"/>
  <c r="AB250" i="18" s="1"/>
  <c r="AI340" i="18"/>
  <c r="AI338" i="18"/>
  <c r="X398" i="18"/>
  <c r="X364" i="18" s="1"/>
  <c r="AG289" i="18"/>
  <c r="AI298" i="18"/>
  <c r="AI289" i="18" s="1"/>
  <c r="AE1097" i="18"/>
  <c r="AE1101" i="18"/>
  <c r="AG1078" i="18"/>
  <c r="AC1083" i="18"/>
  <c r="U1072" i="18"/>
  <c r="U1075" i="18"/>
  <c r="X249" i="18"/>
  <c r="X250" i="18" s="1"/>
  <c r="X246" i="18"/>
  <c r="AF152" i="18"/>
  <c r="AH156" i="18"/>
  <c r="AG1066" i="18"/>
  <c r="AC378" i="18"/>
  <c r="AC394" i="18" s="1"/>
  <c r="AC314" i="18" s="1"/>
  <c r="Q382" i="18"/>
  <c r="Q115" i="18" s="1"/>
  <c r="Q376" i="18"/>
  <c r="AI1022" i="18"/>
  <c r="T1072" i="18"/>
  <c r="T1075" i="18"/>
  <c r="Q1095" i="18"/>
  <c r="V220" i="18"/>
  <c r="V211" i="18"/>
  <c r="AD234" i="18"/>
  <c r="S1104" i="18"/>
  <c r="AG235" i="18"/>
  <c r="AC221" i="18"/>
  <c r="AG358" i="18"/>
  <c r="AG339" i="18"/>
  <c r="AF1098" i="18"/>
  <c r="AF1096" i="18" s="1"/>
  <c r="AF1103" i="18"/>
  <c r="AD167" i="18"/>
  <c r="AD168" i="18" s="1"/>
  <c r="AD164" i="18"/>
  <c r="AE1065" i="18"/>
  <c r="Z146" i="18"/>
  <c r="AF146" i="18" s="1"/>
  <c r="AH146" i="18" s="1"/>
  <c r="AF139" i="18"/>
  <c r="Z137" i="18"/>
  <c r="AH358" i="18"/>
  <c r="AD359" i="18"/>
  <c r="AD362" i="18"/>
  <c r="AD363" i="18" s="1"/>
  <c r="AI436" i="18"/>
  <c r="Y398" i="18"/>
  <c r="Y364" i="18" s="1"/>
  <c r="AF221" i="18"/>
  <c r="AH235" i="18"/>
  <c r="AH221" i="18" s="1"/>
  <c r="AG607" i="18"/>
  <c r="AG599" i="18" s="1"/>
  <c r="AG598" i="18" s="1"/>
  <c r="AG141" i="18"/>
  <c r="AC142" i="18"/>
  <c r="AG393" i="18"/>
  <c r="AC391" i="18"/>
  <c r="T1091" i="18"/>
  <c r="T1088" i="18"/>
  <c r="AG181" i="18"/>
  <c r="AI182" i="18"/>
  <c r="AI181" i="18" s="1"/>
  <c r="R220" i="18"/>
  <c r="AC234" i="18"/>
  <c r="R211" i="18"/>
  <c r="R1080" i="18" s="1"/>
  <c r="AH757" i="18"/>
  <c r="AH1105" i="18" s="1"/>
  <c r="AH284" i="18"/>
  <c r="AH308" i="18"/>
  <c r="AF359" i="18"/>
  <c r="U1110" i="18"/>
  <c r="U1111" i="18" s="1"/>
  <c r="U1102" i="18"/>
  <c r="U1108" i="18" s="1"/>
  <c r="U1109" i="18" s="1"/>
  <c r="AE163" i="18"/>
  <c r="AE150" i="18"/>
  <c r="AI138" i="18"/>
  <c r="AF1083" i="18"/>
  <c r="AB1067" i="18"/>
  <c r="AB1065" i="18"/>
  <c r="AH213" i="18"/>
  <c r="AE312" i="18"/>
  <c r="AE313" i="18" s="1"/>
  <c r="AE309" i="18"/>
  <c r="AC309" i="18"/>
  <c r="AC312" i="18"/>
  <c r="AC313" i="18" s="1"/>
  <c r="Y1091" i="18"/>
  <c r="Y1088" i="18"/>
  <c r="AI607" i="18"/>
  <c r="AI599" i="18" s="1"/>
  <c r="AI598" i="18" s="1"/>
  <c r="AG385" i="18"/>
  <c r="AC386" i="18"/>
  <c r="AC169" i="18" s="1"/>
  <c r="AC383" i="18"/>
  <c r="AD1078" i="18"/>
  <c r="AD1083" i="18" s="1"/>
  <c r="T1083" i="18"/>
  <c r="Q394" i="18"/>
  <c r="Q314" i="18" s="1"/>
  <c r="AC397" i="18"/>
  <c r="Q398" i="18"/>
  <c r="Q364" i="18" s="1"/>
  <c r="Q395" i="18"/>
  <c r="AD397" i="18"/>
  <c r="T395" i="18"/>
  <c r="Z1075" i="18"/>
  <c r="Z1072" i="18"/>
  <c r="AD308" i="18"/>
  <c r="AD284" i="18"/>
  <c r="AF363" i="18"/>
  <c r="Q390" i="18"/>
  <c r="Q251" i="18" s="1"/>
  <c r="Y1101" i="18"/>
  <c r="AB1098" i="18"/>
  <c r="AB1096" i="18" s="1"/>
  <c r="AB1095" i="18"/>
  <c r="V1064" i="18"/>
  <c r="Y249" i="18"/>
  <c r="Y250" i="18" s="1"/>
  <c r="Y246" i="18"/>
  <c r="U1087" i="18"/>
  <c r="U1081" i="18"/>
  <c r="AI979" i="18"/>
  <c r="AI976" i="18"/>
  <c r="AI975" i="18" s="1"/>
  <c r="AB1072" i="18"/>
  <c r="AG757" i="18"/>
  <c r="AG1105" i="18" s="1"/>
  <c r="AI758" i="18"/>
  <c r="AI757" i="18" s="1"/>
  <c r="AI1105" i="18" s="1"/>
  <c r="AI283" i="18"/>
  <c r="AI285" i="18"/>
  <c r="Q386" i="18"/>
  <c r="Q169" i="18" s="1"/>
  <c r="T1098" i="18"/>
  <c r="T1096" i="18" s="1"/>
  <c r="T1097" i="18" s="1"/>
  <c r="T1095" i="18"/>
  <c r="AG213" i="18"/>
  <c r="AI227" i="18"/>
  <c r="AC362" i="18"/>
  <c r="AC363" i="18" s="1"/>
  <c r="AC359" i="18"/>
  <c r="AE395" i="18"/>
  <c r="AA1104" i="18"/>
  <c r="AH383" i="18"/>
  <c r="AE391" i="18"/>
  <c r="T312" i="18"/>
  <c r="T313" i="18" s="1"/>
  <c r="T309" i="18"/>
  <c r="AE234" i="18"/>
  <c r="W220" i="18"/>
  <c r="W211" i="18"/>
  <c r="AC390" i="18"/>
  <c r="AC251" i="18" s="1"/>
  <c r="AG389" i="18"/>
  <c r="AC387" i="18"/>
  <c r="X1075" i="18"/>
  <c r="AE1075" i="18" s="1"/>
  <c r="X1072" i="18"/>
  <c r="X167" i="18"/>
  <c r="X168" i="18" s="1"/>
  <c r="X164" i="18"/>
  <c r="R1075" i="18"/>
  <c r="R1072" i="18"/>
  <c r="AE1078" i="18"/>
  <c r="AE1083" i="18" s="1"/>
  <c r="W1083" i="18"/>
  <c r="Q249" i="18"/>
  <c r="Q250" i="18" s="1"/>
  <c r="Q246" i="18"/>
  <c r="AH393" i="18"/>
  <c r="AF391" i="18"/>
  <c r="X386" i="18"/>
  <c r="X169" i="18" s="1"/>
  <c r="X394" i="18"/>
  <c r="X314" i="18" s="1"/>
  <c r="X376" i="18"/>
  <c r="U246" i="18"/>
  <c r="U249" i="18"/>
  <c r="U250" i="18" s="1"/>
  <c r="AC1098" i="18"/>
  <c r="AC1096" i="18" s="1"/>
  <c r="AC1103" i="18"/>
  <c r="AI331" i="18"/>
  <c r="AI344" i="18" s="1"/>
  <c r="AH326" i="18"/>
  <c r="AH339" i="18" s="1"/>
  <c r="AG284" i="18"/>
  <c r="AG308" i="18"/>
  <c r="AI239" i="18"/>
  <c r="AI225" i="18" s="1"/>
  <c r="AG225" i="18"/>
  <c r="AF378" i="18"/>
  <c r="AF382" i="18" s="1"/>
  <c r="AF115" i="18" s="1"/>
  <c r="Z390" i="18"/>
  <c r="Z251" i="18" s="1"/>
  <c r="Z394" i="18"/>
  <c r="Z314" i="18" s="1"/>
  <c r="Z386" i="18"/>
  <c r="Z169" i="18" s="1"/>
  <c r="Z376" i="18"/>
  <c r="U1104" i="18"/>
  <c r="AH389" i="18"/>
  <c r="AF387" i="18"/>
  <c r="Z1104" i="18"/>
  <c r="AI326" i="18"/>
  <c r="X1110" i="18"/>
  <c r="X1111" i="18" s="1"/>
  <c r="X1102" i="18"/>
  <c r="X1108" i="18" s="1"/>
  <c r="X1109" i="18" s="1"/>
  <c r="X1087" i="18"/>
  <c r="X1081" i="18"/>
  <c r="AI377" i="18"/>
  <c r="AA1064" i="18"/>
  <c r="Z1080" i="18"/>
  <c r="Z150" i="18"/>
  <c r="Z163" i="18"/>
  <c r="AF149" i="18"/>
  <c r="X382" i="18"/>
  <c r="X115" i="18" s="1"/>
  <c r="AC156" i="18"/>
  <c r="Q152" i="18"/>
  <c r="Q149" i="18"/>
  <c r="Q139" i="18"/>
  <c r="AI236" i="18"/>
  <c r="AI222" i="18" s="1"/>
  <c r="AG222" i="18"/>
  <c r="T246" i="18"/>
  <c r="T249" i="18"/>
  <c r="T250" i="18" s="1"/>
  <c r="AH381" i="18"/>
  <c r="AI381" i="18" s="1"/>
  <c r="AF379" i="18"/>
  <c r="AH397" i="18"/>
  <c r="AF395" i="18"/>
  <c r="AD383" i="18"/>
  <c r="AH344" i="18"/>
  <c r="AF312" i="18"/>
  <c r="AF313" i="18" s="1"/>
  <c r="AF309" i="18"/>
  <c r="S220" i="18"/>
  <c r="S211" i="18"/>
  <c r="AE378" i="18"/>
  <c r="AE394" i="18" s="1"/>
  <c r="AE314" i="18" s="1"/>
  <c r="T378" i="18"/>
  <c r="T398" i="18" s="1"/>
  <c r="T364" i="18" s="1"/>
  <c r="AD1389" i="2"/>
  <c r="AD1388" i="2"/>
  <c r="AD1385" i="2"/>
  <c r="AD1384" i="2"/>
  <c r="AD1383" i="2"/>
  <c r="AD1380" i="2"/>
  <c r="AD1379" i="2"/>
  <c r="AD1378" i="2"/>
  <c r="AD1377" i="2"/>
  <c r="AD1376" i="2"/>
  <c r="AD1374" i="2"/>
  <c r="AD1372" i="2"/>
  <c r="AD1371" i="2"/>
  <c r="AD1365" i="2"/>
  <c r="AD1364" i="2"/>
  <c r="AD1363" i="2"/>
  <c r="AD1362" i="2"/>
  <c r="AD1361" i="2"/>
  <c r="AD1359" i="2"/>
  <c r="AD1357" i="2"/>
  <c r="AD1356" i="2"/>
  <c r="AD1350" i="2"/>
  <c r="AD1349" i="2"/>
  <c r="AD1348" i="2"/>
  <c r="AD1347" i="2"/>
  <c r="AD1346" i="2"/>
  <c r="AD1344" i="2"/>
  <c r="AD1342" i="2"/>
  <c r="AD1341" i="2"/>
  <c r="AD1331" i="2"/>
  <c r="AD1330" i="2"/>
  <c r="AD1327" i="2"/>
  <c r="AD1326" i="2"/>
  <c r="AD1325" i="2"/>
  <c r="AD1322" i="2"/>
  <c r="AD1321" i="2"/>
  <c r="AD1320" i="2"/>
  <c r="AD1273" i="2"/>
  <c r="AD1272" i="2"/>
  <c r="AD1271" i="2"/>
  <c r="AD1270" i="2"/>
  <c r="AD1269" i="2"/>
  <c r="AD1268" i="2"/>
  <c r="AD1267" i="2"/>
  <c r="AD1266" i="2"/>
  <c r="AD1265" i="2"/>
  <c r="AD1264" i="2"/>
  <c r="AD1263" i="2"/>
  <c r="AD1262" i="2"/>
  <c r="AD1261" i="2"/>
  <c r="AD1260" i="2"/>
  <c r="AD1259" i="2"/>
  <c r="AD1258" i="2"/>
  <c r="AD1257" i="2"/>
  <c r="AD1256" i="2"/>
  <c r="AD1255" i="2"/>
  <c r="AD1254" i="2"/>
  <c r="AD1253" i="2"/>
  <c r="AD1252" i="2"/>
  <c r="AD1236" i="2"/>
  <c r="AD1231" i="2"/>
  <c r="AD1230" i="2"/>
  <c r="AD1229" i="2"/>
  <c r="AD1216" i="2"/>
  <c r="AD1215" i="2"/>
  <c r="AD1214" i="2"/>
  <c r="AD1213" i="2"/>
  <c r="AD1211" i="2"/>
  <c r="AD1210" i="2"/>
  <c r="AD1209" i="2"/>
  <c r="AD1208" i="2"/>
  <c r="AD1207" i="2"/>
  <c r="AD1205" i="2"/>
  <c r="AD1204" i="2"/>
  <c r="AD1203" i="2"/>
  <c r="AD1202" i="2"/>
  <c r="AD1200" i="2"/>
  <c r="AD1199" i="2"/>
  <c r="AD1198" i="2"/>
  <c r="AD1197" i="2"/>
  <c r="AD1196" i="2"/>
  <c r="AD1147" i="2"/>
  <c r="AD1146" i="2"/>
  <c r="AD1145" i="2"/>
  <c r="AD1144" i="2"/>
  <c r="AD1143" i="2"/>
  <c r="AD1142" i="2"/>
  <c r="AD1141" i="2"/>
  <c r="AD1136" i="2"/>
  <c r="AD1135" i="2"/>
  <c r="AD1134" i="2"/>
  <c r="AD1133" i="2"/>
  <c r="AD1132" i="2"/>
  <c r="AD1131" i="2"/>
  <c r="AD1130" i="2"/>
  <c r="AD1128" i="2"/>
  <c r="AD1127" i="2"/>
  <c r="AD1126" i="2"/>
  <c r="AD1124" i="2"/>
  <c r="AD1123" i="2"/>
  <c r="AD1122" i="2"/>
  <c r="AD1119" i="2"/>
  <c r="AD1118" i="2"/>
  <c r="AD1117" i="2"/>
  <c r="AD1115" i="2"/>
  <c r="AD1114" i="2"/>
  <c r="AD1113" i="2"/>
  <c r="AD1103" i="2"/>
  <c r="AD1100" i="2"/>
  <c r="AD1099" i="2"/>
  <c r="AD1097" i="2"/>
  <c r="AD873" i="2"/>
  <c r="AD872" i="2"/>
  <c r="AD871" i="2"/>
  <c r="AD870" i="2"/>
  <c r="AD868" i="2"/>
  <c r="AD867" i="2"/>
  <c r="AD866" i="2"/>
  <c r="AD865" i="2"/>
  <c r="AD853" i="2"/>
  <c r="AD852" i="2"/>
  <c r="AD851" i="2"/>
  <c r="AD850" i="2"/>
  <c r="AD831" i="2"/>
  <c r="AD830" i="2"/>
  <c r="AD829" i="2"/>
  <c r="AD828" i="2"/>
  <c r="AD827" i="2"/>
  <c r="AD826" i="2"/>
  <c r="AD824" i="2"/>
  <c r="AD823" i="2"/>
  <c r="AD822" i="2"/>
  <c r="AD821" i="2"/>
  <c r="AD819" i="2"/>
  <c r="AD818" i="2"/>
  <c r="AD817" i="2"/>
  <c r="AD816" i="2"/>
  <c r="AD814" i="2"/>
  <c r="AD813" i="2"/>
  <c r="AD812" i="2"/>
  <c r="AD811" i="2"/>
  <c r="AD809" i="2"/>
  <c r="AD808" i="2"/>
  <c r="AD807" i="2"/>
  <c r="AD806" i="2"/>
  <c r="AD804" i="2"/>
  <c r="AD803" i="2"/>
  <c r="AD802" i="2"/>
  <c r="AD801" i="2"/>
  <c r="AD799" i="2"/>
  <c r="AD798" i="2"/>
  <c r="AD797" i="2"/>
  <c r="AD796" i="2"/>
  <c r="AD792" i="2"/>
  <c r="AD791" i="2"/>
  <c r="AD790" i="2"/>
  <c r="AD789" i="2"/>
  <c r="AD788" i="2"/>
  <c r="AD787" i="2"/>
  <c r="AD785" i="2"/>
  <c r="AD784" i="2"/>
  <c r="AD783" i="2"/>
  <c r="AD782" i="2"/>
  <c r="AD780" i="2"/>
  <c r="AD779" i="2"/>
  <c r="AD778" i="2"/>
  <c r="AD777" i="2"/>
  <c r="AD775" i="2"/>
  <c r="AD774" i="2"/>
  <c r="AD773" i="2"/>
  <c r="AD772" i="2"/>
  <c r="AD770" i="2"/>
  <c r="AD769" i="2"/>
  <c r="AD768" i="2"/>
  <c r="AD767" i="2"/>
  <c r="AD765" i="2"/>
  <c r="AD764" i="2"/>
  <c r="AD763" i="2"/>
  <c r="AD762" i="2"/>
  <c r="AD760" i="2"/>
  <c r="AD759" i="2"/>
  <c r="AD758" i="2"/>
  <c r="AD757" i="2"/>
  <c r="AD751" i="2"/>
  <c r="AD750" i="2"/>
  <c r="AD749" i="2"/>
  <c r="AD748" i="2"/>
  <c r="AD746" i="2"/>
  <c r="AD745" i="2"/>
  <c r="AD744" i="2"/>
  <c r="AD742" i="2"/>
  <c r="AD740" i="2"/>
  <c r="AD739" i="2"/>
  <c r="AD738" i="2"/>
  <c r="AD736" i="2"/>
  <c r="AD734" i="2"/>
  <c r="AD733" i="2"/>
  <c r="AD732" i="2"/>
  <c r="AD730" i="2"/>
  <c r="AD728" i="2"/>
  <c r="AD727" i="2"/>
  <c r="AD726" i="2"/>
  <c r="AD724" i="2"/>
  <c r="AD722" i="2"/>
  <c r="AD721" i="2"/>
  <c r="AD720" i="2"/>
  <c r="AD718" i="2"/>
  <c r="AD715" i="2"/>
  <c r="AD714" i="2"/>
  <c r="AD713" i="2"/>
  <c r="AD712" i="2"/>
  <c r="AD711" i="2"/>
  <c r="AD710" i="2"/>
  <c r="AD707" i="2"/>
  <c r="AD706" i="2"/>
  <c r="AD705" i="2"/>
  <c r="AD704" i="2"/>
  <c r="AD702" i="2"/>
  <c r="AD701" i="2"/>
  <c r="AD700" i="2"/>
  <c r="AD698" i="2"/>
  <c r="AD696" i="2"/>
  <c r="AD695" i="2"/>
  <c r="AD694" i="2"/>
  <c r="AD692" i="2"/>
  <c r="AD690" i="2"/>
  <c r="AD689" i="2"/>
  <c r="AD688" i="2"/>
  <c r="AD686" i="2"/>
  <c r="AD684" i="2"/>
  <c r="AD683" i="2"/>
  <c r="AD682" i="2"/>
  <c r="AD680" i="2"/>
  <c r="AD678" i="2"/>
  <c r="AD677" i="2"/>
  <c r="AD676" i="2"/>
  <c r="AD674" i="2"/>
  <c r="AD671" i="2"/>
  <c r="AD670" i="2"/>
  <c r="AD669" i="2"/>
  <c r="AD668" i="2"/>
  <c r="AD667" i="2"/>
  <c r="AD666" i="2"/>
  <c r="AD662" i="2"/>
  <c r="AD661" i="2"/>
  <c r="AD660" i="2"/>
  <c r="AD659" i="2"/>
  <c r="AD658" i="2"/>
  <c r="AD657" i="2"/>
  <c r="AD655" i="2"/>
  <c r="AD654" i="2"/>
  <c r="AD653" i="2"/>
  <c r="AD652" i="2"/>
  <c r="AD651" i="2"/>
  <c r="AD650" i="2"/>
  <c r="AD647" i="2"/>
  <c r="AD646" i="2"/>
  <c r="AD645" i="2"/>
  <c r="AD644" i="2"/>
  <c r="AD643" i="2"/>
  <c r="AD642" i="2"/>
  <c r="AD640" i="2"/>
  <c r="AD639" i="2"/>
  <c r="AD638" i="2"/>
  <c r="AD637" i="2"/>
  <c r="AD636" i="2"/>
  <c r="AD635" i="2"/>
  <c r="AD629" i="2"/>
  <c r="AD628" i="2"/>
  <c r="AD627" i="2"/>
  <c r="AD626" i="2"/>
  <c r="AD625" i="2"/>
  <c r="AD623" i="2"/>
  <c r="AD622" i="2"/>
  <c r="AD621" i="2"/>
  <c r="AD619" i="2"/>
  <c r="AD618" i="2"/>
  <c r="AD617" i="2"/>
  <c r="AD615" i="2"/>
  <c r="AD614" i="2"/>
  <c r="AD613" i="2"/>
  <c r="AD610" i="2"/>
  <c r="AD609" i="2"/>
  <c r="AD606" i="2"/>
  <c r="AD605" i="2"/>
  <c r="AD604" i="2"/>
  <c r="AD603" i="2"/>
  <c r="AD602" i="2"/>
  <c r="AD600" i="2"/>
  <c r="AD599" i="2"/>
  <c r="AD598" i="2"/>
  <c r="AD596" i="2"/>
  <c r="AD595" i="2"/>
  <c r="AD594" i="2"/>
  <c r="AD592" i="2"/>
  <c r="AD591" i="2"/>
  <c r="AD590" i="2"/>
  <c r="AD587" i="2"/>
  <c r="AD586" i="2"/>
  <c r="AD582" i="2"/>
  <c r="AD581" i="2"/>
  <c r="AD580" i="2"/>
  <c r="AD579" i="2"/>
  <c r="AD578" i="2"/>
  <c r="AD576" i="2"/>
  <c r="AD575" i="2"/>
  <c r="AD574" i="2"/>
  <c r="AD571" i="2"/>
  <c r="AD570" i="2"/>
  <c r="AD567" i="2"/>
  <c r="AD566" i="2"/>
  <c r="AD565" i="2"/>
  <c r="AD564" i="2"/>
  <c r="AD563" i="2"/>
  <c r="AD561" i="2"/>
  <c r="AD560" i="2"/>
  <c r="AD559" i="2"/>
  <c r="AD556" i="2"/>
  <c r="AD555" i="2"/>
  <c r="AD549" i="2"/>
  <c r="AD548" i="2"/>
  <c r="AD547" i="2"/>
  <c r="AD546" i="2"/>
  <c r="AD545" i="2"/>
  <c r="AD542" i="2"/>
  <c r="AD541" i="2"/>
  <c r="AD540" i="2"/>
  <c r="AD539" i="2"/>
  <c r="AD538" i="2"/>
  <c r="AD533" i="2"/>
  <c r="AD532" i="2"/>
  <c r="AD531" i="2"/>
  <c r="AD530" i="2"/>
  <c r="AD528" i="2"/>
  <c r="AD527" i="2"/>
  <c r="AD526" i="2"/>
  <c r="AD524" i="2"/>
  <c r="AD523" i="2"/>
  <c r="AD522" i="2"/>
  <c r="AD520" i="2"/>
  <c r="AD519" i="2"/>
  <c r="AD515" i="2"/>
  <c r="AD514" i="2"/>
  <c r="AD513" i="2"/>
  <c r="AD509" i="2"/>
  <c r="AD508" i="2"/>
  <c r="AD507" i="2"/>
  <c r="AD506" i="2"/>
  <c r="AD504" i="2"/>
  <c r="AD503" i="2"/>
  <c r="AD502" i="2"/>
  <c r="AD500" i="2"/>
  <c r="AD499" i="2"/>
  <c r="AD498" i="2"/>
  <c r="AD496" i="2"/>
  <c r="AD495" i="2"/>
  <c r="AD491" i="2"/>
  <c r="AD490" i="2"/>
  <c r="AD489" i="2"/>
  <c r="AD484" i="2"/>
  <c r="AD483" i="2"/>
  <c r="AD482" i="2"/>
  <c r="AD481" i="2"/>
  <c r="AD479" i="2"/>
  <c r="AD478" i="2"/>
  <c r="AD474" i="2"/>
  <c r="AD473" i="2"/>
  <c r="AD472" i="2"/>
  <c r="AD468" i="2"/>
  <c r="AD467" i="2"/>
  <c r="AD466" i="2"/>
  <c r="AD465" i="2"/>
  <c r="AD463" i="2"/>
  <c r="AD462" i="2"/>
  <c r="AD458" i="2"/>
  <c r="AD457" i="2"/>
  <c r="AD456" i="2"/>
  <c r="AD417" i="2"/>
  <c r="AD416" i="2"/>
  <c r="AD415" i="2"/>
  <c r="AD410" i="2"/>
  <c r="AD409" i="2"/>
  <c r="AD400" i="2"/>
  <c r="AD399" i="2"/>
  <c r="AD398" i="2"/>
  <c r="AD396" i="2"/>
  <c r="AD395" i="2"/>
  <c r="AD394" i="2"/>
  <c r="AD393" i="2"/>
  <c r="AD392" i="2"/>
  <c r="AD390" i="2"/>
  <c r="AD370" i="2"/>
  <c r="AD369" i="2"/>
  <c r="AD368" i="2"/>
  <c r="AD366" i="2"/>
  <c r="AD365" i="2"/>
  <c r="AD364" i="2"/>
  <c r="AD345" i="2"/>
  <c r="AD344" i="2"/>
  <c r="AD343" i="2"/>
  <c r="AD338" i="2"/>
  <c r="AD337" i="2"/>
  <c r="AD334" i="2"/>
  <c r="AD333" i="2"/>
  <c r="AD332" i="2"/>
  <c r="AD329" i="2"/>
  <c r="AD328" i="2"/>
  <c r="AD327" i="2"/>
  <c r="AD326" i="2"/>
  <c r="AD324" i="2"/>
  <c r="AD323" i="2"/>
  <c r="AD322" i="2"/>
  <c r="AD309" i="2"/>
  <c r="AD308" i="2"/>
  <c r="AD307" i="2"/>
  <c r="AD306" i="2"/>
  <c r="AD304" i="2"/>
  <c r="AD303" i="2"/>
  <c r="AD302" i="2"/>
  <c r="AD299" i="2"/>
  <c r="AD298" i="2"/>
  <c r="AD297" i="2"/>
  <c r="AD296" i="2"/>
  <c r="AD294" i="2"/>
  <c r="AD293" i="2"/>
  <c r="AD292" i="2"/>
  <c r="AD282" i="2"/>
  <c r="AD281" i="2"/>
  <c r="AD280" i="2"/>
  <c r="AD275" i="2"/>
  <c r="AD274" i="2"/>
  <c r="AD271" i="2"/>
  <c r="AD270" i="2"/>
  <c r="AD269" i="2"/>
  <c r="AD237" i="2"/>
  <c r="AD236" i="2"/>
  <c r="AD235" i="2"/>
  <c r="AD234" i="2"/>
  <c r="AD233" i="2"/>
  <c r="AD232" i="2"/>
  <c r="AD230" i="2"/>
  <c r="AD229" i="2"/>
  <c r="AD228" i="2"/>
  <c r="AD227" i="2"/>
  <c r="AD226" i="2"/>
  <c r="AD225" i="2"/>
  <c r="AD200" i="2"/>
  <c r="AD199" i="2"/>
  <c r="AD198" i="2"/>
  <c r="AD193" i="2"/>
  <c r="AD192" i="2"/>
  <c r="AD189" i="2"/>
  <c r="AD188" i="2"/>
  <c r="AD187" i="2"/>
  <c r="AD168" i="2"/>
  <c r="AD167" i="2"/>
  <c r="AD163" i="2"/>
  <c r="AD162" i="2"/>
  <c r="AD161" i="2"/>
  <c r="AD160" i="2"/>
  <c r="AD149" i="2"/>
  <c r="AD148" i="2"/>
  <c r="AD147" i="2"/>
  <c r="AD144" i="2"/>
  <c r="AD138" i="2"/>
  <c r="AD137" i="2"/>
  <c r="AD134" i="2"/>
  <c r="AD133" i="2"/>
  <c r="AD132" i="2"/>
  <c r="AD116" i="2"/>
  <c r="AD115" i="2"/>
  <c r="AD109" i="2"/>
  <c r="AD108" i="2"/>
  <c r="AD107" i="2"/>
  <c r="AD94" i="2"/>
  <c r="AD93" i="2"/>
  <c r="AD92" i="2"/>
  <c r="AD72" i="2"/>
  <c r="AD71" i="2"/>
  <c r="AD70" i="2"/>
  <c r="AD69" i="2"/>
  <c r="AD66" i="2"/>
  <c r="AD65" i="2"/>
  <c r="AD64" i="2"/>
  <c r="AD63" i="2"/>
  <c r="AD54" i="2"/>
  <c r="AD53" i="2"/>
  <c r="AD52" i="2"/>
  <c r="AD51" i="2"/>
  <c r="AD50" i="2"/>
  <c r="AD49" i="2"/>
  <c r="AD47" i="2"/>
  <c r="AD46" i="2"/>
  <c r="AD45" i="2"/>
  <c r="AD43" i="2"/>
  <c r="AD42" i="2"/>
  <c r="AD41" i="2"/>
  <c r="AD32" i="2"/>
  <c r="AD31" i="2"/>
  <c r="AF398" i="18" l="1"/>
  <c r="AF364" i="18" s="1"/>
  <c r="AB1097" i="18"/>
  <c r="AB30" i="18"/>
  <c r="AB26" i="18"/>
  <c r="AF25" i="18"/>
  <c r="AI98" i="18"/>
  <c r="AI109" i="18"/>
  <c r="AF22" i="18"/>
  <c r="AH21" i="18"/>
  <c r="AH22" i="18" s="1"/>
  <c r="AG22" i="18"/>
  <c r="Y31" i="18"/>
  <c r="Y32" i="18"/>
  <c r="Y33" i="18" s="1"/>
  <c r="AC26" i="18"/>
  <c r="T30" i="18"/>
  <c r="AD25" i="18"/>
  <c r="AD26" i="18" s="1"/>
  <c r="T26" i="18"/>
  <c r="W33" i="18"/>
  <c r="U30" i="18"/>
  <c r="U26" i="18"/>
  <c r="AH1095" i="18"/>
  <c r="AH17" i="18"/>
  <c r="AH15" i="18"/>
  <c r="X26" i="18"/>
  <c r="X30" i="18"/>
  <c r="AE25" i="18"/>
  <c r="AE26" i="18" s="1"/>
  <c r="AC30" i="18"/>
  <c r="Q31" i="18"/>
  <c r="AC31" i="18" s="1"/>
  <c r="Q32" i="18"/>
  <c r="R1087" i="18"/>
  <c r="R1081" i="18"/>
  <c r="Z1098" i="18"/>
  <c r="Z1096" i="18" s="1"/>
  <c r="AI379" i="18"/>
  <c r="AI1103" i="18"/>
  <c r="AI1098" i="18"/>
  <c r="AI1096" i="18" s="1"/>
  <c r="AC139" i="18"/>
  <c r="Q146" i="18"/>
  <c r="AC146" i="18" s="1"/>
  <c r="AG146" i="18" s="1"/>
  <c r="AI146" i="18" s="1"/>
  <c r="Q137" i="18"/>
  <c r="AG309" i="18"/>
  <c r="AG312" i="18"/>
  <c r="AG313" i="18" s="1"/>
  <c r="AI389" i="18"/>
  <c r="AG387" i="18"/>
  <c r="AI213" i="18"/>
  <c r="AI308" i="18"/>
  <c r="AI284" i="18"/>
  <c r="AB1101" i="18"/>
  <c r="AB1104" i="18"/>
  <c r="AC398" i="18"/>
  <c r="AC364" i="18" s="1"/>
  <c r="AG397" i="18"/>
  <c r="AC395" i="18"/>
  <c r="AF1104" i="18"/>
  <c r="V212" i="18"/>
  <c r="V245" i="18"/>
  <c r="V1080" i="18"/>
  <c r="AI358" i="18"/>
  <c r="AI339" i="18"/>
  <c r="AD1097" i="18"/>
  <c r="AD1101" i="18"/>
  <c r="AH234" i="18"/>
  <c r="AF220" i="18"/>
  <c r="AF211" i="18"/>
  <c r="Q1080" i="18"/>
  <c r="AC149" i="18"/>
  <c r="Q150" i="18"/>
  <c r="Q163" i="18"/>
  <c r="AI1066" i="18"/>
  <c r="R167" i="18"/>
  <c r="R168" i="18" s="1"/>
  <c r="R164" i="18"/>
  <c r="AG1098" i="18"/>
  <c r="AG1096" i="18" s="1"/>
  <c r="AG1103" i="18"/>
  <c r="Y1110" i="18"/>
  <c r="Y1111" i="18" s="1"/>
  <c r="Y1102" i="18"/>
  <c r="Y1108" i="18" s="1"/>
  <c r="Y1109" i="18" s="1"/>
  <c r="AC152" i="18"/>
  <c r="AG156" i="18"/>
  <c r="X1091" i="18"/>
  <c r="X1088" i="18"/>
  <c r="V1098" i="18"/>
  <c r="V1096" i="18" s="1"/>
  <c r="AC220" i="18"/>
  <c r="AG234" i="18"/>
  <c r="AC211" i="18"/>
  <c r="AG362" i="18"/>
  <c r="AG363" i="18" s="1"/>
  <c r="AG359" i="18"/>
  <c r="AE1110" i="18"/>
  <c r="AE1111" i="18" s="1"/>
  <c r="AE1102" i="18"/>
  <c r="AE1108" i="18" s="1"/>
  <c r="AE1109" i="18" s="1"/>
  <c r="R1067" i="18"/>
  <c r="AC1062" i="18"/>
  <c r="AC1072" i="18" s="1"/>
  <c r="R1065" i="18"/>
  <c r="AF1080" i="18"/>
  <c r="Z1087" i="18"/>
  <c r="Z1081" i="18"/>
  <c r="W245" i="18"/>
  <c r="W212" i="18"/>
  <c r="W1080" i="18"/>
  <c r="AH152" i="18"/>
  <c r="AH149" i="18"/>
  <c r="R1098" i="18"/>
  <c r="R1096" i="18" s="1"/>
  <c r="R1097" i="18" s="1"/>
  <c r="R1095" i="18"/>
  <c r="AE386" i="18"/>
  <c r="AE169" i="18" s="1"/>
  <c r="AE376" i="18"/>
  <c r="AE390" i="18"/>
  <c r="AE251" i="18" s="1"/>
  <c r="AE382" i="18"/>
  <c r="AE115" i="18" s="1"/>
  <c r="AC1104" i="18"/>
  <c r="AE220" i="18"/>
  <c r="AE211" i="18"/>
  <c r="AE398" i="18"/>
  <c r="AE364" i="18" s="1"/>
  <c r="T1101" i="18"/>
  <c r="T1104" i="18"/>
  <c r="V1071" i="18"/>
  <c r="V1065" i="18"/>
  <c r="AD1064" i="18"/>
  <c r="AI393" i="18"/>
  <c r="AG391" i="18"/>
  <c r="AD378" i="18"/>
  <c r="AG378" i="18" s="1"/>
  <c r="AG386" i="18" s="1"/>
  <c r="AG169" i="18" s="1"/>
  <c r="T390" i="18"/>
  <c r="T251" i="18" s="1"/>
  <c r="T382" i="18"/>
  <c r="T115" i="18" s="1"/>
  <c r="T394" i="18"/>
  <c r="T314" i="18" s="1"/>
  <c r="T376" i="18"/>
  <c r="T386" i="18"/>
  <c r="T169" i="18" s="1"/>
  <c r="AH1098" i="18"/>
  <c r="AH1096" i="18" s="1"/>
  <c r="AH1103" i="18"/>
  <c r="R212" i="18"/>
  <c r="R245" i="18"/>
  <c r="AH139" i="18"/>
  <c r="AH137" i="18" s="1"/>
  <c r="AF137" i="18"/>
  <c r="S212" i="18"/>
  <c r="S245" i="18"/>
  <c r="S1080" i="18"/>
  <c r="AA1098" i="18"/>
  <c r="AA1096" i="18" s="1"/>
  <c r="AH378" i="18"/>
  <c r="AH394" i="18" s="1"/>
  <c r="AH314" i="18" s="1"/>
  <c r="AF386" i="18"/>
  <c r="AF169" i="18" s="1"/>
  <c r="AF376" i="18"/>
  <c r="AC1097" i="18"/>
  <c r="AC1101" i="18"/>
  <c r="AD398" i="18"/>
  <c r="AD364" i="18" s="1"/>
  <c r="AD395" i="18"/>
  <c r="AH1078" i="18"/>
  <c r="AH1083" i="18" s="1"/>
  <c r="AG221" i="18"/>
  <c r="AI235" i="18"/>
  <c r="AI221" i="18" s="1"/>
  <c r="Q1104" i="18"/>
  <c r="AC382" i="18"/>
  <c r="AC115" i="18" s="1"/>
  <c r="AC376" i="18"/>
  <c r="AC1075" i="18"/>
  <c r="AF1097" i="18"/>
  <c r="AF1101" i="18"/>
  <c r="AH382" i="18"/>
  <c r="AH115" i="18" s="1"/>
  <c r="AH379" i="18"/>
  <c r="AI1078" i="18"/>
  <c r="AI1083" i="18" s="1"/>
  <c r="AG1083" i="18"/>
  <c r="AH398" i="18"/>
  <c r="AH364" i="18" s="1"/>
  <c r="AH395" i="18"/>
  <c r="AF150" i="18"/>
  <c r="AF163" i="18"/>
  <c r="AA1071" i="18"/>
  <c r="AA1065" i="18"/>
  <c r="AF1064" i="18"/>
  <c r="AH387" i="18"/>
  <c r="AH391" i="18"/>
  <c r="AD312" i="18"/>
  <c r="AD313" i="18" s="1"/>
  <c r="AD309" i="18"/>
  <c r="AI385" i="18"/>
  <c r="AG383" i="18"/>
  <c r="AI141" i="18"/>
  <c r="AI142" i="18" s="1"/>
  <c r="AG142" i="18"/>
  <c r="AH359" i="18"/>
  <c r="AH362" i="18"/>
  <c r="AH363" i="18" s="1"/>
  <c r="Z212" i="18"/>
  <c r="Z245" i="18"/>
  <c r="AE167" i="18"/>
  <c r="AE168" i="18" s="1"/>
  <c r="AE164" i="18"/>
  <c r="Z167" i="18"/>
  <c r="Z168" i="18" s="1"/>
  <c r="Z164" i="18"/>
  <c r="AF390" i="18"/>
  <c r="AF251" i="18" s="1"/>
  <c r="AF394" i="18"/>
  <c r="AF314" i="18" s="1"/>
  <c r="U1091" i="18"/>
  <c r="U1088" i="18"/>
  <c r="AH312" i="18"/>
  <c r="AH313" i="18" s="1"/>
  <c r="AH309" i="18"/>
  <c r="AD220" i="18"/>
  <c r="AD211" i="18"/>
  <c r="AD1104" i="18"/>
  <c r="AC1593" i="2"/>
  <c r="AB1593" i="2"/>
  <c r="AA1593" i="2"/>
  <c r="Z1593" i="2"/>
  <c r="Y1593" i="2"/>
  <c r="X1593" i="2"/>
  <c r="W1593" i="2"/>
  <c r="V1593" i="2"/>
  <c r="U1593" i="2"/>
  <c r="T1593" i="2"/>
  <c r="S1593" i="2"/>
  <c r="AC1576" i="2"/>
  <c r="AB1576" i="2"/>
  <c r="AA1576" i="2"/>
  <c r="Z1576" i="2"/>
  <c r="Y1576" i="2"/>
  <c r="X1576" i="2"/>
  <c r="W1576" i="2"/>
  <c r="V1576" i="2"/>
  <c r="U1576" i="2"/>
  <c r="T1576" i="2"/>
  <c r="S1576" i="2"/>
  <c r="AC1556" i="2"/>
  <c r="AB1556" i="2"/>
  <c r="AA1556" i="2"/>
  <c r="Z1556" i="2"/>
  <c r="Y1556" i="2"/>
  <c r="X1556" i="2"/>
  <c r="W1556" i="2"/>
  <c r="V1556" i="2"/>
  <c r="U1556" i="2"/>
  <c r="T1556" i="2"/>
  <c r="S1556" i="2"/>
  <c r="AC1482" i="2"/>
  <c r="AB1482" i="2"/>
  <c r="AA1482" i="2"/>
  <c r="Z1482" i="2"/>
  <c r="Y1482" i="2"/>
  <c r="X1482" i="2"/>
  <c r="W1482" i="2"/>
  <c r="V1482" i="2"/>
  <c r="U1482" i="2"/>
  <c r="T1482" i="2"/>
  <c r="S1482" i="2"/>
  <c r="AC1466" i="2"/>
  <c r="AB1466" i="2"/>
  <c r="AA1466" i="2"/>
  <c r="Z1466" i="2"/>
  <c r="Y1466" i="2"/>
  <c r="X1466" i="2"/>
  <c r="W1466" i="2"/>
  <c r="V1466" i="2"/>
  <c r="U1466" i="2"/>
  <c r="T1466" i="2"/>
  <c r="S1466" i="2"/>
  <c r="AC1447" i="2"/>
  <c r="AB1447" i="2"/>
  <c r="AA1447" i="2"/>
  <c r="Z1447" i="2"/>
  <c r="Y1447" i="2"/>
  <c r="X1447" i="2"/>
  <c r="W1447" i="2"/>
  <c r="V1447" i="2"/>
  <c r="U1447" i="2"/>
  <c r="T1447" i="2"/>
  <c r="S1447" i="2"/>
  <c r="AC1444" i="2"/>
  <c r="AB1444" i="2"/>
  <c r="AA1444" i="2"/>
  <c r="Z1444" i="2"/>
  <c r="Y1444" i="2"/>
  <c r="X1444" i="2"/>
  <c r="W1444" i="2"/>
  <c r="V1444" i="2"/>
  <c r="U1444" i="2"/>
  <c r="T1444" i="2"/>
  <c r="S1444" i="2"/>
  <c r="AC1443" i="2"/>
  <c r="AB1443" i="2"/>
  <c r="AA1443" i="2"/>
  <c r="Z1443" i="2"/>
  <c r="Y1443" i="2"/>
  <c r="X1443" i="2"/>
  <c r="W1443" i="2"/>
  <c r="V1443" i="2"/>
  <c r="U1443" i="2"/>
  <c r="T1443" i="2"/>
  <c r="S1443" i="2"/>
  <c r="AC1442" i="2"/>
  <c r="AC1441" i="2" s="1"/>
  <c r="AB1442" i="2"/>
  <c r="AA1442" i="2"/>
  <c r="Z1442" i="2"/>
  <c r="Z1441" i="2" s="1"/>
  <c r="Y1442" i="2"/>
  <c r="X1442" i="2"/>
  <c r="W1442" i="2"/>
  <c r="W1441" i="2" s="1"/>
  <c r="V1442" i="2"/>
  <c r="U1442" i="2"/>
  <c r="U1441" i="2" s="1"/>
  <c r="T1442" i="2"/>
  <c r="T1441" i="2" s="1"/>
  <c r="S1442" i="2"/>
  <c r="S1441" i="2" s="1"/>
  <c r="AB1441" i="2"/>
  <c r="Y1441" i="2"/>
  <c r="AC1440" i="2"/>
  <c r="AB1440" i="2"/>
  <c r="AA1440" i="2"/>
  <c r="Z1440" i="2"/>
  <c r="Y1440" i="2"/>
  <c r="X1440" i="2"/>
  <c r="W1440" i="2"/>
  <c r="W1438" i="2" s="1"/>
  <c r="V1440" i="2"/>
  <c r="U1440" i="2"/>
  <c r="T1440" i="2"/>
  <c r="S1440" i="2"/>
  <c r="AC1439" i="2"/>
  <c r="AB1439" i="2"/>
  <c r="AA1439" i="2"/>
  <c r="AA1438" i="2" s="1"/>
  <c r="Z1439" i="2"/>
  <c r="Z1438" i="2" s="1"/>
  <c r="Y1439" i="2"/>
  <c r="Y1438" i="2" s="1"/>
  <c r="X1439" i="2"/>
  <c r="W1439" i="2"/>
  <c r="V1439" i="2"/>
  <c r="V1438" i="2" s="1"/>
  <c r="U1439" i="2"/>
  <c r="T1439" i="2"/>
  <c r="T1438" i="2" s="1"/>
  <c r="S1439" i="2"/>
  <c r="S1438" i="2" s="1"/>
  <c r="AC1438" i="2"/>
  <c r="AB1438" i="2"/>
  <c r="U1438" i="2"/>
  <c r="AC1437" i="2"/>
  <c r="AC1434" i="2" s="1"/>
  <c r="AB1437" i="2"/>
  <c r="AA1437" i="2"/>
  <c r="Z1437" i="2"/>
  <c r="Y1437" i="2"/>
  <c r="X1437" i="2"/>
  <c r="W1437" i="2"/>
  <c r="V1437" i="2"/>
  <c r="U1437" i="2"/>
  <c r="T1437" i="2"/>
  <c r="S1437" i="2"/>
  <c r="AC1436" i="2"/>
  <c r="AC1426" i="2" s="1"/>
  <c r="AB1436" i="2"/>
  <c r="AB1426" i="2" s="1"/>
  <c r="AA1436" i="2"/>
  <c r="AA1426" i="2" s="1"/>
  <c r="Z1436" i="2"/>
  <c r="Z1426" i="2" s="1"/>
  <c r="Y1436" i="2"/>
  <c r="X1436" i="2"/>
  <c r="X1426" i="2" s="1"/>
  <c r="W1436" i="2"/>
  <c r="W1426" i="2" s="1"/>
  <c r="V1436" i="2"/>
  <c r="V1426" i="2" s="1"/>
  <c r="U1436" i="2"/>
  <c r="U1426" i="2" s="1"/>
  <c r="T1436" i="2"/>
  <c r="T1426" i="2" s="1"/>
  <c r="S1436" i="2"/>
  <c r="AC1435" i="2"/>
  <c r="AB1435" i="2"/>
  <c r="AA1435" i="2"/>
  <c r="Z1435" i="2"/>
  <c r="Y1435" i="2"/>
  <c r="X1435" i="2"/>
  <c r="W1435" i="2"/>
  <c r="V1435" i="2"/>
  <c r="U1435" i="2"/>
  <c r="T1435" i="2"/>
  <c r="S1435" i="2"/>
  <c r="T1434" i="2"/>
  <c r="AC1433" i="2"/>
  <c r="AB1433" i="2"/>
  <c r="AA1433" i="2"/>
  <c r="Z1433" i="2"/>
  <c r="Y1433" i="2"/>
  <c r="X1433" i="2"/>
  <c r="W1433" i="2"/>
  <c r="V1433" i="2"/>
  <c r="U1433" i="2"/>
  <c r="T1433" i="2"/>
  <c r="S1433" i="2"/>
  <c r="AC1432" i="2"/>
  <c r="AC1431" i="2" s="1"/>
  <c r="AB1432" i="2"/>
  <c r="AB1431" i="2" s="1"/>
  <c r="AA1432" i="2"/>
  <c r="Z1432" i="2"/>
  <c r="Y1432" i="2"/>
  <c r="X1432" i="2"/>
  <c r="W1432" i="2"/>
  <c r="V1432" i="2"/>
  <c r="U1432" i="2"/>
  <c r="T1432" i="2"/>
  <c r="T1431" i="2" s="1"/>
  <c r="S1432" i="2"/>
  <c r="W1431" i="2"/>
  <c r="AC1430" i="2"/>
  <c r="AB1430" i="2"/>
  <c r="AA1430" i="2"/>
  <c r="Z1430" i="2"/>
  <c r="Z1428" i="2" s="1"/>
  <c r="Y1430" i="2"/>
  <c r="X1430" i="2"/>
  <c r="X1427" i="2" s="1"/>
  <c r="W1430" i="2"/>
  <c r="V1430" i="2"/>
  <c r="U1430" i="2"/>
  <c r="T1430" i="2"/>
  <c r="S1430" i="2"/>
  <c r="AC1429" i="2"/>
  <c r="AC1428" i="2" s="1"/>
  <c r="AB1429" i="2"/>
  <c r="AA1429" i="2"/>
  <c r="Z1429" i="2"/>
  <c r="Y1429" i="2"/>
  <c r="X1429" i="2"/>
  <c r="W1429" i="2"/>
  <c r="V1429" i="2"/>
  <c r="V1428" i="2" s="1"/>
  <c r="U1429" i="2"/>
  <c r="T1429" i="2"/>
  <c r="S1429" i="2"/>
  <c r="Y1426" i="2"/>
  <c r="S1426" i="2"/>
  <c r="AC1414" i="2"/>
  <c r="AB1414" i="2"/>
  <c r="AA1414" i="2"/>
  <c r="Z1414" i="2"/>
  <c r="Y1414" i="2"/>
  <c r="X1414" i="2"/>
  <c r="W1414" i="2"/>
  <c r="V1414" i="2"/>
  <c r="U1414" i="2"/>
  <c r="T1414" i="2"/>
  <c r="S1414" i="2"/>
  <c r="AC1405" i="2"/>
  <c r="AB1405" i="2"/>
  <c r="AA1405" i="2"/>
  <c r="Z1405" i="2"/>
  <c r="Y1405" i="2"/>
  <c r="X1405" i="2"/>
  <c r="W1405" i="2"/>
  <c r="V1405" i="2"/>
  <c r="U1405" i="2"/>
  <c r="T1405" i="2"/>
  <c r="S1405" i="2"/>
  <c r="AC1382" i="2"/>
  <c r="AB1382" i="2"/>
  <c r="AA1382" i="2"/>
  <c r="Z1382" i="2"/>
  <c r="Y1382" i="2"/>
  <c r="X1382" i="2"/>
  <c r="W1382" i="2"/>
  <c r="V1382" i="2"/>
  <c r="U1382" i="2"/>
  <c r="T1382" i="2"/>
  <c r="S1382" i="2"/>
  <c r="AC1375" i="2"/>
  <c r="AB1375" i="2"/>
  <c r="AA1375" i="2"/>
  <c r="Z1375" i="2"/>
  <c r="Y1375" i="2"/>
  <c r="X1375" i="2"/>
  <c r="W1375" i="2"/>
  <c r="V1375" i="2"/>
  <c r="U1375" i="2"/>
  <c r="T1375" i="2"/>
  <c r="S1375" i="2"/>
  <c r="AC1373" i="2"/>
  <c r="AB1373" i="2"/>
  <c r="AA1373" i="2"/>
  <c r="Z1373" i="2"/>
  <c r="Y1373" i="2"/>
  <c r="Y1369" i="2" s="1"/>
  <c r="Y1368" i="2" s="1"/>
  <c r="Y1367" i="2" s="1"/>
  <c r="Y1366" i="2" s="1"/>
  <c r="X1373" i="2"/>
  <c r="W1373" i="2"/>
  <c r="V1373" i="2"/>
  <c r="U1373" i="2"/>
  <c r="T1373" i="2"/>
  <c r="S1373" i="2"/>
  <c r="AC1370" i="2"/>
  <c r="AC1369" i="2" s="1"/>
  <c r="AC1368" i="2" s="1"/>
  <c r="AC1367" i="2" s="1"/>
  <c r="AC1366" i="2" s="1"/>
  <c r="AB1370" i="2"/>
  <c r="AA1370" i="2"/>
  <c r="Z1370" i="2"/>
  <c r="Z1369" i="2" s="1"/>
  <c r="Z1368" i="2" s="1"/>
  <c r="Z1367" i="2" s="1"/>
  <c r="Z1366" i="2" s="1"/>
  <c r="Z1386" i="2" s="1"/>
  <c r="Y1370" i="2"/>
  <c r="X1370" i="2"/>
  <c r="W1370" i="2"/>
  <c r="V1370" i="2"/>
  <c r="U1370" i="2"/>
  <c r="U1369" i="2" s="1"/>
  <c r="U1368" i="2" s="1"/>
  <c r="U1367" i="2" s="1"/>
  <c r="U1366" i="2" s="1"/>
  <c r="U1386" i="2" s="1"/>
  <c r="T1370" i="2"/>
  <c r="S1370" i="2"/>
  <c r="AA1369" i="2"/>
  <c r="AA1368" i="2" s="1"/>
  <c r="AA1367" i="2" s="1"/>
  <c r="AA1366" i="2" s="1"/>
  <c r="X1369" i="2"/>
  <c r="W1369" i="2"/>
  <c r="W1368" i="2" s="1"/>
  <c r="W1367" i="2" s="1"/>
  <c r="W1366" i="2" s="1"/>
  <c r="W1386" i="2" s="1"/>
  <c r="V1369" i="2"/>
  <c r="V1368" i="2" s="1"/>
  <c r="V1367" i="2" s="1"/>
  <c r="V1366" i="2" s="1"/>
  <c r="V1386" i="2" s="1"/>
  <c r="S1369" i="2"/>
  <c r="S1368" i="2" s="1"/>
  <c r="S1367" i="2" s="1"/>
  <c r="S1366" i="2" s="1"/>
  <c r="S1386" i="2" s="1"/>
  <c r="AC1360" i="2"/>
  <c r="AB1360" i="2"/>
  <c r="AA1360" i="2"/>
  <c r="Z1360" i="2"/>
  <c r="Y1360" i="2"/>
  <c r="X1360" i="2"/>
  <c r="W1360" i="2"/>
  <c r="V1360" i="2"/>
  <c r="U1360" i="2"/>
  <c r="T1360" i="2"/>
  <c r="S1360" i="2"/>
  <c r="AC1358" i="2"/>
  <c r="AB1358" i="2"/>
  <c r="AA1358" i="2"/>
  <c r="Z1358" i="2"/>
  <c r="Y1358" i="2"/>
  <c r="X1358" i="2"/>
  <c r="W1358" i="2"/>
  <c r="V1358" i="2"/>
  <c r="U1358" i="2"/>
  <c r="U1354" i="2" s="1"/>
  <c r="U1353" i="2" s="1"/>
  <c r="U1352" i="2" s="1"/>
  <c r="U1351" i="2" s="1"/>
  <c r="T1358" i="2"/>
  <c r="S1358" i="2"/>
  <c r="AC1355" i="2"/>
  <c r="AB1355" i="2"/>
  <c r="AB1354" i="2" s="1"/>
  <c r="AA1355" i="2"/>
  <c r="Z1355" i="2"/>
  <c r="Z1354" i="2" s="1"/>
  <c r="Z1353" i="2" s="1"/>
  <c r="Z1352" i="2" s="1"/>
  <c r="Z1351" i="2" s="1"/>
  <c r="Y1355" i="2"/>
  <c r="Y1354" i="2" s="1"/>
  <c r="Y1353" i="2" s="1"/>
  <c r="Y1352" i="2" s="1"/>
  <c r="Y1351" i="2" s="1"/>
  <c r="X1355" i="2"/>
  <c r="W1355" i="2"/>
  <c r="V1355" i="2"/>
  <c r="U1355" i="2"/>
  <c r="T1355" i="2"/>
  <c r="T1354" i="2" s="1"/>
  <c r="S1355" i="2"/>
  <c r="AC1354" i="2"/>
  <c r="AC1353" i="2" s="1"/>
  <c r="AC1352" i="2" s="1"/>
  <c r="AC1351" i="2" s="1"/>
  <c r="AA1354" i="2"/>
  <c r="AA1353" i="2" s="1"/>
  <c r="AA1352" i="2" s="1"/>
  <c r="AA1351" i="2" s="1"/>
  <c r="X1354" i="2"/>
  <c r="X1353" i="2" s="1"/>
  <c r="X1352" i="2" s="1"/>
  <c r="X1351" i="2" s="1"/>
  <c r="AC1345" i="2"/>
  <c r="AB1345" i="2"/>
  <c r="AA1345" i="2"/>
  <c r="Z1345" i="2"/>
  <c r="Y1345" i="2"/>
  <c r="X1345" i="2"/>
  <c r="W1345" i="2"/>
  <c r="V1345" i="2"/>
  <c r="U1345" i="2"/>
  <c r="T1345" i="2"/>
  <c r="S1345" i="2"/>
  <c r="AC1343" i="2"/>
  <c r="AB1343" i="2"/>
  <c r="AA1343" i="2"/>
  <c r="Z1343" i="2"/>
  <c r="Y1343" i="2"/>
  <c r="X1343" i="2"/>
  <c r="W1343" i="2"/>
  <c r="V1343" i="2"/>
  <c r="U1343" i="2"/>
  <c r="T1343" i="2"/>
  <c r="S1343" i="2"/>
  <c r="AC1340" i="2"/>
  <c r="AB1340" i="2"/>
  <c r="AB1339" i="2" s="1"/>
  <c r="AA1340" i="2"/>
  <c r="Z1340" i="2"/>
  <c r="Z1339" i="2" s="1"/>
  <c r="Z1338" i="2" s="1"/>
  <c r="Z1337" i="2" s="1"/>
  <c r="Z1336" i="2" s="1"/>
  <c r="Y1340" i="2"/>
  <c r="X1340" i="2"/>
  <c r="W1340" i="2"/>
  <c r="V1340" i="2"/>
  <c r="U1340" i="2"/>
  <c r="T1340" i="2"/>
  <c r="T1339" i="2" s="1"/>
  <c r="S1340" i="2"/>
  <c r="AC1324" i="2"/>
  <c r="AC1328" i="2" s="1"/>
  <c r="AB1324" i="2"/>
  <c r="AB1328" i="2" s="1"/>
  <c r="AA1324" i="2"/>
  <c r="AA1328" i="2" s="1"/>
  <c r="Z1324" i="2"/>
  <c r="Z1328" i="2" s="1"/>
  <c r="Y1324" i="2"/>
  <c r="Y1328" i="2" s="1"/>
  <c r="X1324" i="2"/>
  <c r="X1328" i="2" s="1"/>
  <c r="W1324" i="2"/>
  <c r="W1328" i="2" s="1"/>
  <c r="V1324" i="2"/>
  <c r="V1328" i="2" s="1"/>
  <c r="U1324" i="2"/>
  <c r="U1328" i="2" s="1"/>
  <c r="T1324" i="2"/>
  <c r="T1328" i="2" s="1"/>
  <c r="S1324" i="2"/>
  <c r="S1328" i="2" s="1"/>
  <c r="AC1323" i="2"/>
  <c r="AB1323" i="2"/>
  <c r="AA1323" i="2"/>
  <c r="Z1323" i="2"/>
  <c r="Y1323" i="2"/>
  <c r="X1323" i="2"/>
  <c r="W1323" i="2"/>
  <c r="V1323" i="2"/>
  <c r="U1323" i="2"/>
  <c r="T1323" i="2"/>
  <c r="S1323" i="2"/>
  <c r="AC1314" i="2"/>
  <c r="AB1314" i="2"/>
  <c r="AA1314" i="2"/>
  <c r="Z1314" i="2"/>
  <c r="Y1314" i="2"/>
  <c r="X1314" i="2"/>
  <c r="W1314" i="2"/>
  <c r="V1314" i="2"/>
  <c r="U1314" i="2"/>
  <c r="S1314" i="2"/>
  <c r="AC1312" i="2"/>
  <c r="AB1312" i="2"/>
  <c r="AB1310" i="2" s="1"/>
  <c r="AA1312" i="2"/>
  <c r="Z1312" i="2"/>
  <c r="Y1312" i="2"/>
  <c r="X1312" i="2"/>
  <c r="W1312" i="2"/>
  <c r="V1312" i="2"/>
  <c r="U1312" i="2"/>
  <c r="T1312" i="2"/>
  <c r="S1312" i="2"/>
  <c r="AC1311" i="2"/>
  <c r="AB1311" i="2"/>
  <c r="AA1311" i="2"/>
  <c r="Z1311" i="2"/>
  <c r="Y1311" i="2"/>
  <c r="X1311" i="2"/>
  <c r="W1311" i="2"/>
  <c r="V1311" i="2"/>
  <c r="U1311" i="2"/>
  <c r="T1311" i="2"/>
  <c r="S1311" i="2"/>
  <c r="AA1310" i="2"/>
  <c r="AC1285" i="2"/>
  <c r="AB1285" i="2"/>
  <c r="AA1285" i="2"/>
  <c r="Z1285" i="2"/>
  <c r="Y1285" i="2"/>
  <c r="X1285" i="2"/>
  <c r="W1285" i="2"/>
  <c r="V1285" i="2"/>
  <c r="U1285" i="2"/>
  <c r="T1285" i="2"/>
  <c r="S1285" i="2"/>
  <c r="AC1281" i="2"/>
  <c r="AB1281" i="2"/>
  <c r="AA1281" i="2"/>
  <c r="Z1281" i="2"/>
  <c r="Y1281" i="2"/>
  <c r="X1281" i="2"/>
  <c r="W1281" i="2"/>
  <c r="V1281" i="2"/>
  <c r="U1281" i="2"/>
  <c r="T1281" i="2"/>
  <c r="S1281" i="2"/>
  <c r="AC1280" i="2"/>
  <c r="AB1280" i="2"/>
  <c r="AA1280" i="2"/>
  <c r="Z1280" i="2"/>
  <c r="Y1280" i="2"/>
  <c r="X1280" i="2"/>
  <c r="W1280" i="2"/>
  <c r="V1280" i="2"/>
  <c r="U1280" i="2"/>
  <c r="T1280" i="2"/>
  <c r="S1280" i="2"/>
  <c r="AC1279" i="2"/>
  <c r="AB1279" i="2"/>
  <c r="AA1279" i="2"/>
  <c r="Z1279" i="2"/>
  <c r="Z1277" i="2" s="1"/>
  <c r="Y1279" i="2"/>
  <c r="X1279" i="2"/>
  <c r="W1279" i="2"/>
  <c r="V1279" i="2"/>
  <c r="U1279" i="2"/>
  <c r="T1279" i="2"/>
  <c r="S1279" i="2"/>
  <c r="AC1278" i="2"/>
  <c r="AB1278" i="2"/>
  <c r="AA1278" i="2"/>
  <c r="Z1278" i="2"/>
  <c r="Y1278" i="2"/>
  <c r="Y1277" i="2" s="1"/>
  <c r="X1278" i="2"/>
  <c r="W1278" i="2"/>
  <c r="V1278" i="2"/>
  <c r="U1278" i="2"/>
  <c r="T1278" i="2"/>
  <c r="S1278" i="2"/>
  <c r="S1277" i="2" s="1"/>
  <c r="AC1246" i="2"/>
  <c r="AB1246" i="2"/>
  <c r="AA1246" i="2"/>
  <c r="Z1246" i="2"/>
  <c r="Y1246" i="2"/>
  <c r="X1246" i="2"/>
  <c r="W1246" i="2"/>
  <c r="V1246" i="2"/>
  <c r="U1246" i="2"/>
  <c r="T1246" i="2"/>
  <c r="S1246" i="2"/>
  <c r="AC1241" i="2"/>
  <c r="AB1241" i="2"/>
  <c r="AA1241" i="2"/>
  <c r="Z1241" i="2"/>
  <c r="Y1241" i="2"/>
  <c r="X1241" i="2"/>
  <c r="W1241" i="2"/>
  <c r="V1241" i="2"/>
  <c r="U1241" i="2"/>
  <c r="T1241" i="2"/>
  <c r="S1241" i="2"/>
  <c r="AC1232" i="2"/>
  <c r="AB1232" i="2"/>
  <c r="AA1232" i="2"/>
  <c r="Z1232" i="2"/>
  <c r="Y1232" i="2"/>
  <c r="X1232" i="2"/>
  <c r="W1232" i="2"/>
  <c r="V1232" i="2"/>
  <c r="U1232" i="2"/>
  <c r="T1232" i="2"/>
  <c r="S1232" i="2"/>
  <c r="AC1227" i="2"/>
  <c r="AB1227" i="2"/>
  <c r="AA1227" i="2"/>
  <c r="Z1227" i="2"/>
  <c r="Y1227" i="2"/>
  <c r="X1227" i="2"/>
  <c r="W1227" i="2"/>
  <c r="V1227" i="2"/>
  <c r="U1227" i="2"/>
  <c r="T1227" i="2"/>
  <c r="S1227" i="2"/>
  <c r="AC1226" i="2"/>
  <c r="AB1226" i="2"/>
  <c r="AA1226" i="2"/>
  <c r="Z1226" i="2"/>
  <c r="Y1226" i="2"/>
  <c r="X1226" i="2"/>
  <c r="W1226" i="2"/>
  <c r="V1226" i="2"/>
  <c r="U1226" i="2"/>
  <c r="T1226" i="2"/>
  <c r="S1226" i="2"/>
  <c r="AC1225" i="2"/>
  <c r="AB1225" i="2"/>
  <c r="AA1225" i="2"/>
  <c r="Z1225" i="2"/>
  <c r="Y1225" i="2"/>
  <c r="X1225" i="2"/>
  <c r="W1225" i="2"/>
  <c r="V1225" i="2"/>
  <c r="U1225" i="2"/>
  <c r="T1225" i="2"/>
  <c r="S1225" i="2"/>
  <c r="AC1224" i="2"/>
  <c r="AB1224" i="2"/>
  <c r="AA1224" i="2"/>
  <c r="Z1224" i="2"/>
  <c r="Y1224" i="2"/>
  <c r="X1224" i="2"/>
  <c r="W1224" i="2"/>
  <c r="V1224" i="2"/>
  <c r="U1224" i="2"/>
  <c r="T1224" i="2"/>
  <c r="S1224" i="2"/>
  <c r="AC1222" i="2"/>
  <c r="AB1222" i="2"/>
  <c r="AA1222" i="2"/>
  <c r="Z1222" i="2"/>
  <c r="Y1222" i="2"/>
  <c r="X1222" i="2"/>
  <c r="W1222" i="2"/>
  <c r="V1222" i="2"/>
  <c r="U1222" i="2"/>
  <c r="T1222" i="2"/>
  <c r="S1222" i="2"/>
  <c r="AC1221" i="2"/>
  <c r="AB1221" i="2"/>
  <c r="AA1221" i="2"/>
  <c r="Z1221" i="2"/>
  <c r="Y1221" i="2"/>
  <c r="X1221" i="2"/>
  <c r="W1221" i="2"/>
  <c r="V1221" i="2"/>
  <c r="U1221" i="2"/>
  <c r="T1221" i="2"/>
  <c r="S1221" i="2"/>
  <c r="AC1220" i="2"/>
  <c r="AB1220" i="2"/>
  <c r="AA1220" i="2"/>
  <c r="Z1220" i="2"/>
  <c r="Y1220" i="2"/>
  <c r="X1220" i="2"/>
  <c r="W1220" i="2"/>
  <c r="V1220" i="2"/>
  <c r="U1220" i="2"/>
  <c r="T1220" i="2"/>
  <c r="S1220" i="2"/>
  <c r="AC1219" i="2"/>
  <c r="AB1219" i="2"/>
  <c r="AA1219" i="2"/>
  <c r="Z1219" i="2"/>
  <c r="Y1219" i="2"/>
  <c r="X1219" i="2"/>
  <c r="X1223" i="2" s="1"/>
  <c r="W1219" i="2"/>
  <c r="W1223" i="2" s="1"/>
  <c r="V1219" i="2"/>
  <c r="U1219" i="2"/>
  <c r="T1219" i="2"/>
  <c r="S1219" i="2"/>
  <c r="AC1218" i="2"/>
  <c r="AB1218" i="2"/>
  <c r="AA1218" i="2"/>
  <c r="Z1218" i="2"/>
  <c r="Y1218" i="2"/>
  <c r="X1218" i="2"/>
  <c r="W1218" i="2"/>
  <c r="V1218" i="2"/>
  <c r="U1218" i="2"/>
  <c r="T1218" i="2"/>
  <c r="S1218" i="2"/>
  <c r="AC1217" i="2"/>
  <c r="AB1217" i="2"/>
  <c r="AA1217" i="2"/>
  <c r="Z1217" i="2"/>
  <c r="Y1217" i="2"/>
  <c r="X1217" i="2"/>
  <c r="W1217" i="2"/>
  <c r="V1217" i="2"/>
  <c r="U1217" i="2"/>
  <c r="T1217" i="2"/>
  <c r="S1217" i="2"/>
  <c r="AC1212" i="2"/>
  <c r="AB1212" i="2"/>
  <c r="AA1212" i="2"/>
  <c r="Z1212" i="2"/>
  <c r="Y1212" i="2"/>
  <c r="X1212" i="2"/>
  <c r="W1212" i="2"/>
  <c r="V1212" i="2"/>
  <c r="U1212" i="2"/>
  <c r="T1212" i="2"/>
  <c r="S1212" i="2"/>
  <c r="AC1206" i="2"/>
  <c r="AB1206" i="2"/>
  <c r="AA1206" i="2"/>
  <c r="Z1206" i="2"/>
  <c r="Y1206" i="2"/>
  <c r="X1206" i="2"/>
  <c r="W1206" i="2"/>
  <c r="V1206" i="2"/>
  <c r="U1206" i="2"/>
  <c r="T1206" i="2"/>
  <c r="S1206" i="2"/>
  <c r="AC1201" i="2"/>
  <c r="AB1201" i="2"/>
  <c r="AA1201" i="2"/>
  <c r="Z1201" i="2"/>
  <c r="Y1201" i="2"/>
  <c r="X1201" i="2"/>
  <c r="W1201" i="2"/>
  <c r="V1201" i="2"/>
  <c r="U1201" i="2"/>
  <c r="T1201" i="2"/>
  <c r="S1201" i="2"/>
  <c r="AC1188" i="2"/>
  <c r="AB1188" i="2"/>
  <c r="AA1188" i="2"/>
  <c r="Z1188" i="2"/>
  <c r="Y1188" i="2"/>
  <c r="X1188" i="2"/>
  <c r="W1188" i="2"/>
  <c r="V1188" i="2"/>
  <c r="U1188" i="2"/>
  <c r="T1188" i="2"/>
  <c r="S1188" i="2"/>
  <c r="AC1176" i="2"/>
  <c r="AC1189" i="2" s="1"/>
  <c r="AB1176" i="2"/>
  <c r="AB1189" i="2" s="1"/>
  <c r="AA1176" i="2"/>
  <c r="AA1189" i="2" s="1"/>
  <c r="Z1176" i="2"/>
  <c r="Z1189" i="2" s="1"/>
  <c r="Y1176" i="2"/>
  <c r="Y1189" i="2" s="1"/>
  <c r="X1176" i="2"/>
  <c r="X1189" i="2" s="1"/>
  <c r="W1176" i="2"/>
  <c r="W1189" i="2" s="1"/>
  <c r="V1176" i="2"/>
  <c r="V1189" i="2" s="1"/>
  <c r="U1176" i="2"/>
  <c r="U1189" i="2" s="1"/>
  <c r="T1176" i="2"/>
  <c r="T1189" i="2" s="1"/>
  <c r="S1176" i="2"/>
  <c r="S1189" i="2" s="1"/>
  <c r="AC1171" i="2"/>
  <c r="AB1171" i="2"/>
  <c r="AA1171" i="2"/>
  <c r="Z1171" i="2"/>
  <c r="Y1171" i="2"/>
  <c r="X1171" i="2"/>
  <c r="X1162" i="2" s="1"/>
  <c r="W1171" i="2"/>
  <c r="V1171" i="2"/>
  <c r="U1171" i="2"/>
  <c r="T1171" i="2"/>
  <c r="S1171" i="2"/>
  <c r="AC1169" i="2"/>
  <c r="AB1169" i="2"/>
  <c r="AB1168" i="2" s="1"/>
  <c r="AA1169" i="2"/>
  <c r="AA1168" i="2" s="1"/>
  <c r="Z1169" i="2"/>
  <c r="Z1168" i="2" s="1"/>
  <c r="Y1169" i="2"/>
  <c r="Y1168" i="2" s="1"/>
  <c r="X1169" i="2"/>
  <c r="W1169" i="2"/>
  <c r="V1169" i="2"/>
  <c r="V1168" i="2" s="1"/>
  <c r="U1169" i="2"/>
  <c r="U1168" i="2" s="1"/>
  <c r="T1169" i="2"/>
  <c r="T1168" i="2" s="1"/>
  <c r="S1169" i="2"/>
  <c r="S1168" i="2" s="1"/>
  <c r="AC1168" i="2"/>
  <c r="X1168" i="2"/>
  <c r="W1168" i="2"/>
  <c r="AC1166" i="2"/>
  <c r="AB1166" i="2"/>
  <c r="AB1165" i="2" s="1"/>
  <c r="AA1166" i="2"/>
  <c r="AA1165" i="2" s="1"/>
  <c r="Z1166" i="2"/>
  <c r="Z1165" i="2" s="1"/>
  <c r="Y1166" i="2"/>
  <c r="Y1165" i="2" s="1"/>
  <c r="X1166" i="2"/>
  <c r="W1166" i="2"/>
  <c r="V1166" i="2"/>
  <c r="U1166" i="2"/>
  <c r="T1166" i="2"/>
  <c r="T1165" i="2" s="1"/>
  <c r="S1166" i="2"/>
  <c r="S1165" i="2" s="1"/>
  <c r="AC1165" i="2"/>
  <c r="X1165" i="2"/>
  <c r="W1165" i="2"/>
  <c r="V1165" i="2"/>
  <c r="U1165" i="2"/>
  <c r="AC1163" i="2"/>
  <c r="AB1163" i="2"/>
  <c r="AB1162" i="2" s="1"/>
  <c r="AA1163" i="2"/>
  <c r="AA1162" i="2" s="1"/>
  <c r="Z1163" i="2"/>
  <c r="Z1162" i="2" s="1"/>
  <c r="Y1163" i="2"/>
  <c r="W1163" i="2"/>
  <c r="V1163" i="2"/>
  <c r="V1162" i="2" s="1"/>
  <c r="U1163" i="2"/>
  <c r="T1163" i="2"/>
  <c r="T1162" i="2" s="1"/>
  <c r="S1163" i="2"/>
  <c r="S1162" i="2" s="1"/>
  <c r="AC1157" i="2"/>
  <c r="AB1157" i="2"/>
  <c r="AA1157" i="2"/>
  <c r="Z1157" i="2"/>
  <c r="Y1157" i="2"/>
  <c r="W1157" i="2"/>
  <c r="V1157" i="2"/>
  <c r="U1157" i="2"/>
  <c r="T1157" i="2"/>
  <c r="S1157" i="2"/>
  <c r="AC1129" i="2"/>
  <c r="AB1129" i="2"/>
  <c r="AA1129" i="2"/>
  <c r="Z1129" i="2"/>
  <c r="Y1129" i="2"/>
  <c r="X1129" i="2"/>
  <c r="W1129" i="2"/>
  <c r="V1129" i="2"/>
  <c r="U1129" i="2"/>
  <c r="T1129" i="2"/>
  <c r="S1129" i="2"/>
  <c r="AC1125" i="2"/>
  <c r="AB1125" i="2"/>
  <c r="AA1125" i="2"/>
  <c r="Z1125" i="2"/>
  <c r="Y1125" i="2"/>
  <c r="X1125" i="2"/>
  <c r="W1125" i="2"/>
  <c r="V1125" i="2"/>
  <c r="U1125" i="2"/>
  <c r="T1125" i="2"/>
  <c r="S1125" i="2"/>
  <c r="AC1121" i="2"/>
  <c r="AB1121" i="2"/>
  <c r="AA1121" i="2"/>
  <c r="Z1121" i="2"/>
  <c r="Y1121" i="2"/>
  <c r="X1121" i="2"/>
  <c r="W1121" i="2"/>
  <c r="V1121" i="2"/>
  <c r="U1121" i="2"/>
  <c r="T1121" i="2"/>
  <c r="T1120" i="2" s="1"/>
  <c r="S1121" i="2"/>
  <c r="S1120" i="2" s="1"/>
  <c r="AC1116" i="2"/>
  <c r="AB1116" i="2"/>
  <c r="AA1116" i="2"/>
  <c r="Z1116" i="2"/>
  <c r="Z1111" i="2" s="1"/>
  <c r="Y1116" i="2"/>
  <c r="X1116" i="2"/>
  <c r="X1111" i="2" s="1"/>
  <c r="W1116" i="2"/>
  <c r="V1116" i="2"/>
  <c r="U1116" i="2"/>
  <c r="T1116" i="2"/>
  <c r="S1116" i="2"/>
  <c r="AC1112" i="2"/>
  <c r="AB1112" i="2"/>
  <c r="AA1112" i="2"/>
  <c r="Z1112" i="2"/>
  <c r="Y1112" i="2"/>
  <c r="X1112" i="2"/>
  <c r="W1112" i="2"/>
  <c r="V1112" i="2"/>
  <c r="U1112" i="2"/>
  <c r="T1112" i="2"/>
  <c r="S1112" i="2"/>
  <c r="AC1098" i="2"/>
  <c r="AB1098" i="2"/>
  <c r="AA1098" i="2"/>
  <c r="Z1098" i="2"/>
  <c r="Y1098" i="2"/>
  <c r="X1098" i="2"/>
  <c r="W1098" i="2"/>
  <c r="V1098" i="2"/>
  <c r="U1098" i="2"/>
  <c r="T1098" i="2"/>
  <c r="S1098" i="2"/>
  <c r="AC1090" i="2"/>
  <c r="AC1093" i="2" s="1"/>
  <c r="AB1090" i="2"/>
  <c r="AB1093" i="2" s="1"/>
  <c r="AA1090" i="2"/>
  <c r="AA1093" i="2" s="1"/>
  <c r="Z1090" i="2"/>
  <c r="Z1093" i="2" s="1"/>
  <c r="Y1090" i="2"/>
  <c r="Y1093" i="2" s="1"/>
  <c r="X1090" i="2"/>
  <c r="X1093" i="2" s="1"/>
  <c r="W1090" i="2"/>
  <c r="W1093" i="2" s="1"/>
  <c r="V1090" i="2"/>
  <c r="V1093" i="2" s="1"/>
  <c r="U1090" i="2"/>
  <c r="U1093" i="2" s="1"/>
  <c r="T1090" i="2"/>
  <c r="T1093" i="2" s="1"/>
  <c r="S1090" i="2"/>
  <c r="S1093" i="2" s="1"/>
  <c r="AC1088" i="2"/>
  <c r="AB1088" i="2"/>
  <c r="AA1088" i="2"/>
  <c r="Z1088" i="2"/>
  <c r="Y1088" i="2"/>
  <c r="X1088" i="2"/>
  <c r="W1088" i="2"/>
  <c r="V1088" i="2"/>
  <c r="U1088" i="2"/>
  <c r="T1088" i="2"/>
  <c r="S1088" i="2"/>
  <c r="AC1085" i="2"/>
  <c r="AB1085" i="2"/>
  <c r="AA1085" i="2"/>
  <c r="AA1084" i="2" s="1"/>
  <c r="Z1085" i="2"/>
  <c r="Z1089" i="2" s="1"/>
  <c r="Y1085" i="2"/>
  <c r="Y1089" i="2" s="1"/>
  <c r="X1085" i="2"/>
  <c r="X1089" i="2" s="1"/>
  <c r="W1085" i="2"/>
  <c r="W1089" i="2" s="1"/>
  <c r="V1085" i="2"/>
  <c r="U1085" i="2"/>
  <c r="U1084" i="2" s="1"/>
  <c r="T1085" i="2"/>
  <c r="S1085" i="2"/>
  <c r="AC1084" i="2"/>
  <c r="AC1079" i="2"/>
  <c r="AB1079" i="2"/>
  <c r="AA1079" i="2"/>
  <c r="Z1079" i="2"/>
  <c r="Y1079" i="2"/>
  <c r="X1079" i="2"/>
  <c r="W1079" i="2"/>
  <c r="V1079" i="2"/>
  <c r="U1079" i="2"/>
  <c r="T1079" i="2"/>
  <c r="S1079" i="2"/>
  <c r="AC1076" i="2"/>
  <c r="AB1076" i="2"/>
  <c r="AA1076" i="2"/>
  <c r="Z1076" i="2"/>
  <c r="Y1076" i="2"/>
  <c r="X1076" i="2"/>
  <c r="W1076" i="2"/>
  <c r="V1076" i="2"/>
  <c r="U1076" i="2"/>
  <c r="T1076" i="2"/>
  <c r="S1076" i="2"/>
  <c r="AC1072" i="2"/>
  <c r="AB1072" i="2"/>
  <c r="AA1072" i="2"/>
  <c r="Z1072" i="2"/>
  <c r="Y1072" i="2"/>
  <c r="X1072" i="2"/>
  <c r="W1072" i="2"/>
  <c r="V1072" i="2"/>
  <c r="U1072" i="2"/>
  <c r="T1072" i="2"/>
  <c r="S1072" i="2"/>
  <c r="AC1069" i="2"/>
  <c r="AC1186" i="2" s="1"/>
  <c r="AB1069" i="2"/>
  <c r="AB1186" i="2" s="1"/>
  <c r="AA1069" i="2"/>
  <c r="AA1186" i="2" s="1"/>
  <c r="Z1069" i="2"/>
  <c r="Z1186" i="2" s="1"/>
  <c r="Y1069" i="2"/>
  <c r="Y1186" i="2" s="1"/>
  <c r="X1069" i="2"/>
  <c r="X1186" i="2" s="1"/>
  <c r="W1069" i="2"/>
  <c r="W1186" i="2" s="1"/>
  <c r="V1069" i="2"/>
  <c r="V1186" i="2" s="1"/>
  <c r="U1069" i="2"/>
  <c r="U1186" i="2" s="1"/>
  <c r="T1069" i="2"/>
  <c r="T1186" i="2" s="1"/>
  <c r="S1069" i="2"/>
  <c r="S1186" i="2" s="1"/>
  <c r="AC1066" i="2"/>
  <c r="AC1185" i="2" s="1"/>
  <c r="AB1066" i="2"/>
  <c r="AB1185" i="2" s="1"/>
  <c r="AA1185" i="2"/>
  <c r="Z1066" i="2"/>
  <c r="Z1185" i="2" s="1"/>
  <c r="Y1066" i="2"/>
  <c r="Y1185" i="2" s="1"/>
  <c r="X1066" i="2"/>
  <c r="X1185" i="2" s="1"/>
  <c r="W1066" i="2"/>
  <c r="W1185" i="2" s="1"/>
  <c r="V1066" i="2"/>
  <c r="V1185" i="2" s="1"/>
  <c r="U1066" i="2"/>
  <c r="U1185" i="2" s="1"/>
  <c r="T1066" i="2"/>
  <c r="T1185" i="2" s="1"/>
  <c r="S1066" i="2"/>
  <c r="S1185" i="2" s="1"/>
  <c r="AC1065" i="2"/>
  <c r="AC1182" i="2" s="1"/>
  <c r="AB1065" i="2"/>
  <c r="AB1182" i="2" s="1"/>
  <c r="AC1154" i="2" s="1"/>
  <c r="AA1065" i="2"/>
  <c r="AA1182" i="2" s="1"/>
  <c r="AB1154" i="2" s="1"/>
  <c r="Z1065" i="2"/>
  <c r="Z1182" i="2" s="1"/>
  <c r="AA1154" i="2" s="1"/>
  <c r="Y1065" i="2"/>
  <c r="Y1182" i="2" s="1"/>
  <c r="Z1154" i="2" s="1"/>
  <c r="X1065" i="2"/>
  <c r="X1182" i="2" s="1"/>
  <c r="Y1154" i="2" s="1"/>
  <c r="W1065" i="2"/>
  <c r="W1182" i="2" s="1"/>
  <c r="X1154" i="2" s="1"/>
  <c r="V1065" i="2"/>
  <c r="V1182" i="2" s="1"/>
  <c r="W1154" i="2" s="1"/>
  <c r="U1065" i="2"/>
  <c r="U1182" i="2" s="1"/>
  <c r="V1154" i="2" s="1"/>
  <c r="T1065" i="2"/>
  <c r="T1182" i="2" s="1"/>
  <c r="U1154" i="2" s="1"/>
  <c r="S1065" i="2"/>
  <c r="S1182" i="2" s="1"/>
  <c r="T1154" i="2" s="1"/>
  <c r="S1154" i="2"/>
  <c r="AC1064" i="2"/>
  <c r="AB1064" i="2"/>
  <c r="AA1064" i="2"/>
  <c r="Z1064" i="2"/>
  <c r="Y1064" i="2"/>
  <c r="X1064" i="2"/>
  <c r="W1064" i="2"/>
  <c r="V1064" i="2"/>
  <c r="U1064" i="2"/>
  <c r="T1064" i="2"/>
  <c r="S1064" i="2"/>
  <c r="AC1063" i="2"/>
  <c r="AB1063" i="2"/>
  <c r="AA1063" i="2"/>
  <c r="AA1181" i="2" s="1"/>
  <c r="AB1153" i="2" s="1"/>
  <c r="Z1063" i="2"/>
  <c r="Z1181" i="2" s="1"/>
  <c r="AA1153" i="2" s="1"/>
  <c r="Y1063" i="2"/>
  <c r="X1063" i="2"/>
  <c r="W1063" i="2"/>
  <c r="V1063" i="2"/>
  <c r="U1063" i="2"/>
  <c r="T1063" i="2"/>
  <c r="S1063" i="2"/>
  <c r="AC1053" i="2"/>
  <c r="AA1053" i="2"/>
  <c r="Z1053" i="2"/>
  <c r="Y1053" i="2"/>
  <c r="X1053" i="2"/>
  <c r="W1053" i="2"/>
  <c r="V1053" i="2"/>
  <c r="U1053" i="2"/>
  <c r="T1053" i="2"/>
  <c r="S1053" i="2"/>
  <c r="AC1047" i="2"/>
  <c r="AA1047" i="2"/>
  <c r="Z1047" i="2"/>
  <c r="Y1047" i="2"/>
  <c r="X1047" i="2"/>
  <c r="W1047" i="2"/>
  <c r="V1047" i="2"/>
  <c r="U1047" i="2"/>
  <c r="T1047" i="2"/>
  <c r="S1047" i="2"/>
  <c r="AC1042" i="2"/>
  <c r="AA1042" i="2"/>
  <c r="Z1042" i="2"/>
  <c r="Y1042" i="2"/>
  <c r="X1042" i="2"/>
  <c r="W1042" i="2"/>
  <c r="V1042" i="2"/>
  <c r="U1042" i="2"/>
  <c r="T1042" i="2"/>
  <c r="S1042" i="2"/>
  <c r="AC1036" i="2"/>
  <c r="AA1036" i="2"/>
  <c r="Z1036" i="2"/>
  <c r="Y1036" i="2"/>
  <c r="X1036" i="2"/>
  <c r="W1036" i="2"/>
  <c r="V1036" i="2"/>
  <c r="U1036" i="2"/>
  <c r="T1036" i="2"/>
  <c r="S1036" i="2"/>
  <c r="AC1031" i="2"/>
  <c r="AA1031" i="2"/>
  <c r="Z1031" i="2"/>
  <c r="Y1031" i="2"/>
  <c r="X1031" i="2"/>
  <c r="W1031" i="2"/>
  <c r="V1031" i="2"/>
  <c r="U1031" i="2"/>
  <c r="T1031" i="2"/>
  <c r="S1031" i="2"/>
  <c r="AC1023" i="2"/>
  <c r="AA1023" i="2"/>
  <c r="Z1023" i="2"/>
  <c r="Y1023" i="2"/>
  <c r="X1023" i="2"/>
  <c r="W1023" i="2"/>
  <c r="V1023" i="2"/>
  <c r="U1023" i="2"/>
  <c r="T1023" i="2"/>
  <c r="S1023" i="2"/>
  <c r="AC1017" i="2"/>
  <c r="AB1000" i="2"/>
  <c r="AA1017" i="2"/>
  <c r="Z1017" i="2"/>
  <c r="Y1017" i="2"/>
  <c r="X1017" i="2"/>
  <c r="W1017" i="2"/>
  <c r="V1017" i="2"/>
  <c r="U1017" i="2"/>
  <c r="T1017" i="2"/>
  <c r="S1017" i="2"/>
  <c r="AC1012" i="2"/>
  <c r="AA1012" i="2"/>
  <c r="Z1012" i="2"/>
  <c r="Y1012" i="2"/>
  <c r="X1012" i="2"/>
  <c r="W1012" i="2"/>
  <c r="V1012" i="2"/>
  <c r="U1012" i="2"/>
  <c r="T1012" i="2"/>
  <c r="S1012" i="2"/>
  <c r="AC1006" i="2"/>
  <c r="AA1006" i="2"/>
  <c r="AA1000" i="2" s="1"/>
  <c r="Z1006" i="2"/>
  <c r="Y1006" i="2"/>
  <c r="X1006" i="2"/>
  <c r="W1006" i="2"/>
  <c r="V1006" i="2"/>
  <c r="U1006" i="2"/>
  <c r="T1006" i="2"/>
  <c r="S1006" i="2"/>
  <c r="AC1001" i="2"/>
  <c r="AC1000" i="2" s="1"/>
  <c r="AA1001" i="2"/>
  <c r="Z1001" i="2"/>
  <c r="Y1001" i="2"/>
  <c r="X1001" i="2"/>
  <c r="W1001" i="2"/>
  <c r="V1001" i="2"/>
  <c r="V1000" i="2" s="1"/>
  <c r="U1001" i="2"/>
  <c r="U1000" i="2" s="1"/>
  <c r="T1001" i="2"/>
  <c r="S1001" i="2"/>
  <c r="AC993" i="2"/>
  <c r="AA993" i="2"/>
  <c r="Z993" i="2"/>
  <c r="Y993" i="2"/>
  <c r="X993" i="2"/>
  <c r="W993" i="2"/>
  <c r="V993" i="2"/>
  <c r="U993" i="2"/>
  <c r="T993" i="2"/>
  <c r="S993" i="2"/>
  <c r="AC987" i="2"/>
  <c r="AA987" i="2"/>
  <c r="Z987" i="2"/>
  <c r="Y987" i="2"/>
  <c r="X987" i="2"/>
  <c r="W987" i="2"/>
  <c r="V987" i="2"/>
  <c r="V970" i="2" s="1"/>
  <c r="U987" i="2"/>
  <c r="T987" i="2"/>
  <c r="S987" i="2"/>
  <c r="AC982" i="2"/>
  <c r="AA982" i="2"/>
  <c r="Z982" i="2"/>
  <c r="Y982" i="2"/>
  <c r="X982" i="2"/>
  <c r="W982" i="2"/>
  <c r="V982" i="2"/>
  <c r="U982" i="2"/>
  <c r="T982" i="2"/>
  <c r="S982" i="2"/>
  <c r="AC976" i="2"/>
  <c r="AA976" i="2"/>
  <c r="Z976" i="2"/>
  <c r="Y976" i="2"/>
  <c r="X976" i="2"/>
  <c r="W976" i="2"/>
  <c r="V976" i="2"/>
  <c r="U976" i="2"/>
  <c r="T976" i="2"/>
  <c r="S976" i="2"/>
  <c r="AC971" i="2"/>
  <c r="AB970" i="2"/>
  <c r="AA971" i="2"/>
  <c r="Z971" i="2"/>
  <c r="Y971" i="2"/>
  <c r="X971" i="2"/>
  <c r="W971" i="2"/>
  <c r="V971" i="2"/>
  <c r="U971" i="2"/>
  <c r="T971" i="2"/>
  <c r="S971" i="2"/>
  <c r="AC963" i="2"/>
  <c r="AA963" i="2"/>
  <c r="Z963" i="2"/>
  <c r="Y963" i="2"/>
  <c r="X963" i="2"/>
  <c r="W963" i="2"/>
  <c r="V963" i="2"/>
  <c r="U963" i="2"/>
  <c r="T963" i="2"/>
  <c r="S963" i="2"/>
  <c r="AC957" i="2"/>
  <c r="AA957" i="2"/>
  <c r="Z957" i="2"/>
  <c r="Y957" i="2"/>
  <c r="X957" i="2"/>
  <c r="W957" i="2"/>
  <c r="V957" i="2"/>
  <c r="U957" i="2"/>
  <c r="T957" i="2"/>
  <c r="S957" i="2"/>
  <c r="AC952" i="2"/>
  <c r="AA952" i="2"/>
  <c r="Z952" i="2"/>
  <c r="Y952" i="2"/>
  <c r="X952" i="2"/>
  <c r="W952" i="2"/>
  <c r="V952" i="2"/>
  <c r="U952" i="2"/>
  <c r="T952" i="2"/>
  <c r="S952" i="2"/>
  <c r="AC946" i="2"/>
  <c r="AA946" i="2"/>
  <c r="Z946" i="2"/>
  <c r="Y946" i="2"/>
  <c r="X946" i="2"/>
  <c r="W946" i="2"/>
  <c r="V946" i="2"/>
  <c r="U946" i="2"/>
  <c r="T946" i="2"/>
  <c r="S946" i="2"/>
  <c r="AC941" i="2"/>
  <c r="AA941" i="2"/>
  <c r="Z941" i="2"/>
  <c r="Y941" i="2"/>
  <c r="X941" i="2"/>
  <c r="W941" i="2"/>
  <c r="V941" i="2"/>
  <c r="T941" i="2"/>
  <c r="S941" i="2"/>
  <c r="AC933" i="2"/>
  <c r="AB933" i="2"/>
  <c r="AA933" i="2"/>
  <c r="Z933" i="2"/>
  <c r="Y933" i="2"/>
  <c r="X933" i="2"/>
  <c r="W933" i="2"/>
  <c r="V933" i="2"/>
  <c r="U933" i="2"/>
  <c r="T933" i="2"/>
  <c r="S933" i="2"/>
  <c r="AC927" i="2"/>
  <c r="AB927" i="2"/>
  <c r="AA927" i="2"/>
  <c r="Z927" i="2"/>
  <c r="Y927" i="2"/>
  <c r="X927" i="2"/>
  <c r="W927" i="2"/>
  <c r="V927" i="2"/>
  <c r="U927" i="2"/>
  <c r="T927" i="2"/>
  <c r="S927" i="2"/>
  <c r="AC922" i="2"/>
  <c r="AB922" i="2"/>
  <c r="AA922" i="2"/>
  <c r="Z922" i="2"/>
  <c r="Y922" i="2"/>
  <c r="X922" i="2"/>
  <c r="W922" i="2"/>
  <c r="V922" i="2"/>
  <c r="U922" i="2"/>
  <c r="T922" i="2"/>
  <c r="S922" i="2"/>
  <c r="AC916" i="2"/>
  <c r="AB916" i="2"/>
  <c r="AA916" i="2"/>
  <c r="Z916" i="2"/>
  <c r="Y916" i="2"/>
  <c r="X916" i="2"/>
  <c r="W916" i="2"/>
  <c r="V916" i="2"/>
  <c r="U916" i="2"/>
  <c r="T916" i="2"/>
  <c r="S916" i="2"/>
  <c r="AC911" i="2"/>
  <c r="AB911" i="2"/>
  <c r="AA911" i="2"/>
  <c r="Z911" i="2"/>
  <c r="Y911" i="2"/>
  <c r="X911" i="2"/>
  <c r="W911" i="2"/>
  <c r="V911" i="2"/>
  <c r="U911" i="2"/>
  <c r="T911" i="2"/>
  <c r="S911" i="2"/>
  <c r="AC906" i="2"/>
  <c r="AC1402" i="2" s="1"/>
  <c r="AB906" i="2"/>
  <c r="AB1402" i="2" s="1"/>
  <c r="AA906" i="2"/>
  <c r="AA1402" i="2" s="1"/>
  <c r="Z906" i="2"/>
  <c r="Z1402" i="2" s="1"/>
  <c r="Y906" i="2"/>
  <c r="Y1402" i="2" s="1"/>
  <c r="X906" i="2"/>
  <c r="X1402" i="2" s="1"/>
  <c r="W906" i="2"/>
  <c r="W1402" i="2" s="1"/>
  <c r="V906" i="2"/>
  <c r="V1402" i="2" s="1"/>
  <c r="U1402" i="2"/>
  <c r="T906" i="2"/>
  <c r="T1402" i="2" s="1"/>
  <c r="S906" i="2"/>
  <c r="S1402" i="2" s="1"/>
  <c r="AC905" i="2"/>
  <c r="AB905" i="2"/>
  <c r="AA905" i="2"/>
  <c r="Z905" i="2"/>
  <c r="Y905" i="2"/>
  <c r="X905" i="2"/>
  <c r="W905" i="2"/>
  <c r="V905" i="2"/>
  <c r="U905" i="2"/>
  <c r="T905" i="2"/>
  <c r="S905" i="2"/>
  <c r="AC904" i="2"/>
  <c r="AC902" i="2" s="1"/>
  <c r="AC1401" i="2" s="1"/>
  <c r="AB904" i="2"/>
  <c r="AA904" i="2"/>
  <c r="Z904" i="2"/>
  <c r="Y904" i="2"/>
  <c r="X904" i="2"/>
  <c r="W904" i="2"/>
  <c r="V904" i="2"/>
  <c r="U904" i="2"/>
  <c r="T904" i="2"/>
  <c r="S904" i="2"/>
  <c r="AC903" i="2"/>
  <c r="AB903" i="2"/>
  <c r="AA903" i="2"/>
  <c r="Z903" i="2"/>
  <c r="Z902" i="2" s="1"/>
  <c r="Z1401" i="2" s="1"/>
  <c r="Y903" i="2"/>
  <c r="X903" i="2"/>
  <c r="W903" i="2"/>
  <c r="V903" i="2"/>
  <c r="U903" i="2"/>
  <c r="T903" i="2"/>
  <c r="S903" i="2"/>
  <c r="S902" i="2" s="1"/>
  <c r="S1401" i="2" s="1"/>
  <c r="AC901" i="2"/>
  <c r="AB901" i="2"/>
  <c r="AA901" i="2"/>
  <c r="Z901" i="2"/>
  <c r="Y901" i="2"/>
  <c r="X901" i="2"/>
  <c r="W901" i="2"/>
  <c r="V901" i="2"/>
  <c r="U901" i="2"/>
  <c r="T901" i="2"/>
  <c r="S901" i="2"/>
  <c r="AC900" i="2"/>
  <c r="AB900" i="2"/>
  <c r="AA900" i="2"/>
  <c r="Z900" i="2"/>
  <c r="Y900" i="2"/>
  <c r="X900" i="2"/>
  <c r="W900" i="2"/>
  <c r="V900" i="2"/>
  <c r="U900" i="2"/>
  <c r="T900" i="2"/>
  <c r="S900" i="2"/>
  <c r="AC899" i="2"/>
  <c r="AB899" i="2"/>
  <c r="AA899" i="2"/>
  <c r="Z899" i="2"/>
  <c r="Y899" i="2"/>
  <c r="X899" i="2"/>
  <c r="W899" i="2"/>
  <c r="V899" i="2"/>
  <c r="U899" i="2"/>
  <c r="T899" i="2"/>
  <c r="S899" i="2"/>
  <c r="AC898" i="2"/>
  <c r="AB898" i="2"/>
  <c r="AA898" i="2"/>
  <c r="Z898" i="2"/>
  <c r="Y898" i="2"/>
  <c r="X898" i="2"/>
  <c r="W898" i="2"/>
  <c r="V898" i="2"/>
  <c r="U898" i="2"/>
  <c r="T898" i="2"/>
  <c r="S898" i="2"/>
  <c r="AC897" i="2"/>
  <c r="AB897" i="2"/>
  <c r="AA897" i="2"/>
  <c r="Z897" i="2"/>
  <c r="Y897" i="2"/>
  <c r="X897" i="2"/>
  <c r="X896" i="2" s="1"/>
  <c r="X1400" i="2" s="1"/>
  <c r="W897" i="2"/>
  <c r="W896" i="2" s="1"/>
  <c r="W1400" i="2" s="1"/>
  <c r="V897" i="2"/>
  <c r="U897" i="2"/>
  <c r="T897" i="2"/>
  <c r="S897" i="2"/>
  <c r="S896" i="2" s="1"/>
  <c r="S1400" i="2" s="1"/>
  <c r="AC895" i="2"/>
  <c r="AB895" i="2"/>
  <c r="AA895" i="2"/>
  <c r="Z895" i="2"/>
  <c r="Y895" i="2"/>
  <c r="X895" i="2"/>
  <c r="W895" i="2"/>
  <c r="V895" i="2"/>
  <c r="U895" i="2"/>
  <c r="T895" i="2"/>
  <c r="S895" i="2"/>
  <c r="AC894" i="2"/>
  <c r="AB894" i="2"/>
  <c r="AA894" i="2"/>
  <c r="Z894" i="2"/>
  <c r="Y894" i="2"/>
  <c r="X894" i="2"/>
  <c r="W894" i="2"/>
  <c r="V894" i="2"/>
  <c r="U894" i="2"/>
  <c r="T894" i="2"/>
  <c r="S894" i="2"/>
  <c r="AC893" i="2"/>
  <c r="AB893" i="2"/>
  <c r="AA893" i="2"/>
  <c r="Z893" i="2"/>
  <c r="Y893" i="2"/>
  <c r="X893" i="2"/>
  <c r="W893" i="2"/>
  <c r="V893" i="2"/>
  <c r="U893" i="2"/>
  <c r="T893" i="2"/>
  <c r="S893" i="2"/>
  <c r="AC892" i="2"/>
  <c r="AB892" i="2"/>
  <c r="AA892" i="2"/>
  <c r="Z892" i="2"/>
  <c r="Y892" i="2"/>
  <c r="X892" i="2"/>
  <c r="W892" i="2"/>
  <c r="V892" i="2"/>
  <c r="V891" i="2" s="1"/>
  <c r="V1399" i="2" s="1"/>
  <c r="U892" i="2"/>
  <c r="T892" i="2"/>
  <c r="S892" i="2"/>
  <c r="AC890" i="2"/>
  <c r="AB890" i="2"/>
  <c r="AA890" i="2"/>
  <c r="Z890" i="2"/>
  <c r="Y890" i="2"/>
  <c r="X890" i="2"/>
  <c r="W890" i="2"/>
  <c r="V890" i="2"/>
  <c r="U890" i="2"/>
  <c r="T890" i="2"/>
  <c r="S890" i="2"/>
  <c r="AC889" i="2"/>
  <c r="AB889" i="2"/>
  <c r="AA889" i="2"/>
  <c r="Z889" i="2"/>
  <c r="Y889" i="2"/>
  <c r="X889" i="2"/>
  <c r="W889" i="2"/>
  <c r="V889" i="2"/>
  <c r="U889" i="2"/>
  <c r="T889" i="2"/>
  <c r="S889" i="2"/>
  <c r="AC888" i="2"/>
  <c r="AB888" i="2"/>
  <c r="AA888" i="2"/>
  <c r="Z888" i="2"/>
  <c r="Y888" i="2"/>
  <c r="X888" i="2"/>
  <c r="W888" i="2"/>
  <c r="V888" i="2"/>
  <c r="U888" i="2"/>
  <c r="T888" i="2"/>
  <c r="S888" i="2"/>
  <c r="AC887" i="2"/>
  <c r="AB887" i="2"/>
  <c r="AA887" i="2"/>
  <c r="Z887" i="2"/>
  <c r="Y887" i="2"/>
  <c r="X887" i="2"/>
  <c r="W887" i="2"/>
  <c r="V887" i="2"/>
  <c r="U887" i="2"/>
  <c r="T887" i="2"/>
  <c r="S887" i="2"/>
  <c r="AC886" i="2"/>
  <c r="AB886" i="2"/>
  <c r="AA886" i="2"/>
  <c r="Z886" i="2"/>
  <c r="Y886" i="2"/>
  <c r="Y885" i="2" s="1"/>
  <c r="Y1398" i="2" s="1"/>
  <c r="X886" i="2"/>
  <c r="W886" i="2"/>
  <c r="V886" i="2"/>
  <c r="U886" i="2"/>
  <c r="T886" i="2"/>
  <c r="S886" i="2"/>
  <c r="AC885" i="2"/>
  <c r="AC1398" i="2" s="1"/>
  <c r="AC884" i="2"/>
  <c r="AB884" i="2"/>
  <c r="AA884" i="2"/>
  <c r="Z884" i="2"/>
  <c r="Y884" i="2"/>
  <c r="X884" i="2"/>
  <c r="W884" i="2"/>
  <c r="V884" i="2"/>
  <c r="U884" i="2"/>
  <c r="T884" i="2"/>
  <c r="S884" i="2"/>
  <c r="AC883" i="2"/>
  <c r="AB883" i="2"/>
  <c r="AA883" i="2"/>
  <c r="Z883" i="2"/>
  <c r="Y883" i="2"/>
  <c r="X883" i="2"/>
  <c r="W883" i="2"/>
  <c r="V883" i="2"/>
  <c r="U883" i="2"/>
  <c r="T883" i="2"/>
  <c r="S883" i="2"/>
  <c r="AC882" i="2"/>
  <c r="AB882" i="2"/>
  <c r="AA882" i="2"/>
  <c r="Z882" i="2"/>
  <c r="Y882" i="2"/>
  <c r="X882" i="2"/>
  <c r="W882" i="2"/>
  <c r="V882" i="2"/>
  <c r="U882" i="2"/>
  <c r="T882" i="2"/>
  <c r="S882" i="2"/>
  <c r="AC881" i="2"/>
  <c r="AB881" i="2"/>
  <c r="AA881" i="2"/>
  <c r="Z881" i="2"/>
  <c r="Y881" i="2"/>
  <c r="X881" i="2"/>
  <c r="W881" i="2"/>
  <c r="V881" i="2"/>
  <c r="U881" i="2"/>
  <c r="T881" i="2"/>
  <c r="S881" i="2"/>
  <c r="AC880" i="2"/>
  <c r="AC1397" i="2" s="1"/>
  <c r="AC869" i="2"/>
  <c r="AB869" i="2"/>
  <c r="AA869" i="2"/>
  <c r="Z869" i="2"/>
  <c r="Y869" i="2"/>
  <c r="X869" i="2"/>
  <c r="W869" i="2"/>
  <c r="V869" i="2"/>
  <c r="U869" i="2"/>
  <c r="T869" i="2"/>
  <c r="S869" i="2"/>
  <c r="AC864" i="2"/>
  <c r="AC330" i="2" s="1"/>
  <c r="AC325" i="2" s="1"/>
  <c r="AB864" i="2"/>
  <c r="AB330" i="2" s="1"/>
  <c r="AB325" i="2" s="1"/>
  <c r="AA864" i="2"/>
  <c r="AA330" i="2" s="1"/>
  <c r="AA325" i="2" s="1"/>
  <c r="Z864" i="2"/>
  <c r="Z330" i="2" s="1"/>
  <c r="Z325" i="2" s="1"/>
  <c r="Y864" i="2"/>
  <c r="Y330" i="2" s="1"/>
  <c r="Y325" i="2" s="1"/>
  <c r="X864" i="2"/>
  <c r="X330" i="2" s="1"/>
  <c r="X325" i="2" s="1"/>
  <c r="W864" i="2"/>
  <c r="W330" i="2" s="1"/>
  <c r="W325" i="2" s="1"/>
  <c r="V864" i="2"/>
  <c r="V330" i="2" s="1"/>
  <c r="V325" i="2" s="1"/>
  <c r="U864" i="2"/>
  <c r="U330" i="2" s="1"/>
  <c r="U325" i="2" s="1"/>
  <c r="T864" i="2"/>
  <c r="T330" i="2" s="1"/>
  <c r="T325" i="2" s="1"/>
  <c r="S864" i="2"/>
  <c r="S330" i="2" s="1"/>
  <c r="S325" i="2" s="1"/>
  <c r="AC863" i="2"/>
  <c r="AB863" i="2"/>
  <c r="AA863" i="2"/>
  <c r="Z863" i="2"/>
  <c r="Y863" i="2"/>
  <c r="X863" i="2"/>
  <c r="W863" i="2"/>
  <c r="V863" i="2"/>
  <c r="U863" i="2"/>
  <c r="T863" i="2"/>
  <c r="S863" i="2"/>
  <c r="AC862" i="2"/>
  <c r="AB862" i="2"/>
  <c r="AA862" i="2"/>
  <c r="Z862" i="2"/>
  <c r="Y862" i="2"/>
  <c r="X862" i="2"/>
  <c r="W862" i="2"/>
  <c r="V862" i="2"/>
  <c r="U862" i="2"/>
  <c r="T862" i="2"/>
  <c r="S862" i="2"/>
  <c r="AC861" i="2"/>
  <c r="AB861" i="2"/>
  <c r="AA861" i="2"/>
  <c r="Z861" i="2"/>
  <c r="Y861" i="2"/>
  <c r="X861" i="2"/>
  <c r="W861" i="2"/>
  <c r="V861" i="2"/>
  <c r="U861" i="2"/>
  <c r="T861" i="2"/>
  <c r="S861" i="2"/>
  <c r="AC860" i="2"/>
  <c r="AB860" i="2"/>
  <c r="AB859" i="2" s="1"/>
  <c r="AB1592" i="2" s="1"/>
  <c r="AA860" i="2"/>
  <c r="Z860" i="2"/>
  <c r="Y860" i="2"/>
  <c r="Y859" i="2" s="1"/>
  <c r="Y1592" i="2" s="1"/>
  <c r="X860" i="2"/>
  <c r="W860" i="2"/>
  <c r="V860" i="2"/>
  <c r="U860" i="2"/>
  <c r="T860" i="2"/>
  <c r="S860" i="2"/>
  <c r="AC858" i="2"/>
  <c r="AB858" i="2"/>
  <c r="AA858" i="2"/>
  <c r="Z858" i="2"/>
  <c r="Y858" i="2"/>
  <c r="X858" i="2"/>
  <c r="W858" i="2"/>
  <c r="V858" i="2"/>
  <c r="U858" i="2"/>
  <c r="T858" i="2"/>
  <c r="S858" i="2"/>
  <c r="AC857" i="2"/>
  <c r="AB857" i="2"/>
  <c r="AA857" i="2"/>
  <c r="Z857" i="2"/>
  <c r="Y857" i="2"/>
  <c r="X857" i="2"/>
  <c r="W857" i="2"/>
  <c r="V857" i="2"/>
  <c r="U857" i="2"/>
  <c r="T857" i="2"/>
  <c r="S857" i="2"/>
  <c r="AC856" i="2"/>
  <c r="AB856" i="2"/>
  <c r="AA856" i="2"/>
  <c r="Z856" i="2"/>
  <c r="Y856" i="2"/>
  <c r="X856" i="2"/>
  <c r="W856" i="2"/>
  <c r="V856" i="2"/>
  <c r="U856" i="2"/>
  <c r="T856" i="2"/>
  <c r="S856" i="2"/>
  <c r="AC855" i="2"/>
  <c r="AB855" i="2"/>
  <c r="AA855" i="2"/>
  <c r="Z855" i="2"/>
  <c r="Y855" i="2"/>
  <c r="X855" i="2"/>
  <c r="W855" i="2"/>
  <c r="V855" i="2"/>
  <c r="U855" i="2"/>
  <c r="T855" i="2"/>
  <c r="S855" i="2"/>
  <c r="AC849" i="2"/>
  <c r="AB849" i="2"/>
  <c r="AA849" i="2"/>
  <c r="Z849" i="2"/>
  <c r="Y849" i="2"/>
  <c r="X849" i="2"/>
  <c r="W849" i="2"/>
  <c r="V849" i="2"/>
  <c r="U849" i="2"/>
  <c r="T849" i="2"/>
  <c r="S849" i="2"/>
  <c r="AC848" i="2"/>
  <c r="AC843" i="2" s="1"/>
  <c r="AB848" i="2"/>
  <c r="AB843" i="2" s="1"/>
  <c r="AA848" i="2"/>
  <c r="AA843" i="2" s="1"/>
  <c r="Z848" i="2"/>
  <c r="Z843" i="2" s="1"/>
  <c r="Y848" i="2"/>
  <c r="Y843" i="2" s="1"/>
  <c r="X848" i="2"/>
  <c r="X843" i="2" s="1"/>
  <c r="W848" i="2"/>
  <c r="W843" i="2" s="1"/>
  <c r="V848" i="2"/>
  <c r="V843" i="2" s="1"/>
  <c r="U848" i="2"/>
  <c r="U843" i="2" s="1"/>
  <c r="T848" i="2"/>
  <c r="T843" i="2" s="1"/>
  <c r="S848" i="2"/>
  <c r="S843" i="2" s="1"/>
  <c r="AC847" i="2"/>
  <c r="AC842" i="2" s="1"/>
  <c r="AB847" i="2"/>
  <c r="AB842" i="2" s="1"/>
  <c r="AA847" i="2"/>
  <c r="AA842" i="2" s="1"/>
  <c r="Z847" i="2"/>
  <c r="Z842" i="2" s="1"/>
  <c r="Y847" i="2"/>
  <c r="Y842" i="2" s="1"/>
  <c r="X847" i="2"/>
  <c r="X842" i="2" s="1"/>
  <c r="W847" i="2"/>
  <c r="W842" i="2" s="1"/>
  <c r="V847" i="2"/>
  <c r="V842" i="2" s="1"/>
  <c r="U847" i="2"/>
  <c r="U842" i="2" s="1"/>
  <c r="T847" i="2"/>
  <c r="T842" i="2" s="1"/>
  <c r="S847" i="2"/>
  <c r="S842" i="2" s="1"/>
  <c r="AC846" i="2"/>
  <c r="AC841" i="2" s="1"/>
  <c r="AB846" i="2"/>
  <c r="AB841" i="2" s="1"/>
  <c r="AA846" i="2"/>
  <c r="AA841" i="2" s="1"/>
  <c r="Z846" i="2"/>
  <c r="Z841" i="2" s="1"/>
  <c r="Y846" i="2"/>
  <c r="Y841" i="2" s="1"/>
  <c r="X846" i="2"/>
  <c r="X841" i="2" s="1"/>
  <c r="W846" i="2"/>
  <c r="W841" i="2" s="1"/>
  <c r="V846" i="2"/>
  <c r="V841" i="2" s="1"/>
  <c r="U846" i="2"/>
  <c r="U841" i="2" s="1"/>
  <c r="T846" i="2"/>
  <c r="T841" i="2" s="1"/>
  <c r="S846" i="2"/>
  <c r="S841" i="2" s="1"/>
  <c r="AC845" i="2"/>
  <c r="AC840" i="2" s="1"/>
  <c r="AB845" i="2"/>
  <c r="AA845" i="2"/>
  <c r="Z845" i="2"/>
  <c r="Z840" i="2" s="1"/>
  <c r="Y845" i="2"/>
  <c r="X845" i="2"/>
  <c r="X840" i="2" s="1"/>
  <c r="W845" i="2"/>
  <c r="W840" i="2" s="1"/>
  <c r="V845" i="2"/>
  <c r="U845" i="2"/>
  <c r="T845" i="2"/>
  <c r="S845" i="2"/>
  <c r="AC825" i="2"/>
  <c r="AB825" i="2"/>
  <c r="AA825" i="2"/>
  <c r="Z825" i="2"/>
  <c r="Y825" i="2"/>
  <c r="X825" i="2"/>
  <c r="W825" i="2"/>
  <c r="V825" i="2"/>
  <c r="U825" i="2"/>
  <c r="T825" i="2"/>
  <c r="S825" i="2"/>
  <c r="AC820" i="2"/>
  <c r="AC388" i="2" s="1"/>
  <c r="AB820" i="2"/>
  <c r="AB388" i="2" s="1"/>
  <c r="AA820" i="2"/>
  <c r="AA388" i="2" s="1"/>
  <c r="Z820" i="2"/>
  <c r="Z388" i="2" s="1"/>
  <c r="Y820" i="2"/>
  <c r="Y388" i="2" s="1"/>
  <c r="X820" i="2"/>
  <c r="X388" i="2" s="1"/>
  <c r="W820" i="2"/>
  <c r="W388" i="2" s="1"/>
  <c r="V820" i="2"/>
  <c r="V388" i="2" s="1"/>
  <c r="U820" i="2"/>
  <c r="U388" i="2" s="1"/>
  <c r="T820" i="2"/>
  <c r="T388" i="2" s="1"/>
  <c r="S820" i="2"/>
  <c r="S388" i="2" s="1"/>
  <c r="AC815" i="2"/>
  <c r="AC387" i="2" s="1"/>
  <c r="AB815" i="2"/>
  <c r="AB387" i="2" s="1"/>
  <c r="AA815" i="2"/>
  <c r="AA387" i="2" s="1"/>
  <c r="Z815" i="2"/>
  <c r="Z387" i="2" s="1"/>
  <c r="Y815" i="2"/>
  <c r="Y387" i="2" s="1"/>
  <c r="X815" i="2"/>
  <c r="X387" i="2" s="1"/>
  <c r="W815" i="2"/>
  <c r="W387" i="2" s="1"/>
  <c r="V815" i="2"/>
  <c r="V387" i="2" s="1"/>
  <c r="U815" i="2"/>
  <c r="U387" i="2" s="1"/>
  <c r="T815" i="2"/>
  <c r="T387" i="2" s="1"/>
  <c r="S815" i="2"/>
  <c r="S387" i="2" s="1"/>
  <c r="AC810" i="2"/>
  <c r="AC384" i="2" s="1"/>
  <c r="AB810" i="2"/>
  <c r="AB384" i="2" s="1"/>
  <c r="AA810" i="2"/>
  <c r="AA384" i="2" s="1"/>
  <c r="Z810" i="2"/>
  <c r="Z384" i="2" s="1"/>
  <c r="Y810" i="2"/>
  <c r="Y384" i="2" s="1"/>
  <c r="X810" i="2"/>
  <c r="X384" i="2" s="1"/>
  <c r="W810" i="2"/>
  <c r="W384" i="2" s="1"/>
  <c r="V810" i="2"/>
  <c r="V384" i="2" s="1"/>
  <c r="U810" i="2"/>
  <c r="U384" i="2" s="1"/>
  <c r="T810" i="2"/>
  <c r="T384" i="2" s="1"/>
  <c r="S810" i="2"/>
  <c r="S384" i="2" s="1"/>
  <c r="AC805" i="2"/>
  <c r="AC383" i="2" s="1"/>
  <c r="AB805" i="2"/>
  <c r="AB383" i="2" s="1"/>
  <c r="AA805" i="2"/>
  <c r="AA383" i="2" s="1"/>
  <c r="Z805" i="2"/>
  <c r="Z383" i="2" s="1"/>
  <c r="Y805" i="2"/>
  <c r="Y383" i="2" s="1"/>
  <c r="X805" i="2"/>
  <c r="X383" i="2" s="1"/>
  <c r="W805" i="2"/>
  <c r="W383" i="2" s="1"/>
  <c r="V805" i="2"/>
  <c r="V383" i="2" s="1"/>
  <c r="U805" i="2"/>
  <c r="U383" i="2" s="1"/>
  <c r="T805" i="2"/>
  <c r="T383" i="2" s="1"/>
  <c r="S805" i="2"/>
  <c r="S383" i="2" s="1"/>
  <c r="AC800" i="2"/>
  <c r="AC386" i="2" s="1"/>
  <c r="AC385" i="2" s="1"/>
  <c r="AB800" i="2"/>
  <c r="AB386" i="2" s="1"/>
  <c r="AA800" i="2"/>
  <c r="AA386" i="2" s="1"/>
  <c r="Z800" i="2"/>
  <c r="Z386" i="2" s="1"/>
  <c r="Y800" i="2"/>
  <c r="Y386" i="2" s="1"/>
  <c r="X800" i="2"/>
  <c r="X386" i="2" s="1"/>
  <c r="W800" i="2"/>
  <c r="W386" i="2" s="1"/>
  <c r="V800" i="2"/>
  <c r="V386" i="2" s="1"/>
  <c r="U800" i="2"/>
  <c r="U386" i="2" s="1"/>
  <c r="U385" i="2" s="1"/>
  <c r="T800" i="2"/>
  <c r="T386" i="2" s="1"/>
  <c r="S800" i="2"/>
  <c r="S386" i="2" s="1"/>
  <c r="AC795" i="2"/>
  <c r="AC382" i="2" s="1"/>
  <c r="AB795" i="2"/>
  <c r="AB382" i="2" s="1"/>
  <c r="AA795" i="2"/>
  <c r="AA382" i="2" s="1"/>
  <c r="Z795" i="2"/>
  <c r="Z382" i="2" s="1"/>
  <c r="Y795" i="2"/>
  <c r="Y382" i="2" s="1"/>
  <c r="X795" i="2"/>
  <c r="X382" i="2" s="1"/>
  <c r="X381" i="2" s="1"/>
  <c r="W795" i="2"/>
  <c r="W382" i="2" s="1"/>
  <c r="V795" i="2"/>
  <c r="V382" i="2" s="1"/>
  <c r="U795" i="2"/>
  <c r="U382" i="2" s="1"/>
  <c r="T795" i="2"/>
  <c r="T382" i="2" s="1"/>
  <c r="S795" i="2"/>
  <c r="S382" i="2" s="1"/>
  <c r="AC794" i="2"/>
  <c r="AC793" i="2" s="1"/>
  <c r="Z794" i="2"/>
  <c r="Z793" i="2" s="1"/>
  <c r="AC786" i="2"/>
  <c r="AB786" i="2"/>
  <c r="AA786" i="2"/>
  <c r="Z786" i="2"/>
  <c r="Y786" i="2"/>
  <c r="X786" i="2"/>
  <c r="W786" i="2"/>
  <c r="V786" i="2"/>
  <c r="U786" i="2"/>
  <c r="T786" i="2"/>
  <c r="S786" i="2"/>
  <c r="AC781" i="2"/>
  <c r="AC361" i="2" s="1"/>
  <c r="AB781" i="2"/>
  <c r="AB361" i="2" s="1"/>
  <c r="AA781" i="2"/>
  <c r="AA361" i="2" s="1"/>
  <c r="Z781" i="2"/>
  <c r="Z361" i="2" s="1"/>
  <c r="Y781" i="2"/>
  <c r="Y361" i="2" s="1"/>
  <c r="X781" i="2"/>
  <c r="X361" i="2" s="1"/>
  <c r="W781" i="2"/>
  <c r="W361" i="2" s="1"/>
  <c r="V781" i="2"/>
  <c r="V361" i="2" s="1"/>
  <c r="U781" i="2"/>
  <c r="U361" i="2" s="1"/>
  <c r="T781" i="2"/>
  <c r="T361" i="2" s="1"/>
  <c r="S781" i="2"/>
  <c r="S361" i="2" s="1"/>
  <c r="AC776" i="2"/>
  <c r="AC360" i="2" s="1"/>
  <c r="AB776" i="2"/>
  <c r="AB360" i="2" s="1"/>
  <c r="AA776" i="2"/>
  <c r="AA360" i="2" s="1"/>
  <c r="Z776" i="2"/>
  <c r="Z360" i="2" s="1"/>
  <c r="Y776" i="2"/>
  <c r="Y360" i="2" s="1"/>
  <c r="X776" i="2"/>
  <c r="X360" i="2" s="1"/>
  <c r="W776" i="2"/>
  <c r="W360" i="2" s="1"/>
  <c r="V776" i="2"/>
  <c r="V360" i="2" s="1"/>
  <c r="U776" i="2"/>
  <c r="U360" i="2" s="1"/>
  <c r="T776" i="2"/>
  <c r="T360" i="2" s="1"/>
  <c r="S776" i="2"/>
  <c r="S360" i="2" s="1"/>
  <c r="AC771" i="2"/>
  <c r="AC357" i="2" s="1"/>
  <c r="AB771" i="2"/>
  <c r="AB357" i="2" s="1"/>
  <c r="AA771" i="2"/>
  <c r="AA357" i="2" s="1"/>
  <c r="Z771" i="2"/>
  <c r="Z357" i="2" s="1"/>
  <c r="Y771" i="2"/>
  <c r="Y357" i="2" s="1"/>
  <c r="X771" i="2"/>
  <c r="X357" i="2" s="1"/>
  <c r="W771" i="2"/>
  <c r="W357" i="2" s="1"/>
  <c r="V771" i="2"/>
  <c r="V357" i="2" s="1"/>
  <c r="U771" i="2"/>
  <c r="U357" i="2" s="1"/>
  <c r="T771" i="2"/>
  <c r="T357" i="2" s="1"/>
  <c r="S771" i="2"/>
  <c r="S357" i="2" s="1"/>
  <c r="AC766" i="2"/>
  <c r="AC356" i="2" s="1"/>
  <c r="AB766" i="2"/>
  <c r="AB356" i="2" s="1"/>
  <c r="AA766" i="2"/>
  <c r="AA356" i="2" s="1"/>
  <c r="Z766" i="2"/>
  <c r="Z356" i="2" s="1"/>
  <c r="Y766" i="2"/>
  <c r="Y356" i="2" s="1"/>
  <c r="X766" i="2"/>
  <c r="X356" i="2" s="1"/>
  <c r="W766" i="2"/>
  <c r="W356" i="2" s="1"/>
  <c r="V766" i="2"/>
  <c r="V356" i="2" s="1"/>
  <c r="U766" i="2"/>
  <c r="U356" i="2" s="1"/>
  <c r="T766" i="2"/>
  <c r="T356" i="2" s="1"/>
  <c r="S766" i="2"/>
  <c r="S356" i="2" s="1"/>
  <c r="AC761" i="2"/>
  <c r="AC359" i="2" s="1"/>
  <c r="AB761" i="2"/>
  <c r="AB359" i="2" s="1"/>
  <c r="AA761" i="2"/>
  <c r="AA359" i="2" s="1"/>
  <c r="Z761" i="2"/>
  <c r="Z359" i="2" s="1"/>
  <c r="Y761" i="2"/>
  <c r="Y359" i="2" s="1"/>
  <c r="X761" i="2"/>
  <c r="X359" i="2" s="1"/>
  <c r="W761" i="2"/>
  <c r="W359" i="2" s="1"/>
  <c r="V761" i="2"/>
  <c r="V359" i="2" s="1"/>
  <c r="U761" i="2"/>
  <c r="U359" i="2" s="1"/>
  <c r="T761" i="2"/>
  <c r="T359" i="2" s="1"/>
  <c r="S761" i="2"/>
  <c r="S359" i="2" s="1"/>
  <c r="S358" i="2" s="1"/>
  <c r="AC756" i="2"/>
  <c r="AC355" i="2" s="1"/>
  <c r="AB756" i="2"/>
  <c r="AB355" i="2" s="1"/>
  <c r="AA756" i="2"/>
  <c r="AA355" i="2" s="1"/>
  <c r="Z756" i="2"/>
  <c r="Z355" i="2" s="1"/>
  <c r="Y756" i="2"/>
  <c r="Y355" i="2" s="1"/>
  <c r="X756" i="2"/>
  <c r="X355" i="2" s="1"/>
  <c r="W756" i="2"/>
  <c r="W355" i="2" s="1"/>
  <c r="V756" i="2"/>
  <c r="V355" i="2" s="1"/>
  <c r="U756" i="2"/>
  <c r="U355" i="2" s="1"/>
  <c r="T756" i="2"/>
  <c r="T355" i="2" s="1"/>
  <c r="S756" i="2"/>
  <c r="S355" i="2" s="1"/>
  <c r="AC747" i="2"/>
  <c r="AB747" i="2"/>
  <c r="AA747" i="2"/>
  <c r="Z747" i="2"/>
  <c r="Y747" i="2"/>
  <c r="X747" i="2"/>
  <c r="W747" i="2"/>
  <c r="V747" i="2"/>
  <c r="U747" i="2"/>
  <c r="T747" i="2"/>
  <c r="S747" i="2"/>
  <c r="AC743" i="2"/>
  <c r="AB743" i="2"/>
  <c r="AA743" i="2"/>
  <c r="Z743" i="2"/>
  <c r="Y743" i="2"/>
  <c r="X743" i="2"/>
  <c r="W743" i="2"/>
  <c r="V743" i="2"/>
  <c r="U743" i="2"/>
  <c r="T743" i="2"/>
  <c r="T741" i="2" s="1"/>
  <c r="S743" i="2"/>
  <c r="S741" i="2" s="1"/>
  <c r="AC741" i="2"/>
  <c r="AB741" i="2"/>
  <c r="AA741" i="2"/>
  <c r="Z741" i="2"/>
  <c r="Y741" i="2"/>
  <c r="X741" i="2"/>
  <c r="W741" i="2"/>
  <c r="V741" i="2"/>
  <c r="U741" i="2"/>
  <c r="AC737" i="2"/>
  <c r="AB737" i="2"/>
  <c r="AA737" i="2"/>
  <c r="Z737" i="2"/>
  <c r="Y737" i="2"/>
  <c r="X737" i="2"/>
  <c r="W737" i="2"/>
  <c r="V737" i="2"/>
  <c r="U737" i="2"/>
  <c r="T737" i="2"/>
  <c r="S737" i="2"/>
  <c r="AC735" i="2"/>
  <c r="AB735" i="2"/>
  <c r="AA735" i="2"/>
  <c r="Z735" i="2"/>
  <c r="Y735" i="2"/>
  <c r="X735" i="2"/>
  <c r="W735" i="2"/>
  <c r="V735" i="2"/>
  <c r="U735" i="2"/>
  <c r="T735" i="2"/>
  <c r="S735" i="2"/>
  <c r="AC731" i="2"/>
  <c r="AB731" i="2"/>
  <c r="AA731" i="2"/>
  <c r="Z731" i="2"/>
  <c r="Y731" i="2"/>
  <c r="Y729" i="2" s="1"/>
  <c r="X731" i="2"/>
  <c r="X729" i="2" s="1"/>
  <c r="W731" i="2"/>
  <c r="W729" i="2" s="1"/>
  <c r="V731" i="2"/>
  <c r="V729" i="2" s="1"/>
  <c r="U731" i="2"/>
  <c r="U729" i="2" s="1"/>
  <c r="T731" i="2"/>
  <c r="T729" i="2" s="1"/>
  <c r="S731" i="2"/>
  <c r="S729" i="2" s="1"/>
  <c r="AC729" i="2"/>
  <c r="AB729" i="2"/>
  <c r="AA729" i="2"/>
  <c r="Z729" i="2"/>
  <c r="AC725" i="2"/>
  <c r="AB725" i="2"/>
  <c r="AA725" i="2"/>
  <c r="Z725" i="2"/>
  <c r="Y725" i="2"/>
  <c r="X725" i="2"/>
  <c r="W725" i="2"/>
  <c r="V725" i="2"/>
  <c r="U725" i="2"/>
  <c r="T725" i="2"/>
  <c r="S725" i="2"/>
  <c r="AC723" i="2"/>
  <c r="AB723" i="2"/>
  <c r="AA723" i="2"/>
  <c r="Z723" i="2"/>
  <c r="Y723" i="2"/>
  <c r="X723" i="2"/>
  <c r="W723" i="2"/>
  <c r="V723" i="2"/>
  <c r="U723" i="2"/>
  <c r="T723" i="2"/>
  <c r="S723" i="2"/>
  <c r="AC719" i="2"/>
  <c r="AB719" i="2"/>
  <c r="AA719" i="2"/>
  <c r="Z719" i="2"/>
  <c r="Y719" i="2"/>
  <c r="X719" i="2"/>
  <c r="W719" i="2"/>
  <c r="V719" i="2"/>
  <c r="U719" i="2"/>
  <c r="T719" i="2"/>
  <c r="S719" i="2"/>
  <c r="AC717" i="2"/>
  <c r="AB717" i="2"/>
  <c r="AA717" i="2"/>
  <c r="Z717" i="2"/>
  <c r="Y717" i="2"/>
  <c r="X717" i="2"/>
  <c r="W717" i="2"/>
  <c r="V717" i="2"/>
  <c r="U717" i="2"/>
  <c r="T717" i="2"/>
  <c r="S717" i="2"/>
  <c r="AC709" i="2"/>
  <c r="AB709" i="2"/>
  <c r="AA709" i="2"/>
  <c r="Z709" i="2"/>
  <c r="Y709" i="2"/>
  <c r="X709" i="2"/>
  <c r="W709" i="2"/>
  <c r="V709" i="2"/>
  <c r="U709" i="2"/>
  <c r="T709" i="2"/>
  <c r="S709" i="2"/>
  <c r="AC703" i="2"/>
  <c r="AB703" i="2"/>
  <c r="AA703" i="2"/>
  <c r="Z703" i="2"/>
  <c r="Y703" i="2"/>
  <c r="X703" i="2"/>
  <c r="W703" i="2"/>
  <c r="V703" i="2"/>
  <c r="U703" i="2"/>
  <c r="T703" i="2"/>
  <c r="S703" i="2"/>
  <c r="AC699" i="2"/>
  <c r="AB699" i="2"/>
  <c r="AA699" i="2"/>
  <c r="Z699" i="2"/>
  <c r="Y699" i="2"/>
  <c r="X699" i="2"/>
  <c r="W699" i="2"/>
  <c r="V699" i="2"/>
  <c r="U699" i="2"/>
  <c r="T699" i="2"/>
  <c r="S699" i="2"/>
  <c r="AC697" i="2"/>
  <c r="AB697" i="2"/>
  <c r="AA697" i="2"/>
  <c r="Z697" i="2"/>
  <c r="Y697" i="2"/>
  <c r="X697" i="2"/>
  <c r="W697" i="2"/>
  <c r="V697" i="2"/>
  <c r="U697" i="2"/>
  <c r="T697" i="2"/>
  <c r="S697" i="2"/>
  <c r="AC693" i="2"/>
  <c r="AB693" i="2"/>
  <c r="AB691" i="2" s="1"/>
  <c r="AA693" i="2"/>
  <c r="Z693" i="2"/>
  <c r="Y693" i="2"/>
  <c r="X693" i="2"/>
  <c r="W693" i="2"/>
  <c r="V693" i="2"/>
  <c r="U693" i="2"/>
  <c r="T693" i="2"/>
  <c r="T691" i="2" s="1"/>
  <c r="S693" i="2"/>
  <c r="AC691" i="2"/>
  <c r="AA691" i="2"/>
  <c r="Z691" i="2"/>
  <c r="Y691" i="2"/>
  <c r="X691" i="2"/>
  <c r="W691" i="2"/>
  <c r="V691" i="2"/>
  <c r="U691" i="2"/>
  <c r="S691" i="2"/>
  <c r="AC687" i="2"/>
  <c r="AC685" i="2" s="1"/>
  <c r="AB687" i="2"/>
  <c r="AA687" i="2"/>
  <c r="AA685" i="2" s="1"/>
  <c r="Z687" i="2"/>
  <c r="Z685" i="2" s="1"/>
  <c r="Y687" i="2"/>
  <c r="Y685" i="2" s="1"/>
  <c r="X687" i="2"/>
  <c r="X685" i="2" s="1"/>
  <c r="W687" i="2"/>
  <c r="W685" i="2" s="1"/>
  <c r="V687" i="2"/>
  <c r="V685" i="2" s="1"/>
  <c r="U687" i="2"/>
  <c r="U685" i="2" s="1"/>
  <c r="T687" i="2"/>
  <c r="T685" i="2" s="1"/>
  <c r="S687" i="2"/>
  <c r="S685" i="2" s="1"/>
  <c r="AB685" i="2"/>
  <c r="AC681" i="2"/>
  <c r="AB681" i="2"/>
  <c r="AB679" i="2" s="1"/>
  <c r="AA681" i="2"/>
  <c r="AA679" i="2" s="1"/>
  <c r="Z681" i="2"/>
  <c r="Z679" i="2" s="1"/>
  <c r="Z263" i="2" s="1"/>
  <c r="Y681" i="2"/>
  <c r="Y679" i="2" s="1"/>
  <c r="Y263" i="2" s="1"/>
  <c r="X681" i="2"/>
  <c r="X679" i="2" s="1"/>
  <c r="W681" i="2"/>
  <c r="W679" i="2" s="1"/>
  <c r="V681" i="2"/>
  <c r="V679" i="2" s="1"/>
  <c r="V263" i="2" s="1"/>
  <c r="U681" i="2"/>
  <c r="U679" i="2" s="1"/>
  <c r="U263" i="2" s="1"/>
  <c r="T681" i="2"/>
  <c r="T679" i="2" s="1"/>
  <c r="S681" i="2"/>
  <c r="S679" i="2" s="1"/>
  <c r="AC679" i="2"/>
  <c r="AC263" i="2" s="1"/>
  <c r="AC675" i="2"/>
  <c r="AC673" i="2" s="1"/>
  <c r="AB675" i="2"/>
  <c r="AB673" i="2" s="1"/>
  <c r="AA675" i="2"/>
  <c r="AA673" i="2" s="1"/>
  <c r="Z675" i="2"/>
  <c r="Z673" i="2" s="1"/>
  <c r="Z262" i="2" s="1"/>
  <c r="Y675" i="2"/>
  <c r="X675" i="2"/>
  <c r="X673" i="2" s="1"/>
  <c r="W675" i="2"/>
  <c r="W673" i="2" s="1"/>
  <c r="V675" i="2"/>
  <c r="V673" i="2" s="1"/>
  <c r="V262" i="2" s="1"/>
  <c r="U675" i="2"/>
  <c r="U673" i="2" s="1"/>
  <c r="T675" i="2"/>
  <c r="S675" i="2"/>
  <c r="S673" i="2" s="1"/>
  <c r="Y673" i="2"/>
  <c r="T673" i="2"/>
  <c r="AC665" i="2"/>
  <c r="AB665" i="2"/>
  <c r="AA665" i="2"/>
  <c r="Z665" i="2"/>
  <c r="Y665" i="2"/>
  <c r="X665" i="2"/>
  <c r="W665" i="2"/>
  <c r="V665" i="2"/>
  <c r="U665" i="2"/>
  <c r="T665" i="2"/>
  <c r="S665" i="2"/>
  <c r="AC656" i="2"/>
  <c r="AB656" i="2"/>
  <c r="AA656" i="2"/>
  <c r="Z656" i="2"/>
  <c r="Y656" i="2"/>
  <c r="X656" i="2"/>
  <c r="W656" i="2"/>
  <c r="V656" i="2"/>
  <c r="U656" i="2"/>
  <c r="T656" i="2"/>
  <c r="S656" i="2"/>
  <c r="AC649" i="2"/>
  <c r="AC648" i="2" s="1"/>
  <c r="AB649" i="2"/>
  <c r="AB648" i="2" s="1"/>
  <c r="AA649" i="2"/>
  <c r="AA648" i="2" s="1"/>
  <c r="Z649" i="2"/>
  <c r="Z648" i="2" s="1"/>
  <c r="Y649" i="2"/>
  <c r="Y648" i="2" s="1"/>
  <c r="X649" i="2"/>
  <c r="X648" i="2" s="1"/>
  <c r="W649" i="2"/>
  <c r="W648" i="2" s="1"/>
  <c r="V649" i="2"/>
  <c r="V648" i="2" s="1"/>
  <c r="U649" i="2"/>
  <c r="U648" i="2" s="1"/>
  <c r="T649" i="2"/>
  <c r="T648" i="2" s="1"/>
  <c r="S649" i="2"/>
  <c r="S648" i="2" s="1"/>
  <c r="AC641" i="2"/>
  <c r="AB641" i="2"/>
  <c r="AB633" i="2" s="1"/>
  <c r="AA641" i="2"/>
  <c r="Z641" i="2"/>
  <c r="Z633" i="2" s="1"/>
  <c r="Y641" i="2"/>
  <c r="X641" i="2"/>
  <c r="W641" i="2"/>
  <c r="V641" i="2"/>
  <c r="U641" i="2"/>
  <c r="T641" i="2"/>
  <c r="S641" i="2"/>
  <c r="AC634" i="2"/>
  <c r="AB634" i="2"/>
  <c r="AA634" i="2"/>
  <c r="Z634" i="2"/>
  <c r="Y634" i="2"/>
  <c r="X634" i="2"/>
  <c r="W634" i="2"/>
  <c r="W633" i="2" s="1"/>
  <c r="V634" i="2"/>
  <c r="U634" i="2"/>
  <c r="T634" i="2"/>
  <c r="S634" i="2"/>
  <c r="AC624" i="2"/>
  <c r="AB624" i="2"/>
  <c r="AA624" i="2"/>
  <c r="Z624" i="2"/>
  <c r="Y624" i="2"/>
  <c r="X624" i="2"/>
  <c r="W624" i="2"/>
  <c r="V624" i="2"/>
  <c r="U624" i="2"/>
  <c r="T624" i="2"/>
  <c r="S624" i="2"/>
  <c r="AC620" i="2"/>
  <c r="AB620" i="2"/>
  <c r="AA620" i="2"/>
  <c r="Z620" i="2"/>
  <c r="Y620" i="2"/>
  <c r="X620" i="2"/>
  <c r="W620" i="2"/>
  <c r="V620" i="2"/>
  <c r="U620" i="2"/>
  <c r="T620" i="2"/>
  <c r="S620" i="2"/>
  <c r="AC616" i="2"/>
  <c r="AB616" i="2"/>
  <c r="AA616" i="2"/>
  <c r="Z616" i="2"/>
  <c r="Y616" i="2"/>
  <c r="X616" i="2"/>
  <c r="W616" i="2"/>
  <c r="V616" i="2"/>
  <c r="U616" i="2"/>
  <c r="T616" i="2"/>
  <c r="S616" i="2"/>
  <c r="AC612" i="2"/>
  <c r="AC611" i="2" s="1"/>
  <c r="AC607" i="2" s="1"/>
  <c r="AB612" i="2"/>
  <c r="AB611" i="2" s="1"/>
  <c r="AB607" i="2" s="1"/>
  <c r="AA612" i="2"/>
  <c r="AA611" i="2" s="1"/>
  <c r="Z612" i="2"/>
  <c r="Z611" i="2" s="1"/>
  <c r="Z607" i="2" s="1"/>
  <c r="Y612" i="2"/>
  <c r="Y611" i="2" s="1"/>
  <c r="X612" i="2"/>
  <c r="X611" i="2" s="1"/>
  <c r="W612" i="2"/>
  <c r="W611" i="2" s="1"/>
  <c r="V612" i="2"/>
  <c r="V611" i="2" s="1"/>
  <c r="U612" i="2"/>
  <c r="T612" i="2"/>
  <c r="T611" i="2" s="1"/>
  <c r="T607" i="2" s="1"/>
  <c r="S612" i="2"/>
  <c r="S611" i="2" s="1"/>
  <c r="U611" i="2"/>
  <c r="AC608" i="2"/>
  <c r="AB608" i="2"/>
  <c r="AA608" i="2"/>
  <c r="Z608" i="2"/>
  <c r="Y608" i="2"/>
  <c r="X608" i="2"/>
  <c r="W608" i="2"/>
  <c r="V608" i="2"/>
  <c r="U608" i="2"/>
  <c r="T608" i="2"/>
  <c r="S608" i="2"/>
  <c r="AC601" i="2"/>
  <c r="AB601" i="2"/>
  <c r="AA601" i="2"/>
  <c r="Z601" i="2"/>
  <c r="Y601" i="2"/>
  <c r="X601" i="2"/>
  <c r="W601" i="2"/>
  <c r="V601" i="2"/>
  <c r="U601" i="2"/>
  <c r="T601" i="2"/>
  <c r="S601" i="2"/>
  <c r="AC597" i="2"/>
  <c r="AB597" i="2"/>
  <c r="AA597" i="2"/>
  <c r="Z597" i="2"/>
  <c r="Y597" i="2"/>
  <c r="X597" i="2"/>
  <c r="W597" i="2"/>
  <c r="V597" i="2"/>
  <c r="U597" i="2"/>
  <c r="T597" i="2"/>
  <c r="S597" i="2"/>
  <c r="AC593" i="2"/>
  <c r="AB593" i="2"/>
  <c r="AA593" i="2"/>
  <c r="Z593" i="2"/>
  <c r="Y593" i="2"/>
  <c r="X593" i="2"/>
  <c r="W593" i="2"/>
  <c r="V593" i="2"/>
  <c r="U593" i="2"/>
  <c r="T593" i="2"/>
  <c r="S593" i="2"/>
  <c r="AC589" i="2"/>
  <c r="AB589" i="2"/>
  <c r="AA589" i="2"/>
  <c r="Z589" i="2"/>
  <c r="Y589" i="2"/>
  <c r="X589" i="2"/>
  <c r="W589" i="2"/>
  <c r="V589" i="2"/>
  <c r="U589" i="2"/>
  <c r="U588" i="2" s="1"/>
  <c r="T589" i="2"/>
  <c r="S589" i="2"/>
  <c r="S588" i="2" s="1"/>
  <c r="AC585" i="2"/>
  <c r="AB585" i="2"/>
  <c r="AA585" i="2"/>
  <c r="Z585" i="2"/>
  <c r="Y585" i="2"/>
  <c r="X585" i="2"/>
  <c r="W585" i="2"/>
  <c r="V585" i="2"/>
  <c r="U585" i="2"/>
  <c r="T585" i="2"/>
  <c r="S585" i="2"/>
  <c r="AC577" i="2"/>
  <c r="AB577" i="2"/>
  <c r="AA577" i="2"/>
  <c r="Z577" i="2"/>
  <c r="Y577" i="2"/>
  <c r="X577" i="2"/>
  <c r="W577" i="2"/>
  <c r="V577" i="2"/>
  <c r="U577" i="2"/>
  <c r="T577" i="2"/>
  <c r="S577" i="2"/>
  <c r="AC573" i="2"/>
  <c r="AC572" i="2" s="1"/>
  <c r="AB572" i="2"/>
  <c r="AA573" i="2"/>
  <c r="AA572" i="2" s="1"/>
  <c r="Z573" i="2"/>
  <c r="Z572" i="2" s="1"/>
  <c r="Y573" i="2"/>
  <c r="Y572" i="2" s="1"/>
  <c r="X573" i="2"/>
  <c r="X572" i="2" s="1"/>
  <c r="W573" i="2"/>
  <c r="W572" i="2" s="1"/>
  <c r="V573" i="2"/>
  <c r="V572" i="2" s="1"/>
  <c r="U573" i="2"/>
  <c r="U572" i="2" s="1"/>
  <c r="T573" i="2"/>
  <c r="T572" i="2" s="1"/>
  <c r="S573" i="2"/>
  <c r="S572" i="2" s="1"/>
  <c r="AC569" i="2"/>
  <c r="AB569" i="2"/>
  <c r="AA569" i="2"/>
  <c r="Z569" i="2"/>
  <c r="Y569" i="2"/>
  <c r="X569" i="2"/>
  <c r="W569" i="2"/>
  <c r="V569" i="2"/>
  <c r="U569" i="2"/>
  <c r="T569" i="2"/>
  <c r="S569" i="2"/>
  <c r="AC562" i="2"/>
  <c r="AB562" i="2"/>
  <c r="AA562" i="2"/>
  <c r="Z562" i="2"/>
  <c r="Y562" i="2"/>
  <c r="X562" i="2"/>
  <c r="W562" i="2"/>
  <c r="V562" i="2"/>
  <c r="U562" i="2"/>
  <c r="T562" i="2"/>
  <c r="S562" i="2"/>
  <c r="AC558" i="2"/>
  <c r="AC557" i="2" s="1"/>
  <c r="AB558" i="2"/>
  <c r="AB557" i="2" s="1"/>
  <c r="AA558" i="2"/>
  <c r="AA557" i="2" s="1"/>
  <c r="Z558" i="2"/>
  <c r="Z557" i="2" s="1"/>
  <c r="Y558" i="2"/>
  <c r="Y557" i="2" s="1"/>
  <c r="X558" i="2"/>
  <c r="X557" i="2" s="1"/>
  <c r="W558" i="2"/>
  <c r="W557" i="2" s="1"/>
  <c r="V558" i="2"/>
  <c r="V557" i="2" s="1"/>
  <c r="U558" i="2"/>
  <c r="U557" i="2" s="1"/>
  <c r="T558" i="2"/>
  <c r="T557" i="2" s="1"/>
  <c r="S558" i="2"/>
  <c r="S557" i="2" s="1"/>
  <c r="AC554" i="2"/>
  <c r="AB554" i="2"/>
  <c r="AA554" i="2"/>
  <c r="Z554" i="2"/>
  <c r="Y554" i="2"/>
  <c r="X554" i="2"/>
  <c r="W554" i="2"/>
  <c r="V554" i="2"/>
  <c r="U554" i="2"/>
  <c r="T554" i="2"/>
  <c r="S554" i="2"/>
  <c r="AC544" i="2"/>
  <c r="AC543" i="2" s="1"/>
  <c r="AC145" i="2" s="1"/>
  <c r="AB544" i="2"/>
  <c r="AB543" i="2" s="1"/>
  <c r="AB145" i="2" s="1"/>
  <c r="AA544" i="2"/>
  <c r="AA543" i="2" s="1"/>
  <c r="AA145" i="2" s="1"/>
  <c r="Z544" i="2"/>
  <c r="Z543" i="2" s="1"/>
  <c r="Z145" i="2" s="1"/>
  <c r="Y544" i="2"/>
  <c r="Y543" i="2" s="1"/>
  <c r="Y145" i="2" s="1"/>
  <c r="X544" i="2"/>
  <c r="X543" i="2" s="1"/>
  <c r="X145" i="2" s="1"/>
  <c r="W544" i="2"/>
  <c r="W543" i="2" s="1"/>
  <c r="W145" i="2" s="1"/>
  <c r="V544" i="2"/>
  <c r="V543" i="2" s="1"/>
  <c r="V145" i="2" s="1"/>
  <c r="U544" i="2"/>
  <c r="U543" i="2" s="1"/>
  <c r="U145" i="2" s="1"/>
  <c r="T544" i="2"/>
  <c r="T543" i="2" s="1"/>
  <c r="T145" i="2" s="1"/>
  <c r="S544" i="2"/>
  <c r="S543" i="2" s="1"/>
  <c r="S145" i="2" s="1"/>
  <c r="AC537" i="2"/>
  <c r="AC536" i="2" s="1"/>
  <c r="AC143" i="2" s="1"/>
  <c r="AB537" i="2"/>
  <c r="AB536" i="2" s="1"/>
  <c r="AB143" i="2" s="1"/>
  <c r="AA537" i="2"/>
  <c r="AA536" i="2" s="1"/>
  <c r="AA143" i="2" s="1"/>
  <c r="Z537" i="2"/>
  <c r="Z536" i="2" s="1"/>
  <c r="Z143" i="2" s="1"/>
  <c r="Y537" i="2"/>
  <c r="Y536" i="2" s="1"/>
  <c r="Y143" i="2" s="1"/>
  <c r="X537" i="2"/>
  <c r="X536" i="2" s="1"/>
  <c r="X143" i="2" s="1"/>
  <c r="W537" i="2"/>
  <c r="W536" i="2" s="1"/>
  <c r="W143" i="2" s="1"/>
  <c r="V537" i="2"/>
  <c r="V536" i="2" s="1"/>
  <c r="V143" i="2" s="1"/>
  <c r="U537" i="2"/>
  <c r="U536" i="2" s="1"/>
  <c r="U143" i="2" s="1"/>
  <c r="T537" i="2"/>
  <c r="T536" i="2" s="1"/>
  <c r="T143" i="2" s="1"/>
  <c r="S537" i="2"/>
  <c r="S536" i="2" s="1"/>
  <c r="S143" i="2" s="1"/>
  <c r="AC529" i="2"/>
  <c r="AB529" i="2"/>
  <c r="AA529" i="2"/>
  <c r="Z529" i="2"/>
  <c r="Y529" i="2"/>
  <c r="X529" i="2"/>
  <c r="W529" i="2"/>
  <c r="V529" i="2"/>
  <c r="U529" i="2"/>
  <c r="S529" i="2"/>
  <c r="AC525" i="2"/>
  <c r="AB525" i="2"/>
  <c r="AA525" i="2"/>
  <c r="Z525" i="2"/>
  <c r="Y525" i="2"/>
  <c r="X525" i="2"/>
  <c r="W525" i="2"/>
  <c r="V525" i="2"/>
  <c r="U525" i="2"/>
  <c r="S525" i="2"/>
  <c r="AC521" i="2"/>
  <c r="AB521" i="2"/>
  <c r="AA521" i="2"/>
  <c r="Z521" i="2"/>
  <c r="Y521" i="2"/>
  <c r="X521" i="2"/>
  <c r="W521" i="2"/>
  <c r="V521" i="2"/>
  <c r="U521" i="2"/>
  <c r="S521" i="2"/>
  <c r="AC518" i="2"/>
  <c r="AC517" i="2" s="1"/>
  <c r="AC516" i="2" s="1"/>
  <c r="AB518" i="2"/>
  <c r="AB517" i="2" s="1"/>
  <c r="AB516" i="2" s="1"/>
  <c r="AA518" i="2"/>
  <c r="AA517" i="2" s="1"/>
  <c r="AA516" i="2" s="1"/>
  <c r="Z518" i="2"/>
  <c r="Y518" i="2"/>
  <c r="X518" i="2"/>
  <c r="W518" i="2"/>
  <c r="W517" i="2" s="1"/>
  <c r="W516" i="2" s="1"/>
  <c r="V518" i="2"/>
  <c r="U518" i="2"/>
  <c r="S518" i="2"/>
  <c r="S517" i="2" s="1"/>
  <c r="S516" i="2" s="1"/>
  <c r="AC512" i="2"/>
  <c r="AC511" i="2" s="1"/>
  <c r="AB512" i="2"/>
  <c r="AB511" i="2" s="1"/>
  <c r="AA512" i="2"/>
  <c r="AA511" i="2" s="1"/>
  <c r="Z512" i="2"/>
  <c r="Z511" i="2" s="1"/>
  <c r="Y512" i="2"/>
  <c r="Y511" i="2" s="1"/>
  <c r="X512" i="2"/>
  <c r="X511" i="2" s="1"/>
  <c r="W512" i="2"/>
  <c r="W511" i="2" s="1"/>
  <c r="V512" i="2"/>
  <c r="V511" i="2" s="1"/>
  <c r="U512" i="2"/>
  <c r="U511" i="2" s="1"/>
  <c r="S512" i="2"/>
  <c r="S511" i="2" s="1"/>
  <c r="AC505" i="2"/>
  <c r="AB505" i="2"/>
  <c r="AA505" i="2"/>
  <c r="Z505" i="2"/>
  <c r="Y505" i="2"/>
  <c r="X505" i="2"/>
  <c r="W505" i="2"/>
  <c r="V505" i="2"/>
  <c r="U505" i="2"/>
  <c r="S505" i="2"/>
  <c r="AC501" i="2"/>
  <c r="AB501" i="2"/>
  <c r="AA501" i="2"/>
  <c r="Z501" i="2"/>
  <c r="Y501" i="2"/>
  <c r="X501" i="2"/>
  <c r="W501" i="2"/>
  <c r="V501" i="2"/>
  <c r="U501" i="2"/>
  <c r="S501" i="2"/>
  <c r="AC497" i="2"/>
  <c r="AB497" i="2"/>
  <c r="AA497" i="2"/>
  <c r="Z497" i="2"/>
  <c r="Y497" i="2"/>
  <c r="X497" i="2"/>
  <c r="W497" i="2"/>
  <c r="V497" i="2"/>
  <c r="U497" i="2"/>
  <c r="S497" i="2"/>
  <c r="AC494" i="2"/>
  <c r="AB494" i="2"/>
  <c r="AA494" i="2"/>
  <c r="Z494" i="2"/>
  <c r="Y494" i="2"/>
  <c r="Y493" i="2" s="1"/>
  <c r="X494" i="2"/>
  <c r="W494" i="2"/>
  <c r="W493" i="2" s="1"/>
  <c r="V494" i="2"/>
  <c r="U494" i="2"/>
  <c r="S494" i="2"/>
  <c r="AA493" i="2"/>
  <c r="AC488" i="2"/>
  <c r="AC487" i="2" s="1"/>
  <c r="AB488" i="2"/>
  <c r="AB487" i="2" s="1"/>
  <c r="AA488" i="2"/>
  <c r="AA487" i="2" s="1"/>
  <c r="Z488" i="2"/>
  <c r="Z487" i="2" s="1"/>
  <c r="Y488" i="2"/>
  <c r="Y487" i="2" s="1"/>
  <c r="X488" i="2"/>
  <c r="X487" i="2" s="1"/>
  <c r="W488" i="2"/>
  <c r="W487" i="2" s="1"/>
  <c r="V488" i="2"/>
  <c r="V487" i="2" s="1"/>
  <c r="U488" i="2"/>
  <c r="U487" i="2" s="1"/>
  <c r="S488" i="2"/>
  <c r="S487" i="2" s="1"/>
  <c r="AC480" i="2"/>
  <c r="AB480" i="2"/>
  <c r="AA480" i="2"/>
  <c r="Z480" i="2"/>
  <c r="Y480" i="2"/>
  <c r="X480" i="2"/>
  <c r="W480" i="2"/>
  <c r="V480" i="2"/>
  <c r="U480" i="2"/>
  <c r="S480" i="2"/>
  <c r="AC477" i="2"/>
  <c r="AC476" i="2" s="1"/>
  <c r="AC475" i="2" s="1"/>
  <c r="AC1480" i="2" s="1"/>
  <c r="AB477" i="2"/>
  <c r="AB476" i="2" s="1"/>
  <c r="AB475" i="2" s="1"/>
  <c r="AA477" i="2"/>
  <c r="Z477" i="2"/>
  <c r="Y477" i="2"/>
  <c r="X477" i="2"/>
  <c r="W477" i="2"/>
  <c r="W476" i="2" s="1"/>
  <c r="W475" i="2" s="1"/>
  <c r="V477" i="2"/>
  <c r="U477" i="2"/>
  <c r="S477" i="2"/>
  <c r="S476" i="2" s="1"/>
  <c r="S475" i="2" s="1"/>
  <c r="AC471" i="2"/>
  <c r="AB471" i="2"/>
  <c r="AB470" i="2" s="1"/>
  <c r="AA471" i="2"/>
  <c r="AA470" i="2" s="1"/>
  <c r="Z471" i="2"/>
  <c r="Z470" i="2" s="1"/>
  <c r="Y471" i="2"/>
  <c r="Y470" i="2" s="1"/>
  <c r="X471" i="2"/>
  <c r="X470" i="2" s="1"/>
  <c r="W471" i="2"/>
  <c r="W470" i="2" s="1"/>
  <c r="V471" i="2"/>
  <c r="V470" i="2" s="1"/>
  <c r="U471" i="2"/>
  <c r="U470" i="2" s="1"/>
  <c r="S471" i="2"/>
  <c r="S470" i="2" s="1"/>
  <c r="AC470" i="2"/>
  <c r="AC464" i="2"/>
  <c r="AB464" i="2"/>
  <c r="AA464" i="2"/>
  <c r="Z464" i="2"/>
  <c r="Y464" i="2"/>
  <c r="X464" i="2"/>
  <c r="W464" i="2"/>
  <c r="V464" i="2"/>
  <c r="U464" i="2"/>
  <c r="S464" i="2"/>
  <c r="AC461" i="2"/>
  <c r="AB461" i="2"/>
  <c r="AA461" i="2"/>
  <c r="Z461" i="2"/>
  <c r="Z460" i="2" s="1"/>
  <c r="Z459" i="2" s="1"/>
  <c r="Z1479" i="2" s="1"/>
  <c r="Y461" i="2"/>
  <c r="X461" i="2"/>
  <c r="W461" i="2"/>
  <c r="W460" i="2" s="1"/>
  <c r="W459" i="2" s="1"/>
  <c r="W1479" i="2" s="1"/>
  <c r="V461" i="2"/>
  <c r="V460" i="2" s="1"/>
  <c r="V459" i="2" s="1"/>
  <c r="V1479" i="2" s="1"/>
  <c r="U461" i="2"/>
  <c r="S461" i="2"/>
  <c r="AA460" i="2"/>
  <c r="AA459" i="2" s="1"/>
  <c r="AC455" i="2"/>
  <c r="AC454" i="2" s="1"/>
  <c r="AB455" i="2"/>
  <c r="AB454" i="2" s="1"/>
  <c r="AA455" i="2"/>
  <c r="AA454" i="2" s="1"/>
  <c r="Z455" i="2"/>
  <c r="Z454" i="2" s="1"/>
  <c r="Y455" i="2"/>
  <c r="Y454" i="2" s="1"/>
  <c r="X455" i="2"/>
  <c r="X454" i="2" s="1"/>
  <c r="W455" i="2"/>
  <c r="W454" i="2" s="1"/>
  <c r="V454" i="2"/>
  <c r="U455" i="2"/>
  <c r="U454" i="2" s="1"/>
  <c r="T455" i="2"/>
  <c r="T454" i="2" s="1"/>
  <c r="S455" i="2"/>
  <c r="S454" i="2" s="1"/>
  <c r="AC422" i="2"/>
  <c r="AB422" i="2"/>
  <c r="AA422" i="2"/>
  <c r="Z422" i="2"/>
  <c r="Y422" i="2"/>
  <c r="X422" i="2"/>
  <c r="W422" i="2"/>
  <c r="V422" i="2"/>
  <c r="U422" i="2"/>
  <c r="T422" i="2"/>
  <c r="S422" i="2"/>
  <c r="AC420" i="2"/>
  <c r="AB420" i="2"/>
  <c r="AA420" i="2"/>
  <c r="Z420" i="2"/>
  <c r="Y420" i="2"/>
  <c r="X420" i="2"/>
  <c r="W420" i="2"/>
  <c r="V420" i="2"/>
  <c r="U420" i="2"/>
  <c r="T420" i="2"/>
  <c r="S420" i="2"/>
  <c r="AC414" i="2"/>
  <c r="AC445" i="2" s="1"/>
  <c r="AB414" i="2"/>
  <c r="AB445" i="2" s="1"/>
  <c r="AA414" i="2"/>
  <c r="AA445" i="2" s="1"/>
  <c r="Z414" i="2"/>
  <c r="Z445" i="2" s="1"/>
  <c r="Y414" i="2"/>
  <c r="Y445" i="2" s="1"/>
  <c r="X414" i="2"/>
  <c r="X445" i="2" s="1"/>
  <c r="W414" i="2"/>
  <c r="W445" i="2" s="1"/>
  <c r="V414" i="2"/>
  <c r="V445" i="2" s="1"/>
  <c r="U414" i="2"/>
  <c r="U445" i="2" s="1"/>
  <c r="T414" i="2"/>
  <c r="T445" i="2" s="1"/>
  <c r="S414" i="2"/>
  <c r="S445" i="2" s="1"/>
  <c r="AC404" i="2"/>
  <c r="AB404" i="2"/>
  <c r="AA404" i="2"/>
  <c r="Z404" i="2"/>
  <c r="Y404" i="2"/>
  <c r="X404" i="2"/>
  <c r="W404" i="2"/>
  <c r="V404" i="2"/>
  <c r="U404" i="2"/>
  <c r="T404" i="2"/>
  <c r="S404" i="2"/>
  <c r="AC402" i="2"/>
  <c r="AB402" i="2"/>
  <c r="AA402" i="2"/>
  <c r="Z402" i="2"/>
  <c r="Y402" i="2"/>
  <c r="X402" i="2"/>
  <c r="W402" i="2"/>
  <c r="V402" i="2"/>
  <c r="U402" i="2"/>
  <c r="T402" i="2"/>
  <c r="S402" i="2"/>
  <c r="AC397" i="2"/>
  <c r="AB397" i="2"/>
  <c r="AA397" i="2"/>
  <c r="Z397" i="2"/>
  <c r="Y397" i="2"/>
  <c r="X397" i="2"/>
  <c r="W397" i="2"/>
  <c r="V397" i="2"/>
  <c r="U397" i="2"/>
  <c r="T397" i="2"/>
  <c r="S397" i="2"/>
  <c r="AC391" i="2"/>
  <c r="AC421" i="2" s="1"/>
  <c r="AB391" i="2"/>
  <c r="AB421" i="2" s="1"/>
  <c r="AA391" i="2"/>
  <c r="AA421" i="2" s="1"/>
  <c r="Z391" i="2"/>
  <c r="Z403" i="2" s="1"/>
  <c r="Y391" i="2"/>
  <c r="Y421" i="2" s="1"/>
  <c r="X391" i="2"/>
  <c r="X421" i="2" s="1"/>
  <c r="W391" i="2"/>
  <c r="W389" i="2" s="1"/>
  <c r="V391" i="2"/>
  <c r="V403" i="2" s="1"/>
  <c r="U391" i="2"/>
  <c r="U421" i="2" s="1"/>
  <c r="T391" i="2"/>
  <c r="T421" i="2" s="1"/>
  <c r="S391" i="2"/>
  <c r="S389" i="2" s="1"/>
  <c r="AB389" i="2"/>
  <c r="AA389" i="2"/>
  <c r="AC367" i="2"/>
  <c r="AB367" i="2"/>
  <c r="AA367" i="2"/>
  <c r="Z367" i="2"/>
  <c r="Y367" i="2"/>
  <c r="X367" i="2"/>
  <c r="W367" i="2"/>
  <c r="V367" i="2"/>
  <c r="U367" i="2"/>
  <c r="T367" i="2"/>
  <c r="S367" i="2"/>
  <c r="AC363" i="2"/>
  <c r="AB363" i="2"/>
  <c r="AA363" i="2"/>
  <c r="Z363" i="2"/>
  <c r="Y363" i="2"/>
  <c r="Y362" i="2" s="1"/>
  <c r="X363" i="2"/>
  <c r="W363" i="2"/>
  <c r="W362" i="2" s="1"/>
  <c r="V363" i="2"/>
  <c r="U363" i="2"/>
  <c r="U362" i="2" s="1"/>
  <c r="T363" i="2"/>
  <c r="T362" i="2" s="1"/>
  <c r="S363" i="2"/>
  <c r="AC362" i="2"/>
  <c r="AB362" i="2"/>
  <c r="AA362" i="2"/>
  <c r="Z362" i="2"/>
  <c r="X362" i="2"/>
  <c r="V362" i="2"/>
  <c r="S362" i="2"/>
  <c r="AC350" i="2"/>
  <c r="AB350" i="2"/>
  <c r="AA350" i="2"/>
  <c r="Z350" i="2"/>
  <c r="Y350" i="2"/>
  <c r="X350" i="2"/>
  <c r="W350" i="2"/>
  <c r="V350" i="2"/>
  <c r="U350" i="2"/>
  <c r="T350" i="2"/>
  <c r="S350" i="2"/>
  <c r="AC349" i="2"/>
  <c r="AB349" i="2"/>
  <c r="AA349" i="2"/>
  <c r="Z349" i="2"/>
  <c r="Y349" i="2"/>
  <c r="X349" i="2"/>
  <c r="W349" i="2"/>
  <c r="V349" i="2"/>
  <c r="U349" i="2"/>
  <c r="T349" i="2"/>
  <c r="S349" i="2"/>
  <c r="AC348" i="2"/>
  <c r="AB348" i="2"/>
  <c r="AA348" i="2"/>
  <c r="AA346" i="2" s="1"/>
  <c r="Z348" i="2"/>
  <c r="Z346" i="2" s="1"/>
  <c r="Y348" i="2"/>
  <c r="Y346" i="2" s="1"/>
  <c r="Y442" i="2" s="1"/>
  <c r="X348" i="2"/>
  <c r="X346" i="2" s="1"/>
  <c r="X442" i="2" s="1"/>
  <c r="W348" i="2"/>
  <c r="W346" i="2" s="1"/>
  <c r="V348" i="2"/>
  <c r="V346" i="2" s="1"/>
  <c r="V442" i="2" s="1"/>
  <c r="U348" i="2"/>
  <c r="U346" i="2" s="1"/>
  <c r="U442" i="2" s="1"/>
  <c r="U341" i="2" s="1"/>
  <c r="T348" i="2"/>
  <c r="T346" i="2" s="1"/>
  <c r="T442" i="2" s="1"/>
  <c r="S348" i="2"/>
  <c r="S346" i="2" s="1"/>
  <c r="AC346" i="2"/>
  <c r="AC442" i="2" s="1"/>
  <c r="AB346" i="2"/>
  <c r="AB442" i="2" s="1"/>
  <c r="AC342" i="2"/>
  <c r="AC441" i="2" s="1"/>
  <c r="AB342" i="2"/>
  <c r="AB441" i="2" s="1"/>
  <c r="AA342" i="2"/>
  <c r="AA441" i="2" s="1"/>
  <c r="Z342" i="2"/>
  <c r="Z441" i="2" s="1"/>
  <c r="Y342" i="2"/>
  <c r="Y441" i="2" s="1"/>
  <c r="X342" i="2"/>
  <c r="X441" i="2" s="1"/>
  <c r="W342" i="2"/>
  <c r="W441" i="2" s="1"/>
  <c r="V342" i="2"/>
  <c r="V441" i="2" s="1"/>
  <c r="U342" i="2"/>
  <c r="U441" i="2" s="1"/>
  <c r="T342" i="2"/>
  <c r="T441" i="2" s="1"/>
  <c r="S342" i="2"/>
  <c r="S441" i="2" s="1"/>
  <c r="AC331" i="2"/>
  <c r="AB331" i="2"/>
  <c r="AA331" i="2"/>
  <c r="Z331" i="2"/>
  <c r="Y331" i="2"/>
  <c r="X331" i="2"/>
  <c r="W331" i="2"/>
  <c r="V331" i="2"/>
  <c r="U331" i="2"/>
  <c r="T331" i="2"/>
  <c r="S331" i="2"/>
  <c r="AC321" i="2"/>
  <c r="AB321" i="2"/>
  <c r="AA321" i="2"/>
  <c r="Z321" i="2"/>
  <c r="Y321" i="2"/>
  <c r="X321" i="2"/>
  <c r="W321" i="2"/>
  <c r="V321" i="2"/>
  <c r="U321" i="2"/>
  <c r="T321" i="2"/>
  <c r="S321" i="2"/>
  <c r="AC320" i="2"/>
  <c r="AB320" i="2"/>
  <c r="AA320" i="2"/>
  <c r="Z320" i="2"/>
  <c r="Y320" i="2"/>
  <c r="X320" i="2"/>
  <c r="W320" i="2"/>
  <c r="V320" i="2"/>
  <c r="U320" i="2"/>
  <c r="T320" i="2"/>
  <c r="S320" i="2"/>
  <c r="AC319" i="2"/>
  <c r="AB319" i="2"/>
  <c r="AA319" i="2"/>
  <c r="Z319" i="2"/>
  <c r="Y319" i="2"/>
  <c r="X319" i="2"/>
  <c r="W319" i="2"/>
  <c r="V319" i="2"/>
  <c r="U319" i="2"/>
  <c r="T319" i="2"/>
  <c r="S319" i="2"/>
  <c r="AC318" i="2"/>
  <c r="AB318" i="2"/>
  <c r="AA318" i="2"/>
  <c r="Z318" i="2"/>
  <c r="Y318" i="2"/>
  <c r="X318" i="2"/>
  <c r="W318" i="2"/>
  <c r="V318" i="2"/>
  <c r="U318" i="2"/>
  <c r="T318" i="2"/>
  <c r="S318" i="2"/>
  <c r="AC317" i="2"/>
  <c r="AB317" i="2"/>
  <c r="AA317" i="2"/>
  <c r="Z317" i="2"/>
  <c r="Y317" i="2"/>
  <c r="X317" i="2"/>
  <c r="W317" i="2"/>
  <c r="V317" i="2"/>
  <c r="U317" i="2"/>
  <c r="T317" i="2"/>
  <c r="S317" i="2"/>
  <c r="AC315" i="2"/>
  <c r="AB315" i="2"/>
  <c r="AA315" i="2"/>
  <c r="Z315" i="2"/>
  <c r="Y315" i="2"/>
  <c r="X315" i="2"/>
  <c r="W315" i="2"/>
  <c r="V315" i="2"/>
  <c r="U315" i="2"/>
  <c r="T315" i="2"/>
  <c r="S315" i="2"/>
  <c r="AC314" i="2"/>
  <c r="AB314" i="2"/>
  <c r="AA314" i="2"/>
  <c r="Z314" i="2"/>
  <c r="Y314" i="2"/>
  <c r="X314" i="2"/>
  <c r="W314" i="2"/>
  <c r="V314" i="2"/>
  <c r="U314" i="2"/>
  <c r="T314" i="2"/>
  <c r="S314" i="2"/>
  <c r="AC313" i="2"/>
  <c r="AB313" i="2"/>
  <c r="AA313" i="2"/>
  <c r="Z313" i="2"/>
  <c r="Y313" i="2"/>
  <c r="X313" i="2"/>
  <c r="W313" i="2"/>
  <c r="V313" i="2"/>
  <c r="U313" i="2"/>
  <c r="T313" i="2"/>
  <c r="S313" i="2"/>
  <c r="AC305" i="2"/>
  <c r="AB305" i="2"/>
  <c r="AA305" i="2"/>
  <c r="Z305" i="2"/>
  <c r="Y305" i="2"/>
  <c r="X305" i="2"/>
  <c r="W305" i="2"/>
  <c r="V305" i="2"/>
  <c r="U305" i="2"/>
  <c r="T305" i="2"/>
  <c r="S305" i="2"/>
  <c r="AC301" i="2"/>
  <c r="AB301" i="2"/>
  <c r="AB300" i="2" s="1"/>
  <c r="AA301" i="2"/>
  <c r="Z301" i="2"/>
  <c r="Z300" i="2" s="1"/>
  <c r="Y301" i="2"/>
  <c r="X301" i="2"/>
  <c r="W301" i="2"/>
  <c r="W300" i="2" s="1"/>
  <c r="V301" i="2"/>
  <c r="U301" i="2"/>
  <c r="U300" i="2" s="1"/>
  <c r="T301" i="2"/>
  <c r="T300" i="2" s="1"/>
  <c r="S301" i="2"/>
  <c r="AC300" i="2"/>
  <c r="AA300" i="2"/>
  <c r="Y300" i="2"/>
  <c r="AC295" i="2"/>
  <c r="AB295" i="2"/>
  <c r="AA295" i="2"/>
  <c r="Z295" i="2"/>
  <c r="Y295" i="2"/>
  <c r="X295" i="2"/>
  <c r="W295" i="2"/>
  <c r="V295" i="2"/>
  <c r="U295" i="2"/>
  <c r="T295" i="2"/>
  <c r="S295" i="2"/>
  <c r="AC291" i="2"/>
  <c r="AC312" i="2" s="1"/>
  <c r="AB291" i="2"/>
  <c r="AB312" i="2" s="1"/>
  <c r="AA291" i="2"/>
  <c r="Z291" i="2"/>
  <c r="Y291" i="2"/>
  <c r="Y312" i="2" s="1"/>
  <c r="X291" i="2"/>
  <c r="X312" i="2" s="1"/>
  <c r="W291" i="2"/>
  <c r="W290" i="2" s="1"/>
  <c r="V291" i="2"/>
  <c r="U291" i="2"/>
  <c r="U312" i="2" s="1"/>
  <c r="T291" i="2"/>
  <c r="T312" i="2" s="1"/>
  <c r="S291" i="2"/>
  <c r="AC290" i="2"/>
  <c r="AC287" i="2"/>
  <c r="AB287" i="2"/>
  <c r="AA287" i="2"/>
  <c r="Z287" i="2"/>
  <c r="Y287" i="2"/>
  <c r="X287" i="2"/>
  <c r="W287" i="2"/>
  <c r="V287" i="2"/>
  <c r="U287" i="2"/>
  <c r="T287" i="2"/>
  <c r="S287" i="2"/>
  <c r="AC286" i="2"/>
  <c r="AC283" i="2" s="1"/>
  <c r="AC438" i="2" s="1"/>
  <c r="AB286" i="2"/>
  <c r="AA286" i="2"/>
  <c r="Z286" i="2"/>
  <c r="Y286" i="2"/>
  <c r="X286" i="2"/>
  <c r="W286" i="2"/>
  <c r="V286" i="2"/>
  <c r="U286" i="2"/>
  <c r="T286" i="2"/>
  <c r="S286" i="2"/>
  <c r="AC285" i="2"/>
  <c r="AB285" i="2"/>
  <c r="AA285" i="2"/>
  <c r="Z285" i="2"/>
  <c r="Y285" i="2"/>
  <c r="Y283" i="2" s="1"/>
  <c r="Y438" i="2" s="1"/>
  <c r="X285" i="2"/>
  <c r="W285" i="2"/>
  <c r="V285" i="2"/>
  <c r="V283" i="2" s="1"/>
  <c r="V438" i="2" s="1"/>
  <c r="U285" i="2"/>
  <c r="T285" i="2"/>
  <c r="T283" i="2" s="1"/>
  <c r="T438" i="2" s="1"/>
  <c r="S285" i="2"/>
  <c r="S283" i="2" s="1"/>
  <c r="S438" i="2" s="1"/>
  <c r="S278" i="2" s="1"/>
  <c r="AC279" i="2"/>
  <c r="AC437" i="2" s="1"/>
  <c r="AB279" i="2"/>
  <c r="AB437" i="2" s="1"/>
  <c r="AA279" i="2"/>
  <c r="AA437" i="2" s="1"/>
  <c r="Z279" i="2"/>
  <c r="Z437" i="2" s="1"/>
  <c r="Y279" i="2"/>
  <c r="Y437" i="2" s="1"/>
  <c r="X279" i="2"/>
  <c r="X437" i="2" s="1"/>
  <c r="W279" i="2"/>
  <c r="W437" i="2" s="1"/>
  <c r="V279" i="2"/>
  <c r="V437" i="2" s="1"/>
  <c r="U279" i="2"/>
  <c r="U437" i="2" s="1"/>
  <c r="T279" i="2"/>
  <c r="T437" i="2" s="1"/>
  <c r="S279" i="2"/>
  <c r="S437" i="2" s="1"/>
  <c r="AC268" i="2"/>
  <c r="AB268" i="2"/>
  <c r="AA268" i="2"/>
  <c r="Z268" i="2"/>
  <c r="Y268" i="2"/>
  <c r="X268" i="2"/>
  <c r="W268" i="2"/>
  <c r="V268" i="2"/>
  <c r="U268" i="2"/>
  <c r="T268" i="2"/>
  <c r="S268" i="2"/>
  <c r="AC260" i="2"/>
  <c r="AB260" i="2"/>
  <c r="AA260" i="2"/>
  <c r="Z260" i="2"/>
  <c r="Y260" i="2"/>
  <c r="X260" i="2"/>
  <c r="W260" i="2"/>
  <c r="V260" i="2"/>
  <c r="U260" i="2"/>
  <c r="T260" i="2"/>
  <c r="S260" i="2"/>
  <c r="AC259" i="2"/>
  <c r="AB259" i="2"/>
  <c r="AA259" i="2"/>
  <c r="Z259" i="2"/>
  <c r="Y259" i="2"/>
  <c r="X259" i="2"/>
  <c r="W259" i="2"/>
  <c r="V259" i="2"/>
  <c r="U259" i="2"/>
  <c r="T259" i="2"/>
  <c r="S259" i="2"/>
  <c r="AC258" i="2"/>
  <c r="AB258" i="2"/>
  <c r="AA258" i="2"/>
  <c r="Z258" i="2"/>
  <c r="Y258" i="2"/>
  <c r="X258" i="2"/>
  <c r="W258" i="2"/>
  <c r="V258" i="2"/>
  <c r="U258" i="2"/>
  <c r="T258" i="2"/>
  <c r="S258" i="2"/>
  <c r="AC257" i="2"/>
  <c r="AB257" i="2"/>
  <c r="AB254" i="2" s="1"/>
  <c r="AA257" i="2"/>
  <c r="Z257" i="2"/>
  <c r="Y257" i="2"/>
  <c r="X257" i="2"/>
  <c r="W257" i="2"/>
  <c r="V257" i="2"/>
  <c r="U257" i="2"/>
  <c r="T257" i="2"/>
  <c r="S257" i="2"/>
  <c r="AC256" i="2"/>
  <c r="AB256" i="2"/>
  <c r="AA256" i="2"/>
  <c r="Z256" i="2"/>
  <c r="Y256" i="2"/>
  <c r="X256" i="2"/>
  <c r="W256" i="2"/>
  <c r="V256" i="2"/>
  <c r="U256" i="2"/>
  <c r="T256" i="2"/>
  <c r="S256" i="2"/>
  <c r="AC255" i="2"/>
  <c r="AB255" i="2"/>
  <c r="AA255" i="2"/>
  <c r="Z255" i="2"/>
  <c r="Z254" i="2" s="1"/>
  <c r="Y255" i="2"/>
  <c r="X255" i="2"/>
  <c r="W255" i="2"/>
  <c r="V255" i="2"/>
  <c r="U255" i="2"/>
  <c r="U254" i="2" s="1"/>
  <c r="T255" i="2"/>
  <c r="S255" i="2"/>
  <c r="AC231" i="2"/>
  <c r="AB231" i="2"/>
  <c r="AA231" i="2"/>
  <c r="Z231" i="2"/>
  <c r="Y231" i="2"/>
  <c r="X231" i="2"/>
  <c r="W231" i="2"/>
  <c r="V231" i="2"/>
  <c r="U231" i="2"/>
  <c r="T231" i="2"/>
  <c r="S231" i="2"/>
  <c r="AC224" i="2"/>
  <c r="AB224" i="2"/>
  <c r="AA224" i="2"/>
  <c r="Z224" i="2"/>
  <c r="Y224" i="2"/>
  <c r="X224" i="2"/>
  <c r="X223" i="2" s="1"/>
  <c r="W224" i="2"/>
  <c r="V224" i="2"/>
  <c r="U224" i="2"/>
  <c r="T224" i="2"/>
  <c r="S224" i="2"/>
  <c r="AC222" i="2"/>
  <c r="AB222" i="2"/>
  <c r="AA222" i="2"/>
  <c r="Z222" i="2"/>
  <c r="Y222" i="2"/>
  <c r="X222" i="2"/>
  <c r="W222" i="2"/>
  <c r="V222" i="2"/>
  <c r="U222" i="2"/>
  <c r="T222" i="2"/>
  <c r="S222" i="2"/>
  <c r="AC221" i="2"/>
  <c r="AB221" i="2"/>
  <c r="AA221" i="2"/>
  <c r="Z221" i="2"/>
  <c r="Y221" i="2"/>
  <c r="X221" i="2"/>
  <c r="W221" i="2"/>
  <c r="V221" i="2"/>
  <c r="U221" i="2"/>
  <c r="T221" i="2"/>
  <c r="S221" i="2"/>
  <c r="AC220" i="2"/>
  <c r="AB220" i="2"/>
  <c r="AA220" i="2"/>
  <c r="Z220" i="2"/>
  <c r="Y220" i="2"/>
  <c r="X220" i="2"/>
  <c r="W220" i="2"/>
  <c r="V220" i="2"/>
  <c r="U220" i="2"/>
  <c r="T220" i="2"/>
  <c r="S220" i="2"/>
  <c r="AC219" i="2"/>
  <c r="AB219" i="2"/>
  <c r="AA219" i="2"/>
  <c r="Z219" i="2"/>
  <c r="Y219" i="2"/>
  <c r="X219" i="2"/>
  <c r="W219" i="2"/>
  <c r="V219" i="2"/>
  <c r="U219" i="2"/>
  <c r="T219" i="2"/>
  <c r="S219" i="2"/>
  <c r="AC218" i="2"/>
  <c r="AB218" i="2"/>
  <c r="AA218" i="2"/>
  <c r="Z218" i="2"/>
  <c r="Y218" i="2"/>
  <c r="X218" i="2"/>
  <c r="W218" i="2"/>
  <c r="V218" i="2"/>
  <c r="V216" i="2" s="1"/>
  <c r="U218" i="2"/>
  <c r="T218" i="2"/>
  <c r="S218" i="2"/>
  <c r="AC217" i="2"/>
  <c r="AB217" i="2"/>
  <c r="AA217" i="2"/>
  <c r="Z217" i="2"/>
  <c r="Y217" i="2"/>
  <c r="X217" i="2"/>
  <c r="X216" i="2" s="1"/>
  <c r="W217" i="2"/>
  <c r="W216" i="2" s="1"/>
  <c r="V217" i="2"/>
  <c r="U217" i="2"/>
  <c r="T217" i="2"/>
  <c r="S217" i="2"/>
  <c r="AC215" i="2"/>
  <c r="AB215" i="2"/>
  <c r="AA215" i="2"/>
  <c r="Z215" i="2"/>
  <c r="Y215" i="2"/>
  <c r="X215" i="2"/>
  <c r="W215" i="2"/>
  <c r="V215" i="2"/>
  <c r="U215" i="2"/>
  <c r="T215" i="2"/>
  <c r="S215" i="2"/>
  <c r="AC214" i="2"/>
  <c r="AB214" i="2"/>
  <c r="AA214" i="2"/>
  <c r="Z214" i="2"/>
  <c r="Y214" i="2"/>
  <c r="X214" i="2"/>
  <c r="W214" i="2"/>
  <c r="V214" i="2"/>
  <c r="U214" i="2"/>
  <c r="T214" i="2"/>
  <c r="S214" i="2"/>
  <c r="AC213" i="2"/>
  <c r="AB213" i="2"/>
  <c r="AA213" i="2"/>
  <c r="Z213" i="2"/>
  <c r="Y213" i="2"/>
  <c r="X213" i="2"/>
  <c r="W213" i="2"/>
  <c r="V213" i="2"/>
  <c r="U213" i="2"/>
  <c r="T213" i="2"/>
  <c r="S213" i="2"/>
  <c r="AC212" i="2"/>
  <c r="AB212" i="2"/>
  <c r="AA212" i="2"/>
  <c r="Z212" i="2"/>
  <c r="Y212" i="2"/>
  <c r="X212" i="2"/>
  <c r="W212" i="2"/>
  <c r="V212" i="2"/>
  <c r="U212" i="2"/>
  <c r="T212" i="2"/>
  <c r="S212" i="2"/>
  <c r="AC211" i="2"/>
  <c r="AB211" i="2"/>
  <c r="AA211" i="2"/>
  <c r="Z211" i="2"/>
  <c r="Y211" i="2"/>
  <c r="X211" i="2"/>
  <c r="W211" i="2"/>
  <c r="V211" i="2"/>
  <c r="U211" i="2"/>
  <c r="T211" i="2"/>
  <c r="S211" i="2"/>
  <c r="AC210" i="2"/>
  <c r="AB210" i="2"/>
  <c r="AA210" i="2"/>
  <c r="AA209" i="2" s="1"/>
  <c r="Z210" i="2"/>
  <c r="Z209" i="2" s="1"/>
  <c r="Y210" i="2"/>
  <c r="X210" i="2"/>
  <c r="X209" i="2" s="1"/>
  <c r="W210" i="2"/>
  <c r="V210" i="2"/>
  <c r="V209" i="2" s="1"/>
  <c r="U210" i="2"/>
  <c r="U209" i="2" s="1"/>
  <c r="T210" i="2"/>
  <c r="S210" i="2"/>
  <c r="AC205" i="2"/>
  <c r="AB205" i="2"/>
  <c r="AA205" i="2"/>
  <c r="Z205" i="2"/>
  <c r="Y205" i="2"/>
  <c r="X205" i="2"/>
  <c r="W205" i="2"/>
  <c r="W201" i="2" s="1"/>
  <c r="W434" i="2" s="1"/>
  <c r="V205" i="2"/>
  <c r="U205" i="2"/>
  <c r="T205" i="2"/>
  <c r="S205" i="2"/>
  <c r="AC204" i="2"/>
  <c r="AB204" i="2"/>
  <c r="AA204" i="2"/>
  <c r="Z204" i="2"/>
  <c r="Y204" i="2"/>
  <c r="X204" i="2"/>
  <c r="W204" i="2"/>
  <c r="V204" i="2"/>
  <c r="U204" i="2"/>
  <c r="T204" i="2"/>
  <c r="S204" i="2"/>
  <c r="AC203" i="2"/>
  <c r="AC201" i="2" s="1"/>
  <c r="AC434" i="2" s="1"/>
  <c r="AB203" i="2"/>
  <c r="AB201" i="2" s="1"/>
  <c r="AB434" i="2" s="1"/>
  <c r="AA203" i="2"/>
  <c r="Z203" i="2"/>
  <c r="Y203" i="2"/>
  <c r="X203" i="2"/>
  <c r="W203" i="2"/>
  <c r="V203" i="2"/>
  <c r="U203" i="2"/>
  <c r="T203" i="2"/>
  <c r="S203" i="2"/>
  <c r="AC197" i="2"/>
  <c r="AC433" i="2" s="1"/>
  <c r="AB197" i="2"/>
  <c r="AB433" i="2" s="1"/>
  <c r="AA197" i="2"/>
  <c r="AA433" i="2" s="1"/>
  <c r="Z197" i="2"/>
  <c r="Z433" i="2" s="1"/>
  <c r="Y197" i="2"/>
  <c r="Y433" i="2" s="1"/>
  <c r="X197" i="2"/>
  <c r="X433" i="2" s="1"/>
  <c r="W197" i="2"/>
  <c r="W433" i="2" s="1"/>
  <c r="V197" i="2"/>
  <c r="V433" i="2" s="1"/>
  <c r="U197" i="2"/>
  <c r="U433" i="2" s="1"/>
  <c r="T197" i="2"/>
  <c r="T433" i="2" s="1"/>
  <c r="S197" i="2"/>
  <c r="S433" i="2" s="1"/>
  <c r="AC186" i="2"/>
  <c r="AB186" i="2"/>
  <c r="AA186" i="2"/>
  <c r="Z186" i="2"/>
  <c r="Y186" i="2"/>
  <c r="X186" i="2"/>
  <c r="W186" i="2"/>
  <c r="V186" i="2"/>
  <c r="U186" i="2"/>
  <c r="T186" i="2"/>
  <c r="S186" i="2"/>
  <c r="AC185" i="2"/>
  <c r="AB185" i="2"/>
  <c r="AA185" i="2"/>
  <c r="Z185" i="2"/>
  <c r="Y185" i="2"/>
  <c r="X185" i="2"/>
  <c r="W185" i="2"/>
  <c r="V185" i="2"/>
  <c r="U185" i="2"/>
  <c r="T185" i="2"/>
  <c r="S185" i="2"/>
  <c r="AC172" i="2"/>
  <c r="AB172" i="2"/>
  <c r="AA172" i="2"/>
  <c r="Z172" i="2"/>
  <c r="Y172" i="2"/>
  <c r="X172" i="2"/>
  <c r="W172" i="2"/>
  <c r="V172" i="2"/>
  <c r="U172" i="2"/>
  <c r="T172" i="2"/>
  <c r="S172" i="2"/>
  <c r="AC169" i="2"/>
  <c r="AB169" i="2"/>
  <c r="AA169" i="2"/>
  <c r="Z169" i="2"/>
  <c r="Y169" i="2"/>
  <c r="X169" i="2"/>
  <c r="W169" i="2"/>
  <c r="V169" i="2"/>
  <c r="U169" i="2"/>
  <c r="T169" i="2"/>
  <c r="S169" i="2"/>
  <c r="AC159" i="2"/>
  <c r="AB159" i="2"/>
  <c r="AA159" i="2"/>
  <c r="Z159" i="2"/>
  <c r="Y159" i="2"/>
  <c r="X159" i="2"/>
  <c r="W159" i="2"/>
  <c r="V159" i="2"/>
  <c r="U159" i="2"/>
  <c r="T159" i="2"/>
  <c r="S159" i="2"/>
  <c r="AC158" i="2"/>
  <c r="AB158" i="2"/>
  <c r="AB1526" i="2" s="1"/>
  <c r="AA158" i="2"/>
  <c r="AA1526" i="2" s="1"/>
  <c r="Z158" i="2"/>
  <c r="Z1526" i="2" s="1"/>
  <c r="Y158" i="2"/>
  <c r="X158" i="2"/>
  <c r="X1526" i="2" s="1"/>
  <c r="W158" i="2"/>
  <c r="W1526" i="2" s="1"/>
  <c r="V158" i="2"/>
  <c r="V1526" i="2" s="1"/>
  <c r="U158" i="2"/>
  <c r="T158" i="2"/>
  <c r="T1526" i="2" s="1"/>
  <c r="S158" i="2"/>
  <c r="S1526" i="2" s="1"/>
  <c r="AC146" i="2"/>
  <c r="AB146" i="2"/>
  <c r="AA146" i="2"/>
  <c r="Z146" i="2"/>
  <c r="Y146" i="2"/>
  <c r="X146" i="2"/>
  <c r="W146" i="2"/>
  <c r="V146" i="2"/>
  <c r="U146" i="2"/>
  <c r="T146" i="2"/>
  <c r="S146" i="2"/>
  <c r="AC131" i="2"/>
  <c r="AB131" i="2"/>
  <c r="AA131" i="2"/>
  <c r="Z131" i="2"/>
  <c r="Y131" i="2"/>
  <c r="X131" i="2"/>
  <c r="W131" i="2"/>
  <c r="V131" i="2"/>
  <c r="U131" i="2"/>
  <c r="T131" i="2"/>
  <c r="S131" i="2"/>
  <c r="AC130" i="2"/>
  <c r="AB130" i="2"/>
  <c r="AA130" i="2"/>
  <c r="Z130" i="2"/>
  <c r="Y130" i="2"/>
  <c r="X130" i="2"/>
  <c r="W130" i="2"/>
  <c r="V130" i="2"/>
  <c r="U130" i="2"/>
  <c r="T130" i="2"/>
  <c r="S130" i="2"/>
  <c r="AC122" i="2"/>
  <c r="AB122" i="2"/>
  <c r="AA122" i="2"/>
  <c r="Z122" i="2"/>
  <c r="Y122" i="2"/>
  <c r="X122" i="2"/>
  <c r="W122" i="2"/>
  <c r="V122" i="2"/>
  <c r="U122" i="2"/>
  <c r="T122" i="2"/>
  <c r="S122" i="2"/>
  <c r="AC120" i="2"/>
  <c r="AB120" i="2"/>
  <c r="AA120" i="2"/>
  <c r="Z120" i="2"/>
  <c r="Y120" i="2"/>
  <c r="X120" i="2"/>
  <c r="W120" i="2"/>
  <c r="V120" i="2"/>
  <c r="U120" i="2"/>
  <c r="T120" i="2"/>
  <c r="S120" i="2"/>
  <c r="AC117" i="2"/>
  <c r="AB117" i="2"/>
  <c r="AA117" i="2"/>
  <c r="Z117" i="2"/>
  <c r="Y117" i="2"/>
  <c r="X117" i="2"/>
  <c r="W117" i="2"/>
  <c r="V117" i="2"/>
  <c r="U117" i="2"/>
  <c r="T117" i="2"/>
  <c r="S117" i="2"/>
  <c r="AC113" i="2"/>
  <c r="AB113" i="2"/>
  <c r="AA113" i="2"/>
  <c r="Z113" i="2"/>
  <c r="Y113" i="2"/>
  <c r="X113" i="2"/>
  <c r="W113" i="2"/>
  <c r="V113" i="2"/>
  <c r="U113" i="2"/>
  <c r="T113" i="2"/>
  <c r="S113" i="2"/>
  <c r="AC106" i="2"/>
  <c r="AC80" i="2" s="1"/>
  <c r="AB106" i="2"/>
  <c r="AB80" i="2" s="1"/>
  <c r="AA106" i="2"/>
  <c r="AA80" i="2" s="1"/>
  <c r="Z106" i="2"/>
  <c r="Z80" i="2" s="1"/>
  <c r="Y106" i="2"/>
  <c r="Y80" i="2" s="1"/>
  <c r="X106" i="2"/>
  <c r="X80" i="2" s="1"/>
  <c r="W106" i="2"/>
  <c r="W80" i="2" s="1"/>
  <c r="V106" i="2"/>
  <c r="V80" i="2" s="1"/>
  <c r="U106" i="2"/>
  <c r="U80" i="2" s="1"/>
  <c r="T106" i="2"/>
  <c r="T80" i="2" s="1"/>
  <c r="S106" i="2"/>
  <c r="S80" i="2" s="1"/>
  <c r="AC105" i="2"/>
  <c r="AB105" i="2"/>
  <c r="AA105" i="2"/>
  <c r="Z105" i="2"/>
  <c r="Y105" i="2"/>
  <c r="X105" i="2"/>
  <c r="W105" i="2"/>
  <c r="V105" i="2"/>
  <c r="U105" i="2"/>
  <c r="T105" i="2"/>
  <c r="S105" i="2"/>
  <c r="AC99" i="2"/>
  <c r="AB99" i="2"/>
  <c r="AA99" i="2"/>
  <c r="Z99" i="2"/>
  <c r="Y99" i="2"/>
  <c r="X99" i="2"/>
  <c r="W99" i="2"/>
  <c r="V99" i="2"/>
  <c r="U99" i="2"/>
  <c r="T99" i="2"/>
  <c r="S99" i="2"/>
  <c r="AC98" i="2"/>
  <c r="AB98" i="2"/>
  <c r="AA98" i="2"/>
  <c r="Z98" i="2"/>
  <c r="Y98" i="2"/>
  <c r="X98" i="2"/>
  <c r="W98" i="2"/>
  <c r="V98" i="2"/>
  <c r="U98" i="2"/>
  <c r="T98" i="2"/>
  <c r="S98" i="2"/>
  <c r="AC97" i="2"/>
  <c r="AB97" i="2"/>
  <c r="AA97" i="2"/>
  <c r="Z97" i="2"/>
  <c r="Y97" i="2"/>
  <c r="X97" i="2"/>
  <c r="W97" i="2"/>
  <c r="V97" i="2"/>
  <c r="U97" i="2"/>
  <c r="T97" i="2"/>
  <c r="S97" i="2"/>
  <c r="AC91" i="2"/>
  <c r="AC429" i="2" s="1"/>
  <c r="AB91" i="2"/>
  <c r="AB429" i="2" s="1"/>
  <c r="AA91" i="2"/>
  <c r="AA429" i="2" s="1"/>
  <c r="Z91" i="2"/>
  <c r="Z429" i="2" s="1"/>
  <c r="Y91" i="2"/>
  <c r="Y429" i="2" s="1"/>
  <c r="X91" i="2"/>
  <c r="X429" i="2" s="1"/>
  <c r="W91" i="2"/>
  <c r="W429" i="2" s="1"/>
  <c r="V91" i="2"/>
  <c r="V429" i="2" s="1"/>
  <c r="U91" i="2"/>
  <c r="U429" i="2" s="1"/>
  <c r="T91" i="2"/>
  <c r="T429" i="2" s="1"/>
  <c r="S91" i="2"/>
  <c r="S429" i="2" s="1"/>
  <c r="AC88" i="2"/>
  <c r="AC27" i="2" s="1"/>
  <c r="AC1307" i="2" s="1"/>
  <c r="AB88" i="2"/>
  <c r="AB27" i="2" s="1"/>
  <c r="AB1307" i="2" s="1"/>
  <c r="AA88" i="2"/>
  <c r="AA27" i="2" s="1"/>
  <c r="AA1307" i="2" s="1"/>
  <c r="Z88" i="2"/>
  <c r="Z27" i="2" s="1"/>
  <c r="Z1307" i="2" s="1"/>
  <c r="Y88" i="2"/>
  <c r="Y27" i="2" s="1"/>
  <c r="Y1307" i="2" s="1"/>
  <c r="X88" i="2"/>
  <c r="X27" i="2" s="1"/>
  <c r="X1307" i="2" s="1"/>
  <c r="W88" i="2"/>
  <c r="W27" i="2" s="1"/>
  <c r="W1307" i="2" s="1"/>
  <c r="V88" i="2"/>
  <c r="V27" i="2" s="1"/>
  <c r="V1307" i="2" s="1"/>
  <c r="U88" i="2"/>
  <c r="U27" i="2" s="1"/>
  <c r="U1307" i="2" s="1"/>
  <c r="T88" i="2"/>
  <c r="T27" i="2" s="1"/>
  <c r="T1307" i="2" s="1"/>
  <c r="S88" i="2"/>
  <c r="S27" i="2" s="1"/>
  <c r="S1307" i="2" s="1"/>
  <c r="AC87" i="2"/>
  <c r="AC26" i="2" s="1"/>
  <c r="AC1306" i="2" s="1"/>
  <c r="AB87" i="2"/>
  <c r="AB26" i="2" s="1"/>
  <c r="AB1306" i="2" s="1"/>
  <c r="AA87" i="2"/>
  <c r="AA26" i="2" s="1"/>
  <c r="AA1306" i="2" s="1"/>
  <c r="Z87" i="2"/>
  <c r="Z26" i="2" s="1"/>
  <c r="Z1306" i="2" s="1"/>
  <c r="Y87" i="2"/>
  <c r="Y26" i="2" s="1"/>
  <c r="Y1306" i="2" s="1"/>
  <c r="X87" i="2"/>
  <c r="X26" i="2" s="1"/>
  <c r="X1306" i="2" s="1"/>
  <c r="W87" i="2"/>
  <c r="W26" i="2" s="1"/>
  <c r="W1306" i="2" s="1"/>
  <c r="V87" i="2"/>
  <c r="V26" i="2" s="1"/>
  <c r="V1306" i="2" s="1"/>
  <c r="U87" i="2"/>
  <c r="U26" i="2" s="1"/>
  <c r="U1306" i="2" s="1"/>
  <c r="T87" i="2"/>
  <c r="T26" i="2" s="1"/>
  <c r="T1306" i="2" s="1"/>
  <c r="S87" i="2"/>
  <c r="S26" i="2" s="1"/>
  <c r="S1306" i="2" s="1"/>
  <c r="AC85" i="2"/>
  <c r="AC23" i="2" s="1"/>
  <c r="AB85" i="2"/>
  <c r="AB23" i="2" s="1"/>
  <c r="AA85" i="2"/>
  <c r="AA23" i="2" s="1"/>
  <c r="Z85" i="2"/>
  <c r="Z23" i="2" s="1"/>
  <c r="Y85" i="2"/>
  <c r="Y23" i="2" s="1"/>
  <c r="X85" i="2"/>
  <c r="X23" i="2" s="1"/>
  <c r="W85" i="2"/>
  <c r="W23" i="2" s="1"/>
  <c r="V85" i="2"/>
  <c r="V23" i="2" s="1"/>
  <c r="U85" i="2"/>
  <c r="U23" i="2" s="1"/>
  <c r="T85" i="2"/>
  <c r="T23" i="2" s="1"/>
  <c r="S85" i="2"/>
  <c r="S23" i="2" s="1"/>
  <c r="AC84" i="2"/>
  <c r="AB84" i="2"/>
  <c r="AA84" i="2"/>
  <c r="AA1512" i="2" s="1"/>
  <c r="Z84" i="2"/>
  <c r="Y84" i="2"/>
  <c r="X84" i="2"/>
  <c r="W84" i="2"/>
  <c r="W1512" i="2" s="1"/>
  <c r="V84" i="2"/>
  <c r="V1512" i="2" s="1"/>
  <c r="U84" i="2"/>
  <c r="T84" i="2"/>
  <c r="T1512" i="2" s="1"/>
  <c r="S84" i="2"/>
  <c r="AC83" i="2"/>
  <c r="AC21" i="2" s="1"/>
  <c r="AC1301" i="2" s="1"/>
  <c r="AB83" i="2"/>
  <c r="AB21" i="2" s="1"/>
  <c r="AA83" i="2"/>
  <c r="AA21" i="2" s="1"/>
  <c r="Z83" i="2"/>
  <c r="Z21" i="2" s="1"/>
  <c r="Z1301" i="2" s="1"/>
  <c r="Y83" i="2"/>
  <c r="Y21" i="2" s="1"/>
  <c r="Y1301" i="2" s="1"/>
  <c r="X83" i="2"/>
  <c r="X21" i="2" s="1"/>
  <c r="X1301" i="2" s="1"/>
  <c r="W83" i="2"/>
  <c r="W21" i="2" s="1"/>
  <c r="V83" i="2"/>
  <c r="V21" i="2" s="1"/>
  <c r="U83" i="2"/>
  <c r="U21" i="2" s="1"/>
  <c r="U1301" i="2" s="1"/>
  <c r="T83" i="2"/>
  <c r="T21" i="2" s="1"/>
  <c r="T1301" i="2" s="1"/>
  <c r="S83" i="2"/>
  <c r="S21" i="2" s="1"/>
  <c r="AC48" i="2"/>
  <c r="AB48" i="2"/>
  <c r="AA48" i="2"/>
  <c r="Z48" i="2"/>
  <c r="Y48" i="2"/>
  <c r="X48" i="2"/>
  <c r="W48" i="2"/>
  <c r="V48" i="2"/>
  <c r="U48" i="2"/>
  <c r="T48" i="2"/>
  <c r="S48" i="2"/>
  <c r="AC44" i="2"/>
  <c r="AC59" i="2" s="1"/>
  <c r="AB44" i="2"/>
  <c r="AB59" i="2" s="1"/>
  <c r="AA44" i="2"/>
  <c r="AA59" i="2" s="1"/>
  <c r="Z44" i="2"/>
  <c r="Z59" i="2" s="1"/>
  <c r="Y44" i="2"/>
  <c r="Y59" i="2" s="1"/>
  <c r="X44" i="2"/>
  <c r="X59" i="2" s="1"/>
  <c r="W44" i="2"/>
  <c r="W59" i="2" s="1"/>
  <c r="V44" i="2"/>
  <c r="V59" i="2" s="1"/>
  <c r="U44" i="2"/>
  <c r="U59" i="2" s="1"/>
  <c r="T44" i="2"/>
  <c r="T59" i="2" s="1"/>
  <c r="S44" i="2"/>
  <c r="S59" i="2" s="1"/>
  <c r="AC40" i="2"/>
  <c r="AC1460" i="2" s="1"/>
  <c r="AB40" i="2"/>
  <c r="AB1460" i="2" s="1"/>
  <c r="AA40" i="2"/>
  <c r="AA1460" i="2" s="1"/>
  <c r="Z40" i="2"/>
  <c r="Z1460" i="2" s="1"/>
  <c r="Y40" i="2"/>
  <c r="Y1460" i="2" s="1"/>
  <c r="X40" i="2"/>
  <c r="X1460" i="2" s="1"/>
  <c r="W40" i="2"/>
  <c r="W1460" i="2" s="1"/>
  <c r="V40" i="2"/>
  <c r="V1460" i="2" s="1"/>
  <c r="U40" i="2"/>
  <c r="U1460" i="2" s="1"/>
  <c r="T40" i="2"/>
  <c r="T1460" i="2" s="1"/>
  <c r="S40" i="2"/>
  <c r="S1460" i="2" s="1"/>
  <c r="AC30" i="2"/>
  <c r="AB30" i="2"/>
  <c r="AA30" i="2"/>
  <c r="Z30" i="2"/>
  <c r="Y30" i="2"/>
  <c r="X30" i="2"/>
  <c r="W30" i="2"/>
  <c r="V30" i="2"/>
  <c r="U30" i="2"/>
  <c r="T30" i="2"/>
  <c r="S30" i="2"/>
  <c r="AC1310" i="2" l="1"/>
  <c r="AC1386" i="2"/>
  <c r="AC891" i="2"/>
  <c r="AC1399" i="2" s="1"/>
  <c r="AC896" i="2"/>
  <c r="AC1400" i="2" s="1"/>
  <c r="AC910" i="2"/>
  <c r="AC1120" i="2"/>
  <c r="AC1111" i="2"/>
  <c r="AC1062" i="2"/>
  <c r="AC389" i="2"/>
  <c r="AC223" i="2"/>
  <c r="AC381" i="2"/>
  <c r="AC859" i="2"/>
  <c r="AC1592" i="2" s="1"/>
  <c r="AC254" i="2"/>
  <c r="AC633" i="2"/>
  <c r="AC588" i="2"/>
  <c r="AC854" i="2"/>
  <c r="AC1555" i="2" s="1"/>
  <c r="AC844" i="2"/>
  <c r="AC493" i="2"/>
  <c r="AC492" i="2" s="1"/>
  <c r="AC486" i="2" s="1"/>
  <c r="AC209" i="2"/>
  <c r="AC553" i="2"/>
  <c r="AC460" i="2"/>
  <c r="AC459" i="2" s="1"/>
  <c r="AB283" i="2"/>
  <c r="AB438" i="2" s="1"/>
  <c r="AB1120" i="2"/>
  <c r="AB1181" i="2"/>
  <c r="AC1153" i="2" s="1"/>
  <c r="AB1434" i="2"/>
  <c r="AB1084" i="2"/>
  <c r="AB1425" i="2"/>
  <c r="AB885" i="2"/>
  <c r="AB1398" i="2" s="1"/>
  <c r="AB896" i="2"/>
  <c r="AB1400" i="2" s="1"/>
  <c r="AB891" i="2"/>
  <c r="AB1399" i="2" s="1"/>
  <c r="AB880" i="2"/>
  <c r="AB1397" i="2" s="1"/>
  <c r="AB902" i="2"/>
  <c r="AB1401" i="2" s="1"/>
  <c r="AB418" i="2"/>
  <c r="AB82" i="2"/>
  <c r="AB794" i="2"/>
  <c r="AB793" i="2" s="1"/>
  <c r="AB854" i="2"/>
  <c r="AB1555" i="2" s="1"/>
  <c r="AB1554" i="2" s="1"/>
  <c r="AB588" i="2"/>
  <c r="AB183" i="2" s="1"/>
  <c r="AB844" i="2"/>
  <c r="AB493" i="2"/>
  <c r="AB492" i="2" s="1"/>
  <c r="AB216" i="2"/>
  <c r="AB460" i="2"/>
  <c r="AB459" i="2" s="1"/>
  <c r="AB1479" i="2" s="1"/>
  <c r="AA896" i="2"/>
  <c r="AA1400" i="2" s="1"/>
  <c r="AA970" i="2"/>
  <c r="AA902" i="2"/>
  <c r="AA1401" i="2" s="1"/>
  <c r="AA891" i="2"/>
  <c r="AA1399" i="2" s="1"/>
  <c r="AA880" i="2"/>
  <c r="AA283" i="2"/>
  <c r="AA201" i="2"/>
  <c r="AA434" i="2" s="1"/>
  <c r="AA432" i="2" s="1"/>
  <c r="AA1120" i="2"/>
  <c r="AA1441" i="2"/>
  <c r="AA1062" i="2"/>
  <c r="AA1428" i="2"/>
  <c r="AA1386" i="2"/>
  <c r="AA794" i="2"/>
  <c r="AA793" i="2" s="1"/>
  <c r="AA254" i="2"/>
  <c r="AA607" i="2"/>
  <c r="AA588" i="2"/>
  <c r="AA492" i="2"/>
  <c r="AA844" i="2"/>
  <c r="AA216" i="2"/>
  <c r="AA208" i="2"/>
  <c r="AA633" i="2"/>
  <c r="AA632" i="2" s="1"/>
  <c r="AA476" i="2"/>
  <c r="AA475" i="2" s="1"/>
  <c r="AA1480" i="2" s="1"/>
  <c r="Z1310" i="2"/>
  <c r="Z389" i="2"/>
  <c r="Z401" i="2"/>
  <c r="Z201" i="2"/>
  <c r="Z434" i="2" s="1"/>
  <c r="Z891" i="2"/>
  <c r="Z1399" i="2" s="1"/>
  <c r="Z970" i="2"/>
  <c r="Z885" i="2"/>
  <c r="Z1398" i="2" s="1"/>
  <c r="Z1120" i="2"/>
  <c r="Z1434" i="2"/>
  <c r="Z1431" i="2"/>
  <c r="Z588" i="2"/>
  <c r="Z183" i="2" s="1"/>
  <c r="Z517" i="2"/>
  <c r="Z516" i="2" s="1"/>
  <c r="Z493" i="2"/>
  <c r="Z492" i="2" s="1"/>
  <c r="Z216" i="2"/>
  <c r="Z208" i="2" s="1"/>
  <c r="Z476" i="2"/>
  <c r="Z475" i="2" s="1"/>
  <c r="Z1480" i="2" s="1"/>
  <c r="Y201" i="2"/>
  <c r="Y434" i="2" s="1"/>
  <c r="Y970" i="2"/>
  <c r="Y940" i="2"/>
  <c r="Y896" i="2"/>
  <c r="Y1400" i="2" s="1"/>
  <c r="Y891" i="2"/>
  <c r="Y1399" i="2" s="1"/>
  <c r="Y910" i="2"/>
  <c r="Y880" i="2"/>
  <c r="Y1397" i="2" s="1"/>
  <c r="Y1120" i="2"/>
  <c r="Y1187" i="2"/>
  <c r="Y1434" i="2"/>
  <c r="Y1431" i="2"/>
  <c r="Y1062" i="2"/>
  <c r="Y1310" i="2"/>
  <c r="Y1386" i="2"/>
  <c r="Y389" i="2"/>
  <c r="Y1512" i="2"/>
  <c r="Y381" i="2"/>
  <c r="Y254" i="2"/>
  <c r="Y607" i="2"/>
  <c r="Y517" i="2"/>
  <c r="Y516" i="2" s="1"/>
  <c r="Y492" i="2"/>
  <c r="Y460" i="2"/>
  <c r="Y459" i="2" s="1"/>
  <c r="Y216" i="2"/>
  <c r="Y633" i="2"/>
  <c r="Y476" i="2"/>
  <c r="Y475" i="2" s="1"/>
  <c r="X1310" i="2"/>
  <c r="X1120" i="2"/>
  <c r="X1062" i="2"/>
  <c r="X1187" i="2"/>
  <c r="X1441" i="2"/>
  <c r="X1434" i="2"/>
  <c r="X1084" i="2"/>
  <c r="X1431" i="2"/>
  <c r="X880" i="2"/>
  <c r="X1397" i="2" s="1"/>
  <c r="X970" i="2"/>
  <c r="X902" i="2"/>
  <c r="X1401" i="2" s="1"/>
  <c r="X885" i="2"/>
  <c r="X1398" i="2" s="1"/>
  <c r="X891" i="2"/>
  <c r="X910" i="2"/>
  <c r="X418" i="2"/>
  <c r="X201" i="2"/>
  <c r="X434" i="2" s="1"/>
  <c r="X794" i="2"/>
  <c r="X793" i="2" s="1"/>
  <c r="X254" i="2"/>
  <c r="X607" i="2"/>
  <c r="X854" i="2"/>
  <c r="X1555" i="2" s="1"/>
  <c r="X588" i="2"/>
  <c r="X183" i="2" s="1"/>
  <c r="X517" i="2"/>
  <c r="X516" i="2" s="1"/>
  <c r="X208" i="2"/>
  <c r="X633" i="2"/>
  <c r="X632" i="2" s="1"/>
  <c r="X476" i="2"/>
  <c r="X475" i="2" s="1"/>
  <c r="X460" i="2"/>
  <c r="X459" i="2" s="1"/>
  <c r="W607" i="2"/>
  <c r="W1434" i="2"/>
  <c r="W1062" i="2"/>
  <c r="W1310" i="2"/>
  <c r="W970" i="2"/>
  <c r="W885" i="2"/>
  <c r="W1398" i="2" s="1"/>
  <c r="W940" i="2"/>
  <c r="W902" i="2"/>
  <c r="W1401" i="2" s="1"/>
  <c r="W910" i="2"/>
  <c r="W1162" i="2"/>
  <c r="W1120" i="2"/>
  <c r="W1111" i="2"/>
  <c r="W283" i="2"/>
  <c r="W432" i="2"/>
  <c r="W859" i="2"/>
  <c r="W1592" i="2" s="1"/>
  <c r="W1591" i="2" s="1"/>
  <c r="W254" i="2"/>
  <c r="W854" i="2"/>
  <c r="W1555" i="2" s="1"/>
  <c r="W1554" i="2" s="1"/>
  <c r="W492" i="2"/>
  <c r="W354" i="2"/>
  <c r="V201" i="2"/>
  <c r="V434" i="2" s="1"/>
  <c r="V880" i="2"/>
  <c r="V1397" i="2" s="1"/>
  <c r="V1120" i="2"/>
  <c r="V1441" i="2"/>
  <c r="V1062" i="2"/>
  <c r="X1277" i="2"/>
  <c r="AA1277" i="2"/>
  <c r="T1277" i="2"/>
  <c r="W1277" i="2"/>
  <c r="V1277" i="2"/>
  <c r="AB1277" i="2"/>
  <c r="V401" i="2"/>
  <c r="V223" i="2"/>
  <c r="V794" i="2"/>
  <c r="V793" i="2" s="1"/>
  <c r="V859" i="2"/>
  <c r="V1592" i="2" s="1"/>
  <c r="V607" i="2"/>
  <c r="V517" i="2"/>
  <c r="V516" i="2" s="1"/>
  <c r="V493" i="2"/>
  <c r="V492" i="2" s="1"/>
  <c r="V486" i="2" s="1"/>
  <c r="V633" i="2"/>
  <c r="V208" i="2"/>
  <c r="V476" i="2"/>
  <c r="V475" i="2" s="1"/>
  <c r="V1480" i="2" s="1"/>
  <c r="V1030" i="2"/>
  <c r="V910" i="2"/>
  <c r="V885" i="2"/>
  <c r="V1398" i="2" s="1"/>
  <c r="U794" i="2"/>
  <c r="U793" i="2" s="1"/>
  <c r="U1120" i="2"/>
  <c r="U1111" i="2"/>
  <c r="U1434" i="2"/>
  <c r="U1431" i="2"/>
  <c r="U1310" i="2"/>
  <c r="U223" i="2"/>
  <c r="U201" i="2"/>
  <c r="U434" i="2" s="1"/>
  <c r="U196" i="2" s="1"/>
  <c r="U381" i="2"/>
  <c r="U859" i="2"/>
  <c r="U1592" i="2" s="1"/>
  <c r="U607" i="2"/>
  <c r="U854" i="2"/>
  <c r="U1555" i="2" s="1"/>
  <c r="U517" i="2"/>
  <c r="U516" i="2" s="1"/>
  <c r="U493" i="2"/>
  <c r="U492" i="2" s="1"/>
  <c r="U216" i="2"/>
  <c r="U633" i="2"/>
  <c r="U476" i="2"/>
  <c r="U475" i="2" s="1"/>
  <c r="U1480" i="2" s="1"/>
  <c r="U460" i="2"/>
  <c r="U459" i="2" s="1"/>
  <c r="U1479" i="2" s="1"/>
  <c r="U896" i="2"/>
  <c r="U1400" i="2" s="1"/>
  <c r="U902" i="2"/>
  <c r="U1401" i="2" s="1"/>
  <c r="T910" i="2"/>
  <c r="T201" i="2"/>
  <c r="T434" i="2" s="1"/>
  <c r="T1310" i="2"/>
  <c r="T1084" i="2"/>
  <c r="T1181" i="2"/>
  <c r="U1153" i="2" s="1"/>
  <c r="U1152" i="2" s="1"/>
  <c r="T418" i="2"/>
  <c r="T970" i="2"/>
  <c r="T885" i="2"/>
  <c r="T1398" i="2" s="1"/>
  <c r="T880" i="2"/>
  <c r="T859" i="2"/>
  <c r="T1592" i="2" s="1"/>
  <c r="AD1592" i="2" s="1"/>
  <c r="T854" i="2"/>
  <c r="T1555" i="2" s="1"/>
  <c r="T588" i="2"/>
  <c r="T183" i="2" s="1"/>
  <c r="T844" i="2"/>
  <c r="T216" i="2"/>
  <c r="T633" i="2"/>
  <c r="T460" i="2"/>
  <c r="T459" i="2" s="1"/>
  <c r="T1479" i="2" s="1"/>
  <c r="S201" i="2"/>
  <c r="S434" i="2" s="1"/>
  <c r="S196" i="2" s="1"/>
  <c r="S880" i="2"/>
  <c r="S879" i="2" s="1"/>
  <c r="S891" i="2"/>
  <c r="S1399" i="2" s="1"/>
  <c r="S970" i="2"/>
  <c r="S1111" i="2"/>
  <c r="S1181" i="2"/>
  <c r="T1153" i="2" s="1"/>
  <c r="T1152" i="2" s="1"/>
  <c r="S1310" i="2"/>
  <c r="S432" i="2"/>
  <c r="S859" i="2"/>
  <c r="S1592" i="2" s="1"/>
  <c r="S1591" i="2" s="1"/>
  <c r="S607" i="2"/>
  <c r="S844" i="2"/>
  <c r="S493" i="2"/>
  <c r="S492" i="2" s="1"/>
  <c r="S1488" i="2" s="1"/>
  <c r="S1497" i="2" s="1"/>
  <c r="S1506" i="2" s="1"/>
  <c r="S216" i="2"/>
  <c r="S633" i="2"/>
  <c r="S209" i="2"/>
  <c r="S208" i="2" s="1"/>
  <c r="S460" i="2"/>
  <c r="S459" i="2" s="1"/>
  <c r="S1479" i="2" s="1"/>
  <c r="AB940" i="2"/>
  <c r="Z1030" i="2"/>
  <c r="S1062" i="2"/>
  <c r="S1084" i="2"/>
  <c r="W1228" i="2"/>
  <c r="U1339" i="2"/>
  <c r="U1338" i="2" s="1"/>
  <c r="U1337" i="2" s="1"/>
  <c r="U1336" i="2" s="1"/>
  <c r="AC1339" i="2"/>
  <c r="AC1338" i="2" s="1"/>
  <c r="AC1337" i="2" s="1"/>
  <c r="AC1336" i="2" s="1"/>
  <c r="S940" i="2"/>
  <c r="AA940" i="2"/>
  <c r="X940" i="2"/>
  <c r="S1030" i="2"/>
  <c r="AA1030" i="2"/>
  <c r="U1181" i="2"/>
  <c r="V1153" i="2" s="1"/>
  <c r="V1152" i="2" s="1"/>
  <c r="AC1181" i="2"/>
  <c r="AC1180" i="2" s="1"/>
  <c r="AC1161" i="2" s="1"/>
  <c r="T1089" i="2"/>
  <c r="AB1089" i="2"/>
  <c r="T1111" i="2"/>
  <c r="AB1111" i="2"/>
  <c r="Y1111" i="2"/>
  <c r="X1228" i="2"/>
  <c r="V1354" i="2"/>
  <c r="V1353" i="2" s="1"/>
  <c r="V1352" i="2" s="1"/>
  <c r="V1351" i="2" s="1"/>
  <c r="V940" i="2"/>
  <c r="U970" i="2"/>
  <c r="AC970" i="2"/>
  <c r="V1187" i="2"/>
  <c r="Y1162" i="2"/>
  <c r="AC1162" i="2"/>
  <c r="U1223" i="2"/>
  <c r="AC1223" i="2"/>
  <c r="U1277" i="2"/>
  <c r="AC1277" i="2"/>
  <c r="V1310" i="2"/>
  <c r="W1339" i="2"/>
  <c r="W1338" i="2" s="1"/>
  <c r="W1337" i="2" s="1"/>
  <c r="W1336" i="2" s="1"/>
  <c r="W1354" i="2"/>
  <c r="W1353" i="2" s="1"/>
  <c r="W1352" i="2" s="1"/>
  <c r="W1351" i="2" s="1"/>
  <c r="T1428" i="2"/>
  <c r="AC940" i="2"/>
  <c r="Z940" i="2"/>
  <c r="T1000" i="2"/>
  <c r="W1181" i="2"/>
  <c r="X1153" i="2" s="1"/>
  <c r="X1152" i="2" s="1"/>
  <c r="W1187" i="2"/>
  <c r="V1084" i="2"/>
  <c r="V1111" i="2"/>
  <c r="AA1111" i="2"/>
  <c r="V1223" i="2"/>
  <c r="Z1228" i="2"/>
  <c r="T1369" i="2"/>
  <c r="T1368" i="2" s="1"/>
  <c r="T1367" i="2" s="1"/>
  <c r="T1366" i="2" s="1"/>
  <c r="T1386" i="2" s="1"/>
  <c r="T1390" i="2" s="1"/>
  <c r="AB1369" i="2"/>
  <c r="AB1368" i="2" s="1"/>
  <c r="AB1367" i="2" s="1"/>
  <c r="AB1366" i="2" s="1"/>
  <c r="AB1386" i="2" s="1"/>
  <c r="AB1387" i="2" s="1"/>
  <c r="U1428" i="2"/>
  <c r="S1431" i="2"/>
  <c r="AA1431" i="2"/>
  <c r="V1434" i="2"/>
  <c r="X1438" i="2"/>
  <c r="AC216" i="2"/>
  <c r="Y223" i="2"/>
  <c r="V254" i="2"/>
  <c r="U208" i="2"/>
  <c r="W1000" i="2"/>
  <c r="U1228" i="2"/>
  <c r="AC1228" i="2"/>
  <c r="S1339" i="2"/>
  <c r="S1338" i="2" s="1"/>
  <c r="S1337" i="2" s="1"/>
  <c r="S1336" i="2" s="1"/>
  <c r="AA1339" i="2"/>
  <c r="AA1338" i="2" s="1"/>
  <c r="AA1337" i="2" s="1"/>
  <c r="AA1336" i="2" s="1"/>
  <c r="S223" i="2"/>
  <c r="S15" i="2" s="1"/>
  <c r="AA223" i="2"/>
  <c r="X1000" i="2"/>
  <c r="Y1030" i="2"/>
  <c r="S1187" i="2"/>
  <c r="S1190" i="2" s="1"/>
  <c r="AA1187" i="2"/>
  <c r="AA1190" i="2" s="1"/>
  <c r="Z1223" i="2"/>
  <c r="V1228" i="2"/>
  <c r="T1338" i="2"/>
  <c r="T1337" i="2" s="1"/>
  <c r="T1336" i="2" s="1"/>
  <c r="AB1338" i="2"/>
  <c r="AB1337" i="2" s="1"/>
  <c r="AB1336" i="2" s="1"/>
  <c r="T1353" i="2"/>
  <c r="T1352" i="2" s="1"/>
  <c r="T1351" i="2" s="1"/>
  <c r="AB1353" i="2"/>
  <c r="AB1352" i="2" s="1"/>
  <c r="AB1351" i="2" s="1"/>
  <c r="X1368" i="2"/>
  <c r="X1367" i="2" s="1"/>
  <c r="X1366" i="2" s="1"/>
  <c r="X1386" i="2" s="1"/>
  <c r="S1434" i="2"/>
  <c r="AA1434" i="2"/>
  <c r="X432" i="2"/>
  <c r="W794" i="2"/>
  <c r="W793" i="2" s="1"/>
  <c r="S381" i="2"/>
  <c r="W385" i="2"/>
  <c r="V844" i="2"/>
  <c r="Y854" i="2"/>
  <c r="Y1555" i="2" s="1"/>
  <c r="X859" i="2"/>
  <c r="X1592" i="2" s="1"/>
  <c r="U880" i="2"/>
  <c r="U1397" i="2" s="1"/>
  <c r="S885" i="2"/>
  <c r="S1398" i="2" s="1"/>
  <c r="U891" i="2"/>
  <c r="U1399" i="2" s="1"/>
  <c r="Z896" i="2"/>
  <c r="Z1400" i="2" s="1"/>
  <c r="T902" i="2"/>
  <c r="T1401" i="2" s="1"/>
  <c r="S910" i="2"/>
  <c r="AA910" i="2"/>
  <c r="Y1000" i="2"/>
  <c r="U1030" i="2"/>
  <c r="AC1030" i="2"/>
  <c r="Z1062" i="2"/>
  <c r="V1181" i="2"/>
  <c r="W1153" i="2" s="1"/>
  <c r="Z1187" i="2"/>
  <c r="Z1190" i="2" s="1"/>
  <c r="W1084" i="2"/>
  <c r="S1089" i="2"/>
  <c r="AA1089" i="2"/>
  <c r="U1162" i="2"/>
  <c r="Y1223" i="2"/>
  <c r="Y1228" i="2"/>
  <c r="V1339" i="2"/>
  <c r="V1338" i="2" s="1"/>
  <c r="V1337" i="2" s="1"/>
  <c r="V1336" i="2" s="1"/>
  <c r="V1381" i="2" s="1"/>
  <c r="AB1428" i="2"/>
  <c r="T1427" i="2"/>
  <c r="AB1427" i="2"/>
  <c r="AB1424" i="2" s="1"/>
  <c r="AC82" i="2"/>
  <c r="U1512" i="2"/>
  <c r="AC1512" i="2"/>
  <c r="Y432" i="2"/>
  <c r="W223" i="2"/>
  <c r="U283" i="2"/>
  <c r="U438" i="2" s="1"/>
  <c r="U278" i="2" s="1"/>
  <c r="S300" i="2"/>
  <c r="U940" i="2"/>
  <c r="Y1425" i="2"/>
  <c r="U1427" i="2"/>
  <c r="AC1427" i="2"/>
  <c r="AD1556" i="2"/>
  <c r="Y794" i="2"/>
  <c r="Y793" i="2" s="1"/>
  <c r="U371" i="2"/>
  <c r="AC371" i="2"/>
  <c r="Y385" i="2"/>
  <c r="Y371" i="2" s="1"/>
  <c r="S854" i="2"/>
  <c r="S1555" i="2" s="1"/>
  <c r="AA854" i="2"/>
  <c r="AA1555" i="2" s="1"/>
  <c r="Z859" i="2"/>
  <c r="Z1592" i="2" s="1"/>
  <c r="Z1591" i="2" s="1"/>
  <c r="W880" i="2"/>
  <c r="W1397" i="2" s="1"/>
  <c r="U885" i="2"/>
  <c r="U1398" i="2" s="1"/>
  <c r="W891" i="2"/>
  <c r="W1399" i="2" s="1"/>
  <c r="T896" i="2"/>
  <c r="T1400" i="2" s="1"/>
  <c r="V902" i="2"/>
  <c r="V1401" i="2" s="1"/>
  <c r="U910" i="2"/>
  <c r="S1000" i="2"/>
  <c r="W1030" i="2"/>
  <c r="T1062" i="2"/>
  <c r="AB1062" i="2"/>
  <c r="X1181" i="2"/>
  <c r="Y1153" i="2" s="1"/>
  <c r="Y1152" i="2" s="1"/>
  <c r="T1187" i="2"/>
  <c r="T1190" i="2" s="1"/>
  <c r="AB1187" i="2"/>
  <c r="Y1084" i="2"/>
  <c r="U1089" i="2"/>
  <c r="AC1089" i="2"/>
  <c r="S1223" i="2"/>
  <c r="AA1223" i="2"/>
  <c r="S1228" i="2"/>
  <c r="AA1228" i="2"/>
  <c r="X1339" i="2"/>
  <c r="X1338" i="2" s="1"/>
  <c r="X1337" i="2" s="1"/>
  <c r="X1336" i="2" s="1"/>
  <c r="U1062" i="2"/>
  <c r="Y1181" i="2"/>
  <c r="Z1153" i="2" s="1"/>
  <c r="U1187" i="2"/>
  <c r="U1190" i="2" s="1"/>
  <c r="AC1187" i="2"/>
  <c r="AC1190" i="2" s="1"/>
  <c r="Z1084" i="2"/>
  <c r="V1089" i="2"/>
  <c r="T1223" i="2"/>
  <c r="AB1223" i="2"/>
  <c r="T1228" i="2"/>
  <c r="AB1228" i="2"/>
  <c r="Y1339" i="2"/>
  <c r="Y1338" i="2" s="1"/>
  <c r="Y1337" i="2" s="1"/>
  <c r="Y1336" i="2" s="1"/>
  <c r="S1354" i="2"/>
  <c r="S1353" i="2" s="1"/>
  <c r="S1352" i="2" s="1"/>
  <c r="S1351" i="2" s="1"/>
  <c r="S1428" i="2"/>
  <c r="AA1425" i="2"/>
  <c r="W1427" i="2"/>
  <c r="W1424" i="2" s="1"/>
  <c r="X1512" i="2"/>
  <c r="T432" i="2"/>
  <c r="AB432" i="2"/>
  <c r="Z223" i="2"/>
  <c r="X283" i="2"/>
  <c r="X438" i="2" s="1"/>
  <c r="S290" i="2"/>
  <c r="AA290" i="2"/>
  <c r="V300" i="2"/>
  <c r="AC432" i="2"/>
  <c r="S254" i="2"/>
  <c r="T940" i="2"/>
  <c r="AC1425" i="2"/>
  <c r="AD1482" i="2"/>
  <c r="AD1576" i="2"/>
  <c r="Z1512" i="2"/>
  <c r="V432" i="2"/>
  <c r="Y209" i="2"/>
  <c r="Y208" i="2" s="1"/>
  <c r="T223" i="2"/>
  <c r="AB223" i="2"/>
  <c r="T254" i="2"/>
  <c r="AD254" i="2" s="1"/>
  <c r="Z283" i="2"/>
  <c r="Z438" i="2" s="1"/>
  <c r="S1512" i="2"/>
  <c r="AD1512" i="2" s="1"/>
  <c r="W1425" i="2"/>
  <c r="S1427" i="2"/>
  <c r="AA1427" i="2"/>
  <c r="S1153" i="2"/>
  <c r="S1152" i="2" s="1"/>
  <c r="AH390" i="18"/>
  <c r="AH251" i="18" s="1"/>
  <c r="AD30" i="18"/>
  <c r="AG30" i="18" s="1"/>
  <c r="T32" i="18"/>
  <c r="T31" i="18"/>
  <c r="AC32" i="18"/>
  <c r="Q33" i="18"/>
  <c r="AG25" i="18"/>
  <c r="AI110" i="18"/>
  <c r="AI113" i="18"/>
  <c r="AI114" i="18" s="1"/>
  <c r="U31" i="18"/>
  <c r="U32" i="18" s="1"/>
  <c r="U33" i="18" s="1"/>
  <c r="AH25" i="18"/>
  <c r="AH26" i="18" s="1"/>
  <c r="AF26" i="18"/>
  <c r="X31" i="18"/>
  <c r="AE31" i="18" s="1"/>
  <c r="X32" i="18"/>
  <c r="AE30" i="18"/>
  <c r="AI21" i="18"/>
  <c r="AI22" i="18" s="1"/>
  <c r="AB31" i="18"/>
  <c r="AF31" i="18" s="1"/>
  <c r="AH31" i="18" s="1"/>
  <c r="AF30" i="18"/>
  <c r="Q1098" i="18"/>
  <c r="Q1096" i="18" s="1"/>
  <c r="Z249" i="18"/>
  <c r="Z250" i="18" s="1"/>
  <c r="Z246" i="18"/>
  <c r="AI383" i="18"/>
  <c r="AF1065" i="18"/>
  <c r="AH1064" i="18"/>
  <c r="AH1065" i="18" s="1"/>
  <c r="AI378" i="18"/>
  <c r="AI390" i="18" s="1"/>
  <c r="AI251" i="18" s="1"/>
  <c r="AG382" i="18"/>
  <c r="AG115" i="18" s="1"/>
  <c r="AG376" i="18"/>
  <c r="AH386" i="18"/>
  <c r="AH169" i="18" s="1"/>
  <c r="AH376" i="18"/>
  <c r="AG394" i="18"/>
  <c r="AG314" i="18" s="1"/>
  <c r="R1101" i="18"/>
  <c r="R1104" i="18"/>
  <c r="W249" i="18"/>
  <c r="W250" i="18" s="1"/>
  <c r="W246" i="18"/>
  <c r="AD212" i="18"/>
  <c r="AD245" i="18"/>
  <c r="AA1075" i="18"/>
  <c r="AF1075" i="18" s="1"/>
  <c r="AH1075" i="18" s="1"/>
  <c r="AA1072" i="18"/>
  <c r="AF1071" i="18"/>
  <c r="R249" i="18"/>
  <c r="R250" i="18" s="1"/>
  <c r="R246" i="18"/>
  <c r="AH150" i="18"/>
  <c r="AH163" i="18"/>
  <c r="Z1088" i="18"/>
  <c r="AF1087" i="18"/>
  <c r="Z1091" i="18"/>
  <c r="AF1091" i="18" s="1"/>
  <c r="Q167" i="18"/>
  <c r="Q168" i="18" s="1"/>
  <c r="Q164" i="18"/>
  <c r="AD1110" i="18"/>
  <c r="AD1111" i="18" s="1"/>
  <c r="AD1102" i="18"/>
  <c r="AD1108" i="18" s="1"/>
  <c r="AD1109" i="18" s="1"/>
  <c r="AD1065" i="18"/>
  <c r="AG1064" i="18"/>
  <c r="AF167" i="18"/>
  <c r="AF168" i="18" s="1"/>
  <c r="AF164" i="18"/>
  <c r="AF1110" i="18"/>
  <c r="AF1111" i="18" s="1"/>
  <c r="AF1102" i="18"/>
  <c r="AF1108" i="18" s="1"/>
  <c r="AF1109" i="18" s="1"/>
  <c r="AD390" i="18"/>
  <c r="AD251" i="18" s="1"/>
  <c r="AD394" i="18"/>
  <c r="AD314" i="18" s="1"/>
  <c r="AD382" i="18"/>
  <c r="AD115" i="18" s="1"/>
  <c r="AD386" i="18"/>
  <c r="AD169" i="18" s="1"/>
  <c r="AD376" i="18"/>
  <c r="V1075" i="18"/>
  <c r="AD1075" i="18" s="1"/>
  <c r="AG1075" i="18" s="1"/>
  <c r="AI1075" i="18" s="1"/>
  <c r="V1072" i="18"/>
  <c r="AD1071" i="18"/>
  <c r="AF1081" i="18"/>
  <c r="AC212" i="18"/>
  <c r="AC245" i="18"/>
  <c r="AG1104" i="18"/>
  <c r="Z1097" i="18"/>
  <c r="Z1101" i="18"/>
  <c r="AI309" i="18"/>
  <c r="AI312" i="18"/>
  <c r="AI313" i="18" s="1"/>
  <c r="AC1110" i="18"/>
  <c r="AC1111" i="18" s="1"/>
  <c r="AC1102" i="18"/>
  <c r="AC1108" i="18" s="1"/>
  <c r="AC1109" i="18" s="1"/>
  <c r="S1098" i="18"/>
  <c r="S1096" i="18" s="1"/>
  <c r="AH1104" i="18"/>
  <c r="AI234" i="18"/>
  <c r="AG220" i="18"/>
  <c r="AG211" i="18"/>
  <c r="AG1097" i="18"/>
  <c r="AG1101" i="18"/>
  <c r="AC163" i="18"/>
  <c r="AC150" i="18"/>
  <c r="AG398" i="18"/>
  <c r="AG364" i="18" s="1"/>
  <c r="AI397" i="18"/>
  <c r="AG395" i="18"/>
  <c r="AG139" i="18"/>
  <c r="AC137" i="18"/>
  <c r="AA1097" i="18"/>
  <c r="AA1101" i="18"/>
  <c r="S1087" i="18"/>
  <c r="S1081" i="18"/>
  <c r="AH1097" i="18"/>
  <c r="AH1101" i="18"/>
  <c r="T1110" i="18"/>
  <c r="T1111" i="18" s="1"/>
  <c r="T1102" i="18"/>
  <c r="T1108" i="18" s="1"/>
  <c r="T1109" i="18" s="1"/>
  <c r="W1098" i="18"/>
  <c r="W1096" i="18" s="1"/>
  <c r="AG1062" i="18"/>
  <c r="AC1065" i="18"/>
  <c r="AC1067" i="18"/>
  <c r="AG152" i="18"/>
  <c r="AI156" i="18"/>
  <c r="AG149" i="18"/>
  <c r="Q1087" i="18"/>
  <c r="AC1080" i="18"/>
  <c r="Q1081" i="18"/>
  <c r="AI359" i="18"/>
  <c r="AI362" i="18"/>
  <c r="AI363" i="18" s="1"/>
  <c r="AI387" i="18"/>
  <c r="S249" i="18"/>
  <c r="S250" i="18" s="1"/>
  <c r="S246" i="18"/>
  <c r="W1081" i="18"/>
  <c r="AE1080" i="18"/>
  <c r="AE1081" i="18" s="1"/>
  <c r="W1087" i="18"/>
  <c r="V1097" i="18"/>
  <c r="V1101" i="18"/>
  <c r="V1081" i="18"/>
  <c r="V1087" i="18"/>
  <c r="AD1080" i="18"/>
  <c r="AD1081" i="18" s="1"/>
  <c r="AG390" i="18"/>
  <c r="AG251" i="18" s="1"/>
  <c r="AI1097" i="18"/>
  <c r="AI1101" i="18"/>
  <c r="AH220" i="18"/>
  <c r="AH211" i="18"/>
  <c r="AI391" i="18"/>
  <c r="AE245" i="18"/>
  <c r="AE212" i="18"/>
  <c r="AF245" i="18"/>
  <c r="AF212" i="18"/>
  <c r="V249" i="18"/>
  <c r="V250" i="18" s="1"/>
  <c r="V246" i="18"/>
  <c r="AB1110" i="18"/>
  <c r="AB1111" i="18" s="1"/>
  <c r="AB1102" i="18"/>
  <c r="AB1108" i="18" s="1"/>
  <c r="AB1109" i="18" s="1"/>
  <c r="AI1104" i="18"/>
  <c r="R1088" i="18"/>
  <c r="R1091" i="18"/>
  <c r="T891" i="2"/>
  <c r="T1399" i="2" s="1"/>
  <c r="Z1425" i="2"/>
  <c r="V1427" i="2"/>
  <c r="Z1427" i="2"/>
  <c r="W209" i="2"/>
  <c r="W208" i="2" s="1"/>
  <c r="AB568" i="2"/>
  <c r="Z264" i="2"/>
  <c r="V265" i="2"/>
  <c r="Z265" i="2"/>
  <c r="W588" i="2"/>
  <c r="W183" i="2" s="1"/>
  <c r="AD1098" i="2"/>
  <c r="AC264" i="2"/>
  <c r="U265" i="2"/>
  <c r="U251" i="2" s="1"/>
  <c r="Y265" i="2"/>
  <c r="AC265" i="2"/>
  <c r="AC251" i="2" s="1"/>
  <c r="V312" i="2"/>
  <c r="Z312" i="2"/>
  <c r="X300" i="2"/>
  <c r="U264" i="2"/>
  <c r="AD675" i="2"/>
  <c r="V264" i="2"/>
  <c r="V250" i="2" s="1"/>
  <c r="AD687" i="2"/>
  <c r="AD437" i="2"/>
  <c r="V632" i="2"/>
  <c r="AA885" i="2"/>
  <c r="AA1398" i="2" s="1"/>
  <c r="V1431" i="2"/>
  <c r="AD1593" i="2"/>
  <c r="Y264" i="2"/>
  <c r="Y250" i="2" s="1"/>
  <c r="AD441" i="2"/>
  <c r="AD693" i="2"/>
  <c r="AD699" i="2"/>
  <c r="AD703" i="2"/>
  <c r="X493" i="2"/>
  <c r="X492" i="2" s="1"/>
  <c r="X486" i="2" s="1"/>
  <c r="AC632" i="2"/>
  <c r="V716" i="2"/>
  <c r="V708" i="2" s="1"/>
  <c r="AD747" i="2"/>
  <c r="X755" i="2"/>
  <c r="X754" i="2" s="1"/>
  <c r="AA840" i="2"/>
  <c r="W844" i="2"/>
  <c r="U1110" i="2"/>
  <c r="U1140" i="2" s="1"/>
  <c r="U1148" i="2" s="1"/>
  <c r="Y1110" i="2"/>
  <c r="Y1140" i="2" s="1"/>
  <c r="Y1148" i="2" s="1"/>
  <c r="AC1110" i="2"/>
  <c r="AC1140" i="2" s="1"/>
  <c r="AC1148" i="2" s="1"/>
  <c r="T568" i="2"/>
  <c r="X716" i="2"/>
  <c r="AB716" i="2"/>
  <c r="AB708" i="2" s="1"/>
  <c r="U1108" i="2"/>
  <c r="S755" i="2"/>
  <c r="S754" i="2" s="1"/>
  <c r="AA859" i="2"/>
  <c r="AA1592" i="2" s="1"/>
  <c r="AA1591" i="2" s="1"/>
  <c r="V1180" i="2"/>
  <c r="W1152" i="2"/>
  <c r="Z1180" i="2"/>
  <c r="Z1161" i="2" s="1"/>
  <c r="AA1152" i="2"/>
  <c r="V568" i="2"/>
  <c r="AD845" i="2"/>
  <c r="AD843" i="2"/>
  <c r="AD848" i="2"/>
  <c r="AD97" i="2"/>
  <c r="AD83" i="2"/>
  <c r="AD84" i="2"/>
  <c r="AD99" i="2"/>
  <c r="AD85" i="2"/>
  <c r="AD87" i="2"/>
  <c r="AD88" i="2"/>
  <c r="AD429" i="2"/>
  <c r="AD91" i="2"/>
  <c r="AD433" i="2"/>
  <c r="AD434" i="2"/>
  <c r="AD203" i="2"/>
  <c r="AD204" i="2"/>
  <c r="AD205" i="2"/>
  <c r="AD285" i="2"/>
  <c r="AD286" i="2"/>
  <c r="AD287" i="2"/>
  <c r="U389" i="2"/>
  <c r="AD391" i="2"/>
  <c r="AD397" i="2"/>
  <c r="AD402" i="2"/>
  <c r="AD404" i="2"/>
  <c r="AD445" i="2"/>
  <c r="AD420" i="2"/>
  <c r="AD422" i="2"/>
  <c r="AA568" i="2"/>
  <c r="W266" i="2"/>
  <c r="AA266" i="2"/>
  <c r="S267" i="2"/>
  <c r="S253" i="2" s="1"/>
  <c r="W267" i="2"/>
  <c r="W253" i="2" s="1"/>
  <c r="AA267" i="2"/>
  <c r="AD719" i="2"/>
  <c r="AD725" i="2"/>
  <c r="AD731" i="2"/>
  <c r="AD737" i="2"/>
  <c r="AB755" i="2"/>
  <c r="AB754" i="2" s="1"/>
  <c r="AD855" i="2"/>
  <c r="AD856" i="2"/>
  <c r="AD857" i="2"/>
  <c r="AD858" i="2"/>
  <c r="AB1180" i="2"/>
  <c r="AB1161" i="2" s="1"/>
  <c r="AC1152" i="2"/>
  <c r="W1110" i="2"/>
  <c r="W1140" i="2" s="1"/>
  <c r="W1148" i="2" s="1"/>
  <c r="AA1110" i="2"/>
  <c r="AA1140" i="2" s="1"/>
  <c r="AA1148" i="2" s="1"/>
  <c r="V1425" i="2"/>
  <c r="AD743" i="2"/>
  <c r="T389" i="2"/>
  <c r="Z568" i="2"/>
  <c r="W182" i="2"/>
  <c r="AD681" i="2"/>
  <c r="AD841" i="2"/>
  <c r="AD846" i="2"/>
  <c r="AD842" i="2"/>
  <c r="AD847" i="2"/>
  <c r="AB910" i="2"/>
  <c r="AA1180" i="2"/>
  <c r="AA1161" i="2" s="1"/>
  <c r="AB1152" i="2"/>
  <c r="AD30" i="2"/>
  <c r="AD59" i="2"/>
  <c r="AD105" i="2"/>
  <c r="AD80" i="2"/>
  <c r="AD106" i="2"/>
  <c r="AD113" i="2"/>
  <c r="AD120" i="2"/>
  <c r="AD122" i="2"/>
  <c r="AD130" i="2"/>
  <c r="AD131" i="2"/>
  <c r="AD1526" i="2"/>
  <c r="AD158" i="2"/>
  <c r="AD159" i="2"/>
  <c r="AD172" i="2"/>
  <c r="AD185" i="2"/>
  <c r="AD186" i="2"/>
  <c r="AD210" i="2"/>
  <c r="AD211" i="2"/>
  <c r="AD212" i="2"/>
  <c r="AD213" i="2"/>
  <c r="AD214" i="2"/>
  <c r="AD215" i="2"/>
  <c r="AD216" i="2"/>
  <c r="AD217" i="2"/>
  <c r="AD218" i="2"/>
  <c r="AD219" i="2"/>
  <c r="AD220" i="2"/>
  <c r="AD221" i="2"/>
  <c r="AD222" i="2"/>
  <c r="AD224" i="2"/>
  <c r="AD231" i="2"/>
  <c r="AD255" i="2"/>
  <c r="AD256" i="2"/>
  <c r="AD257" i="2"/>
  <c r="AD258" i="2"/>
  <c r="AD259" i="2"/>
  <c r="AD260" i="2"/>
  <c r="AD291" i="2"/>
  <c r="AD295" i="2"/>
  <c r="AD301" i="2"/>
  <c r="AD305" i="2"/>
  <c r="AD321" i="2"/>
  <c r="AD348" i="2"/>
  <c r="AD349" i="2"/>
  <c r="AD350" i="2"/>
  <c r="V389" i="2"/>
  <c r="AD143" i="2"/>
  <c r="AD145" i="2"/>
  <c r="X568" i="2"/>
  <c r="AC568" i="2"/>
  <c r="AC552" i="2" s="1"/>
  <c r="Y568" i="2"/>
  <c r="T170" i="2"/>
  <c r="X170" i="2"/>
  <c r="AB170" i="2"/>
  <c r="T171" i="2"/>
  <c r="X171" i="2"/>
  <c r="AB171" i="2"/>
  <c r="T184" i="2"/>
  <c r="X184" i="2"/>
  <c r="AB184" i="2"/>
  <c r="S716" i="2"/>
  <c r="S708" i="2" s="1"/>
  <c r="W716" i="2"/>
  <c r="W708" i="2" s="1"/>
  <c r="AA716" i="2"/>
  <c r="AA708" i="2" s="1"/>
  <c r="U716" i="2"/>
  <c r="U708" i="2" s="1"/>
  <c r="Y716" i="2"/>
  <c r="Y708" i="2" s="1"/>
  <c r="AC716" i="2"/>
  <c r="AC708" i="2" s="1"/>
  <c r="AD355" i="2"/>
  <c r="AD356" i="2"/>
  <c r="AD357" i="2"/>
  <c r="AD360" i="2"/>
  <c r="AD361" i="2"/>
  <c r="AD382" i="2"/>
  <c r="AD386" i="2"/>
  <c r="AD383" i="2"/>
  <c r="AD384" i="2"/>
  <c r="AD387" i="2"/>
  <c r="AD388" i="2"/>
  <c r="S1554" i="2"/>
  <c r="AA1554" i="2"/>
  <c r="AD860" i="2"/>
  <c r="AD861" i="2"/>
  <c r="AD862" i="2"/>
  <c r="AD863" i="2"/>
  <c r="AD325" i="2"/>
  <c r="AD330" i="2"/>
  <c r="U1180" i="2"/>
  <c r="U1161" i="2" s="1"/>
  <c r="Y1180" i="2"/>
  <c r="Y1161" i="2" s="1"/>
  <c r="Z1152" i="2"/>
  <c r="AD1201" i="2"/>
  <c r="AD1206" i="2"/>
  <c r="AD1212" i="2"/>
  <c r="AD1217" i="2"/>
  <c r="AD1218" i="2"/>
  <c r="AD1219" i="2"/>
  <c r="AD1220" i="2"/>
  <c r="AD1221" i="2"/>
  <c r="AD1222" i="2"/>
  <c r="AD1224" i="2"/>
  <c r="AD1225" i="2"/>
  <c r="AD1226" i="2"/>
  <c r="AD1227" i="2"/>
  <c r="AD1232" i="2"/>
  <c r="AD1311" i="2"/>
  <c r="AD1312" i="2"/>
  <c r="AD1324" i="2"/>
  <c r="W1428" i="2"/>
  <c r="U568" i="2"/>
  <c r="Z716" i="2"/>
  <c r="Z708" i="2" s="1"/>
  <c r="S794" i="2"/>
  <c r="S793" i="2" s="1"/>
  <c r="U1109" i="2"/>
  <c r="U1156" i="2" s="1"/>
  <c r="U1155" i="2" s="1"/>
  <c r="V1110" i="2"/>
  <c r="V1140" i="2" s="1"/>
  <c r="V1148" i="2" s="1"/>
  <c r="Z910" i="2"/>
  <c r="T82" i="2"/>
  <c r="X389" i="2"/>
  <c r="X419" i="2" s="1"/>
  <c r="X82" i="2"/>
  <c r="S568" i="2"/>
  <c r="W568" i="2"/>
  <c r="S262" i="2"/>
  <c r="S248" i="2" s="1"/>
  <c r="AC1108" i="2"/>
  <c r="Z1110" i="2"/>
  <c r="Z1140" i="2" s="1"/>
  <c r="Z1148" i="2" s="1"/>
  <c r="S1425" i="2"/>
  <c r="S1424" i="2" s="1"/>
  <c r="T794" i="2"/>
  <c r="T793" i="2" s="1"/>
  <c r="S82" i="2"/>
  <c r="V157" i="2"/>
  <c r="Z157" i="2"/>
  <c r="Z1525" i="2" s="1"/>
  <c r="V183" i="2"/>
  <c r="V170" i="2"/>
  <c r="Z170" i="2"/>
  <c r="V171" i="2"/>
  <c r="Z171" i="2"/>
  <c r="V184" i="2"/>
  <c r="Z184" i="2"/>
  <c r="X708" i="2"/>
  <c r="S156" i="2"/>
  <c r="AA184" i="2"/>
  <c r="Y632" i="2"/>
  <c r="T378" i="2"/>
  <c r="X378" i="2"/>
  <c r="X375" i="2"/>
  <c r="T376" i="2"/>
  <c r="T379" i="2"/>
  <c r="T380" i="2"/>
  <c r="AB380" i="2"/>
  <c r="T1110" i="2"/>
  <c r="T1108" i="2" s="1"/>
  <c r="X1110" i="2"/>
  <c r="X1140" i="2" s="1"/>
  <c r="X1148" i="2" s="1"/>
  <c r="AB1110" i="2"/>
  <c r="AB1109" i="2" s="1"/>
  <c r="AB1156" i="2" s="1"/>
  <c r="AB1155" i="2" s="1"/>
  <c r="W82" i="2"/>
  <c r="W632" i="2"/>
  <c r="Z632" i="2"/>
  <c r="V266" i="2"/>
  <c r="Z266" i="2"/>
  <c r="V267" i="2"/>
  <c r="Z267" i="2"/>
  <c r="Z253" i="2" s="1"/>
  <c r="AC380" i="2"/>
  <c r="Z755" i="2"/>
  <c r="Z754" i="2" s="1"/>
  <c r="V1190" i="2"/>
  <c r="U267" i="2"/>
  <c r="U253" i="2" s="1"/>
  <c r="X844" i="2"/>
  <c r="S1110" i="2"/>
  <c r="S1140" i="2" s="1"/>
  <c r="S1148" i="2" s="1"/>
  <c r="AD23" i="2"/>
  <c r="Z82" i="2"/>
  <c r="AA183" i="2"/>
  <c r="S170" i="2"/>
  <c r="S171" i="2"/>
  <c r="V755" i="2"/>
  <c r="V754" i="2" s="1"/>
  <c r="AA755" i="2"/>
  <c r="AA754" i="2" s="1"/>
  <c r="W1190" i="2"/>
  <c r="AC1109" i="2"/>
  <c r="AC1156" i="2" s="1"/>
  <c r="AC1155" i="2" s="1"/>
  <c r="X150" i="2"/>
  <c r="X151" i="2" s="1"/>
  <c r="V82" i="2"/>
  <c r="T241" i="2"/>
  <c r="U183" i="2"/>
  <c r="U170" i="2"/>
  <c r="Y170" i="2"/>
  <c r="AC170" i="2"/>
  <c r="U171" i="2"/>
  <c r="Y171" i="2"/>
  <c r="AC171" i="2"/>
  <c r="U184" i="2"/>
  <c r="Y184" i="2"/>
  <c r="AC184" i="2"/>
  <c r="AB632" i="2"/>
  <c r="T632" i="2"/>
  <c r="W755" i="2"/>
  <c r="W754" i="2" s="1"/>
  <c r="W1109" i="2"/>
  <c r="W1156" i="2" s="1"/>
  <c r="W1155" i="2" s="1"/>
  <c r="AA155" i="2"/>
  <c r="U82" i="2"/>
  <c r="Y82" i="2"/>
  <c r="U453" i="2"/>
  <c r="AB155" i="2"/>
  <c r="S183" i="2"/>
  <c r="W170" i="2"/>
  <c r="AA170" i="2"/>
  <c r="W171" i="2"/>
  <c r="AA171" i="2"/>
  <c r="S184" i="2"/>
  <c r="W184" i="2"/>
  <c r="AA263" i="2"/>
  <c r="AA249" i="2" s="1"/>
  <c r="S263" i="2"/>
  <c r="S249" i="2" s="1"/>
  <c r="W263" i="2"/>
  <c r="W249" i="2" s="1"/>
  <c r="S264" i="2"/>
  <c r="W264" i="2"/>
  <c r="W250" i="2" s="1"/>
  <c r="AA264" i="2"/>
  <c r="AA250" i="2" s="1"/>
  <c r="S265" i="2"/>
  <c r="S251" i="2" s="1"/>
  <c r="W265" i="2"/>
  <c r="W251" i="2" s="1"/>
  <c r="AA265" i="2"/>
  <c r="AA251" i="2" s="1"/>
  <c r="S266" i="2"/>
  <c r="S252" i="2" s="1"/>
  <c r="Y755" i="2"/>
  <c r="Y754" i="2" s="1"/>
  <c r="S840" i="2"/>
  <c r="S835" i="2" s="1"/>
  <c r="S58" i="2" s="1"/>
  <c r="S57" i="2" s="1"/>
  <c r="AB840" i="2"/>
  <c r="AB835" i="2" s="1"/>
  <c r="AB58" i="2" s="1"/>
  <c r="AB57" i="2" s="1"/>
  <c r="U836" i="2"/>
  <c r="Y836" i="2"/>
  <c r="AC836" i="2"/>
  <c r="U837" i="2"/>
  <c r="Y837" i="2"/>
  <c r="AC837" i="2"/>
  <c r="U838" i="2"/>
  <c r="U1237" i="2" s="1"/>
  <c r="U1238" i="2" s="1"/>
  <c r="Y838" i="2"/>
  <c r="Y1237" i="2" s="1"/>
  <c r="Y1238" i="2" s="1"/>
  <c r="AC838" i="2"/>
  <c r="AC1237" i="2" s="1"/>
  <c r="AC1238" i="2" s="1"/>
  <c r="T837" i="2"/>
  <c r="X1190" i="2"/>
  <c r="AB1190" i="2"/>
  <c r="Z880" i="2"/>
  <c r="AB263" i="2"/>
  <c r="AB249" i="2" s="1"/>
  <c r="T263" i="2"/>
  <c r="T249" i="2" s="1"/>
  <c r="X263" i="2"/>
  <c r="X249" i="2" s="1"/>
  <c r="T264" i="2"/>
  <c r="T250" i="2" s="1"/>
  <c r="X264" i="2"/>
  <c r="X250" i="2" s="1"/>
  <c r="AB264" i="2"/>
  <c r="AB250" i="2" s="1"/>
  <c r="T265" i="2"/>
  <c r="T251" i="2" s="1"/>
  <c r="X265" i="2"/>
  <c r="X251" i="2" s="1"/>
  <c r="AB265" i="2"/>
  <c r="AB251" i="2" s="1"/>
  <c r="X266" i="2"/>
  <c r="X252" i="2" s="1"/>
  <c r="AB266" i="2"/>
  <c r="T267" i="2"/>
  <c r="T253" i="2" s="1"/>
  <c r="X267" i="2"/>
  <c r="X253" i="2" s="1"/>
  <c r="AB267" i="2"/>
  <c r="AB253" i="2" s="1"/>
  <c r="T840" i="2"/>
  <c r="T839" i="2" s="1"/>
  <c r="T1511" i="2" s="1"/>
  <c r="T1510" i="2" s="1"/>
  <c r="Y1190" i="2"/>
  <c r="X103" i="2"/>
  <c r="U266" i="2"/>
  <c r="U252" i="2" s="1"/>
  <c r="Y266" i="2"/>
  <c r="Y252" i="2" s="1"/>
  <c r="AC266" i="2"/>
  <c r="AC252" i="2" s="1"/>
  <c r="Y267" i="2"/>
  <c r="Y253" i="2" s="1"/>
  <c r="AC267" i="2"/>
  <c r="AC253" i="2" s="1"/>
  <c r="T716" i="2"/>
  <c r="T708" i="2" s="1"/>
  <c r="V896" i="2"/>
  <c r="V1400" i="2" s="1"/>
  <c r="V1396" i="2" s="1"/>
  <c r="U632" i="2"/>
  <c r="AC755" i="2"/>
  <c r="AC754" i="2" s="1"/>
  <c r="V1161" i="2"/>
  <c r="S157" i="2"/>
  <c r="S1525" i="2" s="1"/>
  <c r="S672" i="2"/>
  <c r="S1574" i="2" s="1"/>
  <c r="S128" i="2"/>
  <c r="W156" i="2"/>
  <c r="W157" i="2"/>
  <c r="W1525" i="2" s="1"/>
  <c r="AA262" i="2"/>
  <c r="AA248" i="2" s="1"/>
  <c r="T266" i="2"/>
  <c r="T252" i="2" s="1"/>
  <c r="X112" i="2"/>
  <c r="X111" i="2" s="1"/>
  <c r="T156" i="2"/>
  <c r="T157" i="2"/>
  <c r="T1525" i="2" s="1"/>
  <c r="X157" i="2"/>
  <c r="X1525" i="2" s="1"/>
  <c r="AB157" i="2"/>
  <c r="AB1525" i="2" s="1"/>
  <c r="AB672" i="2"/>
  <c r="AB664" i="2" s="1"/>
  <c r="X672" i="2"/>
  <c r="X664" i="2" s="1"/>
  <c r="AB262" i="2"/>
  <c r="AB248" i="2" s="1"/>
  <c r="X118" i="2"/>
  <c r="AA157" i="2"/>
  <c r="AA1525" i="2" s="1"/>
  <c r="AA672" i="2"/>
  <c r="AA664" i="2" s="1"/>
  <c r="AA663" i="2" s="1"/>
  <c r="AA82" i="2"/>
  <c r="T103" i="2"/>
  <c r="AB103" i="2"/>
  <c r="AA118" i="2"/>
  <c r="U155" i="2"/>
  <c r="Y155" i="2"/>
  <c r="AC155" i="2"/>
  <c r="AC156" i="2"/>
  <c r="U156" i="2"/>
  <c r="U157" i="2"/>
  <c r="Y157" i="2"/>
  <c r="AC157" i="2"/>
  <c r="Z584" i="2"/>
  <c r="Z583" i="2" s="1"/>
  <c r="AC672" i="2"/>
  <c r="AC664" i="2" s="1"/>
  <c r="U672" i="2"/>
  <c r="U664" i="2" s="1"/>
  <c r="U663" i="2" s="1"/>
  <c r="AC262" i="2"/>
  <c r="AC248" i="2" s="1"/>
  <c r="Y902" i="2"/>
  <c r="Y1401" i="2" s="1"/>
  <c r="Y1396" i="2" s="1"/>
  <c r="T1425" i="2"/>
  <c r="T1424" i="2" s="1"/>
  <c r="AA1424" i="2"/>
  <c r="X838" i="2"/>
  <c r="X1237" i="2" s="1"/>
  <c r="X1238" i="2" s="1"/>
  <c r="AC879" i="2"/>
  <c r="S632" i="2"/>
  <c r="V553" i="2"/>
  <c r="Z553" i="2"/>
  <c r="Y672" i="2"/>
  <c r="Y1574" i="2" s="1"/>
  <c r="U262" i="2"/>
  <c r="U248" i="2" s="1"/>
  <c r="S103" i="2"/>
  <c r="W103" i="2"/>
  <c r="AA103" i="2"/>
  <c r="T155" i="2"/>
  <c r="U103" i="2"/>
  <c r="Y103" i="2"/>
  <c r="AC103" i="2"/>
  <c r="Y510" i="2"/>
  <c r="U118" i="2"/>
  <c r="Y118" i="2"/>
  <c r="AC118" i="2"/>
  <c r="U119" i="2"/>
  <c r="Y119" i="2"/>
  <c r="AC119" i="2"/>
  <c r="Y1479" i="2"/>
  <c r="Y1488" i="2" s="1"/>
  <c r="Y453" i="2"/>
  <c r="AC1479" i="2"/>
  <c r="AC104" i="2"/>
  <c r="AB150" i="2"/>
  <c r="AB151" i="2" s="1"/>
  <c r="Z376" i="2"/>
  <c r="W553" i="2"/>
  <c r="AB156" i="2"/>
  <c r="AB553" i="2"/>
  <c r="W837" i="2"/>
  <c r="S836" i="2"/>
  <c r="S837" i="2"/>
  <c r="AA838" i="2"/>
  <c r="AA1237" i="2" s="1"/>
  <c r="AA1238" i="2" s="1"/>
  <c r="V127" i="2"/>
  <c r="Z127" i="2"/>
  <c r="S838" i="2"/>
  <c r="S1237" i="2" s="1"/>
  <c r="S1238" i="2" s="1"/>
  <c r="AA156" i="2"/>
  <c r="AA553" i="2"/>
  <c r="X1425" i="2"/>
  <c r="X1424" i="2" s="1"/>
  <c r="X1428" i="2"/>
  <c r="AB1512" i="2"/>
  <c r="AB22" i="2"/>
  <c r="AB19" i="2" s="1"/>
  <c r="T150" i="2"/>
  <c r="T151" i="2" s="1"/>
  <c r="X128" i="2"/>
  <c r="W838" i="2"/>
  <c r="W1237" i="2" s="1"/>
  <c r="W1238" i="2" s="1"/>
  <c r="AA839" i="2"/>
  <c r="AA1511" i="2" s="1"/>
  <c r="AA1510" i="2" s="1"/>
  <c r="AA836" i="2"/>
  <c r="Z839" i="2"/>
  <c r="Z1511" i="2" s="1"/>
  <c r="Z1510" i="2" s="1"/>
  <c r="AB837" i="2"/>
  <c r="Y1428" i="2"/>
  <c r="W155" i="2"/>
  <c r="W178" i="2" s="1"/>
  <c r="Y588" i="2"/>
  <c r="Y183" i="2" s="1"/>
  <c r="AC405" i="2"/>
  <c r="AC411" i="2" s="1"/>
  <c r="Y262" i="2"/>
  <c r="Y248" i="2" s="1"/>
  <c r="Z103" i="2"/>
  <c r="S118" i="2"/>
  <c r="W118" i="2"/>
  <c r="S119" i="2"/>
  <c r="W119" i="2"/>
  <c r="AA119" i="2"/>
  <c r="AB118" i="2"/>
  <c r="T553" i="2"/>
  <c r="X155" i="2"/>
  <c r="T755" i="2"/>
  <c r="T754" i="2" s="1"/>
  <c r="AC374" i="2"/>
  <c r="U378" i="2"/>
  <c r="AC378" i="2"/>
  <c r="Y375" i="2"/>
  <c r="AC375" i="2"/>
  <c r="U376" i="2"/>
  <c r="Y376" i="2"/>
  <c r="AC376" i="2"/>
  <c r="U379" i="2"/>
  <c r="Y379" i="2"/>
  <c r="AC379" i="2"/>
  <c r="U380" i="2"/>
  <c r="Y380" i="2"/>
  <c r="V385" i="2"/>
  <c r="V408" i="2" s="1"/>
  <c r="V840" i="2"/>
  <c r="V839" i="2" s="1"/>
  <c r="V1511" i="2" s="1"/>
  <c r="V1510" i="2" s="1"/>
  <c r="X836" i="2"/>
  <c r="AB836" i="2"/>
  <c r="T838" i="2"/>
  <c r="T1237" i="2" s="1"/>
  <c r="T1238" i="2" s="1"/>
  <c r="AC1396" i="2"/>
  <c r="Z1000" i="2"/>
  <c r="X156" i="2"/>
  <c r="X553" i="2"/>
  <c r="S1480" i="2"/>
  <c r="S1489" i="2" s="1"/>
  <c r="S1498" i="2" s="1"/>
  <c r="S1507" i="2" s="1"/>
  <c r="S469" i="2"/>
  <c r="Y553" i="2"/>
  <c r="Y156" i="2"/>
  <c r="AA104" i="2"/>
  <c r="X835" i="2"/>
  <c r="X58" i="2" s="1"/>
  <c r="X57" i="2" s="1"/>
  <c r="X839" i="2"/>
  <c r="X1511" i="2" s="1"/>
  <c r="X1510" i="2" s="1"/>
  <c r="U1425" i="2"/>
  <c r="Y1427" i="2"/>
  <c r="Y1424" i="2" s="1"/>
  <c r="Z469" i="2"/>
  <c r="AB119" i="2"/>
  <c r="X182" i="2"/>
  <c r="W839" i="2"/>
  <c r="W1511" i="2" s="1"/>
  <c r="W1510" i="2" s="1"/>
  <c r="W15" i="2"/>
  <c r="W1295" i="2" s="1"/>
  <c r="S104" i="2"/>
  <c r="T209" i="2"/>
  <c r="T208" i="2" s="1"/>
  <c r="U249" i="2"/>
  <c r="Z453" i="2"/>
  <c r="W835" i="2"/>
  <c r="W58" i="2" s="1"/>
  <c r="W57" i="2" s="1"/>
  <c r="W836" i="2"/>
  <c r="AA837" i="2"/>
  <c r="Z844" i="2"/>
  <c r="U755" i="2"/>
  <c r="U754" i="2" s="1"/>
  <c r="AB209" i="2"/>
  <c r="AB208" i="2" s="1"/>
  <c r="V469" i="2"/>
  <c r="AB129" i="2"/>
  <c r="AB182" i="2"/>
  <c r="T453" i="2"/>
  <c r="AB453" i="2"/>
  <c r="AA835" i="2"/>
  <c r="V836" i="2"/>
  <c r="Z836" i="2"/>
  <c r="V837" i="2"/>
  <c r="Z837" i="2"/>
  <c r="V838" i="2"/>
  <c r="V1237" i="2" s="1"/>
  <c r="V1238" i="2" s="1"/>
  <c r="Z838" i="2"/>
  <c r="Z1237" i="2" s="1"/>
  <c r="Z1238" i="2" s="1"/>
  <c r="T836" i="2"/>
  <c r="X837" i="2"/>
  <c r="AB838" i="2"/>
  <c r="AB1237" i="2" s="1"/>
  <c r="AB1238" i="2" s="1"/>
  <c r="W1480" i="2"/>
  <c r="W1489" i="2" s="1"/>
  <c r="W1498" i="2" s="1"/>
  <c r="W1507" i="2" s="1"/>
  <c r="W469" i="2"/>
  <c r="W104" i="2"/>
  <c r="Y1480" i="2"/>
  <c r="Y1489" i="2" s="1"/>
  <c r="Y1498" i="2" s="1"/>
  <c r="Y1507" i="2" s="1"/>
  <c r="Y469" i="2"/>
  <c r="Y104" i="2"/>
  <c r="S453" i="2"/>
  <c r="V453" i="2"/>
  <c r="U844" i="2"/>
  <c r="U840" i="2"/>
  <c r="Y844" i="2"/>
  <c r="Y840" i="2"/>
  <c r="AC839" i="2"/>
  <c r="AC1511" i="2" s="1"/>
  <c r="AC1510" i="2" s="1"/>
  <c r="AC835" i="2"/>
  <c r="AB1030" i="2"/>
  <c r="T1030" i="2"/>
  <c r="X1030" i="2"/>
  <c r="V854" i="2"/>
  <c r="V1555" i="2" s="1"/>
  <c r="V1554" i="2" s="1"/>
  <c r="Z835" i="2"/>
  <c r="Z854" i="2"/>
  <c r="Z1555" i="2" s="1"/>
  <c r="Z1554" i="2" s="1"/>
  <c r="T112" i="2"/>
  <c r="T111" i="2" s="1"/>
  <c r="AA1479" i="2"/>
  <c r="AA453" i="2"/>
  <c r="AA469" i="2"/>
  <c r="Y129" i="2"/>
  <c r="S155" i="2"/>
  <c r="S553" i="2"/>
  <c r="Z385" i="2"/>
  <c r="Z408" i="2" s="1"/>
  <c r="U104" i="2"/>
  <c r="W453" i="2"/>
  <c r="AC453" i="2"/>
  <c r="AC469" i="2"/>
  <c r="U469" i="2"/>
  <c r="AA1397" i="2"/>
  <c r="S1397" i="2"/>
  <c r="S1396" i="2" s="1"/>
  <c r="X1399" i="2"/>
  <c r="X1396" i="2" s="1"/>
  <c r="X879" i="2"/>
  <c r="AC440" i="2"/>
  <c r="W128" i="2"/>
  <c r="AA128" i="2"/>
  <c r="S112" i="2"/>
  <c r="S111" i="2" s="1"/>
  <c r="AC150" i="2"/>
  <c r="AC151" i="2" s="1"/>
  <c r="AC182" i="2"/>
  <c r="AC178" i="2" s="1"/>
  <c r="AB1480" i="2"/>
  <c r="AB1489" i="2" s="1"/>
  <c r="AB1498" i="2" s="1"/>
  <c r="AB1507" i="2" s="1"/>
  <c r="AB469" i="2"/>
  <c r="AB104" i="2"/>
  <c r="T1480" i="2"/>
  <c r="T1489" i="2" s="1"/>
  <c r="T1498" i="2" s="1"/>
  <c r="T1507" i="2" s="1"/>
  <c r="X1480" i="2"/>
  <c r="X469" i="2"/>
  <c r="X1479" i="2"/>
  <c r="X104" i="2"/>
  <c r="X453" i="2"/>
  <c r="T1397" i="2"/>
  <c r="U553" i="2"/>
  <c r="X379" i="2"/>
  <c r="AC15" i="2"/>
  <c r="AC1295" i="2" s="1"/>
  <c r="U250" i="2"/>
  <c r="Z290" i="2"/>
  <c r="Y440" i="2"/>
  <c r="AA486" i="2"/>
  <c r="S486" i="2"/>
  <c r="T104" i="2"/>
  <c r="V15" i="2"/>
  <c r="V1295" i="2" s="1"/>
  <c r="Z15" i="2"/>
  <c r="Z1295" i="2" s="1"/>
  <c r="V240" i="2"/>
  <c r="Z240" i="2"/>
  <c r="V241" i="2"/>
  <c r="Z241" i="2"/>
  <c r="V242" i="2"/>
  <c r="Z242" i="2"/>
  <c r="V243" i="2"/>
  <c r="Z243" i="2"/>
  <c r="V244" i="2"/>
  <c r="Z244" i="2"/>
  <c r="V245" i="2"/>
  <c r="Z245" i="2"/>
  <c r="V246" i="2"/>
  <c r="Z246" i="2"/>
  <c r="T242" i="2"/>
  <c r="X242" i="2"/>
  <c r="X243" i="2"/>
  <c r="AB243" i="2"/>
  <c r="AB244" i="2"/>
  <c r="T245" i="2"/>
  <c r="T246" i="2"/>
  <c r="X246" i="2"/>
  <c r="X316" i="2"/>
  <c r="U310" i="2"/>
  <c r="U335" i="2" s="1"/>
  <c r="U339" i="2" s="1"/>
  <c r="Y174" i="2"/>
  <c r="Y1534" i="2" s="1"/>
  <c r="T22" i="2"/>
  <c r="T19" i="2" s="1"/>
  <c r="T95" i="2"/>
  <c r="T430" i="2" s="1"/>
  <c r="X95" i="2"/>
  <c r="X430" i="2" s="1"/>
  <c r="AB95" i="2"/>
  <c r="AB430" i="2" s="1"/>
  <c r="V290" i="2"/>
  <c r="AA376" i="2"/>
  <c r="AB1301" i="2"/>
  <c r="Y22" i="2"/>
  <c r="Y19" i="2" s="1"/>
  <c r="AB316" i="2"/>
  <c r="X385" i="2"/>
  <c r="X371" i="2" s="1"/>
  <c r="W379" i="2"/>
  <c r="S380" i="2"/>
  <c r="U15" i="2"/>
  <c r="U1295" i="2" s="1"/>
  <c r="Y15" i="2"/>
  <c r="Y1295" i="2" s="1"/>
  <c r="T118" i="2"/>
  <c r="T119" i="2"/>
  <c r="X119" i="2"/>
  <c r="V182" i="2"/>
  <c r="Z182" i="2"/>
  <c r="U22" i="2"/>
  <c r="U19" i="2" s="1"/>
  <c r="AC22" i="2"/>
  <c r="AC19" i="2" s="1"/>
  <c r="U95" i="2"/>
  <c r="U430" i="2" s="1"/>
  <c r="U428" i="2" s="1"/>
  <c r="Y95" i="2"/>
  <c r="Y430" i="2" s="1"/>
  <c r="AC95" i="2"/>
  <c r="AC430" i="2" s="1"/>
  <c r="V95" i="2"/>
  <c r="V430" i="2" s="1"/>
  <c r="V428" i="2" s="1"/>
  <c r="Z95" i="2"/>
  <c r="Z430" i="2" s="1"/>
  <c r="S95" i="2"/>
  <c r="S430" i="2" s="1"/>
  <c r="S428" i="2" s="1"/>
  <c r="W95" i="2"/>
  <c r="W430" i="2" s="1"/>
  <c r="AA95" i="2"/>
  <c r="AA430" i="2" s="1"/>
  <c r="S127" i="2"/>
  <c r="W127" i="2"/>
  <c r="T290" i="2"/>
  <c r="Y290" i="2"/>
  <c r="AC310" i="2"/>
  <c r="AC335" i="2" s="1"/>
  <c r="AC336" i="2" s="1"/>
  <c r="Y374" i="2"/>
  <c r="W112" i="2"/>
  <c r="W111" i="2" s="1"/>
  <c r="AA112" i="2"/>
  <c r="AA111" i="2" s="1"/>
  <c r="V128" i="2"/>
  <c r="Z128" i="2"/>
  <c r="X22" i="2"/>
  <c r="X19" i="2" s="1"/>
  <c r="AA15" i="2"/>
  <c r="AA1295" i="2" s="1"/>
  <c r="T127" i="2"/>
  <c r="X127" i="2"/>
  <c r="U240" i="2"/>
  <c r="Y240" i="2"/>
  <c r="U241" i="2"/>
  <c r="Y241" i="2"/>
  <c r="AC241" i="2"/>
  <c r="U242" i="2"/>
  <c r="Y242" i="2"/>
  <c r="AC242" i="2"/>
  <c r="U243" i="2"/>
  <c r="Y243" i="2"/>
  <c r="AC243" i="2"/>
  <c r="U244" i="2"/>
  <c r="Y244" i="2"/>
  <c r="AC244" i="2"/>
  <c r="U245" i="2"/>
  <c r="Y245" i="2"/>
  <c r="AC245" i="2"/>
  <c r="U246" i="2"/>
  <c r="Y246" i="2"/>
  <c r="AC246" i="2"/>
  <c r="AC250" i="2"/>
  <c r="Y251" i="2"/>
  <c r="W252" i="2"/>
  <c r="S284" i="2"/>
  <c r="U290" i="2"/>
  <c r="U358" i="2"/>
  <c r="U377" i="2" s="1"/>
  <c r="AC128" i="2"/>
  <c r="Y112" i="2"/>
  <c r="Y111" i="2" s="1"/>
  <c r="W510" i="2"/>
  <c r="AA150" i="2"/>
  <c r="AA151" i="2" s="1"/>
  <c r="V584" i="2"/>
  <c r="V583" i="2" s="1"/>
  <c r="U584" i="2"/>
  <c r="U583" i="2" s="1"/>
  <c r="U182" i="2"/>
  <c r="Y182" i="2"/>
  <c r="AA252" i="2"/>
  <c r="AA253" i="2"/>
  <c r="W486" i="2"/>
  <c r="W129" i="2"/>
  <c r="V1301" i="2"/>
  <c r="S129" i="2"/>
  <c r="X180" i="2"/>
  <c r="Y249" i="2"/>
  <c r="AA310" i="2"/>
  <c r="AA335" i="2" s="1"/>
  <c r="AB310" i="2"/>
  <c r="AB335" i="2" s="1"/>
  <c r="AB339" i="2" s="1"/>
  <c r="AB379" i="2"/>
  <c r="AB381" i="2"/>
  <c r="T128" i="2"/>
  <c r="AB112" i="2"/>
  <c r="AB111" i="2" s="1"/>
  <c r="X290" i="2"/>
  <c r="AB290" i="2"/>
  <c r="Y378" i="2"/>
  <c r="Y358" i="2"/>
  <c r="Y377" i="2" s="1"/>
  <c r="W374" i="2"/>
  <c r="W381" i="2"/>
  <c r="W371" i="2" s="1"/>
  <c r="W405" i="2" s="1"/>
  <c r="AC510" i="2"/>
  <c r="T672" i="2"/>
  <c r="T664" i="2" s="1"/>
  <c r="T262" i="2"/>
  <c r="T248" i="2" s="1"/>
  <c r="W358" i="2"/>
  <c r="W377" i="2" s="1"/>
  <c r="AA358" i="2"/>
  <c r="S385" i="2"/>
  <c r="S376" i="2"/>
  <c r="AA379" i="2"/>
  <c r="AA380" i="2"/>
  <c r="Z22" i="2"/>
  <c r="Z19" i="2" s="1"/>
  <c r="X262" i="2"/>
  <c r="U316" i="2"/>
  <c r="AB375" i="2"/>
  <c r="AC358" i="2"/>
  <c r="AC377" i="2" s="1"/>
  <c r="U486" i="2"/>
  <c r="U128" i="2"/>
  <c r="Y486" i="2"/>
  <c r="Y128" i="2"/>
  <c r="U112" i="2"/>
  <c r="U111" i="2" s="1"/>
  <c r="AC112" i="2"/>
  <c r="AC111" i="2" s="1"/>
  <c r="AA129" i="2"/>
  <c r="S584" i="2"/>
  <c r="S583" i="2" s="1"/>
  <c r="S182" i="2"/>
  <c r="AA182" i="2"/>
  <c r="AA584" i="2"/>
  <c r="AA583" i="2" s="1"/>
  <c r="T374" i="2"/>
  <c r="T354" i="2"/>
  <c r="AB376" i="2"/>
  <c r="X380" i="2"/>
  <c r="T381" i="2"/>
  <c r="T385" i="2"/>
  <c r="T408" i="2" s="1"/>
  <c r="AD21" i="2"/>
  <c r="V22" i="2"/>
  <c r="V19" i="2" s="1"/>
  <c r="Y150" i="2"/>
  <c r="Y151" i="2" s="1"/>
  <c r="T310" i="2"/>
  <c r="T335" i="2" s="1"/>
  <c r="T339" i="2" s="1"/>
  <c r="AB385" i="2"/>
  <c r="AB408" i="2" s="1"/>
  <c r="T182" i="2"/>
  <c r="X584" i="2"/>
  <c r="X583" i="2" s="1"/>
  <c r="AC584" i="2"/>
  <c r="AC583" i="2" s="1"/>
  <c r="AC183" i="2"/>
  <c r="AA127" i="2"/>
  <c r="U150" i="2"/>
  <c r="U151" i="2" s="1"/>
  <c r="AB486" i="2"/>
  <c r="U408" i="2"/>
  <c r="Y408" i="2"/>
  <c r="AC408" i="2"/>
  <c r="U1554" i="2"/>
  <c r="Y1554" i="2"/>
  <c r="AC1554" i="2"/>
  <c r="U1591" i="2"/>
  <c r="Y1591" i="2"/>
  <c r="AC1591" i="2"/>
  <c r="AB127" i="2"/>
  <c r="AA312" i="2"/>
  <c r="S316" i="2"/>
  <c r="Y310" i="2"/>
  <c r="Y335" i="2" s="1"/>
  <c r="Y339" i="2" s="1"/>
  <c r="S510" i="2"/>
  <c r="AA510" i="2"/>
  <c r="Z380" i="2"/>
  <c r="V1591" i="2"/>
  <c r="V310" i="2"/>
  <c r="V335" i="2" s="1"/>
  <c r="V339" i="2" s="1"/>
  <c r="Z310" i="2"/>
  <c r="Z335" i="2" s="1"/>
  <c r="Z339" i="2" s="1"/>
  <c r="Z340" i="2" s="1"/>
  <c r="S1301" i="2"/>
  <c r="W1301" i="2"/>
  <c r="AA1301" i="2"/>
  <c r="AC249" i="2"/>
  <c r="AA385" i="2"/>
  <c r="AA408" i="2" s="1"/>
  <c r="AA378" i="2"/>
  <c r="V379" i="2"/>
  <c r="Z379" i="2"/>
  <c r="V380" i="2"/>
  <c r="Z284" i="2"/>
  <c r="S312" i="2"/>
  <c r="S310" i="2"/>
  <c r="S335" i="2" s="1"/>
  <c r="S336" i="2" s="1"/>
  <c r="W312" i="2"/>
  <c r="W310" i="2"/>
  <c r="W335" i="2" s="1"/>
  <c r="W672" i="2"/>
  <c r="W664" i="2" s="1"/>
  <c r="W262" i="2"/>
  <c r="T15" i="2"/>
  <c r="T1295" i="2" s="1"/>
  <c r="X15" i="2"/>
  <c r="X1295" i="2" s="1"/>
  <c r="AB15" i="2"/>
  <c r="AB1295" i="2" s="1"/>
  <c r="T316" i="2"/>
  <c r="X310" i="2"/>
  <c r="X335" i="2" s="1"/>
  <c r="X339" i="2" s="1"/>
  <c r="W316" i="2"/>
  <c r="AC354" i="2"/>
  <c r="AB374" i="2"/>
  <c r="AB354" i="2"/>
  <c r="U375" i="2"/>
  <c r="U354" i="2"/>
  <c r="AB378" i="2"/>
  <c r="AB358" i="2"/>
  <c r="S22" i="2"/>
  <c r="S19" i="2" s="1"/>
  <c r="W22" i="2"/>
  <c r="W19" i="2" s="1"/>
  <c r="AA22" i="2"/>
  <c r="AA19" i="2" s="1"/>
  <c r="Z347" i="2"/>
  <c r="Z442" i="2"/>
  <c r="X374" i="2"/>
  <c r="X354" i="2"/>
  <c r="T358" i="2"/>
  <c r="AA374" i="2"/>
  <c r="AA381" i="2"/>
  <c r="AA375" i="2"/>
  <c r="X510" i="2"/>
  <c r="AB510" i="2"/>
  <c r="AB128" i="2"/>
  <c r="U510" i="2"/>
  <c r="U129" i="2"/>
  <c r="U127" i="2"/>
  <c r="Y127" i="2"/>
  <c r="AC127" i="2"/>
  <c r="W150" i="2"/>
  <c r="W151" i="2" s="1"/>
  <c r="S250" i="2"/>
  <c r="T436" i="2"/>
  <c r="AB436" i="2"/>
  <c r="Y316" i="2"/>
  <c r="AC316" i="2"/>
  <c r="AA316" i="2"/>
  <c r="T440" i="2"/>
  <c r="X440" i="2"/>
  <c r="AB440" i="2"/>
  <c r="S374" i="2"/>
  <c r="W375" i="2"/>
  <c r="W408" i="2"/>
  <c r="W378" i="2"/>
  <c r="V150" i="2"/>
  <c r="V151" i="2" s="1"/>
  <c r="Z150" i="2"/>
  <c r="Z151" i="2" s="1"/>
  <c r="S664" i="2"/>
  <c r="S150" i="2"/>
  <c r="S151" i="2" s="1"/>
  <c r="X240" i="2"/>
  <c r="X241" i="2"/>
  <c r="AB241" i="2"/>
  <c r="AB242" i="2"/>
  <c r="T243" i="2"/>
  <c r="T244" i="2"/>
  <c r="X244" i="2"/>
  <c r="X245" i="2"/>
  <c r="AB245" i="2"/>
  <c r="AB246" i="2"/>
  <c r="AB252" i="2"/>
  <c r="S240" i="2"/>
  <c r="AA240" i="2"/>
  <c r="S241" i="2"/>
  <c r="W241" i="2"/>
  <c r="AA241" i="2"/>
  <c r="S242" i="2"/>
  <c r="W242" i="2"/>
  <c r="AA242" i="2"/>
  <c r="S243" i="2"/>
  <c r="W243" i="2"/>
  <c r="AA243" i="2"/>
  <c r="S244" i="2"/>
  <c r="W244" i="2"/>
  <c r="AA244" i="2"/>
  <c r="S245" i="2"/>
  <c r="W245" i="2"/>
  <c r="AA245" i="2"/>
  <c r="S246" i="2"/>
  <c r="W246" i="2"/>
  <c r="AA246" i="2"/>
  <c r="Y436" i="2"/>
  <c r="AC436" i="2"/>
  <c r="U440" i="2"/>
  <c r="Y354" i="2"/>
  <c r="X358" i="2"/>
  <c r="S378" i="2"/>
  <c r="Z510" i="2"/>
  <c r="W584" i="2"/>
  <c r="W583" i="2" s="1"/>
  <c r="V672" i="2"/>
  <c r="V664" i="2" s="1"/>
  <c r="AA418" i="2"/>
  <c r="AA446" i="2" s="1"/>
  <c r="V249" i="2"/>
  <c r="Z249" i="2"/>
  <c r="Z250" i="2"/>
  <c r="V251" i="2"/>
  <c r="Z251" i="2"/>
  <c r="V375" i="2"/>
  <c r="Z375" i="2"/>
  <c r="V376" i="2"/>
  <c r="V381" i="2"/>
  <c r="Z381" i="2"/>
  <c r="V316" i="2"/>
  <c r="Z316" i="2"/>
  <c r="U374" i="2"/>
  <c r="AA354" i="2"/>
  <c r="T375" i="2"/>
  <c r="S354" i="2"/>
  <c r="S353" i="2" s="1"/>
  <c r="X376" i="2"/>
  <c r="S375" i="2"/>
  <c r="W376" i="2"/>
  <c r="S379" i="2"/>
  <c r="W380" i="2"/>
  <c r="T1554" i="2"/>
  <c r="X1554" i="2"/>
  <c r="X1591" i="2"/>
  <c r="AB1591" i="2"/>
  <c r="V252" i="2"/>
  <c r="V253" i="2"/>
  <c r="U418" i="2"/>
  <c r="Y418" i="2"/>
  <c r="Y446" i="2" s="1"/>
  <c r="AC418" i="2"/>
  <c r="AC446" i="2" s="1"/>
  <c r="V112" i="2"/>
  <c r="V111" i="2" s="1"/>
  <c r="Z112" i="2"/>
  <c r="Z111" i="2" s="1"/>
  <c r="V118" i="2"/>
  <c r="Z118" i="2"/>
  <c r="V119" i="2"/>
  <c r="Z119" i="2"/>
  <c r="V1490" i="2"/>
  <c r="V1481" i="2"/>
  <c r="Z1490" i="2"/>
  <c r="Z1481" i="2"/>
  <c r="Z129" i="2"/>
  <c r="Z486" i="2"/>
  <c r="AA442" i="2"/>
  <c r="AA347" i="2"/>
  <c r="V1486" i="2"/>
  <c r="V1477" i="2"/>
  <c r="V1529" i="2"/>
  <c r="V1520" i="2"/>
  <c r="V1532" i="2"/>
  <c r="V1523" i="2"/>
  <c r="V156" i="2"/>
  <c r="Z1530" i="2"/>
  <c r="Z1521" i="2"/>
  <c r="V1567" i="2"/>
  <c r="Z1572" i="2"/>
  <c r="Z1565" i="2"/>
  <c r="Z672" i="2"/>
  <c r="Z664" i="2" s="1"/>
  <c r="V374" i="2"/>
  <c r="V354" i="2"/>
  <c r="V378" i="2"/>
  <c r="V358" i="2"/>
  <c r="Y1467" i="2"/>
  <c r="Y1303" i="2"/>
  <c r="U62" i="2"/>
  <c r="U67" i="2" s="1"/>
  <c r="Y62" i="2"/>
  <c r="Y67" i="2" s="1"/>
  <c r="AC68" i="2"/>
  <c r="AC73" i="2" s="1"/>
  <c r="U426" i="2"/>
  <c r="AC426" i="2"/>
  <c r="U1491" i="2"/>
  <c r="U1500" i="2" s="1"/>
  <c r="U1509" i="2" s="1"/>
  <c r="Y1491" i="2"/>
  <c r="Y1500" i="2" s="1"/>
  <c r="Y1509" i="2" s="1"/>
  <c r="Y1490" i="2"/>
  <c r="Y1481" i="2"/>
  <c r="X175" i="2"/>
  <c r="X1535" i="2" s="1"/>
  <c r="X1544" i="2" s="1"/>
  <c r="X1553" i="2" s="1"/>
  <c r="S442" i="2"/>
  <c r="S341" i="2" s="1"/>
  <c r="S347" i="2"/>
  <c r="W442" i="2"/>
  <c r="W347" i="2"/>
  <c r="V1485" i="2"/>
  <c r="V1476" i="2"/>
  <c r="Z1488" i="2"/>
  <c r="Z1497" i="2" s="1"/>
  <c r="Z1506" i="2" s="1"/>
  <c r="Z1478" i="2"/>
  <c r="Z1489" i="2"/>
  <c r="Z1498" i="2" s="1"/>
  <c r="Z1507" i="2" s="1"/>
  <c r="Z1532" i="2"/>
  <c r="Z1523" i="2"/>
  <c r="Z156" i="2"/>
  <c r="Z1533" i="2"/>
  <c r="Z1524" i="2"/>
  <c r="Z1571" i="2"/>
  <c r="Z1564" i="2"/>
  <c r="V1568" i="2"/>
  <c r="Z374" i="2"/>
  <c r="Z354" i="2"/>
  <c r="Z378" i="2"/>
  <c r="Z358" i="2"/>
  <c r="V1467" i="2"/>
  <c r="V1303" i="2"/>
  <c r="Z1467" i="2"/>
  <c r="Z1303" i="2"/>
  <c r="V62" i="2"/>
  <c r="V67" i="2" s="1"/>
  <c r="Z62" i="2"/>
  <c r="Z67" i="2" s="1"/>
  <c r="V68" i="2"/>
  <c r="V73" i="2" s="1"/>
  <c r="Z68" i="2"/>
  <c r="Z73" i="2" s="1"/>
  <c r="V426" i="2"/>
  <c r="V103" i="2"/>
  <c r="V104" i="2"/>
  <c r="Z104" i="2"/>
  <c r="V1491" i="2"/>
  <c r="V1500" i="2" s="1"/>
  <c r="V1509" i="2" s="1"/>
  <c r="Z1491" i="2"/>
  <c r="Z1500" i="2" s="1"/>
  <c r="Z1509" i="2" s="1"/>
  <c r="V155" i="2"/>
  <c r="S174" i="2"/>
  <c r="S1534" i="2" s="1"/>
  <c r="AC1525" i="2"/>
  <c r="U1526" i="2"/>
  <c r="U181" i="2"/>
  <c r="Y1526" i="2"/>
  <c r="Y181" i="2"/>
  <c r="AC1526" i="2"/>
  <c r="AC181" i="2"/>
  <c r="Y175" i="2"/>
  <c r="Y1535" i="2" s="1"/>
  <c r="Z426" i="2"/>
  <c r="AC1467" i="2"/>
  <c r="AC1303" i="2"/>
  <c r="AC62" i="2"/>
  <c r="AC67" i="2" s="1"/>
  <c r="U68" i="2"/>
  <c r="U73" i="2" s="1"/>
  <c r="Y68" i="2"/>
  <c r="Y73" i="2" s="1"/>
  <c r="Y426" i="2"/>
  <c r="AC1491" i="2"/>
  <c r="AC1500" i="2" s="1"/>
  <c r="AC1509" i="2" s="1"/>
  <c r="U1490" i="2"/>
  <c r="U1481" i="2"/>
  <c r="AC1490" i="2"/>
  <c r="AC1481" i="2"/>
  <c r="AB181" i="2"/>
  <c r="AB202" i="2"/>
  <c r="Z1485" i="2"/>
  <c r="Z1476" i="2"/>
  <c r="V1488" i="2"/>
  <c r="V1497" i="2" s="1"/>
  <c r="V1506" i="2" s="1"/>
  <c r="V1478" i="2"/>
  <c r="Z1486" i="2"/>
  <c r="Z1477" i="2"/>
  <c r="V1533" i="2"/>
  <c r="V1524" i="2"/>
  <c r="Z1568" i="2"/>
  <c r="V248" i="2"/>
  <c r="S1467" i="2"/>
  <c r="S1303" i="2"/>
  <c r="W1467" i="2"/>
  <c r="W1303" i="2"/>
  <c r="AA1467" i="2"/>
  <c r="AA1303" i="2"/>
  <c r="S62" i="2"/>
  <c r="S67" i="2" s="1"/>
  <c r="W62" i="2"/>
  <c r="W67" i="2" s="1"/>
  <c r="AA62" i="2"/>
  <c r="AA67" i="2" s="1"/>
  <c r="S68" i="2"/>
  <c r="S73" i="2" s="1"/>
  <c r="W68" i="2"/>
  <c r="W73" i="2" s="1"/>
  <c r="AA68" i="2"/>
  <c r="AA73" i="2" s="1"/>
  <c r="S426" i="2"/>
  <c r="W428" i="2"/>
  <c r="W426" i="2"/>
  <c r="AA426" i="2"/>
  <c r="W96" i="2"/>
  <c r="S1491" i="2"/>
  <c r="S1500" i="2" s="1"/>
  <c r="S1509" i="2" s="1"/>
  <c r="W1491" i="2"/>
  <c r="W1500" i="2" s="1"/>
  <c r="W1509" i="2" s="1"/>
  <c r="AA1491" i="2"/>
  <c r="AA1500" i="2" s="1"/>
  <c r="AA1509" i="2" s="1"/>
  <c r="S1490" i="2"/>
  <c r="S1481" i="2"/>
  <c r="W1490" i="2"/>
  <c r="W1481" i="2"/>
  <c r="AA1490" i="2"/>
  <c r="AA1481" i="2"/>
  <c r="Y1525" i="2"/>
  <c r="Y180" i="2"/>
  <c r="T175" i="2"/>
  <c r="T1535" i="2" s="1"/>
  <c r="T1544" i="2" s="1"/>
  <c r="T1553" i="2" s="1"/>
  <c r="AB175" i="2"/>
  <c r="AB1535" i="2" s="1"/>
  <c r="AB1544" i="2" s="1"/>
  <c r="AB1553" i="2" s="1"/>
  <c r="T181" i="2"/>
  <c r="T202" i="2"/>
  <c r="U1467" i="2"/>
  <c r="U1303" i="2"/>
  <c r="Z1529" i="2"/>
  <c r="Z1520" i="2"/>
  <c r="Z155" i="2"/>
  <c r="V1525" i="2"/>
  <c r="V1530" i="2"/>
  <c r="V1521" i="2"/>
  <c r="V176" i="2"/>
  <c r="V1571" i="2"/>
  <c r="V1564" i="2"/>
  <c r="Z1567" i="2"/>
  <c r="V1572" i="2"/>
  <c r="V1565" i="2"/>
  <c r="Z248" i="2"/>
  <c r="T1467" i="2"/>
  <c r="T1303" i="2"/>
  <c r="X1467" i="2"/>
  <c r="X1303" i="2"/>
  <c r="AB1467" i="2"/>
  <c r="AB1303" i="2"/>
  <c r="T62" i="2"/>
  <c r="T67" i="2" s="1"/>
  <c r="X62" i="2"/>
  <c r="X67" i="2" s="1"/>
  <c r="AB62" i="2"/>
  <c r="AB67" i="2" s="1"/>
  <c r="T68" i="2"/>
  <c r="T73" i="2" s="1"/>
  <c r="X68" i="2"/>
  <c r="X73" i="2" s="1"/>
  <c r="AB68" i="2"/>
  <c r="AB73" i="2" s="1"/>
  <c r="T426" i="2"/>
  <c r="X426" i="2"/>
  <c r="AB428" i="2"/>
  <c r="AB426" i="2"/>
  <c r="T1491" i="2"/>
  <c r="T1500" i="2" s="1"/>
  <c r="T1509" i="2" s="1"/>
  <c r="X1491" i="2"/>
  <c r="X1500" i="2" s="1"/>
  <c r="X1509" i="2" s="1"/>
  <c r="AB1491" i="2"/>
  <c r="AB1500" i="2" s="1"/>
  <c r="AB1509" i="2" s="1"/>
  <c r="T1490" i="2"/>
  <c r="T1481" i="2"/>
  <c r="X1490" i="2"/>
  <c r="X1481" i="2"/>
  <c r="AB1490" i="2"/>
  <c r="AB1481" i="2"/>
  <c r="U175" i="2"/>
  <c r="U1535" i="2" s="1"/>
  <c r="AC175" i="2"/>
  <c r="AC1535" i="2" s="1"/>
  <c r="X181" i="2"/>
  <c r="X202" i="2"/>
  <c r="W438" i="2"/>
  <c r="W284" i="2"/>
  <c r="AA438" i="2"/>
  <c r="AA284" i="2"/>
  <c r="S371" i="2"/>
  <c r="S377" i="2"/>
  <c r="S408" i="2"/>
  <c r="S421" i="2"/>
  <c r="S418" i="2" s="1"/>
  <c r="S403" i="2"/>
  <c r="S401" i="2" s="1"/>
  <c r="S407" i="2" s="1"/>
  <c r="W421" i="2"/>
  <c r="W418" i="2" s="1"/>
  <c r="W403" i="2"/>
  <c r="W401" i="2" s="1"/>
  <c r="AA403" i="2"/>
  <c r="AA401" i="2" s="1"/>
  <c r="V436" i="2"/>
  <c r="U202" i="2"/>
  <c r="Y202" i="2"/>
  <c r="AC202" i="2"/>
  <c r="S436" i="2"/>
  <c r="V175" i="2"/>
  <c r="V1535" i="2" s="1"/>
  <c r="V1544" i="2" s="1"/>
  <c r="V1553" i="2" s="1"/>
  <c r="Z175" i="2"/>
  <c r="Z1535" i="2" s="1"/>
  <c r="Z1544" i="2" s="1"/>
  <c r="Z1553" i="2" s="1"/>
  <c r="V181" i="2"/>
  <c r="Z181" i="2"/>
  <c r="Z432" i="2"/>
  <c r="V202" i="2"/>
  <c r="Z202" i="2"/>
  <c r="S175" i="2"/>
  <c r="S1535" i="2" s="1"/>
  <c r="S1544" i="2" s="1"/>
  <c r="S1553" i="2" s="1"/>
  <c r="W175" i="2"/>
  <c r="W1535" i="2" s="1"/>
  <c r="W1544" i="2" s="1"/>
  <c r="W1553" i="2" s="1"/>
  <c r="AA175" i="2"/>
  <c r="AA1535" i="2" s="1"/>
  <c r="AA1544" i="2" s="1"/>
  <c r="AA1553" i="2" s="1"/>
  <c r="S181" i="2"/>
  <c r="W181" i="2"/>
  <c r="AA181" i="2"/>
  <c r="S202" i="2"/>
  <c r="W202" i="2"/>
  <c r="AA202" i="2"/>
  <c r="V440" i="2"/>
  <c r="T284" i="2"/>
  <c r="AB284" i="2"/>
  <c r="T347" i="2"/>
  <c r="X347" i="2"/>
  <c r="AB347" i="2"/>
  <c r="T446" i="2"/>
  <c r="X446" i="2"/>
  <c r="AB446" i="2"/>
  <c r="AB419" i="2"/>
  <c r="T403" i="2"/>
  <c r="T401" i="2" s="1"/>
  <c r="X403" i="2"/>
  <c r="X401" i="2" s="1"/>
  <c r="X407" i="2" s="1"/>
  <c r="AB403" i="2"/>
  <c r="AB401" i="2" s="1"/>
  <c r="V421" i="2"/>
  <c r="V418" i="2" s="1"/>
  <c r="Y284" i="2"/>
  <c r="AC284" i="2"/>
  <c r="U347" i="2"/>
  <c r="Y347" i="2"/>
  <c r="AC347" i="2"/>
  <c r="AC419" i="2"/>
  <c r="U403" i="2"/>
  <c r="U401" i="2" s="1"/>
  <c r="U407" i="2" s="1"/>
  <c r="Y403" i="2"/>
  <c r="Y401" i="2" s="1"/>
  <c r="Y407" i="2" s="1"/>
  <c r="AC403" i="2"/>
  <c r="AC401" i="2" s="1"/>
  <c r="AC407" i="2" s="1"/>
  <c r="Z421" i="2"/>
  <c r="Z418" i="2" s="1"/>
  <c r="V284" i="2"/>
  <c r="V347" i="2"/>
  <c r="V1332" i="2"/>
  <c r="V1333" i="2" s="1"/>
  <c r="V1329" i="2"/>
  <c r="Z1332" i="2"/>
  <c r="Z1333" i="2" s="1"/>
  <c r="Z1329" i="2"/>
  <c r="V1390" i="2"/>
  <c r="V1387" i="2"/>
  <c r="Z1390" i="2"/>
  <c r="Z1391" i="2" s="1"/>
  <c r="Z1387" i="2"/>
  <c r="S1485" i="2"/>
  <c r="S1476" i="2"/>
  <c r="W1485" i="2"/>
  <c r="W1476" i="2"/>
  <c r="AA1485" i="2"/>
  <c r="AA1476" i="2"/>
  <c r="W1488" i="2"/>
  <c r="S1486" i="2"/>
  <c r="S1477" i="2"/>
  <c r="W1486" i="2"/>
  <c r="W1477" i="2"/>
  <c r="AA1486" i="2"/>
  <c r="AA1477" i="2"/>
  <c r="AA1489" i="2"/>
  <c r="AA1498" i="2" s="1"/>
  <c r="AA1507" i="2" s="1"/>
  <c r="S1529" i="2"/>
  <c r="S1520" i="2"/>
  <c r="W1529" i="2"/>
  <c r="W1520" i="2"/>
  <c r="AA1529" i="2"/>
  <c r="AA1520" i="2"/>
  <c r="S1532" i="2"/>
  <c r="S1523" i="2"/>
  <c r="W1523" i="2"/>
  <c r="AA1532" i="2"/>
  <c r="AA1523" i="2"/>
  <c r="S1530" i="2"/>
  <c r="S1521" i="2"/>
  <c r="W1530" i="2"/>
  <c r="W1521" i="2"/>
  <c r="AA1530" i="2"/>
  <c r="AA1521" i="2"/>
  <c r="S1533" i="2"/>
  <c r="S1524" i="2"/>
  <c r="W1533" i="2"/>
  <c r="W1524" i="2"/>
  <c r="AA1533" i="2"/>
  <c r="AA1524" i="2"/>
  <c r="S1571" i="2"/>
  <c r="S1564" i="2"/>
  <c r="W1571" i="2"/>
  <c r="W1564" i="2"/>
  <c r="AA1571" i="2"/>
  <c r="AA1564" i="2"/>
  <c r="S1567" i="2"/>
  <c r="W1567" i="2"/>
  <c r="AA1567" i="2"/>
  <c r="S1572" i="2"/>
  <c r="S1565" i="2"/>
  <c r="W1572" i="2"/>
  <c r="W1565" i="2"/>
  <c r="AA1572" i="2"/>
  <c r="AA1565" i="2"/>
  <c r="S1568" i="2"/>
  <c r="W1568" i="2"/>
  <c r="AA1575" i="2"/>
  <c r="AA1568" i="2"/>
  <c r="S1332" i="2"/>
  <c r="S1333" i="2" s="1"/>
  <c r="S1329" i="2"/>
  <c r="W1332" i="2"/>
  <c r="W1333" i="2" s="1"/>
  <c r="W1329" i="2"/>
  <c r="AA1332" i="2"/>
  <c r="AA1333" i="2" s="1"/>
  <c r="AA1329" i="2"/>
  <c r="S1390" i="2"/>
  <c r="S1391" i="2" s="1"/>
  <c r="S1387" i="2"/>
  <c r="W1390" i="2"/>
  <c r="W1391" i="2" s="1"/>
  <c r="W1387" i="2"/>
  <c r="AA1390" i="2"/>
  <c r="AA1391" i="2" s="1"/>
  <c r="AA1387" i="2"/>
  <c r="T1485" i="2"/>
  <c r="T1476" i="2"/>
  <c r="X1485" i="2"/>
  <c r="X1476" i="2"/>
  <c r="AB1485" i="2"/>
  <c r="AB1476" i="2"/>
  <c r="T1488" i="2"/>
  <c r="AB1488" i="2"/>
  <c r="T1486" i="2"/>
  <c r="T1477" i="2"/>
  <c r="X1486" i="2"/>
  <c r="X1477" i="2"/>
  <c r="AB1486" i="2"/>
  <c r="AB1477" i="2"/>
  <c r="T1529" i="2"/>
  <c r="T1520" i="2"/>
  <c r="X1529" i="2"/>
  <c r="X1520" i="2"/>
  <c r="AB1529" i="2"/>
  <c r="AB1520" i="2"/>
  <c r="T1523" i="2"/>
  <c r="X1523" i="2"/>
  <c r="AB1523" i="2"/>
  <c r="T1530" i="2"/>
  <c r="T1521" i="2"/>
  <c r="X1530" i="2"/>
  <c r="X1521" i="2"/>
  <c r="AB1530" i="2"/>
  <c r="AB1521" i="2"/>
  <c r="T1533" i="2"/>
  <c r="T1524" i="2"/>
  <c r="X1533" i="2"/>
  <c r="X1524" i="2"/>
  <c r="AB1533" i="2"/>
  <c r="AB1524" i="2"/>
  <c r="T1571" i="2"/>
  <c r="T1564" i="2"/>
  <c r="X1571" i="2"/>
  <c r="X1564" i="2"/>
  <c r="AB1571" i="2"/>
  <c r="AB1564" i="2"/>
  <c r="T1567" i="2"/>
  <c r="X1567" i="2"/>
  <c r="AB1567" i="2"/>
  <c r="T1572" i="2"/>
  <c r="T1565" i="2"/>
  <c r="X1572" i="2"/>
  <c r="X1565" i="2"/>
  <c r="AB1572" i="2"/>
  <c r="AB1565" i="2"/>
  <c r="T1575" i="2"/>
  <c r="T1568" i="2"/>
  <c r="X1575" i="2"/>
  <c r="X1568" i="2"/>
  <c r="AB1568" i="2"/>
  <c r="T1332" i="2"/>
  <c r="T1333" i="2" s="1"/>
  <c r="T1329" i="2"/>
  <c r="X1332" i="2"/>
  <c r="X1333" i="2" s="1"/>
  <c r="X1329" i="2"/>
  <c r="AB1332" i="2"/>
  <c r="AB1333" i="2" s="1"/>
  <c r="AB1329" i="2"/>
  <c r="X1390" i="2"/>
  <c r="X1391" i="2" s="1"/>
  <c r="X1387" i="2"/>
  <c r="U1485" i="2"/>
  <c r="U1476" i="2"/>
  <c r="Y1485" i="2"/>
  <c r="Y1476" i="2"/>
  <c r="AC1485" i="2"/>
  <c r="AC1476" i="2"/>
  <c r="U1488" i="2"/>
  <c r="U1497" i="2" s="1"/>
  <c r="U1506" i="2" s="1"/>
  <c r="U1478" i="2"/>
  <c r="U1486" i="2"/>
  <c r="U1477" i="2"/>
  <c r="Y1486" i="2"/>
  <c r="Y1477" i="2"/>
  <c r="AC1486" i="2"/>
  <c r="AC1477" i="2"/>
  <c r="U1489" i="2"/>
  <c r="U1498" i="2" s="1"/>
  <c r="U1507" i="2" s="1"/>
  <c r="AC1489" i="2"/>
  <c r="AC1498" i="2" s="1"/>
  <c r="AC1507" i="2" s="1"/>
  <c r="U1529" i="2"/>
  <c r="U1520" i="2"/>
  <c r="Y1529" i="2"/>
  <c r="Y1520" i="2"/>
  <c r="AC1529" i="2"/>
  <c r="AC1520" i="2"/>
  <c r="U1532" i="2"/>
  <c r="U1523" i="2"/>
  <c r="Y1523" i="2"/>
  <c r="AC1532" i="2"/>
  <c r="AC1523" i="2"/>
  <c r="U1530" i="2"/>
  <c r="U1521" i="2"/>
  <c r="Y1530" i="2"/>
  <c r="Y1521" i="2"/>
  <c r="AC1530" i="2"/>
  <c r="AC1521" i="2"/>
  <c r="U1533" i="2"/>
  <c r="U1524" i="2"/>
  <c r="Y1533" i="2"/>
  <c r="Y1524" i="2"/>
  <c r="AC1533" i="2"/>
  <c r="AC1524" i="2"/>
  <c r="U1571" i="2"/>
  <c r="U1564" i="2"/>
  <c r="Y1571" i="2"/>
  <c r="Y1564" i="2"/>
  <c r="AC1571" i="2"/>
  <c r="AC1564" i="2"/>
  <c r="U1574" i="2"/>
  <c r="U1567" i="2"/>
  <c r="Y1567" i="2"/>
  <c r="AC1567" i="2"/>
  <c r="U1572" i="2"/>
  <c r="U1565" i="2"/>
  <c r="Y1572" i="2"/>
  <c r="Y1565" i="2"/>
  <c r="AC1572" i="2"/>
  <c r="AC1565" i="2"/>
  <c r="U1575" i="2"/>
  <c r="U1568" i="2"/>
  <c r="Y1568" i="2"/>
  <c r="AC1568" i="2"/>
  <c r="U1332" i="2"/>
  <c r="U1333" i="2" s="1"/>
  <c r="U1329" i="2"/>
  <c r="Y1332" i="2"/>
  <c r="Y1333" i="2" s="1"/>
  <c r="Y1329" i="2"/>
  <c r="AC1332" i="2"/>
  <c r="AC1333" i="2" s="1"/>
  <c r="AC1329" i="2"/>
  <c r="U1390" i="2"/>
  <c r="U1391" i="2" s="1"/>
  <c r="U1387" i="2"/>
  <c r="Y1390" i="2"/>
  <c r="Y1391" i="2" s="1"/>
  <c r="Y1387" i="2"/>
  <c r="AC1390" i="2"/>
  <c r="AC1387" i="2"/>
  <c r="Z1381" i="2"/>
  <c r="S1381" i="2"/>
  <c r="W1381" i="2"/>
  <c r="AA1381" i="2"/>
  <c r="X1381" i="2"/>
  <c r="AB1381" i="2"/>
  <c r="U1381" i="2"/>
  <c r="Y1381" i="2"/>
  <c r="AC1381" i="2"/>
  <c r="AC240" i="2" l="1"/>
  <c r="AC1424" i="2"/>
  <c r="AC428" i="2"/>
  <c r="AC129" i="2"/>
  <c r="AC208" i="2"/>
  <c r="AC165" i="2"/>
  <c r="AC1488" i="2"/>
  <c r="AC1497" i="2" s="1"/>
  <c r="AC1506" i="2" s="1"/>
  <c r="AC1391" i="2"/>
  <c r="AB1532" i="2"/>
  <c r="AB1541" i="2" s="1"/>
  <c r="AB1550" i="2" s="1"/>
  <c r="AB584" i="2"/>
  <c r="AB583" i="2" s="1"/>
  <c r="AB879" i="2"/>
  <c r="AB1396" i="2"/>
  <c r="AB1390" i="2"/>
  <c r="AB1391" i="2" s="1"/>
  <c r="AB96" i="2"/>
  <c r="AB552" i="2"/>
  <c r="AA1396" i="2"/>
  <c r="AA879" i="2"/>
  <c r="AA428" i="2"/>
  <c r="AA1488" i="2"/>
  <c r="AA1497" i="2" s="1"/>
  <c r="AA1506" i="2" s="1"/>
  <c r="Z1459" i="2"/>
  <c r="Z428" i="2"/>
  <c r="Z879" i="2"/>
  <c r="Z1424" i="2"/>
  <c r="Y405" i="2"/>
  <c r="Y411" i="2" s="1"/>
  <c r="Y452" i="2"/>
  <c r="X1532" i="2"/>
  <c r="X428" i="2"/>
  <c r="X179" i="2"/>
  <c r="X1488" i="2"/>
  <c r="X1497" i="2" s="1"/>
  <c r="X1506" i="2" s="1"/>
  <c r="W1180" i="2"/>
  <c r="W1161" i="2" s="1"/>
  <c r="W1191" i="2" s="1"/>
  <c r="W1108" i="2"/>
  <c r="W1532" i="2"/>
  <c r="W1541" i="2" s="1"/>
  <c r="W1550" i="2" s="1"/>
  <c r="W166" i="2"/>
  <c r="W173" i="2" s="1"/>
  <c r="W240" i="2"/>
  <c r="W165" i="2"/>
  <c r="W1478" i="2"/>
  <c r="V1424" i="2"/>
  <c r="V129" i="2"/>
  <c r="V114" i="2" s="1"/>
  <c r="V121" i="2" s="1"/>
  <c r="V1391" i="2"/>
  <c r="V1489" i="2"/>
  <c r="V1498" i="2" s="1"/>
  <c r="V1507" i="2" s="1"/>
  <c r="U432" i="2"/>
  <c r="U90" i="2"/>
  <c r="U1424" i="2"/>
  <c r="U1302" i="2"/>
  <c r="T1391" i="2"/>
  <c r="U1396" i="2"/>
  <c r="U879" i="2"/>
  <c r="AD1310" i="2"/>
  <c r="T1180" i="2"/>
  <c r="T1161" i="2" s="1"/>
  <c r="T1191" i="2" s="1"/>
  <c r="T419" i="2"/>
  <c r="T879" i="2"/>
  <c r="T1396" i="2"/>
  <c r="T1381" i="2"/>
  <c r="T1387" i="2"/>
  <c r="T1591" i="2"/>
  <c r="AD1591" i="2" s="1"/>
  <c r="T584" i="2"/>
  <c r="T583" i="2" s="1"/>
  <c r="T1532" i="2"/>
  <c r="AD1532" i="2" s="1"/>
  <c r="T129" i="2"/>
  <c r="T123" i="2" s="1"/>
  <c r="T135" i="2" s="1"/>
  <c r="T178" i="2"/>
  <c r="S1295" i="2"/>
  <c r="S1180" i="2"/>
  <c r="S1161" i="2" s="1"/>
  <c r="S1191" i="2" s="1"/>
  <c r="S154" i="2"/>
  <c r="V1575" i="2"/>
  <c r="U436" i="2"/>
  <c r="X436" i="2"/>
  <c r="AD1228" i="2"/>
  <c r="AC1574" i="2"/>
  <c r="AC1582" i="2" s="1"/>
  <c r="AC1589" i="2" s="1"/>
  <c r="T552" i="2"/>
  <c r="X284" i="2"/>
  <c r="W879" i="2"/>
  <c r="Y552" i="2"/>
  <c r="W1396" i="2"/>
  <c r="X1180" i="2"/>
  <c r="X1161" i="2" s="1"/>
  <c r="X1191" i="2" s="1"/>
  <c r="V663" i="2"/>
  <c r="AA179" i="2"/>
  <c r="AD1223" i="2"/>
  <c r="U284" i="2"/>
  <c r="U405" i="2"/>
  <c r="U411" i="2" s="1"/>
  <c r="AD104" i="2"/>
  <c r="AD1479" i="2"/>
  <c r="AI25" i="18"/>
  <c r="AI26" i="18" s="1"/>
  <c r="AG26" i="18"/>
  <c r="AH30" i="18"/>
  <c r="AI30" i="18" s="1"/>
  <c r="AC33" i="18"/>
  <c r="AB32" i="18"/>
  <c r="AD31" i="18"/>
  <c r="AG31" i="18" s="1"/>
  <c r="AI31" i="18" s="1"/>
  <c r="AD32" i="18"/>
  <c r="AD33" i="18" s="1"/>
  <c r="T33" i="18"/>
  <c r="AI394" i="18"/>
  <c r="AI314" i="18" s="1"/>
  <c r="X33" i="18"/>
  <c r="AE32" i="18"/>
  <c r="AE33" i="18" s="1"/>
  <c r="AI152" i="18"/>
  <c r="AI149" i="18"/>
  <c r="AG1110" i="18"/>
  <c r="AG1111" i="18" s="1"/>
  <c r="AG1102" i="18"/>
  <c r="AG1108" i="18" s="1"/>
  <c r="AG1109" i="18" s="1"/>
  <c r="Z1110" i="18"/>
  <c r="Z1111" i="18" s="1"/>
  <c r="Z1102" i="18"/>
  <c r="Z1108" i="18" s="1"/>
  <c r="Z1109" i="18" s="1"/>
  <c r="AD1072" i="18"/>
  <c r="AG1071" i="18"/>
  <c r="W1091" i="18"/>
  <c r="AE1091" i="18" s="1"/>
  <c r="W1088" i="18"/>
  <c r="AE1087" i="18"/>
  <c r="AE1088" i="18" s="1"/>
  <c r="S1097" i="18"/>
  <c r="S1101" i="18"/>
  <c r="AE249" i="18"/>
  <c r="AE250" i="18" s="1"/>
  <c r="AE246" i="18"/>
  <c r="AH1110" i="18"/>
  <c r="AH1111" i="18" s="1"/>
  <c r="AH1102" i="18"/>
  <c r="AH1108" i="18" s="1"/>
  <c r="AH1109" i="18" s="1"/>
  <c r="AI139" i="18"/>
  <c r="AI137" i="18" s="1"/>
  <c r="AG137" i="18"/>
  <c r="V1091" i="18"/>
  <c r="AD1091" i="18" s="1"/>
  <c r="V1088" i="18"/>
  <c r="AD1087" i="18"/>
  <c r="AD1088" i="18" s="1"/>
  <c r="AF1072" i="18"/>
  <c r="AH1071" i="18"/>
  <c r="AH1072" i="18" s="1"/>
  <c r="AI376" i="18"/>
  <c r="AI382" i="18"/>
  <c r="AI115" i="18" s="1"/>
  <c r="AI1062" i="18"/>
  <c r="AI1067" i="18" s="1"/>
  <c r="AG1067" i="18"/>
  <c r="AI398" i="18"/>
  <c r="AI364" i="18" s="1"/>
  <c r="AI395" i="18"/>
  <c r="AG245" i="18"/>
  <c r="AG212" i="18"/>
  <c r="AC246" i="18"/>
  <c r="AC249" i="18"/>
  <c r="AC250" i="18" s="1"/>
  <c r="AH1091" i="18"/>
  <c r="Q1097" i="18"/>
  <c r="Q1101" i="18"/>
  <c r="AH212" i="18"/>
  <c r="AH245" i="18"/>
  <c r="AG1080" i="18"/>
  <c r="AC1081" i="18"/>
  <c r="W1097" i="18"/>
  <c r="W1101" i="18"/>
  <c r="S1088" i="18"/>
  <c r="S1091" i="18"/>
  <c r="AF1088" i="18"/>
  <c r="AH1087" i="18"/>
  <c r="AH1088" i="18" s="1"/>
  <c r="R1110" i="18"/>
  <c r="R1111" i="18" s="1"/>
  <c r="R1102" i="18"/>
  <c r="R1108" i="18" s="1"/>
  <c r="R1109" i="18" s="1"/>
  <c r="Q1091" i="18"/>
  <c r="AC1087" i="18"/>
  <c r="Q1088" i="18"/>
  <c r="AI220" i="18"/>
  <c r="AI211" i="18"/>
  <c r="AG1065" i="18"/>
  <c r="AI1064" i="18"/>
  <c r="AI1065" i="18" s="1"/>
  <c r="AD249" i="18"/>
  <c r="AD250" i="18" s="1"/>
  <c r="AD246" i="18"/>
  <c r="AF249" i="18"/>
  <c r="AF250" i="18" s="1"/>
  <c r="AF246" i="18"/>
  <c r="AI1110" i="18"/>
  <c r="AI1111" i="18" s="1"/>
  <c r="AI1102" i="18"/>
  <c r="AI1108" i="18" s="1"/>
  <c r="AI1109" i="18" s="1"/>
  <c r="V1110" i="18"/>
  <c r="V1111" i="18" s="1"/>
  <c r="V1102" i="18"/>
  <c r="V1108" i="18" s="1"/>
  <c r="V1109" i="18" s="1"/>
  <c r="AG150" i="18"/>
  <c r="AG163" i="18"/>
  <c r="AA1110" i="18"/>
  <c r="AA1111" i="18" s="1"/>
  <c r="AA1102" i="18"/>
  <c r="AA1108" i="18" s="1"/>
  <c r="AA1109" i="18" s="1"/>
  <c r="AC167" i="18"/>
  <c r="AC168" i="18" s="1"/>
  <c r="AC164" i="18"/>
  <c r="AH1080" i="18"/>
  <c r="AH1081" i="18" s="1"/>
  <c r="AH167" i="18"/>
  <c r="AH168" i="18" s="1"/>
  <c r="AH164" i="18"/>
  <c r="AI386" i="18"/>
  <c r="AI169" i="18" s="1"/>
  <c r="X129" i="2"/>
  <c r="X126" i="2" s="1"/>
  <c r="T835" i="2"/>
  <c r="T58" i="2" s="1"/>
  <c r="T57" i="2" s="1"/>
  <c r="T166" i="2"/>
  <c r="T173" i="2" s="1"/>
  <c r="U452" i="2"/>
  <c r="Z1108" i="2"/>
  <c r="S165" i="2"/>
  <c r="V261" i="2"/>
  <c r="V247" i="2" s="1"/>
  <c r="AA436" i="2"/>
  <c r="U1459" i="2"/>
  <c r="AA552" i="2"/>
  <c r="Z174" i="2"/>
  <c r="Z1534" i="2" s="1"/>
  <c r="Z1543" i="2" s="1"/>
  <c r="Z1552" i="2" s="1"/>
  <c r="AB1575" i="2"/>
  <c r="AD103" i="2"/>
  <c r="V510" i="2"/>
  <c r="V485" i="2" s="1"/>
  <c r="AC114" i="2"/>
  <c r="AC121" i="2" s="1"/>
  <c r="AD156" i="2"/>
  <c r="AC96" i="2"/>
  <c r="X166" i="2"/>
  <c r="X173" i="2" s="1"/>
  <c r="Z552" i="2"/>
  <c r="U174" i="2"/>
  <c r="U1534" i="2" s="1"/>
  <c r="X663" i="2"/>
  <c r="W179" i="2"/>
  <c r="AB174" i="2"/>
  <c r="AB1534" i="2" s="1"/>
  <c r="AB1543" i="2" s="1"/>
  <c r="AB1552" i="2" s="1"/>
  <c r="Y125" i="2"/>
  <c r="X405" i="2"/>
  <c r="X411" i="2" s="1"/>
  <c r="AB1478" i="2"/>
  <c r="Z180" i="2"/>
  <c r="Z176" i="2"/>
  <c r="V1191" i="2"/>
  <c r="U311" i="2"/>
  <c r="AB180" i="2"/>
  <c r="AD155" i="2"/>
  <c r="AA176" i="2"/>
  <c r="AA190" i="2" s="1"/>
  <c r="AA194" i="2" s="1"/>
  <c r="U340" i="2"/>
  <c r="AC1191" i="2"/>
  <c r="V180" i="2"/>
  <c r="Z261" i="2"/>
  <c r="Z247" i="2" s="1"/>
  <c r="U336" i="2"/>
  <c r="AC102" i="2"/>
  <c r="AC79" i="2" s="1"/>
  <c r="U166" i="2"/>
  <c r="U173" i="2" s="1"/>
  <c r="AA1191" i="2"/>
  <c r="U552" i="2"/>
  <c r="AD837" i="2"/>
  <c r="AA114" i="2"/>
  <c r="AA121" i="2" s="1"/>
  <c r="W552" i="2"/>
  <c r="AB1140" i="2"/>
  <c r="AB1148" i="2" s="1"/>
  <c r="X485" i="2"/>
  <c r="W125" i="2"/>
  <c r="T1109" i="2"/>
  <c r="T1156" i="2" s="1"/>
  <c r="T1155" i="2" s="1"/>
  <c r="U1191" i="2"/>
  <c r="S1575" i="2"/>
  <c r="S1573" i="2" s="1"/>
  <c r="AA1574" i="2"/>
  <c r="Y311" i="2"/>
  <c r="AA407" i="2"/>
  <c r="Z1575" i="2"/>
  <c r="Z1583" i="2" s="1"/>
  <c r="Z1590" i="2" s="1"/>
  <c r="S180" i="2"/>
  <c r="AD1303" i="2"/>
  <c r="AB240" i="2"/>
  <c r="AD264" i="2"/>
  <c r="W180" i="2"/>
  <c r="AB154" i="2"/>
  <c r="T1140" i="2"/>
  <c r="T1148" i="2" s="1"/>
  <c r="Y1109" i="2"/>
  <c r="Y1156" i="2" s="1"/>
  <c r="Y1155" i="2" s="1"/>
  <c r="AD263" i="2"/>
  <c r="W407" i="2"/>
  <c r="U1525" i="2"/>
  <c r="X174" i="2"/>
  <c r="X1534" i="2" s="1"/>
  <c r="X1543" i="2" s="1"/>
  <c r="X1552" i="2" s="1"/>
  <c r="AD1567" i="2"/>
  <c r="AD119" i="2"/>
  <c r="Z252" i="2"/>
  <c r="AD128" i="2"/>
  <c r="V879" i="2"/>
  <c r="AC154" i="2"/>
  <c r="AB663" i="2"/>
  <c r="AD265" i="2"/>
  <c r="Y1575" i="2"/>
  <c r="Y1583" i="2" s="1"/>
  <c r="Y1590" i="2" s="1"/>
  <c r="Y428" i="2"/>
  <c r="AD426" i="2"/>
  <c r="Z166" i="2"/>
  <c r="Z173" i="2" s="1"/>
  <c r="W373" i="2"/>
  <c r="Z663" i="2"/>
  <c r="AD1530" i="2"/>
  <c r="AD1476" i="2"/>
  <c r="AD183" i="2"/>
  <c r="AD1490" i="2"/>
  <c r="U419" i="2"/>
  <c r="AB166" i="2"/>
  <c r="AB173" i="2" s="1"/>
  <c r="Z1109" i="2"/>
  <c r="Z1156" i="2" s="1"/>
  <c r="Z1155" i="2" s="1"/>
  <c r="U180" i="2"/>
  <c r="Y1108" i="2"/>
  <c r="AD171" i="2"/>
  <c r="AD157" i="2"/>
  <c r="T179" i="2"/>
  <c r="AD442" i="2"/>
  <c r="AD1524" i="2"/>
  <c r="V174" i="2"/>
  <c r="V1534" i="2" s="1"/>
  <c r="V1543" i="2" s="1"/>
  <c r="V1552" i="2" s="1"/>
  <c r="AD1564" i="2"/>
  <c r="AD1523" i="2"/>
  <c r="AD1477" i="2"/>
  <c r="AD1485" i="2"/>
  <c r="AD111" i="2"/>
  <c r="AD112" i="2"/>
  <c r="S663" i="2"/>
  <c r="U125" i="2"/>
  <c r="U176" i="2"/>
  <c r="U190" i="2" s="1"/>
  <c r="U194" i="2" s="1"/>
  <c r="AD836" i="2"/>
  <c r="AD129" i="2"/>
  <c r="AA1109" i="2"/>
  <c r="AA1156" i="2" s="1"/>
  <c r="AA1155" i="2" s="1"/>
  <c r="X1108" i="2"/>
  <c r="Z1191" i="2"/>
  <c r="AD184" i="2"/>
  <c r="AD209" i="2"/>
  <c r="AD1491" i="2"/>
  <c r="AD421" i="2"/>
  <c r="AD1295" i="2"/>
  <c r="AD15" i="2"/>
  <c r="AD22" i="2"/>
  <c r="AD267" i="2"/>
  <c r="AD1306" i="2"/>
  <c r="AD26" i="2"/>
  <c r="AC1575" i="2"/>
  <c r="AC1583" i="2" s="1"/>
  <c r="AC1590" i="2" s="1"/>
  <c r="AB1574" i="2"/>
  <c r="AB1582" i="2" s="1"/>
  <c r="AB1589" i="2" s="1"/>
  <c r="AD1568" i="2"/>
  <c r="AD1565" i="2"/>
  <c r="AD1533" i="2"/>
  <c r="S261" i="2"/>
  <c r="S247" i="2" s="1"/>
  <c r="AD1571" i="2"/>
  <c r="AD95" i="2"/>
  <c r="AD98" i="2"/>
  <c r="AD1520" i="2"/>
  <c r="AD1486" i="2"/>
  <c r="AD118" i="2"/>
  <c r="AD262" i="2"/>
  <c r="W261" i="2"/>
  <c r="W247" i="2" s="1"/>
  <c r="X552" i="2"/>
  <c r="V552" i="2"/>
  <c r="AC663" i="2"/>
  <c r="S125" i="2"/>
  <c r="V1108" i="2"/>
  <c r="V1109" i="2"/>
  <c r="V1156" i="2" s="1"/>
  <c r="V1155" i="2" s="1"/>
  <c r="W176" i="2"/>
  <c r="W190" i="2" s="1"/>
  <c r="W194" i="2" s="1"/>
  <c r="AA1108" i="2"/>
  <c r="X1109" i="2"/>
  <c r="X1155" i="2" s="1"/>
  <c r="AD1307" i="2"/>
  <c r="AD27" i="2"/>
  <c r="AD175" i="2"/>
  <c r="AD182" i="2"/>
  <c r="AD1554" i="2"/>
  <c r="AD1555" i="2"/>
  <c r="AD840" i="2"/>
  <c r="W1575" i="2"/>
  <c r="W174" i="2"/>
  <c r="W1534" i="2" s="1"/>
  <c r="W1543" i="2" s="1"/>
  <c r="W1552" i="2" s="1"/>
  <c r="X1459" i="2"/>
  <c r="AD1572" i="2"/>
  <c r="AD1525" i="2"/>
  <c r="AD1529" i="2"/>
  <c r="AD1521" i="2"/>
  <c r="V166" i="2"/>
  <c r="V173" i="2" s="1"/>
  <c r="AD1488" i="2"/>
  <c r="AD1481" i="2"/>
  <c r="W154" i="2"/>
  <c r="W663" i="2"/>
  <c r="AC179" i="2"/>
  <c r="AD838" i="2"/>
  <c r="S839" i="2"/>
  <c r="S1511" i="2" s="1"/>
  <c r="S1510" i="2" s="1"/>
  <c r="AD359" i="2"/>
  <c r="AD266" i="2"/>
  <c r="AD170" i="2"/>
  <c r="AD1480" i="2"/>
  <c r="AD401" i="2"/>
  <c r="AD403" i="2"/>
  <c r="S552" i="2"/>
  <c r="AB1191" i="2"/>
  <c r="S179" i="2"/>
  <c r="Z96" i="2"/>
  <c r="T663" i="2"/>
  <c r="S123" i="2"/>
  <c r="S81" i="2" s="1"/>
  <c r="S86" i="2" s="1"/>
  <c r="S89" i="2" s="1"/>
  <c r="AC125" i="2"/>
  <c r="AB1108" i="2"/>
  <c r="W311" i="2"/>
  <c r="Y165" i="2"/>
  <c r="Y154" i="2"/>
  <c r="X102" i="2"/>
  <c r="X79" i="2" s="1"/>
  <c r="AC180" i="2"/>
  <c r="W126" i="2"/>
  <c r="U178" i="2"/>
  <c r="T428" i="2"/>
  <c r="Y584" i="2"/>
  <c r="Y583" i="2" s="1"/>
  <c r="S176" i="2"/>
  <c r="S190" i="2" s="1"/>
  <c r="S194" i="2" s="1"/>
  <c r="X261" i="2"/>
  <c r="X247" i="2" s="1"/>
  <c r="Y336" i="2"/>
  <c r="Y664" i="2"/>
  <c r="Y663" i="2" s="1"/>
  <c r="Y261" i="2"/>
  <c r="Y247" i="2" s="1"/>
  <c r="U102" i="2"/>
  <c r="U79" i="2" s="1"/>
  <c r="Y485" i="2"/>
  <c r="W102" i="2"/>
  <c r="W79" i="2" s="1"/>
  <c r="Y879" i="2"/>
  <c r="AC261" i="2"/>
  <c r="AC247" i="2" s="1"/>
  <c r="S1109" i="2"/>
  <c r="S1156" i="2" s="1"/>
  <c r="S1155" i="2" s="1"/>
  <c r="Y1532" i="2"/>
  <c r="Y1531" i="2" s="1"/>
  <c r="T311" i="2"/>
  <c r="T336" i="2"/>
  <c r="T96" i="2"/>
  <c r="AB1302" i="2"/>
  <c r="AB1299" i="2" s="1"/>
  <c r="Z1574" i="2"/>
  <c r="Z1582" i="2" s="1"/>
  <c r="Z1589" i="2" s="1"/>
  <c r="AA1302" i="2"/>
  <c r="AA1299" i="2" s="1"/>
  <c r="Z1302" i="2"/>
  <c r="Z1299" i="2" s="1"/>
  <c r="W123" i="2"/>
  <c r="W81" i="2" s="1"/>
  <c r="W86" i="2" s="1"/>
  <c r="W89" i="2" s="1"/>
  <c r="AB178" i="2"/>
  <c r="Z1397" i="2"/>
  <c r="Z1396" i="2" s="1"/>
  <c r="S102" i="2"/>
  <c r="S79" i="2" s="1"/>
  <c r="S1108" i="2"/>
  <c r="AB261" i="2"/>
  <c r="AB247" i="2" s="1"/>
  <c r="X1574" i="2"/>
  <c r="X1573" i="2" s="1"/>
  <c r="S373" i="2"/>
  <c r="AB1459" i="2"/>
  <c r="AA261" i="2"/>
  <c r="AA247" i="2" s="1"/>
  <c r="AC174" i="2"/>
  <c r="AC1534" i="2" s="1"/>
  <c r="AC1543" i="2" s="1"/>
  <c r="AC1552" i="2" s="1"/>
  <c r="V178" i="2"/>
  <c r="AA1478" i="2"/>
  <c r="Y1191" i="2"/>
  <c r="T407" i="2"/>
  <c r="AA180" i="2"/>
  <c r="S166" i="2"/>
  <c r="S173" i="2" s="1"/>
  <c r="Y123" i="2"/>
  <c r="Y81" i="2" s="1"/>
  <c r="U154" i="2"/>
  <c r="T180" i="2"/>
  <c r="T102" i="2"/>
  <c r="T79" i="2" s="1"/>
  <c r="AB839" i="2"/>
  <c r="AB1511" i="2" s="1"/>
  <c r="AB1510" i="2" s="1"/>
  <c r="S178" i="2"/>
  <c r="V125" i="2"/>
  <c r="AC1478" i="2"/>
  <c r="AA371" i="2"/>
  <c r="AA405" i="2" s="1"/>
  <c r="T1459" i="2"/>
  <c r="AA154" i="2"/>
  <c r="S1459" i="2"/>
  <c r="V179" i="2"/>
  <c r="W248" i="2"/>
  <c r="X248" i="2"/>
  <c r="AA123" i="2"/>
  <c r="AA135" i="2" s="1"/>
  <c r="T125" i="2"/>
  <c r="U261" i="2"/>
  <c r="U247" i="2" s="1"/>
  <c r="AC339" i="2"/>
  <c r="AC340" i="2" s="1"/>
  <c r="T1302" i="2"/>
  <c r="T1299" i="2" s="1"/>
  <c r="U446" i="2"/>
  <c r="U413" i="2" s="1"/>
  <c r="AB407" i="2"/>
  <c r="AA174" i="2"/>
  <c r="AA1534" i="2" s="1"/>
  <c r="AA1543" i="2" s="1"/>
  <c r="AA1552" i="2" s="1"/>
  <c r="Y340" i="2"/>
  <c r="AA419" i="2"/>
  <c r="X1302" i="2"/>
  <c r="X1299" i="2" s="1"/>
  <c r="U96" i="2"/>
  <c r="T174" i="2"/>
  <c r="T1534" i="2" s="1"/>
  <c r="T1543" i="2" s="1"/>
  <c r="T1552" i="2" s="1"/>
  <c r="U179" i="2"/>
  <c r="AC123" i="2"/>
  <c r="T261" i="2"/>
  <c r="U165" i="2"/>
  <c r="X834" i="2"/>
  <c r="X1465" i="2" s="1"/>
  <c r="X1463" i="2" s="1"/>
  <c r="X125" i="2"/>
  <c r="Y102" i="2"/>
  <c r="Y79" i="2" s="1"/>
  <c r="T165" i="2"/>
  <c r="W114" i="2"/>
  <c r="W110" i="2" s="1"/>
  <c r="X154" i="2"/>
  <c r="W1542" i="2"/>
  <c r="W1551" i="2" s="1"/>
  <c r="AA1539" i="2"/>
  <c r="AA1548" i="2" s="1"/>
  <c r="S1539" i="2"/>
  <c r="S1548" i="2" s="1"/>
  <c r="T373" i="2"/>
  <c r="X1478" i="2"/>
  <c r="AB452" i="2"/>
  <c r="Y126" i="2"/>
  <c r="X1489" i="2"/>
  <c r="X1498" i="2" s="1"/>
  <c r="X1507" i="2" s="1"/>
  <c r="S1478" i="2"/>
  <c r="T154" i="2"/>
  <c r="X96" i="2"/>
  <c r="T176" i="2"/>
  <c r="T190" i="2" s="1"/>
  <c r="V835" i="2"/>
  <c r="V58" i="2" s="1"/>
  <c r="V57" i="2" s="1"/>
  <c r="X165" i="2"/>
  <c r="Z125" i="2"/>
  <c r="S834" i="2"/>
  <c r="S1465" i="2" s="1"/>
  <c r="S1463" i="2" s="1"/>
  <c r="AC126" i="2"/>
  <c r="AC311" i="2"/>
  <c r="S440" i="2"/>
  <c r="AA166" i="2"/>
  <c r="AA173" i="2" s="1"/>
  <c r="Z179" i="2"/>
  <c r="U485" i="2"/>
  <c r="Z336" i="2"/>
  <c r="X336" i="2"/>
  <c r="X176" i="2"/>
  <c r="X190" i="2" s="1"/>
  <c r="X194" i="2" s="1"/>
  <c r="AA125" i="2"/>
  <c r="Y1478" i="2"/>
  <c r="X311" i="2"/>
  <c r="Z440" i="2"/>
  <c r="Z178" i="2"/>
  <c r="S96" i="2"/>
  <c r="V1484" i="2"/>
  <c r="Y96" i="2"/>
  <c r="V1495" i="2"/>
  <c r="V1504" i="2" s="1"/>
  <c r="AB123" i="2"/>
  <c r="AB135" i="2" s="1"/>
  <c r="AB126" i="2"/>
  <c r="AA102" i="2"/>
  <c r="AA79" i="2" s="1"/>
  <c r="V336" i="2"/>
  <c r="T1574" i="2"/>
  <c r="T1573" i="2" s="1"/>
  <c r="T1478" i="2"/>
  <c r="T340" i="2"/>
  <c r="AA311" i="2"/>
  <c r="AA1459" i="2"/>
  <c r="X178" i="2"/>
  <c r="AA165" i="2"/>
  <c r="S339" i="2"/>
  <c r="S340" i="2" s="1"/>
  <c r="AB179" i="2"/>
  <c r="T371" i="2"/>
  <c r="T405" i="2" s="1"/>
  <c r="T411" i="2" s="1"/>
  <c r="AC452" i="2"/>
  <c r="Y1302" i="2"/>
  <c r="Y1299" i="2" s="1"/>
  <c r="W1583" i="2"/>
  <c r="W1590" i="2" s="1"/>
  <c r="AA1580" i="2"/>
  <c r="AA1587" i="2" s="1"/>
  <c r="S1580" i="2"/>
  <c r="S1587" i="2" s="1"/>
  <c r="V311" i="2"/>
  <c r="AC166" i="2"/>
  <c r="AC173" i="2" s="1"/>
  <c r="AA178" i="2"/>
  <c r="AC1459" i="2"/>
  <c r="V377" i="2"/>
  <c r="V1574" i="2"/>
  <c r="V1573" i="2" s="1"/>
  <c r="AA353" i="2"/>
  <c r="X408" i="2"/>
  <c r="AA377" i="2"/>
  <c r="Y176" i="2"/>
  <c r="Y190" i="2" s="1"/>
  <c r="Y194" i="2" s="1"/>
  <c r="AC485" i="2"/>
  <c r="AB340" i="2"/>
  <c r="W452" i="2"/>
  <c r="Y114" i="2"/>
  <c r="Y110" i="2" s="1"/>
  <c r="W834" i="2"/>
  <c r="W1465" i="2" s="1"/>
  <c r="W1463" i="2" s="1"/>
  <c r="AA440" i="2"/>
  <c r="X340" i="2"/>
  <c r="S311" i="2"/>
  <c r="Y178" i="2"/>
  <c r="Z1570" i="2"/>
  <c r="T240" i="2"/>
  <c r="U123" i="2"/>
  <c r="U135" i="2" s="1"/>
  <c r="T377" i="2"/>
  <c r="AA485" i="2"/>
  <c r="T452" i="2"/>
  <c r="V452" i="2"/>
  <c r="AA444" i="2"/>
  <c r="S485" i="2"/>
  <c r="AA834" i="2"/>
  <c r="AA1465" i="2" s="1"/>
  <c r="AA1463" i="2" s="1"/>
  <c r="AA58" i="2"/>
  <c r="AA57" i="2" s="1"/>
  <c r="Y419" i="2"/>
  <c r="W436" i="2"/>
  <c r="Y1459" i="2"/>
  <c r="Z377" i="2"/>
  <c r="X377" i="2"/>
  <c r="W1574" i="2"/>
  <c r="W1582" i="2" s="1"/>
  <c r="W1589" i="2" s="1"/>
  <c r="V340" i="2"/>
  <c r="AB336" i="2"/>
  <c r="AA373" i="2"/>
  <c r="AB114" i="2"/>
  <c r="AB110" i="2" s="1"/>
  <c r="Z1528" i="2"/>
  <c r="Y1543" i="2"/>
  <c r="Y1552" i="2" s="1"/>
  <c r="S114" i="2"/>
  <c r="S110" i="2" s="1"/>
  <c r="W1459" i="2"/>
  <c r="V96" i="2"/>
  <c r="V1302" i="2"/>
  <c r="V1299" i="2" s="1"/>
  <c r="S126" i="2"/>
  <c r="AB165" i="2"/>
  <c r="AB311" i="2"/>
  <c r="W1302" i="2"/>
  <c r="W1299" i="2" s="1"/>
  <c r="U114" i="2"/>
  <c r="U121" i="2" s="1"/>
  <c r="AB102" i="2"/>
  <c r="Z311" i="2"/>
  <c r="W440" i="2"/>
  <c r="AB176" i="2"/>
  <c r="AA96" i="2"/>
  <c r="S1302" i="2"/>
  <c r="S1299" i="2" s="1"/>
  <c r="Y166" i="2"/>
  <c r="Y173" i="2" s="1"/>
  <c r="Z114" i="2"/>
  <c r="Z121" i="2" s="1"/>
  <c r="V1459" i="2"/>
  <c r="AC1302" i="2"/>
  <c r="AC1299" i="2" s="1"/>
  <c r="Z485" i="2"/>
  <c r="AB485" i="2"/>
  <c r="AB377" i="2"/>
  <c r="AB834" i="2"/>
  <c r="AB1465" i="2" s="1"/>
  <c r="AB1463" i="2" s="1"/>
  <c r="S452" i="2"/>
  <c r="Z452" i="2"/>
  <c r="Z436" i="2"/>
  <c r="Y839" i="2"/>
  <c r="Y1511" i="2" s="1"/>
  <c r="Y1510" i="2" s="1"/>
  <c r="Y835" i="2"/>
  <c r="AA452" i="2"/>
  <c r="Z834" i="2"/>
  <c r="Z1465" i="2" s="1"/>
  <c r="Z1463" i="2" s="1"/>
  <c r="Z58" i="2"/>
  <c r="Z57" i="2" s="1"/>
  <c r="X452" i="2"/>
  <c r="AC834" i="2"/>
  <c r="AC1465" i="2" s="1"/>
  <c r="AC1463" i="2" s="1"/>
  <c r="AC58" i="2"/>
  <c r="AC57" i="2" s="1"/>
  <c r="U839" i="2"/>
  <c r="U1511" i="2" s="1"/>
  <c r="U1510" i="2" s="1"/>
  <c r="U835" i="2"/>
  <c r="W485" i="2"/>
  <c r="Z1495" i="2"/>
  <c r="Z1504" i="2" s="1"/>
  <c r="Z1484" i="2"/>
  <c r="AA1583" i="2"/>
  <c r="AA1590" i="2" s="1"/>
  <c r="W1580" i="2"/>
  <c r="W1587" i="2" s="1"/>
  <c r="AA1542" i="2"/>
  <c r="AA1551" i="2" s="1"/>
  <c r="S1542" i="2"/>
  <c r="S1551" i="2" s="1"/>
  <c r="W1539" i="2"/>
  <c r="W1548" i="2" s="1"/>
  <c r="Y1544" i="2"/>
  <c r="Y1553" i="2" s="1"/>
  <c r="AB1487" i="2"/>
  <c r="U1299" i="2"/>
  <c r="AD19" i="2"/>
  <c r="Y179" i="2"/>
  <c r="AC1580" i="2"/>
  <c r="AC1587" i="2" s="1"/>
  <c r="U1580" i="2"/>
  <c r="U1587" i="2" s="1"/>
  <c r="Y1542" i="2"/>
  <c r="Y1551" i="2" s="1"/>
  <c r="AC1539" i="2"/>
  <c r="AC1548" i="2" s="1"/>
  <c r="U1539" i="2"/>
  <c r="U1548" i="2" s="1"/>
  <c r="AB371" i="2"/>
  <c r="AB405" i="2" s="1"/>
  <c r="AB411" i="2" s="1"/>
  <c r="AC176" i="2"/>
  <c r="U1583" i="2"/>
  <c r="U1590" i="2" s="1"/>
  <c r="Y1580" i="2"/>
  <c r="Y1587" i="2" s="1"/>
  <c r="AC1542" i="2"/>
  <c r="AC1551" i="2" s="1"/>
  <c r="U1542" i="2"/>
  <c r="U1551" i="2" s="1"/>
  <c r="Y1539" i="2"/>
  <c r="Y1548" i="2" s="1"/>
  <c r="AA126" i="2"/>
  <c r="W353" i="2"/>
  <c r="W406" i="2" s="1"/>
  <c r="AC1484" i="2"/>
  <c r="U1484" i="2"/>
  <c r="AA1484" i="2"/>
  <c r="S1484" i="2"/>
  <c r="Y444" i="2"/>
  <c r="Y373" i="2"/>
  <c r="Y353" i="2"/>
  <c r="Y412" i="2" s="1"/>
  <c r="AB125" i="2"/>
  <c r="AC1495" i="2"/>
  <c r="AC1504" i="2" s="1"/>
  <c r="U1495" i="2"/>
  <c r="U1504" i="2" s="1"/>
  <c r="T1487" i="2"/>
  <c r="AA1495" i="2"/>
  <c r="AA1504" i="2" s="1"/>
  <c r="S1495" i="2"/>
  <c r="S1504" i="2" s="1"/>
  <c r="V1539" i="2"/>
  <c r="V1548" i="2" s="1"/>
  <c r="AA1499" i="2"/>
  <c r="AA1508" i="2" s="1"/>
  <c r="S1499" i="2"/>
  <c r="S1508" i="2" s="1"/>
  <c r="U1499" i="2"/>
  <c r="U1508" i="2" s="1"/>
  <c r="V1583" i="2"/>
  <c r="V1590" i="2" s="1"/>
  <c r="Z1539" i="2"/>
  <c r="Z1548" i="2" s="1"/>
  <c r="Z407" i="2"/>
  <c r="Z371" i="2"/>
  <c r="Z405" i="2" s="1"/>
  <c r="Z411" i="2" s="1"/>
  <c r="AB373" i="2"/>
  <c r="AB353" i="2"/>
  <c r="Y1484" i="2"/>
  <c r="W1484" i="2"/>
  <c r="V407" i="2"/>
  <c r="V371" i="2"/>
  <c r="V405" i="2" s="1"/>
  <c r="V411" i="2" s="1"/>
  <c r="X373" i="2"/>
  <c r="X353" i="2"/>
  <c r="W339" i="2"/>
  <c r="W340" i="2" s="1"/>
  <c r="W336" i="2"/>
  <c r="T353" i="2"/>
  <c r="Y1495" i="2"/>
  <c r="Y1504" i="2" s="1"/>
  <c r="Y1487" i="2"/>
  <c r="W1495" i="2"/>
  <c r="W1504" i="2" s="1"/>
  <c r="W1499" i="2"/>
  <c r="W1508" i="2" s="1"/>
  <c r="AC1499" i="2"/>
  <c r="AC1508" i="2" s="1"/>
  <c r="U373" i="2"/>
  <c r="U353" i="2"/>
  <c r="AC373" i="2"/>
  <c r="AC353" i="2"/>
  <c r="AC412" i="2" s="1"/>
  <c r="U126" i="2"/>
  <c r="Z419" i="2"/>
  <c r="Z446" i="2"/>
  <c r="V446" i="2"/>
  <c r="V419" i="2"/>
  <c r="Y1582" i="2"/>
  <c r="Y1589" i="2" s="1"/>
  <c r="Y1566" i="2"/>
  <c r="AC1579" i="2"/>
  <c r="AC1586" i="2" s="1"/>
  <c r="AC1563" i="2"/>
  <c r="U1579" i="2"/>
  <c r="U1586" i="2" s="1"/>
  <c r="U1563" i="2"/>
  <c r="Y1522" i="2"/>
  <c r="AC1538" i="2"/>
  <c r="AC1547" i="2" s="1"/>
  <c r="AC1519" i="2"/>
  <c r="U1538" i="2"/>
  <c r="U1547" i="2" s="1"/>
  <c r="U1519" i="2"/>
  <c r="AB1570" i="2"/>
  <c r="T1570" i="2"/>
  <c r="X1531" i="2"/>
  <c r="AB1528" i="2"/>
  <c r="T1528" i="2"/>
  <c r="X1494" i="2"/>
  <c r="X1503" i="2" s="1"/>
  <c r="X1475" i="2"/>
  <c r="AA1582" i="2"/>
  <c r="AA1589" i="2" s="1"/>
  <c r="AA1566" i="2"/>
  <c r="S1582" i="2"/>
  <c r="S1589" i="2" s="1"/>
  <c r="S1566" i="2"/>
  <c r="W1579" i="2"/>
  <c r="W1586" i="2" s="1"/>
  <c r="W1563" i="2"/>
  <c r="AA1541" i="2"/>
  <c r="AA1550" i="2" s="1"/>
  <c r="AA1522" i="2"/>
  <c r="S1541" i="2"/>
  <c r="S1550" i="2" s="1"/>
  <c r="S1522" i="2"/>
  <c r="W1538" i="2"/>
  <c r="W1547" i="2" s="1"/>
  <c r="W1519" i="2"/>
  <c r="W1487" i="2"/>
  <c r="T444" i="2"/>
  <c r="W411" i="2"/>
  <c r="V1570" i="2"/>
  <c r="AA427" i="2"/>
  <c r="AA431" i="2" s="1"/>
  <c r="AA90" i="2" s="1"/>
  <c r="S1543" i="2"/>
  <c r="S1552" i="2" s="1"/>
  <c r="Z1579" i="2"/>
  <c r="Z1586" i="2" s="1"/>
  <c r="Z1563" i="2"/>
  <c r="V373" i="2"/>
  <c r="V353" i="2"/>
  <c r="Z190" i="2"/>
  <c r="V1531" i="2"/>
  <c r="AC1570" i="2"/>
  <c r="U1570" i="2"/>
  <c r="AC1528" i="2"/>
  <c r="U1528" i="2"/>
  <c r="U1487" i="2"/>
  <c r="Y1494" i="2"/>
  <c r="Y1503" i="2" s="1"/>
  <c r="Y1475" i="2"/>
  <c r="AB1583" i="2"/>
  <c r="AB1590" i="2" s="1"/>
  <c r="T1583" i="2"/>
  <c r="T1590" i="2" s="1"/>
  <c r="X1580" i="2"/>
  <c r="X1587" i="2" s="1"/>
  <c r="AB1566" i="2"/>
  <c r="T1566" i="2"/>
  <c r="X1579" i="2"/>
  <c r="X1586" i="2" s="1"/>
  <c r="X1563" i="2"/>
  <c r="AB1542" i="2"/>
  <c r="AB1551" i="2" s="1"/>
  <c r="T1542" i="2"/>
  <c r="T1551" i="2" s="1"/>
  <c r="X1539" i="2"/>
  <c r="X1548" i="2" s="1"/>
  <c r="AB1522" i="2"/>
  <c r="T1522" i="2"/>
  <c r="X1538" i="2"/>
  <c r="X1547" i="2" s="1"/>
  <c r="X1519" i="2"/>
  <c r="X1495" i="2"/>
  <c r="X1504" i="2" s="1"/>
  <c r="T1497" i="2"/>
  <c r="T1506" i="2" s="1"/>
  <c r="X1484" i="2"/>
  <c r="AA1573" i="2"/>
  <c r="W1570" i="2"/>
  <c r="AA1531" i="2"/>
  <c r="S1531" i="2"/>
  <c r="W1528" i="2"/>
  <c r="W1497" i="2"/>
  <c r="W1506" i="2" s="1"/>
  <c r="AA1494" i="2"/>
  <c r="AA1503" i="2" s="1"/>
  <c r="AA1475" i="2"/>
  <c r="S1494" i="2"/>
  <c r="S1503" i="2" s="1"/>
  <c r="S1475" i="2"/>
  <c r="AC444" i="2"/>
  <c r="S446" i="2"/>
  <c r="S419" i="2"/>
  <c r="S405" i="2"/>
  <c r="S372" i="2"/>
  <c r="AA336" i="2"/>
  <c r="AA339" i="2"/>
  <c r="AA340" i="2" s="1"/>
  <c r="AB1499" i="2"/>
  <c r="AB1508" i="2" s="1"/>
  <c r="T1499" i="2"/>
  <c r="T1508" i="2" s="1"/>
  <c r="X427" i="2"/>
  <c r="V1580" i="2"/>
  <c r="V1587" i="2" s="1"/>
  <c r="Z1566" i="2"/>
  <c r="Z1494" i="2"/>
  <c r="Z1503" i="2" s="1"/>
  <c r="Z1475" i="2"/>
  <c r="Y427" i="2"/>
  <c r="V1494" i="2"/>
  <c r="V1503" i="2" s="1"/>
  <c r="V1475" i="2"/>
  <c r="Y1499" i="2"/>
  <c r="Y1508" i="2" s="1"/>
  <c r="V1566" i="2"/>
  <c r="V1538" i="2"/>
  <c r="V1547" i="2" s="1"/>
  <c r="V1519" i="2"/>
  <c r="V1499" i="2"/>
  <c r="V1508" i="2" s="1"/>
  <c r="AC1566" i="2"/>
  <c r="U1582" i="2"/>
  <c r="U1589" i="2" s="1"/>
  <c r="U1566" i="2"/>
  <c r="Y1579" i="2"/>
  <c r="Y1586" i="2" s="1"/>
  <c r="Y1563" i="2"/>
  <c r="AC1541" i="2"/>
  <c r="AC1550" i="2" s="1"/>
  <c r="AC1522" i="2"/>
  <c r="U1541" i="2"/>
  <c r="U1550" i="2" s="1"/>
  <c r="U1522" i="2"/>
  <c r="Y1538" i="2"/>
  <c r="Y1547" i="2" s="1"/>
  <c r="Y1519" i="2"/>
  <c r="X1570" i="2"/>
  <c r="X1528" i="2"/>
  <c r="AB1494" i="2"/>
  <c r="AB1503" i="2" s="1"/>
  <c r="AB1475" i="2"/>
  <c r="T1494" i="2"/>
  <c r="T1503" i="2" s="1"/>
  <c r="T1475" i="2"/>
  <c r="W1566" i="2"/>
  <c r="AA1579" i="2"/>
  <c r="AA1586" i="2" s="1"/>
  <c r="AA1563" i="2"/>
  <c r="S1579" i="2"/>
  <c r="S1586" i="2" s="1"/>
  <c r="S1563" i="2"/>
  <c r="W1522" i="2"/>
  <c r="AA1538" i="2"/>
  <c r="AA1547" i="2" s="1"/>
  <c r="AA1519" i="2"/>
  <c r="S1538" i="2"/>
  <c r="S1547" i="2" s="1"/>
  <c r="S1519" i="2"/>
  <c r="AB444" i="2"/>
  <c r="V190" i="2"/>
  <c r="Z165" i="2"/>
  <c r="Z154" i="2"/>
  <c r="AC1544" i="2"/>
  <c r="AC1553" i="2" s="1"/>
  <c r="U1544" i="2"/>
  <c r="U1553" i="2" s="1"/>
  <c r="Z373" i="2"/>
  <c r="Z353" i="2"/>
  <c r="Z1541" i="2"/>
  <c r="Z1550" i="2" s="1"/>
  <c r="Z1522" i="2"/>
  <c r="AC427" i="2"/>
  <c r="V1528" i="2"/>
  <c r="Z126" i="2"/>
  <c r="Z102" i="2"/>
  <c r="Z79" i="2" s="1"/>
  <c r="Z123" i="2"/>
  <c r="U1573" i="2"/>
  <c r="Y1570" i="2"/>
  <c r="AC1531" i="2"/>
  <c r="U1531" i="2"/>
  <c r="Y1528" i="2"/>
  <c r="Y1497" i="2"/>
  <c r="Y1506" i="2" s="1"/>
  <c r="AC1494" i="2"/>
  <c r="AC1503" i="2" s="1"/>
  <c r="AC1475" i="2"/>
  <c r="U1494" i="2"/>
  <c r="U1503" i="2" s="1"/>
  <c r="U1475" i="2"/>
  <c r="X1583" i="2"/>
  <c r="X1590" i="2" s="1"/>
  <c r="AB1580" i="2"/>
  <c r="AB1587" i="2" s="1"/>
  <c r="T1580" i="2"/>
  <c r="T1587" i="2" s="1"/>
  <c r="X1566" i="2"/>
  <c r="AB1579" i="2"/>
  <c r="AB1586" i="2" s="1"/>
  <c r="AB1563" i="2"/>
  <c r="T1579" i="2"/>
  <c r="T1586" i="2" s="1"/>
  <c r="T1563" i="2"/>
  <c r="X1542" i="2"/>
  <c r="X1551" i="2" s="1"/>
  <c r="AB1539" i="2"/>
  <c r="AB1548" i="2" s="1"/>
  <c r="T1539" i="2"/>
  <c r="T1548" i="2" s="1"/>
  <c r="X1541" i="2"/>
  <c r="X1550" i="2" s="1"/>
  <c r="X1522" i="2"/>
  <c r="AB1538" i="2"/>
  <c r="AB1547" i="2" s="1"/>
  <c r="AB1519" i="2"/>
  <c r="T1538" i="2"/>
  <c r="T1547" i="2" s="1"/>
  <c r="T1519" i="2"/>
  <c r="AB1495" i="2"/>
  <c r="AB1504" i="2" s="1"/>
  <c r="T1495" i="2"/>
  <c r="T1504" i="2" s="1"/>
  <c r="AB1497" i="2"/>
  <c r="AB1506" i="2" s="1"/>
  <c r="AB1484" i="2"/>
  <c r="T1484" i="2"/>
  <c r="AA1570" i="2"/>
  <c r="S1570" i="2"/>
  <c r="AA1528" i="2"/>
  <c r="S1528" i="2"/>
  <c r="S1487" i="2"/>
  <c r="W1494" i="2"/>
  <c r="W1503" i="2" s="1"/>
  <c r="W1475" i="2"/>
  <c r="X444" i="2"/>
  <c r="W446" i="2"/>
  <c r="W419" i="2"/>
  <c r="X1499" i="2"/>
  <c r="X1508" i="2" s="1"/>
  <c r="AB427" i="2"/>
  <c r="T427" i="2"/>
  <c r="V1579" i="2"/>
  <c r="V1586" i="2" s="1"/>
  <c r="V1563" i="2"/>
  <c r="Z1538" i="2"/>
  <c r="Z1547" i="2" s="1"/>
  <c r="Z1519" i="2"/>
  <c r="V1542" i="2"/>
  <c r="V1551" i="2" s="1"/>
  <c r="V165" i="2"/>
  <c r="V154" i="2"/>
  <c r="V177" i="2" s="1"/>
  <c r="V102" i="2"/>
  <c r="V79" i="2" s="1"/>
  <c r="Z1542" i="2"/>
  <c r="Z1551" i="2" s="1"/>
  <c r="Z1531" i="2"/>
  <c r="Z1487" i="2"/>
  <c r="Z1580" i="2"/>
  <c r="Z1587" i="2" s="1"/>
  <c r="V1541" i="2"/>
  <c r="V1550" i="2" s="1"/>
  <c r="V1522" i="2"/>
  <c r="Z1499" i="2"/>
  <c r="Z1508" i="2" s="1"/>
  <c r="AC425" i="2" l="1"/>
  <c r="AC439" i="2"/>
  <c r="AC278" i="2" s="1"/>
  <c r="AC447" i="2"/>
  <c r="AC413" i="2" s="1"/>
  <c r="AC435" i="2"/>
  <c r="AC196" i="2" s="1"/>
  <c r="AC443" i="2"/>
  <c r="AC341" i="2" s="1"/>
  <c r="AC431" i="2"/>
  <c r="AC90" i="2" s="1"/>
  <c r="AC110" i="2"/>
  <c r="AC1487" i="2"/>
  <c r="AC1496" i="2" s="1"/>
  <c r="AC1505" i="2" s="1"/>
  <c r="AC1573" i="2"/>
  <c r="AC1569" i="2" s="1"/>
  <c r="AB1531" i="2"/>
  <c r="AB425" i="2"/>
  <c r="AB431" i="2"/>
  <c r="AB90" i="2" s="1"/>
  <c r="AB447" i="2"/>
  <c r="AB413" i="2" s="1"/>
  <c r="AB439" i="2"/>
  <c r="AB278" i="2" s="1"/>
  <c r="AB443" i="2"/>
  <c r="AB341" i="2" s="1"/>
  <c r="AB435" i="2"/>
  <c r="AB196" i="2" s="1"/>
  <c r="AA425" i="2"/>
  <c r="AA443" i="2"/>
  <c r="AA341" i="2" s="1"/>
  <c r="AA439" i="2"/>
  <c r="AA278" i="2" s="1"/>
  <c r="AA435" i="2"/>
  <c r="AA196" i="2" s="1"/>
  <c r="AA447" i="2"/>
  <c r="AA413" i="2" s="1"/>
  <c r="AA195" i="2"/>
  <c r="AA1487" i="2"/>
  <c r="Z238" i="2"/>
  <c r="Z239" i="2" s="1"/>
  <c r="Z177" i="2"/>
  <c r="Y425" i="2"/>
  <c r="Y435" i="2"/>
  <c r="Y196" i="2" s="1"/>
  <c r="Y439" i="2"/>
  <c r="Y278" i="2" s="1"/>
  <c r="Y447" i="2"/>
  <c r="Y413" i="2" s="1"/>
  <c r="Y443" i="2"/>
  <c r="Y341" i="2" s="1"/>
  <c r="Y431" i="2"/>
  <c r="Y90" i="2" s="1"/>
  <c r="Y1541" i="2"/>
  <c r="Y1550" i="2" s="1"/>
  <c r="X412" i="2"/>
  <c r="X123" i="2"/>
  <c r="X135" i="2" s="1"/>
  <c r="X139" i="2" s="1"/>
  <c r="X140" i="2" s="1"/>
  <c r="X425" i="2"/>
  <c r="X447" i="2"/>
  <c r="X413" i="2" s="1"/>
  <c r="X439" i="2"/>
  <c r="X278" i="2" s="1"/>
  <c r="X435" i="2"/>
  <c r="X196" i="2" s="1"/>
  <c r="X443" i="2"/>
  <c r="X341" i="2" s="1"/>
  <c r="X431" i="2"/>
  <c r="X90" i="2" s="1"/>
  <c r="X114" i="2"/>
  <c r="X121" i="2" s="1"/>
  <c r="W1531" i="2"/>
  <c r="W1540" i="2" s="1"/>
  <c r="W1549" i="2" s="1"/>
  <c r="W121" i="2"/>
  <c r="S195" i="2"/>
  <c r="V126" i="2"/>
  <c r="V123" i="2"/>
  <c r="V124" i="2" s="1"/>
  <c r="V110" i="2"/>
  <c r="V1487" i="2"/>
  <c r="V1496" i="2" s="1"/>
  <c r="V1505" i="2" s="1"/>
  <c r="T425" i="2"/>
  <c r="T439" i="2"/>
  <c r="T278" i="2" s="1"/>
  <c r="T431" i="2"/>
  <c r="T90" i="2" s="1"/>
  <c r="T435" i="2"/>
  <c r="T196" i="2" s="1"/>
  <c r="T443" i="2"/>
  <c r="T341" i="2" s="1"/>
  <c r="T447" i="2"/>
  <c r="T413" i="2" s="1"/>
  <c r="T1541" i="2"/>
  <c r="T1550" i="2" s="1"/>
  <c r="T1531" i="2"/>
  <c r="AD1531" i="2" s="1"/>
  <c r="T834" i="2"/>
  <c r="T1465" i="2" s="1"/>
  <c r="T1463" i="2" s="1"/>
  <c r="T126" i="2"/>
  <c r="T114" i="2"/>
  <c r="T121" i="2" s="1"/>
  <c r="S14" i="2"/>
  <c r="S1294" i="2" s="1"/>
  <c r="U444" i="2"/>
  <c r="AD154" i="2"/>
  <c r="AD835" i="2"/>
  <c r="V238" i="2"/>
  <c r="V239" i="2" s="1"/>
  <c r="AD165" i="2"/>
  <c r="AA81" i="2"/>
  <c r="AA86" i="2" s="1"/>
  <c r="AA89" i="2" s="1"/>
  <c r="AC124" i="2"/>
  <c r="T1582" i="2"/>
  <c r="T1589" i="2" s="1"/>
  <c r="U164" i="2"/>
  <c r="U1543" i="2"/>
  <c r="U1552" i="2" s="1"/>
  <c r="AD438" i="2"/>
  <c r="AB33" i="18"/>
  <c r="AF32" i="18"/>
  <c r="AG32" i="18"/>
  <c r="AG1072" i="18"/>
  <c r="AI1071" i="18"/>
  <c r="AI1072" i="18" s="1"/>
  <c r="AG167" i="18"/>
  <c r="AG168" i="18" s="1"/>
  <c r="AG164" i="18"/>
  <c r="AI212" i="18"/>
  <c r="AI245" i="18"/>
  <c r="AI1080" i="18"/>
  <c r="AI1081" i="18" s="1"/>
  <c r="AG1081" i="18"/>
  <c r="S1110" i="18"/>
  <c r="S1111" i="18" s="1"/>
  <c r="S1102" i="18"/>
  <c r="S1108" i="18" s="1"/>
  <c r="S1109" i="18" s="1"/>
  <c r="AH249" i="18"/>
  <c r="AH250" i="18" s="1"/>
  <c r="AH246" i="18"/>
  <c r="AG249" i="18"/>
  <c r="AG250" i="18" s="1"/>
  <c r="AG246" i="18"/>
  <c r="AG1087" i="18"/>
  <c r="AC1088" i="18"/>
  <c r="Q1110" i="18"/>
  <c r="Q1111" i="18" s="1"/>
  <c r="Q1102" i="18"/>
  <c r="Q1108" i="18" s="1"/>
  <c r="Q1109" i="18" s="1"/>
  <c r="AC1091" i="18"/>
  <c r="AG1091" i="18" s="1"/>
  <c r="AI1091" i="18" s="1"/>
  <c r="AI163" i="18"/>
  <c r="AI150" i="18"/>
  <c r="W1110" i="18"/>
  <c r="W1111" i="18" s="1"/>
  <c r="W1102" i="18"/>
  <c r="W1108" i="18" s="1"/>
  <c r="W1109" i="18" s="1"/>
  <c r="AD1575" i="2"/>
  <c r="AB1496" i="2"/>
  <c r="AB1505" i="2" s="1"/>
  <c r="S1583" i="2"/>
  <c r="S1590" i="2" s="1"/>
  <c r="W135" i="2"/>
  <c r="W136" i="2" s="1"/>
  <c r="U191" i="2"/>
  <c r="T177" i="2"/>
  <c r="AD57" i="2"/>
  <c r="AA191" i="2"/>
  <c r="Z1527" i="2"/>
  <c r="Z164" i="2"/>
  <c r="Y1573" i="2"/>
  <c r="Y1569" i="2" s="1"/>
  <c r="X164" i="2"/>
  <c r="AA110" i="2"/>
  <c r="S124" i="2"/>
  <c r="T164" i="2"/>
  <c r="AD1475" i="2"/>
  <c r="W195" i="2"/>
  <c r="AD1566" i="2"/>
  <c r="AD1563" i="2"/>
  <c r="AD1519" i="2"/>
  <c r="AB177" i="2"/>
  <c r="AB164" i="2"/>
  <c r="W191" i="2"/>
  <c r="AD261" i="2"/>
  <c r="AD1108" i="2"/>
  <c r="V164" i="2"/>
  <c r="W238" i="2"/>
  <c r="W272" i="2" s="1"/>
  <c r="W276" i="2" s="1"/>
  <c r="W277" i="2" s="1"/>
  <c r="AD1478" i="2"/>
  <c r="W177" i="2"/>
  <c r="AD1499" i="2"/>
  <c r="AD446" i="2"/>
  <c r="AD1573" i="2"/>
  <c r="AD1574" i="2"/>
  <c r="AD1535" i="2"/>
  <c r="AD1500" i="2"/>
  <c r="AD1579" i="2"/>
  <c r="AD1580" i="2"/>
  <c r="AB190" i="2"/>
  <c r="AB194" i="2" s="1"/>
  <c r="AB195" i="2" s="1"/>
  <c r="AD1538" i="2"/>
  <c r="AD1522" i="2"/>
  <c r="AD1528" i="2"/>
  <c r="AD1109" i="2"/>
  <c r="Y164" i="2"/>
  <c r="AB1573" i="2"/>
  <c r="AB1581" i="2" s="1"/>
  <c r="AB1588" i="2" s="1"/>
  <c r="AD1497" i="2"/>
  <c r="AA1496" i="2"/>
  <c r="AA1505" i="2" s="1"/>
  <c r="AD430" i="2"/>
  <c r="S135" i="2"/>
  <c r="S139" i="2" s="1"/>
  <c r="S140" i="2" s="1"/>
  <c r="S238" i="2"/>
  <c r="S239" i="2" s="1"/>
  <c r="X238" i="2"/>
  <c r="X272" i="2" s="1"/>
  <c r="X276" i="2" s="1"/>
  <c r="X277" i="2" s="1"/>
  <c r="AD123" i="2"/>
  <c r="AD1534" i="2"/>
  <c r="AD174" i="2"/>
  <c r="AD79" i="2"/>
  <c r="AD102" i="2"/>
  <c r="AD1542" i="2"/>
  <c r="AD1494" i="2"/>
  <c r="W164" i="2"/>
  <c r="AD1539" i="2"/>
  <c r="X124" i="2"/>
  <c r="AD1302" i="2"/>
  <c r="AD1484" i="2"/>
  <c r="X1582" i="2"/>
  <c r="X1589" i="2" s="1"/>
  <c r="AD1570" i="2"/>
  <c r="AD1299" i="2"/>
  <c r="AD1301" i="2"/>
  <c r="AD1495" i="2"/>
  <c r="AC238" i="2"/>
  <c r="AC272" i="2" s="1"/>
  <c r="U124" i="2"/>
  <c r="AD1510" i="2"/>
  <c r="AD1511" i="2"/>
  <c r="AD176" i="2"/>
  <c r="AD1489" i="2"/>
  <c r="AD173" i="2"/>
  <c r="AD166" i="2"/>
  <c r="AD1238" i="2"/>
  <c r="AD1237" i="2"/>
  <c r="W412" i="2"/>
  <c r="AC81" i="2"/>
  <c r="AC86" i="2" s="1"/>
  <c r="AC89" i="2" s="1"/>
  <c r="Y195" i="2"/>
  <c r="W124" i="2"/>
  <c r="AB238" i="2"/>
  <c r="AB239" i="2" s="1"/>
  <c r="S191" i="2"/>
  <c r="S177" i="2"/>
  <c r="S164" i="2"/>
  <c r="Y124" i="2"/>
  <c r="Y238" i="2"/>
  <c r="Y272" i="2" s="1"/>
  <c r="AA1527" i="2"/>
  <c r="V1582" i="2"/>
  <c r="V1589" i="2" s="1"/>
  <c r="W1483" i="2"/>
  <c r="T124" i="2"/>
  <c r="Y191" i="2"/>
  <c r="Z1573" i="2"/>
  <c r="Z1569" i="2" s="1"/>
  <c r="AA164" i="2"/>
  <c r="U1483" i="2"/>
  <c r="U81" i="2"/>
  <c r="U86" i="2" s="1"/>
  <c r="U89" i="2" s="1"/>
  <c r="Y177" i="2"/>
  <c r="U238" i="2"/>
  <c r="X177" i="2"/>
  <c r="AA238" i="2"/>
  <c r="Z1483" i="2"/>
  <c r="W1573" i="2"/>
  <c r="W1569" i="2" s="1"/>
  <c r="T238" i="2"/>
  <c r="T247" i="2"/>
  <c r="U195" i="2"/>
  <c r="X191" i="2"/>
  <c r="AA372" i="2"/>
  <c r="AB81" i="2"/>
  <c r="AB86" i="2" s="1"/>
  <c r="AB89" i="2" s="1"/>
  <c r="Y135" i="2"/>
  <c r="Y136" i="2" s="1"/>
  <c r="U177" i="2"/>
  <c r="AA177" i="2"/>
  <c r="S121" i="2"/>
  <c r="T412" i="2"/>
  <c r="AC135" i="2"/>
  <c r="AC136" i="2" s="1"/>
  <c r="U427" i="2"/>
  <c r="U425" i="2" s="1"/>
  <c r="X195" i="2"/>
  <c r="U14" i="2"/>
  <c r="U20" i="2" s="1"/>
  <c r="S1527" i="2"/>
  <c r="AA1569" i="2"/>
  <c r="V1540" i="2"/>
  <c r="V1549" i="2" s="1"/>
  <c r="AA14" i="2"/>
  <c r="Y1496" i="2"/>
  <c r="Y1505" i="2" s="1"/>
  <c r="X1569" i="2"/>
  <c r="Y121" i="2"/>
  <c r="U110" i="2"/>
  <c r="W1496" i="2"/>
  <c r="W1505" i="2" s="1"/>
  <c r="AB121" i="2"/>
  <c r="X1487" i="2"/>
  <c r="X1496" i="2" s="1"/>
  <c r="X1505" i="2" s="1"/>
  <c r="AC164" i="2"/>
  <c r="X81" i="2"/>
  <c r="X86" i="2" s="1"/>
  <c r="X89" i="2" s="1"/>
  <c r="V834" i="2"/>
  <c r="V1465" i="2" s="1"/>
  <c r="V1463" i="2" s="1"/>
  <c r="AA124" i="2"/>
  <c r="X1581" i="2"/>
  <c r="X1588" i="2" s="1"/>
  <c r="V1527" i="2"/>
  <c r="T1496" i="2"/>
  <c r="T1505" i="2" s="1"/>
  <c r="T81" i="2"/>
  <c r="AD81" i="2" s="1"/>
  <c r="AB79" i="2"/>
  <c r="AB14" i="2" s="1"/>
  <c r="AB1294" i="2" s="1"/>
  <c r="AB1300" i="2" s="1"/>
  <c r="AB124" i="2"/>
  <c r="AB1483" i="2"/>
  <c r="X1540" i="2"/>
  <c r="X1549" i="2" s="1"/>
  <c r="Z412" i="2"/>
  <c r="AA1483" i="2"/>
  <c r="S1483" i="2"/>
  <c r="Z110" i="2"/>
  <c r="X1527" i="2"/>
  <c r="S17" i="2"/>
  <c r="U834" i="2"/>
  <c r="U1465" i="2" s="1"/>
  <c r="U1463" i="2" s="1"/>
  <c r="U58" i="2"/>
  <c r="U57" i="2" s="1"/>
  <c r="Y834" i="2"/>
  <c r="Y1465" i="2" s="1"/>
  <c r="Y1463" i="2" s="1"/>
  <c r="Y58" i="2"/>
  <c r="Y57" i="2" s="1"/>
  <c r="Y1483" i="2"/>
  <c r="T1483" i="2"/>
  <c r="AA136" i="2"/>
  <c r="AA139" i="2"/>
  <c r="AA140" i="2" s="1"/>
  <c r="V14" i="2"/>
  <c r="V1455" i="2" s="1"/>
  <c r="S1569" i="2"/>
  <c r="W372" i="2"/>
  <c r="W14" i="2"/>
  <c r="Y1527" i="2"/>
  <c r="Z14" i="2"/>
  <c r="Z1455" i="2" s="1"/>
  <c r="Y86" i="2"/>
  <c r="Y89" i="2" s="1"/>
  <c r="AC190" i="2"/>
  <c r="AC177" i="2"/>
  <c r="AC14" i="2"/>
  <c r="T14" i="2"/>
  <c r="AC406" i="2"/>
  <c r="AC372" i="2"/>
  <c r="AB139" i="2"/>
  <c r="AB140" i="2" s="1"/>
  <c r="AB136" i="2"/>
  <c r="AB406" i="2"/>
  <c r="AB372" i="2"/>
  <c r="U139" i="2"/>
  <c r="U140" i="2" s="1"/>
  <c r="U136" i="2"/>
  <c r="T139" i="2"/>
  <c r="T140" i="2" s="1"/>
  <c r="T136" i="2"/>
  <c r="T406" i="2"/>
  <c r="T372" i="2"/>
  <c r="X14" i="2"/>
  <c r="X372" i="2"/>
  <c r="X406" i="2"/>
  <c r="Y372" i="2"/>
  <c r="Y14" i="2"/>
  <c r="Y406" i="2"/>
  <c r="AB412" i="2"/>
  <c r="U406" i="2"/>
  <c r="U372" i="2"/>
  <c r="U412" i="2"/>
  <c r="T1537" i="2"/>
  <c r="T1546" i="2" s="1"/>
  <c r="T1518" i="2"/>
  <c r="Z135" i="2"/>
  <c r="Z124" i="2"/>
  <c r="Z81" i="2"/>
  <c r="S1496" i="2"/>
  <c r="S1505" i="2" s="1"/>
  <c r="T1493" i="2"/>
  <c r="T1502" i="2" s="1"/>
  <c r="T1474" i="2"/>
  <c r="U1540" i="2"/>
  <c r="U1549" i="2" s="1"/>
  <c r="Y1578" i="2"/>
  <c r="Y1585" i="2" s="1"/>
  <c r="Y1562" i="2"/>
  <c r="AC1581" i="2"/>
  <c r="AC1588" i="2" s="1"/>
  <c r="V1581" i="2"/>
  <c r="V1588" i="2" s="1"/>
  <c r="S411" i="2"/>
  <c r="S412" i="2" s="1"/>
  <c r="S406" i="2"/>
  <c r="X1537" i="2"/>
  <c r="X1546" i="2" s="1"/>
  <c r="X1518" i="2"/>
  <c r="AB1540" i="2"/>
  <c r="AB1549" i="2" s="1"/>
  <c r="AC1527" i="2"/>
  <c r="S1455" i="2"/>
  <c r="Z194" i="2"/>
  <c r="Z195" i="2" s="1"/>
  <c r="Z191" i="2"/>
  <c r="T1569" i="2"/>
  <c r="U1496" i="2"/>
  <c r="U1505" i="2" s="1"/>
  <c r="Z427" i="2"/>
  <c r="Z444" i="2"/>
  <c r="Z1537" i="2"/>
  <c r="Z1546" i="2" s="1"/>
  <c r="Z1518" i="2"/>
  <c r="W444" i="2"/>
  <c r="W1493" i="2"/>
  <c r="W1502" i="2" s="1"/>
  <c r="W1474" i="2"/>
  <c r="T1578" i="2"/>
  <c r="T1585" i="2" s="1"/>
  <c r="T1562" i="2"/>
  <c r="U1493" i="2"/>
  <c r="U1502" i="2" s="1"/>
  <c r="U1474" i="2"/>
  <c r="Z406" i="2"/>
  <c r="Z372" i="2"/>
  <c r="V194" i="2"/>
  <c r="V195" i="2" s="1"/>
  <c r="V191" i="2"/>
  <c r="S1537" i="2"/>
  <c r="S1546" i="2" s="1"/>
  <c r="S1518" i="2"/>
  <c r="AA1578" i="2"/>
  <c r="AA1585" i="2" s="1"/>
  <c r="AA1562" i="2"/>
  <c r="V1537" i="2"/>
  <c r="V1546" i="2" s="1"/>
  <c r="V1518" i="2"/>
  <c r="S1493" i="2"/>
  <c r="S1502" i="2" s="1"/>
  <c r="S1474" i="2"/>
  <c r="X1578" i="2"/>
  <c r="X1585" i="2" s="1"/>
  <c r="X1562" i="2"/>
  <c r="V406" i="2"/>
  <c r="V372" i="2"/>
  <c r="V412" i="2"/>
  <c r="W1537" i="2"/>
  <c r="W1546" i="2" s="1"/>
  <c r="W1518" i="2"/>
  <c r="AA1540" i="2"/>
  <c r="AA1549" i="2" s="1"/>
  <c r="S1581" i="2"/>
  <c r="S1588" i="2" s="1"/>
  <c r="U1537" i="2"/>
  <c r="U1546" i="2" s="1"/>
  <c r="U1518" i="2"/>
  <c r="Y1540" i="2"/>
  <c r="Y1549" i="2" s="1"/>
  <c r="AC1578" i="2"/>
  <c r="AC1585" i="2" s="1"/>
  <c r="AC1562" i="2"/>
  <c r="AB1537" i="2"/>
  <c r="AB1546" i="2" s="1"/>
  <c r="AB1518" i="2"/>
  <c r="Z1496" i="2"/>
  <c r="Z1505" i="2" s="1"/>
  <c r="W427" i="2"/>
  <c r="AB1493" i="2"/>
  <c r="AB1502" i="2" s="1"/>
  <c r="AB1474" i="2"/>
  <c r="Y1537" i="2"/>
  <c r="Y1546" i="2" s="1"/>
  <c r="Y1518" i="2"/>
  <c r="AC1540" i="2"/>
  <c r="AC1549" i="2" s="1"/>
  <c r="U1581" i="2"/>
  <c r="U1588" i="2" s="1"/>
  <c r="Z1493" i="2"/>
  <c r="Z1502" i="2" s="1"/>
  <c r="Z1474" i="2"/>
  <c r="S413" i="2"/>
  <c r="S444" i="2"/>
  <c r="S427" i="2"/>
  <c r="S425" i="2" s="1"/>
  <c r="U1569" i="2"/>
  <c r="Z1578" i="2"/>
  <c r="Z1585" i="2" s="1"/>
  <c r="Z1562" i="2"/>
  <c r="AA411" i="2"/>
  <c r="AA412" i="2" s="1"/>
  <c r="AA406" i="2"/>
  <c r="X1493" i="2"/>
  <c r="X1502" i="2" s="1"/>
  <c r="X1474" i="2"/>
  <c r="AB1527" i="2"/>
  <c r="V1578" i="2"/>
  <c r="V1585" i="2" s="1"/>
  <c r="V1562" i="2"/>
  <c r="AB1578" i="2"/>
  <c r="AB1585" i="2" s="1"/>
  <c r="AB1562" i="2"/>
  <c r="AC1493" i="2"/>
  <c r="AC1502" i="2" s="1"/>
  <c r="AC1474" i="2"/>
  <c r="Z1540" i="2"/>
  <c r="Z1549" i="2" s="1"/>
  <c r="AA1537" i="2"/>
  <c r="AA1546" i="2" s="1"/>
  <c r="AA1518" i="2"/>
  <c r="S1578" i="2"/>
  <c r="S1585" i="2" s="1"/>
  <c r="S1562" i="2"/>
  <c r="V1493" i="2"/>
  <c r="V1502" i="2" s="1"/>
  <c r="V1474" i="2"/>
  <c r="AA1493" i="2"/>
  <c r="AA1502" i="2" s="1"/>
  <c r="AA1474" i="2"/>
  <c r="W1527" i="2"/>
  <c r="T1581" i="2"/>
  <c r="T1588" i="2" s="1"/>
  <c r="Y1493" i="2"/>
  <c r="Y1502" i="2" s="1"/>
  <c r="Y1474" i="2"/>
  <c r="U1527" i="2"/>
  <c r="T191" i="2"/>
  <c r="T194" i="2"/>
  <c r="T195" i="2" s="1"/>
  <c r="V1569" i="2"/>
  <c r="S1540" i="2"/>
  <c r="S1549" i="2" s="1"/>
  <c r="W1578" i="2"/>
  <c r="W1585" i="2" s="1"/>
  <c r="W1562" i="2"/>
  <c r="AA1581" i="2"/>
  <c r="AA1588" i="2" s="1"/>
  <c r="AC1537" i="2"/>
  <c r="AC1546" i="2" s="1"/>
  <c r="AC1518" i="2"/>
  <c r="U1578" i="2"/>
  <c r="U1585" i="2" s="1"/>
  <c r="U1562" i="2"/>
  <c r="Y1581" i="2"/>
  <c r="Y1588" i="2" s="1"/>
  <c r="V427" i="2"/>
  <c r="V444" i="2"/>
  <c r="AC1483" i="2" l="1"/>
  <c r="AC1492" i="2" s="1"/>
  <c r="AC1501" i="2" s="1"/>
  <c r="AC1514" i="2" s="1"/>
  <c r="AC1515" i="2" s="1"/>
  <c r="AB272" i="2"/>
  <c r="AG89" i="2"/>
  <c r="Z425" i="2"/>
  <c r="Z435" i="2"/>
  <c r="Z196" i="2" s="1"/>
  <c r="Z439" i="2"/>
  <c r="Z278" i="2" s="1"/>
  <c r="Z443" i="2"/>
  <c r="Z341" i="2" s="1"/>
  <c r="Z447" i="2"/>
  <c r="Z413" i="2" s="1"/>
  <c r="Z431" i="2"/>
  <c r="Z90" i="2" s="1"/>
  <c r="Z272" i="2"/>
  <c r="Z276" i="2" s="1"/>
  <c r="Z277" i="2" s="1"/>
  <c r="X110" i="2"/>
  <c r="W139" i="2"/>
  <c r="W140" i="2" s="1"/>
  <c r="W425" i="2"/>
  <c r="W447" i="2"/>
  <c r="W413" i="2" s="1"/>
  <c r="W435" i="2"/>
  <c r="W196" i="2" s="1"/>
  <c r="W443" i="2"/>
  <c r="W341" i="2" s="1"/>
  <c r="W439" i="2"/>
  <c r="W278" i="2" s="1"/>
  <c r="W431" i="2"/>
  <c r="W90" i="2" s="1"/>
  <c r="W17" i="2"/>
  <c r="W1297" i="2" s="1"/>
  <c r="W1304" i="2" s="1"/>
  <c r="W273" i="2"/>
  <c r="V135" i="2"/>
  <c r="V139" i="2" s="1"/>
  <c r="V140" i="2" s="1"/>
  <c r="V81" i="2"/>
  <c r="V86" i="2" s="1"/>
  <c r="V89" i="2" s="1"/>
  <c r="AE89" i="2" s="1"/>
  <c r="V1483" i="2"/>
  <c r="V1492" i="2" s="1"/>
  <c r="V425" i="2"/>
  <c r="V439" i="2"/>
  <c r="V278" i="2" s="1"/>
  <c r="V443" i="2"/>
  <c r="V341" i="2" s="1"/>
  <c r="V435" i="2"/>
  <c r="V196" i="2" s="1"/>
  <c r="V431" i="2"/>
  <c r="V90" i="2" s="1"/>
  <c r="V447" i="2"/>
  <c r="V413" i="2" s="1"/>
  <c r="AD1541" i="2"/>
  <c r="T1527" i="2"/>
  <c r="AD1527" i="2" s="1"/>
  <c r="T1540" i="2"/>
  <c r="T1549" i="2" s="1"/>
  <c r="AD114" i="2"/>
  <c r="T110" i="2"/>
  <c r="S136" i="2"/>
  <c r="S18" i="2"/>
  <c r="S20" i="2"/>
  <c r="AA17" i="2"/>
  <c r="AA1297" i="2" s="1"/>
  <c r="AA1304" i="2" s="1"/>
  <c r="Z1536" i="2"/>
  <c r="Z1557" i="2" s="1"/>
  <c r="W239" i="2"/>
  <c r="V272" i="2"/>
  <c r="V276" i="2" s="1"/>
  <c r="V277" i="2" s="1"/>
  <c r="AD427" i="2"/>
  <c r="S1158" i="2"/>
  <c r="S1151" i="2" s="1"/>
  <c r="AD58" i="2"/>
  <c r="AG33" i="18"/>
  <c r="AF33" i="18"/>
  <c r="AH32" i="18"/>
  <c r="AH33" i="18" s="1"/>
  <c r="AI249" i="18"/>
  <c r="AI250" i="18" s="1"/>
  <c r="AI246" i="18"/>
  <c r="AI167" i="18"/>
  <c r="AI168" i="18" s="1"/>
  <c r="AI164" i="18"/>
  <c r="AG1088" i="18"/>
  <c r="AI1087" i="18"/>
  <c r="AI1088" i="18" s="1"/>
  <c r="Z1492" i="2"/>
  <c r="Z1513" i="2" s="1"/>
  <c r="S272" i="2"/>
  <c r="S273" i="2" s="1"/>
  <c r="AD1583" i="2"/>
  <c r="AC17" i="2"/>
  <c r="AC18" i="2" s="1"/>
  <c r="AD1581" i="2"/>
  <c r="AC139" i="2"/>
  <c r="AC140" i="2" s="1"/>
  <c r="AB17" i="2"/>
  <c r="AB1297" i="2" s="1"/>
  <c r="AB1304" i="2" s="1"/>
  <c r="V1536" i="2"/>
  <c r="V1545" i="2" s="1"/>
  <c r="V1558" i="2" s="1"/>
  <c r="V1559" i="2" s="1"/>
  <c r="AA1536" i="2"/>
  <c r="AA1545" i="2" s="1"/>
  <c r="AA1558" i="2" s="1"/>
  <c r="AA1559" i="2" s="1"/>
  <c r="AB191" i="2"/>
  <c r="S1492" i="2"/>
  <c r="S1501" i="2" s="1"/>
  <c r="S1514" i="2" s="1"/>
  <c r="S1515" i="2" s="1"/>
  <c r="AC239" i="2"/>
  <c r="U1455" i="2"/>
  <c r="U1464" i="2" s="1"/>
  <c r="W1581" i="2"/>
  <c r="W1588" i="2" s="1"/>
  <c r="AD14" i="2"/>
  <c r="Y239" i="2"/>
  <c r="AD1518" i="2"/>
  <c r="Y17" i="2"/>
  <c r="Y1297" i="2" s="1"/>
  <c r="Y1304" i="2" s="1"/>
  <c r="Y1308" i="2" s="1"/>
  <c r="Y1313" i="2" s="1"/>
  <c r="Y1315" i="2" s="1"/>
  <c r="AD1474" i="2"/>
  <c r="AD1582" i="2"/>
  <c r="S24" i="2"/>
  <c r="S25" i="2" s="1"/>
  <c r="AD1578" i="2"/>
  <c r="AD1537" i="2"/>
  <c r="X273" i="2"/>
  <c r="AD1498" i="2"/>
  <c r="AD1544" i="2"/>
  <c r="AD1493" i="2"/>
  <c r="AB1569" i="2"/>
  <c r="AB1577" i="2" s="1"/>
  <c r="W1492" i="2"/>
  <c r="W1501" i="2" s="1"/>
  <c r="W1514" i="2" s="1"/>
  <c r="W1515" i="2" s="1"/>
  <c r="AD1487" i="2"/>
  <c r="AD1562" i="2"/>
  <c r="X239" i="2"/>
  <c r="AD121" i="2"/>
  <c r="U1294" i="2"/>
  <c r="U1300" i="2" s="1"/>
  <c r="AC1536" i="2"/>
  <c r="AC1545" i="2" s="1"/>
  <c r="AC1558" i="2" s="1"/>
  <c r="AC1559" i="2" s="1"/>
  <c r="U1492" i="2"/>
  <c r="U1501" i="2" s="1"/>
  <c r="U1514" i="2" s="1"/>
  <c r="U1515" i="2" s="1"/>
  <c r="U272" i="2"/>
  <c r="U239" i="2"/>
  <c r="AB1492" i="2"/>
  <c r="AB1501" i="2" s="1"/>
  <c r="AB1514" i="2" s="1"/>
  <c r="AB1515" i="2" s="1"/>
  <c r="S1536" i="2"/>
  <c r="S1557" i="2" s="1"/>
  <c r="X17" i="2"/>
  <c r="X16" i="2" s="1"/>
  <c r="X1458" i="2" s="1"/>
  <c r="X1456" i="2" s="1"/>
  <c r="U17" i="2"/>
  <c r="U16" i="2" s="1"/>
  <c r="U1458" i="2" s="1"/>
  <c r="U1456" i="2" s="1"/>
  <c r="Y139" i="2"/>
  <c r="Y140" i="2" s="1"/>
  <c r="AA272" i="2"/>
  <c r="AA239" i="2"/>
  <c r="AA1492" i="2"/>
  <c r="AA1513" i="2" s="1"/>
  <c r="AA20" i="2"/>
  <c r="Z1581" i="2"/>
  <c r="Z1588" i="2" s="1"/>
  <c r="T272" i="2"/>
  <c r="T239" i="2"/>
  <c r="Y276" i="2"/>
  <c r="Y277" i="2" s="1"/>
  <c r="Y273" i="2"/>
  <c r="S1297" i="2"/>
  <c r="S1304" i="2" s="1"/>
  <c r="S16" i="2"/>
  <c r="S1458" i="2" s="1"/>
  <c r="S1456" i="2" s="1"/>
  <c r="S1457" i="2" s="1"/>
  <c r="X136" i="2"/>
  <c r="AA1294" i="2"/>
  <c r="AA1455" i="2"/>
  <c r="AA1464" i="2" s="1"/>
  <c r="Z20" i="2"/>
  <c r="X1483" i="2"/>
  <c r="X1492" i="2" s="1"/>
  <c r="Y1492" i="2"/>
  <c r="Y1513" i="2" s="1"/>
  <c r="V20" i="2"/>
  <c r="V1294" i="2"/>
  <c r="V1300" i="2" s="1"/>
  <c r="X1536" i="2"/>
  <c r="X1557" i="2" s="1"/>
  <c r="AB20" i="2"/>
  <c r="AB1455" i="2"/>
  <c r="AB1464" i="2" s="1"/>
  <c r="AB276" i="2"/>
  <c r="AB277" i="2" s="1"/>
  <c r="AB273" i="2"/>
  <c r="T86" i="2"/>
  <c r="T89" i="2" s="1"/>
  <c r="AD89" i="2" s="1"/>
  <c r="T17" i="2"/>
  <c r="AD17" i="2" s="1"/>
  <c r="Z1294" i="2"/>
  <c r="Z1300" i="2" s="1"/>
  <c r="Y1536" i="2"/>
  <c r="Y1545" i="2" s="1"/>
  <c r="Y1558" i="2" s="1"/>
  <c r="Y1559" i="2" s="1"/>
  <c r="T1492" i="2"/>
  <c r="T1513" i="2" s="1"/>
  <c r="AC276" i="2"/>
  <c r="AC277" i="2" s="1"/>
  <c r="AC273" i="2"/>
  <c r="AC194" i="2"/>
  <c r="AC195" i="2" s="1"/>
  <c r="AC191" i="2"/>
  <c r="W1455" i="2"/>
  <c r="W1294" i="2"/>
  <c r="W20" i="2"/>
  <c r="Y1294" i="2"/>
  <c r="Y20" i="2"/>
  <c r="Y1455" i="2"/>
  <c r="X1455" i="2"/>
  <c r="X20" i="2"/>
  <c r="X1294" i="2"/>
  <c r="T1455" i="2"/>
  <c r="T1464" i="2" s="1"/>
  <c r="T1294" i="2"/>
  <c r="T20" i="2"/>
  <c r="AC1455" i="2"/>
  <c r="AC20" i="2"/>
  <c r="AC1294" i="2"/>
  <c r="W1577" i="2"/>
  <c r="S1577" i="2"/>
  <c r="V1464" i="2"/>
  <c r="AB1536" i="2"/>
  <c r="AA1577" i="2"/>
  <c r="Z86" i="2"/>
  <c r="Z89" i="2" s="1"/>
  <c r="AF89" i="2" s="1"/>
  <c r="Z17" i="2"/>
  <c r="U1536" i="2"/>
  <c r="S1300" i="2"/>
  <c r="U1577" i="2"/>
  <c r="Z1464" i="2"/>
  <c r="Z1577" i="2"/>
  <c r="AC1577" i="2"/>
  <c r="X1577" i="2"/>
  <c r="S1464" i="2"/>
  <c r="Z139" i="2"/>
  <c r="Z140" i="2" s="1"/>
  <c r="Z136" i="2"/>
  <c r="V1577" i="2"/>
  <c r="S28" i="2"/>
  <c r="W1536" i="2"/>
  <c r="T1577" i="2"/>
  <c r="Y1577" i="2"/>
  <c r="AC24" i="2" l="1"/>
  <c r="AC25" i="2" s="1"/>
  <c r="AB18" i="2"/>
  <c r="AB16" i="2"/>
  <c r="AB1458" i="2" s="1"/>
  <c r="AB1456" i="2" s="1"/>
  <c r="AB1461" i="2" s="1"/>
  <c r="AI89" i="2"/>
  <c r="AA18" i="2"/>
  <c r="AA16" i="2"/>
  <c r="AA1458" i="2" s="1"/>
  <c r="AA1456" i="2" s="1"/>
  <c r="AA1457" i="2" s="1"/>
  <c r="AA24" i="2"/>
  <c r="AA28" i="2" s="1"/>
  <c r="AA33" i="2" s="1"/>
  <c r="AA35" i="2" s="1"/>
  <c r="AA36" i="2" s="1"/>
  <c r="Z273" i="2"/>
  <c r="Z1545" i="2"/>
  <c r="Z1558" i="2" s="1"/>
  <c r="Z1559" i="2" s="1"/>
  <c r="Z1501" i="2"/>
  <c r="Z1514" i="2" s="1"/>
  <c r="Z1515" i="2" s="1"/>
  <c r="W1298" i="2"/>
  <c r="W24" i="2"/>
  <c r="W25" i="2" s="1"/>
  <c r="W16" i="2"/>
  <c r="W1458" i="2" s="1"/>
  <c r="W1456" i="2" s="1"/>
  <c r="W1457" i="2" s="1"/>
  <c r="W18" i="2"/>
  <c r="V17" i="2"/>
  <c r="V18" i="2" s="1"/>
  <c r="V136" i="2"/>
  <c r="AH89" i="2"/>
  <c r="V1557" i="2"/>
  <c r="V1513" i="2"/>
  <c r="V1501" i="2"/>
  <c r="V1514" i="2" s="1"/>
  <c r="V1515" i="2" s="1"/>
  <c r="U1513" i="2"/>
  <c r="T1536" i="2"/>
  <c r="AD1536" i="2" s="1"/>
  <c r="AD1540" i="2"/>
  <c r="T1158" i="2"/>
  <c r="T1151" i="2" s="1"/>
  <c r="S1183" i="2"/>
  <c r="S1513" i="2"/>
  <c r="S276" i="2"/>
  <c r="S277" i="2" s="1"/>
  <c r="AA1557" i="2"/>
  <c r="AA1501" i="2"/>
  <c r="AA1514" i="2" s="1"/>
  <c r="AA1515" i="2" s="1"/>
  <c r="V273" i="2"/>
  <c r="AD1569" i="2"/>
  <c r="AI32" i="18"/>
  <c r="AI33" i="18" s="1"/>
  <c r="AC1297" i="2"/>
  <c r="AC1298" i="2" s="1"/>
  <c r="AC1557" i="2"/>
  <c r="AC16" i="2"/>
  <c r="AC1458" i="2" s="1"/>
  <c r="AC1456" i="2" s="1"/>
  <c r="AC1457" i="2" s="1"/>
  <c r="U1457" i="2"/>
  <c r="S1545" i="2"/>
  <c r="S1558" i="2" s="1"/>
  <c r="S1559" i="2" s="1"/>
  <c r="AB24" i="2"/>
  <c r="AB28" i="2" s="1"/>
  <c r="AB33" i="2" s="1"/>
  <c r="AB35" i="2" s="1"/>
  <c r="AB36" i="2" s="1"/>
  <c r="AB1298" i="2"/>
  <c r="AB1296" i="2"/>
  <c r="W1513" i="2"/>
  <c r="Y16" i="2"/>
  <c r="Y1458" i="2" s="1"/>
  <c r="Y1456" i="2" s="1"/>
  <c r="Y1461" i="2" s="1"/>
  <c r="Y24" i="2"/>
  <c r="Y28" i="2" s="1"/>
  <c r="Y33" i="2" s="1"/>
  <c r="Y35" i="2" s="1"/>
  <c r="Y36" i="2" s="1"/>
  <c r="Y1501" i="2"/>
  <c r="Y1514" i="2" s="1"/>
  <c r="Y1515" i="2" s="1"/>
  <c r="Y18" i="2"/>
  <c r="X24" i="2"/>
  <c r="X28" i="2" s="1"/>
  <c r="X1297" i="2"/>
  <c r="X1298" i="2" s="1"/>
  <c r="AC1513" i="2"/>
  <c r="AD1577" i="2"/>
  <c r="Y1557" i="2"/>
  <c r="AD1492" i="2"/>
  <c r="AD1483" i="2"/>
  <c r="AD1543" i="2"/>
  <c r="AD1496" i="2"/>
  <c r="U18" i="2"/>
  <c r="S1298" i="2"/>
  <c r="AB1513" i="2"/>
  <c r="U1297" i="2"/>
  <c r="U1296" i="2" s="1"/>
  <c r="U1461" i="2"/>
  <c r="U1470" i="2" s="1"/>
  <c r="U1471" i="2" s="1"/>
  <c r="AA276" i="2"/>
  <c r="AA277" i="2" s="1"/>
  <c r="AA273" i="2"/>
  <c r="X18" i="2"/>
  <c r="U24" i="2"/>
  <c r="U28" i="2" s="1"/>
  <c r="U273" i="2"/>
  <c r="U276" i="2"/>
  <c r="U277" i="2" s="1"/>
  <c r="T273" i="2"/>
  <c r="T276" i="2"/>
  <c r="T277" i="2" s="1"/>
  <c r="AA1300" i="2"/>
  <c r="AA1296" i="2"/>
  <c r="T1501" i="2"/>
  <c r="T1514" i="2" s="1"/>
  <c r="T1515" i="2" s="1"/>
  <c r="AA1298" i="2"/>
  <c r="S1461" i="2"/>
  <c r="S1470" i="2" s="1"/>
  <c r="S1471" i="2" s="1"/>
  <c r="S1296" i="2"/>
  <c r="Y1316" i="2"/>
  <c r="X1513" i="2"/>
  <c r="X1501" i="2"/>
  <c r="X1514" i="2" s="1"/>
  <c r="X1515" i="2" s="1"/>
  <c r="X1545" i="2"/>
  <c r="X1558" i="2" s="1"/>
  <c r="X1559" i="2" s="1"/>
  <c r="Y1309" i="2"/>
  <c r="T18" i="2"/>
  <c r="T24" i="2"/>
  <c r="AD24" i="2" s="1"/>
  <c r="T1297" i="2"/>
  <c r="T1296" i="2" s="1"/>
  <c r="T16" i="2"/>
  <c r="T1458" i="2" s="1"/>
  <c r="T1456" i="2" s="1"/>
  <c r="T1461" i="2" s="1"/>
  <c r="T1470" i="2" s="1"/>
  <c r="T1471" i="2" s="1"/>
  <c r="X1457" i="2"/>
  <c r="W1296" i="2"/>
  <c r="W1300" i="2"/>
  <c r="W1464" i="2"/>
  <c r="AC1464" i="2"/>
  <c r="X1461" i="2"/>
  <c r="X1464" i="2"/>
  <c r="AC1300" i="2"/>
  <c r="T1300" i="2"/>
  <c r="X1300" i="2"/>
  <c r="Y1464" i="2"/>
  <c r="Y1296" i="2"/>
  <c r="Y1298" i="2"/>
  <c r="Y1300" i="2"/>
  <c r="Y1305" i="2"/>
  <c r="T1594" i="2"/>
  <c r="T1584" i="2"/>
  <c r="T1595" i="2" s="1"/>
  <c r="T1596" i="2" s="1"/>
  <c r="AB1594" i="2"/>
  <c r="AB1584" i="2"/>
  <c r="AB1595" i="2" s="1"/>
  <c r="AB1596" i="2" s="1"/>
  <c r="AA1308" i="2"/>
  <c r="AA1305" i="2"/>
  <c r="W1594" i="2"/>
  <c r="W1584" i="2"/>
  <c r="W1595" i="2" s="1"/>
  <c r="W1596" i="2" s="1"/>
  <c r="Y1594" i="2"/>
  <c r="Y1584" i="2"/>
  <c r="Y1595" i="2" s="1"/>
  <c r="Y1596" i="2" s="1"/>
  <c r="W1557" i="2"/>
  <c r="W1545" i="2"/>
  <c r="W1558" i="2" s="1"/>
  <c r="W1559" i="2" s="1"/>
  <c r="S33" i="2"/>
  <c r="S35" i="2" s="1"/>
  <c r="S36" i="2" s="1"/>
  <c r="S29" i="2"/>
  <c r="S1308" i="2"/>
  <c r="S1305" i="2"/>
  <c r="V1594" i="2"/>
  <c r="V1584" i="2"/>
  <c r="V1595" i="2" s="1"/>
  <c r="V1596" i="2" s="1"/>
  <c r="X1594" i="2"/>
  <c r="X1584" i="2"/>
  <c r="X1595" i="2" s="1"/>
  <c r="X1596" i="2" s="1"/>
  <c r="AC1594" i="2"/>
  <c r="AC1584" i="2"/>
  <c r="AC1595" i="2" s="1"/>
  <c r="AC1596" i="2" s="1"/>
  <c r="U1557" i="2"/>
  <c r="U1545" i="2"/>
  <c r="U1558" i="2" s="1"/>
  <c r="U1559" i="2" s="1"/>
  <c r="S1594" i="2"/>
  <c r="S1584" i="2"/>
  <c r="S1595" i="2" s="1"/>
  <c r="S1596" i="2" s="1"/>
  <c r="W1308" i="2"/>
  <c r="W1305" i="2"/>
  <c r="Z1594" i="2"/>
  <c r="Z1584" i="2"/>
  <c r="Z1595" i="2" s="1"/>
  <c r="Z1596" i="2" s="1"/>
  <c r="U1594" i="2"/>
  <c r="U1584" i="2"/>
  <c r="U1595" i="2" s="1"/>
  <c r="U1596" i="2" s="1"/>
  <c r="Z1297" i="2"/>
  <c r="Z24" i="2"/>
  <c r="Z18" i="2"/>
  <c r="Z16" i="2"/>
  <c r="Z1458" i="2" s="1"/>
  <c r="Z1456" i="2" s="1"/>
  <c r="AA1594" i="2"/>
  <c r="AA1584" i="2"/>
  <c r="AA1595" i="2" s="1"/>
  <c r="AA1596" i="2" s="1"/>
  <c r="AB1557" i="2"/>
  <c r="AB1545" i="2"/>
  <c r="AB1558" i="2" s="1"/>
  <c r="AB1559" i="2" s="1"/>
  <c r="AB1308" i="2"/>
  <c r="AB1305" i="2"/>
  <c r="AC28" i="2" l="1"/>
  <c r="AC29" i="2" s="1"/>
  <c r="AC1304" i="2"/>
  <c r="AC1305" i="2" s="1"/>
  <c r="AC1296" i="2"/>
  <c r="AJ89" i="2"/>
  <c r="AB1457" i="2"/>
  <c r="AA1461" i="2"/>
  <c r="AA1470" i="2" s="1"/>
  <c r="AA1471" i="2" s="1"/>
  <c r="AA29" i="2"/>
  <c r="AA25" i="2"/>
  <c r="Y25" i="2"/>
  <c r="X25" i="2"/>
  <c r="W28" i="2"/>
  <c r="W33" i="2" s="1"/>
  <c r="W35" i="2" s="1"/>
  <c r="W36" i="2" s="1"/>
  <c r="W1461" i="2"/>
  <c r="W1470" i="2" s="1"/>
  <c r="W1471" i="2" s="1"/>
  <c r="T1545" i="2"/>
  <c r="T1558" i="2" s="1"/>
  <c r="T1559" i="2" s="1"/>
  <c r="T1557" i="2"/>
  <c r="V1297" i="2"/>
  <c r="V1304" i="2" s="1"/>
  <c r="V24" i="2"/>
  <c r="V28" i="2" s="1"/>
  <c r="V16" i="2"/>
  <c r="V1458" i="2" s="1"/>
  <c r="V1456" i="2" s="1"/>
  <c r="V1457" i="2" s="1"/>
  <c r="T1183" i="2"/>
  <c r="U1158" i="2"/>
  <c r="U1151" i="2" s="1"/>
  <c r="AC1461" i="2"/>
  <c r="AC1470" i="2" s="1"/>
  <c r="AC1471" i="2" s="1"/>
  <c r="AB25" i="2"/>
  <c r="X1304" i="2"/>
  <c r="X1308" i="2" s="1"/>
  <c r="AD1294" i="2"/>
  <c r="Y29" i="2"/>
  <c r="Y1457" i="2"/>
  <c r="AD1296" i="2"/>
  <c r="AB29" i="2"/>
  <c r="U1304" i="2"/>
  <c r="U1305" i="2" s="1"/>
  <c r="S1462" i="2"/>
  <c r="S1468" i="2" s="1"/>
  <c r="S1469" i="2" s="1"/>
  <c r="X1296" i="2"/>
  <c r="AD1558" i="2"/>
  <c r="U1298" i="2"/>
  <c r="AD1513" i="2"/>
  <c r="AD1595" i="2"/>
  <c r="AD1594" i="2"/>
  <c r="AD16" i="2"/>
  <c r="AD1557" i="2"/>
  <c r="AD1297" i="2"/>
  <c r="U1462" i="2"/>
  <c r="U1468" i="2" s="1"/>
  <c r="U1469" i="2" s="1"/>
  <c r="U25" i="2"/>
  <c r="T1457" i="2"/>
  <c r="T1462" i="2"/>
  <c r="T1468" i="2" s="1"/>
  <c r="T1469" i="2" s="1"/>
  <c r="T1298" i="2"/>
  <c r="T1304" i="2"/>
  <c r="AD1304" i="2" s="1"/>
  <c r="T28" i="2"/>
  <c r="AD28" i="2" s="1"/>
  <c r="T25" i="2"/>
  <c r="AB1470" i="2"/>
  <c r="AB1471" i="2" s="1"/>
  <c r="AB1462" i="2"/>
  <c r="AB1468" i="2" s="1"/>
  <c r="AB1469" i="2" s="1"/>
  <c r="Y1470" i="2"/>
  <c r="Y1471" i="2" s="1"/>
  <c r="Y1462" i="2"/>
  <c r="Y1468" i="2" s="1"/>
  <c r="Y1469" i="2" s="1"/>
  <c r="U33" i="2"/>
  <c r="U35" i="2" s="1"/>
  <c r="U36" i="2" s="1"/>
  <c r="U29" i="2"/>
  <c r="X1470" i="2"/>
  <c r="X1471" i="2" s="1"/>
  <c r="X1462" i="2"/>
  <c r="X1468" i="2" s="1"/>
  <c r="X1469" i="2" s="1"/>
  <c r="X33" i="2"/>
  <c r="X35" i="2" s="1"/>
  <c r="X36" i="2" s="1"/>
  <c r="X29" i="2"/>
  <c r="Z28" i="2"/>
  <c r="Z25" i="2"/>
  <c r="AB1313" i="2"/>
  <c r="AB1315" i="2" s="1"/>
  <c r="AB1316" i="2" s="1"/>
  <c r="AB1309" i="2"/>
  <c r="Z1304" i="2"/>
  <c r="Z1298" i="2"/>
  <c r="Z1296" i="2"/>
  <c r="W1313" i="2"/>
  <c r="W1315" i="2" s="1"/>
  <c r="W1316" i="2" s="1"/>
  <c r="W1309" i="2"/>
  <c r="S1313" i="2"/>
  <c r="S1315" i="2" s="1"/>
  <c r="S1316" i="2" s="1"/>
  <c r="S1309" i="2"/>
  <c r="Z1457" i="2"/>
  <c r="Z1461" i="2"/>
  <c r="AA1313" i="2"/>
  <c r="AA1315" i="2" s="1"/>
  <c r="AA1316" i="2" s="1"/>
  <c r="AA1309" i="2"/>
  <c r="AC1308" i="2" l="1"/>
  <c r="AC1313" i="2" s="1"/>
  <c r="AC1315" i="2" s="1"/>
  <c r="AC33" i="2"/>
  <c r="AC35" i="2" s="1"/>
  <c r="AC36" i="2" s="1"/>
  <c r="AC1462" i="2"/>
  <c r="AC1468" i="2" s="1"/>
  <c r="AC1469" i="2" s="1"/>
  <c r="AA1462" i="2"/>
  <c r="AA1468" i="2" s="1"/>
  <c r="AA1469" i="2" s="1"/>
  <c r="W1462" i="2"/>
  <c r="W1468" i="2" s="1"/>
  <c r="W1469" i="2" s="1"/>
  <c r="W29" i="2"/>
  <c r="V1298" i="2"/>
  <c r="V1296" i="2"/>
  <c r="V25" i="2"/>
  <c r="V1461" i="2"/>
  <c r="V1470" i="2" s="1"/>
  <c r="V1471" i="2" s="1"/>
  <c r="V1158" i="2"/>
  <c r="V1151" i="2" s="1"/>
  <c r="U1183" i="2"/>
  <c r="U1308" i="2"/>
  <c r="U1313" i="2" s="1"/>
  <c r="U1315" i="2" s="1"/>
  <c r="U1316" i="2" s="1"/>
  <c r="X1305" i="2"/>
  <c r="AD34" i="2"/>
  <c r="AD1314" i="2"/>
  <c r="AD1514" i="2"/>
  <c r="T29" i="2"/>
  <c r="T33" i="2"/>
  <c r="T35" i="2" s="1"/>
  <c r="T36" i="2" s="1"/>
  <c r="T1305" i="2"/>
  <c r="T1308" i="2"/>
  <c r="AD1308" i="2" s="1"/>
  <c r="X1309" i="2"/>
  <c r="X1313" i="2"/>
  <c r="X1315" i="2" s="1"/>
  <c r="X1316" i="2" s="1"/>
  <c r="V33" i="2"/>
  <c r="V35" i="2" s="1"/>
  <c r="V36" i="2" s="1"/>
  <c r="V29" i="2"/>
  <c r="Z1470" i="2"/>
  <c r="Z1471" i="2" s="1"/>
  <c r="Z1462" i="2"/>
  <c r="Z1468" i="2" s="1"/>
  <c r="Z1469" i="2" s="1"/>
  <c r="V1308" i="2"/>
  <c r="V1305" i="2"/>
  <c r="Z1308" i="2"/>
  <c r="Z1305" i="2"/>
  <c r="Z33" i="2"/>
  <c r="Z35" i="2" s="1"/>
  <c r="Z36" i="2" s="1"/>
  <c r="Z29" i="2"/>
  <c r="AC1316" i="2" l="1"/>
  <c r="AC1309" i="2"/>
  <c r="W1158" i="2"/>
  <c r="W1151" i="2" s="1"/>
  <c r="V1183" i="2"/>
  <c r="V1462" i="2"/>
  <c r="V1468" i="2" s="1"/>
  <c r="V1469" i="2" s="1"/>
  <c r="U1309" i="2"/>
  <c r="AD33" i="2"/>
  <c r="AD35" i="2"/>
  <c r="T1309" i="2"/>
  <c r="T1313" i="2"/>
  <c r="T1315" i="2" s="1"/>
  <c r="T1316" i="2" s="1"/>
  <c r="Z1313" i="2"/>
  <c r="Z1315" i="2" s="1"/>
  <c r="Z1316" i="2" s="1"/>
  <c r="Z1309" i="2"/>
  <c r="V1313" i="2"/>
  <c r="V1315" i="2" s="1"/>
  <c r="V1316" i="2" s="1"/>
  <c r="V1309" i="2"/>
  <c r="W1183" i="2" l="1"/>
  <c r="X1158" i="2"/>
  <c r="X1151" i="2" s="1"/>
  <c r="AD1313" i="2"/>
  <c r="AD1315" i="2"/>
  <c r="Y1158" i="2" l="1"/>
  <c r="Y1151" i="2" s="1"/>
  <c r="X1183" i="2"/>
  <c r="AA1276" i="2"/>
  <c r="W1276" i="2"/>
  <c r="S1276" i="2"/>
  <c r="Z1276" i="2"/>
  <c r="V1276" i="2"/>
  <c r="AC1276" i="2"/>
  <c r="Y1276" i="2"/>
  <c r="U1276" i="2"/>
  <c r="AB1276" i="2"/>
  <c r="X1276" i="2"/>
  <c r="T1276" i="2"/>
  <c r="Y1183" i="2" l="1"/>
  <c r="Z1158" i="2"/>
  <c r="Z1151" i="2" s="1"/>
  <c r="S13" i="2"/>
  <c r="S1395" i="2"/>
  <c r="T1395" i="2" s="1"/>
  <c r="U1395" i="2" s="1"/>
  <c r="V1395" i="2" s="1"/>
  <c r="W1395" i="2" s="1"/>
  <c r="X1395" i="2" s="1"/>
  <c r="Y1395" i="2" s="1"/>
  <c r="Z1395" i="2" s="1"/>
  <c r="AA1395" i="2" s="1"/>
  <c r="AB1395" i="2" s="1"/>
  <c r="AC1395" i="2" s="1"/>
  <c r="Z1183" i="2" l="1"/>
  <c r="AA1158" i="2"/>
  <c r="AA1151" i="2" s="1"/>
  <c r="T13" i="2"/>
  <c r="T1251" i="2" s="1"/>
  <c r="S451" i="2"/>
  <c r="S1061" i="2"/>
  <c r="S1454" i="2"/>
  <c r="S1423" i="2"/>
  <c r="S1293" i="2"/>
  <c r="S1251" i="2"/>
  <c r="S1195" i="2"/>
  <c r="S78" i="2"/>
  <c r="AA1183" i="2" l="1"/>
  <c r="AB1158" i="2"/>
  <c r="AB1151" i="2" s="1"/>
  <c r="T78" i="2"/>
  <c r="T1195" i="2"/>
  <c r="U13" i="2"/>
  <c r="T1454" i="2"/>
  <c r="T1423" i="2"/>
  <c r="T1293" i="2"/>
  <c r="T451" i="2"/>
  <c r="T1061" i="2"/>
  <c r="AB1183" i="2" l="1"/>
  <c r="AC1158" i="2"/>
  <c r="AC1151" i="2" s="1"/>
  <c r="AC1183" i="2" s="1"/>
  <c r="AD1161" i="2"/>
  <c r="U451" i="2"/>
  <c r="U1061" i="2"/>
  <c r="U1293" i="2"/>
  <c r="V13" i="2"/>
  <c r="V1293" i="2" s="1"/>
  <c r="U1454" i="2"/>
  <c r="U78" i="2"/>
  <c r="U1195" i="2"/>
  <c r="U1251" i="2"/>
  <c r="U1423" i="2"/>
  <c r="W13" i="2" l="1"/>
  <c r="W1423" i="2" s="1"/>
  <c r="V451" i="2"/>
  <c r="V1061" i="2"/>
  <c r="V78" i="2"/>
  <c r="V1423" i="2"/>
  <c r="V1195" i="2"/>
  <c r="V1454" i="2"/>
  <c r="V1251" i="2"/>
  <c r="W1251" i="2" l="1"/>
  <c r="W1195" i="2"/>
  <c r="W1454" i="2"/>
  <c r="X13" i="2"/>
  <c r="X1251" i="2" s="1"/>
  <c r="W1293" i="2"/>
  <c r="W78" i="2"/>
  <c r="W451" i="2"/>
  <c r="W1061" i="2"/>
  <c r="X78" i="2" l="1"/>
  <c r="X1293" i="2"/>
  <c r="X1061" i="2"/>
  <c r="X1454" i="2"/>
  <c r="X1195" i="2"/>
  <c r="X451" i="2"/>
  <c r="X1423" i="2"/>
  <c r="Y13" i="2"/>
  <c r="Y451" i="2" s="1"/>
  <c r="Y78" i="2" l="1"/>
  <c r="Y1293" i="2"/>
  <c r="Y1195" i="2"/>
  <c r="Y1061" i="2"/>
  <c r="Y1454" i="2"/>
  <c r="Y1423" i="2"/>
  <c r="Z13" i="2"/>
  <c r="Z451" i="2" s="1"/>
  <c r="Y1251" i="2"/>
  <c r="Z78" i="2" l="1"/>
  <c r="Z1195" i="2"/>
  <c r="Z1061" i="2"/>
  <c r="Z1423" i="2"/>
  <c r="Z1454" i="2"/>
  <c r="Z1251" i="2"/>
  <c r="AA13" i="2"/>
  <c r="AA451" i="2" s="1"/>
  <c r="Z1293" i="2"/>
  <c r="AA1195" i="2" l="1"/>
  <c r="AA1251" i="2"/>
  <c r="AA1061" i="2"/>
  <c r="AA78" i="2"/>
  <c r="AA1423" i="2"/>
  <c r="AA1454" i="2"/>
  <c r="AB13" i="2"/>
  <c r="AB451" i="2" s="1"/>
  <c r="AA1293" i="2"/>
  <c r="AB78" i="2" l="1"/>
  <c r="AB1195" i="2"/>
  <c r="AB1454" i="2"/>
  <c r="AB1423" i="2"/>
  <c r="AB1293" i="2"/>
  <c r="AB1061" i="2"/>
  <c r="AC13" i="2"/>
  <c r="AC451" i="2" s="1"/>
  <c r="AB1251" i="2"/>
  <c r="AJ1293" i="2"/>
  <c r="AI1293" i="2"/>
  <c r="AH1293" i="2"/>
  <c r="AG1293" i="2"/>
  <c r="AF1293" i="2"/>
  <c r="AE1293" i="2"/>
  <c r="AD1293" i="2"/>
  <c r="AG1215" i="2"/>
  <c r="AF1215" i="2"/>
  <c r="AE1215" i="2"/>
  <c r="AG1210" i="2"/>
  <c r="AF1210" i="2"/>
  <c r="AE1210" i="2"/>
  <c r="AG1204" i="2"/>
  <c r="AF1204" i="2"/>
  <c r="AE1204" i="2"/>
  <c r="AG1199" i="2"/>
  <c r="AF1199" i="2"/>
  <c r="AE1199" i="2"/>
  <c r="AC78" i="2" l="1"/>
  <c r="AC1251" i="2"/>
  <c r="AC1195" i="2"/>
  <c r="AC1423" i="2"/>
  <c r="AC1293" i="2"/>
  <c r="AC1061" i="2"/>
  <c r="AC1454" i="2"/>
  <c r="AI1204" i="2"/>
  <c r="AI1210" i="2"/>
  <c r="AI1215" i="2"/>
  <c r="AG1221" i="2"/>
  <c r="AG1226" i="2"/>
  <c r="AH1199" i="2"/>
  <c r="AH1204" i="2"/>
  <c r="AH1210" i="2"/>
  <c r="AH1215" i="2"/>
  <c r="AF1226" i="2"/>
  <c r="AE1226" i="2"/>
  <c r="AF1221" i="2"/>
  <c r="AE1221" i="2"/>
  <c r="AI1199" i="2"/>
  <c r="R110" i="1"/>
  <c r="S110" i="1"/>
  <c r="T110" i="1"/>
  <c r="U110" i="1"/>
  <c r="V110" i="1"/>
  <c r="W110" i="1"/>
  <c r="X110" i="1"/>
  <c r="Y110" i="1"/>
  <c r="Z110" i="1"/>
  <c r="AA110" i="1"/>
  <c r="AB110" i="1"/>
  <c r="R111" i="1"/>
  <c r="S111" i="1"/>
  <c r="T111" i="1"/>
  <c r="U111" i="1"/>
  <c r="V111" i="1"/>
  <c r="W111" i="1"/>
  <c r="X111" i="1"/>
  <c r="Y111" i="1"/>
  <c r="Z111" i="1"/>
  <c r="AA111" i="1"/>
  <c r="AB111" i="1"/>
  <c r="R112" i="1"/>
  <c r="S112" i="1"/>
  <c r="T112" i="1"/>
  <c r="U112" i="1"/>
  <c r="V112" i="1"/>
  <c r="W112" i="1"/>
  <c r="X112" i="1"/>
  <c r="Y112" i="1"/>
  <c r="Z112" i="1"/>
  <c r="AA112" i="1"/>
  <c r="AB112" i="1"/>
  <c r="O109" i="1"/>
  <c r="Q112" i="1"/>
  <c r="Q111" i="1"/>
  <c r="Q110" i="1"/>
  <c r="O112" i="1"/>
  <c r="O111" i="1"/>
  <c r="O110" i="1"/>
  <c r="O114" i="1"/>
  <c r="O113" i="1"/>
  <c r="O106" i="1"/>
  <c r="O103" i="1"/>
  <c r="AJ1215" i="2" l="1"/>
  <c r="AJ1210" i="2"/>
  <c r="AJ1204" i="2"/>
  <c r="AI1226" i="2"/>
  <c r="AH1226" i="2"/>
  <c r="AI1221" i="2"/>
  <c r="AJ1199" i="2"/>
  <c r="AH1221" i="2"/>
  <c r="Q109" i="1"/>
  <c r="Y109" i="1"/>
  <c r="U109" i="1"/>
  <c r="AB109" i="1"/>
  <c r="X109" i="1"/>
  <c r="T109" i="1"/>
  <c r="AA109" i="1"/>
  <c r="W109" i="1"/>
  <c r="S109" i="1"/>
  <c r="Z109" i="1"/>
  <c r="V109" i="1"/>
  <c r="R109" i="1"/>
  <c r="AJ1226" i="2" l="1"/>
  <c r="AJ1221" i="2"/>
  <c r="AB106" i="1"/>
  <c r="AA106" i="1"/>
  <c r="Z106" i="1"/>
  <c r="Y106" i="1"/>
  <c r="X106" i="1"/>
  <c r="W106" i="1"/>
  <c r="V106" i="1"/>
  <c r="U106" i="1"/>
  <c r="T106" i="1"/>
  <c r="S106" i="1"/>
  <c r="R106" i="1"/>
  <c r="Q106" i="1"/>
  <c r="AE1556" i="2" l="1"/>
  <c r="AE1593" i="2"/>
  <c r="AG1576" i="2"/>
  <c r="AG1482" i="2"/>
  <c r="AF1576" i="2"/>
  <c r="AF1593" i="2"/>
  <c r="AG1556" i="2"/>
  <c r="AG1593" i="2"/>
  <c r="AF1556" i="2"/>
  <c r="AF1482" i="2"/>
  <c r="AE1482" i="2"/>
  <c r="AE1576" i="2"/>
  <c r="AH1482" i="2" l="1"/>
  <c r="AH1556" i="2"/>
  <c r="AI1593" i="2"/>
  <c r="AH1593" i="2"/>
  <c r="AH1576" i="2"/>
  <c r="AI1482" i="2"/>
  <c r="AI1576" i="2"/>
  <c r="AI1556" i="2"/>
  <c r="AJ1556" i="2" l="1"/>
  <c r="AJ1482" i="2"/>
  <c r="AJ1576" i="2"/>
  <c r="AJ1593" i="2"/>
  <c r="AG873" i="2" l="1"/>
  <c r="AF873" i="2"/>
  <c r="AE873" i="2"/>
  <c r="AG872" i="2"/>
  <c r="AF872" i="2"/>
  <c r="AE872" i="2"/>
  <c r="AG871" i="2"/>
  <c r="AF871" i="2"/>
  <c r="AE871" i="2"/>
  <c r="AG870" i="2"/>
  <c r="AF870" i="2"/>
  <c r="AE870" i="2"/>
  <c r="AG868" i="2"/>
  <c r="AF868" i="2"/>
  <c r="AE868" i="2"/>
  <c r="AG867" i="2"/>
  <c r="AF867" i="2"/>
  <c r="AE867" i="2"/>
  <c r="AG866" i="2"/>
  <c r="AF866" i="2"/>
  <c r="AE866" i="2"/>
  <c r="AG865" i="2"/>
  <c r="AF865" i="2"/>
  <c r="AE865" i="2"/>
  <c r="AG853" i="2"/>
  <c r="AF853" i="2"/>
  <c r="AE853" i="2"/>
  <c r="AG852" i="2"/>
  <c r="AF852" i="2"/>
  <c r="AE852" i="2"/>
  <c r="AG851" i="2"/>
  <c r="AF851" i="2"/>
  <c r="AE851" i="2"/>
  <c r="AG850" i="2"/>
  <c r="AF850" i="2"/>
  <c r="AE850" i="2"/>
  <c r="AF864" i="2" l="1"/>
  <c r="AG849" i="2"/>
  <c r="AI872" i="2"/>
  <c r="AH852" i="2"/>
  <c r="AH853" i="2"/>
  <c r="AH870" i="2"/>
  <c r="AH871" i="2"/>
  <c r="AI873" i="2"/>
  <c r="AI871" i="2"/>
  <c r="AE869" i="2"/>
  <c r="AH872" i="2"/>
  <c r="AH873" i="2"/>
  <c r="AI850" i="2"/>
  <c r="AI851" i="2"/>
  <c r="AI852" i="2"/>
  <c r="AI853" i="2"/>
  <c r="AI867" i="2"/>
  <c r="AI870" i="2"/>
  <c r="AF869" i="2"/>
  <c r="AI865" i="2"/>
  <c r="AH865" i="2"/>
  <c r="AD864" i="2"/>
  <c r="AH867" i="2"/>
  <c r="AI868" i="2"/>
  <c r="AI866" i="2"/>
  <c r="AE864" i="2"/>
  <c r="AH868" i="2"/>
  <c r="AG869" i="2"/>
  <c r="AE849" i="2"/>
  <c r="AF849" i="2"/>
  <c r="AD849" i="2"/>
  <c r="AH851" i="2"/>
  <c r="AH850" i="2"/>
  <c r="AH866" i="2"/>
  <c r="AG864" i="2"/>
  <c r="AD869" i="2"/>
  <c r="AJ872" i="2" l="1"/>
  <c r="AJ851" i="2"/>
  <c r="AJ852" i="2"/>
  <c r="AJ871" i="2"/>
  <c r="AJ853" i="2"/>
  <c r="AJ873" i="2"/>
  <c r="AI869" i="2"/>
  <c r="AJ867" i="2"/>
  <c r="AI849" i="2"/>
  <c r="AJ870" i="2"/>
  <c r="AJ865" i="2"/>
  <c r="AJ866" i="2"/>
  <c r="AJ868" i="2"/>
  <c r="AH869" i="2"/>
  <c r="AI864" i="2"/>
  <c r="AJ850" i="2"/>
  <c r="AH849" i="2"/>
  <c r="AH864" i="2"/>
  <c r="AJ869" i="2" l="1"/>
  <c r="AJ849" i="2"/>
  <c r="AJ864" i="2"/>
  <c r="AE1320" i="2" l="1"/>
  <c r="AF1320" i="2"/>
  <c r="AG1320" i="2"/>
  <c r="AE1321" i="2"/>
  <c r="AF1321" i="2"/>
  <c r="AG1321" i="2"/>
  <c r="AE1322" i="2"/>
  <c r="AF1322" i="2"/>
  <c r="AG1322" i="2"/>
  <c r="AE1325" i="2"/>
  <c r="AF1325" i="2"/>
  <c r="AG1325" i="2"/>
  <c r="AE1326" i="2"/>
  <c r="AF1326" i="2"/>
  <c r="AG1326" i="2"/>
  <c r="AE1327" i="2"/>
  <c r="AF1327" i="2"/>
  <c r="AG1327" i="2"/>
  <c r="AE1330" i="2"/>
  <c r="AF1330" i="2"/>
  <c r="AG1330" i="2"/>
  <c r="AE1331" i="2"/>
  <c r="AF1331" i="2"/>
  <c r="AG1331" i="2"/>
  <c r="AE1341" i="2"/>
  <c r="AF1341" i="2"/>
  <c r="AG1341" i="2"/>
  <c r="AE1342" i="2"/>
  <c r="AF1342" i="2"/>
  <c r="AG1342" i="2"/>
  <c r="AD1343" i="2"/>
  <c r="AE1344" i="2"/>
  <c r="AE1343" i="2" s="1"/>
  <c r="AF1344" i="2"/>
  <c r="AF1343" i="2" s="1"/>
  <c r="AG1344" i="2"/>
  <c r="AG1343" i="2" s="1"/>
  <c r="AE1346" i="2"/>
  <c r="AF1346" i="2"/>
  <c r="AG1346" i="2"/>
  <c r="AE1347" i="2"/>
  <c r="AF1347" i="2"/>
  <c r="AG1347" i="2"/>
  <c r="AE1348" i="2"/>
  <c r="AF1348" i="2"/>
  <c r="AG1348" i="2"/>
  <c r="AE1349" i="2"/>
  <c r="AF1349" i="2"/>
  <c r="AG1349" i="2"/>
  <c r="AE1350" i="2"/>
  <c r="AF1350" i="2"/>
  <c r="AG1350" i="2"/>
  <c r="AE1356" i="2"/>
  <c r="AF1356" i="2"/>
  <c r="AG1356" i="2"/>
  <c r="AE1357" i="2"/>
  <c r="AF1357" i="2"/>
  <c r="AG1357" i="2"/>
  <c r="AD1358" i="2"/>
  <c r="AE1359" i="2"/>
  <c r="AE1358" i="2" s="1"/>
  <c r="AF1359" i="2"/>
  <c r="AF1358" i="2" s="1"/>
  <c r="AG1359" i="2"/>
  <c r="AG1358" i="2" s="1"/>
  <c r="AE1361" i="2"/>
  <c r="AF1361" i="2"/>
  <c r="AG1361" i="2"/>
  <c r="AE1362" i="2"/>
  <c r="AF1362" i="2"/>
  <c r="AG1362" i="2"/>
  <c r="AE1363" i="2"/>
  <c r="AF1363" i="2"/>
  <c r="AG1363" i="2"/>
  <c r="AE1364" i="2"/>
  <c r="AF1364" i="2"/>
  <c r="AG1364" i="2"/>
  <c r="AE1365" i="2"/>
  <c r="AF1365" i="2"/>
  <c r="AG1365" i="2"/>
  <c r="AE1371" i="2"/>
  <c r="AF1371" i="2"/>
  <c r="AG1371" i="2"/>
  <c r="AE1372" i="2"/>
  <c r="AF1372" i="2"/>
  <c r="AG1372" i="2"/>
  <c r="AD1373" i="2"/>
  <c r="AE1374" i="2"/>
  <c r="AF1374" i="2"/>
  <c r="AF1373" i="2" s="1"/>
  <c r="AG1374" i="2"/>
  <c r="AE1376" i="2"/>
  <c r="AF1376" i="2"/>
  <c r="AG1376" i="2"/>
  <c r="AE1377" i="2"/>
  <c r="AF1377" i="2"/>
  <c r="AG1377" i="2"/>
  <c r="AE1378" i="2"/>
  <c r="AF1378" i="2"/>
  <c r="AG1378" i="2"/>
  <c r="AE1379" i="2"/>
  <c r="AF1379" i="2"/>
  <c r="AG1379" i="2"/>
  <c r="AE1380" i="2"/>
  <c r="AF1380" i="2"/>
  <c r="AG1380" i="2"/>
  <c r="AE1383" i="2"/>
  <c r="AF1383" i="2"/>
  <c r="AG1383" i="2"/>
  <c r="AE1384" i="2"/>
  <c r="AF1384" i="2"/>
  <c r="AG1384" i="2"/>
  <c r="AE1385" i="2"/>
  <c r="AF1385" i="2"/>
  <c r="AG1385" i="2"/>
  <c r="AE1388" i="2"/>
  <c r="AF1388" i="2"/>
  <c r="AG1388" i="2"/>
  <c r="AE1389" i="2"/>
  <c r="AF1389" i="2"/>
  <c r="AG1389" i="2"/>
  <c r="AD1406" i="2"/>
  <c r="AE1406" i="2"/>
  <c r="AH1406" i="2" s="1"/>
  <c r="AF1406" i="2"/>
  <c r="AG1406" i="2"/>
  <c r="AD1407" i="2"/>
  <c r="AE1407" i="2"/>
  <c r="AH1407" i="2" s="1"/>
  <c r="AF1407" i="2"/>
  <c r="AG1407" i="2"/>
  <c r="AI1407" i="2" s="1"/>
  <c r="AJ1407" i="2" s="1"/>
  <c r="AD1408" i="2"/>
  <c r="AE1408" i="2"/>
  <c r="AH1408" i="2" s="1"/>
  <c r="AF1408" i="2"/>
  <c r="AG1408" i="2"/>
  <c r="AI1408" i="2" s="1"/>
  <c r="AJ1408" i="2" s="1"/>
  <c r="AD1409" i="2"/>
  <c r="AE1409" i="2"/>
  <c r="AH1409" i="2" s="1"/>
  <c r="AF1409" i="2"/>
  <c r="AG1409" i="2"/>
  <c r="AI1409" i="2" s="1"/>
  <c r="AJ1409" i="2" s="1"/>
  <c r="AD1410" i="2"/>
  <c r="AE1410" i="2"/>
  <c r="AH1410" i="2" s="1"/>
  <c r="AF1410" i="2"/>
  <c r="AG1410" i="2"/>
  <c r="AI1410" i="2" s="1"/>
  <c r="AJ1410" i="2" s="1"/>
  <c r="AD1411" i="2"/>
  <c r="AE1411" i="2"/>
  <c r="AH1411" i="2" s="1"/>
  <c r="AF1411" i="2"/>
  <c r="AG1411" i="2"/>
  <c r="AI1411" i="2" s="1"/>
  <c r="AJ1411" i="2" s="1"/>
  <c r="AD1415" i="2"/>
  <c r="AE1415" i="2"/>
  <c r="AF1415" i="2"/>
  <c r="AG1415" i="2"/>
  <c r="AI1415" i="2" s="1"/>
  <c r="AJ1415" i="2" s="1"/>
  <c r="AD1416" i="2"/>
  <c r="AE1416" i="2"/>
  <c r="AH1416" i="2" s="1"/>
  <c r="AF1416" i="2"/>
  <c r="AG1416" i="2"/>
  <c r="AI1416" i="2" s="1"/>
  <c r="AD1417" i="2"/>
  <c r="AE1417" i="2"/>
  <c r="AH1417" i="2" s="1"/>
  <c r="AF1417" i="2"/>
  <c r="AG1417" i="2"/>
  <c r="AI1417" i="2" s="1"/>
  <c r="AJ1417" i="2" s="1"/>
  <c r="AD1418" i="2"/>
  <c r="AE1418" i="2"/>
  <c r="AH1418" i="2" s="1"/>
  <c r="AF1418" i="2"/>
  <c r="AG1418" i="2"/>
  <c r="AI1418" i="2" s="1"/>
  <c r="AJ1418" i="2" s="1"/>
  <c r="AD1419" i="2"/>
  <c r="AE1419" i="2"/>
  <c r="AH1419" i="2" s="1"/>
  <c r="AF1419" i="2"/>
  <c r="AG1419" i="2"/>
  <c r="AI1419" i="2" s="1"/>
  <c r="AJ1419" i="2" s="1"/>
  <c r="AD1420" i="2"/>
  <c r="AE1420" i="2"/>
  <c r="AH1420" i="2" s="1"/>
  <c r="AF1420" i="2"/>
  <c r="AG1420" i="2"/>
  <c r="AI1420" i="2" s="1"/>
  <c r="AJ1420" i="2" s="1"/>
  <c r="AD1429" i="2"/>
  <c r="AE1429" i="2"/>
  <c r="AH1429" i="2" s="1"/>
  <c r="AF1429" i="2"/>
  <c r="AD1430" i="2"/>
  <c r="AG1430" i="2"/>
  <c r="AI1430" i="2" s="1"/>
  <c r="AJ1430" i="2" s="1"/>
  <c r="AF1430" i="2"/>
  <c r="AD1432" i="2"/>
  <c r="AE1432" i="2"/>
  <c r="AH1432" i="2" s="1"/>
  <c r="AD1433" i="2"/>
  <c r="AE1433" i="2"/>
  <c r="AH1433" i="2" s="1"/>
  <c r="AF1433" i="2"/>
  <c r="AG1433" i="2"/>
  <c r="AI1433" i="2" s="1"/>
  <c r="AJ1433" i="2" s="1"/>
  <c r="AD1435" i="2"/>
  <c r="AE1435" i="2"/>
  <c r="AD1436" i="2"/>
  <c r="AD1426" i="2" s="1"/>
  <c r="AD1437" i="2"/>
  <c r="AE1437" i="2"/>
  <c r="AH1437" i="2" s="1"/>
  <c r="AF1437" i="2"/>
  <c r="AG1437" i="2"/>
  <c r="AI1437" i="2" s="1"/>
  <c r="AJ1437" i="2" s="1"/>
  <c r="AD1439" i="2"/>
  <c r="AD1440" i="2"/>
  <c r="AE1440" i="2"/>
  <c r="AH1440" i="2" s="1"/>
  <c r="AF1440" i="2"/>
  <c r="AG1440" i="2"/>
  <c r="AI1440" i="2" s="1"/>
  <c r="AJ1440" i="2" s="1"/>
  <c r="AF1442" i="2"/>
  <c r="AG1442" i="2"/>
  <c r="AI1442" i="2" s="1"/>
  <c r="AJ1442" i="2" s="1"/>
  <c r="AD1443" i="2"/>
  <c r="AE1443" i="2"/>
  <c r="AH1443" i="2" s="1"/>
  <c r="AD1445" i="2"/>
  <c r="AE1445" i="2"/>
  <c r="AF1445" i="2"/>
  <c r="AG1445" i="2"/>
  <c r="AI1445" i="2" s="1"/>
  <c r="AD1446" i="2"/>
  <c r="AE1446" i="2"/>
  <c r="AH1446" i="2" s="1"/>
  <c r="AF1446" i="2"/>
  <c r="AG1446" i="2"/>
  <c r="AD1448" i="2"/>
  <c r="AE1448" i="2"/>
  <c r="AH1448" i="2" s="1"/>
  <c r="AF1448" i="2"/>
  <c r="AG1448" i="2"/>
  <c r="AI1448" i="2" s="1"/>
  <c r="AD1449" i="2"/>
  <c r="AE1449" i="2"/>
  <c r="AH1449" i="2" s="1"/>
  <c r="AF1449" i="2"/>
  <c r="AG1449" i="2"/>
  <c r="AI1449" i="2" s="1"/>
  <c r="AJ1449" i="2" s="1"/>
  <c r="AD1450" i="2"/>
  <c r="AE1450" i="2"/>
  <c r="AH1450" i="2" s="1"/>
  <c r="AF1450" i="2"/>
  <c r="AG1450" i="2"/>
  <c r="AI1450" i="2" s="1"/>
  <c r="AJ1450" i="2" s="1"/>
  <c r="AE1323" i="2" l="1"/>
  <c r="AG1323" i="2"/>
  <c r="AH1356" i="2"/>
  <c r="AH1350" i="2"/>
  <c r="AH1348" i="2"/>
  <c r="AH1347" i="2"/>
  <c r="AI1388" i="2"/>
  <c r="AH1377" i="2"/>
  <c r="AH1365" i="2"/>
  <c r="AI1330" i="2"/>
  <c r="AH1362" i="2"/>
  <c r="AE1345" i="2"/>
  <c r="AI1383" i="2"/>
  <c r="AI1380" i="2"/>
  <c r="AI1379" i="2"/>
  <c r="AI1357" i="2"/>
  <c r="AE1436" i="2"/>
  <c r="AE1426" i="2" s="1"/>
  <c r="AE1311" i="2"/>
  <c r="AF1443" i="2"/>
  <c r="AF1427" i="2" s="1"/>
  <c r="AI1359" i="2"/>
  <c r="AI1358" i="2" s="1"/>
  <c r="AI1331" i="2"/>
  <c r="AF1312" i="2"/>
  <c r="AI1356" i="2"/>
  <c r="AH1342" i="2"/>
  <c r="AH1330" i="2"/>
  <c r="AH1322" i="2"/>
  <c r="AH1321" i="2"/>
  <c r="AH1320" i="2"/>
  <c r="AD1375" i="2"/>
  <c r="AH1325" i="2"/>
  <c r="AD1414" i="2"/>
  <c r="AH1364" i="2"/>
  <c r="AH1389" i="2"/>
  <c r="AH1388" i="2"/>
  <c r="AH1385" i="2"/>
  <c r="AH1380" i="2"/>
  <c r="AH1379" i="2"/>
  <c r="AI1371" i="2"/>
  <c r="AI1364" i="2"/>
  <c r="AI1348" i="2"/>
  <c r="AH1344" i="2"/>
  <c r="AH1343" i="2" s="1"/>
  <c r="AE1439" i="2"/>
  <c r="AH1378" i="2"/>
  <c r="AI1372" i="2"/>
  <c r="AH1363" i="2"/>
  <c r="AI1349" i="2"/>
  <c r="AH1346" i="2"/>
  <c r="AG1340" i="2"/>
  <c r="AG1339" i="2" s="1"/>
  <c r="AH1327" i="2"/>
  <c r="AH1326" i="2"/>
  <c r="AI1365" i="2"/>
  <c r="AG1355" i="2"/>
  <c r="AG1354" i="2" s="1"/>
  <c r="AI1322" i="2"/>
  <c r="AI1321" i="2"/>
  <c r="AI1320" i="2"/>
  <c r="AG1312" i="2"/>
  <c r="AF1311" i="2"/>
  <c r="AD1428" i="2"/>
  <c r="AI1384" i="2"/>
  <c r="AH1372" i="2"/>
  <c r="AI1363" i="2"/>
  <c r="AD1360" i="2"/>
  <c r="AH1349" i="2"/>
  <c r="AG1345" i="2"/>
  <c r="AI1327" i="2"/>
  <c r="AI1326" i="2"/>
  <c r="AF1324" i="2"/>
  <c r="AF1328" i="2" s="1"/>
  <c r="AF1332" i="2" s="1"/>
  <c r="AF1333" i="2" s="1"/>
  <c r="AG1314" i="2"/>
  <c r="AF1314" i="2"/>
  <c r="AE1314" i="2"/>
  <c r="AE1373" i="2"/>
  <c r="AH1374" i="2"/>
  <c r="AH1373" i="2" s="1"/>
  <c r="AG1370" i="2"/>
  <c r="AF1360" i="2"/>
  <c r="AG1375" i="2"/>
  <c r="AI1376" i="2"/>
  <c r="AE1444" i="2"/>
  <c r="AH1445" i="2"/>
  <c r="AH1444" i="2" s="1"/>
  <c r="AI1446" i="2"/>
  <c r="AJ1446" i="2" s="1"/>
  <c r="AG1444" i="2"/>
  <c r="AH1435" i="2"/>
  <c r="AF1435" i="2"/>
  <c r="AG1382" i="2"/>
  <c r="AE1370" i="2"/>
  <c r="AH1371" i="2"/>
  <c r="AG1447" i="2"/>
  <c r="AD1444" i="2"/>
  <c r="AF1439" i="2"/>
  <c r="AF1438" i="2" s="1"/>
  <c r="AD1405" i="2"/>
  <c r="AH1384" i="2"/>
  <c r="AI1378" i="2"/>
  <c r="AF1375" i="2"/>
  <c r="AD1370" i="2"/>
  <c r="AD1369" i="2" s="1"/>
  <c r="AH1361" i="2"/>
  <c r="AF1345" i="2"/>
  <c r="AI1344" i="2"/>
  <c r="AI1343" i="2" s="1"/>
  <c r="AI1341" i="2"/>
  <c r="AI1325" i="2"/>
  <c r="AF1414" i="2"/>
  <c r="AE1382" i="2"/>
  <c r="AD1355" i="2"/>
  <c r="AD1354" i="2" s="1"/>
  <c r="AD1340" i="2"/>
  <c r="AD1339" i="2" s="1"/>
  <c r="AE1324" i="2"/>
  <c r="AE1328" i="2" s="1"/>
  <c r="AF1447" i="2"/>
  <c r="AE1447" i="2"/>
  <c r="AG1429" i="2"/>
  <c r="AI1414" i="2"/>
  <c r="AD1382" i="2"/>
  <c r="AI1377" i="2"/>
  <c r="AF1370" i="2"/>
  <c r="AF1369" i="2" s="1"/>
  <c r="AI1362" i="2"/>
  <c r="AH1357" i="2"/>
  <c r="AI1347" i="2"/>
  <c r="AD1345" i="2"/>
  <c r="AH1331" i="2"/>
  <c r="AG1324" i="2"/>
  <c r="AG1328" i="2" s="1"/>
  <c r="AD1328" i="2"/>
  <c r="AF1323" i="2"/>
  <c r="AE1312" i="2"/>
  <c r="AH1447" i="2"/>
  <c r="AE1442" i="2"/>
  <c r="AG1436" i="2"/>
  <c r="AG1432" i="2"/>
  <c r="AE1430" i="2"/>
  <c r="AE1428" i="2" s="1"/>
  <c r="AE1414" i="2"/>
  <c r="AH1415" i="2"/>
  <c r="AH1414" i="2" s="1"/>
  <c r="AG1405" i="2"/>
  <c r="AH1431" i="2"/>
  <c r="AD1447" i="2"/>
  <c r="AI1447" i="2"/>
  <c r="AJ1448" i="2"/>
  <c r="AJ1447" i="2" s="1"/>
  <c r="AF1444" i="2"/>
  <c r="AG1443" i="2"/>
  <c r="AG1441" i="2" s="1"/>
  <c r="AG1439" i="2"/>
  <c r="AD1438" i="2"/>
  <c r="AG1435" i="2"/>
  <c r="AD1434" i="2"/>
  <c r="AE1431" i="2"/>
  <c r="AF1428" i="2"/>
  <c r="AF1405" i="2"/>
  <c r="AE1405" i="2"/>
  <c r="AJ1445" i="2"/>
  <c r="AD1442" i="2"/>
  <c r="AD1441" i="2" s="1"/>
  <c r="AF1436" i="2"/>
  <c r="AF1426" i="2" s="1"/>
  <c r="AD1431" i="2"/>
  <c r="AF1432" i="2"/>
  <c r="AF1431" i="2" s="1"/>
  <c r="AD1427" i="2"/>
  <c r="AJ1416" i="2"/>
  <c r="AJ1414" i="2" s="1"/>
  <c r="AG1414" i="2"/>
  <c r="AH1405" i="2"/>
  <c r="AI1406" i="2"/>
  <c r="AG1373" i="2"/>
  <c r="AI1374" i="2"/>
  <c r="AI1373" i="2" s="1"/>
  <c r="AE1355" i="2"/>
  <c r="AE1354" i="2" s="1"/>
  <c r="AH1383" i="2"/>
  <c r="AE1375" i="2"/>
  <c r="AH1376" i="2"/>
  <c r="AI1385" i="2"/>
  <c r="AF1382" i="2"/>
  <c r="AI1389" i="2"/>
  <c r="AI1361" i="2"/>
  <c r="AF1340" i="2"/>
  <c r="AF1339" i="2" s="1"/>
  <c r="AH1359" i="2"/>
  <c r="AF1355" i="2"/>
  <c r="AF1354" i="2" s="1"/>
  <c r="AI1350" i="2"/>
  <c r="AE1340" i="2"/>
  <c r="AE1339" i="2" s="1"/>
  <c r="AH1341" i="2"/>
  <c r="AD1323" i="2"/>
  <c r="AG1360" i="2"/>
  <c r="AE1360" i="2"/>
  <c r="AI1342" i="2"/>
  <c r="AI1346" i="2"/>
  <c r="AG1311" i="2"/>
  <c r="AJ1364" i="2" l="1"/>
  <c r="AJ1379" i="2"/>
  <c r="AJ1380" i="2"/>
  <c r="AE1338" i="2"/>
  <c r="AE1337" i="2" s="1"/>
  <c r="AE1336" i="2" s="1"/>
  <c r="AJ1371" i="2"/>
  <c r="AJ1385" i="2"/>
  <c r="AF1329" i="2"/>
  <c r="AJ1388" i="2"/>
  <c r="AJ1347" i="2"/>
  <c r="AH1345" i="2"/>
  <c r="AJ1350" i="2"/>
  <c r="AJ1377" i="2"/>
  <c r="AE1369" i="2"/>
  <c r="AE1368" i="2" s="1"/>
  <c r="AE1367" i="2" s="1"/>
  <c r="AE1366" i="2" s="1"/>
  <c r="AJ1365" i="2"/>
  <c r="AH1436" i="2"/>
  <c r="AH1426" i="2" s="1"/>
  <c r="AJ1322" i="2"/>
  <c r="AJ1348" i="2"/>
  <c r="AJ1357" i="2"/>
  <c r="AI1355" i="2"/>
  <c r="AI1354" i="2" s="1"/>
  <c r="AJ1349" i="2"/>
  <c r="AG1369" i="2"/>
  <c r="AG1368" i="2" s="1"/>
  <c r="AG1367" i="2" s="1"/>
  <c r="AG1366" i="2" s="1"/>
  <c r="AG1386" i="2" s="1"/>
  <c r="AJ1389" i="2"/>
  <c r="AJ1362" i="2"/>
  <c r="AH1323" i="2"/>
  <c r="AI1324" i="2"/>
  <c r="AI1328" i="2" s="1"/>
  <c r="AI1332" i="2" s="1"/>
  <c r="AI1333" i="2" s="1"/>
  <c r="AJ1342" i="2"/>
  <c r="AJ1331" i="2"/>
  <c r="AJ1384" i="2"/>
  <c r="AJ1330" i="2"/>
  <c r="AG1338" i="2"/>
  <c r="AG1337" i="2" s="1"/>
  <c r="AG1336" i="2" s="1"/>
  <c r="AE1425" i="2"/>
  <c r="AH1311" i="2"/>
  <c r="AI1311" i="2"/>
  <c r="AJ1325" i="2"/>
  <c r="AI1370" i="2"/>
  <c r="AI1369" i="2" s="1"/>
  <c r="AF1338" i="2"/>
  <c r="AF1337" i="2" s="1"/>
  <c r="AF1336" i="2" s="1"/>
  <c r="AJ1378" i="2"/>
  <c r="AD1353" i="2"/>
  <c r="AD1352" i="2" s="1"/>
  <c r="AD1351" i="2" s="1"/>
  <c r="AI1312" i="2"/>
  <c r="AF1353" i="2"/>
  <c r="AF1352" i="2" s="1"/>
  <c r="AF1351" i="2" s="1"/>
  <c r="AH1312" i="2"/>
  <c r="AF1368" i="2"/>
  <c r="AF1367" i="2" s="1"/>
  <c r="AF1366" i="2" s="1"/>
  <c r="AJ1327" i="2"/>
  <c r="AJ1320" i="2"/>
  <c r="AG1353" i="2"/>
  <c r="AG1352" i="2" s="1"/>
  <c r="AG1351" i="2" s="1"/>
  <c r="AH1360" i="2"/>
  <c r="AD1368" i="2"/>
  <c r="AD1367" i="2" s="1"/>
  <c r="AD1366" i="2" s="1"/>
  <c r="AD1386" i="2" s="1"/>
  <c r="AE1434" i="2"/>
  <c r="AJ1356" i="2"/>
  <c r="AJ1321" i="2"/>
  <c r="AH1355" i="2"/>
  <c r="AF1441" i="2"/>
  <c r="AH1314" i="2"/>
  <c r="AI1314" i="2"/>
  <c r="AH1370" i="2"/>
  <c r="AH1369" i="2" s="1"/>
  <c r="AI1375" i="2"/>
  <c r="AJ1344" i="2"/>
  <c r="AJ1343" i="2" s="1"/>
  <c r="AJ1372" i="2"/>
  <c r="AI1323" i="2"/>
  <c r="AJ1326" i="2"/>
  <c r="AE1438" i="2"/>
  <c r="AH1439" i="2"/>
  <c r="AH1438" i="2" s="1"/>
  <c r="AH1324" i="2"/>
  <c r="AJ1363" i="2"/>
  <c r="AJ1374" i="2"/>
  <c r="AJ1373" i="2" s="1"/>
  <c r="AJ1444" i="2"/>
  <c r="AE1310" i="2"/>
  <c r="AD1338" i="2"/>
  <c r="AD1337" i="2" s="1"/>
  <c r="AD1336" i="2" s="1"/>
  <c r="AI1444" i="2"/>
  <c r="AG1428" i="2"/>
  <c r="AI1429" i="2"/>
  <c r="AG1332" i="2"/>
  <c r="AG1333" i="2" s="1"/>
  <c r="AG1329" i="2"/>
  <c r="AI1443" i="2"/>
  <c r="AG1427" i="2"/>
  <c r="AG1310" i="2"/>
  <c r="AE1329" i="2"/>
  <c r="AE1332" i="2"/>
  <c r="AE1333" i="2" s="1"/>
  <c r="AG1438" i="2"/>
  <c r="AI1439" i="2"/>
  <c r="AE1427" i="2"/>
  <c r="AH1430" i="2"/>
  <c r="AJ1346" i="2"/>
  <c r="AI1345" i="2"/>
  <c r="AH1382" i="2"/>
  <c r="AJ1383" i="2"/>
  <c r="AI1405" i="2"/>
  <c r="AJ1406" i="2"/>
  <c r="AJ1405" i="2" s="1"/>
  <c r="AJ1361" i="2"/>
  <c r="AI1360" i="2"/>
  <c r="AI1382" i="2"/>
  <c r="AJ1376" i="2"/>
  <c r="AH1375" i="2"/>
  <c r="AF1425" i="2"/>
  <c r="AF1424" i="2" s="1"/>
  <c r="AI1432" i="2"/>
  <c r="AG1431" i="2"/>
  <c r="AF1434" i="2"/>
  <c r="AH1442" i="2"/>
  <c r="AE1441" i="2"/>
  <c r="AF1310" i="2"/>
  <c r="AI1340" i="2"/>
  <c r="AI1339" i="2" s="1"/>
  <c r="AD1329" i="2"/>
  <c r="AD1332" i="2"/>
  <c r="AD1333" i="2" s="1"/>
  <c r="AJ1341" i="2"/>
  <c r="AH1340" i="2"/>
  <c r="AH1339" i="2" s="1"/>
  <c r="AH1338" i="2" s="1"/>
  <c r="AH1337" i="2" s="1"/>
  <c r="AH1336" i="2" s="1"/>
  <c r="AJ1359" i="2"/>
  <c r="AJ1358" i="2" s="1"/>
  <c r="AH1358" i="2"/>
  <c r="AE1353" i="2"/>
  <c r="AE1352" i="2" s="1"/>
  <c r="AE1351" i="2" s="1"/>
  <c r="AG1434" i="2"/>
  <c r="AI1435" i="2"/>
  <c r="AG1425" i="2"/>
  <c r="AG1426" i="2"/>
  <c r="AI1436" i="2"/>
  <c r="AD1425" i="2"/>
  <c r="AD1424" i="2" s="1"/>
  <c r="AI1353" i="2" l="1"/>
  <c r="AI1352" i="2" s="1"/>
  <c r="AI1351" i="2" s="1"/>
  <c r="AJ1312" i="2"/>
  <c r="AJ1323" i="2"/>
  <c r="AF1381" i="2"/>
  <c r="AJ1355" i="2"/>
  <c r="AJ1354" i="2" s="1"/>
  <c r="AI1329" i="2"/>
  <c r="AE1381" i="2"/>
  <c r="AJ1345" i="2"/>
  <c r="AJ1370" i="2"/>
  <c r="AJ1369" i="2" s="1"/>
  <c r="AF1386" i="2"/>
  <c r="AF1387" i="2" s="1"/>
  <c r="AJ1382" i="2"/>
  <c r="AG1381" i="2"/>
  <c r="AH1354" i="2"/>
  <c r="AH1353" i="2" s="1"/>
  <c r="AH1352" i="2" s="1"/>
  <c r="AH1351" i="2" s="1"/>
  <c r="AJ1375" i="2"/>
  <c r="AJ1360" i="2"/>
  <c r="AJ1340" i="2"/>
  <c r="AJ1339" i="2" s="1"/>
  <c r="AH1434" i="2"/>
  <c r="AI1368" i="2"/>
  <c r="AI1367" i="2" s="1"/>
  <c r="AI1366" i="2" s="1"/>
  <c r="AI1386" i="2" s="1"/>
  <c r="AI1390" i="2" s="1"/>
  <c r="AJ1324" i="2"/>
  <c r="AJ1328" i="2" s="1"/>
  <c r="AJ1329" i="2" s="1"/>
  <c r="AJ1311" i="2"/>
  <c r="AE1424" i="2"/>
  <c r="AJ1314" i="2"/>
  <c r="AH1368" i="2"/>
  <c r="AH1367" i="2" s="1"/>
  <c r="AH1366" i="2" s="1"/>
  <c r="AH1386" i="2" s="1"/>
  <c r="AD1381" i="2"/>
  <c r="AH1328" i="2"/>
  <c r="AH1332" i="2" s="1"/>
  <c r="AH1333" i="2" s="1"/>
  <c r="AE1386" i="2"/>
  <c r="AE1390" i="2" s="1"/>
  <c r="AE1391" i="2" s="1"/>
  <c r="AH1310" i="2"/>
  <c r="AI1338" i="2"/>
  <c r="AI1337" i="2" s="1"/>
  <c r="AI1336" i="2" s="1"/>
  <c r="AJ1429" i="2"/>
  <c r="AJ1428" i="2" s="1"/>
  <c r="AI1428" i="2"/>
  <c r="AI1431" i="2"/>
  <c r="AJ1432" i="2"/>
  <c r="AI1425" i="2"/>
  <c r="AI1438" i="2"/>
  <c r="AJ1439" i="2"/>
  <c r="AJ1438" i="2" s="1"/>
  <c r="AD1387" i="2"/>
  <c r="AD1390" i="2"/>
  <c r="AD1391" i="2" s="1"/>
  <c r="AI1434" i="2"/>
  <c r="AJ1435" i="2"/>
  <c r="AI1310" i="2"/>
  <c r="AJ1436" i="2"/>
  <c r="AJ1426" i="2" s="1"/>
  <c r="AI1426" i="2"/>
  <c r="AG1424" i="2"/>
  <c r="AH1441" i="2"/>
  <c r="AH1425" i="2"/>
  <c r="AH1427" i="2"/>
  <c r="AH1428" i="2"/>
  <c r="AJ1443" i="2"/>
  <c r="AI1441" i="2"/>
  <c r="AI1427" i="2"/>
  <c r="AG1387" i="2"/>
  <c r="AG1390" i="2"/>
  <c r="AG1391" i="2" s="1"/>
  <c r="AJ1338" i="2" l="1"/>
  <c r="AJ1337" i="2" s="1"/>
  <c r="AJ1336" i="2" s="1"/>
  <c r="AI1381" i="2"/>
  <c r="AF1390" i="2"/>
  <c r="AF1391" i="2" s="1"/>
  <c r="AJ1368" i="2"/>
  <c r="AJ1367" i="2" s="1"/>
  <c r="AJ1366" i="2" s="1"/>
  <c r="AJ1332" i="2"/>
  <c r="AJ1333" i="2" s="1"/>
  <c r="AH1381" i="2"/>
  <c r="AJ1353" i="2"/>
  <c r="AJ1352" i="2" s="1"/>
  <c r="AJ1351" i="2" s="1"/>
  <c r="AH1329" i="2"/>
  <c r="AJ1434" i="2"/>
  <c r="AE1387" i="2"/>
  <c r="AI1387" i="2"/>
  <c r="AI1391" i="2"/>
  <c r="AJ1310" i="2"/>
  <c r="AJ1431" i="2"/>
  <c r="AJ1425" i="2"/>
  <c r="AJ1427" i="2"/>
  <c r="AJ1441" i="2"/>
  <c r="AH1424" i="2"/>
  <c r="AH1387" i="2"/>
  <c r="AH1390" i="2"/>
  <c r="AH1391" i="2" s="1"/>
  <c r="AI1424" i="2"/>
  <c r="AJ1381" i="2" l="1"/>
  <c r="AJ1386" i="2"/>
  <c r="AJ1387" i="2" s="1"/>
  <c r="AJ1424" i="2"/>
  <c r="AJ1390" i="2" l="1"/>
  <c r="AJ1391" i="2" s="1"/>
  <c r="AG400" i="2"/>
  <c r="AF400" i="2"/>
  <c r="AE400" i="2"/>
  <c r="AG398" i="2"/>
  <c r="AF398" i="2"/>
  <c r="AE398" i="2"/>
  <c r="AG404" i="2" l="1"/>
  <c r="AG402" i="2"/>
  <c r="AE402" i="2"/>
  <c r="AF402" i="2"/>
  <c r="AE404" i="2"/>
  <c r="AF404" i="2"/>
  <c r="AI398" i="2"/>
  <c r="AH398" i="2"/>
  <c r="AI400" i="2"/>
  <c r="AH400" i="2"/>
  <c r="AF1512" i="2" l="1"/>
  <c r="AG1512" i="2"/>
  <c r="AE1512" i="2"/>
  <c r="AI404" i="2"/>
  <c r="AH404" i="2"/>
  <c r="AH402" i="2"/>
  <c r="AI402" i="2"/>
  <c r="AJ398" i="2"/>
  <c r="AJ400" i="2"/>
  <c r="AG83" i="2"/>
  <c r="AE83" i="2"/>
  <c r="AG85" i="2"/>
  <c r="AG149" i="2"/>
  <c r="AF149" i="2"/>
  <c r="AE149" i="2"/>
  <c r="AG148" i="2"/>
  <c r="AF148" i="2"/>
  <c r="AE148" i="2"/>
  <c r="AG147" i="2"/>
  <c r="AF147" i="2"/>
  <c r="AE147" i="2"/>
  <c r="AG144" i="2"/>
  <c r="AF144" i="2"/>
  <c r="AE144" i="2"/>
  <c r="AE146" i="2" l="1"/>
  <c r="AF146" i="2"/>
  <c r="AI1512" i="2"/>
  <c r="AH1512" i="2"/>
  <c r="AJ404" i="2"/>
  <c r="AF88" i="2"/>
  <c r="AJ402" i="2"/>
  <c r="AG88" i="2"/>
  <c r="AE87" i="2"/>
  <c r="AG87" i="2"/>
  <c r="AD82" i="2"/>
  <c r="AF83" i="2"/>
  <c r="AG84" i="2"/>
  <c r="AG82" i="2" s="1"/>
  <c r="AF85" i="2"/>
  <c r="AI147" i="2"/>
  <c r="AI148" i="2"/>
  <c r="AI149" i="2"/>
  <c r="AF87" i="2"/>
  <c r="AE88" i="2"/>
  <c r="AE84" i="2"/>
  <c r="AF84" i="2"/>
  <c r="AE85" i="2"/>
  <c r="AH85" i="2" s="1"/>
  <c r="AI144" i="2"/>
  <c r="AH144" i="2"/>
  <c r="AH147" i="2"/>
  <c r="AH148" i="2"/>
  <c r="AH149" i="2"/>
  <c r="AH83" i="2"/>
  <c r="AD146" i="2"/>
  <c r="AG146" i="2"/>
  <c r="AJ1512" i="2" l="1"/>
  <c r="AH88" i="2"/>
  <c r="AI88" i="2"/>
  <c r="AJ148" i="2"/>
  <c r="AI87" i="2"/>
  <c r="AH87" i="2"/>
  <c r="AF82" i="2"/>
  <c r="AI83" i="2"/>
  <c r="AJ83" i="2" s="1"/>
  <c r="AI146" i="2"/>
  <c r="AI85" i="2"/>
  <c r="AJ147" i="2"/>
  <c r="AE82" i="2"/>
  <c r="AI84" i="2"/>
  <c r="AH84" i="2"/>
  <c r="AJ149" i="2"/>
  <c r="AH146" i="2"/>
  <c r="AJ144" i="2"/>
  <c r="AJ88" i="2" l="1"/>
  <c r="AJ146" i="2"/>
  <c r="AJ84" i="2"/>
  <c r="AJ87" i="2"/>
  <c r="AI82" i="2"/>
  <c r="AJ85" i="2"/>
  <c r="AH82" i="2"/>
  <c r="AJ82" i="2" l="1"/>
  <c r="AG1207" i="2" l="1"/>
  <c r="AF1207" i="2"/>
  <c r="AE1207" i="2"/>
  <c r="AI1207" i="2" l="1"/>
  <c r="AH1207" i="2"/>
  <c r="AJ1207" i="2" l="1"/>
  <c r="AG1196" i="2" l="1"/>
  <c r="AF1196" i="2"/>
  <c r="AE1196" i="2"/>
  <c r="AG1231" i="2"/>
  <c r="AF1231" i="2"/>
  <c r="AE1231" i="2"/>
  <c r="AG1230" i="2"/>
  <c r="AF1230" i="2"/>
  <c r="AE1230" i="2"/>
  <c r="AG1229" i="2"/>
  <c r="AF1229" i="2"/>
  <c r="AE1229" i="2"/>
  <c r="AG1216" i="2"/>
  <c r="AF1216" i="2"/>
  <c r="AE1216" i="2"/>
  <c r="AG1214" i="2"/>
  <c r="AF1214" i="2"/>
  <c r="AE1214" i="2"/>
  <c r="AG1213" i="2"/>
  <c r="AF1213" i="2"/>
  <c r="AE1213" i="2"/>
  <c r="AG1211" i="2"/>
  <c r="AF1211" i="2"/>
  <c r="AE1211" i="2"/>
  <c r="AG1209" i="2"/>
  <c r="AF1209" i="2"/>
  <c r="AE1209" i="2"/>
  <c r="AG1208" i="2"/>
  <c r="AF1208" i="2"/>
  <c r="AE1208" i="2"/>
  <c r="AG1205" i="2"/>
  <c r="AF1205" i="2"/>
  <c r="AE1205" i="2"/>
  <c r="AG1203" i="2"/>
  <c r="AF1203" i="2"/>
  <c r="AE1203" i="2"/>
  <c r="AG1202" i="2"/>
  <c r="AF1202" i="2"/>
  <c r="AE1202" i="2"/>
  <c r="AG1200" i="2"/>
  <c r="AF1200" i="2"/>
  <c r="AE1200" i="2"/>
  <c r="AG1197" i="2"/>
  <c r="AF1197" i="2"/>
  <c r="AE1197" i="2"/>
  <c r="AG1198" i="2"/>
  <c r="AF1198" i="2"/>
  <c r="AE1198" i="2"/>
  <c r="AF1206" i="2" l="1"/>
  <c r="AF1212" i="2"/>
  <c r="AF1217" i="2"/>
  <c r="AF1232" i="2"/>
  <c r="AE1201" i="2"/>
  <c r="AE1206" i="2"/>
  <c r="AE1212" i="2"/>
  <c r="AE1217" i="2"/>
  <c r="AG1232" i="2"/>
  <c r="AG1206" i="2"/>
  <c r="AG1212" i="2"/>
  <c r="AG1217" i="2"/>
  <c r="AE1232" i="2"/>
  <c r="AF1201" i="2"/>
  <c r="AG1201" i="2"/>
  <c r="AG1225" i="2"/>
  <c r="AG1227" i="2"/>
  <c r="AI1198" i="2"/>
  <c r="AI1203" i="2"/>
  <c r="AI1205" i="2"/>
  <c r="AI1208" i="2"/>
  <c r="AI1209" i="2"/>
  <c r="AI1211" i="2"/>
  <c r="AI1213" i="2"/>
  <c r="AI1214" i="2"/>
  <c r="AI1229" i="2"/>
  <c r="AI1230" i="2"/>
  <c r="AI1196" i="2"/>
  <c r="AH1198" i="2"/>
  <c r="AH1197" i="2"/>
  <c r="AH1200" i="2"/>
  <c r="AH1202" i="2"/>
  <c r="AH1203" i="2"/>
  <c r="AH1205" i="2"/>
  <c r="AH1209" i="2"/>
  <c r="AH1211" i="2"/>
  <c r="AH1213" i="2"/>
  <c r="AH1214" i="2"/>
  <c r="AH1216" i="2"/>
  <c r="AH1229" i="2"/>
  <c r="AH1196" i="2"/>
  <c r="AI1202" i="2"/>
  <c r="AE1219" i="2"/>
  <c r="AE1220" i="2"/>
  <c r="AE1222" i="2"/>
  <c r="AG1220" i="2"/>
  <c r="AG1222" i="2"/>
  <c r="AF1225" i="2"/>
  <c r="AF1227" i="2"/>
  <c r="AI1231" i="2"/>
  <c r="AF1218" i="2"/>
  <c r="AF1220" i="2"/>
  <c r="AF1222" i="2"/>
  <c r="AE1225" i="2"/>
  <c r="AE1227" i="2"/>
  <c r="AI1197" i="2"/>
  <c r="AI1200" i="2"/>
  <c r="AH1230" i="2"/>
  <c r="AH1231" i="2"/>
  <c r="AI1216" i="2"/>
  <c r="AH1208" i="2"/>
  <c r="AF1219" i="2"/>
  <c r="AE1224" i="2"/>
  <c r="AG1219" i="2"/>
  <c r="AF1224" i="2"/>
  <c r="AG1218" i="2"/>
  <c r="AG1224" i="2"/>
  <c r="AE1218" i="2"/>
  <c r="AG1147" i="2"/>
  <c r="AF1147" i="2"/>
  <c r="AE1147" i="2"/>
  <c r="AG1146" i="2"/>
  <c r="AF1146" i="2"/>
  <c r="AE1146" i="2"/>
  <c r="AG1145" i="2"/>
  <c r="AF1145" i="2"/>
  <c r="AE1145" i="2"/>
  <c r="AG1144" i="2"/>
  <c r="AF1144" i="2"/>
  <c r="AE1144" i="2"/>
  <c r="AG1143" i="2"/>
  <c r="AF1143" i="2"/>
  <c r="AE1143" i="2"/>
  <c r="AG1142" i="2"/>
  <c r="AF1142" i="2"/>
  <c r="AE1142" i="2"/>
  <c r="AG1141" i="2"/>
  <c r="AF1141" i="2"/>
  <c r="AE1141" i="2"/>
  <c r="AG1136" i="2"/>
  <c r="AF1136" i="2"/>
  <c r="AE1136" i="2"/>
  <c r="AG1135" i="2"/>
  <c r="AF1135" i="2"/>
  <c r="AE1135" i="2"/>
  <c r="AG1134" i="2"/>
  <c r="AF1134" i="2"/>
  <c r="AE1134" i="2"/>
  <c r="AG1133" i="2"/>
  <c r="AF1133" i="2"/>
  <c r="AE1133" i="2"/>
  <c r="AG1132" i="2"/>
  <c r="AF1132" i="2"/>
  <c r="AE1132" i="2"/>
  <c r="AG1131" i="2"/>
  <c r="AF1131" i="2"/>
  <c r="AE1131" i="2"/>
  <c r="AG1130" i="2"/>
  <c r="AF1130" i="2"/>
  <c r="AE1130" i="2"/>
  <c r="AG1128" i="2"/>
  <c r="AF1128" i="2"/>
  <c r="AE1128" i="2"/>
  <c r="AG1127" i="2"/>
  <c r="AF1127" i="2"/>
  <c r="AE1127" i="2"/>
  <c r="AG1126" i="2"/>
  <c r="AF1126" i="2"/>
  <c r="AE1126" i="2"/>
  <c r="AG1124" i="2"/>
  <c r="AF1124" i="2"/>
  <c r="AE1124" i="2"/>
  <c r="AG1123" i="2"/>
  <c r="AF1123" i="2"/>
  <c r="AE1123" i="2"/>
  <c r="AG1122" i="2"/>
  <c r="AF1122" i="2"/>
  <c r="AE1122" i="2"/>
  <c r="AG1119" i="2"/>
  <c r="AF1119" i="2"/>
  <c r="AE1119" i="2"/>
  <c r="AG1118" i="2"/>
  <c r="AF1118" i="2"/>
  <c r="AE1118" i="2"/>
  <c r="AG1117" i="2"/>
  <c r="AF1117" i="2"/>
  <c r="AE1117" i="2"/>
  <c r="AG1115" i="2"/>
  <c r="AF1115" i="2"/>
  <c r="AE1115" i="2"/>
  <c r="AG1114" i="2"/>
  <c r="AF1114" i="2"/>
  <c r="AE1114" i="2"/>
  <c r="AG1113" i="2"/>
  <c r="AF1113" i="2"/>
  <c r="AE1113" i="2"/>
  <c r="AJ1216" i="2" l="1"/>
  <c r="AI1212" i="2"/>
  <c r="AI1217" i="2"/>
  <c r="AI1206" i="2"/>
  <c r="AF1228" i="2"/>
  <c r="AH1206" i="2"/>
  <c r="AG1223" i="2"/>
  <c r="AJ1230" i="2"/>
  <c r="AJ1203" i="2"/>
  <c r="AI1232" i="2"/>
  <c r="AJ1214" i="2"/>
  <c r="AG1228" i="2"/>
  <c r="AE1223" i="2"/>
  <c r="AH1201" i="2"/>
  <c r="AJ1208" i="2"/>
  <c r="AI1225" i="2"/>
  <c r="AH1227" i="2"/>
  <c r="AH1217" i="2"/>
  <c r="AE1228" i="2"/>
  <c r="AH1228" i="2" s="1"/>
  <c r="AI1222" i="2"/>
  <c r="AI1227" i="2"/>
  <c r="AJ1211" i="2"/>
  <c r="AF1223" i="2"/>
  <c r="AH1212" i="2"/>
  <c r="AH1232" i="2"/>
  <c r="AJ1209" i="2"/>
  <c r="AH1219" i="2"/>
  <c r="AH1224" i="2"/>
  <c r="AH1222" i="2"/>
  <c r="AJ1229" i="2"/>
  <c r="AJ1213" i="2"/>
  <c r="AH1220" i="2"/>
  <c r="AJ1200" i="2"/>
  <c r="AJ1198" i="2"/>
  <c r="AI1201" i="2"/>
  <c r="AJ1231" i="2"/>
  <c r="AI1220" i="2"/>
  <c r="AJ1205" i="2"/>
  <c r="AJ1202" i="2"/>
  <c r="AJ1196" i="2"/>
  <c r="AH1225" i="2"/>
  <c r="AJ1197" i="2"/>
  <c r="AI1218" i="2"/>
  <c r="AI1224" i="2"/>
  <c r="AI1219" i="2"/>
  <c r="AH1218" i="2"/>
  <c r="AI1141" i="2"/>
  <c r="AI1144" i="2"/>
  <c r="AI1146" i="2"/>
  <c r="AI1147" i="2"/>
  <c r="AH1123" i="2"/>
  <c r="AH1124" i="2"/>
  <c r="AH1126" i="2"/>
  <c r="AH1135" i="2"/>
  <c r="AH1136" i="2"/>
  <c r="AH1141" i="2"/>
  <c r="AH1142" i="2"/>
  <c r="AH1143" i="2"/>
  <c r="AH1146" i="2"/>
  <c r="AH1147" i="2"/>
  <c r="AI1145" i="2"/>
  <c r="AI1142" i="2"/>
  <c r="AI1143" i="2"/>
  <c r="AH1144" i="2"/>
  <c r="AI1126" i="2"/>
  <c r="AH1145" i="2"/>
  <c r="AI1113" i="2"/>
  <c r="AI1117" i="2"/>
  <c r="AH1114" i="2"/>
  <c r="AH1115" i="2"/>
  <c r="AH1117" i="2"/>
  <c r="AI1119" i="2"/>
  <c r="AI1122" i="2"/>
  <c r="AI1127" i="2"/>
  <c r="AI1128" i="2"/>
  <c r="AI1130" i="2"/>
  <c r="AI1131" i="2"/>
  <c r="AI1132" i="2"/>
  <c r="AI1133" i="2"/>
  <c r="AI1134" i="2"/>
  <c r="AI1135" i="2"/>
  <c r="AH1118" i="2"/>
  <c r="AH1119" i="2"/>
  <c r="AH1122" i="2"/>
  <c r="AI1123" i="2"/>
  <c r="AI1124" i="2"/>
  <c r="AH1113" i="2"/>
  <c r="AI1114" i="2"/>
  <c r="AI1115" i="2"/>
  <c r="AI1118" i="2"/>
  <c r="AH1127" i="2"/>
  <c r="AH1128" i="2"/>
  <c r="AH1130" i="2"/>
  <c r="AH1131" i="2"/>
  <c r="AH1132" i="2"/>
  <c r="AH1133" i="2"/>
  <c r="AH1134" i="2"/>
  <c r="AI1136" i="2"/>
  <c r="AE1121" i="2"/>
  <c r="AE1125" i="2"/>
  <c r="AD1125" i="2"/>
  <c r="AD1116" i="2"/>
  <c r="AD1112" i="2"/>
  <c r="AD1129" i="2"/>
  <c r="AG1112" i="2"/>
  <c r="AE1129" i="2"/>
  <c r="AG1116" i="2"/>
  <c r="AG1125" i="2"/>
  <c r="AD1121" i="2"/>
  <c r="AG1121" i="2"/>
  <c r="AF1116" i="2"/>
  <c r="AG1129" i="2"/>
  <c r="AF1125" i="2"/>
  <c r="AE1116" i="2"/>
  <c r="AF1112" i="2"/>
  <c r="AF1129" i="2"/>
  <c r="AF1121" i="2"/>
  <c r="AE1112" i="2"/>
  <c r="AB159" i="1"/>
  <c r="AA159" i="1"/>
  <c r="Z159" i="1"/>
  <c r="Y159" i="1"/>
  <c r="X159" i="1"/>
  <c r="W159" i="1"/>
  <c r="V159" i="1"/>
  <c r="U159" i="1"/>
  <c r="T159" i="1"/>
  <c r="S159" i="1"/>
  <c r="R159" i="1"/>
  <c r="Q159" i="1"/>
  <c r="AB158" i="1"/>
  <c r="AA158" i="1"/>
  <c r="Z158" i="1"/>
  <c r="Y158" i="1"/>
  <c r="X158" i="1"/>
  <c r="W158" i="1"/>
  <c r="V158" i="1"/>
  <c r="U158" i="1"/>
  <c r="T158" i="1"/>
  <c r="S158" i="1"/>
  <c r="R158" i="1"/>
  <c r="Q158" i="1"/>
  <c r="AB157" i="1"/>
  <c r="AA157" i="1"/>
  <c r="Z157" i="1"/>
  <c r="Y157" i="1"/>
  <c r="X157" i="1"/>
  <c r="W157" i="1"/>
  <c r="V157" i="1"/>
  <c r="U157" i="1"/>
  <c r="T157" i="1"/>
  <c r="S157" i="1"/>
  <c r="R157" i="1"/>
  <c r="Q157" i="1"/>
  <c r="AB156" i="1"/>
  <c r="AA156" i="1"/>
  <c r="Z156" i="1"/>
  <c r="Y156" i="1"/>
  <c r="X156" i="1"/>
  <c r="W156" i="1"/>
  <c r="V156" i="1"/>
  <c r="U156" i="1"/>
  <c r="T156" i="1"/>
  <c r="S156" i="1"/>
  <c r="R156" i="1"/>
  <c r="Q156" i="1"/>
  <c r="AB154" i="1"/>
  <c r="AA154" i="1"/>
  <c r="Z154" i="1"/>
  <c r="Y154" i="1"/>
  <c r="X154" i="1"/>
  <c r="W154" i="1"/>
  <c r="V154" i="1"/>
  <c r="U154" i="1"/>
  <c r="T154" i="1"/>
  <c r="S154" i="1"/>
  <c r="R154" i="1"/>
  <c r="Q154" i="1"/>
  <c r="AB152" i="1"/>
  <c r="AA152" i="1"/>
  <c r="Z152" i="1"/>
  <c r="Y152" i="1"/>
  <c r="X152" i="1"/>
  <c r="W152" i="1"/>
  <c r="V152" i="1"/>
  <c r="U152" i="1"/>
  <c r="T152" i="1"/>
  <c r="S152" i="1"/>
  <c r="R152" i="1"/>
  <c r="Q152" i="1"/>
  <c r="AJ1212" i="2" l="1"/>
  <c r="AI1228" i="2"/>
  <c r="AJ1206" i="2"/>
  <c r="AJ1217" i="2"/>
  <c r="AJ1225" i="2"/>
  <c r="AI1223" i="2"/>
  <c r="AJ1201" i="2"/>
  <c r="AJ1227" i="2"/>
  <c r="AH1223" i="2"/>
  <c r="AJ1220" i="2"/>
  <c r="AJ1222" i="2"/>
  <c r="AJ1142" i="2"/>
  <c r="AJ1232" i="2"/>
  <c r="AJ1228" i="2"/>
  <c r="AJ1219" i="2"/>
  <c r="AJ1224" i="2"/>
  <c r="AJ1218" i="2"/>
  <c r="AJ1123" i="2"/>
  <c r="AJ1141" i="2"/>
  <c r="AJ1126" i="2"/>
  <c r="AJ1136" i="2"/>
  <c r="AJ1124" i="2"/>
  <c r="AJ1144" i="2"/>
  <c r="AJ1135" i="2"/>
  <c r="AJ1113" i="2"/>
  <c r="AJ1147" i="2"/>
  <c r="AJ1143" i="2"/>
  <c r="AJ1146" i="2"/>
  <c r="AJ1133" i="2"/>
  <c r="AJ1128" i="2"/>
  <c r="AJ1145" i="2"/>
  <c r="AJ1132" i="2"/>
  <c r="AJ1115" i="2"/>
  <c r="AJ1127" i="2"/>
  <c r="AJ1131" i="2"/>
  <c r="AJ1117" i="2"/>
  <c r="AJ1134" i="2"/>
  <c r="AJ1130" i="2"/>
  <c r="AJ1119" i="2"/>
  <c r="AJ1114" i="2"/>
  <c r="AJ1122" i="2"/>
  <c r="AH1129" i="2"/>
  <c r="AJ1118" i="2"/>
  <c r="AE1120" i="2"/>
  <c r="AF1120" i="2"/>
  <c r="AH1125" i="2"/>
  <c r="AD1111" i="2"/>
  <c r="AH1121" i="2"/>
  <c r="AI1116" i="2"/>
  <c r="AG1120" i="2"/>
  <c r="AD1120" i="2"/>
  <c r="AG1111" i="2"/>
  <c r="AE1111" i="2"/>
  <c r="AI1112" i="2"/>
  <c r="AH1112" i="2"/>
  <c r="AI1129" i="2"/>
  <c r="AH1116" i="2"/>
  <c r="AI1121" i="2"/>
  <c r="AI1125" i="2"/>
  <c r="AF1111" i="2"/>
  <c r="AJ1121" i="2" l="1"/>
  <c r="AG1303" i="2"/>
  <c r="AJ1223" i="2"/>
  <c r="AG1301" i="2"/>
  <c r="AF1301" i="2"/>
  <c r="AF1303" i="2"/>
  <c r="AE1301" i="2"/>
  <c r="AE1303" i="2"/>
  <c r="S153" i="1"/>
  <c r="W153" i="1"/>
  <c r="AA153" i="1"/>
  <c r="T153" i="1"/>
  <c r="X153" i="1"/>
  <c r="AB153" i="1"/>
  <c r="AJ1125" i="2"/>
  <c r="AJ1116" i="2"/>
  <c r="AG1110" i="2"/>
  <c r="AG1140" i="2" s="1"/>
  <c r="AF1110" i="2"/>
  <c r="AF1140" i="2" s="1"/>
  <c r="AE1110" i="2"/>
  <c r="AE1140" i="2" s="1"/>
  <c r="AH1120" i="2"/>
  <c r="AJ1112" i="2"/>
  <c r="AJ1129" i="2"/>
  <c r="AD1110" i="2"/>
  <c r="AD1140" i="2" s="1"/>
  <c r="AI1111" i="2"/>
  <c r="AI1120" i="2"/>
  <c r="AH1111" i="2"/>
  <c r="R153" i="1"/>
  <c r="V153" i="1"/>
  <c r="Z153" i="1"/>
  <c r="U153" i="1"/>
  <c r="Y153" i="1"/>
  <c r="AJ1111" i="2" l="1"/>
  <c r="AJ1120" i="2"/>
  <c r="AE397" i="2"/>
  <c r="AE399" i="2"/>
  <c r="AF397" i="2"/>
  <c r="AF399" i="2"/>
  <c r="AG399" i="2"/>
  <c r="AG397" i="2"/>
  <c r="AI1303" i="2"/>
  <c r="AE1302" i="2"/>
  <c r="AI1301" i="2"/>
  <c r="AH1301" i="2"/>
  <c r="AG1302" i="2"/>
  <c r="AF1299" i="2"/>
  <c r="AH1303" i="2"/>
  <c r="AF1302" i="2"/>
  <c r="AF1108" i="2"/>
  <c r="AE1109" i="2"/>
  <c r="AE1108" i="2"/>
  <c r="AH1110" i="2"/>
  <c r="AH1140" i="2" s="1"/>
  <c r="AI1110" i="2"/>
  <c r="AI1140" i="2" s="1"/>
  <c r="AG1108" i="2"/>
  <c r="AF1109" i="2"/>
  <c r="AG1109" i="2"/>
  <c r="AJ1110" i="2" l="1"/>
  <c r="AJ1140" i="2" s="1"/>
  <c r="AJ1303" i="2"/>
  <c r="AG401" i="2"/>
  <c r="AF401" i="2"/>
  <c r="AF403" i="2"/>
  <c r="AI397" i="2"/>
  <c r="AE403" i="2"/>
  <c r="AE401" i="2"/>
  <c r="AG403" i="2"/>
  <c r="AI399" i="2"/>
  <c r="AI1302" i="2"/>
  <c r="AJ1301" i="2"/>
  <c r="AG1299" i="2"/>
  <c r="AE1299" i="2"/>
  <c r="AH1108" i="2"/>
  <c r="AI1108" i="2"/>
  <c r="AH1109" i="2"/>
  <c r="AI1109" i="2"/>
  <c r="AB150" i="1"/>
  <c r="AA150" i="1"/>
  <c r="Z150" i="1"/>
  <c r="Y150" i="1"/>
  <c r="X150" i="1"/>
  <c r="W150" i="1"/>
  <c r="V150" i="1"/>
  <c r="U150" i="1"/>
  <c r="T150" i="1"/>
  <c r="S150" i="1"/>
  <c r="R150" i="1"/>
  <c r="AB149" i="1"/>
  <c r="AA149" i="1"/>
  <c r="Z149" i="1"/>
  <c r="Y149" i="1"/>
  <c r="X149" i="1"/>
  <c r="W149" i="1"/>
  <c r="V149" i="1"/>
  <c r="U149" i="1"/>
  <c r="T149" i="1"/>
  <c r="S149" i="1"/>
  <c r="R149" i="1"/>
  <c r="AB148" i="1"/>
  <c r="AA148" i="1"/>
  <c r="Z148" i="1"/>
  <c r="Y148" i="1"/>
  <c r="X148" i="1"/>
  <c r="W148" i="1"/>
  <c r="V148" i="1"/>
  <c r="U148" i="1"/>
  <c r="T148" i="1"/>
  <c r="S148" i="1"/>
  <c r="R148" i="1"/>
  <c r="AB147" i="1"/>
  <c r="AA147" i="1"/>
  <c r="Z147" i="1"/>
  <c r="Y147" i="1"/>
  <c r="X147" i="1"/>
  <c r="W147" i="1"/>
  <c r="V147" i="1"/>
  <c r="U147" i="1"/>
  <c r="T147" i="1"/>
  <c r="S147" i="1"/>
  <c r="R147" i="1"/>
  <c r="AB146" i="1"/>
  <c r="AA146" i="1"/>
  <c r="Z146" i="1"/>
  <c r="Y146" i="1"/>
  <c r="X146" i="1"/>
  <c r="W146" i="1"/>
  <c r="V146" i="1"/>
  <c r="U146" i="1"/>
  <c r="T146" i="1"/>
  <c r="S146" i="1"/>
  <c r="R146" i="1"/>
  <c r="AB145" i="1"/>
  <c r="AA145" i="1"/>
  <c r="Z145" i="1"/>
  <c r="Y145" i="1"/>
  <c r="X145" i="1"/>
  <c r="W145" i="1"/>
  <c r="V145" i="1"/>
  <c r="U145" i="1"/>
  <c r="T145" i="1"/>
  <c r="S145" i="1"/>
  <c r="R145" i="1"/>
  <c r="AB143" i="1"/>
  <c r="AA143" i="1"/>
  <c r="Z143" i="1"/>
  <c r="Y143" i="1"/>
  <c r="X143" i="1"/>
  <c r="W143" i="1"/>
  <c r="V143" i="1"/>
  <c r="U143" i="1"/>
  <c r="T143" i="1"/>
  <c r="S143" i="1"/>
  <c r="R143" i="1"/>
  <c r="AB142" i="1"/>
  <c r="AA142" i="1"/>
  <c r="Z142" i="1"/>
  <c r="Y142" i="1"/>
  <c r="X142" i="1"/>
  <c r="W142" i="1"/>
  <c r="V142" i="1"/>
  <c r="U142" i="1"/>
  <c r="T142" i="1"/>
  <c r="S142" i="1"/>
  <c r="R142" i="1"/>
  <c r="AB141" i="1"/>
  <c r="AA141" i="1"/>
  <c r="Z141" i="1"/>
  <c r="Y141" i="1"/>
  <c r="X141" i="1"/>
  <c r="W141" i="1"/>
  <c r="V141" i="1"/>
  <c r="U141" i="1"/>
  <c r="T141" i="1"/>
  <c r="S141" i="1"/>
  <c r="R141" i="1"/>
  <c r="AB140" i="1"/>
  <c r="AA140" i="1"/>
  <c r="Z140" i="1"/>
  <c r="Y140" i="1"/>
  <c r="X140" i="1"/>
  <c r="W140" i="1"/>
  <c r="V140" i="1"/>
  <c r="U140" i="1"/>
  <c r="T140" i="1"/>
  <c r="S140" i="1"/>
  <c r="R140" i="1"/>
  <c r="AB139" i="1"/>
  <c r="AA139" i="1"/>
  <c r="Z139" i="1"/>
  <c r="Y139" i="1"/>
  <c r="X139" i="1"/>
  <c r="W139" i="1"/>
  <c r="V139" i="1"/>
  <c r="U139" i="1"/>
  <c r="T139" i="1"/>
  <c r="S139" i="1"/>
  <c r="R139" i="1"/>
  <c r="AB138" i="1"/>
  <c r="AA138" i="1"/>
  <c r="Z138" i="1"/>
  <c r="Y138" i="1"/>
  <c r="X138" i="1"/>
  <c r="W138" i="1"/>
  <c r="V138" i="1"/>
  <c r="U138" i="1"/>
  <c r="T138" i="1"/>
  <c r="S138" i="1"/>
  <c r="R138" i="1"/>
  <c r="AB108" i="1"/>
  <c r="AA108" i="1"/>
  <c r="Z108" i="1"/>
  <c r="Y108" i="1"/>
  <c r="X108" i="1"/>
  <c r="W108" i="1"/>
  <c r="V108" i="1"/>
  <c r="U108" i="1"/>
  <c r="T108" i="1"/>
  <c r="S108" i="1"/>
  <c r="R108" i="1"/>
  <c r="R135" i="1"/>
  <c r="AB129" i="1"/>
  <c r="AA129" i="1"/>
  <c r="Z129" i="1"/>
  <c r="Y129" i="1"/>
  <c r="X129" i="1"/>
  <c r="W129" i="1"/>
  <c r="V129" i="1"/>
  <c r="U129" i="1"/>
  <c r="T129" i="1"/>
  <c r="S129" i="1"/>
  <c r="R129" i="1"/>
  <c r="AB128" i="1"/>
  <c r="AA128" i="1"/>
  <c r="Z128" i="1"/>
  <c r="Y128" i="1"/>
  <c r="X128" i="1"/>
  <c r="W128" i="1"/>
  <c r="V128" i="1"/>
  <c r="U128" i="1"/>
  <c r="T128" i="1"/>
  <c r="S128" i="1"/>
  <c r="R128" i="1"/>
  <c r="AB127" i="1"/>
  <c r="AA127" i="1"/>
  <c r="Z127" i="1"/>
  <c r="Y127" i="1"/>
  <c r="X127" i="1"/>
  <c r="W127" i="1"/>
  <c r="V127" i="1"/>
  <c r="U127" i="1"/>
  <c r="T127" i="1"/>
  <c r="S127" i="1"/>
  <c r="R127" i="1"/>
  <c r="AB126" i="1"/>
  <c r="AA126" i="1"/>
  <c r="Z126" i="1"/>
  <c r="Y126" i="1"/>
  <c r="X126" i="1"/>
  <c r="W126" i="1"/>
  <c r="V126" i="1"/>
  <c r="U126" i="1"/>
  <c r="T126" i="1"/>
  <c r="S126" i="1"/>
  <c r="R126" i="1"/>
  <c r="AB125" i="1"/>
  <c r="AA125" i="1"/>
  <c r="Z125" i="1"/>
  <c r="Y125" i="1"/>
  <c r="X125" i="1"/>
  <c r="W125" i="1"/>
  <c r="V125" i="1"/>
  <c r="U125" i="1"/>
  <c r="T125" i="1"/>
  <c r="S125" i="1"/>
  <c r="R125" i="1"/>
  <c r="AB124" i="1"/>
  <c r="AA124" i="1"/>
  <c r="Z124" i="1"/>
  <c r="Y124" i="1"/>
  <c r="X124" i="1"/>
  <c r="W124" i="1"/>
  <c r="V124" i="1"/>
  <c r="U124" i="1"/>
  <c r="T124" i="1"/>
  <c r="S124" i="1"/>
  <c r="R124" i="1"/>
  <c r="AB105" i="1"/>
  <c r="AA105" i="1"/>
  <c r="Z105" i="1"/>
  <c r="Y105" i="1"/>
  <c r="X105" i="1"/>
  <c r="W105" i="1"/>
  <c r="V105" i="1"/>
  <c r="U105" i="1"/>
  <c r="T105" i="1"/>
  <c r="S105" i="1"/>
  <c r="R105" i="1"/>
  <c r="Q150" i="1"/>
  <c r="Q149" i="1"/>
  <c r="Q148" i="1"/>
  <c r="Q147" i="1"/>
  <c r="Q146" i="1"/>
  <c r="Q145" i="1"/>
  <c r="Q143" i="1"/>
  <c r="Q141" i="1"/>
  <c r="Q140" i="1"/>
  <c r="Q108" i="1"/>
  <c r="Q139" i="1"/>
  <c r="Q138" i="1"/>
  <c r="Q129" i="1"/>
  <c r="Q127" i="1"/>
  <c r="Q126" i="1"/>
  <c r="Q125" i="1"/>
  <c r="Q124" i="1"/>
  <c r="Q105" i="1"/>
  <c r="O150" i="1"/>
  <c r="O149" i="1"/>
  <c r="O143" i="1"/>
  <c r="Q142" i="1"/>
  <c r="O142" i="1"/>
  <c r="O135" i="1"/>
  <c r="O134" i="1"/>
  <c r="O129" i="1"/>
  <c r="Q128" i="1"/>
  <c r="O128" i="1"/>
  <c r="O121" i="1"/>
  <c r="O122" i="1"/>
  <c r="AI403" i="2" l="1"/>
  <c r="AI401" i="2"/>
  <c r="T137" i="1"/>
  <c r="X137" i="1"/>
  <c r="AB137" i="1"/>
  <c r="U137" i="1"/>
  <c r="R137" i="1"/>
  <c r="V137" i="1"/>
  <c r="Z137" i="1"/>
  <c r="Y137" i="1"/>
  <c r="S137" i="1"/>
  <c r="W137" i="1"/>
  <c r="AA137" i="1"/>
  <c r="Q137" i="1"/>
  <c r="AI1299" i="2"/>
  <c r="AJ1108" i="2"/>
  <c r="AJ1109" i="2"/>
  <c r="R144" i="1"/>
  <c r="Z135" i="1"/>
  <c r="AB133" i="1"/>
  <c r="Q144" i="1"/>
  <c r="R131" i="1"/>
  <c r="Z131" i="1"/>
  <c r="V133" i="1"/>
  <c r="S134" i="1"/>
  <c r="T135" i="1"/>
  <c r="AB135" i="1"/>
  <c r="V144" i="1"/>
  <c r="X131" i="1"/>
  <c r="T131" i="1"/>
  <c r="AB131" i="1"/>
  <c r="X133" i="1"/>
  <c r="W134" i="1"/>
  <c r="V135" i="1"/>
  <c r="S144" i="1"/>
  <c r="W144" i="1"/>
  <c r="AA144" i="1"/>
  <c r="T144" i="1"/>
  <c r="X144" i="1"/>
  <c r="AB144" i="1"/>
  <c r="U144" i="1"/>
  <c r="Y144" i="1"/>
  <c r="Z144" i="1"/>
  <c r="Q155" i="1"/>
  <c r="U155" i="1"/>
  <c r="T133" i="1"/>
  <c r="V131" i="1"/>
  <c r="R133" i="1"/>
  <c r="Z133" i="1"/>
  <c r="AA134" i="1"/>
  <c r="X135" i="1"/>
  <c r="Y155" i="1"/>
  <c r="Q135" i="1"/>
  <c r="U132" i="1"/>
  <c r="Y136" i="1"/>
  <c r="Q131" i="1"/>
  <c r="U131" i="1"/>
  <c r="Y131" i="1"/>
  <c r="R132" i="1"/>
  <c r="V132" i="1"/>
  <c r="Z132" i="1"/>
  <c r="S133" i="1"/>
  <c r="W133" i="1"/>
  <c r="AA133" i="1"/>
  <c r="T134" i="1"/>
  <c r="X134" i="1"/>
  <c r="AB134" i="1"/>
  <c r="U135" i="1"/>
  <c r="Y135" i="1"/>
  <c r="R136" i="1"/>
  <c r="V136" i="1"/>
  <c r="Z136" i="1"/>
  <c r="Q133" i="1"/>
  <c r="Q136" i="1"/>
  <c r="W132" i="1"/>
  <c r="Y134" i="1"/>
  <c r="S136" i="1"/>
  <c r="W136" i="1"/>
  <c r="AA136" i="1"/>
  <c r="Q132" i="1"/>
  <c r="Q134" i="1"/>
  <c r="Y132" i="1"/>
  <c r="U136" i="1"/>
  <c r="S132" i="1"/>
  <c r="AA132" i="1"/>
  <c r="U134" i="1"/>
  <c r="S131" i="1"/>
  <c r="W131" i="1"/>
  <c r="AA131" i="1"/>
  <c r="T132" i="1"/>
  <c r="X132" i="1"/>
  <c r="AB132" i="1"/>
  <c r="U133" i="1"/>
  <c r="Y133" i="1"/>
  <c r="R134" i="1"/>
  <c r="V134" i="1"/>
  <c r="Z134" i="1"/>
  <c r="S135" i="1"/>
  <c r="W135" i="1"/>
  <c r="AA135" i="1"/>
  <c r="T136" i="1"/>
  <c r="X136" i="1"/>
  <c r="AB136" i="1"/>
  <c r="AB155" i="1"/>
  <c r="X155" i="1"/>
  <c r="T155" i="1"/>
  <c r="AA155" i="1"/>
  <c r="W155" i="1"/>
  <c r="S155" i="1"/>
  <c r="Z155" i="1"/>
  <c r="V155" i="1"/>
  <c r="R155" i="1"/>
  <c r="AA130" i="1" l="1"/>
  <c r="V130" i="1"/>
  <c r="R130" i="1"/>
  <c r="W130" i="1"/>
  <c r="Q130" i="1"/>
  <c r="AB130" i="1"/>
  <c r="X130" i="1"/>
  <c r="U130" i="1"/>
  <c r="Z130" i="1"/>
  <c r="S130" i="1"/>
  <c r="Y130" i="1"/>
  <c r="T130" i="1"/>
  <c r="AE390" i="2"/>
  <c r="AG392" i="2"/>
  <c r="AE392" i="2"/>
  <c r="Q153" i="1" l="1"/>
  <c r="R151" i="1"/>
  <c r="Z151" i="1"/>
  <c r="S151" i="1"/>
  <c r="W151" i="1"/>
  <c r="AA151" i="1"/>
  <c r="V151" i="1"/>
  <c r="T151" i="1"/>
  <c r="AB151" i="1"/>
  <c r="X151" i="1"/>
  <c r="U151" i="1"/>
  <c r="Y151" i="1"/>
  <c r="AH392" i="2"/>
  <c r="AG391" i="2"/>
  <c r="AE391" i="2"/>
  <c r="AF391" i="2"/>
  <c r="AH403" i="2" l="1"/>
  <c r="AJ403" i="2" s="1"/>
  <c r="AH401" i="2"/>
  <c r="AJ401" i="2" s="1"/>
  <c r="AH399" i="2"/>
  <c r="AJ399" i="2" s="1"/>
  <c r="AH1302" i="2"/>
  <c r="AJ1302" i="2" s="1"/>
  <c r="AH397" i="2" l="1"/>
  <c r="R118" i="1"/>
  <c r="R120" i="1"/>
  <c r="AJ397" i="2" l="1"/>
  <c r="AH1299" i="2"/>
  <c r="AJ1299" i="2" l="1"/>
  <c r="AG829" i="2"/>
  <c r="AF829" i="2"/>
  <c r="AE829" i="2"/>
  <c r="AG828" i="2"/>
  <c r="AF828" i="2"/>
  <c r="AE828" i="2"/>
  <c r="AG814" i="2"/>
  <c r="AF814" i="2"/>
  <c r="AE814" i="2"/>
  <c r="AG813" i="2"/>
  <c r="AF813" i="2"/>
  <c r="AE813" i="2"/>
  <c r="AG812" i="2"/>
  <c r="AF812" i="2"/>
  <c r="AE812" i="2"/>
  <c r="AG811" i="2"/>
  <c r="AF811" i="2"/>
  <c r="AE811" i="2"/>
  <c r="AG809" i="2"/>
  <c r="AF809" i="2"/>
  <c r="AE809" i="2"/>
  <c r="AG808" i="2"/>
  <c r="AF808" i="2"/>
  <c r="AE808" i="2"/>
  <c r="AG807" i="2"/>
  <c r="AF807" i="2"/>
  <c r="AE807" i="2"/>
  <c r="AG806" i="2"/>
  <c r="AF806" i="2"/>
  <c r="AE806" i="2"/>
  <c r="AG790" i="2"/>
  <c r="AF790" i="2"/>
  <c r="AE790" i="2"/>
  <c r="AG789" i="2"/>
  <c r="AF789" i="2"/>
  <c r="AE789" i="2"/>
  <c r="AG775" i="2"/>
  <c r="AF775" i="2"/>
  <c r="AE775" i="2"/>
  <c r="AG774" i="2"/>
  <c r="AF774" i="2"/>
  <c r="AE774" i="2"/>
  <c r="AG773" i="2"/>
  <c r="AF773" i="2"/>
  <c r="AE773" i="2"/>
  <c r="AG772" i="2"/>
  <c r="AF772" i="2"/>
  <c r="AE772" i="2"/>
  <c r="AG780" i="2"/>
  <c r="AF780" i="2"/>
  <c r="AE780" i="2"/>
  <c r="AG779" i="2"/>
  <c r="AF779" i="2"/>
  <c r="AE779" i="2"/>
  <c r="AG778" i="2"/>
  <c r="AF778" i="2"/>
  <c r="AE778" i="2"/>
  <c r="AG777" i="2"/>
  <c r="AF777" i="2"/>
  <c r="AE777" i="2"/>
  <c r="AH808" i="2" l="1"/>
  <c r="AH789" i="2"/>
  <c r="AH790" i="2"/>
  <c r="AH812" i="2"/>
  <c r="AH829" i="2"/>
  <c r="T121" i="1"/>
  <c r="X121" i="1"/>
  <c r="AB121" i="1"/>
  <c r="U121" i="1"/>
  <c r="Y121" i="1"/>
  <c r="R121" i="1"/>
  <c r="V121" i="1"/>
  <c r="Z121" i="1"/>
  <c r="S121" i="1"/>
  <c r="W121" i="1"/>
  <c r="AA121" i="1"/>
  <c r="Q121" i="1"/>
  <c r="X120" i="1"/>
  <c r="U120" i="1"/>
  <c r="V120" i="1"/>
  <c r="Z120" i="1"/>
  <c r="T120" i="1"/>
  <c r="AB120" i="1"/>
  <c r="Y120" i="1"/>
  <c r="S120" i="1"/>
  <c r="W120" i="1"/>
  <c r="AA120" i="1"/>
  <c r="Q120" i="1"/>
  <c r="AH780" i="2"/>
  <c r="AF805" i="2"/>
  <c r="AE805" i="2"/>
  <c r="AH814" i="2"/>
  <c r="AI829" i="2"/>
  <c r="AI811" i="2"/>
  <c r="AH778" i="2"/>
  <c r="AH773" i="2"/>
  <c r="AH774" i="2"/>
  <c r="AG805" i="2"/>
  <c r="AE810" i="2"/>
  <c r="AD805" i="2"/>
  <c r="AG810" i="2"/>
  <c r="AI828" i="2"/>
  <c r="AI814" i="2"/>
  <c r="AH772" i="2"/>
  <c r="AI812" i="2"/>
  <c r="AI813" i="2"/>
  <c r="AH828" i="2"/>
  <c r="AI789" i="2"/>
  <c r="AI807" i="2"/>
  <c r="AI809" i="2"/>
  <c r="AH811" i="2"/>
  <c r="AH813" i="2"/>
  <c r="AI775" i="2"/>
  <c r="AD810" i="2"/>
  <c r="AI806" i="2"/>
  <c r="AH807" i="2"/>
  <c r="AI808" i="2"/>
  <c r="AH809" i="2"/>
  <c r="AH806" i="2"/>
  <c r="AI778" i="2"/>
  <c r="AI774" i="2"/>
  <c r="AE771" i="2"/>
  <c r="AF810" i="2"/>
  <c r="AI773" i="2"/>
  <c r="AI790" i="2"/>
  <c r="AD771" i="2"/>
  <c r="AF776" i="2"/>
  <c r="AF771" i="2"/>
  <c r="AI780" i="2"/>
  <c r="AE776" i="2"/>
  <c r="AH777" i="2"/>
  <c r="AI772" i="2"/>
  <c r="AH775" i="2"/>
  <c r="AI777" i="2"/>
  <c r="AI779" i="2"/>
  <c r="AD776" i="2"/>
  <c r="AH779" i="2"/>
  <c r="AG771" i="2"/>
  <c r="AG776" i="2"/>
  <c r="AJ812" i="2" l="1"/>
  <c r="AJ790" i="2"/>
  <c r="AJ808" i="2"/>
  <c r="AJ789" i="2"/>
  <c r="AJ814" i="2"/>
  <c r="AJ829" i="2"/>
  <c r="AJ811" i="2"/>
  <c r="AJ828" i="2"/>
  <c r="AH810" i="2"/>
  <c r="AJ780" i="2"/>
  <c r="AJ778" i="2"/>
  <c r="AJ773" i="2"/>
  <c r="AJ809" i="2"/>
  <c r="AJ813" i="2"/>
  <c r="AJ775" i="2"/>
  <c r="AJ772" i="2"/>
  <c r="AJ774" i="2"/>
  <c r="AI810" i="2"/>
  <c r="AJ807" i="2"/>
  <c r="AI805" i="2"/>
  <c r="AI771" i="2"/>
  <c r="AJ777" i="2"/>
  <c r="AJ806" i="2"/>
  <c r="AH805" i="2"/>
  <c r="AH771" i="2"/>
  <c r="AH776" i="2"/>
  <c r="AJ779" i="2"/>
  <c r="AI776" i="2"/>
  <c r="AJ810" i="2" l="1"/>
  <c r="AJ771" i="2"/>
  <c r="AJ805" i="2"/>
  <c r="AJ776" i="2"/>
  <c r="AG370" i="2"/>
  <c r="AF370" i="2"/>
  <c r="AE370" i="2"/>
  <c r="AG369" i="2"/>
  <c r="AF369" i="2"/>
  <c r="AE369" i="2"/>
  <c r="AG360" i="2"/>
  <c r="AF357" i="2"/>
  <c r="AF384" i="2" l="1"/>
  <c r="AE384" i="2"/>
  <c r="AG387" i="2"/>
  <c r="AG379" i="2" s="1"/>
  <c r="AH369" i="2"/>
  <c r="AI369" i="2"/>
  <c r="AF360" i="2"/>
  <c r="AI360" i="2" s="1"/>
  <c r="AF387" i="2"/>
  <c r="AE360" i="2"/>
  <c r="AH360" i="2" s="1"/>
  <c r="AG384" i="2"/>
  <c r="AE387" i="2"/>
  <c r="AI370" i="2"/>
  <c r="AH370" i="2"/>
  <c r="AE357" i="2"/>
  <c r="AG357" i="2"/>
  <c r="AI357" i="2" s="1"/>
  <c r="AF376" i="2" l="1"/>
  <c r="AE379" i="2"/>
  <c r="AF379" i="2"/>
  <c r="AD376" i="2"/>
  <c r="AG376" i="2"/>
  <c r="AE376" i="2"/>
  <c r="AI384" i="2"/>
  <c r="AH384" i="2"/>
  <c r="AI387" i="2"/>
  <c r="AI379" i="2" s="1"/>
  <c r="AJ369" i="2"/>
  <c r="AJ360" i="2"/>
  <c r="AJ370" i="2"/>
  <c r="AH357" i="2"/>
  <c r="AJ357" i="2" s="1"/>
  <c r="AI376" i="2" l="1"/>
  <c r="AH376" i="2"/>
  <c r="AJ384" i="2"/>
  <c r="AJ376" i="2" l="1"/>
  <c r="O560" i="1"/>
  <c r="AB559" i="1"/>
  <c r="Y559" i="1"/>
  <c r="V559" i="1"/>
  <c r="S559" i="1"/>
  <c r="Q559" i="1"/>
  <c r="O559" i="1"/>
  <c r="AB558" i="1"/>
  <c r="Y558" i="1"/>
  <c r="V558" i="1"/>
  <c r="S558" i="1"/>
  <c r="Q558" i="1"/>
  <c r="O558" i="1"/>
  <c r="O557" i="1"/>
  <c r="O556" i="1"/>
  <c r="AB555" i="1"/>
  <c r="Y555" i="1"/>
  <c r="V555" i="1"/>
  <c r="S555" i="1"/>
  <c r="Q555" i="1"/>
  <c r="O555" i="1"/>
  <c r="AB554" i="1"/>
  <c r="Y554" i="1"/>
  <c r="V554" i="1"/>
  <c r="S554" i="1"/>
  <c r="Q554" i="1"/>
  <c r="O554" i="1"/>
  <c r="O553" i="1"/>
  <c r="AB552" i="1"/>
  <c r="Y552" i="1"/>
  <c r="V552" i="1"/>
  <c r="S552" i="1"/>
  <c r="Q552" i="1"/>
  <c r="O552" i="1"/>
  <c r="AB551" i="1"/>
  <c r="Y551" i="1"/>
  <c r="V551" i="1"/>
  <c r="S551" i="1"/>
  <c r="Q551" i="1"/>
  <c r="O551" i="1"/>
  <c r="AB550" i="1"/>
  <c r="Y550" i="1"/>
  <c r="V550" i="1"/>
  <c r="S550" i="1"/>
  <c r="Q550" i="1"/>
  <c r="O550" i="1"/>
  <c r="AB549" i="1"/>
  <c r="Y549" i="1"/>
  <c r="V549" i="1"/>
  <c r="S549" i="1"/>
  <c r="Q549" i="1"/>
  <c r="O549" i="1"/>
  <c r="AB548" i="1"/>
  <c r="Y548" i="1"/>
  <c r="V548" i="1"/>
  <c r="S548" i="1"/>
  <c r="Q548" i="1"/>
  <c r="O548" i="1"/>
  <c r="O547" i="1"/>
  <c r="O546" i="1"/>
  <c r="AB545" i="1"/>
  <c r="Y545" i="1"/>
  <c r="V545" i="1"/>
  <c r="S545" i="1"/>
  <c r="Q545" i="1"/>
  <c r="O545" i="1"/>
  <c r="AB544" i="1"/>
  <c r="Y544" i="1"/>
  <c r="V544" i="1"/>
  <c r="S544" i="1"/>
  <c r="Q544" i="1"/>
  <c r="O544" i="1"/>
  <c r="O543" i="1"/>
  <c r="O542" i="1"/>
  <c r="O540" i="1"/>
  <c r="O539" i="1"/>
  <c r="O538" i="1"/>
  <c r="O537" i="1"/>
  <c r="O536" i="1"/>
  <c r="O535" i="1"/>
  <c r="O534" i="1"/>
  <c r="O533" i="1"/>
  <c r="O532" i="1"/>
  <c r="O531" i="1"/>
  <c r="O530" i="1"/>
  <c r="V538" i="1" l="1"/>
  <c r="Y533" i="1"/>
  <c r="Y536" i="1"/>
  <c r="Y540" i="1"/>
  <c r="AB538" i="1"/>
  <c r="V532" i="1"/>
  <c r="V539" i="1"/>
  <c r="Y535" i="1"/>
  <c r="Y537" i="1"/>
  <c r="AB532" i="1"/>
  <c r="AB539" i="1"/>
  <c r="V533" i="1"/>
  <c r="V536" i="1"/>
  <c r="V540" i="1"/>
  <c r="Y538" i="1"/>
  <c r="AB533" i="1"/>
  <c r="AB536" i="1"/>
  <c r="AB540" i="1"/>
  <c r="V535" i="1"/>
  <c r="Y532" i="1"/>
  <c r="Y539" i="1"/>
  <c r="AB535" i="1"/>
  <c r="AB537" i="1"/>
  <c r="V537" i="1"/>
  <c r="S533" i="1" l="1"/>
  <c r="S535" i="1"/>
  <c r="S532" i="1"/>
  <c r="S540" i="1"/>
  <c r="S537" i="1"/>
  <c r="S538" i="1"/>
  <c r="S539" i="1"/>
  <c r="S536" i="1"/>
  <c r="Q546" i="1"/>
  <c r="AB546" i="1"/>
  <c r="V556" i="1"/>
  <c r="S546" i="1"/>
  <c r="Y556" i="1"/>
  <c r="V560" i="1"/>
  <c r="V546" i="1"/>
  <c r="Q556" i="1"/>
  <c r="AB556" i="1"/>
  <c r="S556" i="1"/>
  <c r="Q560" i="1"/>
  <c r="AB560" i="1"/>
  <c r="V547" i="1" l="1"/>
  <c r="Y546" i="1"/>
  <c r="Q547" i="1"/>
  <c r="AB547" i="1"/>
  <c r="S547" i="1"/>
  <c r="S560" i="1"/>
  <c r="Y560" i="1"/>
  <c r="Y547" i="1"/>
  <c r="AG1103" i="2" l="1"/>
  <c r="AF1103" i="2"/>
  <c r="AE1103" i="2"/>
  <c r="AG1100" i="2"/>
  <c r="AF1100" i="2"/>
  <c r="AE1100" i="2"/>
  <c r="AG1099" i="2"/>
  <c r="AF1099" i="2"/>
  <c r="AE1099" i="2"/>
  <c r="AG1097" i="2"/>
  <c r="AF1097" i="2"/>
  <c r="AE1097" i="2"/>
  <c r="AG831" i="2"/>
  <c r="AF831" i="2"/>
  <c r="AE831" i="2"/>
  <c r="AG830" i="2"/>
  <c r="AF830" i="2"/>
  <c r="AE830" i="2"/>
  <c r="AG827" i="2"/>
  <c r="AF827" i="2"/>
  <c r="AE827" i="2"/>
  <c r="AG826" i="2"/>
  <c r="AF826" i="2"/>
  <c r="AE826" i="2"/>
  <c r="AG549" i="2"/>
  <c r="AF549" i="2"/>
  <c r="AE549" i="2"/>
  <c r="AG824" i="2"/>
  <c r="AF824" i="2"/>
  <c r="AE824" i="2"/>
  <c r="AG823" i="2"/>
  <c r="AF823" i="2"/>
  <c r="AE823" i="2"/>
  <c r="AG822" i="2"/>
  <c r="AF822" i="2"/>
  <c r="AE822" i="2"/>
  <c r="AG821" i="2"/>
  <c r="AF821" i="2"/>
  <c r="AE821" i="2"/>
  <c r="AG819" i="2"/>
  <c r="AF819" i="2"/>
  <c r="AE819" i="2"/>
  <c r="AG818" i="2"/>
  <c r="AF818" i="2"/>
  <c r="AE818" i="2"/>
  <c r="AG817" i="2"/>
  <c r="AF817" i="2"/>
  <c r="AE817" i="2"/>
  <c r="AG816" i="2"/>
  <c r="AF816" i="2"/>
  <c r="AE816" i="2"/>
  <c r="AG804" i="2"/>
  <c r="AF804" i="2"/>
  <c r="AE804" i="2"/>
  <c r="AG803" i="2"/>
  <c r="AF803" i="2"/>
  <c r="AE803" i="2"/>
  <c r="AG802" i="2"/>
  <c r="AF802" i="2"/>
  <c r="AE802" i="2"/>
  <c r="AG801" i="2"/>
  <c r="AF801" i="2"/>
  <c r="AE801" i="2"/>
  <c r="AG799" i="2"/>
  <c r="AF799" i="2"/>
  <c r="AE799" i="2"/>
  <c r="AG798" i="2"/>
  <c r="AF798" i="2"/>
  <c r="AE798" i="2"/>
  <c r="AG797" i="2"/>
  <c r="AF797" i="2"/>
  <c r="AE797" i="2"/>
  <c r="AG796" i="2"/>
  <c r="AF796" i="2"/>
  <c r="AE796" i="2"/>
  <c r="AG548" i="2"/>
  <c r="AF548" i="2"/>
  <c r="AE548" i="2"/>
  <c r="AG547" i="2"/>
  <c r="AF547" i="2"/>
  <c r="AE547" i="2"/>
  <c r="AG546" i="2"/>
  <c r="AF546" i="2"/>
  <c r="AE546" i="2"/>
  <c r="AG545" i="2"/>
  <c r="AF545" i="2"/>
  <c r="AE545" i="2"/>
  <c r="AG792" i="2"/>
  <c r="AF792" i="2"/>
  <c r="AE792" i="2"/>
  <c r="AG791" i="2"/>
  <c r="AF791" i="2"/>
  <c r="AE791" i="2"/>
  <c r="AG788" i="2"/>
  <c r="AF788" i="2"/>
  <c r="AE788" i="2"/>
  <c r="AG787" i="2"/>
  <c r="AF787" i="2"/>
  <c r="AE787" i="2"/>
  <c r="AG542" i="2"/>
  <c r="AF542" i="2"/>
  <c r="AE542" i="2"/>
  <c r="AG541" i="2"/>
  <c r="AF541" i="2"/>
  <c r="AE541" i="2"/>
  <c r="AG540" i="2"/>
  <c r="AF540" i="2"/>
  <c r="AE540" i="2"/>
  <c r="AG539" i="2"/>
  <c r="AF539" i="2"/>
  <c r="AE539" i="2"/>
  <c r="AG538" i="2"/>
  <c r="AF538" i="2"/>
  <c r="AE538" i="2"/>
  <c r="AG785" i="2"/>
  <c r="AF785" i="2"/>
  <c r="AE785" i="2"/>
  <c r="AG784" i="2"/>
  <c r="AF784" i="2"/>
  <c r="AE784" i="2"/>
  <c r="AG783" i="2"/>
  <c r="AF783" i="2"/>
  <c r="AE783" i="2"/>
  <c r="AG782" i="2"/>
  <c r="AF782" i="2"/>
  <c r="AE782" i="2"/>
  <c r="AG770" i="2"/>
  <c r="AF770" i="2"/>
  <c r="AE770" i="2"/>
  <c r="AG769" i="2"/>
  <c r="AF769" i="2"/>
  <c r="AE769" i="2"/>
  <c r="AG768" i="2"/>
  <c r="AF768" i="2"/>
  <c r="AE768" i="2"/>
  <c r="AG767" i="2"/>
  <c r="AF767" i="2"/>
  <c r="AE767" i="2"/>
  <c r="AG765" i="2"/>
  <c r="AF765" i="2"/>
  <c r="AE765" i="2"/>
  <c r="AG764" i="2"/>
  <c r="AF764" i="2"/>
  <c r="AE764" i="2"/>
  <c r="AG763" i="2"/>
  <c r="AF763" i="2"/>
  <c r="AE763" i="2"/>
  <c r="AG762" i="2"/>
  <c r="AF762" i="2"/>
  <c r="AE762" i="2"/>
  <c r="AG760" i="2"/>
  <c r="AF760" i="2"/>
  <c r="AE760" i="2"/>
  <c r="AG759" i="2"/>
  <c r="AF759" i="2"/>
  <c r="AE759" i="2"/>
  <c r="AG758" i="2"/>
  <c r="AF758" i="2"/>
  <c r="AE758" i="2"/>
  <c r="AG757" i="2"/>
  <c r="AF757" i="2"/>
  <c r="AE757" i="2"/>
  <c r="AG751" i="2"/>
  <c r="AF751" i="2"/>
  <c r="AE751" i="2"/>
  <c r="AG750" i="2"/>
  <c r="AF750" i="2"/>
  <c r="AE750" i="2"/>
  <c r="AG749" i="2"/>
  <c r="AF749" i="2"/>
  <c r="AE749" i="2"/>
  <c r="AG748" i="2"/>
  <c r="AF748" i="2"/>
  <c r="AE748" i="2"/>
  <c r="AG746" i="2"/>
  <c r="AF746" i="2"/>
  <c r="AE746" i="2"/>
  <c r="AG745" i="2"/>
  <c r="AF745" i="2"/>
  <c r="AE745" i="2"/>
  <c r="AG744" i="2"/>
  <c r="AF744" i="2"/>
  <c r="AE744" i="2"/>
  <c r="AG742" i="2"/>
  <c r="AF742" i="2"/>
  <c r="AE742" i="2"/>
  <c r="AG740" i="2"/>
  <c r="AF740" i="2"/>
  <c r="AE740" i="2"/>
  <c r="AG739" i="2"/>
  <c r="AF739" i="2"/>
  <c r="AE739" i="2"/>
  <c r="AG738" i="2"/>
  <c r="AF738" i="2"/>
  <c r="AE738" i="2"/>
  <c r="AG736" i="2"/>
  <c r="AF736" i="2"/>
  <c r="AE736" i="2"/>
  <c r="AG734" i="2"/>
  <c r="AF734" i="2"/>
  <c r="AE734" i="2"/>
  <c r="AG733" i="2"/>
  <c r="AF733" i="2"/>
  <c r="AE733" i="2"/>
  <c r="AG732" i="2"/>
  <c r="AF732" i="2"/>
  <c r="AE732" i="2"/>
  <c r="AG730" i="2"/>
  <c r="AF730" i="2"/>
  <c r="AE730" i="2"/>
  <c r="AG728" i="2"/>
  <c r="AF728" i="2"/>
  <c r="AE728" i="2"/>
  <c r="AG727" i="2"/>
  <c r="AF727" i="2"/>
  <c r="AE727" i="2"/>
  <c r="AG726" i="2"/>
  <c r="AF726" i="2"/>
  <c r="AE726" i="2"/>
  <c r="AG724" i="2"/>
  <c r="AF724" i="2"/>
  <c r="AE724" i="2"/>
  <c r="AG722" i="2"/>
  <c r="AF722" i="2"/>
  <c r="AE722" i="2"/>
  <c r="AG721" i="2"/>
  <c r="AF721" i="2"/>
  <c r="AE721" i="2"/>
  <c r="AG720" i="2"/>
  <c r="AF720" i="2"/>
  <c r="AE720" i="2"/>
  <c r="AG718" i="2"/>
  <c r="AF718" i="2"/>
  <c r="AE718" i="2"/>
  <c r="AG715" i="2"/>
  <c r="AF715" i="2"/>
  <c r="AE715" i="2"/>
  <c r="AG714" i="2"/>
  <c r="AF714" i="2"/>
  <c r="AE714" i="2"/>
  <c r="AG713" i="2"/>
  <c r="AF713" i="2"/>
  <c r="AE713" i="2"/>
  <c r="AG712" i="2"/>
  <c r="AF712" i="2"/>
  <c r="AE712" i="2"/>
  <c r="AG711" i="2"/>
  <c r="AF711" i="2"/>
  <c r="AE711" i="2"/>
  <c r="AG710" i="2"/>
  <c r="AF710" i="2"/>
  <c r="AE710" i="2"/>
  <c r="AG707" i="2"/>
  <c r="AF707" i="2"/>
  <c r="AE707" i="2"/>
  <c r="AG706" i="2"/>
  <c r="AF706" i="2"/>
  <c r="AE706" i="2"/>
  <c r="AG705" i="2"/>
  <c r="AF705" i="2"/>
  <c r="AE705" i="2"/>
  <c r="AG704" i="2"/>
  <c r="AF704" i="2"/>
  <c r="AE704" i="2"/>
  <c r="AG702" i="2"/>
  <c r="AF702" i="2"/>
  <c r="AE702" i="2"/>
  <c r="AG701" i="2"/>
  <c r="AF701" i="2"/>
  <c r="AE701" i="2"/>
  <c r="AG700" i="2"/>
  <c r="AF700" i="2"/>
  <c r="AE700" i="2"/>
  <c r="AG698" i="2"/>
  <c r="AF698" i="2"/>
  <c r="AE698" i="2"/>
  <c r="AG696" i="2"/>
  <c r="AF696" i="2"/>
  <c r="AE696" i="2"/>
  <c r="AG695" i="2"/>
  <c r="AF695" i="2"/>
  <c r="AE695" i="2"/>
  <c r="AG694" i="2"/>
  <c r="AF694" i="2"/>
  <c r="AE694" i="2"/>
  <c r="AG692" i="2"/>
  <c r="AF692" i="2"/>
  <c r="AE692" i="2"/>
  <c r="AG690" i="2"/>
  <c r="AF690" i="2"/>
  <c r="AE690" i="2"/>
  <c r="AG689" i="2"/>
  <c r="AF689" i="2"/>
  <c r="AE689" i="2"/>
  <c r="AG688" i="2"/>
  <c r="AF688" i="2"/>
  <c r="AE688" i="2"/>
  <c r="AG686" i="2"/>
  <c r="AF686" i="2"/>
  <c r="AE686" i="2"/>
  <c r="AG684" i="2"/>
  <c r="AF684" i="2"/>
  <c r="AE684" i="2"/>
  <c r="AG683" i="2"/>
  <c r="AF683" i="2"/>
  <c r="AE683" i="2"/>
  <c r="AG682" i="2"/>
  <c r="AF682" i="2"/>
  <c r="AE682" i="2"/>
  <c r="AG680" i="2"/>
  <c r="AF680" i="2"/>
  <c r="AE680" i="2"/>
  <c r="AG678" i="2"/>
  <c r="AF678" i="2"/>
  <c r="AE678" i="2"/>
  <c r="AG677" i="2"/>
  <c r="AF677" i="2"/>
  <c r="AE677" i="2"/>
  <c r="AG676" i="2"/>
  <c r="AF676" i="2"/>
  <c r="AE676" i="2"/>
  <c r="AG674" i="2"/>
  <c r="AF674" i="2"/>
  <c r="AE674" i="2"/>
  <c r="AG671" i="2"/>
  <c r="AF671" i="2"/>
  <c r="AE671" i="2"/>
  <c r="AG670" i="2"/>
  <c r="AF670" i="2"/>
  <c r="AE670" i="2"/>
  <c r="AG669" i="2"/>
  <c r="AF669" i="2"/>
  <c r="AE669" i="2"/>
  <c r="AG668" i="2"/>
  <c r="AF668" i="2"/>
  <c r="AE668" i="2"/>
  <c r="AG667" i="2"/>
  <c r="AF667" i="2"/>
  <c r="AE667" i="2"/>
  <c r="AG666" i="2"/>
  <c r="AF666" i="2"/>
  <c r="AE666" i="2"/>
  <c r="AG662" i="2"/>
  <c r="AF662" i="2"/>
  <c r="AE662" i="2"/>
  <c r="AG661" i="2"/>
  <c r="AF661" i="2"/>
  <c r="AE661" i="2"/>
  <c r="AG660" i="2"/>
  <c r="AF660" i="2"/>
  <c r="AE660" i="2"/>
  <c r="AG659" i="2"/>
  <c r="AF659" i="2"/>
  <c r="AE659" i="2"/>
  <c r="AG658" i="2"/>
  <c r="AF658" i="2"/>
  <c r="AE658" i="2"/>
  <c r="AG657" i="2"/>
  <c r="AF657" i="2"/>
  <c r="AE657" i="2"/>
  <c r="AG655" i="2"/>
  <c r="AF655" i="2"/>
  <c r="AE655" i="2"/>
  <c r="AG654" i="2"/>
  <c r="AF654" i="2"/>
  <c r="AE654" i="2"/>
  <c r="AG653" i="2"/>
  <c r="AF653" i="2"/>
  <c r="AE653" i="2"/>
  <c r="AG652" i="2"/>
  <c r="AF652" i="2"/>
  <c r="AE652" i="2"/>
  <c r="AG651" i="2"/>
  <c r="AF651" i="2"/>
  <c r="AE651" i="2"/>
  <c r="AG650" i="2"/>
  <c r="AF650" i="2"/>
  <c r="AE650" i="2"/>
  <c r="AG647" i="2"/>
  <c r="AF647" i="2"/>
  <c r="AE647" i="2"/>
  <c r="AG646" i="2"/>
  <c r="AF646" i="2"/>
  <c r="AE646" i="2"/>
  <c r="AG645" i="2"/>
  <c r="AF645" i="2"/>
  <c r="AE645" i="2"/>
  <c r="AG644" i="2"/>
  <c r="AF644" i="2"/>
  <c r="AE644" i="2"/>
  <c r="AG643" i="2"/>
  <c r="AF643" i="2"/>
  <c r="AE643" i="2"/>
  <c r="AG642" i="2"/>
  <c r="AF642" i="2"/>
  <c r="AE642" i="2"/>
  <c r="AG640" i="2"/>
  <c r="AF640" i="2"/>
  <c r="AE640" i="2"/>
  <c r="AG639" i="2"/>
  <c r="AF639" i="2"/>
  <c r="AE639" i="2"/>
  <c r="AG638" i="2"/>
  <c r="AF638" i="2"/>
  <c r="AE638" i="2"/>
  <c r="AG637" i="2"/>
  <c r="AF637" i="2"/>
  <c r="AE637" i="2"/>
  <c r="AG636" i="2"/>
  <c r="AF636" i="2"/>
  <c r="AE636" i="2"/>
  <c r="AG635" i="2"/>
  <c r="AF635" i="2"/>
  <c r="AE635" i="2"/>
  <c r="AG629" i="2"/>
  <c r="AF629" i="2"/>
  <c r="AE629" i="2"/>
  <c r="AG628" i="2"/>
  <c r="AF628" i="2"/>
  <c r="AE628" i="2"/>
  <c r="AG627" i="2"/>
  <c r="AF627" i="2"/>
  <c r="AE627" i="2"/>
  <c r="AG626" i="2"/>
  <c r="AF626" i="2"/>
  <c r="AE626" i="2"/>
  <c r="AG625" i="2"/>
  <c r="AF625" i="2"/>
  <c r="AE625" i="2"/>
  <c r="AG623" i="2"/>
  <c r="AF623" i="2"/>
  <c r="AE623" i="2"/>
  <c r="AG622" i="2"/>
  <c r="AF622" i="2"/>
  <c r="AE622" i="2"/>
  <c r="AG621" i="2"/>
  <c r="AF621" i="2"/>
  <c r="AE621" i="2"/>
  <c r="AG619" i="2"/>
  <c r="AF619" i="2"/>
  <c r="AE619" i="2"/>
  <c r="AG618" i="2"/>
  <c r="AF618" i="2"/>
  <c r="AE618" i="2"/>
  <c r="AG617" i="2"/>
  <c r="AF617" i="2"/>
  <c r="AE617" i="2"/>
  <c r="AG615" i="2"/>
  <c r="AF615" i="2"/>
  <c r="AE615" i="2"/>
  <c r="AG614" i="2"/>
  <c r="AF614" i="2"/>
  <c r="AE614" i="2"/>
  <c r="AG613" i="2"/>
  <c r="AF613" i="2"/>
  <c r="AE613" i="2"/>
  <c r="AG610" i="2"/>
  <c r="AF610" i="2"/>
  <c r="AE610" i="2"/>
  <c r="AG609" i="2"/>
  <c r="AF609" i="2"/>
  <c r="AE609" i="2"/>
  <c r="AG606" i="2"/>
  <c r="AF606" i="2"/>
  <c r="AE606" i="2"/>
  <c r="AG605" i="2"/>
  <c r="AF605" i="2"/>
  <c r="AE605" i="2"/>
  <c r="AG604" i="2"/>
  <c r="AF604" i="2"/>
  <c r="AE604" i="2"/>
  <c r="AG603" i="2"/>
  <c r="AF603" i="2"/>
  <c r="AE603" i="2"/>
  <c r="AG602" i="2"/>
  <c r="AF602" i="2"/>
  <c r="AE602" i="2"/>
  <c r="AG600" i="2"/>
  <c r="AF600" i="2"/>
  <c r="AE600" i="2"/>
  <c r="AG599" i="2"/>
  <c r="AF599" i="2"/>
  <c r="AE599" i="2"/>
  <c r="AG598" i="2"/>
  <c r="AF598" i="2"/>
  <c r="AE598" i="2"/>
  <c r="AG596" i="2"/>
  <c r="AF596" i="2"/>
  <c r="AE596" i="2"/>
  <c r="AG595" i="2"/>
  <c r="AF595" i="2"/>
  <c r="AE595" i="2"/>
  <c r="AG594" i="2"/>
  <c r="AF594" i="2"/>
  <c r="AE594" i="2"/>
  <c r="AG592" i="2"/>
  <c r="AF592" i="2"/>
  <c r="AE592" i="2"/>
  <c r="AG591" i="2"/>
  <c r="AF591" i="2"/>
  <c r="AE591" i="2"/>
  <c r="AG590" i="2"/>
  <c r="AF590" i="2"/>
  <c r="AE590" i="2"/>
  <c r="AG587" i="2"/>
  <c r="AF587" i="2"/>
  <c r="AE587" i="2"/>
  <c r="AG586" i="2"/>
  <c r="AF586" i="2"/>
  <c r="AE586" i="2"/>
  <c r="AG582" i="2"/>
  <c r="AF582" i="2"/>
  <c r="AE582" i="2"/>
  <c r="AG581" i="2"/>
  <c r="AF581" i="2"/>
  <c r="AE581" i="2"/>
  <c r="AG580" i="2"/>
  <c r="AF580" i="2"/>
  <c r="AE580" i="2"/>
  <c r="AG579" i="2"/>
  <c r="AF579" i="2"/>
  <c r="AE579" i="2"/>
  <c r="AG578" i="2"/>
  <c r="AF578" i="2"/>
  <c r="AE578" i="2"/>
  <c r="AG576" i="2"/>
  <c r="AF576" i="2"/>
  <c r="AE576" i="2"/>
  <c r="AG575" i="2"/>
  <c r="AF575" i="2"/>
  <c r="AE575" i="2"/>
  <c r="AG574" i="2"/>
  <c r="AF574" i="2"/>
  <c r="AE574" i="2"/>
  <c r="AG571" i="2"/>
  <c r="AF571" i="2"/>
  <c r="AE571" i="2"/>
  <c r="AG570" i="2"/>
  <c r="AF570" i="2"/>
  <c r="AE570" i="2"/>
  <c r="AG567" i="2"/>
  <c r="AF567" i="2"/>
  <c r="AE567" i="2"/>
  <c r="AG566" i="2"/>
  <c r="AF566" i="2"/>
  <c r="AE566" i="2"/>
  <c r="AG565" i="2"/>
  <c r="AF565" i="2"/>
  <c r="AE565" i="2"/>
  <c r="AG564" i="2"/>
  <c r="AF564" i="2"/>
  <c r="AE564" i="2"/>
  <c r="AG563" i="2"/>
  <c r="AF563" i="2"/>
  <c r="AE563" i="2"/>
  <c r="AG561" i="2"/>
  <c r="AF561" i="2"/>
  <c r="AE561" i="2"/>
  <c r="AG560" i="2"/>
  <c r="AF560" i="2"/>
  <c r="AE560" i="2"/>
  <c r="AG559" i="2"/>
  <c r="AF559" i="2"/>
  <c r="AE559" i="2"/>
  <c r="AG556" i="2"/>
  <c r="AF556" i="2"/>
  <c r="AE556" i="2"/>
  <c r="AG555" i="2"/>
  <c r="AF555" i="2"/>
  <c r="AE555" i="2"/>
  <c r="AG533" i="2"/>
  <c r="AF533" i="2"/>
  <c r="AE533" i="2"/>
  <c r="AG532" i="2"/>
  <c r="AF532" i="2"/>
  <c r="AE532" i="2"/>
  <c r="AG531" i="2"/>
  <c r="AF531" i="2"/>
  <c r="AE531" i="2"/>
  <c r="AG530" i="2"/>
  <c r="AF530" i="2"/>
  <c r="AE530" i="2"/>
  <c r="AG528" i="2"/>
  <c r="AF528" i="2"/>
  <c r="AE528" i="2"/>
  <c r="AG527" i="2"/>
  <c r="AF527" i="2"/>
  <c r="AE527" i="2"/>
  <c r="AG526" i="2"/>
  <c r="AF526" i="2"/>
  <c r="AE526" i="2"/>
  <c r="AG524" i="2"/>
  <c r="AF524" i="2"/>
  <c r="AE524" i="2"/>
  <c r="AG523" i="2"/>
  <c r="AF523" i="2"/>
  <c r="AE523" i="2"/>
  <c r="AG522" i="2"/>
  <c r="AF522" i="2"/>
  <c r="AE522" i="2"/>
  <c r="AG520" i="2"/>
  <c r="AF520" i="2"/>
  <c r="AE520" i="2"/>
  <c r="AG519" i="2"/>
  <c r="AF519" i="2"/>
  <c r="AE519" i="2"/>
  <c r="AG515" i="2"/>
  <c r="AF515" i="2"/>
  <c r="AE515" i="2"/>
  <c r="AG514" i="2"/>
  <c r="AF514" i="2"/>
  <c r="AE514" i="2"/>
  <c r="AG513" i="2"/>
  <c r="AF513" i="2"/>
  <c r="AE513" i="2"/>
  <c r="AG509" i="2"/>
  <c r="AF509" i="2"/>
  <c r="AE509" i="2"/>
  <c r="AG508" i="2"/>
  <c r="AF508" i="2"/>
  <c r="AE508" i="2"/>
  <c r="AG507" i="2"/>
  <c r="AF507" i="2"/>
  <c r="AE507" i="2"/>
  <c r="AG506" i="2"/>
  <c r="AF506" i="2"/>
  <c r="AE506" i="2"/>
  <c r="AG504" i="2"/>
  <c r="AF504" i="2"/>
  <c r="AE504" i="2"/>
  <c r="AG503" i="2"/>
  <c r="AF503" i="2"/>
  <c r="AE503" i="2"/>
  <c r="AG502" i="2"/>
  <c r="AF502" i="2"/>
  <c r="AE502" i="2"/>
  <c r="AG500" i="2"/>
  <c r="AF500" i="2"/>
  <c r="AE500" i="2"/>
  <c r="AG499" i="2"/>
  <c r="AF499" i="2"/>
  <c r="AE499" i="2"/>
  <c r="AG498" i="2"/>
  <c r="AF498" i="2"/>
  <c r="AE498" i="2"/>
  <c r="AG496" i="2"/>
  <c r="AF496" i="2"/>
  <c r="AE496" i="2"/>
  <c r="AG495" i="2"/>
  <c r="AF495" i="2"/>
  <c r="AE495" i="2"/>
  <c r="AG491" i="2"/>
  <c r="AF491" i="2"/>
  <c r="AE491" i="2"/>
  <c r="AG490" i="2"/>
  <c r="AF490" i="2"/>
  <c r="AE490" i="2"/>
  <c r="AG489" i="2"/>
  <c r="AF489" i="2"/>
  <c r="AE489" i="2"/>
  <c r="AG484" i="2"/>
  <c r="AF484" i="2"/>
  <c r="AE484" i="2"/>
  <c r="AG483" i="2"/>
  <c r="AF483" i="2"/>
  <c r="AE483" i="2"/>
  <c r="AG482" i="2"/>
  <c r="AF482" i="2"/>
  <c r="AE482" i="2"/>
  <c r="AG481" i="2"/>
  <c r="AF481" i="2"/>
  <c r="AE481" i="2"/>
  <c r="AG479" i="2"/>
  <c r="AF479" i="2"/>
  <c r="AE479" i="2"/>
  <c r="AG478" i="2"/>
  <c r="AF478" i="2"/>
  <c r="AE478" i="2"/>
  <c r="AG474" i="2"/>
  <c r="AF474" i="2"/>
  <c r="AE474" i="2"/>
  <c r="AG473" i="2"/>
  <c r="AF473" i="2"/>
  <c r="AE473" i="2"/>
  <c r="AG472" i="2"/>
  <c r="AF472" i="2"/>
  <c r="AE472" i="2"/>
  <c r="AG468" i="2"/>
  <c r="AF468" i="2"/>
  <c r="AE468" i="2"/>
  <c r="AG467" i="2"/>
  <c r="AF467" i="2"/>
  <c r="AE467" i="2"/>
  <c r="AG466" i="2"/>
  <c r="AF466" i="2"/>
  <c r="AE466" i="2"/>
  <c r="AG465" i="2"/>
  <c r="AF465" i="2"/>
  <c r="AE465" i="2"/>
  <c r="AG463" i="2"/>
  <c r="AF463" i="2"/>
  <c r="AE463" i="2"/>
  <c r="AG462" i="2"/>
  <c r="AF462" i="2"/>
  <c r="AE462" i="2"/>
  <c r="AG458" i="2"/>
  <c r="AF458" i="2"/>
  <c r="AE458" i="2"/>
  <c r="AG457" i="2"/>
  <c r="AF457" i="2"/>
  <c r="AE457" i="2"/>
  <c r="AG456" i="2"/>
  <c r="AF456" i="2"/>
  <c r="AE456" i="2"/>
  <c r="AG417" i="2"/>
  <c r="AF417" i="2"/>
  <c r="AE417" i="2"/>
  <c r="AG416" i="2"/>
  <c r="AF416" i="2"/>
  <c r="AE416" i="2"/>
  <c r="AG415" i="2"/>
  <c r="AF415" i="2"/>
  <c r="AE415" i="2"/>
  <c r="AG410" i="2"/>
  <c r="AF410" i="2"/>
  <c r="AE410" i="2"/>
  <c r="AG409" i="2"/>
  <c r="AF409" i="2"/>
  <c r="AE409" i="2"/>
  <c r="AG396" i="2"/>
  <c r="AF396" i="2"/>
  <c r="AE396" i="2"/>
  <c r="AE389" i="2" s="1"/>
  <c r="AD389" i="2"/>
  <c r="AG395" i="2"/>
  <c r="AF395" i="2"/>
  <c r="AE395" i="2"/>
  <c r="AG394" i="2"/>
  <c r="AF394" i="2"/>
  <c r="AE394" i="2"/>
  <c r="AG393" i="2"/>
  <c r="AF393" i="2"/>
  <c r="AE393" i="2"/>
  <c r="AF392" i="2"/>
  <c r="AI392" i="2" s="1"/>
  <c r="AG390" i="2"/>
  <c r="AF390" i="2"/>
  <c r="AG366" i="2"/>
  <c r="AF366" i="2"/>
  <c r="AE366" i="2"/>
  <c r="AG365" i="2"/>
  <c r="AF365" i="2"/>
  <c r="AE365" i="2"/>
  <c r="AG368" i="2"/>
  <c r="AF368" i="2"/>
  <c r="AE368" i="2"/>
  <c r="AG364" i="2"/>
  <c r="AF364" i="2"/>
  <c r="AE364" i="2"/>
  <c r="AD363" i="2"/>
  <c r="AG345" i="2"/>
  <c r="AF345" i="2"/>
  <c r="AE345" i="2"/>
  <c r="AG344" i="2"/>
  <c r="AF344" i="2"/>
  <c r="AE344" i="2"/>
  <c r="AG343" i="2"/>
  <c r="AF343" i="2"/>
  <c r="AE343" i="2"/>
  <c r="AG338" i="2"/>
  <c r="AF338" i="2"/>
  <c r="AE338" i="2"/>
  <c r="AG337" i="2"/>
  <c r="AF337" i="2"/>
  <c r="AE337" i="2"/>
  <c r="AG334" i="2"/>
  <c r="AF334" i="2"/>
  <c r="AE334" i="2"/>
  <c r="AG333" i="2"/>
  <c r="AF333" i="2"/>
  <c r="AE333" i="2"/>
  <c r="AG332" i="2"/>
  <c r="AF332" i="2"/>
  <c r="AE332" i="2"/>
  <c r="AG329" i="2"/>
  <c r="AF329" i="2"/>
  <c r="AE329" i="2"/>
  <c r="AG328" i="2"/>
  <c r="AF328" i="2"/>
  <c r="AE328" i="2"/>
  <c r="AG327" i="2"/>
  <c r="AF327" i="2"/>
  <c r="AE327" i="2"/>
  <c r="AG326" i="2"/>
  <c r="AF326" i="2"/>
  <c r="AE326" i="2"/>
  <c r="AG324" i="2"/>
  <c r="AF324" i="2"/>
  <c r="AE324" i="2"/>
  <c r="AG323" i="2"/>
  <c r="AF323" i="2"/>
  <c r="AE323" i="2"/>
  <c r="AG322" i="2"/>
  <c r="AF322" i="2"/>
  <c r="AE322" i="2"/>
  <c r="AG309" i="2"/>
  <c r="AF309" i="2"/>
  <c r="AE309" i="2"/>
  <c r="AG308" i="2"/>
  <c r="AF308" i="2"/>
  <c r="AE308" i="2"/>
  <c r="AG307" i="2"/>
  <c r="AF307" i="2"/>
  <c r="AE307" i="2"/>
  <c r="AG306" i="2"/>
  <c r="AF306" i="2"/>
  <c r="AE306" i="2"/>
  <c r="AG304" i="2"/>
  <c r="AF304" i="2"/>
  <c r="AE304" i="2"/>
  <c r="AG303" i="2"/>
  <c r="AF303" i="2"/>
  <c r="AE303" i="2"/>
  <c r="AG302" i="2"/>
  <c r="AF302" i="2"/>
  <c r="AE302" i="2"/>
  <c r="AG299" i="2"/>
  <c r="AF299" i="2"/>
  <c r="AE299" i="2"/>
  <c r="AG298" i="2"/>
  <c r="AF298" i="2"/>
  <c r="AE298" i="2"/>
  <c r="AG297" i="2"/>
  <c r="AF297" i="2"/>
  <c r="AE297" i="2"/>
  <c r="AG296" i="2"/>
  <c r="AF296" i="2"/>
  <c r="AE296" i="2"/>
  <c r="AG294" i="2"/>
  <c r="AF294" i="2"/>
  <c r="AE294" i="2"/>
  <c r="AG293" i="2"/>
  <c r="AF293" i="2"/>
  <c r="AE293" i="2"/>
  <c r="AG292" i="2"/>
  <c r="AF292" i="2"/>
  <c r="AE292" i="2"/>
  <c r="AG282" i="2"/>
  <c r="AF282" i="2"/>
  <c r="AE282" i="2"/>
  <c r="AG281" i="2"/>
  <c r="AF281" i="2"/>
  <c r="AE281" i="2"/>
  <c r="AG280" i="2"/>
  <c r="AF280" i="2"/>
  <c r="AE280" i="2"/>
  <c r="AG275" i="2"/>
  <c r="AF275" i="2"/>
  <c r="AE275" i="2"/>
  <c r="AG274" i="2"/>
  <c r="AF274" i="2"/>
  <c r="AE274" i="2"/>
  <c r="AG271" i="2"/>
  <c r="AF271" i="2"/>
  <c r="AE271" i="2"/>
  <c r="AG270" i="2"/>
  <c r="AF270" i="2"/>
  <c r="AE270" i="2"/>
  <c r="AG269" i="2"/>
  <c r="AF269" i="2"/>
  <c r="AE269" i="2"/>
  <c r="AG237" i="2"/>
  <c r="AF237" i="2"/>
  <c r="AE237" i="2"/>
  <c r="AG236" i="2"/>
  <c r="AF236" i="2"/>
  <c r="AE236" i="2"/>
  <c r="AG235" i="2"/>
  <c r="AF235" i="2"/>
  <c r="AE235" i="2"/>
  <c r="AG234" i="2"/>
  <c r="AF234" i="2"/>
  <c r="AE234" i="2"/>
  <c r="AG233" i="2"/>
  <c r="AF233" i="2"/>
  <c r="AE233" i="2"/>
  <c r="AG232" i="2"/>
  <c r="AF232" i="2"/>
  <c r="AE232" i="2"/>
  <c r="AG230" i="2"/>
  <c r="AF230" i="2"/>
  <c r="AE230" i="2"/>
  <c r="AG229" i="2"/>
  <c r="AF229" i="2"/>
  <c r="AE229" i="2"/>
  <c r="AG228" i="2"/>
  <c r="AF228" i="2"/>
  <c r="AE228" i="2"/>
  <c r="AG227" i="2"/>
  <c r="AF227" i="2"/>
  <c r="AE227" i="2"/>
  <c r="AG226" i="2"/>
  <c r="AF226" i="2"/>
  <c r="AE226" i="2"/>
  <c r="AG225" i="2"/>
  <c r="AF225" i="2"/>
  <c r="AE225" i="2"/>
  <c r="AG200" i="2"/>
  <c r="AF200" i="2"/>
  <c r="AE200" i="2"/>
  <c r="AG199" i="2"/>
  <c r="AF199" i="2"/>
  <c r="AE199" i="2"/>
  <c r="AG198" i="2"/>
  <c r="AF198" i="2"/>
  <c r="AE198" i="2"/>
  <c r="AG193" i="2"/>
  <c r="AF193" i="2"/>
  <c r="AE193" i="2"/>
  <c r="AG192" i="2"/>
  <c r="AF192" i="2"/>
  <c r="AE192" i="2"/>
  <c r="AG189" i="2"/>
  <c r="AF189" i="2"/>
  <c r="AE189" i="2"/>
  <c r="AG188" i="2"/>
  <c r="AF188" i="2"/>
  <c r="AE188" i="2"/>
  <c r="AG187" i="2"/>
  <c r="AF187" i="2"/>
  <c r="AE187" i="2"/>
  <c r="AG168" i="2"/>
  <c r="AF168" i="2"/>
  <c r="AE168" i="2"/>
  <c r="AG167" i="2"/>
  <c r="AF167" i="2"/>
  <c r="AE167" i="2"/>
  <c r="AG163" i="2"/>
  <c r="AF163" i="2"/>
  <c r="AE163" i="2"/>
  <c r="AG162" i="2"/>
  <c r="AF162" i="2"/>
  <c r="AE162" i="2"/>
  <c r="AG161" i="2"/>
  <c r="AF161" i="2"/>
  <c r="AE161" i="2"/>
  <c r="AG160" i="2"/>
  <c r="AF160" i="2"/>
  <c r="AE160" i="2"/>
  <c r="AG94" i="2"/>
  <c r="AF94" i="2"/>
  <c r="AE94" i="2"/>
  <c r="AG93" i="2"/>
  <c r="AF93" i="2"/>
  <c r="AE93" i="2"/>
  <c r="AG92" i="2"/>
  <c r="AF92" i="2"/>
  <c r="AE92" i="2"/>
  <c r="AG134" i="2"/>
  <c r="AF134" i="2"/>
  <c r="AE134" i="2"/>
  <c r="AG133" i="2"/>
  <c r="AF133" i="2"/>
  <c r="AE133" i="2"/>
  <c r="AG132" i="2"/>
  <c r="AF132" i="2"/>
  <c r="AE132" i="2"/>
  <c r="AG116" i="2"/>
  <c r="AF116" i="2"/>
  <c r="AE116" i="2"/>
  <c r="AG115" i="2"/>
  <c r="AF115" i="2"/>
  <c r="AE115" i="2"/>
  <c r="AG109" i="2"/>
  <c r="AF109" i="2"/>
  <c r="AE109" i="2"/>
  <c r="AG108" i="2"/>
  <c r="AF108" i="2"/>
  <c r="AE108" i="2"/>
  <c r="AG107" i="2"/>
  <c r="AF107" i="2"/>
  <c r="AE107" i="2"/>
  <c r="AG72" i="2"/>
  <c r="AF72" i="2"/>
  <c r="AE72" i="2"/>
  <c r="AG71" i="2"/>
  <c r="AF71" i="2"/>
  <c r="AE71" i="2"/>
  <c r="AG70" i="2"/>
  <c r="AF70" i="2"/>
  <c r="AE70" i="2"/>
  <c r="AG69" i="2"/>
  <c r="AF69" i="2"/>
  <c r="AE69" i="2"/>
  <c r="AG66" i="2"/>
  <c r="AF66" i="2"/>
  <c r="AE66" i="2"/>
  <c r="AG65" i="2"/>
  <c r="AF65" i="2"/>
  <c r="AE65" i="2"/>
  <c r="AG64" i="2"/>
  <c r="AF64" i="2"/>
  <c r="AE64" i="2"/>
  <c r="AG63" i="2"/>
  <c r="AF63" i="2"/>
  <c r="AE63" i="2"/>
  <c r="AG54" i="2"/>
  <c r="AF54" i="2"/>
  <c r="AE54" i="2"/>
  <c r="AG53" i="2"/>
  <c r="AF53" i="2"/>
  <c r="AE53" i="2"/>
  <c r="AG52" i="2"/>
  <c r="AF52" i="2"/>
  <c r="AE52" i="2"/>
  <c r="AG51" i="2"/>
  <c r="AF51" i="2"/>
  <c r="AE51" i="2"/>
  <c r="AG50" i="2"/>
  <c r="AF50" i="2"/>
  <c r="AE50" i="2"/>
  <c r="AG49" i="2"/>
  <c r="AF49" i="2"/>
  <c r="AE49" i="2"/>
  <c r="AG47" i="2"/>
  <c r="AF47" i="2"/>
  <c r="AE47" i="2"/>
  <c r="AG46" i="2"/>
  <c r="AF46" i="2"/>
  <c r="AE46" i="2"/>
  <c r="AG45" i="2"/>
  <c r="AF45" i="2"/>
  <c r="AE45" i="2"/>
  <c r="AG43" i="2"/>
  <c r="AF43" i="2"/>
  <c r="AE43" i="2"/>
  <c r="AG42" i="2"/>
  <c r="AF42" i="2"/>
  <c r="AE42" i="2"/>
  <c r="AG41" i="2"/>
  <c r="AF41" i="2"/>
  <c r="AE41" i="2"/>
  <c r="AG34" i="2"/>
  <c r="AF34" i="2"/>
  <c r="AE34" i="2"/>
  <c r="AG32" i="2"/>
  <c r="AF32" i="2"/>
  <c r="AE32" i="2"/>
  <c r="AG31" i="2"/>
  <c r="AF31" i="2"/>
  <c r="AE31" i="2"/>
  <c r="AE363" i="2" l="1"/>
  <c r="AF363" i="2"/>
  <c r="AG363" i="2"/>
  <c r="AD367" i="2"/>
  <c r="AD362" i="2" s="1"/>
  <c r="AE367" i="2"/>
  <c r="AF367" i="2"/>
  <c r="AF362" i="2" s="1"/>
  <c r="AG367" i="2"/>
  <c r="AG362" i="2" s="1"/>
  <c r="AE825" i="2"/>
  <c r="AF825" i="2"/>
  <c r="AG825" i="2"/>
  <c r="AD825" i="2"/>
  <c r="AE786" i="2"/>
  <c r="AF786" i="2"/>
  <c r="AG786" i="2"/>
  <c r="AD786" i="2"/>
  <c r="AG389" i="2"/>
  <c r="AF389" i="2"/>
  <c r="AH66" i="2"/>
  <c r="AI66" i="2"/>
  <c r="AI826" i="2"/>
  <c r="AH826" i="2"/>
  <c r="AE362" i="2" l="1"/>
  <c r="AJ66" i="2"/>
  <c r="AJ826" i="2"/>
  <c r="AI71" i="2" l="1"/>
  <c r="AH71" i="2" l="1"/>
  <c r="AJ71" i="2" s="1"/>
  <c r="O146" i="1" l="1"/>
  <c r="O139" i="1"/>
  <c r="O132" i="1"/>
  <c r="O125" i="1" l="1"/>
  <c r="R3" i="1" l="1"/>
  <c r="S3" i="1" s="1"/>
  <c r="T3" i="1" s="1"/>
  <c r="U3" i="1" s="1"/>
  <c r="V3" i="1" s="1"/>
  <c r="W3" i="1" s="1"/>
  <c r="X3" i="1" s="1"/>
  <c r="Y3" i="1" s="1"/>
  <c r="Z3" i="1" s="1"/>
  <c r="AA3" i="1" s="1"/>
  <c r="AB3" i="1" s="1"/>
  <c r="R4" i="1"/>
  <c r="S4" i="1"/>
  <c r="T4" i="1"/>
  <c r="U4" i="1"/>
  <c r="V4" i="1"/>
  <c r="W4" i="1"/>
  <c r="X4" i="1"/>
  <c r="Y4" i="1"/>
  <c r="Z4" i="1"/>
  <c r="AA4" i="1"/>
  <c r="AB4" i="1"/>
  <c r="R5" i="1"/>
  <c r="S5" i="1"/>
  <c r="T5" i="1"/>
  <c r="U5" i="1"/>
  <c r="V5" i="1"/>
  <c r="W5" i="1"/>
  <c r="X5" i="1"/>
  <c r="Y5" i="1"/>
  <c r="Z5" i="1"/>
  <c r="AA5" i="1"/>
  <c r="AB5" i="1"/>
  <c r="O8" i="1"/>
  <c r="O9" i="1"/>
  <c r="O10" i="1"/>
  <c r="O11" i="1"/>
  <c r="O12" i="1"/>
  <c r="O13" i="1"/>
  <c r="O14" i="1"/>
  <c r="O15" i="1"/>
  <c r="O16" i="1"/>
  <c r="O17" i="1"/>
  <c r="O18" i="1"/>
  <c r="O19" i="1"/>
  <c r="O20" i="1"/>
  <c r="O21" i="1"/>
  <c r="O22" i="1"/>
  <c r="O23" i="1"/>
  <c r="O24" i="1"/>
  <c r="O34" i="1"/>
  <c r="O35" i="1"/>
  <c r="O36" i="1"/>
  <c r="O37" i="1"/>
  <c r="O38" i="1"/>
  <c r="O41" i="1"/>
  <c r="O42" i="1"/>
  <c r="O26" i="1" s="1"/>
  <c r="O43" i="1"/>
  <c r="O44"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16" i="1"/>
  <c r="O117" i="1"/>
  <c r="O119" i="1"/>
  <c r="O120" i="1"/>
  <c r="O104" i="1"/>
  <c r="O123" i="1"/>
  <c r="O124" i="1"/>
  <c r="O126" i="1"/>
  <c r="O127" i="1"/>
  <c r="O105" i="1"/>
  <c r="O130" i="1"/>
  <c r="O131" i="1"/>
  <c r="O133" i="1"/>
  <c r="O136" i="1"/>
  <c r="O107" i="1"/>
  <c r="O137" i="1"/>
  <c r="O138" i="1"/>
  <c r="O140" i="1"/>
  <c r="O141" i="1"/>
  <c r="O108" i="1"/>
  <c r="O144" i="1"/>
  <c r="O145" i="1"/>
  <c r="O147" i="1"/>
  <c r="O148" i="1"/>
  <c r="O151" i="1"/>
  <c r="O152" i="1"/>
  <c r="O153" i="1"/>
  <c r="O154" i="1"/>
  <c r="O155" i="1"/>
  <c r="O156" i="1"/>
  <c r="O157" i="1"/>
  <c r="O158" i="1"/>
  <c r="O159" i="1"/>
  <c r="O160" i="1"/>
  <c r="O161" i="1"/>
  <c r="O162" i="1"/>
  <c r="O163" i="1"/>
  <c r="O164" i="1"/>
  <c r="O165" i="1"/>
  <c r="O166" i="1"/>
  <c r="O167" i="1"/>
  <c r="O118" i="1"/>
  <c r="O169" i="1"/>
  <c r="O170" i="1"/>
  <c r="O171" i="1"/>
  <c r="O172" i="1"/>
  <c r="O173" i="1"/>
  <c r="O174" i="1"/>
  <c r="O175" i="1"/>
  <c r="O176" i="1"/>
  <c r="O177" i="1"/>
  <c r="O178" i="1"/>
  <c r="O179" i="1"/>
  <c r="O180" i="1"/>
  <c r="O181" i="1"/>
  <c r="O182" i="1"/>
  <c r="O183" i="1"/>
  <c r="O184" i="1"/>
  <c r="O185" i="1"/>
  <c r="O186" i="1"/>
  <c r="O187" i="1"/>
  <c r="O188" i="1"/>
  <c r="O189" i="1"/>
  <c r="O190" i="1"/>
  <c r="O191" i="1"/>
  <c r="O192" i="1"/>
  <c r="O193" i="1"/>
  <c r="O194" i="1"/>
  <c r="O195" i="1"/>
  <c r="O196" i="1"/>
  <c r="O197" i="1"/>
  <c r="O198" i="1"/>
  <c r="O199" i="1"/>
  <c r="O200" i="1"/>
  <c r="O201" i="1"/>
  <c r="O202" i="1"/>
  <c r="O203" i="1"/>
  <c r="O204" i="1"/>
  <c r="O205" i="1"/>
  <c r="O206" i="1"/>
  <c r="O207" i="1"/>
  <c r="O208" i="1"/>
  <c r="O209" i="1"/>
  <c r="O210" i="1"/>
  <c r="O211" i="1"/>
  <c r="O212" i="1"/>
  <c r="O213" i="1"/>
  <c r="O214" i="1"/>
  <c r="O215" i="1"/>
  <c r="O216" i="1"/>
  <c r="O217" i="1"/>
  <c r="O218" i="1"/>
  <c r="O219" i="1"/>
  <c r="O220" i="1"/>
  <c r="O221" i="1"/>
  <c r="O223" i="1"/>
  <c r="O224" i="1"/>
  <c r="O225" i="1"/>
  <c r="O226" i="1"/>
  <c r="O227" i="1"/>
  <c r="O228" i="1"/>
  <c r="O229" i="1"/>
  <c r="O230" i="1"/>
  <c r="O231" i="1"/>
  <c r="O232" i="1"/>
  <c r="O233" i="1"/>
  <c r="O234" i="1"/>
  <c r="O235" i="1"/>
  <c r="O236" i="1"/>
  <c r="O237" i="1"/>
  <c r="O238" i="1"/>
  <c r="O239" i="1"/>
  <c r="O240" i="1"/>
  <c r="O241" i="1"/>
  <c r="O242" i="1"/>
  <c r="O243" i="1"/>
  <c r="O244" i="1"/>
  <c r="O245" i="1"/>
  <c r="O246" i="1"/>
  <c r="O247" i="1"/>
  <c r="O248" i="1"/>
  <c r="O249" i="1"/>
  <c r="O250" i="1"/>
  <c r="O251" i="1"/>
  <c r="O252" i="1"/>
  <c r="O253" i="1"/>
  <c r="O254" i="1"/>
  <c r="O255" i="1"/>
  <c r="O256" i="1"/>
  <c r="O257" i="1"/>
  <c r="O258" i="1"/>
  <c r="O259" i="1"/>
  <c r="O260" i="1"/>
  <c r="O261" i="1"/>
  <c r="O262" i="1"/>
  <c r="O263" i="1"/>
  <c r="O264" i="1"/>
  <c r="O265" i="1"/>
  <c r="O266" i="1"/>
  <c r="O267" i="1"/>
  <c r="O268" i="1"/>
  <c r="O269" i="1"/>
  <c r="O270" i="1"/>
  <c r="O271" i="1"/>
  <c r="O272" i="1"/>
  <c r="O273" i="1"/>
  <c r="O274" i="1"/>
  <c r="O275" i="1"/>
  <c r="O276" i="1"/>
  <c r="O277" i="1"/>
  <c r="O278" i="1"/>
  <c r="O279" i="1"/>
  <c r="O280" i="1"/>
  <c r="O281" i="1"/>
  <c r="O282" i="1"/>
  <c r="O283" i="1"/>
  <c r="O284" i="1"/>
  <c r="O285" i="1"/>
  <c r="O286" i="1"/>
  <c r="O287" i="1"/>
  <c r="O288" i="1"/>
  <c r="O289" i="1"/>
  <c r="O290" i="1"/>
  <c r="O291" i="1"/>
  <c r="O292" i="1"/>
  <c r="O293" i="1"/>
  <c r="O294" i="1"/>
  <c r="O295" i="1"/>
  <c r="O296" i="1"/>
  <c r="O297" i="1"/>
  <c r="O298" i="1"/>
  <c r="O299" i="1"/>
  <c r="O300" i="1"/>
  <c r="O301" i="1"/>
  <c r="O302" i="1"/>
  <c r="O303" i="1"/>
  <c r="O304" i="1"/>
  <c r="O305" i="1"/>
  <c r="O306" i="1"/>
  <c r="O307" i="1"/>
  <c r="O308" i="1"/>
  <c r="O309" i="1"/>
  <c r="O310" i="1"/>
  <c r="O311" i="1"/>
  <c r="O312" i="1"/>
  <c r="O313" i="1"/>
  <c r="O314" i="1"/>
  <c r="O315" i="1"/>
  <c r="O316" i="1"/>
  <c r="O317" i="1"/>
  <c r="O318" i="1"/>
  <c r="O319" i="1"/>
  <c r="O320" i="1"/>
  <c r="O321" i="1"/>
  <c r="O322" i="1"/>
  <c r="O323" i="1"/>
  <c r="O324" i="1"/>
  <c r="O325" i="1"/>
  <c r="O326" i="1"/>
  <c r="O327" i="1"/>
  <c r="O328" i="1"/>
  <c r="O329" i="1"/>
  <c r="O330" i="1"/>
  <c r="O331" i="1"/>
  <c r="O333" i="1"/>
  <c r="O334" i="1"/>
  <c r="O335" i="1"/>
  <c r="O336" i="1"/>
  <c r="O337" i="1"/>
  <c r="O338" i="1"/>
  <c r="O339" i="1"/>
  <c r="O340" i="1"/>
  <c r="O341" i="1"/>
  <c r="O342" i="1"/>
  <c r="O343" i="1"/>
  <c r="O344" i="1"/>
  <c r="O345" i="1"/>
  <c r="O346" i="1"/>
  <c r="O347" i="1"/>
  <c r="O348" i="1"/>
  <c r="O349" i="1"/>
  <c r="O350" i="1"/>
  <c r="O351" i="1"/>
  <c r="O352" i="1"/>
  <c r="O353" i="1"/>
  <c r="O354" i="1"/>
  <c r="O355" i="1"/>
  <c r="O356" i="1"/>
  <c r="O357" i="1"/>
  <c r="O358" i="1"/>
  <c r="O359" i="1"/>
  <c r="O360" i="1"/>
  <c r="O361" i="1"/>
  <c r="O362" i="1"/>
  <c r="O363" i="1"/>
  <c r="O364" i="1"/>
  <c r="O365" i="1"/>
  <c r="O366" i="1"/>
  <c r="O367" i="1"/>
  <c r="O368" i="1"/>
  <c r="O371" i="1"/>
  <c r="O372" i="1"/>
  <c r="O373" i="1"/>
  <c r="O374" i="1"/>
  <c r="O375" i="1"/>
  <c r="O376" i="1"/>
  <c r="O377" i="1"/>
  <c r="O378" i="1"/>
  <c r="O379" i="1"/>
  <c r="O380" i="1"/>
  <c r="O381" i="1"/>
  <c r="O382" i="1"/>
  <c r="O383" i="1"/>
  <c r="O384" i="1"/>
  <c r="O385" i="1"/>
  <c r="O386" i="1"/>
  <c r="O387" i="1"/>
  <c r="O388" i="1"/>
  <c r="O389" i="1"/>
  <c r="O390" i="1"/>
  <c r="O391" i="1"/>
  <c r="O392" i="1"/>
  <c r="O393" i="1"/>
  <c r="O394" i="1"/>
  <c r="O395" i="1"/>
  <c r="O396" i="1"/>
  <c r="O397" i="1"/>
  <c r="O398" i="1"/>
  <c r="O400" i="1"/>
  <c r="O401" i="1"/>
  <c r="O402" i="1"/>
  <c r="O403" i="1"/>
  <c r="O404" i="1"/>
  <c r="O405" i="1"/>
  <c r="O406" i="1"/>
  <c r="O407" i="1"/>
  <c r="O408" i="1"/>
  <c r="O409" i="1"/>
  <c r="O410" i="1"/>
  <c r="O411" i="1"/>
  <c r="O412" i="1"/>
  <c r="O413" i="1"/>
  <c r="O414" i="1"/>
  <c r="O415" i="1"/>
  <c r="O416" i="1"/>
  <c r="O417" i="1"/>
  <c r="O418" i="1"/>
  <c r="O419" i="1"/>
  <c r="O420" i="1"/>
  <c r="O421" i="1"/>
  <c r="O422" i="1"/>
  <c r="O423" i="1"/>
  <c r="O424" i="1"/>
  <c r="O425" i="1"/>
  <c r="O426" i="1"/>
  <c r="O428" i="1"/>
  <c r="O429" i="1"/>
  <c r="O430" i="1"/>
  <c r="O431" i="1"/>
  <c r="O432" i="1"/>
  <c r="O433" i="1"/>
  <c r="O434" i="1"/>
  <c r="O435" i="1"/>
  <c r="O436" i="1"/>
  <c r="O437" i="1"/>
  <c r="O438" i="1"/>
  <c r="O439" i="1"/>
  <c r="O440" i="1"/>
  <c r="O441" i="1"/>
  <c r="O442" i="1"/>
  <c r="O443" i="1"/>
  <c r="O444" i="1"/>
  <c r="O445" i="1"/>
  <c r="O446" i="1"/>
  <c r="O447" i="1"/>
  <c r="O448" i="1"/>
  <c r="O449" i="1"/>
  <c r="O450" i="1"/>
  <c r="O451" i="1"/>
  <c r="O452" i="1"/>
  <c r="O453" i="1"/>
  <c r="O454" i="1"/>
  <c r="O456" i="1"/>
  <c r="O457" i="1"/>
  <c r="O458" i="1"/>
  <c r="O459" i="1"/>
  <c r="O460" i="1"/>
  <c r="O461" i="1"/>
  <c r="O462" i="1"/>
  <c r="O463" i="1"/>
  <c r="O464" i="1"/>
  <c r="O465" i="1"/>
  <c r="O466" i="1"/>
  <c r="O467" i="1"/>
  <c r="O468" i="1"/>
  <c r="O469" i="1"/>
  <c r="O470" i="1"/>
  <c r="O471" i="1"/>
  <c r="O472" i="1"/>
  <c r="O473" i="1"/>
  <c r="O474" i="1"/>
  <c r="O475" i="1"/>
  <c r="O476" i="1"/>
  <c r="O477" i="1"/>
  <c r="O478" i="1"/>
  <c r="O479" i="1"/>
  <c r="O480" i="1"/>
  <c r="O481" i="1"/>
  <c r="O482" i="1"/>
  <c r="O484" i="1"/>
  <c r="O485" i="1"/>
  <c r="O486" i="1"/>
  <c r="O487" i="1"/>
  <c r="O488" i="1"/>
  <c r="O489" i="1"/>
  <c r="O490" i="1"/>
  <c r="O491" i="1"/>
  <c r="O492" i="1"/>
  <c r="O493" i="1"/>
  <c r="O494" i="1"/>
  <c r="O495" i="1"/>
  <c r="O496" i="1"/>
  <c r="O497" i="1"/>
  <c r="O498" i="1"/>
  <c r="O499" i="1"/>
  <c r="O500" i="1"/>
  <c r="O501" i="1"/>
  <c r="O502" i="1"/>
  <c r="O503" i="1"/>
  <c r="O504" i="1"/>
  <c r="O505" i="1"/>
  <c r="O506" i="1"/>
  <c r="O507" i="1"/>
  <c r="O508" i="1"/>
  <c r="O509" i="1"/>
  <c r="O510" i="1"/>
  <c r="O513" i="1"/>
  <c r="O514" i="1"/>
  <c r="O515" i="1"/>
  <c r="O516" i="1"/>
  <c r="O517" i="1"/>
  <c r="O518" i="1"/>
  <c r="O519" i="1"/>
  <c r="O520" i="1"/>
  <c r="O521" i="1"/>
  <c r="O522" i="1"/>
  <c r="O523" i="1"/>
  <c r="O524" i="1"/>
  <c r="O525" i="1"/>
  <c r="O526" i="1"/>
  <c r="O527" i="1"/>
  <c r="O528" i="1"/>
  <c r="O32" i="1" l="1"/>
  <c r="O30" i="1"/>
  <c r="O27" i="1"/>
  <c r="O25" i="1"/>
  <c r="O33" i="1"/>
  <c r="O31" i="1"/>
  <c r="O28" i="1"/>
  <c r="AJ1454" i="2" l="1"/>
  <c r="AI1454" i="2"/>
  <c r="AH1454" i="2"/>
  <c r="AG1454" i="2"/>
  <c r="AF1454" i="2"/>
  <c r="AE1454" i="2"/>
  <c r="AD1454" i="2"/>
  <c r="AG1273" i="2"/>
  <c r="AF1273" i="2"/>
  <c r="AE1273" i="2"/>
  <c r="AG1272" i="2"/>
  <c r="AF1272" i="2"/>
  <c r="AE1272" i="2"/>
  <c r="AG1271" i="2"/>
  <c r="AF1271" i="2"/>
  <c r="AE1271" i="2"/>
  <c r="AG1270" i="2"/>
  <c r="AF1270" i="2"/>
  <c r="AE1270" i="2"/>
  <c r="AG1269" i="2"/>
  <c r="AF1269" i="2"/>
  <c r="AE1269" i="2"/>
  <c r="AG1268" i="2"/>
  <c r="AF1268" i="2"/>
  <c r="AE1268" i="2"/>
  <c r="AG1267" i="2"/>
  <c r="AF1267" i="2"/>
  <c r="AE1267" i="2"/>
  <c r="AG1266" i="2"/>
  <c r="AF1266" i="2"/>
  <c r="AE1266" i="2"/>
  <c r="AG1265" i="2"/>
  <c r="AF1265" i="2"/>
  <c r="AE1265" i="2"/>
  <c r="AG1264" i="2"/>
  <c r="AF1264" i="2"/>
  <c r="AE1264" i="2"/>
  <c r="AG1263" i="2"/>
  <c r="AF1263" i="2"/>
  <c r="AE1263" i="2"/>
  <c r="AG1262" i="2"/>
  <c r="AF1262" i="2"/>
  <c r="AE1262" i="2"/>
  <c r="AG1261" i="2"/>
  <c r="AF1261" i="2"/>
  <c r="AE1261" i="2"/>
  <c r="AG1260" i="2"/>
  <c r="AF1260" i="2"/>
  <c r="AE1260" i="2"/>
  <c r="AG1259" i="2"/>
  <c r="AF1259" i="2"/>
  <c r="AE1259" i="2"/>
  <c r="AG1258" i="2"/>
  <c r="AF1258" i="2"/>
  <c r="AE1258" i="2"/>
  <c r="AG1257" i="2"/>
  <c r="AF1257" i="2"/>
  <c r="AE1257" i="2"/>
  <c r="AG1256" i="2"/>
  <c r="AF1256" i="2"/>
  <c r="AE1256" i="2"/>
  <c r="AG1255" i="2"/>
  <c r="AF1255" i="2"/>
  <c r="AE1255" i="2"/>
  <c r="AG1254" i="2"/>
  <c r="AF1254" i="2"/>
  <c r="AE1254" i="2"/>
  <c r="AG1253" i="2"/>
  <c r="AF1253" i="2"/>
  <c r="AE1253" i="2"/>
  <c r="AG1252" i="2"/>
  <c r="AF1252" i="2"/>
  <c r="AE1252" i="2"/>
  <c r="AJ1251" i="2"/>
  <c r="AI1251" i="2"/>
  <c r="AH1251" i="2"/>
  <c r="AG1251" i="2"/>
  <c r="AF1251" i="2"/>
  <c r="AE1251" i="2"/>
  <c r="AD1251" i="2"/>
  <c r="AG1248" i="2"/>
  <c r="AI1248" i="2" s="1"/>
  <c r="AJ1248" i="2" s="1"/>
  <c r="AF1248" i="2"/>
  <c r="AE1248" i="2"/>
  <c r="AH1248" i="2" s="1"/>
  <c r="AD1248" i="2"/>
  <c r="AG1247" i="2"/>
  <c r="AI1247" i="2" s="1"/>
  <c r="AJ1247" i="2" s="1"/>
  <c r="AF1247" i="2"/>
  <c r="AE1247" i="2"/>
  <c r="AH1247" i="2" s="1"/>
  <c r="AD1247" i="2"/>
  <c r="AG1246" i="2"/>
  <c r="AI1246" i="2" s="1"/>
  <c r="AJ1246" i="2" s="1"/>
  <c r="AF1246" i="2"/>
  <c r="AE1246" i="2"/>
  <c r="AH1246" i="2" s="1"/>
  <c r="AD1246" i="2"/>
  <c r="AG1243" i="2"/>
  <c r="AI1243" i="2" s="1"/>
  <c r="AJ1243" i="2" s="1"/>
  <c r="AF1243" i="2"/>
  <c r="AE1243" i="2"/>
  <c r="AH1243" i="2" s="1"/>
  <c r="AD1243" i="2"/>
  <c r="AG1242" i="2"/>
  <c r="AI1242" i="2" s="1"/>
  <c r="AJ1242" i="2" s="1"/>
  <c r="AF1242" i="2"/>
  <c r="AE1242" i="2"/>
  <c r="AH1242" i="2" s="1"/>
  <c r="AD1242" i="2"/>
  <c r="AG1241" i="2"/>
  <c r="AI1241" i="2" s="1"/>
  <c r="AJ1241" i="2" s="1"/>
  <c r="AF1241" i="2"/>
  <c r="AE1241" i="2"/>
  <c r="AH1241" i="2" s="1"/>
  <c r="AD1241" i="2"/>
  <c r="AG1236" i="2"/>
  <c r="AF1236" i="2"/>
  <c r="AE1236" i="2"/>
  <c r="AJ1061" i="2"/>
  <c r="AI1061" i="2"/>
  <c r="AH1061" i="2"/>
  <c r="AG1061" i="2"/>
  <c r="AF1061" i="2"/>
  <c r="AE1061" i="2"/>
  <c r="AD1061" i="2"/>
  <c r="AJ451" i="2"/>
  <c r="AI451" i="2"/>
  <c r="AH451" i="2"/>
  <c r="AG451" i="2"/>
  <c r="AF451" i="2"/>
  <c r="AE451" i="2"/>
  <c r="AD451" i="2"/>
  <c r="AJ78" i="2"/>
  <c r="AI78" i="2"/>
  <c r="AH78" i="2"/>
  <c r="AG78" i="2"/>
  <c r="AF78" i="2"/>
  <c r="AE78" i="2"/>
  <c r="AD78" i="2"/>
  <c r="I6" i="2"/>
  <c r="BF3" i="2"/>
  <c r="BC3" i="2"/>
  <c r="BB3" i="2"/>
  <c r="AX3" i="2"/>
  <c r="AU3" i="2"/>
  <c r="AT3" i="2"/>
  <c r="BF2" i="2"/>
  <c r="BC2" i="2"/>
  <c r="BB2" i="2"/>
  <c r="AX2" i="2"/>
  <c r="AU2" i="2"/>
  <c r="AT2" i="2"/>
  <c r="AP2" i="2"/>
  <c r="AM2" i="2"/>
  <c r="AL2" i="2"/>
  <c r="BF1" i="2"/>
  <c r="BC1" i="2"/>
  <c r="AX1" i="2"/>
  <c r="AU1" i="2"/>
  <c r="P111" i="1" l="1"/>
  <c r="P114" i="1"/>
  <c r="P109" i="1"/>
  <c r="P112" i="1"/>
  <c r="P110" i="1"/>
  <c r="P113" i="1"/>
  <c r="P106" i="1"/>
  <c r="P103" i="1"/>
  <c r="P149" i="1"/>
  <c r="P121" i="1"/>
  <c r="P142" i="1"/>
  <c r="P134" i="1"/>
  <c r="P150" i="1"/>
  <c r="P143" i="1"/>
  <c r="P128" i="1"/>
  <c r="P122" i="1"/>
  <c r="P135" i="1"/>
  <c r="P129" i="1"/>
  <c r="P555" i="1"/>
  <c r="P552" i="1"/>
  <c r="P548" i="1"/>
  <c r="P546" i="1"/>
  <c r="P543" i="1"/>
  <c r="P538" i="1"/>
  <c r="P534" i="1"/>
  <c r="P558" i="1"/>
  <c r="P556" i="1"/>
  <c r="P553" i="1"/>
  <c r="P549" i="1"/>
  <c r="P535" i="1"/>
  <c r="P531" i="1"/>
  <c r="P530" i="1"/>
  <c r="P559" i="1"/>
  <c r="P550" i="1"/>
  <c r="P547" i="1"/>
  <c r="P544" i="1"/>
  <c r="P542" i="1"/>
  <c r="P539" i="1"/>
  <c r="P537" i="1"/>
  <c r="P533" i="1"/>
  <c r="P560" i="1"/>
  <c r="P557" i="1"/>
  <c r="P554" i="1"/>
  <c r="P551" i="1"/>
  <c r="P545" i="1"/>
  <c r="P540" i="1"/>
  <c r="P536" i="1"/>
  <c r="P532" i="1"/>
  <c r="P139" i="1"/>
  <c r="P146" i="1"/>
  <c r="P132" i="1"/>
  <c r="P125" i="1"/>
  <c r="AH1252" i="2"/>
  <c r="AH1253" i="2"/>
  <c r="AH1254" i="2"/>
  <c r="AH1255" i="2"/>
  <c r="AH1256" i="2"/>
  <c r="AH1257" i="2"/>
  <c r="AH1268" i="2"/>
  <c r="AH1269" i="2"/>
  <c r="AH1270" i="2"/>
  <c r="AH1271" i="2"/>
  <c r="AL3" i="2"/>
  <c r="AM3" i="2"/>
  <c r="AP3" i="2"/>
  <c r="AH1260" i="2"/>
  <c r="AI1255" i="2"/>
  <c r="AI1252" i="2"/>
  <c r="AI1256" i="2"/>
  <c r="AI1257" i="2"/>
  <c r="AI1258" i="2"/>
  <c r="AI1259" i="2"/>
  <c r="AI1268" i="2"/>
  <c r="AI1269" i="2"/>
  <c r="AI1271" i="2"/>
  <c r="AI1236" i="2"/>
  <c r="AI1272" i="2"/>
  <c r="AI1273" i="2"/>
  <c r="AH1236" i="2"/>
  <c r="AH1272" i="2"/>
  <c r="AH1273" i="2"/>
  <c r="AI1267" i="2"/>
  <c r="AI1270" i="2"/>
  <c r="AI1263" i="2"/>
  <c r="AH1258" i="2"/>
  <c r="AH1259" i="2"/>
  <c r="AI1260" i="2"/>
  <c r="AI1261" i="2"/>
  <c r="AI1262" i="2"/>
  <c r="AH1261" i="2"/>
  <c r="AH1262" i="2"/>
  <c r="AH1263" i="2"/>
  <c r="AI1264" i="2"/>
  <c r="AI1265" i="2"/>
  <c r="AI1266" i="2"/>
  <c r="AI1253" i="2"/>
  <c r="AI1254" i="2"/>
  <c r="AH1264" i="2"/>
  <c r="AH1265" i="2"/>
  <c r="AH1266" i="2"/>
  <c r="AH1267" i="2"/>
  <c r="P8" i="1"/>
  <c r="P10" i="1"/>
  <c r="P12" i="1"/>
  <c r="P14" i="1"/>
  <c r="P16" i="1"/>
  <c r="P18" i="1"/>
  <c r="P20" i="1"/>
  <c r="P22" i="1"/>
  <c r="P24" i="1"/>
  <c r="P35" i="1"/>
  <c r="P37" i="1"/>
  <c r="P41" i="1"/>
  <c r="P43" i="1"/>
  <c r="P46" i="1"/>
  <c r="P48" i="1"/>
  <c r="P50" i="1"/>
  <c r="P52" i="1"/>
  <c r="P54" i="1"/>
  <c r="P56" i="1"/>
  <c r="P58" i="1"/>
  <c r="P60" i="1"/>
  <c r="P62" i="1"/>
  <c r="P64" i="1"/>
  <c r="P66" i="1"/>
  <c r="P68" i="1"/>
  <c r="P70" i="1"/>
  <c r="P72" i="1"/>
  <c r="P74" i="1"/>
  <c r="P76" i="1"/>
  <c r="P78" i="1"/>
  <c r="P80" i="1"/>
  <c r="P82" i="1"/>
  <c r="P84" i="1"/>
  <c r="P86" i="1"/>
  <c r="P88" i="1"/>
  <c r="P90" i="1"/>
  <c r="P92" i="1"/>
  <c r="P94" i="1"/>
  <c r="P96" i="1"/>
  <c r="P98" i="1"/>
  <c r="P100" i="1"/>
  <c r="P116" i="1"/>
  <c r="P119" i="1"/>
  <c r="P9" i="1"/>
  <c r="P17" i="1"/>
  <c r="P34" i="1"/>
  <c r="P44" i="1"/>
  <c r="P51" i="1"/>
  <c r="P55" i="1"/>
  <c r="P65" i="1"/>
  <c r="P71" i="1"/>
  <c r="P75" i="1"/>
  <c r="P83" i="1"/>
  <c r="P93" i="1"/>
  <c r="P101" i="1"/>
  <c r="P104" i="1"/>
  <c r="P124" i="1"/>
  <c r="P127" i="1"/>
  <c r="P130" i="1"/>
  <c r="P133" i="1"/>
  <c r="P107" i="1"/>
  <c r="P138" i="1"/>
  <c r="P141" i="1"/>
  <c r="P144" i="1"/>
  <c r="P147" i="1"/>
  <c r="P152" i="1"/>
  <c r="P154" i="1"/>
  <c r="P156" i="1"/>
  <c r="P158" i="1"/>
  <c r="P160" i="1"/>
  <c r="P162" i="1"/>
  <c r="P164" i="1"/>
  <c r="P166" i="1"/>
  <c r="P169" i="1"/>
  <c r="P171" i="1"/>
  <c r="P173" i="1"/>
  <c r="P175" i="1"/>
  <c r="P177" i="1"/>
  <c r="P179" i="1"/>
  <c r="P181" i="1"/>
  <c r="P15" i="1"/>
  <c r="P23" i="1"/>
  <c r="P42" i="1"/>
  <c r="P53" i="1"/>
  <c r="P59" i="1"/>
  <c r="P63" i="1"/>
  <c r="P73" i="1"/>
  <c r="P81" i="1"/>
  <c r="P91" i="1"/>
  <c r="P99" i="1"/>
  <c r="P19" i="1"/>
  <c r="P47" i="1"/>
  <c r="P57" i="1"/>
  <c r="P69" i="1"/>
  <c r="P79" i="1"/>
  <c r="P89" i="1"/>
  <c r="P131" i="1"/>
  <c r="P108" i="1"/>
  <c r="P153" i="1"/>
  <c r="P165" i="1"/>
  <c r="P170" i="1"/>
  <c r="P174" i="1"/>
  <c r="P178" i="1"/>
  <c r="P182" i="1"/>
  <c r="P184" i="1"/>
  <c r="P186" i="1"/>
  <c r="P188" i="1"/>
  <c r="P190" i="1"/>
  <c r="P192" i="1"/>
  <c r="P194" i="1"/>
  <c r="P196" i="1"/>
  <c r="P198" i="1"/>
  <c r="P200" i="1"/>
  <c r="P202" i="1"/>
  <c r="P204" i="1"/>
  <c r="P206" i="1"/>
  <c r="P208" i="1"/>
  <c r="P210" i="1"/>
  <c r="P212" i="1"/>
  <c r="P214" i="1"/>
  <c r="P216" i="1"/>
  <c r="P218" i="1"/>
  <c r="P220" i="1"/>
  <c r="P223" i="1"/>
  <c r="P225" i="1"/>
  <c r="P227" i="1"/>
  <c r="P229" i="1"/>
  <c r="P231" i="1"/>
  <c r="P233" i="1"/>
  <c r="P235" i="1"/>
  <c r="P237" i="1"/>
  <c r="P239" i="1"/>
  <c r="P241" i="1"/>
  <c r="P243" i="1"/>
  <c r="P245" i="1"/>
  <c r="P247" i="1"/>
  <c r="P249" i="1"/>
  <c r="P251" i="1"/>
  <c r="P253" i="1"/>
  <c r="P255" i="1"/>
  <c r="P257" i="1"/>
  <c r="P259" i="1"/>
  <c r="P261" i="1"/>
  <c r="P263" i="1"/>
  <c r="P265" i="1"/>
  <c r="P267" i="1"/>
  <c r="P269" i="1"/>
  <c r="P271" i="1"/>
  <c r="P273" i="1"/>
  <c r="P275" i="1"/>
  <c r="P277" i="1"/>
  <c r="P279" i="1"/>
  <c r="P281" i="1"/>
  <c r="P283" i="1"/>
  <c r="P285" i="1"/>
  <c r="P287" i="1"/>
  <c r="P289" i="1"/>
  <c r="P291" i="1"/>
  <c r="P293" i="1"/>
  <c r="P295" i="1"/>
  <c r="P297" i="1"/>
  <c r="P299" i="1"/>
  <c r="P301" i="1"/>
  <c r="P303" i="1"/>
  <c r="P305" i="1"/>
  <c r="P307" i="1"/>
  <c r="P309" i="1"/>
  <c r="P311" i="1"/>
  <c r="P313" i="1"/>
  <c r="P315" i="1"/>
  <c r="P317" i="1"/>
  <c r="P319" i="1"/>
  <c r="P321" i="1"/>
  <c r="P323" i="1"/>
  <c r="P325" i="1"/>
  <c r="P327" i="1"/>
  <c r="P329" i="1"/>
  <c r="P331" i="1"/>
  <c r="P334" i="1"/>
  <c r="P336" i="1"/>
  <c r="P338" i="1"/>
  <c r="P340" i="1"/>
  <c r="P342" i="1"/>
  <c r="P344" i="1"/>
  <c r="P346" i="1"/>
  <c r="P348" i="1"/>
  <c r="P350" i="1"/>
  <c r="P13" i="1"/>
  <c r="P38" i="1"/>
  <c r="P67" i="1"/>
  <c r="P77" i="1"/>
  <c r="P87" i="1"/>
  <c r="P117" i="1"/>
  <c r="P105" i="1"/>
  <c r="P140" i="1"/>
  <c r="P151" i="1"/>
  <c r="P159" i="1"/>
  <c r="P163" i="1"/>
  <c r="P176" i="1"/>
  <c r="P36" i="1"/>
  <c r="P148" i="1"/>
  <c r="P185" i="1"/>
  <c r="P197" i="1"/>
  <c r="P201" i="1"/>
  <c r="P211" i="1"/>
  <c r="P213" i="1"/>
  <c r="P221" i="1"/>
  <c r="P230" i="1"/>
  <c r="P238" i="1"/>
  <c r="P246" i="1"/>
  <c r="P254" i="1"/>
  <c r="P262" i="1"/>
  <c r="P270" i="1"/>
  <c r="P278" i="1"/>
  <c r="P286" i="1"/>
  <c r="P294" i="1"/>
  <c r="P302" i="1"/>
  <c r="P310" i="1"/>
  <c r="P318" i="1"/>
  <c r="P326" i="1"/>
  <c r="P335" i="1"/>
  <c r="P343" i="1"/>
  <c r="P351" i="1"/>
  <c r="P353" i="1"/>
  <c r="P355" i="1"/>
  <c r="P357" i="1"/>
  <c r="P359" i="1"/>
  <c r="P361" i="1"/>
  <c r="P363" i="1"/>
  <c r="P365" i="1"/>
  <c r="P367" i="1"/>
  <c r="P236" i="1"/>
  <c r="P244" i="1"/>
  <c r="P252" i="1"/>
  <c r="P260" i="1"/>
  <c r="P276" i="1"/>
  <c r="P292" i="1"/>
  <c r="P300" i="1"/>
  <c r="P324" i="1"/>
  <c r="P333" i="1"/>
  <c r="P341" i="1"/>
  <c r="P516" i="1"/>
  <c r="P518" i="1"/>
  <c r="P527" i="1"/>
  <c r="P217" i="1"/>
  <c r="P226" i="1"/>
  <c r="P242" i="1"/>
  <c r="P258" i="1"/>
  <c r="P266" i="1"/>
  <c r="P282" i="1"/>
  <c r="P314" i="1"/>
  <c r="P322" i="1"/>
  <c r="P339" i="1"/>
  <c r="P352" i="1"/>
  <c r="P360" i="1"/>
  <c r="P364" i="1"/>
  <c r="P155" i="1"/>
  <c r="P215" i="1"/>
  <c r="P224" i="1"/>
  <c r="P256" i="1"/>
  <c r="P312" i="1"/>
  <c r="P515" i="1"/>
  <c r="P522" i="1"/>
  <c r="P21" i="1"/>
  <c r="P126" i="1"/>
  <c r="P145" i="1"/>
  <c r="P118" i="1"/>
  <c r="P172" i="1"/>
  <c r="P180" i="1"/>
  <c r="P183" i="1"/>
  <c r="P191" i="1"/>
  <c r="P195" i="1"/>
  <c r="P209" i="1"/>
  <c r="P219" i="1"/>
  <c r="P228" i="1"/>
  <c r="P268" i="1"/>
  <c r="P284" i="1"/>
  <c r="P308" i="1"/>
  <c r="P316" i="1"/>
  <c r="P349" i="1"/>
  <c r="P514" i="1"/>
  <c r="P519" i="1"/>
  <c r="P521" i="1"/>
  <c r="P523" i="1"/>
  <c r="P525" i="1"/>
  <c r="P189" i="1"/>
  <c r="P193" i="1"/>
  <c r="P207" i="1"/>
  <c r="P250" i="1"/>
  <c r="P274" i="1"/>
  <c r="P290" i="1"/>
  <c r="P306" i="1"/>
  <c r="P330" i="1"/>
  <c r="P356" i="1"/>
  <c r="P362" i="1"/>
  <c r="P366" i="1"/>
  <c r="P368" i="1"/>
  <c r="P61" i="1"/>
  <c r="P161" i="1"/>
  <c r="P199" i="1"/>
  <c r="P203" i="1"/>
  <c r="P232" i="1"/>
  <c r="P288" i="1"/>
  <c r="P320" i="1"/>
  <c r="P513" i="1"/>
  <c r="P520" i="1"/>
  <c r="P524" i="1"/>
  <c r="P526" i="1"/>
  <c r="P11" i="1"/>
  <c r="P85" i="1"/>
  <c r="P97" i="1"/>
  <c r="P123" i="1"/>
  <c r="P136" i="1"/>
  <c r="P137" i="1"/>
  <c r="P157" i="1"/>
  <c r="P167" i="1"/>
  <c r="P234" i="1"/>
  <c r="P298" i="1"/>
  <c r="P347" i="1"/>
  <c r="P354" i="1"/>
  <c r="P358" i="1"/>
  <c r="P49" i="1"/>
  <c r="P95" i="1"/>
  <c r="P120" i="1"/>
  <c r="P187" i="1"/>
  <c r="P205" i="1"/>
  <c r="P240" i="1"/>
  <c r="P248" i="1"/>
  <c r="P264" i="1"/>
  <c r="P272" i="1"/>
  <c r="P280" i="1"/>
  <c r="P296" i="1"/>
  <c r="P304" i="1"/>
  <c r="P328" i="1"/>
  <c r="P337" i="1"/>
  <c r="P345" i="1"/>
  <c r="P517" i="1"/>
  <c r="P528" i="1"/>
  <c r="AJ1254" i="2" l="1"/>
  <c r="AJ1253" i="2"/>
  <c r="AG1091" i="2"/>
  <c r="AI1091" i="2" s="1"/>
  <c r="AJ1091" i="2" s="1"/>
  <c r="AD1091" i="2"/>
  <c r="AE1091" i="2"/>
  <c r="AH1091" i="2" s="1"/>
  <c r="AF1091" i="2"/>
  <c r="AG1087" i="2"/>
  <c r="AI1087" i="2" s="1"/>
  <c r="AJ1087" i="2" s="1"/>
  <c r="AD1087" i="2"/>
  <c r="AE1087" i="2"/>
  <c r="AH1087" i="2" s="1"/>
  <c r="AF1087" i="2"/>
  <c r="AB167" i="1"/>
  <c r="X167" i="1"/>
  <c r="T167" i="1"/>
  <c r="AA167" i="1"/>
  <c r="W167" i="1"/>
  <c r="S167" i="1"/>
  <c r="Z167" i="1"/>
  <c r="V167" i="1"/>
  <c r="R167" i="1"/>
  <c r="U167" i="1"/>
  <c r="Q167" i="1"/>
  <c r="Y167" i="1"/>
  <c r="AB166" i="1"/>
  <c r="X166" i="1"/>
  <c r="T166" i="1"/>
  <c r="AA166" i="1"/>
  <c r="W166" i="1"/>
  <c r="S166" i="1"/>
  <c r="Z166" i="1"/>
  <c r="V166" i="1"/>
  <c r="R166" i="1"/>
  <c r="Y166" i="1"/>
  <c r="Q166" i="1"/>
  <c r="U166" i="1"/>
  <c r="AG1092" i="2"/>
  <c r="AI1092" i="2" s="1"/>
  <c r="AJ1092" i="2" s="1"/>
  <c r="AD1092" i="2"/>
  <c r="AE1092" i="2"/>
  <c r="AH1092" i="2" s="1"/>
  <c r="AF1092" i="2"/>
  <c r="AG1086" i="2"/>
  <c r="AI1086" i="2" s="1"/>
  <c r="AJ1086" i="2" s="1"/>
  <c r="AD1086" i="2"/>
  <c r="AE1086" i="2"/>
  <c r="AH1086" i="2" s="1"/>
  <c r="AF1086" i="2"/>
  <c r="V21" i="1"/>
  <c r="Q482" i="1"/>
  <c r="Q494" i="1"/>
  <c r="Q504" i="1"/>
  <c r="Q414" i="1"/>
  <c r="Q508" i="1"/>
  <c r="Q421" i="1"/>
  <c r="Y447" i="1"/>
  <c r="V327" i="1"/>
  <c r="AF1004" i="2"/>
  <c r="AF992" i="2"/>
  <c r="Y473" i="1"/>
  <c r="AF988" i="2"/>
  <c r="V362" i="1"/>
  <c r="V186" i="1"/>
  <c r="Y395" i="1"/>
  <c r="AF934" i="2"/>
  <c r="Y445" i="1"/>
  <c r="AF958" i="2"/>
  <c r="Y397" i="1"/>
  <c r="AF936" i="2"/>
  <c r="V367" i="1"/>
  <c r="Y44" i="1"/>
  <c r="V253" i="1"/>
  <c r="Y492" i="1"/>
  <c r="Y393" i="1"/>
  <c r="V255" i="1"/>
  <c r="V44" i="1"/>
  <c r="Y100" i="1"/>
  <c r="Y448" i="1"/>
  <c r="AF961" i="2"/>
  <c r="V350" i="1"/>
  <c r="AJ1259" i="2"/>
  <c r="AJ1270" i="2"/>
  <c r="AJ1267" i="2"/>
  <c r="AJ1257" i="2"/>
  <c r="AJ1268" i="2"/>
  <c r="AJ1256" i="2"/>
  <c r="AJ1262" i="2"/>
  <c r="AJ1273" i="2"/>
  <c r="AJ1261" i="2"/>
  <c r="AJ1260" i="2"/>
  <c r="AJ1269" i="2"/>
  <c r="AJ1255" i="2"/>
  <c r="AJ1252" i="2"/>
  <c r="AJ1271" i="2"/>
  <c r="AJ1258" i="2"/>
  <c r="AJ1272" i="2"/>
  <c r="AJ1236" i="2"/>
  <c r="AJ1264" i="2"/>
  <c r="AJ1266" i="2"/>
  <c r="AJ1263" i="2"/>
  <c r="AJ1265" i="2"/>
  <c r="P25" i="1"/>
  <c r="P31" i="1"/>
  <c r="P27" i="1"/>
  <c r="P28" i="1"/>
  <c r="P30" i="1"/>
  <c r="P26" i="1"/>
  <c r="P32" i="1"/>
  <c r="P33" i="1"/>
  <c r="AB104" i="1" l="1"/>
  <c r="T119" i="1"/>
  <c r="T104" i="1"/>
  <c r="T117" i="1"/>
  <c r="AB119" i="1"/>
  <c r="AB117" i="1"/>
  <c r="T415" i="1"/>
  <c r="T425" i="1"/>
  <c r="T486" i="1"/>
  <c r="Y387" i="1"/>
  <c r="Y261" i="1"/>
  <c r="T261" i="1"/>
  <c r="T64" i="1"/>
  <c r="Y360" i="1"/>
  <c r="Y257" i="1"/>
  <c r="Y366" i="1"/>
  <c r="AF1046" i="2"/>
  <c r="Y425" i="1"/>
  <c r="T465" i="1"/>
  <c r="Y353" i="1"/>
  <c r="AB360" i="1"/>
  <c r="Y335" i="1"/>
  <c r="AF1044" i="2"/>
  <c r="Y527" i="1"/>
  <c r="AF1074" i="2"/>
  <c r="Y63" i="1"/>
  <c r="Y65" i="1"/>
  <c r="Y412" i="1"/>
  <c r="Q491" i="1"/>
  <c r="T459" i="1"/>
  <c r="Y407" i="1"/>
  <c r="AF1020" i="2"/>
  <c r="Q510" i="1"/>
  <c r="T443" i="1"/>
  <c r="T477" i="1"/>
  <c r="Y490" i="1"/>
  <c r="Y260" i="1"/>
  <c r="Y162" i="1"/>
  <c r="Y419" i="1"/>
  <c r="AF1067" i="2"/>
  <c r="Y508" i="1"/>
  <c r="T476" i="1"/>
  <c r="T442" i="1"/>
  <c r="AF1075" i="2"/>
  <c r="Y517" i="1"/>
  <c r="Y255" i="1"/>
  <c r="Y417" i="1"/>
  <c r="Y488" i="1"/>
  <c r="T466" i="1"/>
  <c r="T447" i="1"/>
  <c r="T454" i="1"/>
  <c r="AB257" i="1"/>
  <c r="AF1003" i="2"/>
  <c r="Q465" i="1"/>
  <c r="Q437" i="1"/>
  <c r="T344" i="1"/>
  <c r="T408" i="1"/>
  <c r="Q502" i="1"/>
  <c r="Y481" i="1"/>
  <c r="T528" i="1"/>
  <c r="T437" i="1"/>
  <c r="Y402" i="1"/>
  <c r="T453" i="1"/>
  <c r="AF1026" i="2"/>
  <c r="T480" i="1"/>
  <c r="Y184" i="1"/>
  <c r="T436" i="1"/>
  <c r="Y523" i="1"/>
  <c r="Y43" i="1"/>
  <c r="Y348" i="1"/>
  <c r="Y339" i="1"/>
  <c r="AF1040" i="2"/>
  <c r="Q505" i="1"/>
  <c r="T458" i="1"/>
  <c r="T452" i="1"/>
  <c r="T446" i="1"/>
  <c r="AB358" i="1"/>
  <c r="T431" i="1"/>
  <c r="Y220" i="1"/>
  <c r="AF1010" i="2"/>
  <c r="T460" i="1"/>
  <c r="Y410" i="1"/>
  <c r="AF1052" i="2"/>
  <c r="AF1015" i="2"/>
  <c r="T475" i="1"/>
  <c r="T449" i="1"/>
  <c r="Y403" i="1"/>
  <c r="AA162" i="1"/>
  <c r="X162" i="1"/>
  <c r="AF1057" i="2"/>
  <c r="T438" i="1"/>
  <c r="AF1081" i="2"/>
  <c r="T470" i="1"/>
  <c r="Y251" i="1"/>
  <c r="Q404" i="1"/>
  <c r="T471" i="1"/>
  <c r="V42" i="1"/>
  <c r="V257" i="1"/>
  <c r="AB366" i="1"/>
  <c r="AF980" i="2"/>
  <c r="Y437" i="1"/>
  <c r="AB261" i="1"/>
  <c r="AB344" i="1"/>
  <c r="V99" i="1"/>
  <c r="V250" i="1"/>
  <c r="V64" i="1"/>
  <c r="AB347" i="1"/>
  <c r="T481" i="1"/>
  <c r="AF966" i="2"/>
  <c r="AF931" i="2"/>
  <c r="T366" i="1"/>
  <c r="Y496" i="1"/>
  <c r="Q474" i="1"/>
  <c r="T347" i="1"/>
  <c r="T402" i="1"/>
  <c r="T502" i="1"/>
  <c r="Q453" i="1"/>
  <c r="Q486" i="1"/>
  <c r="T474" i="1"/>
  <c r="Y344" i="1"/>
  <c r="Y99" i="1"/>
  <c r="AF1039" i="2"/>
  <c r="T435" i="1"/>
  <c r="Y424" i="1"/>
  <c r="T463" i="1"/>
  <c r="T430" i="1"/>
  <c r="T257" i="1"/>
  <c r="V366" i="1"/>
  <c r="Y337" i="1"/>
  <c r="Q415" i="1"/>
  <c r="Q425" i="1"/>
  <c r="V261" i="1"/>
  <c r="V344" i="1"/>
  <c r="Y250" i="1"/>
  <c r="Y64" i="1"/>
  <c r="AB64" i="1"/>
  <c r="V353" i="1"/>
  <c r="Y347" i="1"/>
  <c r="V347" i="1"/>
  <c r="T360" i="1"/>
  <c r="Q408" i="1"/>
  <c r="Q402" i="1"/>
  <c r="AF1019" i="2"/>
  <c r="Q481" i="1"/>
  <c r="Q528" i="1"/>
  <c r="V342" i="1"/>
  <c r="Q413" i="1"/>
  <c r="Q509" i="1"/>
  <c r="V259" i="1"/>
  <c r="Y187" i="1"/>
  <c r="AB187" i="1"/>
  <c r="Y338" i="1"/>
  <c r="V338" i="1"/>
  <c r="Q424" i="1"/>
  <c r="Q418" i="1"/>
  <c r="AF929" i="2"/>
  <c r="Q521" i="1"/>
  <c r="T65" i="1"/>
  <c r="V351" i="1"/>
  <c r="V336" i="1"/>
  <c r="V345" i="1"/>
  <c r="T252" i="1"/>
  <c r="V348" i="1"/>
  <c r="Q409" i="1"/>
  <c r="AF1024" i="2"/>
  <c r="V334" i="1"/>
  <c r="T358" i="1"/>
  <c r="AF1037" i="2"/>
  <c r="V330" i="1"/>
  <c r="Q407" i="1"/>
  <c r="Q493" i="1"/>
  <c r="V340" i="1"/>
  <c r="T335" i="1"/>
  <c r="Y342" i="1"/>
  <c r="Y352" i="1"/>
  <c r="T413" i="1"/>
  <c r="T509" i="1"/>
  <c r="Q480" i="1"/>
  <c r="Q435" i="1"/>
  <c r="AF928" i="2"/>
  <c r="Y259" i="1"/>
  <c r="T259" i="1"/>
  <c r="T187" i="1"/>
  <c r="Y354" i="1"/>
  <c r="T338" i="1"/>
  <c r="T424" i="1"/>
  <c r="T418" i="1"/>
  <c r="Q463" i="1"/>
  <c r="Q436" i="1"/>
  <c r="Q430" i="1"/>
  <c r="AF915" i="2"/>
  <c r="T521" i="1"/>
  <c r="AB65" i="1"/>
  <c r="Y351" i="1"/>
  <c r="Y336" i="1"/>
  <c r="T336" i="1"/>
  <c r="Y345" i="1"/>
  <c r="AB252" i="1"/>
  <c r="T348" i="1"/>
  <c r="T339" i="1"/>
  <c r="T409" i="1"/>
  <c r="T505" i="1"/>
  <c r="Q458" i="1"/>
  <c r="Q452" i="1"/>
  <c r="Q446" i="1"/>
  <c r="AF924" i="2"/>
  <c r="Y334" i="1"/>
  <c r="Y358" i="1"/>
  <c r="AF1008" i="2"/>
  <c r="T491" i="1"/>
  <c r="Q459" i="1"/>
  <c r="Q431" i="1"/>
  <c r="Y330" i="1"/>
  <c r="T330" i="1"/>
  <c r="Y357" i="1"/>
  <c r="T407" i="1"/>
  <c r="T493" i="1"/>
  <c r="Q460" i="1"/>
  <c r="Y340" i="1"/>
  <c r="T340" i="1"/>
  <c r="T410" i="1"/>
  <c r="T503" i="1"/>
  <c r="Y510" i="1"/>
  <c r="T510" i="1"/>
  <c r="Q443" i="1"/>
  <c r="AF918" i="2"/>
  <c r="Y382" i="1"/>
  <c r="Q477" i="1"/>
  <c r="Y386" i="1"/>
  <c r="T258" i="1"/>
  <c r="Y329" i="1"/>
  <c r="T329" i="1"/>
  <c r="T346" i="1"/>
  <c r="T421" i="1"/>
  <c r="Q492" i="1"/>
  <c r="T492" i="1"/>
  <c r="T498" i="1"/>
  <c r="Q475" i="1"/>
  <c r="Q449" i="1"/>
  <c r="T403" i="1"/>
  <c r="AF919" i="2"/>
  <c r="T260" i="1"/>
  <c r="Y343" i="1"/>
  <c r="T343" i="1"/>
  <c r="S162" i="1"/>
  <c r="T162" i="1"/>
  <c r="T419" i="1"/>
  <c r="T426" i="1"/>
  <c r="Q497" i="1"/>
  <c r="T497" i="1"/>
  <c r="Q438" i="1"/>
  <c r="T518" i="1"/>
  <c r="Q470" i="1"/>
  <c r="Y375" i="1"/>
  <c r="T254" i="1"/>
  <c r="AB251" i="1"/>
  <c r="Y404" i="1"/>
  <c r="T404" i="1"/>
  <c r="T508" i="1"/>
  <c r="Q476" i="1"/>
  <c r="Q442" i="1"/>
  <c r="Q471" i="1"/>
  <c r="Y373" i="1"/>
  <c r="AB255" i="1"/>
  <c r="T488" i="1"/>
  <c r="Q487" i="1"/>
  <c r="T487" i="1"/>
  <c r="Q466" i="1"/>
  <c r="Q447" i="1"/>
  <c r="Q454" i="1"/>
  <c r="Q432" i="1"/>
  <c r="AB185" i="1"/>
  <c r="T367" i="1"/>
  <c r="AB359" i="1"/>
  <c r="Y359" i="1"/>
  <c r="W161" i="1"/>
  <c r="Z161" i="1"/>
  <c r="T161" i="1"/>
  <c r="T420" i="1"/>
  <c r="T414" i="1"/>
  <c r="Q464" i="1"/>
  <c r="Q469" i="1"/>
  <c r="Q441" i="1"/>
  <c r="AB253" i="1"/>
  <c r="T504" i="1"/>
  <c r="T494" i="1"/>
  <c r="T482" i="1"/>
  <c r="Y384" i="1"/>
  <c r="T499" i="1"/>
  <c r="AB186" i="1"/>
  <c r="Y350" i="1"/>
  <c r="AF1018" i="2"/>
  <c r="Q448" i="1"/>
  <c r="AF920" i="2"/>
  <c r="Z25" i="1"/>
  <c r="AB25" i="1"/>
  <c r="AA19" i="1"/>
  <c r="R19" i="1"/>
  <c r="AB19" i="1"/>
  <c r="S23" i="1"/>
  <c r="R23" i="1"/>
  <c r="AB23" i="1"/>
  <c r="S12" i="1"/>
  <c r="AB12" i="1"/>
  <c r="AA26" i="1"/>
  <c r="R26" i="1"/>
  <c r="AB26" i="1"/>
  <c r="V36" i="1"/>
  <c r="AA36" i="1"/>
  <c r="R20" i="1"/>
  <c r="Z20" i="1"/>
  <c r="AB20" i="1"/>
  <c r="Z22" i="1"/>
  <c r="R22" i="1"/>
  <c r="AB22" i="1"/>
  <c r="S11" i="1"/>
  <c r="R11" i="1"/>
  <c r="AB11" i="1"/>
  <c r="R31" i="1"/>
  <c r="X31" i="1"/>
  <c r="Y31" i="1"/>
  <c r="Y38" i="1"/>
  <c r="V38" i="1"/>
  <c r="AA38" i="1"/>
  <c r="Z30" i="1"/>
  <c r="T30" i="1"/>
  <c r="AA30" i="1"/>
  <c r="V164" i="1"/>
  <c r="AA164" i="1"/>
  <c r="S21" i="1"/>
  <c r="R21" i="1"/>
  <c r="AB21" i="1"/>
  <c r="V32" i="1"/>
  <c r="AA32" i="1"/>
  <c r="Z27" i="1"/>
  <c r="V27" i="1"/>
  <c r="AB27" i="1"/>
  <c r="U165" i="1"/>
  <c r="V165" i="1"/>
  <c r="AA165" i="1"/>
  <c r="S16" i="1"/>
  <c r="R16" i="1"/>
  <c r="AB16" i="1"/>
  <c r="Y515" i="1"/>
  <c r="T432" i="1"/>
  <c r="Y367" i="1"/>
  <c r="T359" i="1"/>
  <c r="S161" i="1"/>
  <c r="X161" i="1"/>
  <c r="AF1051" i="2"/>
  <c r="Y414" i="1"/>
  <c r="AF1002" i="2"/>
  <c r="T464" i="1"/>
  <c r="Y520" i="1"/>
  <c r="Y423" i="1"/>
  <c r="T469" i="1"/>
  <c r="T441" i="1"/>
  <c r="Y253" i="1"/>
  <c r="AF1021" i="2"/>
  <c r="Y494" i="1"/>
  <c r="Y482" i="1"/>
  <c r="AF1016" i="2"/>
  <c r="Y186" i="1"/>
  <c r="T448" i="1"/>
  <c r="R25" i="1"/>
  <c r="V25" i="1"/>
  <c r="V12" i="1"/>
  <c r="V26" i="1"/>
  <c r="Y36" i="1"/>
  <c r="T36" i="1"/>
  <c r="S20" i="1"/>
  <c r="V20" i="1"/>
  <c r="S22" i="1"/>
  <c r="V22" i="1"/>
  <c r="V11" i="1"/>
  <c r="V31" i="1"/>
  <c r="R30" i="1"/>
  <c r="X30" i="1"/>
  <c r="U164" i="1"/>
  <c r="Z164" i="1"/>
  <c r="T164" i="1"/>
  <c r="AA21" i="1"/>
  <c r="Z21" i="1"/>
  <c r="U32" i="1"/>
  <c r="Z32" i="1"/>
  <c r="T32" i="1"/>
  <c r="S27" i="1"/>
  <c r="AA27" i="1"/>
  <c r="Y165" i="1"/>
  <c r="Z165" i="1"/>
  <c r="T165" i="1"/>
  <c r="V16" i="1"/>
  <c r="Z16" i="1"/>
  <c r="AB335" i="1"/>
  <c r="AF995" i="2"/>
  <c r="Y462" i="1"/>
  <c r="AF948" i="2"/>
  <c r="AB259" i="1"/>
  <c r="V184" i="1"/>
  <c r="V187" i="1"/>
  <c r="AB338" i="1"/>
  <c r="Y463" i="1"/>
  <c r="AF949" i="2"/>
  <c r="Y430" i="1"/>
  <c r="V63" i="1"/>
  <c r="V65" i="1"/>
  <c r="Y219" i="1"/>
  <c r="V219" i="1"/>
  <c r="AB336" i="1"/>
  <c r="Y252" i="1"/>
  <c r="V252" i="1"/>
  <c r="AB348" i="1"/>
  <c r="AB339" i="1"/>
  <c r="Y458" i="1"/>
  <c r="Y452" i="1"/>
  <c r="Y446" i="1"/>
  <c r="Y256" i="1"/>
  <c r="V256" i="1"/>
  <c r="Y459" i="1"/>
  <c r="AF964" i="2"/>
  <c r="Y431" i="1"/>
  <c r="Y396" i="1"/>
  <c r="Y97" i="1"/>
  <c r="V220" i="1"/>
  <c r="AB330" i="1"/>
  <c r="Y460" i="1"/>
  <c r="Y434" i="1"/>
  <c r="V216" i="1"/>
  <c r="AB340" i="1"/>
  <c r="Y443" i="1"/>
  <c r="Y477" i="1"/>
  <c r="Y429" i="1"/>
  <c r="V258" i="1"/>
  <c r="AB329" i="1"/>
  <c r="AB346" i="1"/>
  <c r="Y475" i="1"/>
  <c r="AF962" i="2"/>
  <c r="AB260" i="1"/>
  <c r="AB343" i="1"/>
  <c r="R162" i="1"/>
  <c r="U162" i="1"/>
  <c r="AB162" i="1"/>
  <c r="Y479" i="1"/>
  <c r="AF985" i="2"/>
  <c r="V254" i="1"/>
  <c r="V251" i="1"/>
  <c r="Y476" i="1"/>
  <c r="Y442" i="1"/>
  <c r="AF986" i="2"/>
  <c r="Y440" i="1"/>
  <c r="Y457" i="1"/>
  <c r="Y466" i="1"/>
  <c r="AF960" i="2"/>
  <c r="AF967" i="2"/>
  <c r="AF932" i="2"/>
  <c r="Y432" i="1"/>
  <c r="AF930" i="2"/>
  <c r="Y185" i="1"/>
  <c r="V185" i="1"/>
  <c r="AB367" i="1"/>
  <c r="Y161" i="1"/>
  <c r="V161" i="1"/>
  <c r="AB161" i="1"/>
  <c r="Y464" i="1"/>
  <c r="Y469" i="1"/>
  <c r="Y441" i="1"/>
  <c r="V100" i="1"/>
  <c r="S25" i="1"/>
  <c r="T25" i="1"/>
  <c r="U25" i="1"/>
  <c r="S19" i="1"/>
  <c r="T19" i="1"/>
  <c r="U19" i="1"/>
  <c r="AA23" i="1"/>
  <c r="T23" i="1"/>
  <c r="U23" i="1"/>
  <c r="AA12" i="1"/>
  <c r="U12" i="1"/>
  <c r="T26" i="1"/>
  <c r="U26" i="1"/>
  <c r="U36" i="1"/>
  <c r="S36" i="1"/>
  <c r="X36" i="1"/>
  <c r="AA20" i="1"/>
  <c r="T20" i="1"/>
  <c r="U20" i="1"/>
  <c r="AA22" i="1"/>
  <c r="T22" i="1"/>
  <c r="U22" i="1"/>
  <c r="U11" i="1"/>
  <c r="S31" i="1"/>
  <c r="AA31" i="1"/>
  <c r="U38" i="1"/>
  <c r="S38" i="1"/>
  <c r="X38" i="1"/>
  <c r="V30" i="1"/>
  <c r="AB30" i="1"/>
  <c r="U30" i="1"/>
  <c r="Y164" i="1"/>
  <c r="S164" i="1"/>
  <c r="X164" i="1"/>
  <c r="T21" i="1"/>
  <c r="U21" i="1"/>
  <c r="Y32" i="1"/>
  <c r="S32" i="1"/>
  <c r="X32" i="1"/>
  <c r="T27" i="1"/>
  <c r="U27" i="1"/>
  <c r="Q165" i="1"/>
  <c r="S165" i="1"/>
  <c r="X165" i="1"/>
  <c r="AA16" i="1"/>
  <c r="T16" i="1"/>
  <c r="U16" i="1"/>
  <c r="Q410" i="1"/>
  <c r="Q503" i="1"/>
  <c r="Y258" i="1"/>
  <c r="AB258" i="1"/>
  <c r="V329" i="1"/>
  <c r="Y346" i="1"/>
  <c r="V346" i="1"/>
  <c r="AF1009" i="2"/>
  <c r="Q498" i="1"/>
  <c r="Q403" i="1"/>
  <c r="V260" i="1"/>
  <c r="V343" i="1"/>
  <c r="V162" i="1"/>
  <c r="W162" i="1"/>
  <c r="Z162" i="1"/>
  <c r="Q419" i="1"/>
  <c r="Q426" i="1"/>
  <c r="Y497" i="1"/>
  <c r="Q518" i="1"/>
  <c r="Y254" i="1"/>
  <c r="AB254" i="1"/>
  <c r="T251" i="1"/>
  <c r="Y401" i="1"/>
  <c r="T255" i="1"/>
  <c r="Q488" i="1"/>
  <c r="Y487" i="1"/>
  <c r="T185" i="1"/>
  <c r="Y355" i="1"/>
  <c r="V355" i="1"/>
  <c r="R161" i="1"/>
  <c r="U161" i="1"/>
  <c r="AA161" i="1"/>
  <c r="Q420" i="1"/>
  <c r="T253" i="1"/>
  <c r="Q499" i="1"/>
  <c r="T186" i="1"/>
  <c r="AA25" i="1"/>
  <c r="X25" i="1"/>
  <c r="Y25" i="1"/>
  <c r="V19" i="1"/>
  <c r="X19" i="1"/>
  <c r="Y19" i="1"/>
  <c r="V23" i="1"/>
  <c r="X23" i="1"/>
  <c r="Y23" i="1"/>
  <c r="R12" i="1"/>
  <c r="X12" i="1"/>
  <c r="Y12" i="1"/>
  <c r="S26" i="1"/>
  <c r="X26" i="1"/>
  <c r="Y26" i="1"/>
  <c r="R36" i="1"/>
  <c r="AB36" i="1"/>
  <c r="X20" i="1"/>
  <c r="Y20" i="1"/>
  <c r="X22" i="1"/>
  <c r="Y22" i="1"/>
  <c r="AA11" i="1"/>
  <c r="X11" i="1"/>
  <c r="Y11" i="1"/>
  <c r="T31" i="1"/>
  <c r="U31" i="1"/>
  <c r="AB31" i="1"/>
  <c r="R38" i="1"/>
  <c r="AB38" i="1"/>
  <c r="S30" i="1"/>
  <c r="Y30" i="1"/>
  <c r="R164" i="1"/>
  <c r="W164" i="1"/>
  <c r="AB164" i="1"/>
  <c r="X21" i="1"/>
  <c r="Y21" i="1"/>
  <c r="R32" i="1"/>
  <c r="AB32" i="1"/>
  <c r="R27" i="1"/>
  <c r="X27" i="1"/>
  <c r="Y27" i="1"/>
  <c r="R165" i="1"/>
  <c r="W165" i="1"/>
  <c r="AB165" i="1"/>
  <c r="X16" i="1"/>
  <c r="Y16" i="1"/>
  <c r="AF912" i="2"/>
  <c r="Y501" i="1"/>
  <c r="AF1035" i="2"/>
  <c r="Y381" i="1"/>
  <c r="Y380" i="1"/>
  <c r="Y379" i="1"/>
  <c r="AF1014" i="2"/>
  <c r="AF972" i="2"/>
  <c r="Y470" i="1"/>
  <c r="Y391" i="1"/>
  <c r="AF974" i="2"/>
  <c r="Y421" i="1"/>
  <c r="Y503" i="1"/>
  <c r="Y518" i="1"/>
  <c r="Y363" i="1"/>
  <c r="Y524" i="1"/>
  <c r="AF894" i="2"/>
  <c r="Y504" i="1"/>
  <c r="AF1045" i="2"/>
  <c r="AF1025" i="2"/>
  <c r="Y499" i="1"/>
  <c r="AF1034" i="2"/>
  <c r="Y426" i="1"/>
  <c r="Y525" i="1"/>
  <c r="Y420" i="1"/>
  <c r="Y498" i="1"/>
  <c r="AF1068" i="2"/>
  <c r="Y514" i="1"/>
  <c r="AF1005" i="2"/>
  <c r="AF1048" i="2"/>
  <c r="Y485" i="1"/>
  <c r="Y521" i="1"/>
  <c r="AF1038" i="2"/>
  <c r="Y493" i="1"/>
  <c r="Y364" i="1"/>
  <c r="AF923" i="2"/>
  <c r="AF921" i="2"/>
  <c r="AF1027" i="2"/>
  <c r="AF914" i="2"/>
  <c r="AF925" i="2"/>
  <c r="Y389" i="1"/>
  <c r="AF1093" i="2"/>
  <c r="AF1050" i="2"/>
  <c r="AF997" i="2"/>
  <c r="Y362" i="1"/>
  <c r="AF1007" i="2"/>
  <c r="AF1070" i="2"/>
  <c r="AF1080" i="2"/>
  <c r="AF1011" i="2"/>
  <c r="AF1043" i="2"/>
  <c r="AF1041" i="2"/>
  <c r="AF1054" i="2"/>
  <c r="Y327" i="1"/>
  <c r="Y409" i="1"/>
  <c r="Y217" i="1"/>
  <c r="AF1049" i="2"/>
  <c r="Y96" i="1"/>
  <c r="V354" i="1"/>
  <c r="AF881" i="2"/>
  <c r="AF1032" i="2"/>
  <c r="Y376" i="1"/>
  <c r="V43" i="1"/>
  <c r="Y449" i="1"/>
  <c r="Y454" i="1"/>
  <c r="V96" i="1"/>
  <c r="AF955" i="2"/>
  <c r="Y468" i="1"/>
  <c r="Y471" i="1"/>
  <c r="AF890" i="2"/>
  <c r="AF942" i="2"/>
  <c r="AF953" i="2"/>
  <c r="AF981" i="2"/>
  <c r="AF979" i="2"/>
  <c r="AF937" i="2"/>
  <c r="AF947" i="2"/>
  <c r="AF991" i="2"/>
  <c r="AF951" i="2"/>
  <c r="AF899" i="2"/>
  <c r="AF994" i="2"/>
  <c r="AF883" i="2"/>
  <c r="AF984" i="2"/>
  <c r="Y398" i="1"/>
  <c r="AF983" i="2"/>
  <c r="AF965" i="2"/>
  <c r="AF945" i="2"/>
  <c r="Y438" i="1"/>
  <c r="AF990" i="2"/>
  <c r="AF956" i="2"/>
  <c r="V217" i="1"/>
  <c r="AF901" i="2"/>
  <c r="AF954" i="2"/>
  <c r="AF975" i="2"/>
  <c r="Y491" i="1"/>
  <c r="Y374" i="1"/>
  <c r="AF1022" i="2"/>
  <c r="Y378" i="1"/>
  <c r="Y505" i="1"/>
  <c r="Y528" i="1"/>
  <c r="AF1077" i="2"/>
  <c r="Y418" i="1"/>
  <c r="AF1071" i="2"/>
  <c r="AF1055" i="2"/>
  <c r="AF893" i="2"/>
  <c r="Y385" i="1"/>
  <c r="Y507" i="1"/>
  <c r="AF913" i="2"/>
  <c r="Y453" i="1"/>
  <c r="Y436" i="1"/>
  <c r="Y480" i="1"/>
  <c r="Y392" i="1"/>
  <c r="AF977" i="2"/>
  <c r="Y42" i="1"/>
  <c r="Y465" i="1"/>
  <c r="AF892" i="2"/>
  <c r="AF904" i="2"/>
  <c r="AF905" i="2"/>
  <c r="AF1073" i="2"/>
  <c r="V325" i="1"/>
  <c r="V215" i="1"/>
  <c r="V95" i="1"/>
  <c r="Z26" i="1"/>
  <c r="AF887" i="2"/>
  <c r="AF886" i="2"/>
  <c r="AF900" i="2"/>
  <c r="AF884" i="2"/>
  <c r="Y435" i="1"/>
  <c r="AF978" i="2"/>
  <c r="AF935" i="2"/>
  <c r="AF933" i="2" s="1"/>
  <c r="AF944" i="2"/>
  <c r="AF989" i="2"/>
  <c r="AF959" i="2"/>
  <c r="V97" i="1"/>
  <c r="Y451" i="1"/>
  <c r="AF950" i="2"/>
  <c r="Y474" i="1"/>
  <c r="AF943" i="2"/>
  <c r="AF973" i="2"/>
  <c r="Y406" i="1"/>
  <c r="AF889" i="2"/>
  <c r="AF888" i="2"/>
  <c r="Z23" i="1"/>
  <c r="V363" i="1"/>
  <c r="V356" i="1"/>
  <c r="Y502" i="1"/>
  <c r="Y216" i="1"/>
  <c r="V339" i="1"/>
  <c r="V364" i="1"/>
  <c r="Z31" i="1"/>
  <c r="AF903" i="2"/>
  <c r="Z19" i="1"/>
  <c r="Z36" i="1"/>
  <c r="T38" i="1"/>
  <c r="AB15" i="1"/>
  <c r="AB14" i="1"/>
  <c r="AB18" i="1"/>
  <c r="Z38" i="1"/>
  <c r="AB37" i="1"/>
  <c r="AF926" i="2"/>
  <c r="AF1078" i="2"/>
  <c r="Y413" i="1"/>
  <c r="Y509" i="1"/>
  <c r="AF1088" i="2"/>
  <c r="V37" i="1"/>
  <c r="T37" i="1"/>
  <c r="Y37" i="1"/>
  <c r="S15" i="1"/>
  <c r="Y15" i="1"/>
  <c r="Z15" i="1"/>
  <c r="W19" i="1"/>
  <c r="W12" i="1"/>
  <c r="R14" i="1"/>
  <c r="X14" i="1"/>
  <c r="Y14" i="1"/>
  <c r="Q36" i="1"/>
  <c r="W20" i="1"/>
  <c r="Q11" i="1"/>
  <c r="W21" i="1"/>
  <c r="W27" i="1"/>
  <c r="R18" i="1"/>
  <c r="AA18" i="1"/>
  <c r="S37" i="1"/>
  <c r="X37" i="1"/>
  <c r="Q25" i="1"/>
  <c r="X15" i="1"/>
  <c r="T15" i="1"/>
  <c r="Q19" i="1"/>
  <c r="S14" i="1"/>
  <c r="W14" i="1"/>
  <c r="W26" i="1"/>
  <c r="W22" i="1"/>
  <c r="W11" i="1"/>
  <c r="T11" i="1"/>
  <c r="W38" i="1"/>
  <c r="Q30" i="1"/>
  <c r="Q164" i="1"/>
  <c r="Q21" i="1"/>
  <c r="Q32" i="1"/>
  <c r="W16" i="1"/>
  <c r="U18" i="1"/>
  <c r="Z18" i="1"/>
  <c r="V18" i="1"/>
  <c r="AF1056" i="2"/>
  <c r="Y408" i="1"/>
  <c r="Y415" i="1"/>
  <c r="AF1033" i="2"/>
  <c r="R37" i="1"/>
  <c r="W37" i="1"/>
  <c r="Q37" i="1"/>
  <c r="W25" i="1"/>
  <c r="W15" i="1"/>
  <c r="Q15" i="1"/>
  <c r="R15" i="1"/>
  <c r="W23" i="1"/>
  <c r="Z12" i="1"/>
  <c r="V14" i="1"/>
  <c r="AA14" i="1"/>
  <c r="Q14" i="1"/>
  <c r="Q26" i="1"/>
  <c r="Q20" i="1"/>
  <c r="Q22" i="1"/>
  <c r="W31" i="1"/>
  <c r="Q38" i="1"/>
  <c r="W30" i="1"/>
  <c r="W32" i="1"/>
  <c r="Q27" i="1"/>
  <c r="Q16" i="1"/>
  <c r="Y18" i="1"/>
  <c r="S18" i="1"/>
  <c r="T18" i="1"/>
  <c r="Z37" i="1"/>
  <c r="AA37" i="1"/>
  <c r="U37" i="1"/>
  <c r="AA15" i="1"/>
  <c r="U15" i="1"/>
  <c r="V15" i="1"/>
  <c r="Q23" i="1"/>
  <c r="T12" i="1"/>
  <c r="Q12" i="1"/>
  <c r="Z14" i="1"/>
  <c r="T14" i="1"/>
  <c r="U14" i="1"/>
  <c r="W36" i="1"/>
  <c r="Z11" i="1"/>
  <c r="Q31" i="1"/>
  <c r="Q18" i="1"/>
  <c r="W18" i="1"/>
  <c r="X18" i="1"/>
  <c r="Y215" i="1"/>
  <c r="AB10" i="1"/>
  <c r="AA10" i="1"/>
  <c r="Z10" i="1"/>
  <c r="Y10" i="1"/>
  <c r="X10" i="1"/>
  <c r="W10" i="1"/>
  <c r="V10" i="1"/>
  <c r="U10" i="1"/>
  <c r="T10" i="1"/>
  <c r="S10" i="1"/>
  <c r="V352" i="1"/>
  <c r="AF882" i="2"/>
  <c r="R10" i="1"/>
  <c r="Q10" i="1"/>
  <c r="V326" i="1"/>
  <c r="V337" i="1"/>
  <c r="Y325" i="1"/>
  <c r="Y390" i="1"/>
  <c r="Y356" i="1"/>
  <c r="V335" i="1"/>
  <c r="AF895" i="2"/>
  <c r="Y95" i="1"/>
  <c r="Y326" i="1"/>
  <c r="AB465" i="1"/>
  <c r="AG980" i="2"/>
  <c r="AI980" i="2" s="1"/>
  <c r="AJ980" i="2" s="1"/>
  <c r="AB474" i="1"/>
  <c r="AG989" i="2"/>
  <c r="AI989" i="2" s="1"/>
  <c r="AJ989" i="2" s="1"/>
  <c r="AB437" i="1"/>
  <c r="AG950" i="2"/>
  <c r="AI950" i="2" s="1"/>
  <c r="AJ950" i="2" s="1"/>
  <c r="AG895" i="2"/>
  <c r="AI895" i="2" s="1"/>
  <c r="AJ895" i="2" s="1"/>
  <c r="AB387" i="1"/>
  <c r="AG926" i="2"/>
  <c r="AI926" i="2" s="1"/>
  <c r="AJ926" i="2" s="1"/>
  <c r="AB378" i="1"/>
  <c r="AG917" i="2"/>
  <c r="T215" i="1"/>
  <c r="AB95" i="1"/>
  <c r="T99" i="1"/>
  <c r="AB250" i="1"/>
  <c r="AB453" i="1"/>
  <c r="AG966" i="2"/>
  <c r="AI966" i="2" s="1"/>
  <c r="AJ966" i="2" s="1"/>
  <c r="AG900" i="2"/>
  <c r="AI900" i="2" s="1"/>
  <c r="AJ900" i="2" s="1"/>
  <c r="AB392" i="1"/>
  <c r="AG931" i="2"/>
  <c r="AI931" i="2" s="1"/>
  <c r="AJ931" i="2" s="1"/>
  <c r="T374" i="1"/>
  <c r="AB480" i="1"/>
  <c r="AG995" i="2"/>
  <c r="AI995" i="2" s="1"/>
  <c r="AJ995" i="2" s="1"/>
  <c r="AB462" i="1"/>
  <c r="AG977" i="2"/>
  <c r="AB435" i="1"/>
  <c r="AG948" i="2"/>
  <c r="AI948" i="2" s="1"/>
  <c r="AJ948" i="2" s="1"/>
  <c r="T389" i="1"/>
  <c r="T184" i="1"/>
  <c r="AB463" i="1"/>
  <c r="AG978" i="2"/>
  <c r="AI978" i="2" s="1"/>
  <c r="AJ978" i="2" s="1"/>
  <c r="AB436" i="1"/>
  <c r="AG949" i="2"/>
  <c r="AI949" i="2" s="1"/>
  <c r="AJ949" i="2" s="1"/>
  <c r="AB430" i="1"/>
  <c r="AG943" i="2"/>
  <c r="AI943" i="2" s="1"/>
  <c r="AJ943" i="2" s="1"/>
  <c r="T390" i="1"/>
  <c r="T63" i="1"/>
  <c r="T219" i="1"/>
  <c r="T43" i="1"/>
  <c r="AB458" i="1"/>
  <c r="AG973" i="2"/>
  <c r="AI973" i="2" s="1"/>
  <c r="AJ973" i="2" s="1"/>
  <c r="AB452" i="1"/>
  <c r="AG965" i="2"/>
  <c r="AI965" i="2" s="1"/>
  <c r="AJ965" i="2" s="1"/>
  <c r="AB446" i="1"/>
  <c r="AG959" i="2"/>
  <c r="AI959" i="2" s="1"/>
  <c r="AJ959" i="2" s="1"/>
  <c r="T385" i="1"/>
  <c r="T256" i="1"/>
  <c r="AB459" i="1"/>
  <c r="AG974" i="2"/>
  <c r="AI974" i="2" s="1"/>
  <c r="AJ974" i="2" s="1"/>
  <c r="AB451" i="1"/>
  <c r="AG964" i="2"/>
  <c r="AB431" i="1"/>
  <c r="AG944" i="2"/>
  <c r="AI944" i="2" s="1"/>
  <c r="AJ944" i="2" s="1"/>
  <c r="AG904" i="2"/>
  <c r="AI904" i="2" s="1"/>
  <c r="AJ904" i="2" s="1"/>
  <c r="AB396" i="1"/>
  <c r="AG935" i="2"/>
  <c r="AI935" i="2" s="1"/>
  <c r="AJ935" i="2" s="1"/>
  <c r="T97" i="1"/>
  <c r="T220" i="1"/>
  <c r="AB357" i="1"/>
  <c r="AB460" i="1"/>
  <c r="AG975" i="2"/>
  <c r="AI975" i="2" s="1"/>
  <c r="AJ975" i="2" s="1"/>
  <c r="AB434" i="1"/>
  <c r="AG947" i="2"/>
  <c r="AB216" i="1"/>
  <c r="T96" i="1"/>
  <c r="AB443" i="1"/>
  <c r="AG956" i="2"/>
  <c r="AI956" i="2" s="1"/>
  <c r="AJ956" i="2" s="1"/>
  <c r="T379" i="1"/>
  <c r="AG890" i="2"/>
  <c r="AI890" i="2" s="1"/>
  <c r="AJ890" i="2" s="1"/>
  <c r="AB382" i="1"/>
  <c r="AG921" i="2"/>
  <c r="AI921" i="2" s="1"/>
  <c r="AJ921" i="2" s="1"/>
  <c r="AB477" i="1"/>
  <c r="AG992" i="2"/>
  <c r="AI992" i="2" s="1"/>
  <c r="AJ992" i="2" s="1"/>
  <c r="AB429" i="1"/>
  <c r="AG942" i="2"/>
  <c r="AB475" i="1"/>
  <c r="AG990" i="2"/>
  <c r="AI990" i="2" s="1"/>
  <c r="AJ990" i="2" s="1"/>
  <c r="AB449" i="1"/>
  <c r="AG962" i="2"/>
  <c r="AI962" i="2" s="1"/>
  <c r="AJ962" i="2" s="1"/>
  <c r="T380" i="1"/>
  <c r="T217" i="1"/>
  <c r="AB479" i="1"/>
  <c r="AG994" i="2"/>
  <c r="AB468" i="1"/>
  <c r="AG983" i="2"/>
  <c r="AB438" i="1"/>
  <c r="AG951" i="2"/>
  <c r="AI951" i="2" s="1"/>
  <c r="AJ951" i="2" s="1"/>
  <c r="AB398" i="1"/>
  <c r="AG937" i="2"/>
  <c r="AI937" i="2" s="1"/>
  <c r="AJ937" i="2" s="1"/>
  <c r="AB470" i="1"/>
  <c r="AG985" i="2"/>
  <c r="AI985" i="2" s="1"/>
  <c r="AJ985" i="2" s="1"/>
  <c r="T375" i="1"/>
  <c r="AB476" i="1"/>
  <c r="AG991" i="2"/>
  <c r="AI991" i="2" s="1"/>
  <c r="AJ991" i="2" s="1"/>
  <c r="AB442" i="1"/>
  <c r="AG955" i="2"/>
  <c r="AI955" i="2" s="1"/>
  <c r="AJ955" i="2" s="1"/>
  <c r="AB471" i="1"/>
  <c r="AG986" i="2"/>
  <c r="AI986" i="2" s="1"/>
  <c r="AJ986" i="2" s="1"/>
  <c r="AB440" i="1"/>
  <c r="AG953" i="2"/>
  <c r="AB373" i="1"/>
  <c r="AG912" i="2"/>
  <c r="AB457" i="1"/>
  <c r="AG972" i="2"/>
  <c r="AB466" i="1"/>
  <c r="AG981" i="2"/>
  <c r="AI981" i="2" s="1"/>
  <c r="AJ981" i="2" s="1"/>
  <c r="AB447" i="1"/>
  <c r="AG960" i="2"/>
  <c r="AI960" i="2" s="1"/>
  <c r="AJ960" i="2" s="1"/>
  <c r="AB454" i="1"/>
  <c r="AG967" i="2"/>
  <c r="AI967" i="2" s="1"/>
  <c r="AJ967" i="2" s="1"/>
  <c r="AG901" i="2"/>
  <c r="AI901" i="2" s="1"/>
  <c r="AJ901" i="2" s="1"/>
  <c r="AB393" i="1"/>
  <c r="AG932" i="2"/>
  <c r="AI932" i="2" s="1"/>
  <c r="AJ932" i="2" s="1"/>
  <c r="AB432" i="1"/>
  <c r="AG945" i="2"/>
  <c r="AI945" i="2" s="1"/>
  <c r="AJ945" i="2" s="1"/>
  <c r="AG899" i="2"/>
  <c r="AI899" i="2" s="1"/>
  <c r="AJ899" i="2" s="1"/>
  <c r="AB391" i="1"/>
  <c r="AG930" i="2"/>
  <c r="AI930" i="2" s="1"/>
  <c r="AJ930" i="2" s="1"/>
  <c r="AB464" i="1"/>
  <c r="AG979" i="2"/>
  <c r="AI979" i="2" s="1"/>
  <c r="AJ979" i="2" s="1"/>
  <c r="AB469" i="1"/>
  <c r="AG984" i="2"/>
  <c r="AI984" i="2" s="1"/>
  <c r="AJ984" i="2" s="1"/>
  <c r="AB441" i="1"/>
  <c r="AG954" i="2"/>
  <c r="AI954" i="2" s="1"/>
  <c r="AJ954" i="2" s="1"/>
  <c r="AB100" i="1"/>
  <c r="AB473" i="1"/>
  <c r="AG988" i="2"/>
  <c r="AB445" i="1"/>
  <c r="AG958" i="2"/>
  <c r="T384" i="1"/>
  <c r="AB395" i="1"/>
  <c r="AG934" i="2"/>
  <c r="AG905" i="2"/>
  <c r="AI905" i="2" s="1"/>
  <c r="AJ905" i="2" s="1"/>
  <c r="AB397" i="1"/>
  <c r="AG936" i="2"/>
  <c r="AI936" i="2" s="1"/>
  <c r="AJ936" i="2" s="1"/>
  <c r="T44" i="1"/>
  <c r="AB448" i="1"/>
  <c r="AG961" i="2"/>
  <c r="AI961" i="2" s="1"/>
  <c r="AJ961" i="2" s="1"/>
  <c r="T326" i="1"/>
  <c r="T337" i="1"/>
  <c r="T496" i="1"/>
  <c r="T387" i="1"/>
  <c r="T378" i="1"/>
  <c r="AB215" i="1"/>
  <c r="T95" i="1"/>
  <c r="AB99" i="1"/>
  <c r="T250" i="1"/>
  <c r="T353" i="1"/>
  <c r="T325" i="1"/>
  <c r="T342" i="1"/>
  <c r="T352" i="1"/>
  <c r="T527" i="1"/>
  <c r="T356" i="1"/>
  <c r="AB184" i="1"/>
  <c r="T354" i="1"/>
  <c r="AG884" i="2"/>
  <c r="AI884" i="2" s="1"/>
  <c r="AJ884" i="2" s="1"/>
  <c r="AB376" i="1"/>
  <c r="AG915" i="2"/>
  <c r="AI915" i="2" s="1"/>
  <c r="AJ915" i="2" s="1"/>
  <c r="T524" i="1"/>
  <c r="T523" i="1"/>
  <c r="AB63" i="1"/>
  <c r="AB219" i="1"/>
  <c r="T351" i="1"/>
  <c r="T345" i="1"/>
  <c r="AB43" i="1"/>
  <c r="T364" i="1"/>
  <c r="T507" i="1"/>
  <c r="AB256" i="1"/>
  <c r="T362" i="1"/>
  <c r="T334" i="1"/>
  <c r="T412" i="1"/>
  <c r="AB97" i="1"/>
  <c r="AB220" i="1"/>
  <c r="T357" i="1"/>
  <c r="T363" i="1"/>
  <c r="T216" i="1"/>
  <c r="AB96" i="1"/>
  <c r="T382" i="1"/>
  <c r="AG894" i="2"/>
  <c r="AI894" i="2" s="1"/>
  <c r="AJ894" i="2" s="1"/>
  <c r="AB386" i="1"/>
  <c r="AG925" i="2"/>
  <c r="AI925" i="2" s="1"/>
  <c r="AJ925" i="2" s="1"/>
  <c r="T490" i="1"/>
  <c r="AB217" i="1"/>
  <c r="T514" i="1"/>
  <c r="T401" i="1"/>
  <c r="T525" i="1"/>
  <c r="T373" i="1"/>
  <c r="T517" i="1"/>
  <c r="T417" i="1"/>
  <c r="T515" i="1"/>
  <c r="T355" i="1"/>
  <c r="T485" i="1"/>
  <c r="T520" i="1"/>
  <c r="T423" i="1"/>
  <c r="T100" i="1"/>
  <c r="T327" i="1"/>
  <c r="AB44" i="1"/>
  <c r="T350" i="1"/>
  <c r="T501" i="1"/>
  <c r="AG889" i="2"/>
  <c r="AI889" i="2" s="1"/>
  <c r="AJ889" i="2" s="1"/>
  <c r="AB381" i="1"/>
  <c r="AG920" i="2"/>
  <c r="AI920" i="2" s="1"/>
  <c r="AJ920" i="2" s="1"/>
  <c r="AF1013" i="2"/>
  <c r="Y486" i="1"/>
  <c r="AF917" i="2"/>
  <c r="AF898" i="2"/>
  <c r="AF996" i="2"/>
  <c r="AF897" i="2"/>
  <c r="T392" i="1"/>
  <c r="AG882" i="2"/>
  <c r="AI882" i="2" s="1"/>
  <c r="AJ882" i="2" s="1"/>
  <c r="AB374" i="1"/>
  <c r="AG913" i="2"/>
  <c r="AI913" i="2" s="1"/>
  <c r="AJ913" i="2" s="1"/>
  <c r="T462" i="1"/>
  <c r="AB389" i="1"/>
  <c r="AG928" i="2"/>
  <c r="T376" i="1"/>
  <c r="AG893" i="2"/>
  <c r="AI893" i="2" s="1"/>
  <c r="AJ893" i="2" s="1"/>
  <c r="AB385" i="1"/>
  <c r="AG924" i="2"/>
  <c r="AI924" i="2" s="1"/>
  <c r="AJ924" i="2" s="1"/>
  <c r="T406" i="1"/>
  <c r="T451" i="1"/>
  <c r="T396" i="1"/>
  <c r="T434" i="1"/>
  <c r="AG887" i="2"/>
  <c r="AI887" i="2" s="1"/>
  <c r="AJ887" i="2" s="1"/>
  <c r="AB379" i="1"/>
  <c r="AG918" i="2"/>
  <c r="AI918" i="2" s="1"/>
  <c r="AJ918" i="2" s="1"/>
  <c r="T429" i="1"/>
  <c r="T386" i="1"/>
  <c r="AG888" i="2"/>
  <c r="AI888" i="2" s="1"/>
  <c r="AJ888" i="2" s="1"/>
  <c r="AB380" i="1"/>
  <c r="AG919" i="2"/>
  <c r="AI919" i="2" s="1"/>
  <c r="AJ919" i="2" s="1"/>
  <c r="T479" i="1"/>
  <c r="T468" i="1"/>
  <c r="T398" i="1"/>
  <c r="AG883" i="2"/>
  <c r="AI883" i="2" s="1"/>
  <c r="AJ883" i="2" s="1"/>
  <c r="AB375" i="1"/>
  <c r="AG914" i="2"/>
  <c r="AI914" i="2" s="1"/>
  <c r="AJ914" i="2" s="1"/>
  <c r="T440" i="1"/>
  <c r="T457" i="1"/>
  <c r="T393" i="1"/>
  <c r="T391" i="1"/>
  <c r="T473" i="1"/>
  <c r="T445" i="1"/>
  <c r="AB384" i="1"/>
  <c r="AG923" i="2"/>
  <c r="T395" i="1"/>
  <c r="T397" i="1"/>
  <c r="T381" i="1"/>
  <c r="AB326" i="1"/>
  <c r="AB337" i="1"/>
  <c r="AB415" i="1"/>
  <c r="AG1046" i="2"/>
  <c r="AI1046" i="2" s="1"/>
  <c r="AJ1046" i="2" s="1"/>
  <c r="AB425" i="1"/>
  <c r="AG1056" i="2"/>
  <c r="AI1056" i="2" s="1"/>
  <c r="AJ1056" i="2" s="1"/>
  <c r="AB496" i="1"/>
  <c r="AG1013" i="2"/>
  <c r="AB486" i="1"/>
  <c r="AG1003" i="2"/>
  <c r="AI1003" i="2" s="1"/>
  <c r="AJ1003" i="2" s="1"/>
  <c r="AB353" i="1"/>
  <c r="AB408" i="1"/>
  <c r="AG1039" i="2"/>
  <c r="AI1039" i="2" s="1"/>
  <c r="AJ1039" i="2" s="1"/>
  <c r="AB402" i="1"/>
  <c r="AG1033" i="2"/>
  <c r="AI1033" i="2" s="1"/>
  <c r="AJ1033" i="2" s="1"/>
  <c r="AB502" i="1"/>
  <c r="AG1019" i="2"/>
  <c r="AI1019" i="2" s="1"/>
  <c r="AJ1019" i="2" s="1"/>
  <c r="AB481" i="1"/>
  <c r="AG996" i="2"/>
  <c r="AI996" i="2" s="1"/>
  <c r="AJ996" i="2" s="1"/>
  <c r="AB528" i="1"/>
  <c r="AG1078" i="2"/>
  <c r="AB325" i="1"/>
  <c r="AB342" i="1"/>
  <c r="AB352" i="1"/>
  <c r="AB413" i="1"/>
  <c r="AG1044" i="2"/>
  <c r="AI1044" i="2" s="1"/>
  <c r="AJ1044" i="2" s="1"/>
  <c r="AB509" i="1"/>
  <c r="AG1026" i="2"/>
  <c r="AI1026" i="2" s="1"/>
  <c r="AJ1026" i="2" s="1"/>
  <c r="AB527" i="1"/>
  <c r="AG1077" i="2"/>
  <c r="AB356" i="1"/>
  <c r="AB354" i="1"/>
  <c r="AB424" i="1"/>
  <c r="AG1055" i="2"/>
  <c r="AI1055" i="2" s="1"/>
  <c r="AJ1055" i="2" s="1"/>
  <c r="AB418" i="1"/>
  <c r="AG1049" i="2"/>
  <c r="AI1049" i="2" s="1"/>
  <c r="AJ1049" i="2" s="1"/>
  <c r="AG898" i="2"/>
  <c r="AI898" i="2" s="1"/>
  <c r="AJ898" i="2" s="1"/>
  <c r="AB390" i="1"/>
  <c r="AG929" i="2"/>
  <c r="AI929" i="2" s="1"/>
  <c r="AJ929" i="2" s="1"/>
  <c r="AG1088" i="2"/>
  <c r="AI1088" i="2" s="1"/>
  <c r="AJ1088" i="2" s="1"/>
  <c r="AB524" i="1"/>
  <c r="AG1074" i="2"/>
  <c r="AB523" i="1"/>
  <c r="AG1073" i="2"/>
  <c r="AB521" i="1"/>
  <c r="AG1071" i="2"/>
  <c r="AB351" i="1"/>
  <c r="AB345" i="1"/>
  <c r="AB364" i="1"/>
  <c r="AB409" i="1"/>
  <c r="AG1040" i="2"/>
  <c r="AI1040" i="2" s="1"/>
  <c r="AJ1040" i="2" s="1"/>
  <c r="AB507" i="1"/>
  <c r="AG1024" i="2"/>
  <c r="AB505" i="1"/>
  <c r="AG1022" i="2"/>
  <c r="AI1022" i="2" s="1"/>
  <c r="AJ1022" i="2" s="1"/>
  <c r="AB362" i="1"/>
  <c r="AB334" i="1"/>
  <c r="AB412" i="1"/>
  <c r="AG1043" i="2"/>
  <c r="AB406" i="1"/>
  <c r="AG1037" i="2"/>
  <c r="AB491" i="1"/>
  <c r="AG1008" i="2"/>
  <c r="AI1008" i="2" s="1"/>
  <c r="AJ1008" i="2" s="1"/>
  <c r="AB363" i="1"/>
  <c r="AB407" i="1"/>
  <c r="AG1038" i="2"/>
  <c r="AI1038" i="2" s="1"/>
  <c r="AJ1038" i="2" s="1"/>
  <c r="AB493" i="1"/>
  <c r="AG1010" i="2"/>
  <c r="AI1010" i="2" s="1"/>
  <c r="AJ1010" i="2" s="1"/>
  <c r="AB410" i="1"/>
  <c r="AG1041" i="2"/>
  <c r="AI1041" i="2" s="1"/>
  <c r="AJ1041" i="2" s="1"/>
  <c r="AB503" i="1"/>
  <c r="AG1020" i="2"/>
  <c r="AI1020" i="2" s="1"/>
  <c r="AJ1020" i="2" s="1"/>
  <c r="AB510" i="1"/>
  <c r="AG1027" i="2"/>
  <c r="AI1027" i="2" s="1"/>
  <c r="AJ1027" i="2" s="1"/>
  <c r="AB421" i="1"/>
  <c r="AG1052" i="2"/>
  <c r="AI1052" i="2" s="1"/>
  <c r="AJ1052" i="2" s="1"/>
  <c r="AB492" i="1"/>
  <c r="AG1009" i="2"/>
  <c r="AI1009" i="2" s="1"/>
  <c r="AJ1009" i="2" s="1"/>
  <c r="AB498" i="1"/>
  <c r="AG1015" i="2"/>
  <c r="AI1015" i="2" s="1"/>
  <c r="AJ1015" i="2" s="1"/>
  <c r="AB403" i="1"/>
  <c r="AG1034" i="2"/>
  <c r="AI1034" i="2" s="1"/>
  <c r="AJ1034" i="2" s="1"/>
  <c r="AB490" i="1"/>
  <c r="AG1007" i="2"/>
  <c r="AB419" i="1"/>
  <c r="AG1050" i="2"/>
  <c r="AI1050" i="2" s="1"/>
  <c r="AJ1050" i="2" s="1"/>
  <c r="AB426" i="1"/>
  <c r="AG1057" i="2"/>
  <c r="AI1057" i="2" s="1"/>
  <c r="AJ1057" i="2" s="1"/>
  <c r="AB497" i="1"/>
  <c r="AG1014" i="2"/>
  <c r="AI1014" i="2" s="1"/>
  <c r="AJ1014" i="2" s="1"/>
  <c r="AB514" i="1"/>
  <c r="AG1067" i="2"/>
  <c r="AB518" i="1"/>
  <c r="AG1081" i="2"/>
  <c r="AB404" i="1"/>
  <c r="AG1035" i="2"/>
  <c r="AI1035" i="2" s="1"/>
  <c r="AJ1035" i="2" s="1"/>
  <c r="AB401" i="1"/>
  <c r="AG1032" i="2"/>
  <c r="AB508" i="1"/>
  <c r="AG1025" i="2"/>
  <c r="AI1025" i="2" s="1"/>
  <c r="AJ1025" i="2" s="1"/>
  <c r="AG1093" i="2"/>
  <c r="AI1093" i="2" s="1"/>
  <c r="AJ1093" i="2" s="1"/>
  <c r="AB525" i="1"/>
  <c r="AG1075" i="2"/>
  <c r="AB517" i="1"/>
  <c r="AG1080" i="2"/>
  <c r="AB417" i="1"/>
  <c r="AG1048" i="2"/>
  <c r="AB488" i="1"/>
  <c r="AG1005" i="2"/>
  <c r="AI1005" i="2" s="1"/>
  <c r="AJ1005" i="2" s="1"/>
  <c r="AB487" i="1"/>
  <c r="AG1004" i="2"/>
  <c r="AI1004" i="2" s="1"/>
  <c r="AJ1004" i="2" s="1"/>
  <c r="AB515" i="1"/>
  <c r="AG1068" i="2"/>
  <c r="AB355" i="1"/>
  <c r="AB420" i="1"/>
  <c r="AG1051" i="2"/>
  <c r="AI1051" i="2" s="1"/>
  <c r="AJ1051" i="2" s="1"/>
  <c r="AB414" i="1"/>
  <c r="AG1045" i="2"/>
  <c r="AI1045" i="2" s="1"/>
  <c r="AJ1045" i="2" s="1"/>
  <c r="AB485" i="1"/>
  <c r="AG1002" i="2"/>
  <c r="AB520" i="1"/>
  <c r="AG1070" i="2"/>
  <c r="AB423" i="1"/>
  <c r="AG1054" i="2"/>
  <c r="AB327" i="1"/>
  <c r="AB504" i="1"/>
  <c r="AG1021" i="2"/>
  <c r="AI1021" i="2" s="1"/>
  <c r="AJ1021" i="2" s="1"/>
  <c r="AB494" i="1"/>
  <c r="AG1011" i="2"/>
  <c r="AI1011" i="2" s="1"/>
  <c r="AJ1011" i="2" s="1"/>
  <c r="AB482" i="1"/>
  <c r="AG997" i="2"/>
  <c r="AI997" i="2" s="1"/>
  <c r="AJ997" i="2" s="1"/>
  <c r="AB499" i="1"/>
  <c r="AG1016" i="2"/>
  <c r="AI1016" i="2" s="1"/>
  <c r="AJ1016" i="2" s="1"/>
  <c r="AB350" i="1"/>
  <c r="AB501" i="1"/>
  <c r="AG1018" i="2"/>
  <c r="T42" i="1"/>
  <c r="AB42" i="1"/>
  <c r="Q326" i="1"/>
  <c r="Q215" i="1"/>
  <c r="Q99" i="1"/>
  <c r="Q347" i="1"/>
  <c r="Q352" i="1"/>
  <c r="Q187" i="1"/>
  <c r="Q390" i="1"/>
  <c r="Q63" i="1"/>
  <c r="Q336" i="1"/>
  <c r="Q252" i="1"/>
  <c r="Q358" i="1"/>
  <c r="Q412" i="1"/>
  <c r="Q451" i="1"/>
  <c r="Q220" i="1"/>
  <c r="Q216" i="1"/>
  <c r="Q382" i="1"/>
  <c r="Q258" i="1"/>
  <c r="Q260" i="1"/>
  <c r="Q251" i="1"/>
  <c r="Q440" i="1"/>
  <c r="Q417" i="1"/>
  <c r="Q515" i="1"/>
  <c r="Q185" i="1"/>
  <c r="Q161" i="1"/>
  <c r="Q520" i="1"/>
  <c r="Q445" i="1"/>
  <c r="Q350" i="1"/>
  <c r="Q337" i="1"/>
  <c r="Q496" i="1"/>
  <c r="Q95" i="1"/>
  <c r="Q250" i="1"/>
  <c r="Q360" i="1"/>
  <c r="Q325" i="1"/>
  <c r="Q389" i="1"/>
  <c r="Q259" i="1"/>
  <c r="Q354" i="1"/>
  <c r="Q524" i="1"/>
  <c r="Q65" i="1"/>
  <c r="Q345" i="1"/>
  <c r="Q348" i="1"/>
  <c r="Q507" i="1"/>
  <c r="Q256" i="1"/>
  <c r="Q406" i="1"/>
  <c r="Q330" i="1"/>
  <c r="Q96" i="1"/>
  <c r="Q329" i="1"/>
  <c r="Q490" i="1"/>
  <c r="Q343" i="1"/>
  <c r="Q398" i="1"/>
  <c r="Q375" i="1"/>
  <c r="Q373" i="1"/>
  <c r="Q355" i="1"/>
  <c r="Q100" i="1"/>
  <c r="Q384" i="1"/>
  <c r="Q397" i="1"/>
  <c r="Q501" i="1"/>
  <c r="Q257" i="1"/>
  <c r="Q387" i="1"/>
  <c r="Q261" i="1"/>
  <c r="Q64" i="1"/>
  <c r="Q392" i="1"/>
  <c r="Q335" i="1"/>
  <c r="Q527" i="1"/>
  <c r="Q356" i="1"/>
  <c r="Q338" i="1"/>
  <c r="Q523" i="1"/>
  <c r="Q219" i="1"/>
  <c r="Q339" i="1"/>
  <c r="Q385" i="1"/>
  <c r="Q362" i="1"/>
  <c r="Q396" i="1"/>
  <c r="Q357" i="1"/>
  <c r="Q340" i="1"/>
  <c r="Q429" i="1"/>
  <c r="Q346" i="1"/>
  <c r="Q380" i="1"/>
  <c r="Q162" i="1"/>
  <c r="Q479" i="1"/>
  <c r="Q514" i="1"/>
  <c r="Q401" i="1"/>
  <c r="Q525" i="1"/>
  <c r="Q517" i="1"/>
  <c r="Q367" i="1"/>
  <c r="Q485" i="1"/>
  <c r="Q423" i="1"/>
  <c r="Q327" i="1"/>
  <c r="Q473" i="1"/>
  <c r="Q395" i="1"/>
  <c r="Q44" i="1"/>
  <c r="Q366" i="1"/>
  <c r="Q378" i="1"/>
  <c r="Q344" i="1"/>
  <c r="Q353" i="1"/>
  <c r="Q374" i="1"/>
  <c r="Q342" i="1"/>
  <c r="Q462" i="1"/>
  <c r="Q184" i="1"/>
  <c r="Q376" i="1"/>
  <c r="Q351" i="1"/>
  <c r="Q43" i="1"/>
  <c r="Q364" i="1"/>
  <c r="Q334" i="1"/>
  <c r="Q97" i="1"/>
  <c r="Q363" i="1"/>
  <c r="Q434" i="1"/>
  <c r="Q379" i="1"/>
  <c r="Q386" i="1"/>
  <c r="Q217" i="1"/>
  <c r="Q468" i="1"/>
  <c r="Q254" i="1"/>
  <c r="Q255" i="1"/>
  <c r="Q457" i="1"/>
  <c r="Q393" i="1"/>
  <c r="Q391" i="1"/>
  <c r="Q359" i="1"/>
  <c r="Q253" i="1"/>
  <c r="Q186" i="1"/>
  <c r="Q381" i="1"/>
  <c r="Q42" i="1"/>
  <c r="AF957" i="2" l="1"/>
  <c r="AB107" i="1"/>
  <c r="AB113" i="1" s="1"/>
  <c r="Y107" i="1"/>
  <c r="Y113" i="1" s="1"/>
  <c r="Y104" i="1"/>
  <c r="AB122" i="1"/>
  <c r="T107" i="1"/>
  <c r="T113" i="1" s="1"/>
  <c r="Y117" i="1"/>
  <c r="Q107" i="1"/>
  <c r="Q113" i="1" s="1"/>
  <c r="T122" i="1"/>
  <c r="T118" i="1"/>
  <c r="Y119" i="1"/>
  <c r="Y118" i="1"/>
  <c r="Q122" i="1"/>
  <c r="AB118" i="1"/>
  <c r="Y122" i="1"/>
  <c r="AI1078" i="2"/>
  <c r="AJ1078" i="2" s="1"/>
  <c r="AI1081" i="2"/>
  <c r="AJ1081" i="2" s="1"/>
  <c r="AI1071" i="2"/>
  <c r="AJ1071" i="2" s="1"/>
  <c r="AE59" i="2"/>
  <c r="AF1064" i="2"/>
  <c r="AG59" i="2"/>
  <c r="AF1066" i="2"/>
  <c r="AF927" i="2"/>
  <c r="AF1085" i="2"/>
  <c r="AI345" i="2"/>
  <c r="V214" i="1"/>
  <c r="AH343" i="2"/>
  <c r="AF922" i="2"/>
  <c r="AF906" i="2"/>
  <c r="AF1402" i="2" s="1"/>
  <c r="Y349" i="1"/>
  <c r="AF963" i="2"/>
  <c r="AI343" i="2"/>
  <c r="AI92" i="2"/>
  <c r="AH281" i="2"/>
  <c r="AF1072" i="2"/>
  <c r="AF1090" i="2"/>
  <c r="AH198" i="2"/>
  <c r="AE342" i="2"/>
  <c r="AF1001" i="2"/>
  <c r="AF1017" i="2"/>
  <c r="AF1023" i="2"/>
  <c r="AF911" i="2"/>
  <c r="AG414" i="2"/>
  <c r="AF1042" i="2"/>
  <c r="AH280" i="2"/>
  <c r="AF1012" i="2"/>
  <c r="AF982" i="2"/>
  <c r="Y94" i="1"/>
  <c r="Y361" i="1"/>
  <c r="AF1047" i="2"/>
  <c r="AF1006" i="2"/>
  <c r="AF1079" i="2"/>
  <c r="AF1063" i="2"/>
  <c r="AF993" i="2"/>
  <c r="AF916" i="2"/>
  <c r="AF1031" i="2"/>
  <c r="V324" i="1"/>
  <c r="AF1036" i="2"/>
  <c r="AH54" i="2"/>
  <c r="AF1069" i="2"/>
  <c r="AF1053" i="2"/>
  <c r="AI64" i="2"/>
  <c r="AF952" i="2"/>
  <c r="AF971" i="2"/>
  <c r="AF946" i="2"/>
  <c r="AF987" i="2"/>
  <c r="AF902" i="2"/>
  <c r="AF1401" i="2" s="1"/>
  <c r="AF976" i="2"/>
  <c r="AF880" i="2"/>
  <c r="AF1397" i="2" s="1"/>
  <c r="AF941" i="2"/>
  <c r="AI42" i="2"/>
  <c r="AH92" i="2"/>
  <c r="V94" i="1"/>
  <c r="AF891" i="2"/>
  <c r="AF1399" i="2" s="1"/>
  <c r="AH70" i="2"/>
  <c r="AF1065" i="2"/>
  <c r="AI45" i="2"/>
  <c r="Y324" i="1"/>
  <c r="AF1076" i="2"/>
  <c r="AH1099" i="2"/>
  <c r="AH52" i="2"/>
  <c r="AI50" i="2"/>
  <c r="AH1103" i="2"/>
  <c r="AD1466" i="2"/>
  <c r="AI53" i="2"/>
  <c r="AH64" i="2"/>
  <c r="AH50" i="2"/>
  <c r="AI70" i="2"/>
  <c r="AI1100" i="2"/>
  <c r="AI1097" i="2"/>
  <c r="AI47" i="2"/>
  <c r="AG44" i="2"/>
  <c r="V361" i="1"/>
  <c r="AH416" i="2"/>
  <c r="AH1100" i="2"/>
  <c r="AI416" i="2"/>
  <c r="AH47" i="2"/>
  <c r="AI49" i="2"/>
  <c r="AF1089" i="2"/>
  <c r="AI69" i="2"/>
  <c r="AG48" i="2"/>
  <c r="AI54" i="2"/>
  <c r="AF885" i="2"/>
  <c r="AF1398" i="2" s="1"/>
  <c r="AI1103" i="2"/>
  <c r="AH344" i="2"/>
  <c r="AH1097" i="2"/>
  <c r="AI51" i="2"/>
  <c r="AI281" i="2"/>
  <c r="AI1099" i="2"/>
  <c r="AF1466" i="2"/>
  <c r="Y214" i="1"/>
  <c r="AH51" i="2"/>
  <c r="AG40" i="2"/>
  <c r="AH49" i="2"/>
  <c r="AE48" i="2"/>
  <c r="AD48" i="2"/>
  <c r="AI52" i="2"/>
  <c r="AI65" i="2"/>
  <c r="AH72" i="2"/>
  <c r="AF44" i="2"/>
  <c r="AH53" i="2"/>
  <c r="AH46" i="2"/>
  <c r="AE1466" i="2"/>
  <c r="AI72" i="2"/>
  <c r="AH63" i="2"/>
  <c r="AF48" i="2"/>
  <c r="AI63" i="2"/>
  <c r="AI280" i="2"/>
  <c r="AI46" i="2"/>
  <c r="AG1466" i="2"/>
  <c r="AE44" i="2"/>
  <c r="AH65" i="2"/>
  <c r="AH45" i="2"/>
  <c r="AD44" i="2"/>
  <c r="AH69" i="2"/>
  <c r="AG1098" i="2"/>
  <c r="AE40" i="2"/>
  <c r="AE1098" i="2"/>
  <c r="AI43" i="2"/>
  <c r="AF1098" i="2"/>
  <c r="AH42" i="2"/>
  <c r="AH43" i="2"/>
  <c r="AF59" i="2"/>
  <c r="AI41" i="2"/>
  <c r="AF40" i="2"/>
  <c r="T94" i="1"/>
  <c r="AH41" i="2"/>
  <c r="AD40" i="2"/>
  <c r="AF896" i="2"/>
  <c r="AF1400" i="2" s="1"/>
  <c r="T324" i="1"/>
  <c r="AB349" i="1"/>
  <c r="AG1069" i="2"/>
  <c r="AI1070" i="2"/>
  <c r="AI1002" i="2"/>
  <c r="AG1001" i="2"/>
  <c r="AI1068" i="2"/>
  <c r="AG1065" i="2"/>
  <c r="AI1048" i="2"/>
  <c r="AG1047" i="2"/>
  <c r="AG1031" i="2"/>
  <c r="AI1032" i="2"/>
  <c r="AI1067" i="2"/>
  <c r="AG1066" i="2"/>
  <c r="AG1063" i="2"/>
  <c r="AI1043" i="2"/>
  <c r="AG1042" i="2"/>
  <c r="AG892" i="2"/>
  <c r="AI928" i="2"/>
  <c r="AG927" i="2"/>
  <c r="T361" i="1"/>
  <c r="AB214" i="1"/>
  <c r="AI953" i="2"/>
  <c r="AG952" i="2"/>
  <c r="AI942" i="2"/>
  <c r="AG941" i="2"/>
  <c r="AI947" i="2"/>
  <c r="AG946" i="2"/>
  <c r="AB94" i="1"/>
  <c r="AG916" i="2"/>
  <c r="AI917" i="2"/>
  <c r="AI1054" i="2"/>
  <c r="AG1053" i="2"/>
  <c r="AI1080" i="2"/>
  <c r="AG1079" i="2"/>
  <c r="AI1075" i="2"/>
  <c r="AG1090" i="2"/>
  <c r="AI1037" i="2"/>
  <c r="AG1036" i="2"/>
  <c r="AB361" i="1"/>
  <c r="AG1089" i="2"/>
  <c r="AI1089" i="2" s="1"/>
  <c r="AJ1089" i="2" s="1"/>
  <c r="AB324" i="1"/>
  <c r="AI1013" i="2"/>
  <c r="AG1012" i="2"/>
  <c r="T349" i="1"/>
  <c r="AI934" i="2"/>
  <c r="AG933" i="2"/>
  <c r="AI972" i="2"/>
  <c r="AG971" i="2"/>
  <c r="AI994" i="2"/>
  <c r="AG993" i="2"/>
  <c r="T214" i="1"/>
  <c r="AI1018" i="2"/>
  <c r="AG1017" i="2"/>
  <c r="AI1024" i="2"/>
  <c r="AG1023" i="2"/>
  <c r="AG1072" i="2"/>
  <c r="AI1073" i="2"/>
  <c r="AG1085" i="2"/>
  <c r="AI1077" i="2"/>
  <c r="AG1076" i="2"/>
  <c r="AG922" i="2"/>
  <c r="AI923" i="2"/>
  <c r="AG897" i="2"/>
  <c r="AI988" i="2"/>
  <c r="AG987" i="2"/>
  <c r="AG881" i="2"/>
  <c r="AG906" i="2"/>
  <c r="AG1402" i="2" s="1"/>
  <c r="AI983" i="2"/>
  <c r="AG982" i="2"/>
  <c r="AG963" i="2"/>
  <c r="AI964" i="2"/>
  <c r="AI977" i="2"/>
  <c r="AG976" i="2"/>
  <c r="AG886" i="2"/>
  <c r="AI1007" i="2"/>
  <c r="AG1006" i="2"/>
  <c r="AI1074" i="2"/>
  <c r="AG1064" i="2"/>
  <c r="AG903" i="2"/>
  <c r="AI958" i="2"/>
  <c r="AG957" i="2"/>
  <c r="AI912" i="2"/>
  <c r="AG911" i="2"/>
  <c r="Q94" i="1"/>
  <c r="Q119" i="1"/>
  <c r="Q104" i="1"/>
  <c r="Q324" i="1"/>
  <c r="Q117" i="1"/>
  <c r="Q214" i="1"/>
  <c r="Q361" i="1"/>
  <c r="Q151" i="1"/>
  <c r="Q118" i="1"/>
  <c r="Q349" i="1"/>
  <c r="Q114" i="1" l="1"/>
  <c r="Y114" i="1"/>
  <c r="AB114" i="1"/>
  <c r="T114" i="1"/>
  <c r="AF1396" i="2"/>
  <c r="AG433" i="2"/>
  <c r="AF1084" i="2"/>
  <c r="Y33" i="1"/>
  <c r="Y28" i="1"/>
  <c r="AG441" i="2"/>
  <c r="AF441" i="2"/>
  <c r="AG437" i="2"/>
  <c r="AF429" i="2"/>
  <c r="AE437" i="2"/>
  <c r="AE445" i="2"/>
  <c r="AF91" i="2"/>
  <c r="AG445" i="2"/>
  <c r="AG429" i="2"/>
  <c r="AG91" i="2"/>
  <c r="AE91" i="2"/>
  <c r="AF445" i="2"/>
  <c r="AF433" i="2"/>
  <c r="AF437" i="2"/>
  <c r="AE197" i="2"/>
  <c r="AD279" i="2"/>
  <c r="AF342" i="2"/>
  <c r="AG279" i="2"/>
  <c r="AH200" i="2"/>
  <c r="AH345" i="2"/>
  <c r="AH342" i="2" s="1"/>
  <c r="AD197" i="2"/>
  <c r="AD342" i="2"/>
  <c r="AH199" i="2"/>
  <c r="AH282" i="2"/>
  <c r="AH279" i="2" s="1"/>
  <c r="AI93" i="2"/>
  <c r="AF1000" i="2"/>
  <c r="AG197" i="2"/>
  <c r="AI282" i="2"/>
  <c r="AI279" i="2" s="1"/>
  <c r="AI200" i="2"/>
  <c r="AH93" i="2"/>
  <c r="AF279" i="2"/>
  <c r="Y365" i="1"/>
  <c r="Y368" i="1" s="1"/>
  <c r="AI199" i="2"/>
  <c r="AG342" i="2"/>
  <c r="AI344" i="2"/>
  <c r="AI342" i="2" s="1"/>
  <c r="AH94" i="2"/>
  <c r="AI417" i="2"/>
  <c r="AF910" i="2"/>
  <c r="AD414" i="2"/>
  <c r="AI415" i="2"/>
  <c r="AB28" i="1"/>
  <c r="T28" i="1"/>
  <c r="AJ50" i="2"/>
  <c r="AH415" i="2"/>
  <c r="AB33" i="1"/>
  <c r="T33" i="1"/>
  <c r="AE279" i="2"/>
  <c r="AF414" i="2"/>
  <c r="AE414" i="2"/>
  <c r="AH417" i="2"/>
  <c r="AF1062" i="2"/>
  <c r="AF1030" i="2"/>
  <c r="AI94" i="2"/>
  <c r="AE433" i="2"/>
  <c r="AF197" i="2"/>
  <c r="AJ54" i="2"/>
  <c r="AE441" i="2"/>
  <c r="AJ42" i="2"/>
  <c r="AJ64" i="2"/>
  <c r="AF970" i="2"/>
  <c r="AF940" i="2"/>
  <c r="AI1098" i="2"/>
  <c r="AI198" i="2"/>
  <c r="AJ198" i="2" s="1"/>
  <c r="AJ281" i="2"/>
  <c r="AJ70" i="2"/>
  <c r="AJ1097" i="2"/>
  <c r="AJ1103" i="2"/>
  <c r="AJ1099" i="2"/>
  <c r="AJ53" i="2"/>
  <c r="AJ52" i="2"/>
  <c r="AJ343" i="2"/>
  <c r="AJ1100" i="2"/>
  <c r="AJ47" i="2"/>
  <c r="AI1466" i="2"/>
  <c r="AJ416" i="2"/>
  <c r="AJ51" i="2"/>
  <c r="AJ69" i="2"/>
  <c r="AI48" i="2"/>
  <c r="AI40" i="2"/>
  <c r="AJ65" i="2"/>
  <c r="AJ280" i="2"/>
  <c r="AJ49" i="2"/>
  <c r="AH48" i="2"/>
  <c r="AJ72" i="2"/>
  <c r="AJ43" i="2"/>
  <c r="AJ45" i="2"/>
  <c r="AH44" i="2"/>
  <c r="AJ63" i="2"/>
  <c r="AI44" i="2"/>
  <c r="AJ92" i="2"/>
  <c r="AJ46" i="2"/>
  <c r="AH1466" i="2"/>
  <c r="AH1098" i="2"/>
  <c r="AI59" i="2"/>
  <c r="AH59" i="2"/>
  <c r="T365" i="1"/>
  <c r="T368" i="1" s="1"/>
  <c r="AF879" i="2"/>
  <c r="AJ41" i="2"/>
  <c r="AH40" i="2"/>
  <c r="AG1084" i="2"/>
  <c r="AG910" i="2"/>
  <c r="AI903" i="2"/>
  <c r="AG902" i="2"/>
  <c r="AG1401" i="2" s="1"/>
  <c r="AJ1074" i="2"/>
  <c r="AJ1064" i="2" s="1"/>
  <c r="AI1064" i="2"/>
  <c r="AI906" i="2"/>
  <c r="AI1402" i="2" s="1"/>
  <c r="AJ923" i="2"/>
  <c r="AJ922" i="2" s="1"/>
  <c r="AI922" i="2"/>
  <c r="AG970" i="2"/>
  <c r="AI1053" i="2"/>
  <c r="AJ1054" i="2"/>
  <c r="AJ1053" i="2" s="1"/>
  <c r="AI916" i="2"/>
  <c r="AJ917" i="2"/>
  <c r="AJ916" i="2" s="1"/>
  <c r="AJ942" i="2"/>
  <c r="AJ941" i="2" s="1"/>
  <c r="AI941" i="2"/>
  <c r="AJ1043" i="2"/>
  <c r="AJ1042" i="2" s="1"/>
  <c r="AI1042" i="2"/>
  <c r="AJ1048" i="2"/>
  <c r="AJ1047" i="2" s="1"/>
  <c r="AI1047" i="2"/>
  <c r="AJ1002" i="2"/>
  <c r="AJ1001" i="2" s="1"/>
  <c r="AI1001" i="2"/>
  <c r="AJ912" i="2"/>
  <c r="AJ911" i="2" s="1"/>
  <c r="AI911" i="2"/>
  <c r="AI886" i="2"/>
  <c r="AG885" i="2"/>
  <c r="AG1398" i="2" s="1"/>
  <c r="AJ964" i="2"/>
  <c r="AJ963" i="2" s="1"/>
  <c r="AI963" i="2"/>
  <c r="AI897" i="2"/>
  <c r="AG896" i="2"/>
  <c r="AG1400" i="2" s="1"/>
  <c r="AJ1024" i="2"/>
  <c r="AJ1023" i="2" s="1"/>
  <c r="AI1023" i="2"/>
  <c r="AI971" i="2"/>
  <c r="AJ972" i="2"/>
  <c r="AJ971" i="2" s="1"/>
  <c r="AJ1080" i="2"/>
  <c r="AJ1079" i="2" s="1"/>
  <c r="AI1079" i="2"/>
  <c r="AG1062" i="2"/>
  <c r="AJ1032" i="2"/>
  <c r="AJ1031" i="2" s="1"/>
  <c r="AI1031" i="2"/>
  <c r="AJ1070" i="2"/>
  <c r="AJ1069" i="2" s="1"/>
  <c r="AI1069" i="2"/>
  <c r="AJ1007" i="2"/>
  <c r="AJ1006" i="2" s="1"/>
  <c r="AI1006" i="2"/>
  <c r="AJ977" i="2"/>
  <c r="AJ976" i="2" s="1"/>
  <c r="AI976" i="2"/>
  <c r="AJ1077" i="2"/>
  <c r="AJ1076" i="2" s="1"/>
  <c r="AI1076" i="2"/>
  <c r="AI1085" i="2"/>
  <c r="AJ1073" i="2"/>
  <c r="AI1072" i="2"/>
  <c r="AJ1013" i="2"/>
  <c r="AJ1012" i="2" s="1"/>
  <c r="AI1012" i="2"/>
  <c r="AJ1037" i="2"/>
  <c r="AJ1036" i="2" s="1"/>
  <c r="AI1036" i="2"/>
  <c r="AI946" i="2"/>
  <c r="AJ947" i="2"/>
  <c r="AJ946" i="2" s="1"/>
  <c r="AJ953" i="2"/>
  <c r="AJ952" i="2" s="1"/>
  <c r="AI952" i="2"/>
  <c r="AJ928" i="2"/>
  <c r="AJ927" i="2" s="1"/>
  <c r="AI927" i="2"/>
  <c r="AI892" i="2"/>
  <c r="AG891" i="2"/>
  <c r="AG1399" i="2" s="1"/>
  <c r="AG1030" i="2"/>
  <c r="AI1065" i="2"/>
  <c r="AJ1068" i="2"/>
  <c r="AJ958" i="2"/>
  <c r="AJ957" i="2" s="1"/>
  <c r="AI957" i="2"/>
  <c r="AJ983" i="2"/>
  <c r="AJ982" i="2" s="1"/>
  <c r="AI982" i="2"/>
  <c r="AI881" i="2"/>
  <c r="AG880" i="2"/>
  <c r="AG1397" i="2" s="1"/>
  <c r="AJ988" i="2"/>
  <c r="AJ987" i="2" s="1"/>
  <c r="AI987" i="2"/>
  <c r="AJ1018" i="2"/>
  <c r="AJ1017" i="2" s="1"/>
  <c r="AI1017" i="2"/>
  <c r="AJ994" i="2"/>
  <c r="AJ993" i="2" s="1"/>
  <c r="AI993" i="2"/>
  <c r="AJ934" i="2"/>
  <c r="AJ933" i="2" s="1"/>
  <c r="AI933" i="2"/>
  <c r="AJ1075" i="2"/>
  <c r="AJ1090" i="2" s="1"/>
  <c r="AI1090" i="2"/>
  <c r="AG940" i="2"/>
  <c r="AI1066" i="2"/>
  <c r="AI1063" i="2"/>
  <c r="AJ1067" i="2"/>
  <c r="AG1000" i="2"/>
  <c r="AB365" i="1"/>
  <c r="AB368" i="1" s="1"/>
  <c r="Q365" i="1"/>
  <c r="Q368" i="1" s="1"/>
  <c r="AG1396" i="2" l="1"/>
  <c r="AH387" i="2"/>
  <c r="AD379" i="2"/>
  <c r="AI1084" i="2"/>
  <c r="AF426" i="2"/>
  <c r="AJ417" i="2"/>
  <c r="AE429" i="2"/>
  <c r="AH429" i="2" s="1"/>
  <c r="AH197" i="2"/>
  <c r="AI433" i="2"/>
  <c r="AJ345" i="2"/>
  <c r="AJ200" i="2"/>
  <c r="AI441" i="2"/>
  <c r="AI437" i="2"/>
  <c r="AJ199" i="2"/>
  <c r="AI429" i="2"/>
  <c r="AJ344" i="2"/>
  <c r="AJ282" i="2"/>
  <c r="AJ279" i="2" s="1"/>
  <c r="AI91" i="2"/>
  <c r="AH445" i="2"/>
  <c r="AH91" i="2"/>
  <c r="AJ93" i="2"/>
  <c r="AH437" i="2"/>
  <c r="AI414" i="2"/>
  <c r="AJ415" i="2"/>
  <c r="AI445" i="2"/>
  <c r="AI197" i="2"/>
  <c r="AH414" i="2"/>
  <c r="AJ94" i="2"/>
  <c r="AH433" i="2"/>
  <c r="AH441" i="2"/>
  <c r="AJ1098" i="2"/>
  <c r="AE426" i="2"/>
  <c r="AJ1466" i="2"/>
  <c r="AJ48" i="2"/>
  <c r="AJ59" i="2"/>
  <c r="AJ40" i="2"/>
  <c r="AJ44" i="2"/>
  <c r="AJ1065" i="2"/>
  <c r="AI1062" i="2"/>
  <c r="AI880" i="2"/>
  <c r="AI1397" i="2" s="1"/>
  <c r="AJ881" i="2"/>
  <c r="AJ880" i="2" s="1"/>
  <c r="AJ1397" i="2" s="1"/>
  <c r="AJ1085" i="2"/>
  <c r="AJ1084" i="2" s="1"/>
  <c r="AJ1072" i="2"/>
  <c r="AJ1030" i="2"/>
  <c r="AJ970" i="2"/>
  <c r="AI1000" i="2"/>
  <c r="AJ1063" i="2"/>
  <c r="AJ1066" i="2"/>
  <c r="AI891" i="2"/>
  <c r="AI1399" i="2" s="1"/>
  <c r="AJ892" i="2"/>
  <c r="AJ891" i="2" s="1"/>
  <c r="AJ1399" i="2" s="1"/>
  <c r="AI970" i="2"/>
  <c r="AJ897" i="2"/>
  <c r="AJ896" i="2" s="1"/>
  <c r="AJ1400" i="2" s="1"/>
  <c r="AI896" i="2"/>
  <c r="AI1400" i="2" s="1"/>
  <c r="AI885" i="2"/>
  <c r="AI1398" i="2" s="1"/>
  <c r="AJ886" i="2"/>
  <c r="AJ885" i="2" s="1"/>
  <c r="AJ1398" i="2" s="1"/>
  <c r="AJ1000" i="2"/>
  <c r="AI940" i="2"/>
  <c r="AI910" i="2"/>
  <c r="AJ940" i="2"/>
  <c r="AJ906" i="2"/>
  <c r="AJ1402" i="2" s="1"/>
  <c r="AG879" i="2"/>
  <c r="AI1030" i="2"/>
  <c r="AJ910" i="2"/>
  <c r="AJ903" i="2"/>
  <c r="AJ902" i="2" s="1"/>
  <c r="AJ1401" i="2" s="1"/>
  <c r="AI902" i="2"/>
  <c r="AI1401" i="2" s="1"/>
  <c r="Q28" i="1"/>
  <c r="Q33" i="1"/>
  <c r="AI1396" i="2" l="1"/>
  <c r="AJ1396" i="2"/>
  <c r="AJ387" i="2"/>
  <c r="AJ379" i="2" s="1"/>
  <c r="AH379" i="2"/>
  <c r="AJ445" i="2"/>
  <c r="AJ414" i="2"/>
  <c r="AJ429" i="2"/>
  <c r="AG426" i="2"/>
  <c r="AI426" i="2" s="1"/>
  <c r="AJ441" i="2"/>
  <c r="AJ342" i="2"/>
  <c r="AJ433" i="2"/>
  <c r="AJ197" i="2"/>
  <c r="AJ437" i="2"/>
  <c r="AJ91" i="2"/>
  <c r="AJ1062" i="2"/>
  <c r="AJ879" i="2"/>
  <c r="AI879" i="2"/>
  <c r="AH426" i="2" l="1"/>
  <c r="AJ426" i="2" s="1"/>
  <c r="Y280" i="1" l="1"/>
  <c r="Y89" i="1"/>
  <c r="Y314" i="1"/>
  <c r="Y68" i="1"/>
  <c r="Y78" i="1"/>
  <c r="Y244" i="1"/>
  <c r="Y56" i="1"/>
  <c r="Y198" i="1"/>
  <c r="Y207" i="1"/>
  <c r="Y288" i="1"/>
  <c r="Y171" i="1"/>
  <c r="Y300" i="1"/>
  <c r="Y213" i="1"/>
  <c r="Y192" i="1"/>
  <c r="Y173" i="1"/>
  <c r="Y298" i="1"/>
  <c r="AB50" i="1"/>
  <c r="T50" i="1"/>
  <c r="Y179" i="1"/>
  <c r="Y182" i="1"/>
  <c r="T70" i="1"/>
  <c r="T57" i="1"/>
  <c r="Y299" i="1"/>
  <c r="T302" i="1"/>
  <c r="Y190" i="1"/>
  <c r="AB190" i="1"/>
  <c r="Y246" i="1"/>
  <c r="T246" i="1"/>
  <c r="Y238" i="1"/>
  <c r="Y319" i="1"/>
  <c r="T303" i="1"/>
  <c r="T61" i="1"/>
  <c r="AB310" i="1"/>
  <c r="T276" i="1"/>
  <c r="AB322" i="1"/>
  <c r="T322" i="1"/>
  <c r="AB203" i="1"/>
  <c r="AB205" i="1"/>
  <c r="AB180" i="1"/>
  <c r="AB87" i="1"/>
  <c r="AB93" i="1"/>
  <c r="AB88" i="1"/>
  <c r="AB208" i="1"/>
  <c r="AB178" i="1"/>
  <c r="Y297" i="1"/>
  <c r="AB69" i="1"/>
  <c r="AB92" i="1"/>
  <c r="AB82" i="1"/>
  <c r="AB209" i="1"/>
  <c r="AB182" i="1"/>
  <c r="AB239" i="1"/>
  <c r="AB72" i="1"/>
  <c r="AB238" i="1"/>
  <c r="AB91" i="1"/>
  <c r="AB173" i="1"/>
  <c r="Y241" i="1"/>
  <c r="AB192" i="1"/>
  <c r="AB198" i="1"/>
  <c r="Y290" i="1"/>
  <c r="AB83" i="1"/>
  <c r="AB211" i="1"/>
  <c r="Y321" i="1"/>
  <c r="AB213" i="1"/>
  <c r="Y60" i="1"/>
  <c r="Y248" i="1"/>
  <c r="AB89" i="1"/>
  <c r="AB171" i="1"/>
  <c r="AB207" i="1"/>
  <c r="AB244" i="1"/>
  <c r="AB78" i="1"/>
  <c r="Y283" i="1"/>
  <c r="T283" i="1"/>
  <c r="Y307" i="1"/>
  <c r="T307" i="1"/>
  <c r="T52" i="1"/>
  <c r="T296" i="1"/>
  <c r="T312" i="1"/>
  <c r="Y281" i="1"/>
  <c r="Y287" i="1"/>
  <c r="T287" i="1"/>
  <c r="T316" i="1"/>
  <c r="T284" i="1"/>
  <c r="T240" i="1"/>
  <c r="Y315" i="1"/>
  <c r="T315" i="1"/>
  <c r="T299" i="1"/>
  <c r="T318" i="1"/>
  <c r="T297" i="1"/>
  <c r="T310" i="1"/>
  <c r="T292" i="1"/>
  <c r="Y61" i="1"/>
  <c r="Y303" i="1"/>
  <c r="Y285" i="1"/>
  <c r="T306" i="1"/>
  <c r="Y247" i="1"/>
  <c r="T247" i="1"/>
  <c r="Y242" i="1"/>
  <c r="Y277" i="1"/>
  <c r="Y239" i="1"/>
  <c r="T319" i="1"/>
  <c r="T304" i="1"/>
  <c r="Y279" i="1"/>
  <c r="T279" i="1"/>
  <c r="T308" i="1"/>
  <c r="T238" i="1"/>
  <c r="Y269" i="1"/>
  <c r="T298" i="1"/>
  <c r="Y311" i="1"/>
  <c r="T311" i="1"/>
  <c r="AB68" i="1"/>
  <c r="T290" i="1"/>
  <c r="Y295" i="1"/>
  <c r="T295" i="1"/>
  <c r="Y48" i="1"/>
  <c r="T48" i="1"/>
  <c r="T56" i="1"/>
  <c r="T321" i="1"/>
  <c r="T314" i="1"/>
  <c r="T60" i="1"/>
  <c r="T248" i="1"/>
  <c r="T288" i="1"/>
  <c r="Y275" i="1"/>
  <c r="T275" i="1"/>
  <c r="Y323" i="1"/>
  <c r="T323" i="1"/>
  <c r="T300" i="1"/>
  <c r="T280" i="1"/>
  <c r="Y273" i="1"/>
  <c r="T244" i="1"/>
  <c r="Y52" i="1"/>
  <c r="T203" i="1"/>
  <c r="T205" i="1"/>
  <c r="T180" i="1"/>
  <c r="Y276" i="1"/>
  <c r="T87" i="1"/>
  <c r="Y284" i="1"/>
  <c r="T93" i="1"/>
  <c r="T88" i="1"/>
  <c r="AB240" i="1"/>
  <c r="Y240" i="1"/>
  <c r="Y57" i="1"/>
  <c r="T208" i="1"/>
  <c r="T178" i="1"/>
  <c r="T245" i="1"/>
  <c r="Y292" i="1"/>
  <c r="T69" i="1"/>
  <c r="T92" i="1"/>
  <c r="T82" i="1"/>
  <c r="T209" i="1"/>
  <c r="T182" i="1"/>
  <c r="AB242" i="1"/>
  <c r="T239" i="1"/>
  <c r="T72" i="1"/>
  <c r="T91" i="1"/>
  <c r="T190" i="1"/>
  <c r="T173" i="1"/>
  <c r="T192" i="1"/>
  <c r="T198" i="1"/>
  <c r="T83" i="1"/>
  <c r="T211" i="1"/>
  <c r="T213" i="1"/>
  <c r="T89" i="1"/>
  <c r="T171" i="1"/>
  <c r="T207" i="1"/>
  <c r="T78" i="1"/>
  <c r="AB283" i="1"/>
  <c r="AB307" i="1"/>
  <c r="AB52" i="1"/>
  <c r="Y296" i="1"/>
  <c r="AB296" i="1"/>
  <c r="Y322" i="1"/>
  <c r="Y312" i="1"/>
  <c r="AB312" i="1"/>
  <c r="Y203" i="1"/>
  <c r="AB281" i="1"/>
  <c r="Y205" i="1"/>
  <c r="Y180" i="1"/>
  <c r="AB276" i="1"/>
  <c r="AB287" i="1"/>
  <c r="Y87" i="1"/>
  <c r="Y316" i="1"/>
  <c r="AB316" i="1"/>
  <c r="AB284" i="1"/>
  <c r="Y93" i="1"/>
  <c r="Y88" i="1"/>
  <c r="Y302" i="1"/>
  <c r="AB302" i="1"/>
  <c r="AB315" i="1"/>
  <c r="AB299" i="1"/>
  <c r="AB57" i="1"/>
  <c r="Y208" i="1"/>
  <c r="Y178" i="1"/>
  <c r="Y318" i="1"/>
  <c r="AB318" i="1"/>
  <c r="AB297" i="1"/>
  <c r="Y245" i="1"/>
  <c r="AB245" i="1"/>
  <c r="Y310" i="1"/>
  <c r="AB292" i="1"/>
  <c r="Y69" i="1"/>
  <c r="AB61" i="1"/>
  <c r="Y92" i="1"/>
  <c r="AB303" i="1"/>
  <c r="Y82" i="1"/>
  <c r="Y209" i="1"/>
  <c r="AB285" i="1"/>
  <c r="Y306" i="1"/>
  <c r="AB306" i="1"/>
  <c r="AB247" i="1"/>
  <c r="T242" i="1"/>
  <c r="AB277" i="1"/>
  <c r="AB319" i="1"/>
  <c r="Y304" i="1"/>
  <c r="AB304" i="1"/>
  <c r="AB279" i="1"/>
  <c r="Y72" i="1"/>
  <c r="Y308" i="1"/>
  <c r="AB308" i="1"/>
  <c r="Y91" i="1"/>
  <c r="AB269" i="1"/>
  <c r="AB246" i="1"/>
  <c r="AB298" i="1"/>
  <c r="AB311" i="1"/>
  <c r="T68" i="1"/>
  <c r="AB241" i="1"/>
  <c r="T241" i="1"/>
  <c r="AB290" i="1"/>
  <c r="Y83" i="1"/>
  <c r="AB295" i="1"/>
  <c r="AB48" i="1"/>
  <c r="Y211" i="1"/>
  <c r="AB56" i="1"/>
  <c r="AB321" i="1"/>
  <c r="AB314" i="1"/>
  <c r="AB60" i="1"/>
  <c r="AB248" i="1"/>
  <c r="AB288" i="1"/>
  <c r="AB275" i="1"/>
  <c r="AB323" i="1"/>
  <c r="AB300" i="1"/>
  <c r="AB280" i="1"/>
  <c r="AB273" i="1"/>
  <c r="AB189" i="1"/>
  <c r="T235" i="1"/>
  <c r="AB76" i="1"/>
  <c r="AB226" i="1"/>
  <c r="AB200" i="1"/>
  <c r="AB77" i="1"/>
  <c r="AB194" i="1"/>
  <c r="AB230" i="1"/>
  <c r="AB233" i="1"/>
  <c r="AB229" i="1"/>
  <c r="AB195" i="1"/>
  <c r="AB228" i="1"/>
  <c r="AB75" i="1"/>
  <c r="AB224" i="1"/>
  <c r="AB193" i="1"/>
  <c r="AB74" i="1"/>
  <c r="AB90" i="1"/>
  <c r="AB175" i="1"/>
  <c r="AB227" i="1"/>
  <c r="AB73" i="1"/>
  <c r="AB86" i="1"/>
  <c r="AB177" i="1"/>
  <c r="AB170" i="1"/>
  <c r="AB243" i="1"/>
  <c r="AB197" i="1"/>
  <c r="AB196" i="1"/>
  <c r="AB225" i="1"/>
  <c r="AB232" i="1"/>
  <c r="AB237" i="1"/>
  <c r="AB202" i="1"/>
  <c r="AB231" i="1"/>
  <c r="AB79" i="1"/>
  <c r="AB210" i="1"/>
  <c r="AB81" i="1"/>
  <c r="AB206" i="1"/>
  <c r="AB289" i="1"/>
  <c r="AB271" i="1"/>
  <c r="T289" i="1"/>
  <c r="T271" i="1"/>
  <c r="T263" i="1"/>
  <c r="T281" i="1"/>
  <c r="T309" i="1"/>
  <c r="T305" i="1"/>
  <c r="T267" i="1"/>
  <c r="T47" i="1"/>
  <c r="T291" i="1"/>
  <c r="T278" i="1"/>
  <c r="T317" i="1"/>
  <c r="T265" i="1"/>
  <c r="T270" i="1"/>
  <c r="T285" i="1"/>
  <c r="T53" i="1"/>
  <c r="T266" i="1"/>
  <c r="T277" i="1"/>
  <c r="T301" i="1"/>
  <c r="T269" i="1"/>
  <c r="T294" i="1"/>
  <c r="T313" i="1"/>
  <c r="T274" i="1"/>
  <c r="T55" i="1"/>
  <c r="T264" i="1"/>
  <c r="T268" i="1"/>
  <c r="T272" i="1"/>
  <c r="T320" i="1"/>
  <c r="T282" i="1"/>
  <c r="T49" i="1"/>
  <c r="T243" i="1"/>
  <c r="T286" i="1"/>
  <c r="T273" i="1"/>
  <c r="T67" i="1"/>
  <c r="T189" i="1"/>
  <c r="AB235" i="1"/>
  <c r="T76" i="1"/>
  <c r="T226" i="1"/>
  <c r="T200" i="1"/>
  <c r="T77" i="1"/>
  <c r="T194" i="1"/>
  <c r="T230" i="1"/>
  <c r="T233" i="1"/>
  <c r="T229" i="1"/>
  <c r="T195" i="1"/>
  <c r="T228" i="1"/>
  <c r="T75" i="1"/>
  <c r="T224" i="1"/>
  <c r="T193" i="1"/>
  <c r="T74" i="1"/>
  <c r="T90" i="1"/>
  <c r="T175" i="1"/>
  <c r="T227" i="1"/>
  <c r="T73" i="1"/>
  <c r="AB234" i="1"/>
  <c r="T234" i="1"/>
  <c r="T86" i="1"/>
  <c r="T177" i="1"/>
  <c r="T170" i="1"/>
  <c r="T197" i="1"/>
  <c r="T196" i="1"/>
  <c r="T225" i="1"/>
  <c r="T232" i="1"/>
  <c r="T237" i="1"/>
  <c r="T202" i="1"/>
  <c r="T231" i="1"/>
  <c r="T79" i="1"/>
  <c r="T210" i="1"/>
  <c r="T81" i="1"/>
  <c r="T206" i="1"/>
  <c r="AB263" i="1"/>
  <c r="AB309" i="1"/>
  <c r="AB305" i="1"/>
  <c r="AB267" i="1"/>
  <c r="AB47" i="1"/>
  <c r="AB291" i="1"/>
  <c r="AB278" i="1"/>
  <c r="AB317" i="1"/>
  <c r="AB265" i="1"/>
  <c r="AB270" i="1"/>
  <c r="AB53" i="1"/>
  <c r="AB266" i="1"/>
  <c r="AB301" i="1"/>
  <c r="AB294" i="1"/>
  <c r="AB313" i="1"/>
  <c r="AB274" i="1"/>
  <c r="AB55" i="1"/>
  <c r="AB264" i="1"/>
  <c r="AB268" i="1"/>
  <c r="AB272" i="1"/>
  <c r="AB320" i="1"/>
  <c r="AB282" i="1"/>
  <c r="AB49" i="1"/>
  <c r="AB286" i="1"/>
  <c r="AB67" i="1"/>
  <c r="V408" i="1"/>
  <c r="AE1039" i="2"/>
  <c r="AH1039" i="2" s="1"/>
  <c r="V306" i="1"/>
  <c r="V403" i="1"/>
  <c r="AE1034" i="2"/>
  <c r="AH1034" i="2" s="1"/>
  <c r="V211" i="1"/>
  <c r="Y301" i="1"/>
  <c r="Y196" i="1"/>
  <c r="V410" i="1"/>
  <c r="AE1041" i="2"/>
  <c r="AH1041" i="2" s="1"/>
  <c r="V470" i="1"/>
  <c r="AE985" i="2"/>
  <c r="AH985" i="2" s="1"/>
  <c r="V173" i="1"/>
  <c r="V378" i="1"/>
  <c r="AE917" i="2"/>
  <c r="V404" i="1"/>
  <c r="AE1035" i="2"/>
  <c r="AH1035" i="2" s="1"/>
  <c r="V289" i="1"/>
  <c r="Q205" i="1"/>
  <c r="V265" i="1"/>
  <c r="V420" i="1"/>
  <c r="AE1051" i="2"/>
  <c r="AH1051" i="2" s="1"/>
  <c r="V83" i="1"/>
  <c r="V524" i="1"/>
  <c r="AE1074" i="2"/>
  <c r="Q87" i="1"/>
  <c r="V503" i="1"/>
  <c r="AE1020" i="2"/>
  <c r="AH1020" i="2" s="1"/>
  <c r="V72" i="1"/>
  <c r="V240" i="1"/>
  <c r="V521" i="1"/>
  <c r="AE1071" i="2"/>
  <c r="V454" i="1"/>
  <c r="AE967" i="2"/>
  <c r="AH967" i="2" s="1"/>
  <c r="V417" i="1"/>
  <c r="AE1048" i="2"/>
  <c r="Q226" i="1"/>
  <c r="V493" i="1"/>
  <c r="AE1010" i="2"/>
  <c r="AH1010" i="2" s="1"/>
  <c r="Y229" i="1"/>
  <c r="V270" i="1"/>
  <c r="V430" i="1"/>
  <c r="AE943" i="2"/>
  <c r="AH943" i="2" s="1"/>
  <c r="Q302" i="1"/>
  <c r="V206" i="1"/>
  <c r="V382" i="1"/>
  <c r="AE921" i="2"/>
  <c r="AH921" i="2" s="1"/>
  <c r="Y224" i="1"/>
  <c r="Q291" i="1"/>
  <c r="Q299" i="1"/>
  <c r="V88" i="1"/>
  <c r="Y313" i="1"/>
  <c r="Q278" i="1"/>
  <c r="V310" i="1"/>
  <c r="V396" i="1"/>
  <c r="AE935" i="2"/>
  <c r="AH935" i="2" s="1"/>
  <c r="V316" i="1"/>
  <c r="Q245" i="1"/>
  <c r="V490" i="1"/>
  <c r="AE1007" i="2"/>
  <c r="Q310" i="1"/>
  <c r="Q61" i="1"/>
  <c r="Q92" i="1"/>
  <c r="Y73" i="1"/>
  <c r="Q195" i="1"/>
  <c r="V81" i="1"/>
  <c r="V318" i="1"/>
  <c r="V499" i="1"/>
  <c r="AE1016" i="2"/>
  <c r="AH1016" i="2" s="1"/>
  <c r="V238" i="1"/>
  <c r="Y243" i="1"/>
  <c r="V406" i="1"/>
  <c r="AE1037" i="2"/>
  <c r="V392" i="1"/>
  <c r="AE931" i="2"/>
  <c r="AH931" i="2" s="1"/>
  <c r="V279" i="1"/>
  <c r="Q53" i="1"/>
  <c r="Q277" i="1"/>
  <c r="Y195" i="1"/>
  <c r="Y289" i="1"/>
  <c r="V452" i="1"/>
  <c r="AE965" i="2"/>
  <c r="AH965" i="2" s="1"/>
  <c r="Q304" i="1"/>
  <c r="Y305" i="1"/>
  <c r="V494" i="1"/>
  <c r="AE1011" i="2"/>
  <c r="AH1011" i="2" s="1"/>
  <c r="V274" i="1"/>
  <c r="V423" i="1"/>
  <c r="AE1054" i="2"/>
  <c r="Q308" i="1"/>
  <c r="Q301" i="1"/>
  <c r="V275" i="1"/>
  <c r="Q91" i="1"/>
  <c r="Q269" i="1"/>
  <c r="Q246" i="1"/>
  <c r="V412" i="1"/>
  <c r="AE1043" i="2"/>
  <c r="V290" i="1"/>
  <c r="Y197" i="1"/>
  <c r="Y67" i="1"/>
  <c r="V245" i="1"/>
  <c r="Y177" i="1"/>
  <c r="Y90" i="1"/>
  <c r="Q274" i="1"/>
  <c r="Y210" i="1"/>
  <c r="V414" i="1"/>
  <c r="AE1045" i="2"/>
  <c r="AH1045" i="2" s="1"/>
  <c r="Y47" i="1"/>
  <c r="Q268" i="1"/>
  <c r="V458" i="1"/>
  <c r="AE973" i="2"/>
  <c r="AH973" i="2" s="1"/>
  <c r="Q198" i="1"/>
  <c r="V210" i="1"/>
  <c r="V307" i="1"/>
  <c r="V263" i="1"/>
  <c r="V190" i="1"/>
  <c r="V480" i="1"/>
  <c r="AE995" i="2"/>
  <c r="AH995" i="2" s="1"/>
  <c r="Q234" i="1"/>
  <c r="V86" i="1"/>
  <c r="Y233" i="1"/>
  <c r="V397" i="1"/>
  <c r="AE936" i="2"/>
  <c r="AH936" i="2" s="1"/>
  <c r="V525" i="1"/>
  <c r="AE1075" i="2"/>
  <c r="Q282" i="1"/>
  <c r="V171" i="1"/>
  <c r="Q49" i="1"/>
  <c r="Q243" i="1"/>
  <c r="V196" i="1"/>
  <c r="V269" i="1"/>
  <c r="Q60" i="1"/>
  <c r="V322" i="1"/>
  <c r="Y263" i="1"/>
  <c r="Y266" i="1"/>
  <c r="V323" i="1"/>
  <c r="Q202" i="1"/>
  <c r="Q89" i="1"/>
  <c r="V266" i="1"/>
  <c r="Q171" i="1"/>
  <c r="V407" i="1"/>
  <c r="AE1038" i="2"/>
  <c r="AH1038" i="2" s="1"/>
  <c r="V520" i="1"/>
  <c r="AE1070" i="2"/>
  <c r="Q275" i="1"/>
  <c r="V376" i="1"/>
  <c r="AE915" i="2"/>
  <c r="AH915" i="2" s="1"/>
  <c r="V264" i="1"/>
  <c r="V305" i="1"/>
  <c r="V401" i="1"/>
  <c r="AE1032" i="2"/>
  <c r="V469" i="1"/>
  <c r="AE984" i="2"/>
  <c r="AH984" i="2" s="1"/>
  <c r="V282" i="1"/>
  <c r="Q244" i="1"/>
  <c r="V479" i="1"/>
  <c r="AE994" i="2"/>
  <c r="V475" i="1"/>
  <c r="AE990" i="2"/>
  <c r="AH990" i="2" s="1"/>
  <c r="V436" i="1"/>
  <c r="AE949" i="2"/>
  <c r="AH949" i="2" s="1"/>
  <c r="Q271" i="1"/>
  <c r="V462" i="1"/>
  <c r="AE977" i="2"/>
  <c r="V418" i="1"/>
  <c r="AE1049" i="2"/>
  <c r="AH1049" i="2" s="1"/>
  <c r="V314" i="1"/>
  <c r="Q307" i="1"/>
  <c r="Q189" i="1"/>
  <c r="Q52" i="1"/>
  <c r="V413" i="1"/>
  <c r="AE1044" i="2"/>
  <c r="AH1044" i="2" s="1"/>
  <c r="V189" i="1"/>
  <c r="Q322" i="1"/>
  <c r="V429" i="1"/>
  <c r="AE942" i="2"/>
  <c r="V170" i="1"/>
  <c r="V277" i="1"/>
  <c r="V248" i="1"/>
  <c r="Q180" i="1"/>
  <c r="V431" i="1"/>
  <c r="AE944" i="2"/>
  <c r="AH944" i="2" s="1"/>
  <c r="V246" i="1"/>
  <c r="Q305" i="1"/>
  <c r="Y268" i="1"/>
  <c r="Q316" i="1"/>
  <c r="V197" i="1"/>
  <c r="V380" i="1"/>
  <c r="AE919" i="2"/>
  <c r="AH919" i="2" s="1"/>
  <c r="V315" i="1"/>
  <c r="Q267" i="1"/>
  <c r="Q88" i="1"/>
  <c r="Y194" i="1"/>
  <c r="V449" i="1"/>
  <c r="AE962" i="2"/>
  <c r="AH962" i="2" s="1"/>
  <c r="V230" i="1"/>
  <c r="Y317" i="1"/>
  <c r="V419" i="1"/>
  <c r="AE1050" i="2"/>
  <c r="AH1050" i="2" s="1"/>
  <c r="V243" i="1"/>
  <c r="Q200" i="1"/>
  <c r="V297" i="1"/>
  <c r="V175" i="1"/>
  <c r="Q315" i="1"/>
  <c r="Q208" i="1"/>
  <c r="V398" i="1"/>
  <c r="AE937" i="2"/>
  <c r="AH937" i="2" s="1"/>
  <c r="Y309" i="1"/>
  <c r="V471" i="1"/>
  <c r="AE986" i="2"/>
  <c r="AH986" i="2" s="1"/>
  <c r="Q317" i="1"/>
  <c r="Y270" i="1"/>
  <c r="V373" i="1"/>
  <c r="AE912" i="2"/>
  <c r="V192" i="1"/>
  <c r="Q292" i="1"/>
  <c r="Y228" i="1"/>
  <c r="V390" i="1"/>
  <c r="AE929" i="2"/>
  <c r="AH929" i="2" s="1"/>
  <c r="Q82" i="1"/>
  <c r="V288" i="1"/>
  <c r="Y206" i="1"/>
  <c r="Q306" i="1"/>
  <c r="Q247" i="1"/>
  <c r="V67" i="1"/>
  <c r="Y77" i="1"/>
  <c r="V312" i="1"/>
  <c r="V69" i="1"/>
  <c r="V435" i="1"/>
  <c r="AE948" i="2"/>
  <c r="AH948" i="2" s="1"/>
  <c r="V527" i="1"/>
  <c r="AE1077" i="2"/>
  <c r="Y272" i="1"/>
  <c r="Y81" i="1"/>
  <c r="V205" i="1"/>
  <c r="V492" i="1"/>
  <c r="AE1009" i="2"/>
  <c r="AH1009" i="2" s="1"/>
  <c r="Q72" i="1"/>
  <c r="V379" i="1"/>
  <c r="AE918" i="2"/>
  <c r="AH918" i="2" s="1"/>
  <c r="V78" i="1"/>
  <c r="V287" i="1"/>
  <c r="V303" i="1"/>
  <c r="V459" i="1"/>
  <c r="AE974" i="2"/>
  <c r="AH974" i="2" s="1"/>
  <c r="Q298" i="1"/>
  <c r="Y264" i="1"/>
  <c r="Q173" i="1"/>
  <c r="V375" i="1"/>
  <c r="AE914" i="2"/>
  <c r="AH914" i="2" s="1"/>
  <c r="V239" i="1"/>
  <c r="V381" i="1"/>
  <c r="AE920" i="2"/>
  <c r="AH920" i="2" s="1"/>
  <c r="V482" i="1"/>
  <c r="AE997" i="2"/>
  <c r="AH997" i="2" s="1"/>
  <c r="Q68" i="1"/>
  <c r="Q90" i="1"/>
  <c r="V281" i="1"/>
  <c r="V195" i="1"/>
  <c r="V247" i="1"/>
  <c r="V358" i="1"/>
  <c r="Q290" i="1"/>
  <c r="V280" i="1"/>
  <c r="Y75" i="1"/>
  <c r="Y282" i="1"/>
  <c r="V53" i="1"/>
  <c r="Q295" i="1"/>
  <c r="V73" i="1"/>
  <c r="V393" i="1"/>
  <c r="AE932" i="2"/>
  <c r="AH932" i="2" s="1"/>
  <c r="Q48" i="1"/>
  <c r="Y231" i="1"/>
  <c r="V360" i="1"/>
  <c r="Y200" i="1"/>
  <c r="V389" i="1"/>
  <c r="AE928" i="2"/>
  <c r="Q321" i="1"/>
  <c r="V501" i="1"/>
  <c r="AE1018" i="2"/>
  <c r="Q177" i="1"/>
  <c r="V237" i="1"/>
  <c r="Q196" i="1"/>
  <c r="Q213" i="1"/>
  <c r="Q232" i="1"/>
  <c r="V92" i="1"/>
  <c r="Y53" i="1"/>
  <c r="V225" i="1"/>
  <c r="V463" i="1"/>
  <c r="AE978" i="2"/>
  <c r="AH978" i="2" s="1"/>
  <c r="V224" i="1"/>
  <c r="Y274" i="1"/>
  <c r="V61" i="1"/>
  <c r="V507" i="1"/>
  <c r="AE1024" i="2"/>
  <c r="Q323" i="1"/>
  <c r="Q300" i="1"/>
  <c r="V207" i="1"/>
  <c r="V488" i="1"/>
  <c r="AE1005" i="2"/>
  <c r="AH1005" i="2" s="1"/>
  <c r="Y227" i="1"/>
  <c r="Q79" i="1"/>
  <c r="Q81" i="1"/>
  <c r="Q67" i="1"/>
  <c r="V60" i="1"/>
  <c r="V320" i="1"/>
  <c r="Y265" i="1"/>
  <c r="V82" i="1"/>
  <c r="V510" i="1"/>
  <c r="AE1027" i="2"/>
  <c r="AH1027" i="2" s="1"/>
  <c r="V438" i="1"/>
  <c r="AE951" i="2"/>
  <c r="AH951" i="2" s="1"/>
  <c r="Q283" i="1"/>
  <c r="V319" i="1"/>
  <c r="V93" i="1"/>
  <c r="Q263" i="1"/>
  <c r="Q312" i="1"/>
  <c r="Q203" i="1"/>
  <c r="V515" i="1"/>
  <c r="AE1068" i="2"/>
  <c r="Y237" i="1"/>
  <c r="V502" i="1"/>
  <c r="AE1019" i="2"/>
  <c r="AH1019" i="2" s="1"/>
  <c r="V491" i="1"/>
  <c r="AE1008" i="2"/>
  <c r="AH1008" i="2" s="1"/>
  <c r="Q76" i="1"/>
  <c r="Q309" i="1"/>
  <c r="Y49" i="1"/>
  <c r="Y320" i="1"/>
  <c r="V52" i="1"/>
  <c r="V76" i="1"/>
  <c r="V485" i="1"/>
  <c r="AE1002" i="2"/>
  <c r="Y278" i="1"/>
  <c r="V426" i="1"/>
  <c r="AE1057" i="2"/>
  <c r="AH1057" i="2" s="1"/>
  <c r="Q93" i="1"/>
  <c r="V523" i="1"/>
  <c r="AE1073" i="2"/>
  <c r="Y230" i="1"/>
  <c r="V517" i="1"/>
  <c r="AE1080" i="2"/>
  <c r="Y202" i="1"/>
  <c r="V496" i="1"/>
  <c r="AE1013" i="2"/>
  <c r="Y232" i="1"/>
  <c r="V194" i="1"/>
  <c r="Q240" i="1"/>
  <c r="Q77" i="1"/>
  <c r="V415" i="1"/>
  <c r="AE1046" i="2"/>
  <c r="AH1046" i="2" s="1"/>
  <c r="V518" i="1"/>
  <c r="AE1081" i="2"/>
  <c r="V198" i="1"/>
  <c r="V465" i="1"/>
  <c r="AE980" i="2"/>
  <c r="AH980" i="2" s="1"/>
  <c r="V296" i="1"/>
  <c r="Q178" i="1"/>
  <c r="V464" i="1"/>
  <c r="AE979" i="2"/>
  <c r="AH979" i="2" s="1"/>
  <c r="Q230" i="1"/>
  <c r="Q318" i="1"/>
  <c r="V448" i="1"/>
  <c r="AE961" i="2"/>
  <c r="AH961" i="2" s="1"/>
  <c r="V47" i="1"/>
  <c r="Q233" i="1"/>
  <c r="V285" i="1"/>
  <c r="Q229" i="1"/>
  <c r="V273" i="1"/>
  <c r="Y291" i="1"/>
  <c r="Y267" i="1"/>
  <c r="Q209" i="1"/>
  <c r="V402" i="1"/>
  <c r="AE1033" i="2"/>
  <c r="AH1033" i="2" s="1"/>
  <c r="V498" i="1"/>
  <c r="AE1015" i="2"/>
  <c r="AH1015" i="2" s="1"/>
  <c r="V291" i="1"/>
  <c r="Q228" i="1"/>
  <c r="Y235" i="1"/>
  <c r="V440" i="1"/>
  <c r="AE953" i="2"/>
  <c r="V504" i="1"/>
  <c r="AE1021" i="2"/>
  <c r="AH1021" i="2" s="1"/>
  <c r="Q266" i="1"/>
  <c r="V180" i="1"/>
  <c r="Q239" i="1"/>
  <c r="V298" i="1"/>
  <c r="V68" i="1"/>
  <c r="Q319" i="1"/>
  <c r="V208" i="1"/>
  <c r="Q279" i="1"/>
  <c r="V272" i="1"/>
  <c r="V232" i="1"/>
  <c r="Q193" i="1"/>
  <c r="Q238" i="1"/>
  <c r="V395" i="1"/>
  <c r="AE934" i="2"/>
  <c r="V268" i="1"/>
  <c r="V453" i="1"/>
  <c r="AE966" i="2"/>
  <c r="AH966" i="2" s="1"/>
  <c r="Q313" i="1"/>
  <c r="V357" i="1"/>
  <c r="Q190" i="1"/>
  <c r="Q74" i="1"/>
  <c r="V451" i="1"/>
  <c r="AE964" i="2"/>
  <c r="V294" i="1"/>
  <c r="V457" i="1"/>
  <c r="AE972" i="2"/>
  <c r="Q55" i="1"/>
  <c r="Q264" i="1"/>
  <c r="Q241" i="1"/>
  <c r="Q175" i="1"/>
  <c r="Y79" i="1"/>
  <c r="Q192" i="1"/>
  <c r="Q227" i="1"/>
  <c r="Y55" i="1"/>
  <c r="Q272" i="1"/>
  <c r="V276" i="1"/>
  <c r="V443" i="1"/>
  <c r="AE956" i="2"/>
  <c r="AH956" i="2" s="1"/>
  <c r="Q83" i="1"/>
  <c r="Y286" i="1"/>
  <c r="V284" i="1"/>
  <c r="V193" i="1"/>
  <c r="V90" i="1"/>
  <c r="V487" i="1"/>
  <c r="AE1004" i="2"/>
  <c r="AH1004" i="2" s="1"/>
  <c r="Q211" i="1"/>
  <c r="Y86" i="1"/>
  <c r="V432" i="1"/>
  <c r="AE945" i="2"/>
  <c r="AH945" i="2" s="1"/>
  <c r="V387" i="1"/>
  <c r="AE926" i="2"/>
  <c r="AH926" i="2" s="1"/>
  <c r="Q56" i="1"/>
  <c r="Q86" i="1"/>
  <c r="V91" i="1"/>
  <c r="V228" i="1"/>
  <c r="Q197" i="1"/>
  <c r="V74" i="1"/>
  <c r="V48" i="1"/>
  <c r="Q237" i="1"/>
  <c r="V447" i="1"/>
  <c r="AE960" i="2"/>
  <c r="AH960" i="2" s="1"/>
  <c r="V385" i="1"/>
  <c r="AE924" i="2"/>
  <c r="AH924" i="2" s="1"/>
  <c r="V302" i="1"/>
  <c r="Q288" i="1"/>
  <c r="V271" i="1"/>
  <c r="Q231" i="1"/>
  <c r="V295" i="1"/>
  <c r="V267" i="1"/>
  <c r="Q280" i="1"/>
  <c r="Q273" i="1"/>
  <c r="Q206" i="1"/>
  <c r="Q78" i="1"/>
  <c r="V359" i="1"/>
  <c r="V445" i="1"/>
  <c r="AE958" i="2"/>
  <c r="Q289" i="1"/>
  <c r="V242" i="1"/>
  <c r="V460" i="1"/>
  <c r="AE975" i="2"/>
  <c r="AH975" i="2" s="1"/>
  <c r="V229" i="1"/>
  <c r="V226" i="1"/>
  <c r="Q296" i="1"/>
  <c r="V424" i="1"/>
  <c r="AE1055" i="2"/>
  <c r="AH1055" i="2" s="1"/>
  <c r="V508" i="1"/>
  <c r="AE1025" i="2"/>
  <c r="AH1025" i="2" s="1"/>
  <c r="V514" i="1"/>
  <c r="AE1067" i="2"/>
  <c r="V409" i="1"/>
  <c r="AE1040" i="2"/>
  <c r="AH1040" i="2" s="1"/>
  <c r="Q235" i="1"/>
  <c r="V292" i="1"/>
  <c r="V434" i="1"/>
  <c r="AE947" i="2"/>
  <c r="Q281" i="1"/>
  <c r="V182" i="1"/>
  <c r="V391" i="1"/>
  <c r="AE930" i="2"/>
  <c r="AH930" i="2" s="1"/>
  <c r="Q276" i="1"/>
  <c r="V278" i="1"/>
  <c r="Q287" i="1"/>
  <c r="Q284" i="1"/>
  <c r="V309" i="1"/>
  <c r="V299" i="1"/>
  <c r="Q47" i="1"/>
  <c r="V442" i="1"/>
  <c r="AE955" i="2"/>
  <c r="AH955" i="2" s="1"/>
  <c r="V425" i="1"/>
  <c r="AE1056" i="2"/>
  <c r="AH1056" i="2" s="1"/>
  <c r="V56" i="1"/>
  <c r="V474" i="1"/>
  <c r="AE989" i="2"/>
  <c r="AH989" i="2" s="1"/>
  <c r="V477" i="1"/>
  <c r="AE992" i="2"/>
  <c r="AH992" i="2" s="1"/>
  <c r="Y175" i="1"/>
  <c r="V308" i="1"/>
  <c r="V468" i="1"/>
  <c r="AE983" i="2"/>
  <c r="Q57" i="1"/>
  <c r="Y193" i="1"/>
  <c r="Q194" i="1"/>
  <c r="V374" i="1"/>
  <c r="AE913" i="2"/>
  <c r="AH913" i="2" s="1"/>
  <c r="V244" i="1"/>
  <c r="V178" i="1"/>
  <c r="V177" i="1"/>
  <c r="Q265" i="1"/>
  <c r="Q297" i="1"/>
  <c r="Y74" i="1"/>
  <c r="V234" i="1"/>
  <c r="Q69" i="1"/>
  <c r="Q270" i="1"/>
  <c r="Q303" i="1"/>
  <c r="V317" i="1"/>
  <c r="V528" i="1"/>
  <c r="AE1078" i="2"/>
  <c r="V386" i="1"/>
  <c r="AE925" i="2"/>
  <c r="AH925" i="2" s="1"/>
  <c r="Q285" i="1"/>
  <c r="V55" i="1"/>
  <c r="V241" i="1"/>
  <c r="Y271" i="1"/>
  <c r="Q75" i="1"/>
  <c r="V505" i="1"/>
  <c r="AE1022" i="2"/>
  <c r="AH1022" i="2" s="1"/>
  <c r="Q182" i="1"/>
  <c r="Q224" i="1"/>
  <c r="V497" i="1"/>
  <c r="AE1014" i="2"/>
  <c r="AH1014" i="2" s="1"/>
  <c r="Q242" i="1"/>
  <c r="V476" i="1"/>
  <c r="AE991" i="2"/>
  <c r="AH991" i="2" s="1"/>
  <c r="V311" i="1"/>
  <c r="V75" i="1"/>
  <c r="V283" i="1"/>
  <c r="V304" i="1"/>
  <c r="V87" i="1"/>
  <c r="V441" i="1"/>
  <c r="AE954" i="2"/>
  <c r="AH954" i="2" s="1"/>
  <c r="V473" i="1"/>
  <c r="AE988" i="2"/>
  <c r="Y226" i="1"/>
  <c r="V313" i="1"/>
  <c r="V509" i="1"/>
  <c r="AE1026" i="2"/>
  <c r="AH1026" i="2" s="1"/>
  <c r="Y189" i="1"/>
  <c r="Q294" i="1"/>
  <c r="V231" i="1"/>
  <c r="Y225" i="1"/>
  <c r="Q311" i="1"/>
  <c r="V486" i="1"/>
  <c r="AE1003" i="2"/>
  <c r="AH1003" i="2" s="1"/>
  <c r="V203" i="1"/>
  <c r="V79" i="1"/>
  <c r="V437" i="1"/>
  <c r="AE950" i="2"/>
  <c r="AH950" i="2" s="1"/>
  <c r="V421" i="1"/>
  <c r="AE1052" i="2"/>
  <c r="AH1052" i="2" s="1"/>
  <c r="V446" i="1"/>
  <c r="AE959" i="2"/>
  <c r="AH959" i="2" s="1"/>
  <c r="V233" i="1"/>
  <c r="V384" i="1"/>
  <c r="AE923" i="2"/>
  <c r="V200" i="1"/>
  <c r="V466" i="1"/>
  <c r="AE981" i="2"/>
  <c r="AH981" i="2" s="1"/>
  <c r="Y170" i="1"/>
  <c r="V321" i="1"/>
  <c r="V89" i="1"/>
  <c r="V301" i="1"/>
  <c r="Q73" i="1"/>
  <c r="V286" i="1"/>
  <c r="Q320" i="1"/>
  <c r="V202" i="1"/>
  <c r="Y294" i="1"/>
  <c r="Q314" i="1"/>
  <c r="Q170" i="1"/>
  <c r="V235" i="1"/>
  <c r="Q225" i="1"/>
  <c r="Q248" i="1"/>
  <c r="Q286" i="1"/>
  <c r="V209" i="1"/>
  <c r="V213" i="1"/>
  <c r="Q207" i="1"/>
  <c r="V77" i="1"/>
  <c r="Y76" i="1"/>
  <c r="Y234" i="1"/>
  <c r="Q210" i="1"/>
  <c r="V481" i="1"/>
  <c r="AE996" i="2"/>
  <c r="AH996" i="2" s="1"/>
  <c r="V227" i="1"/>
  <c r="V49" i="1"/>
  <c r="V57" i="1"/>
  <c r="V300" i="1"/>
  <c r="AB71" i="1" l="1"/>
  <c r="V118" i="1"/>
  <c r="V104" i="1"/>
  <c r="V122" i="1"/>
  <c r="V107" i="1"/>
  <c r="V113" i="1" s="1"/>
  <c r="V117" i="1"/>
  <c r="V119" i="1"/>
  <c r="T58" i="1"/>
  <c r="T212" i="1"/>
  <c r="AB70" i="1"/>
  <c r="AB58" i="1"/>
  <c r="T179" i="1"/>
  <c r="AB84" i="1"/>
  <c r="T84" i="1"/>
  <c r="AB212" i="1"/>
  <c r="AB179" i="1"/>
  <c r="Y85" i="1"/>
  <c r="AB181" i="1"/>
  <c r="Y212" i="1"/>
  <c r="Y51" i="1"/>
  <c r="Y191" i="1"/>
  <c r="AB85" i="1"/>
  <c r="Y181" i="1"/>
  <c r="Y71" i="1"/>
  <c r="T85" i="1"/>
  <c r="T181" i="1"/>
  <c r="T293" i="1"/>
  <c r="T174" i="1"/>
  <c r="AB174" i="1"/>
  <c r="AB293" i="1"/>
  <c r="T191" i="1"/>
  <c r="AB191" i="1"/>
  <c r="AB204" i="1"/>
  <c r="AB262" i="1"/>
  <c r="T172" i="1"/>
  <c r="T262" i="1"/>
  <c r="AB172" i="1"/>
  <c r="T199" i="1"/>
  <c r="T204" i="1"/>
  <c r="AB199" i="1"/>
  <c r="AH983" i="2"/>
  <c r="AH982" i="2" s="1"/>
  <c r="AE982" i="2"/>
  <c r="AE1072" i="2"/>
  <c r="AH1073" i="2"/>
  <c r="AE1085" i="2"/>
  <c r="AH1002" i="2"/>
  <c r="AH1001" i="2" s="1"/>
  <c r="AE1001" i="2"/>
  <c r="V204" i="1"/>
  <c r="Q70" i="1"/>
  <c r="Q212" i="1"/>
  <c r="AH912" i="2"/>
  <c r="AH911" i="2" s="1"/>
  <c r="AE911" i="2"/>
  <c r="AE888" i="2"/>
  <c r="AH888" i="2" s="1"/>
  <c r="AH942" i="2"/>
  <c r="AH941" i="2" s="1"/>
  <c r="AE941" i="2"/>
  <c r="V191" i="1"/>
  <c r="AE1031" i="2"/>
  <c r="AH1032" i="2"/>
  <c r="AH1031" i="2" s="1"/>
  <c r="AE884" i="2"/>
  <c r="AH884" i="2" s="1"/>
  <c r="AH1070" i="2"/>
  <c r="AE1069" i="2"/>
  <c r="V58" i="1"/>
  <c r="AH1043" i="2"/>
  <c r="AH1042" i="2" s="1"/>
  <c r="AE1042" i="2"/>
  <c r="AH1054" i="2"/>
  <c r="AH1053" i="2" s="1"/>
  <c r="AE1053" i="2"/>
  <c r="AH1037" i="2"/>
  <c r="AH1036" i="2" s="1"/>
  <c r="AE1036" i="2"/>
  <c r="AE1088" i="2"/>
  <c r="AH1088" i="2" s="1"/>
  <c r="AE892" i="2"/>
  <c r="Y204" i="1"/>
  <c r="V293" i="1"/>
  <c r="AH934" i="2"/>
  <c r="AH933" i="2" s="1"/>
  <c r="AE933" i="2"/>
  <c r="AH953" i="2"/>
  <c r="AH952" i="2" s="1"/>
  <c r="AE952" i="2"/>
  <c r="Q174" i="1"/>
  <c r="Q172" i="1"/>
  <c r="V181" i="1"/>
  <c r="Y293" i="1"/>
  <c r="Q293" i="1"/>
  <c r="Q58" i="1"/>
  <c r="Q50" i="1"/>
  <c r="Q181" i="1"/>
  <c r="Q179" i="1"/>
  <c r="AE1063" i="2"/>
  <c r="AH1067" i="2"/>
  <c r="AE1066" i="2"/>
  <c r="V71" i="1"/>
  <c r="Q51" i="1"/>
  <c r="Q71" i="1"/>
  <c r="Q191" i="1"/>
  <c r="AE895" i="2"/>
  <c r="AH895" i="2" s="1"/>
  <c r="AH972" i="2"/>
  <c r="AH971" i="2" s="1"/>
  <c r="AE971" i="2"/>
  <c r="AH1068" i="2"/>
  <c r="AE1065" i="2"/>
  <c r="Y84" i="1"/>
  <c r="AH1024" i="2"/>
  <c r="AH1023" i="2" s="1"/>
  <c r="AE1023" i="2"/>
  <c r="AH928" i="2"/>
  <c r="AH927" i="2" s="1"/>
  <c r="AE927" i="2"/>
  <c r="V50" i="1"/>
  <c r="V59" i="1"/>
  <c r="V262" i="1"/>
  <c r="AE1047" i="2"/>
  <c r="AH1048" i="2"/>
  <c r="AH1047" i="2" s="1"/>
  <c r="AH1071" i="2"/>
  <c r="AE886" i="2"/>
  <c r="AH964" i="2"/>
  <c r="AH963" i="2" s="1"/>
  <c r="AE963" i="2"/>
  <c r="AH1013" i="2"/>
  <c r="AH1012" i="2" s="1"/>
  <c r="AE1012" i="2"/>
  <c r="V85" i="1"/>
  <c r="V172" i="1"/>
  <c r="AH923" i="2"/>
  <c r="AH922" i="2" s="1"/>
  <c r="AE922" i="2"/>
  <c r="Y199" i="1"/>
  <c r="V51" i="1"/>
  <c r="Y70" i="1"/>
  <c r="AE894" i="2"/>
  <c r="AH894" i="2" s="1"/>
  <c r="AE882" i="2"/>
  <c r="AH882" i="2" s="1"/>
  <c r="V70" i="1"/>
  <c r="Y172" i="1"/>
  <c r="V349" i="1"/>
  <c r="V365" i="1" s="1"/>
  <c r="V368" i="1" s="1"/>
  <c r="AE903" i="2"/>
  <c r="Y50" i="1"/>
  <c r="AH1081" i="2"/>
  <c r="AE1079" i="2"/>
  <c r="AH1080" i="2"/>
  <c r="AE901" i="2"/>
  <c r="AH901" i="2" s="1"/>
  <c r="AH1077" i="2"/>
  <c r="AE1076" i="2"/>
  <c r="AE881" i="2"/>
  <c r="Q199" i="1"/>
  <c r="AH994" i="2"/>
  <c r="AH993" i="2" s="1"/>
  <c r="AE993" i="2"/>
  <c r="AE1090" i="2"/>
  <c r="AH1075" i="2"/>
  <c r="AH1090" i="2" s="1"/>
  <c r="AE900" i="2"/>
  <c r="AH900" i="2" s="1"/>
  <c r="AE904" i="2"/>
  <c r="AH904" i="2" s="1"/>
  <c r="AE1064" i="2"/>
  <c r="AH1074" i="2"/>
  <c r="AH1064" i="2" s="1"/>
  <c r="V174" i="1"/>
  <c r="AH988" i="2"/>
  <c r="AH987" i="2" s="1"/>
  <c r="AE987" i="2"/>
  <c r="Q59" i="1"/>
  <c r="V212" i="1"/>
  <c r="AH1078" i="2"/>
  <c r="V199" i="1"/>
  <c r="AE899" i="2"/>
  <c r="AH899" i="2" s="1"/>
  <c r="AH947" i="2"/>
  <c r="AH946" i="2" s="1"/>
  <c r="AE946" i="2"/>
  <c r="AH958" i="2"/>
  <c r="AH957" i="2" s="1"/>
  <c r="AE957" i="2"/>
  <c r="Y58" i="1"/>
  <c r="Q85" i="1"/>
  <c r="AE893" i="2"/>
  <c r="AH893" i="2" s="1"/>
  <c r="Q204" i="1"/>
  <c r="Q262" i="1"/>
  <c r="AH1018" i="2"/>
  <c r="AH1017" i="2" s="1"/>
  <c r="AE1017" i="2"/>
  <c r="AE897" i="2"/>
  <c r="AE889" i="2"/>
  <c r="AH889" i="2" s="1"/>
  <c r="AE883" i="2"/>
  <c r="AH883" i="2" s="1"/>
  <c r="AE887" i="2"/>
  <c r="AH887" i="2" s="1"/>
  <c r="Y174" i="1"/>
  <c r="V179" i="1"/>
  <c r="AE898" i="2"/>
  <c r="AH898" i="2" s="1"/>
  <c r="AE906" i="2"/>
  <c r="AE1402" i="2" s="1"/>
  <c r="Q84" i="1"/>
  <c r="AH977" i="2"/>
  <c r="AH976" i="2" s="1"/>
  <c r="AE976" i="2"/>
  <c r="Y262" i="1"/>
  <c r="AE905" i="2"/>
  <c r="AH905" i="2" s="1"/>
  <c r="V84" i="1"/>
  <c r="AH1007" i="2"/>
  <c r="AH1006" i="2" s="1"/>
  <c r="AE1006" i="2"/>
  <c r="AE890" i="2"/>
  <c r="AH890" i="2" s="1"/>
  <c r="AE916" i="2"/>
  <c r="AH917" i="2"/>
  <c r="AH916" i="2" s="1"/>
  <c r="V114" i="1" l="1"/>
  <c r="AB66" i="1"/>
  <c r="Y66" i="1"/>
  <c r="Y188" i="1"/>
  <c r="T201" i="1"/>
  <c r="AB201" i="1"/>
  <c r="AB80" i="1"/>
  <c r="Y80" i="1"/>
  <c r="T80" i="1"/>
  <c r="Y59" i="1"/>
  <c r="Q201" i="1"/>
  <c r="T71" i="1"/>
  <c r="T66" i="1" s="1"/>
  <c r="T59" i="1"/>
  <c r="AB59" i="1"/>
  <c r="AB51" i="1"/>
  <c r="T51" i="1"/>
  <c r="Y201" i="1"/>
  <c r="AH1079" i="2"/>
  <c r="Q328" i="1"/>
  <c r="Q331" i="1" s="1"/>
  <c r="V188" i="1"/>
  <c r="AB188" i="1"/>
  <c r="T188" i="1"/>
  <c r="T328" i="1"/>
  <c r="T331" i="1" s="1"/>
  <c r="AB328" i="1"/>
  <c r="AB331" i="1" s="1"/>
  <c r="Y328" i="1"/>
  <c r="Y331" i="1" s="1"/>
  <c r="V80" i="1"/>
  <c r="V328" i="1"/>
  <c r="V331" i="1" s="1"/>
  <c r="Q80" i="1"/>
  <c r="Q188" i="1"/>
  <c r="AH1069" i="2"/>
  <c r="Q66" i="1"/>
  <c r="V201" i="1"/>
  <c r="AH906" i="2"/>
  <c r="AH1402" i="2" s="1"/>
  <c r="AE902" i="2"/>
  <c r="AE1401" i="2" s="1"/>
  <c r="AH903" i="2"/>
  <c r="AH902" i="2" s="1"/>
  <c r="AH1401" i="2" s="1"/>
  <c r="AE970" i="2"/>
  <c r="AH1063" i="2"/>
  <c r="AH1066" i="2"/>
  <c r="AH892" i="2"/>
  <c r="AH891" i="2" s="1"/>
  <c r="AH1399" i="2" s="1"/>
  <c r="AE891" i="2"/>
  <c r="AE1399" i="2" s="1"/>
  <c r="AE1030" i="2"/>
  <c r="AE940" i="2"/>
  <c r="AH910" i="2"/>
  <c r="AH1000" i="2"/>
  <c r="AH881" i="2"/>
  <c r="AH880" i="2" s="1"/>
  <c r="AH1397" i="2" s="1"/>
  <c r="AE880" i="2"/>
  <c r="AE1397" i="2" s="1"/>
  <c r="AH1076" i="2"/>
  <c r="AH970" i="2"/>
  <c r="V66" i="1"/>
  <c r="AE1062" i="2"/>
  <c r="AH940" i="2"/>
  <c r="AE1084" i="2"/>
  <c r="AH897" i="2"/>
  <c r="AH896" i="2" s="1"/>
  <c r="AH1400" i="2" s="1"/>
  <c r="AE896" i="2"/>
  <c r="AE1400" i="2" s="1"/>
  <c r="AE885" i="2"/>
  <c r="AE1398" i="2" s="1"/>
  <c r="AH886" i="2"/>
  <c r="AH885" i="2" s="1"/>
  <c r="AH1398" i="2" s="1"/>
  <c r="AE1089" i="2"/>
  <c r="AH1089" i="2" s="1"/>
  <c r="AH1065" i="2"/>
  <c r="AE1093" i="2"/>
  <c r="AH1093" i="2" s="1"/>
  <c r="AH1030" i="2"/>
  <c r="AE910" i="2"/>
  <c r="AE1000" i="2"/>
  <c r="AH1072" i="2"/>
  <c r="AH1085" i="2"/>
  <c r="AH1084" i="2" s="1"/>
  <c r="AB98" i="1" l="1"/>
  <c r="AB101" i="1" s="1"/>
  <c r="AE1396" i="2"/>
  <c r="AH1396" i="2"/>
  <c r="Y98" i="1"/>
  <c r="Y101" i="1" s="1"/>
  <c r="Y218" i="1"/>
  <c r="Y221" i="1" s="1"/>
  <c r="T218" i="1"/>
  <c r="T221" i="1" s="1"/>
  <c r="AB218" i="1"/>
  <c r="AB221" i="1" s="1"/>
  <c r="Q218" i="1"/>
  <c r="Q221" i="1" s="1"/>
  <c r="T98" i="1"/>
  <c r="T101" i="1" s="1"/>
  <c r="V218" i="1"/>
  <c r="V221" i="1" s="1"/>
  <c r="V98" i="1"/>
  <c r="V101" i="1" s="1"/>
  <c r="Q98" i="1"/>
  <c r="Q101" i="1" s="1"/>
  <c r="AH879" i="2"/>
  <c r="AH1062" i="2"/>
  <c r="V33" i="1"/>
  <c r="V28" i="1"/>
  <c r="AE879" i="2"/>
  <c r="W42" i="1" l="1"/>
  <c r="Z42" i="1" l="1"/>
  <c r="AA42" i="1"/>
  <c r="U42" i="1"/>
  <c r="R42" i="1" l="1"/>
  <c r="S42" i="1"/>
  <c r="AH31" i="2" l="1"/>
  <c r="X42" i="1"/>
  <c r="AI31" i="2"/>
  <c r="AJ31" i="2" l="1"/>
  <c r="X258" i="1"/>
  <c r="AA261" i="1"/>
  <c r="X254" i="1"/>
  <c r="AA340" i="1"/>
  <c r="X252" i="1"/>
  <c r="AA329" i="1"/>
  <c r="AA253" i="1"/>
  <c r="AA186" i="1"/>
  <c r="X340" i="1"/>
  <c r="AA335" i="1"/>
  <c r="AA251" i="1"/>
  <c r="X346" i="1" l="1"/>
  <c r="AA343" i="1"/>
  <c r="AA346" i="1"/>
  <c r="X338" i="1"/>
  <c r="X259" i="1"/>
  <c r="AA258" i="1"/>
  <c r="X343" i="1"/>
  <c r="AA257" i="1"/>
  <c r="X344" i="1"/>
  <c r="AA367" i="1"/>
  <c r="AA65" i="1"/>
  <c r="AA336" i="1"/>
  <c r="X260" i="1"/>
  <c r="X187" i="1"/>
  <c r="X261" i="1"/>
  <c r="X347" i="1"/>
  <c r="AA330" i="1"/>
  <c r="X186" i="1"/>
  <c r="AA259" i="1"/>
  <c r="X335" i="1"/>
  <c r="X348" i="1"/>
  <c r="X253" i="1"/>
  <c r="X367" i="1"/>
  <c r="X255" i="1"/>
  <c r="AA252" i="1"/>
  <c r="X329" i="1"/>
  <c r="X339" i="1" l="1"/>
  <c r="AA64" i="1"/>
  <c r="AA185" i="1"/>
  <c r="AA254" i="1"/>
  <c r="X185" i="1"/>
  <c r="X366" i="1"/>
  <c r="X251" i="1"/>
  <c r="X257" i="1"/>
  <c r="AA187" i="1"/>
  <c r="AA347" i="1"/>
  <c r="AA338" i="1"/>
  <c r="X336" i="1"/>
  <c r="X330" i="1"/>
  <c r="AA339" i="1"/>
  <c r="AA366" i="1"/>
  <c r="AA344" i="1"/>
  <c r="AA260" i="1"/>
  <c r="AA255" i="1"/>
  <c r="X65" i="1" l="1"/>
  <c r="X64" i="1"/>
  <c r="AA348" i="1"/>
  <c r="AI393" i="2"/>
  <c r="U338" i="1"/>
  <c r="X256" i="1"/>
  <c r="U253" i="1"/>
  <c r="U344" i="1"/>
  <c r="AI395" i="2"/>
  <c r="U348" i="1"/>
  <c r="U366" i="1"/>
  <c r="AA217" i="1"/>
  <c r="U260" i="1" l="1"/>
  <c r="U330" i="1"/>
  <c r="U187" i="1"/>
  <c r="AG349" i="2"/>
  <c r="AA363" i="1"/>
  <c r="Z252" i="1"/>
  <c r="AA256" i="1" l="1"/>
  <c r="X363" i="1"/>
  <c r="X219" i="1"/>
  <c r="U343" i="1"/>
  <c r="U346" i="1"/>
  <c r="Z345" i="1" l="1"/>
  <c r="U347" i="1"/>
  <c r="AA327" i="1"/>
  <c r="U259" i="1"/>
  <c r="AA364" i="1"/>
  <c r="AG350" i="2"/>
  <c r="X364" i="1"/>
  <c r="X326" i="1"/>
  <c r="AA220" i="1"/>
  <c r="X44" i="1"/>
  <c r="AG204" i="2"/>
  <c r="AA216" i="1"/>
  <c r="AE349" i="2"/>
  <c r="U257" i="1"/>
  <c r="AE350" i="2"/>
  <c r="AA44" i="1"/>
  <c r="Z364" i="1"/>
  <c r="U219" i="1"/>
  <c r="U65" i="1"/>
  <c r="U329" i="1"/>
  <c r="X220" i="1"/>
  <c r="AA337" i="1"/>
  <c r="AG295" i="2"/>
  <c r="X337" i="1"/>
  <c r="AG286" i="2"/>
  <c r="AA326" i="1"/>
  <c r="U258" i="1"/>
  <c r="U340" i="1" l="1"/>
  <c r="U185" i="1"/>
  <c r="U261" i="1"/>
  <c r="U364" i="1"/>
  <c r="U363" i="1"/>
  <c r="AF287" i="2"/>
  <c r="X327" i="1"/>
  <c r="U367" i="1"/>
  <c r="AE286" i="2"/>
  <c r="AE305" i="2"/>
  <c r="U255" i="1"/>
  <c r="U254" i="1"/>
  <c r="U251" i="1"/>
  <c r="U326" i="1"/>
  <c r="U64" i="1"/>
  <c r="Z337" i="1"/>
  <c r="AA219" i="1"/>
  <c r="AA345" i="1"/>
  <c r="AG305" i="2"/>
  <c r="AE30" i="2"/>
  <c r="U252" i="1"/>
  <c r="U335" i="1"/>
  <c r="U336" i="1"/>
  <c r="U327" i="1"/>
  <c r="U345" i="1"/>
  <c r="AE287" i="2" l="1"/>
  <c r="AE295" i="2"/>
  <c r="U186" i="1"/>
  <c r="AF205" i="2"/>
  <c r="X217" i="1"/>
  <c r="X216" i="1"/>
  <c r="X345" i="1"/>
  <c r="U339" i="1"/>
  <c r="U217" i="1"/>
  <c r="AE204" i="2"/>
  <c r="AE205" i="2"/>
  <c r="AI765" i="2"/>
  <c r="U216" i="1"/>
  <c r="AF204" i="2" l="1"/>
  <c r="AI204" i="2" s="1"/>
  <c r="U337" i="1"/>
  <c r="U44" i="1"/>
  <c r="Z336" i="1"/>
  <c r="U256" i="1"/>
  <c r="U220" i="1"/>
  <c r="AE231" i="2"/>
  <c r="AF350" i="2" l="1"/>
  <c r="AI350" i="2" s="1"/>
  <c r="AH394" i="2" l="1"/>
  <c r="AH787" i="2" l="1"/>
  <c r="AI764" i="2" l="1"/>
  <c r="AH393" i="2" l="1"/>
  <c r="AJ393" i="2" s="1"/>
  <c r="AF286" i="2"/>
  <c r="AI286" i="2" l="1"/>
  <c r="Z335" i="1"/>
  <c r="Z185" i="1"/>
  <c r="Z340" i="1"/>
  <c r="Z344" i="1"/>
  <c r="Z326" i="1"/>
  <c r="AI787" i="2"/>
  <c r="Z363" i="1"/>
  <c r="Z329" i="1"/>
  <c r="AI797" i="2"/>
  <c r="Z260" i="1"/>
  <c r="Z216" i="1"/>
  <c r="Z257" i="1"/>
  <c r="AJ787" i="2" l="1"/>
  <c r="AH765" i="2" l="1"/>
  <c r="AJ765" i="2" s="1"/>
  <c r="AH364" i="2" l="1"/>
  <c r="Z251" i="1"/>
  <c r="Z339" i="1"/>
  <c r="Z187" i="1"/>
  <c r="U43" i="1"/>
  <c r="Z186" i="1"/>
  <c r="Z259" i="1"/>
  <c r="Z347" i="1"/>
  <c r="AG287" i="2" l="1"/>
  <c r="AI287" i="2" s="1"/>
  <c r="AH395" i="2" l="1"/>
  <c r="AJ395" i="2" s="1"/>
  <c r="Z254" i="1"/>
  <c r="Z255" i="1"/>
  <c r="Z346" i="1"/>
  <c r="AF349" i="2"/>
  <c r="AI349" i="2" l="1"/>
  <c r="Z261" i="1"/>
  <c r="Z330" i="1"/>
  <c r="Z253" i="1"/>
  <c r="Z258" i="1"/>
  <c r="Z348" i="1"/>
  <c r="AH764" i="2"/>
  <c r="AJ764" i="2" s="1"/>
  <c r="Z327" i="1"/>
  <c r="Z44" i="1"/>
  <c r="Z64" i="1"/>
  <c r="Z343" i="1"/>
  <c r="Z367" i="1" l="1"/>
  <c r="Z366" i="1"/>
  <c r="Z256" i="1"/>
  <c r="AH797" i="2"/>
  <c r="AJ797" i="2" s="1"/>
  <c r="Z220" i="1"/>
  <c r="AI364" i="2"/>
  <c r="AJ364" i="2" l="1"/>
  <c r="AE421" i="2"/>
  <c r="Z338" i="1"/>
  <c r="AG231" i="2"/>
  <c r="Z65" i="1"/>
  <c r="AI394" i="2" l="1"/>
  <c r="AJ394" i="2" s="1"/>
  <c r="Z219" i="1"/>
  <c r="AH799" i="2" l="1"/>
  <c r="AH798" i="2" l="1"/>
  <c r="AJ392" i="2" l="1"/>
  <c r="Z217" i="1"/>
  <c r="AG205" i="2" l="1"/>
  <c r="AI205" i="2" s="1"/>
  <c r="AI798" i="2" l="1"/>
  <c r="AJ798" i="2" s="1"/>
  <c r="Z43" i="1"/>
  <c r="AG421" i="2" l="1"/>
  <c r="S336" i="1"/>
  <c r="S339" i="1"/>
  <c r="S186" i="1"/>
  <c r="AI162" i="2"/>
  <c r="W186" i="1"/>
  <c r="W336" i="1"/>
  <c r="AI294" i="2"/>
  <c r="AI799" i="2" l="1"/>
  <c r="AJ799" i="2" s="1"/>
  <c r="AF305" i="2"/>
  <c r="AI305" i="2" l="1"/>
  <c r="S255" i="1"/>
  <c r="AI230" i="2"/>
  <c r="W255" i="1"/>
  <c r="AF295" i="2" l="1"/>
  <c r="AI295" i="2" s="1"/>
  <c r="S187" i="1"/>
  <c r="AI298" i="2"/>
  <c r="W339" i="1"/>
  <c r="AF421" i="2" l="1"/>
  <c r="AI391" i="2"/>
  <c r="S185" i="1"/>
  <c r="AF231" i="2"/>
  <c r="AI421" i="2" l="1"/>
  <c r="AI231" i="2"/>
  <c r="AI161" i="2"/>
  <c r="W185" i="1"/>
  <c r="S253" i="1"/>
  <c r="S258" i="1"/>
  <c r="AI163" i="2"/>
  <c r="W187" i="1"/>
  <c r="S259" i="1"/>
  <c r="S64" i="1"/>
  <c r="W343" i="1"/>
  <c r="AI303" i="2"/>
  <c r="S343" i="1"/>
  <c r="AI235" i="2"/>
  <c r="W259" i="1"/>
  <c r="S338" i="1"/>
  <c r="S348" i="1"/>
  <c r="AI108" i="2"/>
  <c r="W64" i="1"/>
  <c r="W253" i="1"/>
  <c r="AI228" i="2"/>
  <c r="AI116" i="2"/>
  <c r="AH391" i="2" l="1"/>
  <c r="AJ391" i="2" s="1"/>
  <c r="W338" i="1"/>
  <c r="AI297" i="2"/>
  <c r="S346" i="1"/>
  <c r="S252" i="1"/>
  <c r="AI307" i="2"/>
  <c r="W346" i="1"/>
  <c r="AI234" i="2"/>
  <c r="W258" i="1"/>
  <c r="W348" i="1"/>
  <c r="AI309" i="2"/>
  <c r="AH421" i="2" l="1"/>
  <c r="AJ421" i="2" s="1"/>
  <c r="W260" i="1"/>
  <c r="AI236" i="2"/>
  <c r="AI338" i="2"/>
  <c r="W367" i="1"/>
  <c r="S260" i="1"/>
  <c r="S344" i="1"/>
  <c r="AH303" i="2"/>
  <c r="AJ303" i="2" s="1"/>
  <c r="W344" i="1"/>
  <c r="AI304" i="2"/>
  <c r="S367" i="1"/>
  <c r="W347" i="1"/>
  <c r="AI308" i="2"/>
  <c r="AH294" i="2"/>
  <c r="AJ294" i="2" s="1"/>
  <c r="AI227" i="2"/>
  <c r="W252" i="1"/>
  <c r="W329" i="1"/>
  <c r="AI274" i="2"/>
  <c r="AH274" i="2"/>
  <c r="AH304" i="2"/>
  <c r="AI275" i="2"/>
  <c r="W330" i="1"/>
  <c r="S340" i="1"/>
  <c r="S329" i="1"/>
  <c r="S330" i="1"/>
  <c r="AI226" i="2"/>
  <c r="W251" i="1"/>
  <c r="W340" i="1"/>
  <c r="AI299" i="2"/>
  <c r="AI109" i="2"/>
  <c r="W65" i="1"/>
  <c r="S65" i="1"/>
  <c r="W327" i="1"/>
  <c r="AI271" i="2"/>
  <c r="AI193" i="2"/>
  <c r="W220" i="1"/>
  <c r="AH229" i="2"/>
  <c r="R254" i="1"/>
  <c r="AH293" i="2"/>
  <c r="AH298" i="2"/>
  <c r="AJ298" i="2" s="1"/>
  <c r="AH233" i="2"/>
  <c r="S261" i="1"/>
  <c r="AH299" i="2"/>
  <c r="R335" i="1"/>
  <c r="S347" i="1"/>
  <c r="W261" i="1"/>
  <c r="AI237" i="2"/>
  <c r="AH227" i="2"/>
  <c r="S251" i="1"/>
  <c r="AH193" i="2"/>
  <c r="AH275" i="2"/>
  <c r="AJ227" i="2" l="1"/>
  <c r="AJ304" i="2"/>
  <c r="AJ275" i="2"/>
  <c r="AJ274" i="2"/>
  <c r="AJ299" i="2"/>
  <c r="AJ193" i="2"/>
  <c r="S257" i="1"/>
  <c r="AI229" i="2"/>
  <c r="AJ229" i="2" s="1"/>
  <c r="W254" i="1"/>
  <c r="AH271" i="2"/>
  <c r="AJ271" i="2" s="1"/>
  <c r="AI337" i="2"/>
  <c r="W366" i="1"/>
  <c r="S366" i="1"/>
  <c r="AH116" i="2"/>
  <c r="AJ116" i="2" s="1"/>
  <c r="AH297" i="2"/>
  <c r="AJ297" i="2" s="1"/>
  <c r="W364" i="1"/>
  <c r="AI334" i="2"/>
  <c r="AH334" i="2"/>
  <c r="AI34" i="2"/>
  <c r="W44" i="1"/>
  <c r="AI233" i="2"/>
  <c r="AJ233" i="2" s="1"/>
  <c r="W257" i="1"/>
  <c r="AH309" i="2"/>
  <c r="AJ309" i="2" s="1"/>
  <c r="R257" i="1"/>
  <c r="AI168" i="2"/>
  <c r="AJ334" i="2" l="1"/>
  <c r="W219" i="1" l="1"/>
  <c r="AI192" i="2"/>
  <c r="AH192" i="2"/>
  <c r="AH163" i="2"/>
  <c r="AJ163" i="2" s="1"/>
  <c r="AH307" i="2"/>
  <c r="AJ307" i="2" s="1"/>
  <c r="AH34" i="2"/>
  <c r="AJ34" i="2" s="1"/>
  <c r="S254" i="1"/>
  <c r="AJ192" i="2" l="1"/>
  <c r="AI293" i="2" l="1"/>
  <c r="AJ293" i="2" s="1"/>
  <c r="W335" i="1"/>
  <c r="AI188" i="2"/>
  <c r="W216" i="1"/>
  <c r="AH236" i="2"/>
  <c r="AJ236" i="2" s="1"/>
  <c r="AH162" i="2"/>
  <c r="AJ162" i="2" s="1"/>
  <c r="AH188" i="2"/>
  <c r="AH108" i="2"/>
  <c r="AJ108" i="2" s="1"/>
  <c r="AH234" i="2"/>
  <c r="AJ234" i="2" s="1"/>
  <c r="AH337" i="2"/>
  <c r="AJ337" i="2" s="1"/>
  <c r="AH161" i="2"/>
  <c r="AJ161" i="2" s="1"/>
  <c r="AH168" i="2"/>
  <c r="AJ168" i="2" s="1"/>
  <c r="AJ188" i="2" l="1"/>
  <c r="AH230" i="2" l="1"/>
  <c r="AJ230" i="2" s="1"/>
  <c r="W363" i="1"/>
  <c r="AI333" i="2"/>
  <c r="AH232" i="2"/>
  <c r="W256" i="1"/>
  <c r="AI232" i="2"/>
  <c r="AH237" i="2"/>
  <c r="AJ237" i="2" s="1"/>
  <c r="AI296" i="2"/>
  <c r="W337" i="1"/>
  <c r="AH235" i="2"/>
  <c r="AJ235" i="2" s="1"/>
  <c r="AH32" i="2"/>
  <c r="AI32" i="2"/>
  <c r="W43" i="1"/>
  <c r="AI189" i="2"/>
  <c r="W217" i="1"/>
  <c r="S335" i="1"/>
  <c r="AJ232" i="2" l="1"/>
  <c r="AJ32" i="2"/>
  <c r="AH338" i="2" l="1"/>
  <c r="AJ338" i="2" s="1"/>
  <c r="AI306" i="2"/>
  <c r="W345" i="1"/>
  <c r="AH306" i="2"/>
  <c r="AH226" i="2"/>
  <c r="AJ226" i="2" s="1"/>
  <c r="W326" i="1"/>
  <c r="AI270" i="2"/>
  <c r="AH270" i="2"/>
  <c r="AH333" i="2"/>
  <c r="AJ333" i="2" s="1"/>
  <c r="AH296" i="2"/>
  <c r="AJ296" i="2" s="1"/>
  <c r="AH189" i="2"/>
  <c r="AJ189" i="2" s="1"/>
  <c r="AH308" i="2"/>
  <c r="AJ308" i="2" s="1"/>
  <c r="AH109" i="2"/>
  <c r="AJ109" i="2" s="1"/>
  <c r="AH228" i="2"/>
  <c r="AJ228" i="2" s="1"/>
  <c r="R261" i="1"/>
  <c r="AJ306" i="2" l="1"/>
  <c r="AJ270" i="2"/>
  <c r="R252" i="1" l="1"/>
  <c r="S337" i="1" l="1"/>
  <c r="R260" i="1"/>
  <c r="R251" i="1" l="1"/>
  <c r="R330" i="1" l="1"/>
  <c r="R366" i="1" l="1"/>
  <c r="R344" i="1" l="1"/>
  <c r="R367" i="1" l="1"/>
  <c r="R65" i="1" l="1"/>
  <c r="R347" i="1" l="1"/>
  <c r="R186" i="1" l="1"/>
  <c r="R336" i="1" l="1"/>
  <c r="R329" i="1" l="1"/>
  <c r="R258" i="1" l="1"/>
  <c r="R185" i="1" l="1"/>
  <c r="R255" i="1" l="1"/>
  <c r="R348" i="1" l="1"/>
  <c r="R64" i="1" l="1"/>
  <c r="R346" i="1" l="1"/>
  <c r="R343" i="1" l="1"/>
  <c r="R340" i="1" l="1"/>
  <c r="R253" i="1" l="1"/>
  <c r="R339" i="1" l="1"/>
  <c r="R338" i="1" l="1"/>
  <c r="R187" i="1" l="1"/>
  <c r="R259" i="1" l="1"/>
  <c r="R337" i="1"/>
  <c r="AA43" i="1"/>
  <c r="S345" i="1"/>
  <c r="S363" i="1"/>
  <c r="R363" i="1"/>
  <c r="AG30" i="2" l="1"/>
  <c r="S216" i="1" l="1"/>
  <c r="S217" i="1"/>
  <c r="R326" i="1"/>
  <c r="AH349" i="2" l="1"/>
  <c r="AJ349" i="2" s="1"/>
  <c r="S43" i="1"/>
  <c r="S219" i="1"/>
  <c r="S327" i="1" l="1"/>
  <c r="S256" i="1"/>
  <c r="R364" i="1"/>
  <c r="R345" i="1"/>
  <c r="S44" i="1"/>
  <c r="S364" i="1"/>
  <c r="S326" i="1"/>
  <c r="R327" i="1"/>
  <c r="S220" i="1"/>
  <c r="R44" i="1" l="1"/>
  <c r="R43" i="1"/>
  <c r="R256" i="1"/>
  <c r="AH305" i="2" l="1"/>
  <c r="AJ305" i="2" s="1"/>
  <c r="AT274" i="2"/>
  <c r="AL641" i="2"/>
  <c r="AP656" i="2"/>
  <c r="BB1057" i="2"/>
  <c r="AX452" i="2"/>
  <c r="AU964" i="2"/>
  <c r="AP104" i="2"/>
  <c r="AT296" i="2"/>
  <c r="AL230" i="2"/>
  <c r="AT598" i="2"/>
  <c r="BF919" i="2"/>
  <c r="BF1017" i="2"/>
  <c r="BF903" i="2"/>
  <c r="BF916" i="2"/>
  <c r="BF839" i="2"/>
  <c r="AU1011" i="2"/>
  <c r="AM483" i="2"/>
  <c r="AM953" i="2"/>
  <c r="BF393" i="2"/>
  <c r="AP553" i="2"/>
  <c r="AU974" i="2"/>
  <c r="AL421" i="2"/>
  <c r="BF106" i="2"/>
  <c r="AP1072" i="2"/>
  <c r="AL585" i="2"/>
  <c r="BF453" i="2"/>
  <c r="AP645" i="2"/>
  <c r="AU610" i="2"/>
  <c r="BB211" i="2"/>
  <c r="AU520" i="2"/>
  <c r="AU481" i="2"/>
  <c r="AU719" i="2"/>
  <c r="BB647" i="2"/>
  <c r="AM988" i="2"/>
  <c r="AU724" i="2"/>
  <c r="AX584" i="2"/>
  <c r="AP473" i="2"/>
  <c r="BC298" i="2"/>
  <c r="BF820" i="2"/>
  <c r="BF761" i="2"/>
  <c r="BC808" i="2"/>
  <c r="BC974" i="2"/>
  <c r="AM1100" i="2"/>
  <c r="AT967" i="2"/>
  <c r="AT706" i="2"/>
  <c r="AP516" i="2"/>
  <c r="AP112" i="2"/>
  <c r="AU834" i="2"/>
  <c r="AT898" i="2"/>
  <c r="BB201" i="2"/>
  <c r="BC1073" i="2"/>
  <c r="AT105" i="2"/>
  <c r="BB368" i="2"/>
  <c r="AX951" i="2"/>
  <c r="AX650" i="2"/>
  <c r="AU285" i="2"/>
  <c r="BB1092" i="2"/>
  <c r="BB497" i="2"/>
  <c r="AM564" i="2"/>
  <c r="BF229" i="2"/>
  <c r="BF198" i="2"/>
  <c r="AX1062" i="2"/>
  <c r="BC1087" i="2"/>
  <c r="AM147" i="2"/>
  <c r="BC993" i="2"/>
  <c r="BC16" i="2"/>
  <c r="AU342" i="2"/>
  <c r="AX797" i="2"/>
  <c r="BC94" i="2"/>
  <c r="BC852" i="2"/>
  <c r="AP635" i="2"/>
  <c r="BC1022" i="2"/>
  <c r="BF658" i="2"/>
  <c r="AU458" i="2"/>
  <c r="AX1081" i="2"/>
  <c r="AT501" i="2"/>
  <c r="AT369" i="2"/>
  <c r="AX699" i="2"/>
  <c r="BB958" i="2"/>
  <c r="AT865" i="2"/>
  <c r="AT283" i="2"/>
  <c r="AU173" i="2"/>
  <c r="AM597" i="2"/>
  <c r="AX682" i="2"/>
  <c r="BC34" i="2"/>
  <c r="AP47" i="2"/>
  <c r="AM646" i="2"/>
  <c r="BB1032" i="2"/>
  <c r="BB888" i="2"/>
  <c r="AP486" i="2"/>
  <c r="AU806" i="2"/>
  <c r="AT983" i="2"/>
  <c r="AT390" i="2"/>
  <c r="BF756" i="2"/>
  <c r="BC673" i="2"/>
  <c r="AM211" i="2"/>
  <c r="BF772" i="2"/>
  <c r="AP650" i="2"/>
  <c r="BB661" i="2"/>
  <c r="AP849" i="2"/>
  <c r="AX617" i="2"/>
  <c r="AL19" i="2"/>
  <c r="AU661" i="2"/>
  <c r="BB722" i="2"/>
  <c r="AU303" i="2"/>
  <c r="AX605" i="2"/>
  <c r="AP623" i="2"/>
  <c r="AX648" i="2"/>
  <c r="BC1041" i="2"/>
  <c r="AU321" i="2"/>
  <c r="AX944" i="2"/>
  <c r="AT567" i="2"/>
  <c r="AU799" i="2"/>
  <c r="BB729" i="2"/>
  <c r="AP588" i="2"/>
  <c r="AX163" i="2"/>
  <c r="AL689" i="2"/>
  <c r="BC649" i="2"/>
  <c r="BF1044" i="2"/>
  <c r="BC676" i="2"/>
  <c r="AU627" i="2"/>
  <c r="AU1052" i="2"/>
  <c r="AU815" i="2"/>
  <c r="BF936" i="2"/>
  <c r="AU1080" i="2"/>
  <c r="AT1023" i="2"/>
  <c r="AM334" i="2"/>
  <c r="AT588" i="2"/>
  <c r="BC912" i="2"/>
  <c r="AX115" i="2"/>
  <c r="AX267" i="2"/>
  <c r="AU641" i="2"/>
  <c r="AX777" i="2"/>
  <c r="AL1040" i="2"/>
  <c r="AL121" i="2"/>
  <c r="BF541" i="2"/>
  <c r="BC462" i="2"/>
  <c r="BC736" i="2"/>
  <c r="AL891" i="2"/>
  <c r="AL836" i="2"/>
  <c r="BF287" i="2"/>
  <c r="AX445" i="2"/>
  <c r="BC587" i="2"/>
  <c r="BF131" i="2"/>
  <c r="AM958" i="2"/>
  <c r="BC390" i="2"/>
  <c r="AM321" i="2"/>
  <c r="BC469" i="2"/>
  <c r="AT890" i="2"/>
  <c r="AX618" i="2"/>
  <c r="AL526" i="2"/>
  <c r="AT256" i="2"/>
  <c r="AU821" i="2"/>
  <c r="AX1065" i="2"/>
  <c r="AP496" i="2"/>
  <c r="BB685" i="2"/>
  <c r="AM98" i="2"/>
  <c r="BC292" i="2"/>
  <c r="AT1007" i="2"/>
  <c r="AT133" i="2"/>
  <c r="BB863" i="2"/>
  <c r="AP430" i="2"/>
  <c r="BC762" i="2"/>
  <c r="BF425" i="2"/>
  <c r="BB41" i="2"/>
  <c r="AU64" i="2"/>
  <c r="BF148" i="2"/>
  <c r="AX541" i="2"/>
  <c r="BB924" i="2"/>
  <c r="BF478" i="2"/>
  <c r="BF220" i="2"/>
  <c r="AU264" i="2"/>
  <c r="AP537" i="2"/>
  <c r="BB1017" i="2"/>
  <c r="AM68" i="2"/>
  <c r="AX761" i="2"/>
  <c r="BF924" i="2"/>
  <c r="AU236" i="2"/>
  <c r="AT737" i="2"/>
  <c r="AX481" i="2"/>
  <c r="AU747" i="2"/>
  <c r="BC769" i="2"/>
  <c r="AX357" i="2"/>
  <c r="BF962" i="2"/>
  <c r="AT773" i="2"/>
  <c r="AP1052" i="2"/>
  <c r="BC453" i="2"/>
  <c r="BB992" i="2"/>
  <c r="BF583" i="2"/>
  <c r="BC387" i="2"/>
  <c r="BF981" i="2"/>
  <c r="AP17" i="2"/>
  <c r="AX895" i="2"/>
  <c r="AT210" i="2"/>
  <c r="AT1085" i="2"/>
  <c r="BB913" i="2"/>
  <c r="AU865" i="2"/>
  <c r="BC1089" i="2"/>
  <c r="AL573" i="2"/>
  <c r="BC777" i="2"/>
  <c r="AT772" i="2"/>
  <c r="AM490" i="2"/>
  <c r="BF1098" i="2"/>
  <c r="AL203" i="2"/>
  <c r="AL327" i="2"/>
  <c r="AT46" i="2"/>
  <c r="BC215" i="2"/>
  <c r="AM599" i="2"/>
  <c r="AT824" i="2"/>
  <c r="AT951" i="2"/>
  <c r="AU780" i="2"/>
  <c r="BC467" i="2"/>
  <c r="AX258" i="2"/>
  <c r="BF821" i="2"/>
  <c r="AT775" i="2"/>
  <c r="BB738" i="2"/>
  <c r="AT193" i="2"/>
  <c r="BF796" i="2"/>
  <c r="BB676" i="2"/>
  <c r="AU644" i="2"/>
  <c r="AU287" i="2"/>
  <c r="AL189" i="2"/>
  <c r="BC943" i="2"/>
  <c r="BB332" i="2"/>
  <c r="BC599" i="2"/>
  <c r="BB229" i="2"/>
  <c r="BF460" i="2"/>
  <c r="AP457" i="2"/>
  <c r="BB797" i="2"/>
  <c r="AX810" i="2"/>
  <c r="BB329" i="2"/>
  <c r="BF739" i="2"/>
  <c r="AM596" i="2"/>
  <c r="AM658" i="2"/>
  <c r="AU858" i="2"/>
  <c r="AX643" i="2"/>
  <c r="AU459" i="2"/>
  <c r="BB957" i="2"/>
  <c r="BC541" i="2"/>
  <c r="AM326" i="2"/>
  <c r="AU1024" i="2"/>
  <c r="AU700" i="2"/>
  <c r="AM220" i="2"/>
  <c r="AT686" i="2"/>
  <c r="BC1038" i="2"/>
  <c r="BF980" i="2"/>
  <c r="AP1077" i="2"/>
  <c r="AM816" i="2"/>
  <c r="AU512" i="2"/>
  <c r="AM216" i="2"/>
  <c r="BF183" i="2"/>
  <c r="BF215" i="2"/>
  <c r="AU1030" i="2"/>
  <c r="AL580" i="2"/>
  <c r="BC1092" i="2"/>
  <c r="BF200" i="2"/>
  <c r="AX281" i="2"/>
  <c r="AL264" i="2"/>
  <c r="BB548" i="2"/>
  <c r="BC591" i="2"/>
  <c r="BF636" i="2"/>
  <c r="BC669" i="2"/>
  <c r="AX33" i="2"/>
  <c r="AP813" i="2"/>
  <c r="BF1045" i="2"/>
  <c r="AX506" i="2"/>
  <c r="AL474" i="2"/>
  <c r="AU1066" i="2"/>
  <c r="BC205" i="2"/>
  <c r="AL883" i="2"/>
  <c r="BB853" i="2"/>
  <c r="AT106" i="2"/>
  <c r="AX916" i="2"/>
  <c r="BF102" i="2"/>
  <c r="BF653" i="2"/>
  <c r="AT114" i="2"/>
  <c r="AT701" i="2"/>
  <c r="AU786" i="2"/>
  <c r="BB946" i="2"/>
  <c r="AM738" i="2"/>
  <c r="AP971" i="2"/>
  <c r="BC521" i="2"/>
  <c r="BF647" i="2"/>
  <c r="BF416" i="2"/>
  <c r="AL418" i="2"/>
  <c r="AT934" i="2"/>
  <c r="AP924" i="2"/>
  <c r="BF189" i="2"/>
  <c r="BB646" i="2"/>
  <c r="AX809" i="2"/>
  <c r="BB456" i="2"/>
  <c r="BF736" i="2"/>
  <c r="BC806" i="2"/>
  <c r="BB133" i="2"/>
  <c r="BF62" i="2"/>
  <c r="AU1084" i="2"/>
  <c r="AX326" i="2"/>
  <c r="AT519" i="2"/>
  <c r="AM927" i="2"/>
  <c r="AX48" i="2"/>
  <c r="AP976" i="2"/>
  <c r="BB857" i="2"/>
  <c r="AP1093" i="2"/>
  <c r="AL794" i="2"/>
  <c r="BB984" i="2"/>
  <c r="AU921" i="2"/>
  <c r="AM803" i="2"/>
  <c r="AT57" i="2"/>
  <c r="BF112" i="2"/>
  <c r="AX827" i="2"/>
  <c r="BB906" i="2"/>
  <c r="BB186" i="2"/>
  <c r="BF544" i="2"/>
  <c r="AL566" i="2"/>
  <c r="AT516" i="2"/>
  <c r="BC68" i="2"/>
  <c r="BF892" i="2"/>
  <c r="AU835" i="2"/>
  <c r="AU716" i="2"/>
  <c r="AT676" i="2"/>
  <c r="AX735" i="2"/>
  <c r="AM741" i="2"/>
  <c r="BB881" i="2"/>
  <c r="BF986" i="2"/>
  <c r="BB51" i="2"/>
  <c r="AT118" i="2"/>
  <c r="AT673" i="2"/>
  <c r="BF716" i="2"/>
  <c r="AT857" i="2"/>
  <c r="AP350" i="2"/>
  <c r="AT1035" i="2"/>
  <c r="AX702" i="2"/>
  <c r="BB1075" i="2"/>
  <c r="AU663" i="2"/>
  <c r="AX623" i="2"/>
  <c r="AP1020" i="2"/>
  <c r="AL1004" i="2"/>
  <c r="AU292" i="2"/>
  <c r="AP670" i="2"/>
  <c r="AT420" i="2"/>
  <c r="AM764" i="2"/>
  <c r="AT364" i="2"/>
  <c r="BC910" i="2"/>
  <c r="AP174" i="2"/>
  <c r="AX701" i="2"/>
  <c r="AU561" i="2"/>
  <c r="BF703" i="2"/>
  <c r="AT212" i="2"/>
  <c r="AU626" i="2"/>
  <c r="BF614" i="2"/>
  <c r="AX772" i="2"/>
  <c r="BC671" i="2"/>
  <c r="BC23" i="2"/>
  <c r="AP717" i="2"/>
  <c r="BC919" i="2"/>
  <c r="AT570" i="2"/>
  <c r="BC979" i="2"/>
  <c r="BC893" i="2"/>
  <c r="AL1013" i="2"/>
  <c r="AU442" i="2"/>
  <c r="AU710" i="2"/>
  <c r="AT437" i="2"/>
  <c r="BC660" i="2"/>
  <c r="AU654" i="2"/>
  <c r="AM1069" i="2"/>
  <c r="AT1077" i="2"/>
  <c r="BB171" i="2"/>
  <c r="BF740" i="2"/>
  <c r="AM799" i="2"/>
  <c r="BC899" i="2"/>
  <c r="AL835" i="2"/>
  <c r="AT255" i="2"/>
  <c r="AL590" i="2"/>
  <c r="AT219" i="2"/>
  <c r="BF931" i="2"/>
  <c r="BB806" i="2"/>
  <c r="BB371" i="2"/>
  <c r="AT238" i="2"/>
  <c r="BB720" i="2"/>
  <c r="BF293" i="2"/>
  <c r="AM656" i="2"/>
  <c r="BF598" i="2"/>
  <c r="BB669" i="2"/>
  <c r="AL594" i="2"/>
  <c r="AX262" i="2"/>
  <c r="AT66" i="2"/>
  <c r="AM810" i="2"/>
  <c r="BF678" i="2"/>
  <c r="AT216" i="2"/>
  <c r="AT636" i="2"/>
  <c r="BB861" i="2"/>
  <c r="AT709" i="2"/>
  <c r="AL138" i="2"/>
  <c r="AP1043" i="2"/>
  <c r="BC489" i="2"/>
  <c r="AT92" i="2"/>
  <c r="BB1067" i="2"/>
  <c r="AU51" i="2"/>
  <c r="AM1036" i="2"/>
  <c r="AX592" i="2"/>
  <c r="AL223" i="2"/>
  <c r="AX480" i="2"/>
  <c r="AL673" i="2"/>
  <c r="AU327" i="2"/>
  <c r="BB1014" i="2"/>
  <c r="AP285" i="2"/>
  <c r="BB1000" i="2"/>
  <c r="AM512" i="2"/>
  <c r="AT290" i="2"/>
  <c r="BC118" i="2"/>
  <c r="AM542" i="2"/>
  <c r="AX598" i="2"/>
  <c r="BF69" i="2"/>
  <c r="AM770" i="2"/>
  <c r="BF361" i="2"/>
  <c r="AU804" i="2"/>
  <c r="BB192" i="2"/>
  <c r="BF51" i="2"/>
  <c r="AX930" i="2"/>
  <c r="BC260" i="2"/>
  <c r="BF54" i="2"/>
  <c r="BB800" i="2"/>
  <c r="BC1076" i="2"/>
  <c r="AX929" i="2"/>
  <c r="AP815" i="2"/>
  <c r="AU642" i="2"/>
  <c r="AP28" i="2"/>
  <c r="AT571" i="2"/>
  <c r="BF795" i="2"/>
  <c r="AP855" i="2"/>
  <c r="AT232" i="2"/>
  <c r="AP283" i="2"/>
  <c r="BB1076" i="2"/>
  <c r="AP642" i="2"/>
  <c r="AP821" i="2"/>
  <c r="AM309" i="2"/>
  <c r="AU571" i="2"/>
  <c r="BB1066" i="2"/>
  <c r="AT514" i="2"/>
  <c r="AU949" i="2"/>
  <c r="AL271" i="2"/>
  <c r="AT925" i="2"/>
  <c r="BC283" i="2"/>
  <c r="AU1068" i="2"/>
  <c r="AT745" i="2"/>
  <c r="BB1103" i="2"/>
  <c r="BF194" i="2"/>
  <c r="AX632" i="2"/>
  <c r="AM296" i="2"/>
  <c r="AU17" i="2"/>
  <c r="AM51" i="2"/>
  <c r="AL1068" i="2"/>
  <c r="BF238" i="2"/>
  <c r="AL261" i="2"/>
  <c r="BB981" i="2"/>
  <c r="AP307" i="2"/>
  <c r="AT339" i="2"/>
  <c r="AP957" i="2"/>
  <c r="BF462" i="2"/>
  <c r="AX169" i="2"/>
  <c r="BF68" i="2"/>
  <c r="AP960" i="2"/>
  <c r="AL1084" i="2"/>
  <c r="AP497" i="2"/>
  <c r="BB943" i="2"/>
  <c r="BB1044" i="2"/>
  <c r="BB54" i="2"/>
  <c r="AP599" i="2"/>
  <c r="AL855" i="2"/>
  <c r="AX526" i="2"/>
  <c r="AM189" i="2"/>
  <c r="AP655" i="2"/>
  <c r="AP267" i="2"/>
  <c r="AX237" i="2"/>
  <c r="AU1022" i="2"/>
  <c r="AM1016" i="2"/>
  <c r="AP16" i="2"/>
  <c r="AU98" i="2"/>
  <c r="AP782" i="2"/>
  <c r="AT738" i="2"/>
  <c r="BB768" i="2"/>
  <c r="AM673" i="2"/>
  <c r="BC159" i="2"/>
  <c r="BF620" i="2"/>
  <c r="BC601" i="2"/>
  <c r="BB537" i="2"/>
  <c r="AM786" i="2"/>
  <c r="BC1019" i="2"/>
  <c r="AL466" i="2"/>
  <c r="AM480" i="2"/>
  <c r="AP784" i="2"/>
  <c r="AM780" i="2"/>
  <c r="BC392" i="2"/>
  <c r="AM826" i="2"/>
  <c r="AL304" i="2"/>
  <c r="AL693" i="2"/>
  <c r="AT280" i="2"/>
  <c r="BC961" i="2"/>
  <c r="AM338" i="2"/>
  <c r="AT1087" i="2"/>
  <c r="BB489" i="2"/>
  <c r="AL28" i="2"/>
  <c r="AU701" i="2"/>
  <c r="BF737" i="2"/>
  <c r="BF528" i="2"/>
  <c r="AP415" i="2"/>
  <c r="BC804" i="2"/>
  <c r="AU857" i="2"/>
  <c r="AU935" i="2"/>
  <c r="BB626" i="2"/>
  <c r="BF855" i="2"/>
  <c r="AX774" i="2"/>
  <c r="AP67" i="2"/>
  <c r="BB842" i="2"/>
  <c r="AU310" i="2"/>
  <c r="AL27" i="2"/>
  <c r="AP214" i="2"/>
  <c r="AU41" i="2"/>
  <c r="AM175" i="2"/>
  <c r="AU552" i="2"/>
  <c r="AX1042" i="2"/>
  <c r="AP361" i="2"/>
  <c r="BB50" i="2"/>
  <c r="AU224" i="2"/>
  <c r="AX286" i="2"/>
  <c r="AM607" i="2"/>
  <c r="AL483" i="2"/>
  <c r="BC495" i="2"/>
  <c r="AX936" i="2"/>
  <c r="BF792" i="2"/>
  <c r="AM530" i="2"/>
  <c r="AP19" i="2"/>
  <c r="BB167" i="2"/>
  <c r="AP133" i="2"/>
  <c r="AP1045" i="2"/>
  <c r="BF997" i="2"/>
  <c r="AU204" i="2"/>
  <c r="AP1066" i="2"/>
  <c r="AM487" i="2"/>
  <c r="AX321" i="2"/>
  <c r="BC725" i="2"/>
  <c r="AT956" i="2"/>
  <c r="AL221" i="2"/>
  <c r="BB102" i="2"/>
  <c r="AX308" i="2"/>
  <c r="AP1008" i="2"/>
  <c r="AU466" i="2"/>
  <c r="AM1039" i="2"/>
  <c r="AX1092" i="2"/>
  <c r="AX672" i="2"/>
  <c r="AT895" i="2"/>
  <c r="BB788" i="2"/>
  <c r="AU501" i="2"/>
  <c r="AU73" i="2"/>
  <c r="AT923" i="2"/>
  <c r="AP564" i="2"/>
  <c r="BB183" i="2"/>
  <c r="BC70" i="2"/>
  <c r="AX886" i="2"/>
  <c r="BB575" i="2"/>
  <c r="AL692" i="2"/>
  <c r="BF694" i="2"/>
  <c r="BF580" i="2"/>
  <c r="AP544" i="2"/>
  <c r="BC815" i="2"/>
  <c r="BC257" i="2"/>
  <c r="AP906" i="2"/>
  <c r="AM696" i="2"/>
  <c r="BC755" i="2"/>
  <c r="BB122" i="2"/>
  <c r="AT860" i="2"/>
  <c r="BC98" i="2"/>
  <c r="AM552" i="2"/>
  <c r="AL1100" i="2"/>
  <c r="BB393" i="2"/>
  <c r="AX597" i="2"/>
  <c r="BF1091" i="2"/>
  <c r="AX1087" i="2"/>
  <c r="BC856" i="2"/>
  <c r="AU1007" i="2"/>
  <c r="AP951" i="2"/>
  <c r="BF225" i="2"/>
  <c r="BC573" i="2"/>
  <c r="AT900" i="2"/>
  <c r="AX145" i="2"/>
  <c r="BC324" i="2"/>
  <c r="AX784" i="2"/>
  <c r="AU359" i="2"/>
  <c r="AT589" i="2"/>
  <c r="AM716" i="2"/>
  <c r="AU727" i="2"/>
  <c r="AP471" i="2"/>
  <c r="AM615" i="2"/>
  <c r="AM611" i="2"/>
  <c r="BC42" i="2"/>
  <c r="AL1039" i="2"/>
  <c r="AT911" i="2"/>
  <c r="BC1031" i="2"/>
  <c r="AU707" i="2"/>
  <c r="AX23" i="2"/>
  <c r="BF967" i="2"/>
  <c r="AP607" i="2"/>
  <c r="AP574" i="2"/>
  <c r="AL615" i="2"/>
  <c r="BC1100" i="2"/>
  <c r="AT482" i="2"/>
  <c r="AX154" i="2"/>
  <c r="BB756" i="2"/>
  <c r="BC792" i="2"/>
  <c r="AM323" i="2"/>
  <c r="AP157" i="2"/>
  <c r="BB70" i="2"/>
  <c r="AM508" i="2"/>
  <c r="AL114" i="2"/>
  <c r="BF864" i="2"/>
  <c r="AL1016" i="2"/>
  <c r="AX41" i="2"/>
  <c r="BB699" i="2"/>
  <c r="BB280" i="2"/>
  <c r="AU293" i="2"/>
  <c r="BB272" i="2"/>
  <c r="BF593" i="2"/>
  <c r="AU108" i="2"/>
  <c r="BC679" i="2"/>
  <c r="AT350" i="2"/>
  <c r="AL973" i="2"/>
  <c r="AX829" i="2"/>
  <c r="AT903" i="2"/>
  <c r="AT388" i="2"/>
  <c r="AX844" i="2"/>
  <c r="AM585" i="2"/>
  <c r="AX978" i="2"/>
  <c r="BF670" i="2"/>
  <c r="AM747" i="2"/>
  <c r="BF513" i="2"/>
  <c r="BF360" i="2"/>
  <c r="BC32" i="2"/>
  <c r="BC223" i="2"/>
  <c r="AX914" i="2"/>
  <c r="BB52" i="2"/>
  <c r="BF16" i="2"/>
  <c r="AM205" i="2"/>
  <c r="BB754" i="2"/>
  <c r="AT984" i="2"/>
  <c r="BC475" i="2"/>
  <c r="AM981" i="2"/>
  <c r="AT226" i="2"/>
  <c r="AL302" i="2"/>
  <c r="AL890" i="2"/>
  <c r="BF350" i="2"/>
  <c r="AU1054" i="2"/>
  <c r="AT715" i="2"/>
  <c r="BB1081" i="2"/>
  <c r="AM394" i="2"/>
  <c r="AL272" i="2"/>
  <c r="AT95" i="2"/>
  <c r="AM688" i="2"/>
  <c r="BB812" i="2"/>
  <c r="AL107" i="2"/>
  <c r="AX962" i="2"/>
  <c r="BC863" i="2"/>
  <c r="AU283" i="2"/>
  <c r="AU1037" i="2"/>
  <c r="BB467" i="2"/>
  <c r="BB118" i="2"/>
  <c r="AM984" i="2"/>
  <c r="BB32" i="2"/>
  <c r="BB129" i="2"/>
  <c r="BB680" i="2"/>
  <c r="AX688" i="2"/>
  <c r="AP808" i="2"/>
  <c r="AM692" i="2"/>
  <c r="AP788" i="2"/>
  <c r="BF894" i="2"/>
  <c r="BC666" i="2"/>
  <c r="AU227" i="2"/>
  <c r="AX59" i="2"/>
  <c r="AX905" i="2"/>
  <c r="BB561" i="2"/>
  <c r="AT940" i="2"/>
  <c r="BC1084" i="2"/>
  <c r="BF633" i="2"/>
  <c r="AX444" i="2"/>
  <c r="AL892" i="2"/>
  <c r="AP1025" i="2"/>
  <c r="AP1011" i="2"/>
  <c r="BF1100" i="2"/>
  <c r="AT389" i="2"/>
  <c r="AT225" i="2"/>
  <c r="AM930" i="2"/>
  <c r="AP1033" i="2"/>
  <c r="BC741" i="2"/>
  <c r="BC137" i="2"/>
  <c r="AP107" i="2"/>
  <c r="BF988" i="2"/>
  <c r="BF508" i="2"/>
  <c r="BB296" i="2"/>
  <c r="AX742" i="2"/>
  <c r="AT430" i="2"/>
  <c r="BC851" i="2"/>
  <c r="BB641" i="2"/>
  <c r="AX748" i="2"/>
  <c r="AX612" i="2"/>
  <c r="AX595" i="2"/>
  <c r="AP360" i="2"/>
  <c r="AX620" i="2"/>
  <c r="BC844" i="2"/>
  <c r="BF558" i="2"/>
  <c r="AP213" i="2"/>
  <c r="BF1056" i="2"/>
  <c r="AT427" i="2"/>
  <c r="AL696" i="2"/>
  <c r="BC1049" i="2"/>
  <c r="BC150" i="2"/>
  <c r="AL514" i="2"/>
  <c r="BB608" i="2"/>
  <c r="BC978" i="2"/>
  <c r="BF98" i="2"/>
  <c r="AM960" i="2"/>
  <c r="AT43" i="2"/>
  <c r="AT610" i="2"/>
  <c r="AP762" i="2"/>
  <c r="AU502" i="2"/>
  <c r="BF1031" i="2"/>
  <c r="AP235" i="2"/>
  <c r="AU798" i="2"/>
  <c r="BC163" i="2"/>
  <c r="BB223" i="2"/>
  <c r="BC189" i="2"/>
  <c r="AT300" i="2"/>
  <c r="AT509" i="2"/>
  <c r="AP34" i="2"/>
  <c r="AP680" i="2"/>
  <c r="AU698" i="2"/>
  <c r="AT952" i="2"/>
  <c r="AX1043" i="2"/>
  <c r="AM1064" i="2"/>
  <c r="AM567" i="2"/>
  <c r="AT587" i="2"/>
  <c r="BB104" i="2"/>
  <c r="AX850" i="2"/>
  <c r="BB512" i="2"/>
  <c r="BC364" i="2"/>
  <c r="AT796" i="2"/>
  <c r="AM200" i="2"/>
  <c r="AT1043" i="2"/>
  <c r="BC293" i="2"/>
  <c r="AU212" i="2"/>
  <c r="BC332" i="2"/>
  <c r="AU674" i="2"/>
  <c r="AM666" i="2"/>
  <c r="AU394" i="2"/>
  <c r="BB1063" i="2"/>
  <c r="AT959" i="2"/>
  <c r="BC810" i="2"/>
  <c r="AP504" i="2"/>
  <c r="BB901" i="2"/>
  <c r="AU515" i="2"/>
  <c r="BB688" i="2"/>
  <c r="AM121" i="2"/>
  <c r="BB850" i="2"/>
  <c r="AU42" i="2"/>
  <c r="AM258" i="2"/>
  <c r="BF118" i="2"/>
  <c r="BB387" i="2"/>
  <c r="BB839" i="2"/>
  <c r="AM840" i="2"/>
  <c r="AX68" i="2"/>
  <c r="BC50" i="2"/>
  <c r="AU1098" i="2"/>
  <c r="BF442" i="2"/>
  <c r="BB1018" i="2"/>
  <c r="AL237" i="2"/>
  <c r="BF867" i="2"/>
  <c r="BB531" i="2"/>
  <c r="AX993" i="2"/>
  <c r="BF976" i="2"/>
  <c r="BC816" i="2"/>
  <c r="AX727" i="2"/>
  <c r="AU441" i="2"/>
  <c r="AT778" i="2"/>
  <c r="AU46" i="2"/>
  <c r="AT1100" i="2"/>
  <c r="AL538" i="2"/>
  <c r="AL218" i="2"/>
  <c r="AT71" i="2"/>
  <c r="AP1036" i="2"/>
  <c r="BB866" i="2"/>
  <c r="AT659" i="2"/>
  <c r="AL255" i="2"/>
  <c r="AP727" i="2"/>
  <c r="BC430" i="2"/>
  <c r="AP493" i="2"/>
  <c r="AL885" i="2"/>
  <c r="BF526" i="2"/>
  <c r="BB1093" i="2"/>
  <c r="BC514" i="2"/>
  <c r="AX1020" i="2"/>
  <c r="AL175" i="2"/>
  <c r="BF1012" i="2"/>
  <c r="AM472" i="2"/>
  <c r="AM159" i="2"/>
  <c r="AL737" i="2"/>
  <c r="AU726" i="2"/>
  <c r="AP673" i="2"/>
  <c r="AP102" i="2"/>
  <c r="AU972" i="2"/>
  <c r="AL337" i="2"/>
  <c r="BB458" i="2"/>
  <c r="AT307" i="2"/>
  <c r="AL476" i="2"/>
  <c r="AX188" i="2"/>
  <c r="AM854" i="2"/>
  <c r="AT988" i="2"/>
  <c r="AT158" i="2"/>
  <c r="BF498" i="2"/>
  <c r="AP492" i="2"/>
  <c r="AM515" i="2"/>
  <c r="BF881" i="2"/>
  <c r="AM976" i="2"/>
  <c r="BC360" i="2"/>
  <c r="AM1005" i="2"/>
  <c r="BB883" i="2"/>
  <c r="AU762" i="2"/>
  <c r="AU32" i="2"/>
  <c r="BC291" i="2"/>
  <c r="AX67" i="2"/>
  <c r="AM109" i="2"/>
  <c r="BB599" i="2"/>
  <c r="BF649" i="2"/>
  <c r="BB260" i="2"/>
  <c r="AX721" i="2"/>
  <c r="AX773" i="2"/>
  <c r="AM700" i="2"/>
  <c r="BB524" i="2"/>
  <c r="BC931" i="2"/>
  <c r="AX114" i="2"/>
  <c r="BF572" i="2"/>
  <c r="AU1051" i="2"/>
  <c r="AM485" i="2"/>
  <c r="BB624" i="2"/>
  <c r="AT1065" i="2"/>
  <c r="AL871" i="2"/>
  <c r="BF382" i="2"/>
  <c r="AL701" i="2"/>
  <c r="BC421" i="2"/>
  <c r="AU651" i="2"/>
  <c r="AP830" i="2"/>
  <c r="AU754" i="2"/>
  <c r="BF429" i="2"/>
  <c r="AM612" i="2"/>
  <c r="AM595" i="2"/>
  <c r="AL740" i="2"/>
  <c r="AM272" i="2"/>
  <c r="AL369" i="2"/>
  <c r="BF285" i="2"/>
  <c r="AP48" i="2"/>
  <c r="BB441" i="2"/>
  <c r="AU957" i="2"/>
  <c r="BC612" i="2"/>
  <c r="BF481" i="2"/>
  <c r="AU226" i="2"/>
  <c r="AU639" i="2"/>
  <c r="AX47" i="2"/>
  <c r="AM280" i="2"/>
  <c r="BB723" i="2"/>
  <c r="AL1062" i="2"/>
  <c r="BF464" i="2"/>
  <c r="BF610" i="2"/>
  <c r="BC554" i="2"/>
  <c r="BC768" i="2"/>
  <c r="BB235" i="2"/>
  <c r="AX715" i="2"/>
  <c r="AL812" i="2"/>
  <c r="AT441" i="2"/>
  <c r="AM1079" i="2"/>
  <c r="BC532" i="2"/>
  <c r="AX453" i="2"/>
  <c r="BB94" i="2"/>
  <c r="BC106" i="2"/>
  <c r="BC836" i="2"/>
  <c r="AU738" i="2"/>
  <c r="AL169" i="2"/>
  <c r="AU884" i="2"/>
  <c r="AP1065" i="2"/>
  <c r="AX1077" i="2"/>
  <c r="AU592" i="2"/>
  <c r="AL759" i="2"/>
  <c r="AT168" i="2"/>
  <c r="AL780" i="2"/>
  <c r="AX458" i="2"/>
  <c r="AT1042" i="2"/>
  <c r="AX915" i="2"/>
  <c r="AU954" i="2"/>
  <c r="AX984" i="2"/>
  <c r="AP935" i="2"/>
  <c r="AP1064" i="2"/>
  <c r="AX782" i="2"/>
  <c r="BB518" i="2"/>
  <c r="BB579" i="2"/>
  <c r="AM903" i="2"/>
  <c r="BF364" i="2"/>
  <c r="BC1046" i="2"/>
  <c r="BB66" i="2"/>
  <c r="AP219" i="2"/>
  <c r="BC1098" i="2"/>
  <c r="BB829" i="2"/>
  <c r="AU634" i="2"/>
  <c r="BC1097" i="2"/>
  <c r="AU647" i="2"/>
  <c r="AL47" i="2"/>
  <c r="AM91" i="2"/>
  <c r="AX677" i="2"/>
  <c r="AL592" i="2"/>
  <c r="AL1064" i="2"/>
  <c r="BC130" i="2"/>
  <c r="AT1040" i="2"/>
  <c r="BC115" i="2"/>
  <c r="AL683" i="2"/>
  <c r="BC485" i="2"/>
  <c r="AT1011" i="2"/>
  <c r="BC322" i="2"/>
  <c r="AT863" i="2"/>
  <c r="AT722" i="2"/>
  <c r="BF486" i="2"/>
  <c r="AX1068" i="2"/>
  <c r="BB702" i="2"/>
  <c r="AM227" i="2"/>
  <c r="AL705" i="2"/>
  <c r="BF465" i="2"/>
  <c r="BB885" i="2"/>
  <c r="AX885" i="2"/>
  <c r="BF1033" i="2"/>
  <c r="AX845" i="2"/>
  <c r="AL600" i="2"/>
  <c r="AT518" i="2"/>
  <c r="AT671" i="2"/>
  <c r="BC779" i="2"/>
  <c r="BB303" i="2"/>
  <c r="AL779" i="2"/>
  <c r="AP1078" i="2"/>
  <c r="AL684" i="2"/>
  <c r="BF533" i="2"/>
  <c r="AX628" i="2"/>
  <c r="AU586" i="2"/>
  <c r="AT523" i="2"/>
  <c r="AX602" i="2"/>
  <c r="AL668" i="2"/>
  <c r="AL562" i="2"/>
  <c r="AU193" i="2"/>
  <c r="AX902" i="2"/>
  <c r="AU473" i="2"/>
  <c r="AT1009" i="2"/>
  <c r="AX132" i="2"/>
  <c r="AM184" i="2"/>
  <c r="BF48" i="2"/>
  <c r="AX947" i="2"/>
  <c r="BF430" i="2"/>
  <c r="AL674" i="2"/>
  <c r="BF911" i="2"/>
  <c r="AP693" i="2"/>
  <c r="AL713" i="2"/>
  <c r="AU914" i="2"/>
  <c r="AP741" i="2"/>
  <c r="AM156" i="2"/>
  <c r="BC269" i="2"/>
  <c r="AT334" i="2"/>
  <c r="BC827" i="2"/>
  <c r="BF730" i="2"/>
  <c r="BB1045" i="2"/>
  <c r="AX508" i="2"/>
  <c r="AP108" i="2"/>
  <c r="BF171" i="2"/>
  <c r="BC499" i="2"/>
  <c r="AP638" i="2"/>
  <c r="AM986" i="2"/>
  <c r="BB619" i="2"/>
  <c r="AT566" i="2"/>
  <c r="AL1007" i="2"/>
  <c r="BF155" i="2"/>
  <c r="AP641" i="2"/>
  <c r="AT391" i="2"/>
  <c r="AT258" i="2"/>
  <c r="AL889" i="2"/>
  <c r="BC436" i="2"/>
  <c r="AM649" i="2"/>
  <c r="AP738" i="2"/>
  <c r="AP972" i="2"/>
  <c r="BB306" i="2"/>
  <c r="BC667" i="2"/>
  <c r="AU604" i="2"/>
  <c r="AP343" i="2"/>
  <c r="AM582" i="2"/>
  <c r="AT579" i="2"/>
  <c r="AM757" i="2"/>
  <c r="AX816" i="2"/>
  <c r="AL326" i="2"/>
  <c r="AP50" i="2"/>
  <c r="AX729" i="2"/>
  <c r="AX570" i="2"/>
  <c r="AM442" i="2"/>
  <c r="BB294" i="2"/>
  <c r="BC303" i="2"/>
  <c r="AX1098" i="2"/>
  <c r="BF934" i="2"/>
  <c r="AP1017" i="2"/>
  <c r="AU688" i="2"/>
  <c r="AM573" i="2"/>
  <c r="BC365" i="2"/>
  <c r="AM850" i="2"/>
  <c r="BB470" i="2"/>
  <c r="BB711" i="2"/>
  <c r="AM982" i="2"/>
  <c r="AU302" i="2"/>
  <c r="AM369" i="2"/>
  <c r="AT885" i="2"/>
  <c r="AX583" i="2"/>
  <c r="BB384" i="2"/>
  <c r="AU549" i="2"/>
  <c r="BF485" i="2"/>
  <c r="AU499" i="2"/>
  <c r="AU371" i="2"/>
  <c r="BB1056" i="2"/>
  <c r="AM987" i="2"/>
  <c r="AP828" i="2"/>
  <c r="AL105" i="2"/>
  <c r="BF843" i="2"/>
  <c r="AM765" i="2"/>
  <c r="BC858" i="2"/>
  <c r="BF656" i="2"/>
  <c r="BC685" i="2"/>
  <c r="AU973" i="2"/>
  <c r="AM513" i="2"/>
  <c r="AU1035" i="2"/>
  <c r="AT160" i="2"/>
  <c r="AL881" i="2"/>
  <c r="AM560" i="2"/>
  <c r="BC231" i="2"/>
  <c r="AX690" i="2"/>
  <c r="AT1034" i="2"/>
  <c r="BF818" i="2"/>
  <c r="AM422" i="2"/>
  <c r="BB511" i="2"/>
  <c r="BF299" i="2"/>
  <c r="AM834" i="2"/>
  <c r="BC814" i="2"/>
  <c r="BC286" i="2"/>
  <c r="BF255" i="2"/>
  <c r="AX640" i="2"/>
  <c r="AX743" i="2"/>
  <c r="AU756" i="2"/>
  <c r="AU529" i="2"/>
  <c r="AX889" i="2"/>
  <c r="AU429" i="2"/>
  <c r="AM937" i="2"/>
  <c r="AP836" i="2"/>
  <c r="AP922" i="2"/>
  <c r="AX1090" i="2"/>
  <c r="AM743" i="2"/>
  <c r="AX830" i="2"/>
  <c r="AX881" i="2"/>
  <c r="AU537" i="2"/>
  <c r="AU978" i="2"/>
  <c r="BF254" i="2"/>
  <c r="AP184" i="2"/>
  <c r="AT497" i="2"/>
  <c r="AP949" i="2"/>
  <c r="AM918" i="2"/>
  <c r="BB809" i="2"/>
  <c r="AM66" i="2"/>
  <c r="AX972" i="2"/>
  <c r="BB920" i="2"/>
  <c r="AL349" i="2"/>
  <c r="AX300" i="2"/>
  <c r="BB290" i="2"/>
  <c r="BF93" i="2"/>
  <c r="AT218" i="2"/>
  <c r="BC620" i="2"/>
  <c r="AU748" i="2"/>
  <c r="AL856" i="2"/>
  <c r="AX901" i="2"/>
  <c r="AP852" i="2"/>
  <c r="AT586" i="2"/>
  <c r="AL487" i="2"/>
  <c r="AL716" i="2"/>
  <c r="AU860" i="2"/>
  <c r="AP546" i="2"/>
  <c r="AM335" i="2"/>
  <c r="AL921" i="2"/>
  <c r="AT581" i="2"/>
  <c r="BC131" i="2"/>
  <c r="BB528" i="2"/>
  <c r="AX265" i="2"/>
  <c r="AT1051" i="2"/>
  <c r="AT770" i="2"/>
  <c r="AX892" i="2"/>
  <c r="AP810" i="2"/>
  <c r="AX763" i="2"/>
  <c r="BC934" i="2"/>
  <c r="AU28" i="2"/>
  <c r="AM790" i="2"/>
  <c r="BC619" i="2"/>
  <c r="AU522" i="2"/>
  <c r="AP1007" i="2"/>
  <c r="AU660" i="2"/>
  <c r="AX924" i="2"/>
  <c r="AT761" i="2"/>
  <c r="BB279" i="2"/>
  <c r="AU434" i="2"/>
  <c r="AX572" i="2"/>
  <c r="AP954" i="2"/>
  <c r="AP228" i="2"/>
  <c r="BB681" i="2"/>
  <c r="AP669" i="2"/>
  <c r="BC201" i="2"/>
  <c r="AM855" i="2"/>
  <c r="AL1092" i="2"/>
  <c r="AX301" i="2"/>
  <c r="AP409" i="2"/>
  <c r="AU967" i="2"/>
  <c r="AU945" i="2"/>
  <c r="BC160" i="2"/>
  <c r="AU1085" i="2"/>
  <c r="AX138" i="2"/>
  <c r="AP524" i="2"/>
  <c r="AL725" i="2"/>
  <c r="AT146" i="2"/>
  <c r="AT93" i="2"/>
  <c r="AT322" i="2"/>
  <c r="AP73" i="2"/>
  <c r="AM362" i="2"/>
  <c r="BF454" i="2"/>
  <c r="AU673" i="2"/>
  <c r="BB655" i="2"/>
  <c r="AM345" i="2"/>
  <c r="BC607" i="2"/>
  <c r="BB759" i="2"/>
  <c r="AL788" i="2"/>
  <c r="AX986" i="2"/>
  <c r="AT564" i="2"/>
  <c r="BC772" i="2"/>
  <c r="AM867" i="2"/>
  <c r="AU474" i="2"/>
  <c r="BF995" i="2"/>
  <c r="AX923" i="2"/>
  <c r="AM116" i="2"/>
  <c r="AX157" i="2"/>
  <c r="AP801" i="2"/>
  <c r="BB168" i="2"/>
  <c r="AL789" i="2"/>
  <c r="BC765" i="2"/>
  <c r="AM679" i="2"/>
  <c r="BB390" i="2"/>
  <c r="AT1045" i="2"/>
  <c r="BB91" i="2"/>
  <c r="BF927" i="2"/>
  <c r="AM593" i="2"/>
  <c r="AX1057" i="2"/>
  <c r="BC348" i="2"/>
  <c r="AX900" i="2"/>
  <c r="AU112" i="2"/>
  <c r="BB453" i="2"/>
  <c r="AX979" i="2"/>
  <c r="BC1068" i="2"/>
  <c r="AP462" i="2"/>
  <c r="AX974" i="2"/>
  <c r="BF133" i="2"/>
  <c r="BF829" i="2"/>
  <c r="BC834" i="2"/>
  <c r="AL634" i="2"/>
  <c r="BC767" i="2"/>
  <c r="AT1013" i="2"/>
  <c r="AT590" i="2"/>
  <c r="AM339" i="2"/>
  <c r="BB995" i="2"/>
  <c r="AL1079" i="2"/>
  <c r="AM176" i="2"/>
  <c r="BB644" i="2"/>
  <c r="AL772" i="2"/>
  <c r="BF483" i="2"/>
  <c r="AP562" i="2"/>
  <c r="BC143" i="2"/>
  <c r="AX1017" i="2"/>
  <c r="BB204" i="2"/>
  <c r="AT649" i="2"/>
  <c r="BB73" i="2"/>
  <c r="AX223" i="2"/>
  <c r="AP681" i="2"/>
  <c r="AX989" i="2"/>
  <c r="BB208" i="2"/>
  <c r="AT411" i="2"/>
  <c r="AL119" i="2"/>
  <c r="BF797" i="2"/>
  <c r="AM187" i="2"/>
  <c r="AX737" i="2"/>
  <c r="BB490" i="2"/>
  <c r="AX542" i="2"/>
  <c r="BF132" i="2"/>
  <c r="AT629" i="2"/>
  <c r="BB791" i="2"/>
  <c r="AL331" i="2"/>
  <c r="AU396" i="2"/>
  <c r="AM282" i="2"/>
  <c r="BF994" i="2"/>
  <c r="AX540" i="2"/>
  <c r="AL1036" i="2"/>
  <c r="AT1073" i="2"/>
  <c r="BB1100" i="2"/>
  <c r="AP52" i="2"/>
  <c r="AM1008" i="2"/>
  <c r="AU584" i="2"/>
  <c r="AT834" i="2"/>
  <c r="AL873" i="2"/>
  <c r="AM572" i="2"/>
  <c r="AP605" i="2"/>
  <c r="AL1043" i="2"/>
  <c r="AP72" i="2"/>
  <c r="AU281" i="2"/>
  <c r="AL308" i="2"/>
  <c r="AM138" i="2"/>
  <c r="BC389" i="2"/>
  <c r="AL332" i="2"/>
  <c r="BB138" i="2"/>
  <c r="AM784" i="2"/>
  <c r="AT489" i="2"/>
  <c r="BF433" i="2"/>
  <c r="AP42" i="2"/>
  <c r="BF667" i="2"/>
  <c r="AP932" i="2"/>
  <c r="AT658" i="2"/>
  <c r="AP803" i="2"/>
  <c r="AT40" i="2"/>
  <c r="AU1018" i="2"/>
  <c r="AP255" i="2"/>
  <c r="AT854" i="2"/>
  <c r="AT699" i="2"/>
  <c r="BB764" i="2"/>
  <c r="AL33" i="2"/>
  <c r="BF221" i="2"/>
  <c r="AM791" i="2"/>
  <c r="BF668" i="2"/>
  <c r="BB591" i="2"/>
  <c r="BF576" i="2"/>
  <c r="BC1032" i="2"/>
  <c r="BF770" i="2"/>
  <c r="AM1098" i="2"/>
  <c r="AP517" i="2"/>
  <c r="AM371" i="2"/>
  <c r="AT524" i="2"/>
  <c r="AM157" i="2"/>
  <c r="AU783" i="2"/>
  <c r="AL826" i="2"/>
  <c r="AP513" i="2"/>
  <c r="AU591" i="2"/>
  <c r="BF557" i="2"/>
  <c r="BB898" i="2"/>
  <c r="AL266" i="2"/>
  <c r="BB1054" i="2"/>
  <c r="AU306" i="2"/>
  <c r="AU822" i="2"/>
  <c r="AU901" i="2"/>
  <c r="BF687" i="2"/>
  <c r="BF34" i="2"/>
  <c r="AU918" i="2"/>
  <c r="AP561" i="2"/>
  <c r="BC433" i="2"/>
  <c r="AL329" i="2"/>
  <c r="BF672" i="2"/>
  <c r="AT980" i="2"/>
  <c r="AP708" i="2"/>
  <c r="AX669" i="2"/>
  <c r="AU695" i="2"/>
  <c r="AU455" i="2"/>
  <c r="BF427" i="2"/>
  <c r="BF475" i="2"/>
  <c r="AU151" i="2"/>
  <c r="BF957" i="2"/>
  <c r="AM1015" i="2"/>
  <c r="AU496" i="2"/>
  <c r="AL34" i="2"/>
  <c r="BF987" i="2"/>
  <c r="BB813" i="2"/>
  <c r="AM806" i="2"/>
  <c r="AT132" i="2"/>
  <c r="BC344" i="2"/>
  <c r="AM574" i="2"/>
  <c r="AT779" i="2"/>
  <c r="AX708" i="2"/>
  <c r="AL197" i="2"/>
  <c r="BC990" i="2"/>
  <c r="BB57" i="2"/>
  <c r="AT254" i="2"/>
  <c r="AX350" i="2"/>
  <c r="AP889" i="2"/>
  <c r="BB716" i="2"/>
  <c r="AL131" i="2"/>
  <c r="BB658" i="2"/>
  <c r="AT287" i="2"/>
  <c r="AP1039" i="2"/>
  <c r="BF861" i="2"/>
  <c r="AT852" i="2"/>
  <c r="AP714" i="2"/>
  <c r="AM558" i="2"/>
  <c r="AM118" i="2"/>
  <c r="AX522" i="2"/>
  <c r="AX636" i="2"/>
  <c r="BF675" i="2"/>
  <c r="AL887" i="2"/>
  <c r="AT416" i="2"/>
  <c r="AM134" i="2"/>
  <c r="BB845" i="2"/>
  <c r="BB728" i="2"/>
  <c r="BC452" i="2"/>
  <c r="AP1092" i="2"/>
  <c r="AM225" i="2"/>
  <c r="AU370" i="2"/>
  <c r="AL937" i="2"/>
  <c r="AT933" i="2"/>
  <c r="AT270" i="2"/>
  <c r="AP287" i="2"/>
  <c r="AU580" i="2"/>
  <c r="AT645" i="2"/>
  <c r="BC641" i="2"/>
  <c r="AX164" i="2"/>
  <c r="AP636" i="2"/>
  <c r="AX966" i="2"/>
  <c r="AX459" i="2"/>
  <c r="AP171" i="2"/>
  <c r="BB357" i="2"/>
  <c r="AU1008" i="2"/>
  <c r="AM824" i="2"/>
  <c r="BB475" i="2"/>
  <c r="AU797" i="2"/>
  <c r="AP847" i="2"/>
  <c r="AM254" i="2"/>
  <c r="BC805" i="2"/>
  <c r="AU464" i="2"/>
  <c r="AM949" i="2"/>
  <c r="AT627" i="2"/>
  <c r="AL301" i="2"/>
  <c r="AM433" i="2"/>
  <c r="BB1085" i="2"/>
  <c r="BB650" i="2"/>
  <c r="BF348" i="2"/>
  <c r="BC108" i="2"/>
  <c r="AX503" i="2"/>
  <c r="BF547" i="2"/>
  <c r="AP715" i="2"/>
  <c r="AM304" i="2"/>
  <c r="BF165" i="2"/>
  <c r="AT485" i="2"/>
  <c r="AP306" i="2"/>
  <c r="AU52" i="2"/>
  <c r="BC548" i="2"/>
  <c r="AU1063" i="2"/>
  <c r="AX292" i="2"/>
  <c r="BC302" i="2"/>
  <c r="AL442" i="2"/>
  <c r="BB959" i="2"/>
  <c r="BB899" i="2"/>
  <c r="AU849" i="2"/>
  <c r="AX422" i="2"/>
  <c r="AM290" i="2"/>
  <c r="BB14" i="2"/>
  <c r="BB281" i="2"/>
  <c r="AM621" i="2"/>
  <c r="BC748" i="2"/>
  <c r="AU183" i="2"/>
  <c r="AM477" i="2"/>
  <c r="AU845" i="2"/>
  <c r="AP653" i="2"/>
  <c r="AL299" i="2"/>
  <c r="AL960" i="2"/>
  <c r="BB586" i="2"/>
  <c r="BF329" i="2"/>
  <c r="AL361" i="2"/>
  <c r="AP148" i="2"/>
  <c r="BC822" i="2"/>
  <c r="AT107" i="2"/>
  <c r="AU1045" i="2"/>
  <c r="AT143" i="2"/>
  <c r="BB687" i="2"/>
  <c r="BC1075" i="2"/>
  <c r="AL52" i="2"/>
  <c r="AX217" i="2"/>
  <c r="AM365" i="2"/>
  <c r="AL859" i="2"/>
  <c r="BF759" i="2"/>
  <c r="AL680" i="2"/>
  <c r="AU606" i="2"/>
  <c r="AM807" i="2"/>
  <c r="AM496" i="2"/>
  <c r="AL368" i="2"/>
  <c r="BC46" i="2"/>
  <c r="AX977" i="2"/>
  <c r="AT59" i="2"/>
  <c r="AM268" i="2"/>
  <c r="AM614" i="2"/>
  <c r="AU485" i="2"/>
  <c r="AT491" i="2"/>
  <c r="AU162" i="2"/>
  <c r="AT687" i="2"/>
  <c r="AM1027" i="2"/>
  <c r="BF852" i="2"/>
  <c r="AU19" i="2"/>
  <c r="AT48" i="2"/>
  <c r="BC1034" i="2"/>
  <c r="BB155" i="2"/>
  <c r="AL1063" i="2"/>
  <c r="BF192" i="2"/>
  <c r="BF912" i="2"/>
  <c r="AL1074" i="2"/>
  <c r="AU544" i="2"/>
  <c r="AP167" i="2"/>
  <c r="AL979" i="2"/>
  <c r="AM436" i="2"/>
  <c r="AX961" i="2"/>
  <c r="AM481" i="2"/>
  <c r="AM817" i="2"/>
  <c r="AT203" i="2"/>
  <c r="AL743" i="2"/>
  <c r="BF800" i="2"/>
  <c r="AU230" i="2"/>
  <c r="AP570" i="2"/>
  <c r="BF108" i="2"/>
  <c r="AM146" i="2"/>
  <c r="AT666" i="2"/>
  <c r="AU1012" i="2"/>
  <c r="BF763" i="2"/>
  <c r="AU990" i="2"/>
  <c r="AL133" i="2"/>
  <c r="AP937" i="2"/>
  <c r="AL1046" i="2"/>
  <c r="AM265" i="2"/>
  <c r="AU960" i="2"/>
  <c r="AM823" i="2"/>
  <c r="AP682" i="2"/>
  <c r="AX1089" i="2"/>
  <c r="AU600" i="2"/>
  <c r="BB1031" i="2"/>
  <c r="AT690" i="2"/>
  <c r="AP1063" i="2"/>
  <c r="AM410" i="2"/>
  <c r="AX817" i="2"/>
  <c r="AM197" i="2"/>
  <c r="AP958" i="2"/>
  <c r="AT734" i="2"/>
  <c r="AX756" i="2"/>
  <c r="AX366" i="2"/>
  <c r="AP964" i="2"/>
  <c r="AT112" i="2"/>
  <c r="AM129" i="2"/>
  <c r="AU672" i="2"/>
  <c r="AM161" i="2"/>
  <c r="AT683" i="2"/>
  <c r="AX1050" i="2"/>
  <c r="AX109" i="2"/>
  <c r="BB553" i="2"/>
  <c r="AL1026" i="2"/>
  <c r="AX112" i="2"/>
  <c r="AM951" i="2"/>
  <c r="BC1016" i="2"/>
  <c r="AP654" i="2"/>
  <c r="BB719" i="2"/>
  <c r="AP208" i="2"/>
  <c r="BF629" i="2"/>
  <c r="BF921" i="2"/>
  <c r="BF623" i="2"/>
  <c r="AX1036" i="2"/>
  <c r="BF862" i="2"/>
  <c r="AP966" i="2"/>
  <c r="BB962" i="2"/>
  <c r="AP555" i="2"/>
  <c r="AT712" i="2"/>
  <c r="BF415" i="2"/>
  <c r="AP91" i="2"/>
  <c r="AP683" i="2"/>
  <c r="BF1009" i="2"/>
  <c r="AM657" i="2"/>
  <c r="BB343" i="2"/>
  <c r="AM308" i="2"/>
  <c r="AM676" i="2"/>
  <c r="AU290" i="2"/>
  <c r="BF879" i="2"/>
  <c r="AU487" i="2"/>
  <c r="BC702" i="2"/>
  <c r="AM149" i="2"/>
  <c r="BC881" i="2"/>
  <c r="AT855" i="2"/>
  <c r="AP846" i="2"/>
  <c r="BC417" i="2"/>
  <c r="BC1062" i="2"/>
  <c r="AU144" i="2"/>
  <c r="AU427" i="2"/>
  <c r="AU298" i="2"/>
  <c r="AP921" i="2"/>
  <c r="BF884" i="2"/>
  <c r="BF333" i="2"/>
  <c r="AM426" i="2"/>
  <c r="AU261" i="2"/>
  <c r="AM167" i="2"/>
  <c r="AX247" i="2"/>
  <c r="BF223" i="2"/>
  <c r="AU168" i="2"/>
  <c r="AU774" i="2"/>
  <c r="AT338" i="2"/>
  <c r="AT26" i="2"/>
  <c r="AL292" i="2"/>
  <c r="AU1103" i="2"/>
  <c r="AX711" i="2"/>
  <c r="AL228" i="2"/>
  <c r="AL981" i="2"/>
  <c r="AM212" i="2"/>
  <c r="AU270" i="2"/>
  <c r="AL325" i="2"/>
  <c r="AP556" i="2"/>
  <c r="AU57" i="2"/>
  <c r="AX613" i="2"/>
  <c r="BB477" i="2"/>
  <c r="BB188" i="2"/>
  <c r="BB568" i="2"/>
  <c r="AP982" i="2"/>
  <c r="AM405" i="2"/>
  <c r="BB914" i="2"/>
  <c r="AX122" i="2"/>
  <c r="AM438" i="2"/>
  <c r="BC1005" i="2"/>
  <c r="AT593" i="2"/>
  <c r="AX356" i="2"/>
  <c r="BB42" i="2"/>
  <c r="BC145" i="2"/>
  <c r="AL383" i="2"/>
  <c r="AU905" i="2"/>
  <c r="BB592" i="2"/>
  <c r="AU272" i="2"/>
  <c r="AP674" i="2"/>
  <c r="AX768" i="2"/>
  <c r="AL144" i="2"/>
  <c r="BF846" i="2"/>
  <c r="AX468" i="2"/>
  <c r="AU837" i="2"/>
  <c r="BB529" i="2"/>
  <c r="AX803" i="2"/>
  <c r="BF414" i="2"/>
  <c r="AM1097" i="2"/>
  <c r="AU437" i="2"/>
  <c r="AT623" i="2"/>
  <c r="AM728" i="2"/>
  <c r="BF762" i="2"/>
  <c r="AP422" i="2"/>
  <c r="AM1086" i="2"/>
  <c r="BF1055" i="2"/>
  <c r="AL965" i="2"/>
  <c r="BC414" i="2"/>
  <c r="AP326" i="2"/>
  <c r="BC43" i="2"/>
  <c r="AT1039" i="2"/>
  <c r="BB577" i="2"/>
  <c r="AM792" i="2"/>
  <c r="BB26" i="2"/>
  <c r="AX657" i="2"/>
  <c r="AT596" i="2"/>
  <c r="AU65" i="2"/>
  <c r="AX880" i="2"/>
  <c r="AU556" i="2"/>
  <c r="AU1004" i="2"/>
  <c r="AX173" i="2"/>
  <c r="AX1013" i="2"/>
  <c r="BC480" i="2"/>
  <c r="BB942" i="2"/>
  <c r="AX518" i="2"/>
  <c r="AM994" i="2"/>
  <c r="AM853" i="2"/>
  <c r="AT115" i="2"/>
  <c r="AT531" i="2"/>
  <c r="AT1031" i="2"/>
  <c r="AX967" i="2"/>
  <c r="BC622" i="2"/>
  <c r="AM517" i="2"/>
  <c r="BB870" i="2"/>
  <c r="AT164" i="2"/>
  <c r="BF494" i="2"/>
  <c r="AX528" i="2"/>
  <c r="AT205" i="2"/>
  <c r="AX661" i="2"/>
  <c r="BC337" i="2"/>
  <c r="BF603" i="2"/>
  <c r="AP183" i="2"/>
  <c r="BB514" i="2"/>
  <c r="AP989" i="2"/>
  <c r="AM525" i="2"/>
  <c r="AL65" i="2"/>
  <c r="AX723" i="2"/>
  <c r="BB1090" i="2"/>
  <c r="AP647" i="2"/>
  <c r="BB159" i="2"/>
  <c r="AM868" i="2"/>
  <c r="AL906" i="2"/>
  <c r="BB884" i="2"/>
  <c r="AU299" i="2"/>
  <c r="AT851" i="2"/>
  <c r="AU350" i="2"/>
  <c r="AL263" i="2"/>
  <c r="BC445" i="2"/>
  <c r="AM1020" i="2"/>
  <c r="BF292" i="2"/>
  <c r="AM112" i="2"/>
  <c r="AT653" i="2"/>
  <c r="AL766" i="2"/>
  <c r="AM306" i="2"/>
  <c r="AU598" i="2"/>
  <c r="BF99" i="2"/>
  <c r="AM559" i="2"/>
  <c r="AT626" i="2"/>
  <c r="AP356" i="2"/>
  <c r="AU1056" i="2"/>
  <c r="AL480" i="2"/>
  <c r="AL422" i="2"/>
  <c r="BB438" i="2"/>
  <c r="BC230" i="2"/>
  <c r="AL1072" i="2"/>
  <c r="BC129" i="2"/>
  <c r="AP33" i="2"/>
  <c r="BC538" i="2"/>
  <c r="BC281" i="2"/>
  <c r="AT597" i="2"/>
  <c r="AT632" i="2"/>
  <c r="BC71" i="2"/>
  <c r="AT814" i="2"/>
  <c r="AT556" i="2"/>
  <c r="BC1057" i="2"/>
  <c r="BF856" i="2"/>
  <c r="AU1038" i="2"/>
  <c r="AT304" i="2"/>
  <c r="AP639" i="2"/>
  <c r="AM62" i="2"/>
  <c r="BF811" i="2"/>
  <c r="AT257" i="2"/>
  <c r="AU976" i="2"/>
  <c r="BF905" i="2"/>
  <c r="BF985" i="2"/>
  <c r="AT163" i="2"/>
  <c r="BF1011" i="2"/>
  <c r="AX1073" i="2"/>
  <c r="AM882" i="2"/>
  <c r="AU679" i="2"/>
  <c r="BF35" i="2"/>
  <c r="BB527" i="2"/>
  <c r="BC644" i="2"/>
  <c r="BC146" i="2"/>
  <c r="AL511" i="2"/>
  <c r="BF973" i="2"/>
  <c r="AM781" i="2"/>
  <c r="AL444" i="2"/>
  <c r="AP996" i="2"/>
  <c r="AU952" i="2"/>
  <c r="AL1042" i="2"/>
  <c r="AP866" i="2"/>
  <c r="BF1022" i="2"/>
  <c r="AT330" i="2"/>
  <c r="AX976" i="2"/>
  <c r="BF209" i="2"/>
  <c r="BB1065" i="2"/>
  <c r="BB522" i="2"/>
  <c r="AT964" i="2"/>
  <c r="AL475" i="2"/>
  <c r="AL540" i="2"/>
  <c r="AP1010" i="2"/>
  <c r="BF506" i="2"/>
  <c r="AL717" i="2"/>
  <c r="AU461" i="2"/>
  <c r="AP863" i="2"/>
  <c r="AM54" i="2"/>
  <c r="AM548" i="2"/>
  <c r="AT215" i="2"/>
  <c r="AU174" i="2"/>
  <c r="AX943" i="2"/>
  <c r="BB254" i="2"/>
  <c r="AT129" i="2"/>
  <c r="AP290" i="2"/>
  <c r="AP185" i="2"/>
  <c r="AL800" i="2"/>
  <c r="AU324" i="2"/>
  <c r="AT736" i="2"/>
  <c r="BB745" i="2"/>
  <c r="AP539" i="2"/>
  <c r="AL749" i="2"/>
  <c r="BF568" i="2"/>
  <c r="AL185" i="2"/>
  <c r="BB951" i="2"/>
  <c r="AL627" i="2"/>
  <c r="BB822" i="2"/>
  <c r="AL559" i="2"/>
  <c r="AL236" i="2"/>
  <c r="BF322" i="2"/>
  <c r="AM858" i="2"/>
  <c r="BB734" i="2"/>
  <c r="AT817" i="2"/>
  <c r="AM113" i="2"/>
  <c r="BB670" i="2"/>
  <c r="AM663" i="2"/>
  <c r="AP234" i="2"/>
  <c r="AU301" i="2"/>
  <c r="BF116" i="2"/>
  <c r="BF1035" i="2"/>
  <c r="AT343" i="2"/>
  <c r="AT774" i="2"/>
  <c r="AX805" i="2"/>
  <c r="AL578" i="2"/>
  <c r="BC758" i="2"/>
  <c r="AP23" i="2"/>
  <c r="AP490" i="2"/>
  <c r="AP764" i="2"/>
  <c r="BC308" i="2"/>
  <c r="AU863" i="2"/>
  <c r="AL471" i="2"/>
  <c r="BF514" i="2"/>
  <c r="BF624" i="2"/>
  <c r="AT35" i="2"/>
  <c r="AT694" i="2"/>
  <c r="AT688" i="2"/>
  <c r="AP1049" i="2"/>
  <c r="BC638" i="2"/>
  <c r="BF1021" i="2"/>
  <c r="BC14" i="2"/>
  <c r="AX94" i="2"/>
  <c r="AP592" i="2"/>
  <c r="AP662" i="2"/>
  <c r="AT768" i="2"/>
  <c r="AP994" i="2"/>
  <c r="BC19" i="2"/>
  <c r="BC517" i="2"/>
  <c r="BB782" i="2"/>
  <c r="AX835" i="2"/>
  <c r="AX434" i="2"/>
  <c r="BF930" i="2"/>
  <c r="AT809" i="2"/>
  <c r="AX221" i="2"/>
  <c r="AX762" i="2"/>
  <c r="AT1074" i="2"/>
  <c r="BC1070" i="2"/>
  <c r="BC350" i="2"/>
  <c r="AM169" i="2"/>
  <c r="AT932" i="2"/>
  <c r="AM906" i="2"/>
  <c r="AM777" i="2"/>
  <c r="AU708" i="2"/>
  <c r="AM683" i="2"/>
  <c r="AL840" i="2"/>
  <c r="BC552" i="2"/>
  <c r="AX634" i="2"/>
  <c r="BF457" i="2"/>
  <c r="BB472" i="2"/>
  <c r="AX757" i="2"/>
  <c r="AM697" i="2"/>
  <c r="AT799" i="2"/>
  <c r="AX659" i="2"/>
  <c r="AX395" i="2"/>
  <c r="AT24" i="2"/>
  <c r="AU1015" i="2"/>
  <c r="BC506" i="2"/>
  <c r="AX704" i="2"/>
  <c r="BF331" i="2"/>
  <c r="BB149" i="2"/>
  <c r="BF166" i="2"/>
  <c r="BC233" i="2"/>
  <c r="AT856" i="2"/>
  <c r="AX767" i="2"/>
  <c r="AT1022" i="2"/>
  <c r="AL850" i="2"/>
  <c r="AU1032" i="2"/>
  <c r="AM486" i="2"/>
  <c r="AX349" i="2"/>
  <c r="AL174" i="2"/>
  <c r="AP766" i="2"/>
  <c r="AM301" i="2"/>
  <c r="BB309" i="2"/>
  <c r="AT644" i="2"/>
  <c r="AX573" i="2"/>
  <c r="BF368" i="2"/>
  <c r="BB342" i="2"/>
  <c r="BF1048" i="2"/>
  <c r="AU771" i="2"/>
  <c r="AM640" i="2"/>
  <c r="BF525" i="2"/>
  <c r="AL699" i="2"/>
  <c r="BB143" i="2"/>
  <c r="AP446" i="2"/>
  <c r="AL214" i="2"/>
  <c r="BC151" i="2"/>
  <c r="BB692" i="2"/>
  <c r="BC855" i="2"/>
  <c r="AU731" i="2"/>
  <c r="AU382" i="2"/>
  <c r="AX863" i="2"/>
  <c r="AT527" i="2"/>
  <c r="AL703" i="2"/>
  <c r="AL652" i="2"/>
  <c r="AT962" i="2"/>
  <c r="BB111" i="2"/>
  <c r="AM1062" i="2"/>
  <c r="BB634" i="2"/>
  <c r="AU506" i="2"/>
  <c r="AM946" i="2"/>
  <c r="AT680" i="2"/>
  <c r="BB953" i="2"/>
  <c r="BF597" i="2"/>
  <c r="AL31" i="2"/>
  <c r="AM684" i="2"/>
  <c r="AT173" i="2"/>
  <c r="AX887" i="2"/>
  <c r="BB700" i="2"/>
  <c r="BC496" i="2"/>
  <c r="AM991" i="2"/>
  <c r="BC508" i="2"/>
  <c r="BF173" i="2"/>
  <c r="AX823" i="2"/>
  <c r="AM425" i="2"/>
  <c r="AT974" i="2"/>
  <c r="AU569" i="2"/>
  <c r="BB333" i="2"/>
  <c r="AM236" i="2"/>
  <c r="AP1042" i="2"/>
  <c r="AP817" i="2"/>
  <c r="AU540" i="2"/>
  <c r="BC547" i="2"/>
  <c r="BF571" i="2"/>
  <c r="AP970" i="2"/>
  <c r="BB682" i="2"/>
  <c r="AL1051" i="2"/>
  <c r="AX254" i="2"/>
  <c r="AM894" i="2"/>
  <c r="BB923" i="2"/>
  <c r="BB271" i="2"/>
  <c r="AT808" i="2"/>
  <c r="BC339" i="2"/>
  <c r="AU453" i="2"/>
  <c r="AT102" i="2"/>
  <c r="BC866" i="2"/>
  <c r="AL346" i="2"/>
  <c r="BF975" i="2"/>
  <c r="BF294" i="2"/>
  <c r="AX1045" i="2"/>
  <c r="AL632" i="2"/>
  <c r="AP867" i="2"/>
  <c r="AT1070" i="2"/>
  <c r="BF522" i="2"/>
  <c r="AU510" i="2"/>
  <c r="BB587" i="2"/>
  <c r="BC280" i="2"/>
  <c r="BB668" i="2"/>
  <c r="BF30" i="2"/>
  <c r="AT646" i="2"/>
  <c r="AL209" i="2"/>
  <c r="AT628" i="2"/>
  <c r="AU963" i="2"/>
  <c r="BC1004" i="2"/>
  <c r="AP791" i="2"/>
  <c r="BB940" i="2"/>
  <c r="BB867" i="2"/>
  <c r="BF217" i="2"/>
  <c r="BC465" i="2"/>
  <c r="BB956" i="2"/>
  <c r="AP359" i="2"/>
  <c r="AU582" i="2"/>
  <c r="AM776" i="2"/>
  <c r="BF928" i="2"/>
  <c r="AX996" i="2"/>
  <c r="AM972" i="2"/>
  <c r="AL729" i="2"/>
  <c r="BC730" i="2"/>
  <c r="AU91" i="2"/>
  <c r="BC157" i="2"/>
  <c r="AL306" i="2"/>
  <c r="AU568" i="2"/>
  <c r="AU1077" i="2"/>
  <c r="AL492" i="2"/>
  <c r="AU677" i="2"/>
  <c r="BF282" i="2"/>
  <c r="AP1074" i="2"/>
  <c r="BB388" i="2"/>
  <c r="BC605" i="2"/>
  <c r="AP261" i="2"/>
  <c r="AT42" i="2"/>
  <c r="AT438" i="2"/>
  <c r="AT785" i="2"/>
  <c r="AX586" i="2"/>
  <c r="AP160" i="2"/>
  <c r="AL490" i="2"/>
  <c r="AX562" i="2"/>
  <c r="AT839" i="2"/>
  <c r="AX46" i="2"/>
  <c r="BC482" i="2"/>
  <c r="AP728" i="2"/>
  <c r="AL46" i="2"/>
  <c r="BC30" i="2"/>
  <c r="AL787" i="2"/>
  <c r="BC958" i="2"/>
  <c r="AU475" i="2"/>
  <c r="BF898" i="2"/>
  <c r="AL16" i="2"/>
  <c r="AT1017" i="2"/>
  <c r="AX500" i="2"/>
  <c r="BF860" i="2"/>
  <c r="BB674" i="2"/>
  <c r="AL852" i="2"/>
  <c r="AU635" i="2"/>
  <c r="AM263" i="2"/>
  <c r="AP709" i="2"/>
  <c r="BF1053" i="2"/>
  <c r="AT371" i="2"/>
  <c r="AP275" i="2"/>
  <c r="AM827" i="2"/>
  <c r="AX674" i="2"/>
  <c r="BB15" i="2"/>
  <c r="AU22" i="2"/>
  <c r="BB1048" i="2"/>
  <c r="AT767" i="2"/>
  <c r="AM474" i="2"/>
  <c r="AX775" i="2"/>
  <c r="AU1021" i="2"/>
  <c r="AX588" i="2"/>
  <c r="BF1072" i="2"/>
  <c r="AL1011" i="2"/>
  <c r="AU291" i="2"/>
  <c r="AX801" i="2"/>
  <c r="AX593" i="2"/>
  <c r="AL296" i="2"/>
  <c r="BB1039" i="2"/>
  <c r="AT805" i="2"/>
  <c r="AM479" i="2"/>
  <c r="AM610" i="2"/>
  <c r="AL857" i="2"/>
  <c r="BB442" i="2"/>
  <c r="BF657" i="2"/>
  <c r="AU681" i="2"/>
  <c r="BC544" i="2"/>
  <c r="AU213" i="2"/>
  <c r="AM563" i="2"/>
  <c r="BF992" i="2"/>
  <c r="BF455" i="2"/>
  <c r="AM163" i="2"/>
  <c r="AP892" i="2"/>
  <c r="BF966" i="2"/>
  <c r="AT268" i="2"/>
  <c r="AT434" i="2"/>
  <c r="AX1056" i="2"/>
  <c r="BB828" i="2"/>
  <c r="AT1050" i="2"/>
  <c r="AU886" i="2"/>
  <c r="BF807" i="2"/>
  <c r="AX455" i="2"/>
  <c r="BF1026" i="2"/>
  <c r="AX430" i="2"/>
  <c r="AP349" i="2"/>
  <c r="AU579" i="2"/>
  <c r="AM724" i="2"/>
  <c r="BF978" i="2"/>
  <c r="AT662" i="2"/>
  <c r="AP881" i="2"/>
  <c r="AM825" i="2"/>
  <c r="AP295" i="2"/>
  <c r="AP578" i="2"/>
  <c r="BB427" i="2"/>
  <c r="BF651" i="2"/>
  <c r="AX692" i="2"/>
  <c r="BF176" i="2"/>
  <c r="AU156" i="2"/>
  <c r="BC647" i="2"/>
  <c r="AP203" i="2"/>
  <c r="AX997" i="2"/>
  <c r="AT525" i="2"/>
  <c r="BB625" i="2"/>
  <c r="AP365" i="2"/>
  <c r="AL754" i="2"/>
  <c r="AL655" i="2"/>
  <c r="BB53" i="2"/>
  <c r="BB99" i="2"/>
  <c r="AP331" i="2"/>
  <c r="BC953" i="2"/>
  <c r="BF458" i="2"/>
  <c r="AU113" i="2"/>
  <c r="BF499" i="2"/>
  <c r="BC553" i="2"/>
  <c r="AT1032" i="2"/>
  <c r="BF213" i="2"/>
  <c r="BB169" i="2"/>
  <c r="AT230" i="2"/>
  <c r="AL709" i="2"/>
  <c r="AL159" i="2"/>
  <c r="AL173" i="2"/>
  <c r="AT735" i="2"/>
  <c r="AU329" i="2"/>
  <c r="AP303" i="2"/>
  <c r="BC1000" i="2"/>
  <c r="AP468" i="2"/>
  <c r="AT159" i="2"/>
  <c r="AM648" i="2"/>
  <c r="AT780" i="2"/>
  <c r="AM706" i="2"/>
  <c r="AL659" i="2"/>
  <c r="BB726" i="2"/>
  <c r="BB433" i="2"/>
  <c r="AT894" i="2"/>
  <c r="BF714" i="2"/>
  <c r="BC564" i="2"/>
  <c r="AU1025" i="2"/>
  <c r="BF840" i="2"/>
  <c r="AT1005" i="2"/>
  <c r="BC454" i="2"/>
  <c r="AM911" i="2"/>
  <c r="BF683" i="2"/>
  <c r="BB724" i="2"/>
  <c r="BC922" i="2"/>
  <c r="BF744" i="2"/>
  <c r="AX547" i="2"/>
  <c r="BC570" i="2"/>
  <c r="AM133" i="2"/>
  <c r="AP956" i="2"/>
  <c r="BB462" i="2"/>
  <c r="BB708" i="2"/>
  <c r="BC483" i="2"/>
  <c r="AX959" i="2"/>
  <c r="AU1026" i="2"/>
  <c r="AL194" i="2"/>
  <c r="BB362" i="2"/>
  <c r="AL735" i="2"/>
  <c r="BC585" i="2"/>
  <c r="AP790" i="2"/>
  <c r="AT665" i="2"/>
  <c r="AP505" i="2"/>
  <c r="AT279" i="2"/>
  <c r="BB1055" i="2"/>
  <c r="AX22" i="2"/>
  <c r="AX492" i="2"/>
  <c r="AU259" i="2"/>
  <c r="AL929" i="2"/>
  <c r="BF849" i="2"/>
  <c r="AT170" i="2"/>
  <c r="AX629" i="2"/>
  <c r="AX675" i="2"/>
  <c r="AL154" i="2"/>
  <c r="AX771" i="2"/>
  <c r="AU214" i="2"/>
  <c r="AU664" i="2"/>
  <c r="AP325" i="2"/>
  <c r="AL587" i="2"/>
  <c r="BC504" i="2"/>
  <c r="BC707" i="2"/>
  <c r="AX580" i="2"/>
  <c r="BB851" i="2"/>
  <c r="AT1019" i="2"/>
  <c r="AT764" i="2"/>
  <c r="AM613" i="2"/>
  <c r="AM701" i="2"/>
  <c r="AU911" i="2"/>
  <c r="AL802" i="2"/>
  <c r="AP1085" i="2"/>
  <c r="AP46" i="2"/>
  <c r="AM330" i="2"/>
  <c r="BF991" i="2"/>
  <c r="AP947" i="2"/>
  <c r="BB282" i="2"/>
  <c r="BF943" i="2"/>
  <c r="AX505" i="2"/>
  <c r="BC329" i="2"/>
  <c r="AT739" i="2"/>
  <c r="AU848" i="2"/>
  <c r="AX956" i="2"/>
  <c r="AT28" i="2"/>
  <c r="BC598" i="2"/>
  <c r="AU697" i="2"/>
  <c r="AM350" i="2"/>
  <c r="AX432" i="2"/>
  <c r="AP94" i="2"/>
  <c r="BC359" i="2"/>
  <c r="BC568" i="2"/>
  <c r="AL217" i="2"/>
  <c r="AU617" i="2"/>
  <c r="BB766" i="2"/>
  <c r="AP521" i="2"/>
  <c r="AX229" i="2"/>
  <c r="AT310" i="2"/>
  <c r="AP942" i="2"/>
  <c r="AL462" i="2"/>
  <c r="AT417" i="2"/>
  <c r="AT1015" i="2"/>
  <c r="AU43" i="2"/>
  <c r="AL996" i="2"/>
  <c r="BC1012" i="2"/>
  <c r="AX941" i="2"/>
  <c r="AX21" i="2"/>
  <c r="BC156" i="2"/>
  <c r="AX433" i="2"/>
  <c r="AL797" i="2"/>
  <c r="AM64" i="2"/>
  <c r="AU670" i="2"/>
  <c r="AU274" i="2"/>
  <c r="AX297" i="2"/>
  <c r="AU560" i="2"/>
  <c r="AL853" i="2"/>
  <c r="AM99" i="2"/>
  <c r="AL810" i="2"/>
  <c r="BF434" i="2"/>
  <c r="AT574" i="2"/>
  <c r="AM49" i="2"/>
  <c r="AL93" i="2"/>
  <c r="AU646" i="2"/>
  <c r="AU638" i="2"/>
  <c r="BC1056" i="2"/>
  <c r="BF130" i="2"/>
  <c r="AT476" i="2"/>
  <c r="AU234" i="2"/>
  <c r="BC738" i="2"/>
  <c r="AT1099" i="2"/>
  <c r="AL625" i="2"/>
  <c r="AU844" i="2"/>
  <c r="AT771" i="2"/>
  <c r="AL953" i="2"/>
  <c r="AP746" i="2"/>
  <c r="BC546" i="2"/>
  <c r="AL738" i="2"/>
  <c r="AT899" i="2"/>
  <c r="AT997" i="2"/>
  <c r="AM942" i="2"/>
  <c r="AX971" i="2"/>
  <c r="AT394" i="2"/>
  <c r="BB274" i="2"/>
  <c r="AX198" i="2"/>
  <c r="BC310" i="2"/>
  <c r="BC704" i="2"/>
  <c r="AX741" i="2"/>
  <c r="BC944" i="2"/>
  <c r="AU257" i="2"/>
  <c r="AU1046" i="2"/>
  <c r="BF537" i="2"/>
  <c r="AL679" i="2"/>
  <c r="AU608" i="2"/>
  <c r="AU97" i="2"/>
  <c r="AX1004" i="2"/>
  <c r="AU705" i="2"/>
  <c r="AP688" i="2"/>
  <c r="AM801" i="2"/>
  <c r="AM978" i="2"/>
  <c r="AU528" i="2"/>
  <c r="AX750" i="2"/>
  <c r="BB970" i="2"/>
  <c r="BF1103" i="2"/>
  <c r="BB952" i="2"/>
  <c r="AP946" i="2"/>
  <c r="BB109" i="2"/>
  <c r="BC515" i="2"/>
  <c r="BC1021" i="2"/>
  <c r="BF523" i="2"/>
  <c r="AU215" i="2"/>
  <c r="BC266" i="2"/>
  <c r="BC788" i="2"/>
  <c r="AX334" i="2"/>
  <c r="AU109" i="2"/>
  <c r="AX645" i="2"/>
  <c r="AT681" i="2"/>
  <c r="BB758" i="2"/>
  <c r="AL894" i="2"/>
  <c r="AL1001" i="2"/>
  <c r="BF1068" i="2"/>
  <c r="AU182" i="2"/>
  <c r="AL116" i="2"/>
  <c r="AM1049" i="2"/>
  <c r="BB415" i="2"/>
  <c r="AP1090" i="2"/>
  <c r="BC782" i="2"/>
  <c r="AP950" i="2"/>
  <c r="BB798" i="2"/>
  <c r="BB781" i="2"/>
  <c r="AU616" i="2"/>
  <c r="AU618" i="2"/>
  <c r="AM715" i="2"/>
  <c r="BF394" i="2"/>
  <c r="BF632" i="2"/>
  <c r="AP549" i="2"/>
  <c r="AU58" i="2"/>
  <c r="AM667" i="2"/>
  <c r="AU500" i="2"/>
  <c r="BF473" i="2"/>
  <c r="BC487" i="2"/>
  <c r="BF310" i="2"/>
  <c r="AU758" i="2"/>
  <c r="AL941" i="2"/>
  <c r="BB614" i="2"/>
  <c r="AT1046" i="2"/>
  <c r="BB811" i="2"/>
  <c r="AT638" i="2"/>
  <c r="BB92" i="2"/>
  <c r="AP194" i="2"/>
  <c r="BC122" i="2"/>
  <c r="BC227" i="2"/>
  <c r="BF619" i="2"/>
  <c r="BB911" i="2"/>
  <c r="AM492" i="2"/>
  <c r="BF122" i="2"/>
  <c r="AT781" i="2"/>
  <c r="AU333" i="2"/>
  <c r="BC473" i="2"/>
  <c r="AM145" i="2"/>
  <c r="BB994" i="2"/>
  <c r="BB657" i="2"/>
  <c r="AL685" i="2"/>
  <c r="AL970" i="2"/>
  <c r="AP768" i="2"/>
  <c r="BB331" i="2"/>
  <c r="BB891" i="2"/>
  <c r="BB356" i="2"/>
  <c r="AP890" i="2"/>
  <c r="BF885" i="2"/>
  <c r="BC505" i="2"/>
  <c r="AP299" i="2"/>
  <c r="BB166" i="2"/>
  <c r="AU723" i="2"/>
  <c r="BB555" i="2"/>
  <c r="AP260" i="2"/>
  <c r="BC540" i="2"/>
  <c r="BF731" i="2"/>
  <c r="BC766" i="2"/>
  <c r="AU184" i="2"/>
  <c r="AL307" i="2"/>
  <c r="BF21" i="2"/>
  <c r="AP771" i="2"/>
  <c r="AP859" i="2"/>
  <c r="AX788" i="2"/>
  <c r="AM391" i="2"/>
  <c r="BB1024" i="2"/>
  <c r="AM886" i="2"/>
  <c r="AU615" i="2"/>
  <c r="AT325" i="2"/>
  <c r="BF421" i="2"/>
  <c r="AT117" i="2"/>
  <c r="BF263" i="2"/>
  <c r="AL507" i="2"/>
  <c r="BF298" i="2"/>
  <c r="AU838" i="2"/>
  <c r="BF918" i="2"/>
  <c r="AL665" i="2"/>
  <c r="AM470" i="2"/>
  <c r="BF476" i="2"/>
  <c r="AM160" i="2"/>
  <c r="BC966" i="2"/>
  <c r="AU1044" i="2"/>
  <c r="BF757" i="2"/>
  <c r="AX610" i="2"/>
  <c r="AT973" i="2"/>
  <c r="BC756" i="2"/>
  <c r="BF261" i="2"/>
  <c r="AU854" i="2"/>
  <c r="AP204" i="2"/>
  <c r="BC432" i="2"/>
  <c r="AP515" i="2"/>
  <c r="BF637" i="2"/>
  <c r="AX684" i="2"/>
  <c r="BB108" i="2"/>
  <c r="BC198" i="2"/>
  <c r="BB1036" i="2"/>
  <c r="BC185" i="2"/>
  <c r="AL577" i="2"/>
  <c r="AT506" i="2"/>
  <c r="BF290" i="2"/>
  <c r="AP220" i="2"/>
  <c r="AM866" i="2"/>
  <c r="BB775" i="2"/>
  <c r="AT271" i="2"/>
  <c r="AM119" i="2"/>
  <c r="AX853" i="2"/>
  <c r="AL860" i="2"/>
  <c r="AM455" i="2"/>
  <c r="AU819" i="2"/>
  <c r="AX1018" i="2"/>
  <c r="AM635" i="2"/>
  <c r="AL575" i="2"/>
  <c r="AL391" i="2"/>
  <c r="BC947" i="2"/>
  <c r="BF384" i="2"/>
  <c r="AP1081" i="2"/>
  <c r="AT711" i="2"/>
  <c r="AU900" i="2"/>
  <c r="AL991" i="2"/>
  <c r="AX121" i="2"/>
  <c r="AM1072" i="2"/>
  <c r="AL697" i="2"/>
  <c r="BF693" i="2"/>
  <c r="AM382" i="2"/>
  <c r="AX1071" i="2"/>
  <c r="AT69" i="2"/>
  <c r="AU906" i="2"/>
  <c r="AU577" i="2"/>
  <c r="BC47" i="2"/>
  <c r="AU1013" i="2"/>
  <c r="AT457" i="2"/>
  <c r="BF344" i="2"/>
  <c r="AP643" i="2"/>
  <c r="AT901" i="2"/>
  <c r="BB777" i="2"/>
  <c r="AL947" i="2"/>
  <c r="BF655" i="2"/>
  <c r="AT348" i="2"/>
  <c r="BF468" i="2"/>
  <c r="AU541" i="2"/>
  <c r="AM31" i="2"/>
  <c r="AT742" i="2"/>
  <c r="AT1002" i="2"/>
  <c r="AU1006" i="2"/>
  <c r="BC582" i="2"/>
  <c r="AT835" i="2"/>
  <c r="AX324" i="2"/>
  <c r="AX493" i="2"/>
  <c r="AM356" i="2"/>
  <c r="BC859" i="2"/>
  <c r="AX868" i="2"/>
  <c r="AM519" i="2"/>
  <c r="BC611" i="2"/>
  <c r="BB546" i="2"/>
  <c r="BF529" i="2"/>
  <c r="BC169" i="2"/>
  <c r="BC571" i="2"/>
  <c r="AU145" i="2"/>
  <c r="BF1073" i="2"/>
  <c r="BB917" i="2"/>
  <c r="AU927" i="2"/>
  <c r="BC91" i="2"/>
  <c r="BF684" i="2"/>
  <c r="AP453" i="2"/>
  <c r="BC883" i="2"/>
  <c r="BC602" i="2"/>
  <c r="AL531" i="2"/>
  <c r="AT583" i="2"/>
  <c r="AT503" i="2"/>
  <c r="AT987" i="2"/>
  <c r="BB637" i="2"/>
  <c r="AL555" i="2"/>
  <c r="AT788" i="2"/>
  <c r="AM965" i="2"/>
  <c r="AT678" i="2"/>
  <c r="BC853" i="2"/>
  <c r="BF729" i="2"/>
  <c r="BC799" i="2"/>
  <c r="BC950" i="2"/>
  <c r="BC623" i="2"/>
  <c r="BF479" i="2"/>
  <c r="AX789" i="2"/>
  <c r="AL681" i="2"/>
  <c r="AU1002" i="2"/>
  <c r="AX342" i="2"/>
  <c r="AU509" i="2"/>
  <c r="AX872" i="2"/>
  <c r="AL712" i="2"/>
  <c r="BC616" i="2"/>
  <c r="BF577" i="2"/>
  <c r="BB727" i="2"/>
  <c r="AU175" i="2"/>
  <c r="BF307" i="2"/>
  <c r="BB864" i="2"/>
  <c r="AX894" i="2"/>
  <c r="AT700" i="2"/>
  <c r="AL599" i="2"/>
  <c r="AU521" i="2"/>
  <c r="BC726" i="2"/>
  <c r="BC614" i="2"/>
  <c r="AT1053" i="2"/>
  <c r="AM514" i="2"/>
  <c r="AT822" i="2"/>
  <c r="BC1036" i="2"/>
  <c r="AM291" i="2"/>
  <c r="AP620" i="2"/>
  <c r="AM531" i="2"/>
  <c r="AT425" i="2"/>
  <c r="AP684" i="2"/>
  <c r="AM1030" i="2"/>
  <c r="BC682" i="2"/>
  <c r="BC923" i="2"/>
  <c r="BF587" i="2"/>
  <c r="BF588" i="2"/>
  <c r="AM114" i="2"/>
  <c r="AX718" i="2"/>
  <c r="AX168" i="2"/>
  <c r="AL123" i="2"/>
  <c r="AM1017" i="2"/>
  <c r="AL658" i="2"/>
  <c r="BC415" i="2"/>
  <c r="AX621" i="2"/>
  <c r="AU165" i="2"/>
  <c r="BC418" i="2"/>
  <c r="BF335" i="2"/>
  <c r="BB172" i="2"/>
  <c r="AM800" i="2"/>
  <c r="BB601" i="2"/>
  <c r="BC1030" i="2"/>
  <c r="BF1002" i="2"/>
  <c r="AM945" i="2"/>
  <c r="AM627" i="2"/>
  <c r="AX975" i="2"/>
  <c r="AP482" i="2"/>
  <c r="AM40" i="2"/>
  <c r="AP981" i="2"/>
  <c r="AP145" i="2"/>
  <c r="AT776" i="2"/>
  <c r="BC688" i="2"/>
  <c r="AX861" i="2"/>
  <c r="AU282" i="2"/>
  <c r="BC498" i="2"/>
  <c r="BB868" i="2"/>
  <c r="AU779" i="2"/>
  <c r="BB428" i="2"/>
  <c r="BC542" i="2"/>
  <c r="AM693" i="2"/>
  <c r="BC882" i="2"/>
  <c r="AP729" i="2"/>
  <c r="BB714" i="2"/>
  <c r="AX646" i="2"/>
  <c r="AT1044" i="2"/>
  <c r="BC1025" i="2"/>
  <c r="AL663" i="2"/>
  <c r="AU547" i="2"/>
  <c r="AM974" i="2"/>
  <c r="BF52" i="2"/>
  <c r="AP59" i="2"/>
  <c r="AX73" i="2"/>
  <c r="AT825" i="2"/>
  <c r="AP297" i="2"/>
  <c r="AT916" i="2"/>
  <c r="BB549" i="2"/>
  <c r="AT1092" i="2"/>
  <c r="AP262" i="2"/>
  <c r="BC914" i="2"/>
  <c r="BB468" i="2"/>
  <c r="AP425" i="2"/>
  <c r="BB814" i="2"/>
  <c r="AP161" i="2"/>
  <c r="AM553" i="2"/>
  <c r="BC991" i="2"/>
  <c r="AM1051" i="2"/>
  <c r="AT845" i="2"/>
  <c r="AM1001" i="2"/>
  <c r="AT498" i="2"/>
  <c r="AX670" i="2"/>
  <c r="AM761" i="2"/>
  <c r="AP910" i="2"/>
  <c r="BC941" i="2"/>
  <c r="BC502" i="2"/>
  <c r="BB30" i="2"/>
  <c r="AT910" i="2"/>
  <c r="AL971" i="2"/>
  <c r="AU800" i="2"/>
  <c r="AL528" i="2"/>
  <c r="AU887" i="2"/>
  <c r="BB410" i="2"/>
  <c r="AT466" i="2"/>
  <c r="AP445" i="2"/>
  <c r="AU478" i="2"/>
  <c r="BF218" i="2"/>
  <c r="AT128" i="2"/>
  <c r="BB807" i="2"/>
  <c r="AM471" i="2"/>
  <c r="AT512" i="2"/>
  <c r="AP723" i="2"/>
  <c r="AU622" i="2"/>
  <c r="AX255" i="2"/>
  <c r="BF147" i="2"/>
  <c r="BC59" i="2"/>
  <c r="AL279" i="2"/>
  <c r="BB872" i="2"/>
  <c r="BC530" i="2"/>
  <c r="AP24" i="2"/>
  <c r="AU734" i="2"/>
  <c r="BF283" i="2"/>
  <c r="AM19" i="2"/>
  <c r="AL801" i="2"/>
  <c r="AU495" i="2"/>
  <c r="AL294" i="2"/>
  <c r="AT635" i="2"/>
  <c r="AM932" i="2"/>
  <c r="AX149" i="2"/>
  <c r="BC659" i="2"/>
  <c r="AX781" i="2"/>
  <c r="AT996" i="2"/>
  <c r="AP601" i="2"/>
  <c r="BC781" i="2"/>
  <c r="AP1056" i="2"/>
  <c r="AU225" i="2"/>
  <c r="BC737" i="2"/>
  <c r="BF203" i="2"/>
  <c r="BC190" i="2"/>
  <c r="BC926" i="2"/>
  <c r="AM629" i="2"/>
  <c r="AU881" i="2"/>
  <c r="AU937" i="2"/>
  <c r="BC522" i="2"/>
  <c r="AT166" i="2"/>
  <c r="BC287" i="2"/>
  <c r="BF304" i="2"/>
  <c r="BF538" i="2"/>
  <c r="AU623" i="2"/>
  <c r="AU545" i="2"/>
  <c r="AU472" i="2"/>
  <c r="AP597" i="2"/>
  <c r="AU1067" i="2"/>
  <c r="AL342" i="2"/>
  <c r="AM295" i="2"/>
  <c r="BF49" i="2"/>
  <c r="AM891" i="2"/>
  <c r="AX119" i="2"/>
  <c r="AU149" i="2"/>
  <c r="BC728" i="2"/>
  <c r="AX564" i="2"/>
  <c r="AM699" i="2"/>
  <c r="AX799" i="2"/>
  <c r="AX64" i="2"/>
  <c r="AL111" i="2"/>
  <c r="AX1039" i="2"/>
  <c r="BF548" i="2"/>
  <c r="AM954" i="2"/>
  <c r="BC460" i="2"/>
  <c r="AX517" i="2"/>
  <c r="AX857" i="2"/>
  <c r="AM440" i="2"/>
  <c r="BB916" i="2"/>
  <c r="AX804" i="2"/>
  <c r="AT481" i="2"/>
  <c r="AX667" i="2"/>
  <c r="BF1079" i="2"/>
  <c r="AP838" i="2"/>
  <c r="BB335" i="2"/>
  <c r="AU687" i="2"/>
  <c r="BB704" i="2"/>
  <c r="AM540" i="2"/>
  <c r="AU922" i="2"/>
  <c r="BF718" i="2"/>
  <c r="BB300" i="2"/>
  <c r="AX599" i="2"/>
  <c r="BB597" i="2"/>
  <c r="AT204" i="2"/>
  <c r="BF349" i="2"/>
  <c r="AM603" i="2"/>
  <c r="AL210" i="2"/>
  <c r="AT508" i="2"/>
  <c r="BC463" i="2"/>
  <c r="AX1016" i="2"/>
  <c r="AP1053" i="2"/>
  <c r="AP888" i="2"/>
  <c r="BC1027" i="2"/>
  <c r="BC426" i="2"/>
  <c r="AM734" i="2"/>
  <c r="BB22" i="2"/>
  <c r="AL581" i="2"/>
  <c r="BC301" i="2"/>
  <c r="AU628" i="2"/>
  <c r="AL1080" i="2"/>
  <c r="BF1004" i="2"/>
  <c r="AU742" i="2"/>
  <c r="AM213" i="2"/>
  <c r="AX1005" i="2"/>
  <c r="AP1037" i="2"/>
  <c r="BF497" i="2"/>
  <c r="AP396" i="2"/>
  <c r="AM782" i="2"/>
  <c r="AT533" i="2"/>
  <c r="BC99" i="2"/>
  <c r="AL619" i="2"/>
  <c r="BB664" i="2"/>
  <c r="AU67" i="2"/>
  <c r="BF690" i="2"/>
  <c r="AL747" i="2"/>
  <c r="AT844" i="2"/>
  <c r="BF758" i="2"/>
  <c r="BB982" i="2"/>
  <c r="BC21" i="2"/>
  <c r="BB1035" i="2"/>
  <c r="AT619" i="2"/>
  <c r="AM708" i="2"/>
  <c r="AP414" i="2"/>
  <c r="AM883" i="2"/>
  <c r="AX511" i="2"/>
  <c r="AP532" i="2"/>
  <c r="AL21" i="2"/>
  <c r="AP527" i="2"/>
  <c r="AL987" i="2"/>
  <c r="BC796" i="2"/>
  <c r="AM17" i="2"/>
  <c r="BB187" i="2"/>
  <c r="AU986" i="2"/>
  <c r="AP120" i="2"/>
  <c r="BF1077" i="2"/>
  <c r="AL357" i="2"/>
  <c r="AU1090" i="2"/>
  <c r="AL1022" i="2"/>
  <c r="AU553" i="2"/>
  <c r="AT986" i="2"/>
  <c r="BB840" i="2"/>
  <c r="AX35" i="2"/>
  <c r="BB684" i="2"/>
  <c r="BC829" i="2"/>
  <c r="AU463" i="2"/>
  <c r="AP487" i="2"/>
  <c r="BF726" i="2"/>
  <c r="AL721" i="2"/>
  <c r="AM224" i="2"/>
  <c r="AL903" i="2"/>
  <c r="BC711" i="2"/>
  <c r="AP959" i="2"/>
  <c r="AT1021" i="2"/>
  <c r="AX1009" i="2"/>
  <c r="BB779" i="2"/>
  <c r="BB217" i="2"/>
  <c r="BF1063" i="2"/>
  <c r="AX501" i="2"/>
  <c r="AT1047" i="2"/>
  <c r="AP432" i="2"/>
  <c r="AX417" i="2"/>
  <c r="AT433" i="2"/>
  <c r="BB1021" i="2"/>
  <c r="AU221" i="2"/>
  <c r="BB476" i="2"/>
  <c r="AX746" i="2"/>
  <c r="AL270" i="2"/>
  <c r="AX155" i="2"/>
  <c r="BF441" i="2"/>
  <c r="BB629" i="2"/>
  <c r="BB452" i="2"/>
  <c r="AP595" i="2"/>
  <c r="BF274" i="2"/>
  <c r="BC643" i="2"/>
  <c r="AL688" i="2"/>
  <c r="AX183" i="2"/>
  <c r="BB572" i="2"/>
  <c r="BC940" i="2"/>
  <c r="BC559" i="2"/>
  <c r="AP743" i="2"/>
  <c r="BC637" i="2"/>
  <c r="AX660" i="2"/>
  <c r="AL322" i="2"/>
  <c r="AX1014" i="2"/>
  <c r="AP62" i="2"/>
  <c r="AL980" i="2"/>
  <c r="BC845" i="2"/>
  <c r="BC775" i="2"/>
  <c r="BB996" i="2"/>
  <c r="BB1079" i="2"/>
  <c r="AP264" i="2"/>
  <c r="AX102" i="2"/>
  <c r="AP200" i="2"/>
  <c r="AX69" i="2"/>
  <c r="AU266" i="2"/>
  <c r="BC113" i="2"/>
  <c r="AT698" i="2"/>
  <c r="AU217" i="2"/>
  <c r="AL643" i="2"/>
  <c r="BB163" i="2"/>
  <c r="BC973" i="2"/>
  <c r="AP915" i="2"/>
  <c r="AL1008" i="2"/>
  <c r="AT717" i="2"/>
  <c r="AT492" i="2"/>
  <c r="BB484" i="2"/>
  <c r="AX521" i="2"/>
  <c r="AU982" i="2"/>
  <c r="AX790" i="2"/>
  <c r="AU279" i="2"/>
  <c r="AX769" i="2"/>
  <c r="AL44" i="2"/>
  <c r="AM208" i="2"/>
  <c r="BC492" i="2"/>
  <c r="BB1077" i="2"/>
  <c r="AT643" i="2"/>
  <c r="AU426" i="2"/>
  <c r="AM527" i="2"/>
  <c r="AM1022" i="2"/>
  <c r="AX205" i="2"/>
  <c r="AM42" i="2"/>
  <c r="AU24" i="2"/>
  <c r="AP1055" i="2"/>
  <c r="AX270" i="2"/>
  <c r="BF321" i="2"/>
  <c r="BF776" i="2"/>
  <c r="AU599" i="2"/>
  <c r="BC662" i="2"/>
  <c r="AM1006" i="2"/>
  <c r="AU433" i="2"/>
  <c r="AX865" i="2"/>
  <c r="BB432" i="2"/>
  <c r="AP1016" i="2"/>
  <c r="BB978" i="2"/>
  <c r="AM902" i="2"/>
  <c r="BC235" i="2"/>
  <c r="AX539" i="2"/>
  <c r="AL920" i="2"/>
  <c r="AX589" i="2"/>
  <c r="AT759" i="2"/>
  <c r="BC985" i="2"/>
  <c r="AT595" i="2"/>
  <c r="AM783" i="2"/>
  <c r="BF119" i="2"/>
  <c r="AL454" i="2"/>
  <c r="AM26" i="2"/>
  <c r="BB694" i="2"/>
  <c r="BB1037" i="2"/>
  <c r="AX436" i="2"/>
  <c r="AP1002" i="2"/>
  <c r="BB215" i="2"/>
  <c r="BB416" i="2"/>
  <c r="BB977" i="2"/>
  <c r="BC1035" i="2"/>
  <c r="AP658" i="2"/>
  <c r="BB225" i="2"/>
  <c r="BC193" i="2"/>
  <c r="AT918" i="2"/>
  <c r="AP172" i="2"/>
  <c r="AP666" i="2"/>
  <c r="AL563" i="2"/>
  <c r="AT456" i="2"/>
  <c r="AL295" i="2"/>
  <c r="BF1000" i="2"/>
  <c r="AX477" i="2"/>
  <c r="AU1014" i="2"/>
  <c r="AX760" i="2"/>
  <c r="BF410" i="2"/>
  <c r="AX582" i="2"/>
  <c r="AL495" i="2"/>
  <c r="AL170" i="2"/>
  <c r="AP247" i="2"/>
  <c r="AL872" i="2"/>
  <c r="AL455" i="2"/>
  <c r="AM46" i="2"/>
  <c r="AL371" i="2"/>
  <c r="BC860" i="2"/>
  <c r="BF566" i="2"/>
  <c r="BC654" i="2"/>
  <c r="BC760" i="2"/>
  <c r="BC229" i="2"/>
  <c r="AX472" i="2"/>
  <c r="BB414" i="2"/>
  <c r="BF831" i="2"/>
  <c r="AM33" i="2"/>
  <c r="BF1054" i="2"/>
  <c r="AX438" i="2"/>
  <c r="AM283" i="2"/>
  <c r="AU454" i="2"/>
  <c r="AX134" i="2"/>
  <c r="BF65" i="2"/>
  <c r="AM386" i="2"/>
  <c r="AL148" i="2"/>
  <c r="AM237" i="2"/>
  <c r="BB115" i="2"/>
  <c r="AX575" i="2"/>
  <c r="AL983" i="2"/>
  <c r="AX345" i="2"/>
  <c r="AL719" i="2"/>
  <c r="AP933" i="2"/>
  <c r="BF1057" i="2"/>
  <c r="AL676" i="2"/>
  <c r="BC416" i="2"/>
  <c r="BF22" i="2"/>
  <c r="AU430" i="2"/>
  <c r="AT467" i="2"/>
  <c r="AU484" i="2"/>
  <c r="AL1024" i="2"/>
  <c r="BC824" i="2"/>
  <c r="AM444" i="2"/>
  <c r="AT949" i="2"/>
  <c r="AM605" i="2"/>
  <c r="AU490" i="2"/>
  <c r="BB569" i="2"/>
  <c r="AT769" i="2"/>
  <c r="BF302" i="2"/>
  <c r="AX111" i="2"/>
  <c r="AL704" i="2"/>
  <c r="AP594" i="2"/>
  <c r="AP119" i="2"/>
  <c r="AM107" i="2"/>
  <c r="AT633" i="2"/>
  <c r="AL360" i="2"/>
  <c r="BB736" i="2"/>
  <c r="AM570" i="2"/>
  <c r="BF642" i="2"/>
  <c r="BF92" i="2"/>
  <c r="AL520" i="2"/>
  <c r="AU712" i="2"/>
  <c r="AU1100" i="2"/>
  <c r="AP865" i="2"/>
  <c r="AT263" i="2"/>
  <c r="BB662" i="2"/>
  <c r="AL605" i="2"/>
  <c r="AT763" i="2"/>
  <c r="BB287" i="2"/>
  <c r="AL69" i="2"/>
  <c r="AP616" i="2"/>
  <c r="BF826" i="2"/>
  <c r="BF222" i="2"/>
  <c r="BF111" i="2"/>
  <c r="BB1041" i="2"/>
  <c r="AU45" i="2"/>
  <c r="AP484" i="2"/>
  <c r="BF270" i="2"/>
  <c r="AT674" i="2"/>
  <c r="AU743" i="2"/>
  <c r="BF539" i="2"/>
  <c r="AU1093" i="2"/>
  <c r="AU308" i="2"/>
  <c r="AU951" i="2"/>
  <c r="AL862" i="2"/>
  <c r="AU489" i="2"/>
  <c r="BC409" i="2"/>
  <c r="AU68" i="2"/>
  <c r="AU209" i="2"/>
  <c r="BF585" i="2"/>
  <c r="BF1080" i="2"/>
  <c r="BF827" i="2"/>
  <c r="AM822" i="2"/>
  <c r="BB364" i="2"/>
  <c r="AL473" i="2"/>
  <c r="AM299" i="2"/>
  <c r="BB197" i="2"/>
  <c r="BB905" i="2"/>
  <c r="AU325" i="2"/>
  <c r="BF785" i="2"/>
  <c r="BF1051" i="2"/>
  <c r="BC700" i="2"/>
  <c r="BB175" i="2"/>
  <c r="AM586" i="2"/>
  <c r="AX457" i="2"/>
  <c r="AM905" i="2"/>
  <c r="AM637" i="2"/>
  <c r="AP45" i="2"/>
  <c r="BC226" i="2"/>
  <c r="AX1066" i="2"/>
  <c r="AP799" i="2"/>
  <c r="AT637" i="2"/>
  <c r="AX261" i="2"/>
  <c r="AP901" i="2"/>
  <c r="AP44" i="2"/>
  <c r="AM873" i="2"/>
  <c r="AT131" i="2"/>
  <c r="BC218" i="2"/>
  <c r="AL882" i="2"/>
  <c r="AT613" i="2"/>
  <c r="BC747" i="2"/>
  <c r="BB675" i="2"/>
  <c r="AX945" i="2"/>
  <c r="BC65" i="2"/>
  <c r="AP472" i="2"/>
  <c r="AL1017" i="2"/>
  <c r="BF606" i="2"/>
  <c r="AM732" i="2"/>
  <c r="AM802" i="2"/>
  <c r="AP390" i="2"/>
  <c r="AL297" i="2"/>
  <c r="AX529" i="2"/>
  <c r="AX470" i="2"/>
  <c r="AP1089" i="2"/>
  <c r="AM885" i="2"/>
  <c r="AX440" i="2"/>
  <c r="AT754" i="2"/>
  <c r="BC509" i="2"/>
  <c r="AP114" i="2"/>
  <c r="BF710" i="2"/>
  <c r="AU131" i="2"/>
  <c r="AM1025" i="2"/>
  <c r="AX516" i="2"/>
  <c r="BC802" i="2"/>
  <c r="AX388" i="2"/>
  <c r="AU926" i="2"/>
  <c r="BB156" i="2"/>
  <c r="BF297" i="2"/>
  <c r="BB213" i="2"/>
  <c r="AX441" i="2"/>
  <c r="AU690" i="2"/>
  <c r="AM452" i="2"/>
  <c r="AL848" i="2"/>
  <c r="AL72" i="2"/>
  <c r="BB737" i="2"/>
  <c r="AP182" i="2"/>
  <c r="AX537" i="2"/>
  <c r="AL742" i="2"/>
  <c r="BF579" i="2"/>
  <c r="AU645" i="2"/>
  <c r="BC107" i="2"/>
  <c r="BB605" i="2"/>
  <c r="AL281" i="2"/>
  <c r="BC857" i="2"/>
  <c r="BF732" i="2"/>
  <c r="BB508" i="2"/>
  <c r="AT601" i="2"/>
  <c r="BF306" i="2"/>
  <c r="AM1011" i="2"/>
  <c r="AM279" i="2"/>
  <c r="AX538" i="2"/>
  <c r="BF779" i="2"/>
  <c r="BC661" i="2"/>
  <c r="AT634" i="2"/>
  <c r="AU940" i="2"/>
  <c r="BF41" i="2"/>
  <c r="BB1040" i="2"/>
  <c r="BB425" i="2"/>
  <c r="AP1041" i="2"/>
  <c r="BB261" i="2"/>
  <c r="AM857" i="2"/>
  <c r="AM704" i="2"/>
  <c r="AL813" i="2"/>
  <c r="AU346" i="2"/>
  <c r="AM357" i="2"/>
  <c r="AU775" i="2"/>
  <c r="AU814" i="2"/>
  <c r="BB321" i="2"/>
  <c r="AL139" i="2"/>
  <c r="BF324" i="2"/>
  <c r="BC261" i="2"/>
  <c r="BF515" i="2"/>
  <c r="AU388" i="2"/>
  <c r="BF471" i="2"/>
  <c r="BF949" i="2"/>
  <c r="BC174" i="2"/>
  <c r="AT657" i="2"/>
  <c r="AM53" i="2"/>
  <c r="AL130" i="2"/>
  <c r="AP266" i="2"/>
  <c r="AP1001" i="2"/>
  <c r="AM493" i="2"/>
  <c r="AL958" i="2"/>
  <c r="BB769" i="2"/>
  <c r="BB980" i="2"/>
  <c r="AL858" i="2"/>
  <c r="AP14" i="2"/>
  <c r="AU740" i="2"/>
  <c r="AT902" i="2"/>
  <c r="BF1084" i="2"/>
  <c r="AU1033" i="2"/>
  <c r="BC932" i="2"/>
  <c r="AT821" i="2"/>
  <c r="AU933" i="2"/>
  <c r="AT515" i="2"/>
  <c r="AU147" i="2"/>
  <c r="AX479" i="2"/>
  <c r="AL988" i="2"/>
  <c r="BB794" i="2"/>
  <c r="BC683" i="2"/>
  <c r="AU208" i="2"/>
  <c r="AP113" i="2"/>
  <c r="BF281" i="2"/>
  <c r="AT944" i="2"/>
  <c r="BF291" i="2"/>
  <c r="AT20" i="2"/>
  <c r="BC873" i="2"/>
  <c r="BB266" i="2"/>
  <c r="AL395" i="2"/>
  <c r="AX95" i="2"/>
  <c r="AT474" i="2"/>
  <c r="AP366" i="2"/>
  <c r="AP934" i="2"/>
  <c r="BB214" i="2"/>
  <c r="BB695" i="2"/>
  <c r="AL63" i="2"/>
  <c r="AT1090" i="2"/>
  <c r="BF780" i="2"/>
  <c r="BF1064" i="2"/>
  <c r="AT332" i="2"/>
  <c r="AU523" i="2"/>
  <c r="BF115" i="2"/>
  <c r="BC566" i="2"/>
  <c r="BB263" i="2"/>
  <c r="AM221" i="2"/>
  <c r="AM664" i="2"/>
  <c r="AL1006" i="2"/>
  <c r="AX920" i="2"/>
  <c r="AU138" i="2"/>
  <c r="AX859" i="2"/>
  <c r="BB455" i="2"/>
  <c r="AU929" i="2"/>
  <c r="BC1003" i="2"/>
  <c r="AL793" i="2"/>
  <c r="AP862" i="2"/>
  <c r="BB672" i="2"/>
  <c r="BB1010" i="2"/>
  <c r="AM900" i="2"/>
  <c r="AM592" i="2"/>
  <c r="AU847" i="2"/>
  <c r="AP476" i="2"/>
  <c r="AT800" i="2"/>
  <c r="AT426" i="2"/>
  <c r="AT222" i="2"/>
  <c r="AX488" i="2"/>
  <c r="AU102" i="2"/>
  <c r="BC258" i="2"/>
  <c r="AM568" i="2"/>
  <c r="AT446" i="2"/>
  <c r="BF531" i="2"/>
  <c r="BF944" i="2"/>
  <c r="AU889" i="2"/>
  <c r="AM759" i="2"/>
  <c r="BF212" i="2"/>
  <c r="AP587" i="2"/>
  <c r="AU1079" i="2"/>
  <c r="BB912" i="2"/>
  <c r="AT147" i="2"/>
  <c r="BB1087" i="2"/>
  <c r="BF696" i="2"/>
  <c r="BF540" i="2"/>
  <c r="AU504" i="2"/>
  <c r="BF167" i="2"/>
  <c r="AP724" i="2"/>
  <c r="AT820" i="2"/>
  <c r="BC921" i="2"/>
  <c r="BB583" i="2"/>
  <c r="AL791" i="2"/>
  <c r="AX1027" i="2"/>
  <c r="AX328" i="2"/>
  <c r="BB69" i="2"/>
  <c r="AX964" i="2"/>
  <c r="BC696" i="2"/>
  <c r="AM955" i="2"/>
  <c r="AL570" i="2"/>
  <c r="AL546" i="2"/>
  <c r="AU898" i="2"/>
  <c r="AM411" i="2"/>
  <c r="BC212" i="2"/>
  <c r="BF500" i="2"/>
  <c r="AM310" i="2"/>
  <c r="BC905" i="2"/>
  <c r="AM820" i="2"/>
  <c r="BC867" i="2"/>
  <c r="AX504" i="2"/>
  <c r="AP844" i="2"/>
  <c r="AU369" i="2"/>
  <c r="AU729" i="2"/>
  <c r="AT826" i="2"/>
  <c r="AX236" i="2"/>
  <c r="AU573" i="2"/>
  <c r="AL276" i="2"/>
  <c r="AX531" i="2"/>
  <c r="AP903" i="2"/>
  <c r="AM1014" i="2"/>
  <c r="AL895" i="2"/>
  <c r="AP633" i="2"/>
  <c r="AM625" i="2"/>
  <c r="BC677" i="2"/>
  <c r="BC488" i="2"/>
  <c r="BC600" i="2"/>
  <c r="AP498" i="2"/>
  <c r="AP165" i="2"/>
  <c r="AM1041" i="2"/>
  <c r="AP845" i="2"/>
  <c r="AM695" i="2"/>
  <c r="AX72" i="2"/>
  <c r="AX783" i="2"/>
  <c r="AP974" i="2"/>
  <c r="AL23" i="2"/>
  <c r="BC951" i="2"/>
  <c r="BB606" i="2"/>
  <c r="BF984" i="2"/>
  <c r="AU121" i="2"/>
  <c r="AU201" i="2"/>
  <c r="AT303" i="2"/>
  <c r="AX726" i="2"/>
  <c r="AP545" i="2"/>
  <c r="BB40" i="2"/>
  <c r="AU353" i="2"/>
  <c r="AT155" i="2"/>
  <c r="AU548" i="2"/>
  <c r="AL162" i="2"/>
  <c r="AU843" i="2"/>
  <c r="AU893" i="2"/>
  <c r="AM393" i="2"/>
  <c r="AP575" i="2"/>
  <c r="AT333" i="2"/>
  <c r="AX912" i="2"/>
  <c r="BB1009" i="2"/>
  <c r="AT554" i="2"/>
  <c r="AL975" i="2"/>
  <c r="AT197" i="2"/>
  <c r="AM1074" i="2"/>
  <c r="AL626" i="2"/>
  <c r="BF519" i="2"/>
  <c r="AT359" i="2"/>
  <c r="BC211" i="2"/>
  <c r="BF563" i="2"/>
  <c r="AP609" i="2"/>
  <c r="AP382" i="2"/>
  <c r="BF723" i="2"/>
  <c r="AT670" i="2"/>
  <c r="AM678" i="2"/>
  <c r="AT440" i="2"/>
  <c r="AL768" i="2"/>
  <c r="BB337" i="2"/>
  <c r="BC865" i="2"/>
  <c r="BC144" i="2"/>
  <c r="AM944" i="2"/>
  <c r="BF956" i="2"/>
  <c r="AL1012" i="2"/>
  <c r="AU304" i="2"/>
  <c r="AX696" i="2"/>
  <c r="BC701" i="2"/>
  <c r="AX849" i="2"/>
  <c r="AT328" i="2"/>
  <c r="AM897" i="2"/>
  <c r="AM261" i="2"/>
  <c r="AX928" i="2"/>
  <c r="BC694" i="2"/>
  <c r="AL708" i="2"/>
  <c r="BF959" i="2"/>
  <c r="BF182" i="2"/>
  <c r="AP608" i="2"/>
  <c r="BB158" i="2"/>
  <c r="AP455" i="2"/>
  <c r="BF622" i="2"/>
  <c r="BB174" i="2"/>
  <c r="AL118" i="2"/>
  <c r="BB541" i="2"/>
  <c r="AP726" i="2"/>
  <c r="AM427" i="2"/>
  <c r="AT896" i="2"/>
  <c r="AU766" i="2"/>
  <c r="AL560" i="2"/>
  <c r="AL775" i="2"/>
  <c r="AT559" i="2"/>
  <c r="AT267" i="2"/>
  <c r="AU297" i="2"/>
  <c r="AM860" i="2"/>
  <c r="AX807" i="2"/>
  <c r="BF27" i="2"/>
  <c r="AU992" i="2"/>
  <c r="AX1084" i="2"/>
  <c r="AM1002" i="2"/>
  <c r="AX532" i="2"/>
  <c r="AL584" i="2"/>
  <c r="AT200" i="2"/>
  <c r="AP742" i="2"/>
  <c r="AU776" i="2"/>
  <c r="AU947" i="2"/>
  <c r="BC234" i="2"/>
  <c r="AX1030" i="2"/>
  <c r="BF14" i="2"/>
  <c r="BB123" i="2"/>
  <c r="AP53" i="2"/>
  <c r="BC330" i="2"/>
  <c r="AX176" i="2"/>
  <c r="AL778" i="2"/>
  <c r="AL59" i="2"/>
  <c r="AX234" i="2"/>
  <c r="AU977" i="2"/>
  <c r="AL842" i="2"/>
  <c r="BC1033" i="2"/>
  <c r="BF665" i="2"/>
  <c r="BC48" i="2"/>
  <c r="AX927" i="2"/>
  <c r="AX268" i="2"/>
  <c r="BB1050" i="2"/>
  <c r="BF305" i="2"/>
  <c r="AM964" i="2"/>
  <c r="BC1048" i="2"/>
  <c r="AM839" i="2"/>
  <c r="BB222" i="2"/>
  <c r="AX425" i="2"/>
  <c r="AL760" i="2"/>
  <c r="AU702" i="2"/>
  <c r="AU1062" i="2"/>
  <c r="AL104" i="2"/>
  <c r="BF900" i="2"/>
  <c r="AX860" i="2"/>
  <c r="BB585" i="2"/>
  <c r="AM392" i="2"/>
  <c r="AX738" i="2"/>
  <c r="AM415" i="2"/>
  <c r="AP644" i="2"/>
  <c r="AL922" i="2"/>
  <c r="BC470" i="2"/>
  <c r="BB1006" i="2"/>
  <c r="AT345" i="2"/>
  <c r="BF303" i="2"/>
  <c r="BB353" i="2"/>
  <c r="AU267" i="2"/>
  <c r="AL50" i="2"/>
  <c r="AT97" i="2"/>
  <c r="BF691" i="2"/>
  <c r="BF701" i="2"/>
  <c r="AT599" i="2"/>
  <c r="AL323" i="2"/>
  <c r="AU965" i="2"/>
  <c r="BC576" i="2"/>
  <c r="BC545" i="2"/>
  <c r="BC1001" i="2"/>
  <c r="AT789" i="2"/>
  <c r="AU416" i="2"/>
  <c r="AP176" i="2"/>
  <c r="AX1085" i="2"/>
  <c r="AL945" i="2"/>
  <c r="BF211" i="2"/>
  <c r="AU470" i="2"/>
  <c r="BB324" i="2"/>
  <c r="AU619" i="2"/>
  <c r="AL1077" i="2"/>
  <c r="AT677" i="2"/>
  <c r="BF44" i="2"/>
  <c r="AT548" i="2"/>
  <c r="AU199" i="2"/>
  <c r="AT309" i="2"/>
  <c r="AT428" i="2"/>
  <c r="AX1041" i="2"/>
  <c r="AM1000" i="2"/>
  <c r="BC187" i="2"/>
  <c r="BC104" i="2"/>
  <c r="BF592" i="2"/>
  <c r="BB789" i="2"/>
  <c r="AX303" i="2"/>
  <c r="BF751" i="2"/>
  <c r="AP272" i="2"/>
  <c r="BF611" i="2"/>
  <c r="BC983" i="2"/>
  <c r="AP698" i="2"/>
  <c r="BB776" i="2"/>
  <c r="AL259" i="2"/>
  <c r="BC299" i="2"/>
  <c r="AX851" i="2"/>
  <c r="AP861" i="2"/>
  <c r="BC819" i="2"/>
  <c r="AP143" i="2"/>
  <c r="AU609" i="2"/>
  <c r="AT961" i="2"/>
  <c r="AX607" i="2"/>
  <c r="BC138" i="2"/>
  <c r="AM714" i="2"/>
  <c r="AP955" i="2"/>
  <c r="AU72" i="2"/>
  <c r="AX656" i="2"/>
  <c r="AP660" i="2"/>
  <c r="BC255" i="2"/>
  <c r="BB993" i="2"/>
  <c r="BC986" i="2"/>
  <c r="AX360" i="2"/>
  <c r="AM943" i="2"/>
  <c r="AL864" i="2"/>
  <c r="AU31" i="2"/>
  <c r="AL482" i="2"/>
  <c r="AL256" i="2"/>
  <c r="BC194" i="2"/>
  <c r="AL366" i="2"/>
  <c r="BF781" i="2"/>
  <c r="AM364" i="2"/>
  <c r="BC516" i="2"/>
  <c r="AM763" i="2"/>
  <c r="AU621" i="2"/>
  <c r="AP30" i="2"/>
  <c r="AL472" i="2"/>
  <c r="AL134" i="2"/>
  <c r="BB941" i="2"/>
  <c r="BF490" i="2"/>
  <c r="AM650" i="2"/>
  <c r="AU513" i="2"/>
  <c r="AM1046" i="2"/>
  <c r="AU1031" i="2"/>
  <c r="AT234" i="2"/>
  <c r="AU667" i="2"/>
  <c r="BF679" i="2"/>
  <c r="AP110" i="2"/>
  <c r="BC219" i="2"/>
  <c r="AP168" i="2"/>
  <c r="AM217" i="2"/>
  <c r="BF689" i="2"/>
  <c r="AP500" i="2"/>
  <c r="BF1016" i="2"/>
  <c r="AL769" i="2"/>
  <c r="AX800" i="2"/>
  <c r="AX1078" i="2"/>
  <c r="AM233" i="2"/>
  <c r="BC271" i="2"/>
  <c r="AU828" i="2"/>
  <c r="BB576" i="2"/>
  <c r="AU649" i="2"/>
  <c r="AL158" i="2"/>
  <c r="AP657" i="2"/>
  <c r="AM980" i="2"/>
  <c r="AL914" i="2"/>
  <c r="AX749" i="2"/>
  <c r="AT54" i="2"/>
  <c r="AM502" i="2"/>
  <c r="AM192" i="2"/>
  <c r="AU218" i="2"/>
  <c r="AT691" i="2"/>
  <c r="AU879" i="2"/>
  <c r="BF1015" i="2"/>
  <c r="AM461" i="2"/>
  <c r="AX719" i="2"/>
  <c r="AM266" i="2"/>
  <c r="BB473" i="2"/>
  <c r="AP15" i="2"/>
  <c r="AT98" i="2"/>
  <c r="AP856" i="2"/>
  <c r="AX568" i="2"/>
  <c r="BB1019" i="2"/>
  <c r="BC970" i="2"/>
  <c r="AP130" i="2"/>
  <c r="AT728" i="2"/>
  <c r="AT621" i="2"/>
  <c r="AX331" i="2"/>
  <c r="BC353" i="2"/>
  <c r="AX578" i="2"/>
  <c r="AT436" i="2"/>
  <c r="AU692" i="2"/>
  <c r="AM302" i="2"/>
  <c r="BF168" i="2"/>
  <c r="AP1004" i="2"/>
  <c r="BB256" i="2"/>
  <c r="BB645" i="2"/>
  <c r="AU117" i="2"/>
  <c r="AT165" i="2"/>
  <c r="AX344" i="2"/>
  <c r="AU190" i="2"/>
  <c r="BF107" i="2"/>
  <c r="AL1048" i="2"/>
  <c r="AM484" i="2"/>
  <c r="AM581" i="2"/>
  <c r="AT1037" i="2"/>
  <c r="AM910" i="2"/>
  <c r="AP259" i="2"/>
  <c r="AL269" i="2"/>
  <c r="AP900" i="2"/>
  <c r="AL834" i="2"/>
  <c r="AP489" i="2"/>
  <c r="AU717" i="2"/>
  <c r="AM721" i="2"/>
  <c r="BC555" i="2"/>
  <c r="AX485" i="2"/>
  <c r="BB990" i="2"/>
  <c r="AP1022" i="2"/>
  <c r="AL151" i="2"/>
  <c r="AP1015" i="2"/>
  <c r="BC929" i="2"/>
  <c r="AU596" i="2"/>
  <c r="BB165" i="2"/>
  <c r="AT269" i="2"/>
  <c r="AT950" i="2"/>
  <c r="BB345" i="2"/>
  <c r="AL267" i="2"/>
  <c r="AT859" i="2"/>
  <c r="AT172" i="2"/>
  <c r="AM292" i="2"/>
  <c r="AX454" i="2"/>
  <c r="AX802" i="2"/>
  <c r="AT31" i="2"/>
  <c r="AL216" i="2"/>
  <c r="AM789" i="2"/>
  <c r="AU801" i="2"/>
  <c r="AM643" i="2"/>
  <c r="BB44" i="2"/>
  <c r="AU172" i="2"/>
  <c r="AX174" i="2"/>
  <c r="AL984" i="2"/>
  <c r="AT1055" i="2"/>
  <c r="AM21" i="2"/>
  <c r="AT714" i="2"/>
  <c r="AM989" i="2"/>
  <c r="AT720" i="2"/>
  <c r="AT928" i="2"/>
  <c r="AL899" i="2"/>
  <c r="AP627" i="2"/>
  <c r="AL552" i="2"/>
  <c r="AM22" i="2"/>
  <c r="BF190" i="2"/>
  <c r="AP930" i="2"/>
  <c r="AL814" i="2"/>
  <c r="BB967" i="2"/>
  <c r="BF59" i="2"/>
  <c r="AU493" i="2"/>
  <c r="AX106" i="2"/>
  <c r="AP210" i="2"/>
  <c r="AX693" i="2"/>
  <c r="AM859" i="2"/>
  <c r="AL662" i="2"/>
  <c r="AL830" i="2"/>
  <c r="AU116" i="2"/>
  <c r="BF175" i="2"/>
  <c r="AX942" i="2"/>
  <c r="BB230" i="2"/>
  <c r="AU300" i="2"/>
  <c r="AX63" i="2"/>
  <c r="BC457" i="2"/>
  <c r="BF396" i="2"/>
  <c r="AX731" i="2"/>
  <c r="AT1020" i="2"/>
  <c r="AT600" i="2"/>
  <c r="AT157" i="2"/>
  <c r="BC139" i="2"/>
  <c r="AL494" i="2"/>
  <c r="AP818" i="2"/>
  <c r="BF906" i="2"/>
  <c r="BC902" i="2"/>
  <c r="AP477" i="2"/>
  <c r="AU111" i="2"/>
  <c r="AT368" i="2"/>
  <c r="BB130" i="2"/>
  <c r="BC967" i="2"/>
  <c r="AM1032" i="2"/>
  <c r="AL851" i="2"/>
  <c r="BF463" i="2"/>
  <c r="AU255" i="2"/>
  <c r="AT650" i="2"/>
  <c r="AP979" i="2"/>
  <c r="AX1053" i="2"/>
  <c r="AM128" i="2"/>
  <c r="BC560" i="2"/>
  <c r="AP734" i="2"/>
  <c r="AP547" i="2"/>
  <c r="BC149" i="2"/>
  <c r="AT265" i="2"/>
  <c r="AP460" i="2"/>
  <c r="BF660" i="2"/>
  <c r="AX604" i="2"/>
  <c r="BB846" i="2"/>
  <c r="AP800" i="2"/>
  <c r="AT148" i="2"/>
  <c r="BC95" i="2"/>
  <c r="AX428" i="2"/>
  <c r="AL484" i="2"/>
  <c r="AU931" i="2"/>
  <c r="BC466" i="2"/>
  <c r="AT295" i="2"/>
  <c r="BB732" i="2"/>
  <c r="AL633" i="2"/>
  <c r="AL1030" i="2"/>
  <c r="AM788" i="2"/>
  <c r="BB1080" i="2"/>
  <c r="AM333" i="2"/>
  <c r="AL212" i="2"/>
  <c r="AM1063" i="2"/>
  <c r="BF549" i="2"/>
  <c r="BC724" i="2"/>
  <c r="BF940" i="2"/>
  <c r="AP733" i="2"/>
  <c r="BF654" i="2"/>
  <c r="AL553" i="2"/>
  <c r="AT893" i="2"/>
  <c r="AM528" i="2"/>
  <c r="AX473" i="2"/>
  <c r="BC15" i="2"/>
  <c r="BB808" i="2"/>
  <c r="AU254" i="2"/>
  <c r="BC494" i="2"/>
  <c r="BC750" i="2"/>
  <c r="AX836" i="2"/>
  <c r="AU498" i="2"/>
  <c r="AM727" i="2"/>
  <c r="AP49" i="2"/>
  <c r="AU1016" i="2"/>
  <c r="BF602" i="2"/>
  <c r="AU384" i="2"/>
  <c r="AP857" i="2"/>
  <c r="AT119" i="2"/>
  <c r="BB545" i="2"/>
  <c r="AT505" i="2"/>
  <c r="AL782" i="2"/>
  <c r="AU895" i="2"/>
  <c r="AM297" i="2"/>
  <c r="AP265" i="2"/>
  <c r="AP301" i="2"/>
  <c r="BF1041" i="2"/>
  <c r="AL843" i="2"/>
  <c r="AL698" i="2"/>
  <c r="BF365" i="2"/>
  <c r="BC238" i="2"/>
  <c r="AP1012" i="2"/>
  <c r="AM45" i="2"/>
  <c r="AT1091" i="2"/>
  <c r="AT672" i="2"/>
  <c r="BC742" i="2"/>
  <c r="AT521" i="2"/>
  <c r="BB209" i="2"/>
  <c r="BC708" i="2"/>
  <c r="AP488" i="2"/>
  <c r="AM633" i="2"/>
  <c r="AT409" i="2"/>
  <c r="AT958" i="2"/>
  <c r="BF187" i="2"/>
  <c r="AU132" i="2"/>
  <c r="AM935" i="2"/>
  <c r="BC652" i="2"/>
  <c r="AT395" i="2"/>
  <c r="AT970" i="2"/>
  <c r="AL24" i="2"/>
  <c r="BF607" i="2"/>
  <c r="AT838" i="2"/>
  <c r="AU1091" i="2"/>
  <c r="AU633" i="2"/>
  <c r="AP563" i="2"/>
  <c r="AX156" i="2"/>
  <c r="AM429" i="2"/>
  <c r="AM1087" i="2"/>
  <c r="BC304" i="2"/>
  <c r="AL146" i="2"/>
  <c r="AL201" i="2"/>
  <c r="AU812" i="2"/>
  <c r="AT306" i="2"/>
  <c r="AL854" i="2"/>
  <c r="AP953" i="2"/>
  <c r="AP1080" i="2"/>
  <c r="AX285" i="2"/>
  <c r="AX867" i="2"/>
  <c r="AL898" i="2"/>
  <c r="AT99" i="2"/>
  <c r="AU666" i="2"/>
  <c r="AU570" i="2"/>
  <c r="BB963" i="2"/>
  <c r="BC497" i="2"/>
  <c r="AP610" i="2"/>
  <c r="AU962" i="2"/>
  <c r="BB120" i="2"/>
  <c r="AP440" i="2"/>
  <c r="BB757" i="2"/>
  <c r="AL389" i="2"/>
  <c r="BC1065" i="2"/>
  <c r="AU66" i="2"/>
  <c r="AM818" i="2"/>
  <c r="AT858" i="2"/>
  <c r="AL589" i="2"/>
  <c r="BB1089" i="2"/>
  <c r="BB1038" i="2"/>
  <c r="AL500" i="2"/>
  <c r="BC388" i="2"/>
  <c r="AX545" i="2"/>
  <c r="AT473" i="2"/>
  <c r="BC1009" i="2"/>
  <c r="AM71" i="2"/>
  <c r="AU614" i="2"/>
  <c r="AP931" i="2"/>
  <c r="BC1088" i="2"/>
  <c r="AM841" i="2"/>
  <c r="BB389" i="2"/>
  <c r="AU232" i="2"/>
  <c r="AU305" i="2"/>
  <c r="BB860" i="2"/>
  <c r="AU595" i="2"/>
  <c r="AP640" i="2"/>
  <c r="AU793" i="2"/>
  <c r="AM342" i="2"/>
  <c r="BC942" i="2"/>
  <c r="AP625" i="2"/>
  <c r="AP528" i="2"/>
  <c r="BF216" i="2"/>
  <c r="AL955" i="2"/>
  <c r="AU192" i="2"/>
  <c r="BC632" i="2"/>
  <c r="AP333" i="2"/>
  <c r="BF342" i="2"/>
  <c r="AU307" i="2"/>
  <c r="BF596" i="2"/>
  <c r="AX204" i="2"/>
  <c r="BC801" i="2"/>
  <c r="AU948" i="2"/>
  <c r="AT1084" i="2"/>
  <c r="AX614" i="2"/>
  <c r="BC581" i="2"/>
  <c r="BB1047" i="2"/>
  <c r="BF951" i="2"/>
  <c r="AU143" i="2"/>
  <c r="BB835" i="2"/>
  <c r="AP212" i="2"/>
  <c r="BB421" i="2"/>
  <c r="AM50" i="2"/>
  <c r="AX382" i="2"/>
  <c r="AP872" i="2"/>
  <c r="AL508" i="2"/>
  <c r="AL798" i="2"/>
  <c r="AX184" i="2"/>
  <c r="AM520" i="2"/>
  <c r="AX882" i="2"/>
  <c r="AL182" i="2"/>
  <c r="BC901" i="2"/>
  <c r="AP652" i="2"/>
  <c r="AP233" i="2"/>
  <c r="BC171" i="2"/>
  <c r="AP557" i="2"/>
  <c r="AP395" i="2"/>
  <c r="BC633" i="2"/>
  <c r="AP701" i="2"/>
  <c r="AP692" i="2"/>
  <c r="BC645" i="2"/>
  <c r="AU722" i="2"/>
  <c r="AL225" i="2"/>
  <c r="BF193" i="2"/>
  <c r="BB505" i="2"/>
  <c r="AL952" i="2"/>
  <c r="BB598" i="2"/>
  <c r="BF561" i="2"/>
  <c r="AP254" i="2"/>
  <c r="AX553" i="2"/>
  <c r="AM735" i="2"/>
  <c r="AL686" i="2"/>
  <c r="BF1046" i="2"/>
  <c r="BF1014" i="2"/>
  <c r="BB783" i="2"/>
  <c r="AU389" i="2"/>
  <c r="AT791" i="2"/>
  <c r="AM869" i="2"/>
  <c r="AM186" i="2"/>
  <c r="BB717" i="2"/>
  <c r="BF555" i="2"/>
  <c r="AM995" i="2"/>
  <c r="AX230" i="2"/>
  <c r="AP523" i="2"/>
  <c r="AP211" i="2"/>
  <c r="BF266" i="2"/>
  <c r="AL654" i="2"/>
  <c r="AU494" i="2"/>
  <c r="AM957" i="2"/>
  <c r="BF422" i="2"/>
  <c r="BB648" i="2"/>
  <c r="AL350" i="2"/>
  <c r="AP678" i="2"/>
  <c r="AX232" i="2"/>
  <c r="BF768" i="2"/>
  <c r="AU1039" i="2"/>
  <c r="AT746" i="2"/>
  <c r="BC154" i="2"/>
  <c r="BC393" i="2"/>
  <c r="AX464" i="2"/>
  <c r="BC817" i="2"/>
  <c r="BF709" i="2"/>
  <c r="BC1024" i="2"/>
  <c r="AX1035" i="2"/>
  <c r="AU829" i="2"/>
  <c r="AP540" i="2"/>
  <c r="BB504" i="2"/>
  <c r="AP758" i="2"/>
  <c r="BC603" i="2"/>
  <c r="AT905" i="2"/>
  <c r="BF1024" i="2"/>
  <c r="AT744" i="2"/>
  <c r="AM1033" i="2"/>
  <c r="AX663" i="2"/>
  <c r="AL564" i="2"/>
  <c r="BF659" i="2"/>
  <c r="AL339" i="2"/>
  <c r="AP441" i="2"/>
  <c r="AL109" i="2"/>
  <c r="AP69" i="2"/>
  <c r="AT187" i="2"/>
  <c r="BF1097" i="2"/>
  <c r="AM1103" i="2"/>
  <c r="AL1089" i="2"/>
  <c r="AX224" i="2"/>
  <c r="BC800" i="2"/>
  <c r="AT64" i="2"/>
  <c r="AM890" i="2"/>
  <c r="AX686" i="2"/>
  <c r="BF644" i="2"/>
  <c r="BB35" i="2"/>
  <c r="BC297" i="2"/>
  <c r="AP787" i="2"/>
  <c r="AT393" i="2"/>
  <c r="AP338" i="2"/>
  <c r="BC764" i="2"/>
  <c r="BC606" i="2"/>
  <c r="AX478" i="2"/>
  <c r="AX187" i="2"/>
  <c r="AU624" i="2"/>
  <c r="BB457" i="2"/>
  <c r="BB830" i="2"/>
  <c r="BC1044" i="2"/>
  <c r="AM808" i="2"/>
  <c r="AL1010" i="2"/>
  <c r="BC989" i="2"/>
  <c r="AU792" i="2"/>
  <c r="BF1037" i="2"/>
  <c r="BB712" i="2"/>
  <c r="AP480" i="2"/>
  <c r="BB760" i="2"/>
  <c r="BC110" i="2"/>
  <c r="AM893" i="2"/>
  <c r="BC680" i="2"/>
  <c r="AM456" i="2"/>
  <c r="AP807" i="2"/>
  <c r="AU480" i="2"/>
  <c r="BB189" i="2"/>
  <c r="AL720" i="2"/>
  <c r="BB203" i="2"/>
  <c r="BB98" i="2"/>
  <c r="BC33" i="2"/>
  <c r="BB93" i="2"/>
  <c r="BC715" i="2"/>
  <c r="AL309" i="2"/>
  <c r="AP217" i="2"/>
  <c r="BC1066" i="2"/>
  <c r="BB793" i="2"/>
  <c r="BC370" i="2"/>
  <c r="AX569" i="2"/>
  <c r="BF482" i="2"/>
  <c r="AX392" i="2"/>
  <c r="BC410" i="2"/>
  <c r="BB411" i="2"/>
  <c r="AT504" i="2"/>
  <c r="AT1067" i="2"/>
  <c r="BB991" i="2"/>
  <c r="AM500" i="2"/>
  <c r="BC915" i="2"/>
  <c r="AP805" i="2"/>
  <c r="BF979" i="2"/>
  <c r="AL92" i="2"/>
  <c r="BF512" i="2"/>
  <c r="AP501" i="2"/>
  <c r="AT396" i="2"/>
  <c r="AX222" i="2"/>
  <c r="AM798" i="2"/>
  <c r="AP893" i="2"/>
  <c r="BB420" i="2"/>
  <c r="AX227" i="2"/>
  <c r="AU518" i="2"/>
  <c r="AU872" i="2"/>
  <c r="AT906" i="2"/>
  <c r="BF890" i="2"/>
  <c r="BF643" i="2"/>
  <c r="BF746" i="2"/>
  <c r="AP659" i="2"/>
  <c r="AL554" i="2"/>
  <c r="BF621" i="2"/>
  <c r="AM691" i="2"/>
  <c r="AX724" i="2"/>
  <c r="BC719" i="2"/>
  <c r="AT362" i="2"/>
  <c r="AP420" i="2"/>
  <c r="AP707" i="2"/>
  <c r="AM223" i="2"/>
  <c r="AP593" i="2"/>
  <c r="AU981" i="2"/>
  <c r="AM546" i="2"/>
  <c r="BB709" i="2"/>
  <c r="BB486" i="2"/>
  <c r="AP514" i="2"/>
  <c r="AU888" i="2"/>
  <c r="BC528" i="2"/>
  <c r="AX482" i="2"/>
  <c r="BB500" i="2"/>
  <c r="AT801" i="2"/>
  <c r="BF491" i="2"/>
  <c r="AT237" i="2"/>
  <c r="AM215" i="2"/>
  <c r="AX165" i="2"/>
  <c r="AP602" i="2"/>
  <c r="BB703" i="2"/>
  <c r="BF982" i="2"/>
  <c r="BB611" i="2"/>
  <c r="AT792" i="2"/>
  <c r="AU231" i="2"/>
  <c r="AU902" i="2"/>
  <c r="AU194" i="2"/>
  <c r="AL382" i="2"/>
  <c r="AX1080" i="2"/>
  <c r="BF267" i="2"/>
  <c r="AP730" i="2"/>
  <c r="AU768" i="2"/>
  <c r="AT517" i="2"/>
  <c r="BB739" i="2"/>
  <c r="BB763" i="2"/>
  <c r="AT1072" i="2"/>
  <c r="AX283" i="2"/>
  <c r="AX926" i="2"/>
  <c r="AM795" i="2"/>
  <c r="AX707" i="2"/>
  <c r="AP189" i="2"/>
  <c r="AT611" i="2"/>
  <c r="BC621" i="2"/>
  <c r="AP393" i="2"/>
  <c r="BC556" i="2"/>
  <c r="BF1085" i="2"/>
  <c r="AM1085" i="2"/>
  <c r="AP1046" i="2"/>
  <c r="AU683" i="2"/>
  <c r="AT703" i="2"/>
  <c r="AL783" i="2"/>
  <c r="BB571" i="2"/>
  <c r="AU987" i="2"/>
  <c r="AP461" i="2"/>
  <c r="AX639" i="2"/>
  <c r="AL959" i="2"/>
  <c r="AM864" i="2"/>
  <c r="AM507" i="2"/>
  <c r="BC279" i="2"/>
  <c r="AP1019" i="2"/>
  <c r="AP997" i="2"/>
  <c r="BB633" i="2"/>
  <c r="AL220" i="2"/>
  <c r="AM537" i="2"/>
  <c r="AT41" i="2"/>
  <c r="BB558" i="2"/>
  <c r="AM32" i="2"/>
  <c r="BF530" i="2"/>
  <c r="AP612" i="2"/>
  <c r="AP1034" i="2"/>
  <c r="AX513" i="2"/>
  <c r="BC897" i="2"/>
  <c r="AM996" i="2"/>
  <c r="BF32" i="2"/>
  <c r="AP1068" i="2"/>
  <c r="AL910" i="2"/>
  <c r="BC794" i="2"/>
  <c r="BF325" i="2"/>
  <c r="AM1070" i="2"/>
  <c r="AM151" i="2"/>
  <c r="AU737" i="2"/>
  <c r="AM232" i="2"/>
  <c r="BB656" i="2"/>
  <c r="BC872" i="2"/>
  <c r="BF57" i="2"/>
  <c r="BC784" i="2"/>
  <c r="AL565" i="2"/>
  <c r="AL1015" i="2"/>
  <c r="AT137" i="2"/>
  <c r="AU741" i="2"/>
  <c r="AT94" i="2"/>
  <c r="AX937" i="2"/>
  <c r="BB221" i="2"/>
  <c r="AX848" i="2"/>
  <c r="BB1068" i="2"/>
  <c r="BF599" i="2"/>
  <c r="BF841" i="2"/>
  <c r="AU709" i="2"/>
  <c r="BB395" i="2"/>
  <c r="AU636" i="2"/>
  <c r="AU23" i="2"/>
  <c r="AU265" i="2"/>
  <c r="AL215" i="2"/>
  <c r="AU200" i="2"/>
  <c r="BB359" i="2"/>
  <c r="AX158" i="2"/>
  <c r="BC167" i="2"/>
  <c r="AT1006" i="2"/>
  <c r="AT198" i="2"/>
  <c r="BF601" i="2"/>
  <c r="AP695" i="2"/>
  <c r="AU366" i="2"/>
  <c r="BC285" i="2"/>
  <c r="AT1056" i="2"/>
  <c r="AP552" i="2"/>
  <c r="BF838" i="2"/>
  <c r="BC813" i="2"/>
  <c r="BB227" i="2"/>
  <c r="AT324" i="2"/>
  <c r="BB236" i="2"/>
  <c r="BB567" i="2"/>
  <c r="BB836" i="2"/>
  <c r="BB516" i="2"/>
  <c r="BF237" i="2"/>
  <c r="AP691" i="2"/>
  <c r="AM130" i="2"/>
  <c r="BF578" i="2"/>
  <c r="AX940" i="2"/>
  <c r="AL190" i="2"/>
  <c r="BC975" i="2"/>
  <c r="BB116" i="2"/>
  <c r="BF1038" i="2"/>
  <c r="AU275" i="2"/>
  <c r="AX533" i="2"/>
  <c r="AL576" i="2"/>
  <c r="AU668" i="2"/>
  <c r="BF438" i="2"/>
  <c r="AP392" i="2"/>
  <c r="BB570" i="2"/>
  <c r="AP663" i="2"/>
  <c r="AM491" i="2"/>
  <c r="AX666" i="2"/>
  <c r="AX128" i="2"/>
  <c r="AP1067" i="2"/>
  <c r="AU118" i="2"/>
  <c r="AU129" i="2"/>
  <c r="AP664" i="2"/>
  <c r="AL355" i="2"/>
  <c r="AM576" i="2"/>
  <c r="BF618" i="2"/>
  <c r="BB973" i="2"/>
  <c r="AP225" i="2"/>
  <c r="BB787" i="2"/>
  <c r="AL607" i="2"/>
  <c r="AU387" i="2"/>
  <c r="BC1072" i="2"/>
  <c r="AL762" i="2"/>
  <c r="AX560" i="2"/>
  <c r="AL145" i="2"/>
  <c r="BF640" i="2"/>
  <c r="BC1018" i="2"/>
  <c r="AL913" i="2"/>
  <c r="AL707" i="2"/>
  <c r="AP324" i="2"/>
  <c r="BF70" i="2"/>
  <c r="AU904" i="2"/>
  <c r="AU115" i="2"/>
  <c r="BC830" i="2"/>
  <c r="BF645" i="2"/>
  <c r="BB696" i="2"/>
  <c r="BF806" i="2"/>
  <c r="AP109" i="2"/>
  <c r="AT478" i="2"/>
  <c r="AP912" i="2"/>
  <c r="BC1039" i="2"/>
  <c r="BB233" i="2"/>
  <c r="AL918" i="2"/>
  <c r="AT475" i="2"/>
  <c r="AP835" i="2"/>
  <c r="BF456" i="2"/>
  <c r="AL510" i="2"/>
  <c r="AX992" i="2"/>
  <c r="BB897" i="2"/>
  <c r="AT480" i="2"/>
  <c r="BC1017" i="2"/>
  <c r="AX118" i="2"/>
  <c r="AX426" i="2"/>
  <c r="AP948" i="2"/>
  <c r="AL556" i="2"/>
  <c r="BC565" i="2"/>
  <c r="BB219" i="2"/>
  <c r="AU759" i="2"/>
  <c r="BB322" i="2"/>
  <c r="AP679" i="2"/>
  <c r="AP860" i="2"/>
  <c r="AT930" i="2"/>
  <c r="AL867" i="2"/>
  <c r="AT511" i="2"/>
  <c r="AU689" i="2"/>
  <c r="AT617" i="2"/>
  <c r="AX919" i="2"/>
  <c r="AT884" i="2"/>
  <c r="AT807" i="2"/>
  <c r="AP827" i="2"/>
  <c r="AP106" i="2"/>
  <c r="AU468" i="2"/>
  <c r="AX93" i="2"/>
  <c r="AX843" i="2"/>
  <c r="BB1097" i="2"/>
  <c r="AX546" i="2"/>
  <c r="AU755" i="2"/>
  <c r="BB770" i="2"/>
  <c r="AP991" i="2"/>
  <c r="AX913" i="2"/>
  <c r="AL67" i="2"/>
  <c r="AM914" i="2"/>
  <c r="BC789" i="2"/>
  <c r="AT847" i="2"/>
  <c r="BF771" i="2"/>
  <c r="AP646" i="2"/>
  <c r="BB784" i="2"/>
  <c r="BF323" i="2"/>
  <c r="AX49" i="2"/>
  <c r="AL1103" i="2"/>
  <c r="AU526" i="2"/>
  <c r="AU1049" i="2"/>
  <c r="AP186" i="2"/>
  <c r="AP792" i="2"/>
  <c r="AX770" i="2"/>
  <c r="AX1007" i="2"/>
  <c r="AP850" i="2"/>
  <c r="AM476" i="2"/>
  <c r="AT33" i="2"/>
  <c r="AT848" i="2"/>
  <c r="AX42" i="2"/>
  <c r="BF971" i="2"/>
  <c r="BF546" i="2"/>
  <c r="AU54" i="2"/>
  <c r="AL1020" i="2"/>
  <c r="AT995" i="2"/>
  <c r="BC49" i="2"/>
  <c r="BB323" i="2"/>
  <c r="AU130" i="2"/>
  <c r="AL548" i="2"/>
  <c r="BB285" i="2"/>
  <c r="AX162" i="2"/>
  <c r="AP344" i="2"/>
  <c r="AU813" i="2"/>
  <c r="AL545" i="2"/>
  <c r="AT732" i="2"/>
  <c r="AT329" i="2"/>
  <c r="BF824" i="2"/>
  <c r="BF970" i="2"/>
  <c r="AU871" i="2"/>
  <c r="AM1055" i="2"/>
  <c r="BB929" i="2"/>
  <c r="BF161" i="2"/>
  <c r="AX1099" i="2"/>
  <c r="AP293" i="2"/>
  <c r="AU1089" i="2"/>
  <c r="AM690" i="2"/>
  <c r="BB865" i="2"/>
  <c r="BB802" i="2"/>
  <c r="AM733" i="2"/>
  <c r="BF707" i="2"/>
  <c r="AL283" i="2"/>
  <c r="BC590" i="2"/>
  <c r="AL714" i="2"/>
  <c r="BF504" i="2"/>
  <c r="AP357" i="2"/>
  <c r="BB479" i="2"/>
  <c r="AL734" i="2"/>
  <c r="AU14" i="2"/>
  <c r="AU730" i="2"/>
  <c r="BB24" i="2"/>
  <c r="AM148" i="2"/>
  <c r="AT355" i="2"/>
  <c r="BF1087" i="2"/>
  <c r="AP27" i="2"/>
  <c r="AX510" i="2"/>
  <c r="AT547" i="2"/>
  <c r="BB847" i="2"/>
  <c r="AX200" i="2"/>
  <c r="AM1042" i="2"/>
  <c r="AT798" i="2"/>
  <c r="AT982" i="2"/>
  <c r="AL934" i="2"/>
  <c r="AX40" i="2"/>
  <c r="BF224" i="2"/>
  <c r="AM544" i="2"/>
  <c r="BC879" i="2"/>
  <c r="BC812" i="2"/>
  <c r="AU1001" i="2"/>
  <c r="AP302" i="2"/>
  <c r="AL51" i="2"/>
  <c r="BC296" i="2"/>
  <c r="BF186" i="2"/>
  <c r="AU795" i="2"/>
  <c r="AT816" i="2"/>
  <c r="BF910" i="2"/>
  <c r="BF1050" i="2"/>
  <c r="BF258" i="2"/>
  <c r="AU110" i="2"/>
  <c r="BC224" i="2"/>
  <c r="BF524" i="2"/>
  <c r="AX736" i="2"/>
  <c r="AP271" i="2"/>
  <c r="AM201" i="2"/>
  <c r="AT479" i="2"/>
  <c r="AT51" i="2"/>
  <c r="AP898" i="2"/>
  <c r="AX355" i="2"/>
  <c r="AT500" i="2"/>
  <c r="BC823" i="2"/>
  <c r="AX811" i="2"/>
  <c r="AT532" i="2"/>
  <c r="AX365" i="2"/>
  <c r="AU160" i="2"/>
  <c r="AT346" i="2"/>
  <c r="BF865" i="2"/>
  <c r="AP975" i="2"/>
  <c r="AP759" i="2"/>
  <c r="AU503" i="2"/>
  <c r="AX883" i="2"/>
  <c r="AX209" i="2"/>
  <c r="BB184" i="2"/>
  <c r="BF937" i="2"/>
  <c r="AU418" i="2"/>
  <c r="AM1093" i="2"/>
  <c r="AL884" i="2"/>
  <c r="AP510" i="2"/>
  <c r="AX496" i="2"/>
  <c r="BC773" i="2"/>
  <c r="AM769" i="2"/>
  <c r="BB298" i="2"/>
  <c r="AM464" i="2"/>
  <c r="BF66" i="2"/>
  <c r="AU511" i="2"/>
  <c r="BC626" i="2"/>
  <c r="AL1069" i="2"/>
  <c r="AL933" i="2"/>
  <c r="AP589" i="2"/>
  <c r="AT607" i="2"/>
  <c r="BB972" i="2"/>
  <c r="BC710" i="2"/>
  <c r="AP603" i="2"/>
  <c r="AP166" i="2"/>
  <c r="AT813" i="2"/>
  <c r="AT664" i="2"/>
  <c r="BB134" i="2"/>
  <c r="AU1072" i="2"/>
  <c r="BF901" i="2"/>
  <c r="AL1086" i="2"/>
  <c r="AM475" i="2"/>
  <c r="AU1092" i="2"/>
  <c r="BC109" i="2"/>
  <c r="AM459" i="2"/>
  <c r="AT410" i="2"/>
  <c r="BF418" i="2"/>
  <c r="BB491" i="2"/>
  <c r="BC57" i="2"/>
  <c r="AL761" i="2"/>
  <c r="AL286" i="2"/>
  <c r="AL98" i="2"/>
  <c r="BB465" i="2"/>
  <c r="AP478" i="2"/>
  <c r="AP298" i="2"/>
  <c r="AU936" i="2"/>
  <c r="BF790" i="2"/>
  <c r="BC1043" i="2"/>
  <c r="BC597" i="2"/>
  <c r="AT873" i="2"/>
  <c r="AM325" i="2"/>
  <c r="AL675" i="2"/>
  <c r="AP1031" i="2"/>
  <c r="AU613" i="2"/>
  <c r="AL440" i="2"/>
  <c r="BC1013" i="2"/>
  <c r="AP777" i="2"/>
  <c r="AL539" i="2"/>
  <c r="BF339" i="2"/>
  <c r="BF887" i="2"/>
  <c r="BC889" i="2"/>
  <c r="AL411" i="2"/>
  <c r="AL232" i="2"/>
  <c r="AP779" i="2"/>
  <c r="BF67" i="2"/>
  <c r="BC670" i="2"/>
  <c r="BB349" i="2"/>
  <c r="BB810" i="2"/>
  <c r="AL944" i="2"/>
  <c r="AP503" i="2"/>
  <c r="BC948" i="2"/>
  <c r="AT228" i="2"/>
  <c r="AL616" i="2"/>
  <c r="AL254" i="2"/>
  <c r="AX260" i="2"/>
  <c r="BC434" i="2"/>
  <c r="AP123" i="2"/>
  <c r="AX28" i="2"/>
  <c r="AT1075" i="2"/>
  <c r="AL386" i="2"/>
  <c r="AX622" i="2"/>
  <c r="AL1081" i="2"/>
  <c r="BC183" i="2"/>
  <c r="BB226" i="2"/>
  <c r="AL868" i="2"/>
  <c r="AP614" i="2"/>
  <c r="AP651" i="2"/>
  <c r="AL477" i="2"/>
  <c r="BB821" i="2"/>
  <c r="AP870" i="2"/>
  <c r="AM30" i="2"/>
  <c r="AL748" i="2"/>
  <c r="AU943" i="2"/>
  <c r="AL384" i="2"/>
  <c r="AL122" i="2"/>
  <c r="AP926" i="2"/>
  <c r="AM327" i="2"/>
  <c r="AX911" i="2"/>
  <c r="AX983" i="2"/>
  <c r="AX295" i="2"/>
  <c r="AP774" i="2"/>
  <c r="AU919" i="2"/>
  <c r="BC835" i="2"/>
  <c r="AL925" i="2"/>
  <c r="AM659" i="2"/>
  <c r="BF895" i="2"/>
  <c r="AL32" i="2"/>
  <c r="AP329" i="2"/>
  <c r="AU532" i="2"/>
  <c r="AX394" i="2"/>
  <c r="BF589" i="2"/>
  <c r="AT1069" i="2"/>
  <c r="AX683" i="2"/>
  <c r="BF332" i="2"/>
  <c r="AM264" i="2"/>
  <c r="AL781" i="2"/>
  <c r="AX460" i="2"/>
  <c r="AX725" i="2"/>
  <c r="AT123" i="2"/>
  <c r="AP891" i="2"/>
  <c r="AL930" i="2"/>
  <c r="AM848" i="2"/>
  <c r="AL863" i="2"/>
  <c r="AT161" i="2"/>
  <c r="AL886" i="2"/>
  <c r="AX808" i="2"/>
  <c r="AM346" i="2"/>
  <c r="AX713" i="2"/>
  <c r="AX175" i="2"/>
  <c r="AU572" i="2"/>
  <c r="AT766" i="2"/>
  <c r="AU820" i="2"/>
  <c r="AX427" i="2"/>
  <c r="BB499" i="2"/>
  <c r="AU650" i="2"/>
  <c r="AP99" i="2"/>
  <c r="BB562" i="2"/>
  <c r="BF842" i="2"/>
  <c r="BC569" i="2"/>
  <c r="AP427" i="2"/>
  <c r="AP1069" i="2"/>
  <c r="AP238" i="2"/>
  <c r="AM709" i="2"/>
  <c r="AL234" i="2"/>
  <c r="BB97" i="2"/>
  <c r="AP873" i="2"/>
  <c r="AX512" i="2"/>
  <c r="BB151" i="2"/>
  <c r="AL438" i="2"/>
  <c r="BC41" i="2"/>
  <c r="BC272" i="2"/>
  <c r="AM896" i="2"/>
  <c r="AP685" i="2"/>
  <c r="BB1002" i="2"/>
  <c r="AU983" i="2"/>
  <c r="BF738" i="2"/>
  <c r="AT111" i="2"/>
  <c r="AT1080" i="2"/>
  <c r="BF1076" i="2"/>
  <c r="AU761" i="2"/>
  <c r="AX871" i="2"/>
  <c r="AT606" i="2"/>
  <c r="BF301" i="2"/>
  <c r="AU15" i="2"/>
  <c r="BB1084" i="2"/>
  <c r="BC102" i="2"/>
  <c r="BF1078" i="2"/>
  <c r="BB771" i="2"/>
  <c r="BF837" i="2"/>
  <c r="BB894" i="2"/>
  <c r="AU732" i="2"/>
  <c r="AT966" i="2"/>
  <c r="BB482" i="2"/>
  <c r="BB145" i="2"/>
  <c r="AU335" i="2"/>
  <c r="BC307" i="2"/>
  <c r="AX220" i="2"/>
  <c r="AP581" i="2"/>
  <c r="AM416" i="2"/>
  <c r="AM257" i="2"/>
  <c r="AU483" i="2"/>
  <c r="AM1048" i="2"/>
  <c r="AT716" i="2"/>
  <c r="AX108" i="2"/>
  <c r="AT444" i="2"/>
  <c r="AL1025" i="2"/>
  <c r="AM879" i="2"/>
  <c r="AT679" i="2"/>
  <c r="AU365" i="2"/>
  <c r="BB483" i="2"/>
  <c r="AX649" i="2"/>
  <c r="BB1042" i="2"/>
  <c r="BF33" i="2"/>
  <c r="AT386" i="2"/>
  <c r="AU368" i="2"/>
  <c r="AU711" i="2"/>
  <c r="AP649" i="2"/>
  <c r="BF128" i="2"/>
  <c r="BC911" i="2"/>
  <c r="BC539" i="2"/>
  <c r="AP992" i="2"/>
  <c r="BB434" i="2"/>
  <c r="AT63" i="2"/>
  <c r="BB774" i="2"/>
  <c r="AU839" i="2"/>
  <c r="BF1032" i="2"/>
  <c r="AX71" i="2"/>
  <c r="AM1088" i="2"/>
  <c r="BF300" i="2"/>
  <c r="AL157" i="2"/>
  <c r="BB1098" i="2"/>
  <c r="AL40" i="2"/>
  <c r="AX591" i="2"/>
  <c r="AL649" i="2"/>
  <c r="BF787" i="2"/>
  <c r="BC306" i="2"/>
  <c r="BC208" i="2"/>
  <c r="BC386" i="2"/>
  <c r="BF1099" i="2"/>
  <c r="AP868" i="2"/>
  <c r="AP394" i="2"/>
  <c r="BC636" i="2"/>
  <c r="AP321" i="2"/>
  <c r="AP920" i="2"/>
  <c r="BF594" i="2"/>
  <c r="BF662" i="2"/>
  <c r="BB16" i="2"/>
  <c r="AP384" i="2"/>
  <c r="AL529" i="2"/>
  <c r="AM41" i="2"/>
  <c r="AM1047" i="2"/>
  <c r="AM468" i="2"/>
  <c r="BB369" i="2"/>
  <c r="BB1069" i="2"/>
  <c r="AT335" i="2"/>
  <c r="BC338" i="2"/>
  <c r="AT227" i="2"/>
  <c r="AM123" i="2"/>
  <c r="AT392" i="2"/>
  <c r="AU421" i="2"/>
  <c r="BB918" i="2"/>
  <c r="AM967" i="2"/>
  <c r="AL1091" i="2"/>
  <c r="AP740" i="2"/>
  <c r="AX712" i="2"/>
  <c r="AU331" i="2"/>
  <c r="BB1062" i="2"/>
  <c r="BC965" i="2"/>
  <c r="AM751" i="2"/>
  <c r="BB749" i="2"/>
  <c r="BB856" i="2"/>
  <c r="AP822" i="2"/>
  <c r="AM723" i="2"/>
  <c r="AP941" i="2"/>
  <c r="AT175" i="2"/>
  <c r="BF1039" i="2"/>
  <c r="BF778" i="2"/>
  <c r="BF844" i="2"/>
  <c r="BC176" i="2"/>
  <c r="BC1054" i="2"/>
  <c r="AT209" i="2"/>
  <c r="AT992" i="2"/>
  <c r="AL370" i="2"/>
  <c r="BB348" i="2"/>
  <c r="BB818" i="2"/>
  <c r="AT15" i="2"/>
  <c r="AT795" i="2"/>
  <c r="AL593" i="2"/>
  <c r="AP586" i="2"/>
  <c r="AL1045" i="2"/>
  <c r="BB1091" i="2"/>
  <c r="AP986" i="2"/>
  <c r="AL343" i="2"/>
  <c r="AT989" i="2"/>
  <c r="AT870" i="2"/>
  <c r="AM632" i="2"/>
  <c r="AL763" i="2"/>
  <c r="BC891" i="2"/>
  <c r="BB691" i="2"/>
  <c r="BF977" i="2"/>
  <c r="AP929" i="2"/>
  <c r="BB493" i="2"/>
  <c r="AL137" i="2"/>
  <c r="AL533" i="2"/>
  <c r="BC203" i="2"/>
  <c r="AP530" i="2"/>
  <c r="AL1047" i="2"/>
  <c r="AP795" i="2"/>
  <c r="AT836" i="2"/>
  <c r="BF609" i="2"/>
  <c r="AM69" i="2"/>
  <c r="AU899" i="2"/>
  <c r="AL901" i="2"/>
  <c r="BF913" i="2"/>
  <c r="BB117" i="2"/>
  <c r="AL586" i="2"/>
  <c r="BB106" i="2"/>
  <c r="BF501" i="2"/>
  <c r="AT945" i="2"/>
  <c r="AT513" i="2"/>
  <c r="AP598" i="2"/>
  <c r="AM577" i="2"/>
  <c r="AT603" i="2"/>
  <c r="AU457" i="2"/>
  <c r="AX952" i="2"/>
  <c r="BB308" i="2"/>
  <c r="AX527" i="2"/>
  <c r="AT454" i="2"/>
  <c r="AM70" i="2"/>
  <c r="AM35" i="2"/>
  <c r="AT881" i="2"/>
  <c r="AX304" i="2"/>
  <c r="BF961" i="2"/>
  <c r="BB971" i="2"/>
  <c r="AX257" i="2"/>
  <c r="AX287" i="2"/>
  <c r="AL666" i="2"/>
  <c r="AU1020" i="2"/>
  <c r="AU1005" i="2"/>
  <c r="BF156" i="2"/>
  <c r="AX828" i="2"/>
  <c r="BC734" i="2"/>
  <c r="AU452" i="2"/>
  <c r="AP837" i="2"/>
  <c r="AL1073" i="2"/>
  <c r="AL1057" i="2"/>
  <c r="AT113" i="2"/>
  <c r="BF917" i="2"/>
  <c r="AP458" i="2"/>
  <c r="AX307" i="2"/>
  <c r="BC771" i="2"/>
  <c r="AX170" i="2"/>
  <c r="BC596" i="2"/>
  <c r="AM383" i="2"/>
  <c r="BF664" i="2"/>
  <c r="AL187" i="2"/>
  <c r="AM933" i="2"/>
  <c r="AP887" i="2"/>
  <c r="AM892" i="2"/>
  <c r="AL751" i="2"/>
  <c r="AM719" i="2"/>
  <c r="BC916" i="2"/>
  <c r="BF661" i="2"/>
  <c r="AM417" i="2"/>
  <c r="BC850" i="2"/>
  <c r="AP71" i="2"/>
  <c r="AP1051" i="2"/>
  <c r="AM460" i="2"/>
  <c r="AL441" i="2"/>
  <c r="AU657" i="2"/>
  <c r="BB706" i="2"/>
  <c r="AU676" i="2"/>
  <c r="AL542" i="2"/>
  <c r="BF208" i="2"/>
  <c r="AT668" i="2"/>
  <c r="AX467" i="2"/>
  <c r="AU491" i="2"/>
  <c r="AM959" i="2"/>
  <c r="BB262" i="2"/>
  <c r="AX1048" i="2"/>
  <c r="BB785" i="2"/>
  <c r="AT217" i="2"/>
  <c r="AL501" i="2"/>
  <c r="AX766" i="2"/>
  <c r="AM851" i="2"/>
  <c r="AU823" i="2"/>
  <c r="AP668" i="2"/>
  <c r="BB805" i="2"/>
  <c r="BC937" i="2"/>
  <c r="AM804" i="2"/>
  <c r="AT1014" i="2"/>
  <c r="AU996" i="2"/>
  <c r="BB148" i="2"/>
  <c r="AU507" i="2"/>
  <c r="AU34" i="2"/>
  <c r="BF409" i="2"/>
  <c r="AT1086" i="2"/>
  <c r="AT971" i="2"/>
  <c r="BF847" i="2"/>
  <c r="AP756" i="2"/>
  <c r="BF1074" i="2"/>
  <c r="AM510" i="2"/>
  <c r="AM575" i="2"/>
  <c r="BF103" i="2"/>
  <c r="AT1079" i="2"/>
  <c r="AL1054" i="2"/>
  <c r="AM210" i="2"/>
  <c r="BC295" i="2"/>
  <c r="BB160" i="2"/>
  <c r="AT103" i="2"/>
  <c r="AU296" i="2"/>
  <c r="AP767" i="2"/>
  <c r="AM681" i="2"/>
  <c r="BF480" i="2"/>
  <c r="BB460" i="2"/>
  <c r="BC984" i="2"/>
  <c r="AL53" i="2"/>
  <c r="AL257" i="2"/>
  <c r="AL829" i="2"/>
  <c r="BC342" i="2"/>
  <c r="BB237" i="2"/>
  <c r="BB615" i="2"/>
  <c r="BC639" i="2"/>
  <c r="AM445" i="2"/>
  <c r="AU594" i="2"/>
  <c r="AM775" i="2"/>
  <c r="AX906" i="2"/>
  <c r="BB849" i="2"/>
  <c r="AL825" i="2"/>
  <c r="BC925" i="2"/>
  <c r="AM940" i="2"/>
  <c r="BF432" i="2"/>
  <c r="AM729" i="2"/>
  <c r="BF1042" i="2"/>
  <c r="BC31" i="2"/>
  <c r="AL821" i="2"/>
  <c r="AL647" i="2"/>
  <c r="BC493" i="2"/>
  <c r="AU428" i="2"/>
  <c r="AM653" i="2"/>
  <c r="AT445" i="2"/>
  <c r="AP280" i="2"/>
  <c r="BF426" i="2"/>
  <c r="AT936" i="2"/>
  <c r="AL1002" i="2"/>
  <c r="AL819" i="2"/>
  <c r="AU816" i="2"/>
  <c r="AX299" i="2"/>
  <c r="AL744" i="2"/>
  <c r="BB542" i="2"/>
  <c r="AX922" i="2"/>
  <c r="AT199" i="2"/>
  <c r="AU40" i="2"/>
  <c r="AU343" i="2"/>
  <c r="AL70" i="2"/>
  <c r="BF518" i="2"/>
  <c r="BC751" i="2"/>
  <c r="AP797" i="2"/>
  <c r="AM565" i="2"/>
  <c r="BF1092" i="2"/>
  <c r="AP465" i="2"/>
  <c r="BF1049" i="2"/>
  <c r="AX745" i="2"/>
  <c r="BB28" i="2"/>
  <c r="AM948" i="2"/>
  <c r="AP22" i="2"/>
  <c r="AL1031" i="2"/>
  <c r="AU361" i="2"/>
  <c r="AU602" i="2"/>
  <c r="AX600" i="2"/>
  <c r="AP137" i="2"/>
  <c r="AP135" i="2"/>
  <c r="BB365" i="2"/>
  <c r="AP263" i="2"/>
  <c r="AP819" i="2"/>
  <c r="AX233" i="2"/>
  <c r="AX507" i="2"/>
  <c r="AT297" i="2"/>
  <c r="BF272" i="2"/>
  <c r="AL199" i="2"/>
  <c r="BC618" i="2"/>
  <c r="BF388" i="2"/>
  <c r="BC440" i="2"/>
  <c r="AX182" i="2"/>
  <c r="BB64" i="2"/>
  <c r="AP170" i="2"/>
  <c r="BF941" i="2"/>
  <c r="AP491" i="2"/>
  <c r="BB1025" i="2"/>
  <c r="BC920" i="2"/>
  <c r="BB772" i="2"/>
  <c r="BF1093" i="2"/>
  <c r="BB19" i="2"/>
  <c r="AX171" i="2"/>
  <c r="AX211" i="2"/>
  <c r="BB538" i="2"/>
  <c r="AL916" i="2"/>
  <c r="AU497" i="2"/>
  <c r="AU1088" i="2"/>
  <c r="AX716" i="2"/>
  <c r="BF121" i="2"/>
  <c r="AX856" i="2"/>
  <c r="BB258" i="2"/>
  <c r="AL670" i="2"/>
  <c r="AT465" i="2"/>
  <c r="AU1010" i="2"/>
  <c r="BB730" i="2"/>
  <c r="BB948" i="2"/>
  <c r="AM583" i="2"/>
  <c r="AX958" i="2"/>
  <c r="BF673" i="2"/>
  <c r="BC53" i="2"/>
  <c r="AP132" i="2"/>
  <c r="BF914" i="2"/>
  <c r="AP1021" i="2"/>
  <c r="AP368" i="2"/>
  <c r="BB919" i="2"/>
  <c r="AU764" i="2"/>
  <c r="AU228" i="2"/>
  <c r="AM754" i="2"/>
  <c r="AL824" i="2"/>
  <c r="BB437" i="2"/>
  <c r="AP454" i="2"/>
  <c r="AM707" i="2"/>
  <c r="BC441" i="2"/>
  <c r="BF728" i="2"/>
  <c r="AP854" i="2"/>
  <c r="AP209" i="2"/>
  <c r="AX58" i="2"/>
  <c r="AU395" i="2"/>
  <c r="BF158" i="2"/>
  <c r="BF713" i="2"/>
  <c r="BC722" i="2"/>
  <c r="BF1003" i="2"/>
  <c r="BF517" i="2"/>
  <c r="AU883" i="2"/>
  <c r="BC446" i="2"/>
  <c r="BB950" i="2"/>
  <c r="AP757" i="2"/>
  <c r="AM578" i="2"/>
  <c r="AT19" i="2"/>
  <c r="AL691" i="2"/>
  <c r="BF681" i="2"/>
  <c r="BC593" i="2"/>
  <c r="BB338" i="2"/>
  <c r="AP237" i="2"/>
  <c r="BB530" i="2"/>
  <c r="AL962" i="2"/>
  <c r="AP464" i="2"/>
  <c r="BC325" i="2"/>
  <c r="AU665" i="2"/>
  <c r="AU169" i="2"/>
  <c r="BC980" i="2"/>
  <c r="AT546" i="2"/>
  <c r="AL702" i="2"/>
  <c r="BF608" i="2"/>
  <c r="BF669" i="2"/>
  <c r="BB200" i="2"/>
  <c r="BC712" i="2"/>
  <c r="BF600" i="2"/>
  <c r="AM58" i="2"/>
  <c r="AL330" i="2"/>
  <c r="AL1005" i="2"/>
  <c r="AL750" i="2"/>
  <c r="BF830" i="2"/>
  <c r="AU659" i="2"/>
  <c r="AM193" i="2"/>
  <c r="AT704" i="2"/>
  <c r="AL547" i="2"/>
  <c r="AP665" i="2"/>
  <c r="AP667" i="2"/>
  <c r="AM899" i="2"/>
  <c r="AX491" i="2"/>
  <c r="AU271" i="2"/>
  <c r="AX1051" i="2"/>
  <c r="AM1092" i="2"/>
  <c r="AU262" i="2"/>
  <c r="AM194" i="2"/>
  <c r="AL1000" i="2"/>
  <c r="AX339" i="2"/>
  <c r="AX819" i="2"/>
  <c r="AU393" i="2"/>
  <c r="AU653" i="2"/>
  <c r="AP1103" i="2"/>
  <c r="AM654" i="2"/>
  <c r="BF383" i="2"/>
  <c r="BB930" i="2"/>
  <c r="BC964" i="2"/>
  <c r="BC186" i="2"/>
  <c r="BB960" i="2"/>
  <c r="AP842" i="2"/>
  <c r="AU773" i="2"/>
  <c r="BC471" i="2"/>
  <c r="AT616" i="2"/>
  <c r="AX815" i="2"/>
  <c r="AM1090" i="2"/>
  <c r="AM93" i="2"/>
  <c r="BC982" i="2"/>
  <c r="AT622" i="2"/>
  <c r="AL640" i="2"/>
  <c r="AL275" i="2"/>
  <c r="AX306" i="2"/>
  <c r="AX98" i="2"/>
  <c r="BC885" i="2"/>
  <c r="AL650" i="2"/>
  <c r="AM963" i="2"/>
  <c r="BC294" i="2"/>
  <c r="AM509" i="2"/>
  <c r="AX954" i="2"/>
  <c r="BF816" i="2"/>
  <c r="AP1050" i="2"/>
  <c r="AX27" i="2"/>
  <c r="AT726" i="2"/>
  <c r="BB346" i="2"/>
  <c r="BC225" i="2"/>
  <c r="BB989" i="2"/>
  <c r="AL817" i="2"/>
  <c r="AM711" i="2"/>
  <c r="AT707" i="2"/>
  <c r="AU850" i="2"/>
  <c r="BB488" i="2"/>
  <c r="AU557" i="2"/>
  <c r="AT72" i="2"/>
  <c r="AU643" i="2"/>
  <c r="AT713" i="2"/>
  <c r="AT16" i="2"/>
  <c r="AM158" i="2"/>
  <c r="AX92" i="2"/>
  <c r="AM670" i="2"/>
  <c r="AT1068" i="2"/>
  <c r="AU652" i="2"/>
  <c r="BB698" i="2"/>
  <c r="BF639" i="2"/>
  <c r="BB937" i="2"/>
  <c r="AM63" i="2"/>
  <c r="AP582" i="2"/>
  <c r="BB975" i="2"/>
  <c r="AX706" i="2"/>
  <c r="AT120" i="2"/>
  <c r="BC491" i="2"/>
  <c r="BC1020" i="2"/>
  <c r="AX1049" i="2"/>
  <c r="AL773" i="2"/>
  <c r="AM235" i="2"/>
  <c r="BB649" i="2"/>
  <c r="AM255" i="2"/>
  <c r="BF850" i="2"/>
  <c r="BF699" i="2"/>
  <c r="BC500" i="2"/>
  <c r="AP456" i="2"/>
  <c r="BC971" i="2"/>
  <c r="BF581" i="2"/>
  <c r="AP426" i="2"/>
  <c r="BB921" i="2"/>
  <c r="AM928" i="2"/>
  <c r="AU808" i="2"/>
  <c r="BB110" i="2"/>
  <c r="AU1042" i="2"/>
  <c r="AL808" i="2"/>
  <c r="BB513" i="2"/>
  <c r="BF641" i="2"/>
  <c r="AU924" i="2"/>
  <c r="AX335" i="2"/>
  <c r="BB17" i="2"/>
  <c r="AT972" i="2"/>
  <c r="AL653" i="2"/>
  <c r="BB391" i="2"/>
  <c r="AP128" i="2"/>
  <c r="AU446" i="2"/>
  <c r="AT357" i="2"/>
  <c r="AT929" i="2"/>
  <c r="AT978" i="2"/>
  <c r="AT618" i="2"/>
  <c r="AP511" i="2"/>
  <c r="AM349" i="2"/>
  <c r="BC346" i="2"/>
  <c r="BC862" i="2"/>
  <c r="AT496" i="2"/>
  <c r="AX820" i="2"/>
  <c r="AM669" i="2"/>
  <c r="AX839" i="2"/>
  <c r="AX946" i="2"/>
  <c r="AT819" i="2"/>
  <c r="AM139" i="2"/>
  <c r="AM1024" i="2"/>
  <c r="BF1065" i="2"/>
  <c r="BF682" i="2"/>
  <c r="BC1047" i="2"/>
  <c r="AT151" i="2"/>
  <c r="AU559" i="2"/>
  <c r="AU322" i="2"/>
  <c r="AL94" i="2"/>
  <c r="AL609" i="2"/>
  <c r="BB557" i="2"/>
  <c r="AX556" i="2"/>
  <c r="AL262" i="2"/>
  <c r="AX834" i="2"/>
  <c r="AP310" i="2"/>
  <c r="AT818" i="2"/>
  <c r="BB817" i="2"/>
  <c r="BF1086" i="2"/>
  <c r="AL628" i="2"/>
  <c r="AM115" i="2"/>
  <c r="BC743" i="2"/>
  <c r="BF295" i="2"/>
  <c r="BB799" i="2"/>
  <c r="AM971" i="2"/>
  <c r="AM1067" i="2"/>
  <c r="BB328" i="2"/>
  <c r="AM674" i="2"/>
  <c r="BC276" i="2"/>
  <c r="BC627" i="2"/>
  <c r="BB275" i="2"/>
  <c r="AT1071" i="2"/>
  <c r="AX963" i="2"/>
  <c r="AT804" i="2"/>
  <c r="AU438" i="2"/>
  <c r="AP327" i="2"/>
  <c r="AU546" i="2"/>
  <c r="BC686" i="2"/>
  <c r="AM259" i="2"/>
  <c r="AU853" i="2"/>
  <c r="AT565" i="2"/>
  <c r="AM458" i="2"/>
  <c r="AU488" i="2"/>
  <c r="AM744" i="2"/>
  <c r="AT920" i="2"/>
  <c r="AL956" i="2"/>
  <c r="AU763" i="2"/>
  <c r="AX655" i="2"/>
  <c r="BC123" i="2"/>
  <c r="BB135" i="2"/>
  <c r="AU197" i="2"/>
  <c r="AU637" i="2"/>
  <c r="AU533" i="2"/>
  <c r="AL1003" i="2"/>
  <c r="AL724" i="2"/>
  <c r="AP218" i="2"/>
  <c r="AU99" i="2"/>
  <c r="BC1040" i="2"/>
  <c r="AL1075" i="2"/>
  <c r="AL706" i="2"/>
  <c r="AU913" i="2"/>
  <c r="BF677" i="2"/>
  <c r="AU885" i="2"/>
  <c r="AM836" i="2"/>
  <c r="BF698" i="2"/>
  <c r="AX446" i="2"/>
  <c r="AL558" i="2"/>
  <c r="AP604" i="2"/>
  <c r="AT1054" i="2"/>
  <c r="AP156" i="2"/>
  <c r="AM838" i="2"/>
  <c r="AL786" i="2"/>
  <c r="AM132" i="2"/>
  <c r="AM845" i="2"/>
  <c r="BB858" i="2"/>
  <c r="BF199" i="2"/>
  <c r="BC1011" i="2"/>
  <c r="AL68" i="2"/>
  <c r="AP624" i="2"/>
  <c r="AX1033" i="2"/>
  <c r="AT276" i="2"/>
  <c r="AP554" i="2"/>
  <c r="AT656" i="2"/>
  <c r="AL155" i="2"/>
  <c r="BC474" i="2"/>
  <c r="BF58" i="2"/>
  <c r="AU685" i="2"/>
  <c r="BC326" i="2"/>
  <c r="BC635" i="2"/>
  <c r="AM506" i="2"/>
  <c r="BB212" i="2"/>
  <c r="AX625" i="2"/>
  <c r="AT169" i="2"/>
  <c r="AX1070" i="2"/>
  <c r="AP1000" i="2"/>
  <c r="AM634" i="2"/>
  <c r="AX703" i="2"/>
  <c r="BC886" i="2"/>
  <c r="BC262" i="2"/>
  <c r="BB1012" i="2"/>
  <c r="AX552" i="2"/>
  <c r="BF720" i="2"/>
  <c r="AT1030" i="2"/>
  <c r="BC331" i="2"/>
  <c r="BF1070" i="2"/>
  <c r="BB48" i="2"/>
  <c r="AX855" i="2"/>
  <c r="AP829" i="2"/>
  <c r="AU417" i="2"/>
  <c r="AX841" i="2"/>
  <c r="AT846" i="2"/>
  <c r="AP617" i="2"/>
  <c r="AX305" i="2"/>
  <c r="AU675" i="2"/>
  <c r="AM609" i="2"/>
  <c r="AT70" i="2"/>
  <c r="AM569" i="2"/>
  <c r="BF808" i="2"/>
  <c r="AX642" i="2"/>
  <c r="AP438" i="2"/>
  <c r="AM767" i="2"/>
  <c r="AL677" i="2"/>
  <c r="AM843" i="2"/>
  <c r="AX644" i="2"/>
  <c r="BF154" i="2"/>
  <c r="BB928" i="2"/>
  <c r="AX840" i="2"/>
  <c r="BF1020" i="2"/>
  <c r="AM602" i="2"/>
  <c r="BF502" i="2"/>
  <c r="AP1086" i="2"/>
  <c r="AT502" i="2"/>
  <c r="AT648" i="2"/>
  <c r="BC529" i="2"/>
  <c r="AU462" i="2"/>
  <c r="AX167" i="2"/>
  <c r="AL171" i="2"/>
  <c r="BF123" i="2"/>
  <c r="AX910" i="2"/>
  <c r="AL727" i="2"/>
  <c r="BF868" i="2"/>
  <c r="AL1056" i="2"/>
  <c r="BF1010" i="2"/>
  <c r="BB886" i="2"/>
  <c r="AL205" i="2"/>
  <c r="AP479" i="2"/>
  <c r="AX609" i="2"/>
  <c r="BC1090" i="2"/>
  <c r="AX685" i="2"/>
  <c r="AP437" i="2"/>
  <c r="AT247" i="2"/>
  <c r="AX577" i="2"/>
  <c r="AU890" i="2"/>
  <c r="BF459" i="2"/>
  <c r="AT614" i="2"/>
  <c r="BF567" i="2"/>
  <c r="AU348" i="2"/>
  <c r="AL485" i="2"/>
  <c r="AT383" i="2"/>
  <c r="BC693" i="2"/>
  <c r="AT162" i="2"/>
  <c r="AT669" i="2"/>
  <c r="AX658" i="2"/>
  <c r="AL732" i="2"/>
  <c r="AP122" i="2"/>
  <c r="BC192" i="2"/>
  <c r="BC120" i="2"/>
  <c r="BB299" i="2"/>
  <c r="BB1078" i="2"/>
  <c r="AU456" i="2"/>
  <c r="BF276" i="2"/>
  <c r="AM554" i="2"/>
  <c r="BC996" i="2"/>
  <c r="BC721" i="2"/>
  <c r="AX585" i="2"/>
  <c r="BB600" i="2"/>
  <c r="AM524" i="2"/>
  <c r="BC429" i="2"/>
  <c r="AM27" i="2"/>
  <c r="AU993" i="2"/>
  <c r="AT223" i="2"/>
  <c r="AL745" i="2"/>
  <c r="BC820" i="2"/>
  <c r="AU869" i="2"/>
  <c r="BC64" i="2"/>
  <c r="AP258" i="2"/>
  <c r="AM131" i="2"/>
  <c r="AM396" i="2"/>
  <c r="AM740" i="2"/>
  <c r="AX664" i="2"/>
  <c r="AP719" i="2"/>
  <c r="AP282" i="2"/>
  <c r="AM990" i="2"/>
  <c r="AL598" i="2"/>
  <c r="BC531" i="2"/>
  <c r="AL777" i="2"/>
  <c r="AL518" i="2"/>
  <c r="AP1040" i="2"/>
  <c r="AP1070" i="2"/>
  <c r="BC384" i="2"/>
  <c r="BB636" i="2"/>
  <c r="AT370" i="2"/>
  <c r="AM628" i="2"/>
  <c r="AX594" i="2"/>
  <c r="BF933" i="2"/>
  <c r="AP940" i="2"/>
  <c r="BF71" i="2"/>
  <c r="AX668" i="2"/>
  <c r="AM952" i="2"/>
  <c r="AP694" i="2"/>
  <c r="BF1088" i="2"/>
  <c r="AM962" i="2"/>
  <c r="BC744" i="2"/>
  <c r="BF750" i="2"/>
  <c r="AT721" i="2"/>
  <c r="AT888" i="2"/>
  <c r="AM466" i="2"/>
  <c r="AU486" i="2"/>
  <c r="BC114" i="2"/>
  <c r="AT794" i="2"/>
  <c r="AL1055" i="2"/>
  <c r="AT183" i="2"/>
  <c r="AP452" i="2"/>
  <c r="AL919" i="2"/>
  <c r="AM884" i="2"/>
  <c r="BF97" i="2"/>
  <c r="AX779" i="2"/>
  <c r="BC1023" i="2"/>
  <c r="AM432" i="2"/>
  <c r="AX559" i="2"/>
  <c r="AX225" i="2"/>
  <c r="AX1031" i="2"/>
  <c r="AU330" i="2"/>
  <c r="AM950" i="2"/>
  <c r="BF138" i="2"/>
  <c r="AL928" i="2"/>
  <c r="AX19" i="2"/>
  <c r="BF783" i="2"/>
  <c r="AM52" i="2"/>
  <c r="BC653" i="2"/>
  <c r="AM305" i="2"/>
  <c r="AL229" i="2"/>
  <c r="AP163" i="2"/>
  <c r="AX633" i="2"/>
  <c r="AP1076" i="2"/>
  <c r="BB966" i="2"/>
  <c r="AU781" i="2"/>
  <c r="AX70" i="2"/>
  <c r="AT748" i="2"/>
  <c r="AX561" i="2"/>
  <c r="BB621" i="2"/>
  <c r="AX1075" i="2"/>
  <c r="AT927" i="2"/>
  <c r="AX680" i="2"/>
  <c r="AP1009" i="2"/>
  <c r="AL905" i="2"/>
  <c r="AT487" i="2"/>
  <c r="AU30" i="2"/>
  <c r="AL414" i="2"/>
  <c r="BB396" i="2"/>
  <c r="BC1051" i="2"/>
  <c r="BF760" i="2"/>
  <c r="AL30" i="2"/>
  <c r="AP1062" i="2"/>
  <c r="AP809" i="2"/>
  <c r="AP990" i="2"/>
  <c r="AP919" i="2"/>
  <c r="AL344" i="2"/>
  <c r="BC713" i="2"/>
  <c r="AP871" i="2"/>
  <c r="BC476" i="2"/>
  <c r="AL795" i="2"/>
  <c r="BF727" i="2"/>
  <c r="AM505" i="2"/>
  <c r="AL509" i="2"/>
  <c r="AX476" i="2"/>
  <c r="AX14" i="2"/>
  <c r="AX159" i="2"/>
  <c r="BF950" i="2"/>
  <c r="BF990" i="2"/>
  <c r="AX1038" i="2"/>
  <c r="AL73" i="2"/>
  <c r="AM523" i="2"/>
  <c r="BF110" i="2"/>
  <c r="AU531" i="2"/>
  <c r="AL58" i="2"/>
  <c r="AX1034" i="2"/>
  <c r="AL601" i="2"/>
  <c r="AM343" i="2"/>
  <c r="AL723" i="2"/>
  <c r="AM59" i="2"/>
  <c r="AX291" i="2"/>
  <c r="AM926" i="2"/>
  <c r="BB871" i="2"/>
  <c r="BC900" i="2"/>
  <c r="BC557" i="2"/>
  <c r="AU105" i="2"/>
  <c r="BB170" i="2"/>
  <c r="BC697" i="2"/>
  <c r="AT723" i="2"/>
  <c r="BB105" i="2"/>
  <c r="AX687" i="2"/>
  <c r="AL129" i="2"/>
  <c r="AM532" i="2"/>
  <c r="AL671" i="2"/>
  <c r="AT802" i="2"/>
  <c r="BC321" i="2"/>
  <c r="BF231" i="2"/>
  <c r="AX332" i="2"/>
  <c r="AL596" i="2"/>
  <c r="BF17" i="2"/>
  <c r="AL765" i="2"/>
  <c r="BF114" i="2"/>
  <c r="AP773" i="2"/>
  <c r="AL767" i="2"/>
  <c r="BF615" i="2"/>
  <c r="AM762" i="2"/>
  <c r="BF521" i="2"/>
  <c r="BC740" i="2"/>
  <c r="AM852" i="2"/>
  <c r="BF926" i="2"/>
  <c r="AM997" i="2"/>
  <c r="AU928" i="2"/>
  <c r="BB767" i="2"/>
  <c r="AX893" i="2"/>
  <c r="AP927" i="2"/>
  <c r="AT981" i="2"/>
  <c r="AU139" i="2"/>
  <c r="AP51" i="2"/>
  <c r="AM1037" i="2"/>
  <c r="AM888" i="2"/>
  <c r="AU941" i="2"/>
  <c r="AL739" i="2"/>
  <c r="BF160" i="2"/>
  <c r="AL990" i="2"/>
  <c r="BB1016" i="2"/>
  <c r="BF565" i="2"/>
  <c r="AU934" i="2"/>
  <c r="AT710" i="2"/>
  <c r="BB748" i="2"/>
  <c r="AL678" i="2"/>
  <c r="BB436" i="2"/>
  <c r="AT640" i="2"/>
  <c r="AM694" i="2"/>
  <c r="AU1087" i="2"/>
  <c r="AP335" i="2"/>
  <c r="AU295" i="2"/>
  <c r="BC663" i="2"/>
  <c r="BF496" i="2"/>
  <c r="BF1018" i="2"/>
  <c r="BC282" i="2"/>
  <c r="BB743" i="2"/>
  <c r="BF564" i="2"/>
  <c r="AU693" i="2"/>
  <c r="AM1068" i="2"/>
  <c r="AP387" i="2"/>
  <c r="BC562" i="2"/>
  <c r="AX787" i="2"/>
  <c r="BC161" i="2"/>
  <c r="BC382" i="2"/>
  <c r="AT841" i="2"/>
  <c r="AL310" i="2"/>
  <c r="BC692" i="2"/>
  <c r="AM144" i="2"/>
  <c r="AP268" i="2"/>
  <c r="AX208" i="2"/>
  <c r="AT44" i="2"/>
  <c r="AP467" i="2"/>
  <c r="AP121" i="2"/>
  <c r="AP770" i="2"/>
  <c r="AT526" i="2"/>
  <c r="AU163" i="2"/>
  <c r="BB176" i="2"/>
  <c r="AM270" i="2"/>
  <c r="BF974" i="2"/>
  <c r="AL464" i="2"/>
  <c r="AL664" i="2"/>
  <c r="AM1081" i="2"/>
  <c r="AM234" i="2"/>
  <c r="AX1022" i="2"/>
  <c r="AL967" i="2"/>
  <c r="BF666" i="2"/>
  <c r="AU997" i="2"/>
  <c r="AM209" i="2"/>
  <c r="BB190" i="2"/>
  <c r="AX858" i="2"/>
  <c r="AU830" i="2"/>
  <c r="BC216" i="2"/>
  <c r="AL606" i="2"/>
  <c r="BF143" i="2"/>
  <c r="BB827" i="2"/>
  <c r="AM260" i="2"/>
  <c r="AX740" i="2"/>
  <c r="AL291" i="2"/>
  <c r="AX214" i="2"/>
  <c r="AL486" i="2"/>
  <c r="BF159" i="2"/>
  <c r="BB616" i="2"/>
  <c r="AM904" i="2"/>
  <c r="AL758" i="2"/>
  <c r="AL583" i="2"/>
  <c r="AP281" i="2"/>
  <c r="AT1004" i="2"/>
  <c r="AM956" i="2"/>
  <c r="AT1076" i="2"/>
  <c r="AM872" i="2"/>
  <c r="BB565" i="2"/>
  <c r="AU171" i="2"/>
  <c r="AL994" i="2"/>
  <c r="AT321" i="2"/>
  <c r="BB715" i="2"/>
  <c r="BC355" i="2"/>
  <c r="BC477" i="2"/>
  <c r="AL481" i="2"/>
  <c r="AX514" i="2"/>
  <c r="AX370" i="2"/>
  <c r="AT282" i="2"/>
  <c r="AL799" i="2"/>
  <c r="BC690" i="2"/>
  <c r="AP826" i="2"/>
  <c r="AU95" i="2"/>
  <c r="AP559" i="2"/>
  <c r="AP1044" i="2"/>
  <c r="BB815" i="2"/>
  <c r="BF484" i="2"/>
  <c r="AX146" i="2"/>
  <c r="AT580" i="2"/>
  <c r="AM748" i="2"/>
  <c r="AL150" i="2"/>
  <c r="BF174" i="2"/>
  <c r="BB45" i="2"/>
  <c r="AP173" i="2"/>
  <c r="AP294" i="2"/>
  <c r="AL362" i="2"/>
  <c r="AT882" i="2"/>
  <c r="AU235" i="2"/>
  <c r="BC1050" i="2"/>
  <c r="AL512" i="2"/>
  <c r="AP41" i="2"/>
  <c r="BB659" i="2"/>
  <c r="BC305" i="2"/>
  <c r="AM604" i="2"/>
  <c r="BC761" i="2"/>
  <c r="AM722" i="2"/>
  <c r="AM642" i="2"/>
  <c r="AU975" i="2"/>
  <c r="AU728" i="2"/>
  <c r="AX509" i="2"/>
  <c r="AT568" i="2"/>
  <c r="BB182" i="2"/>
  <c r="AU323" i="2"/>
  <c r="AM842" i="2"/>
  <c r="AM819" i="2"/>
  <c r="BF646" i="2"/>
  <c r="AT342" i="2"/>
  <c r="AX955" i="2"/>
  <c r="AP229" i="2"/>
  <c r="AP131" i="2"/>
  <c r="AP904" i="2"/>
  <c r="AM774" i="2"/>
  <c r="BB247" i="2"/>
  <c r="AL978" i="2"/>
  <c r="AM755" i="2"/>
  <c r="AL993" i="2"/>
  <c r="AP697" i="2"/>
  <c r="BB602" i="2"/>
  <c r="AX864" i="2"/>
  <c r="BB819" i="2"/>
  <c r="BB521" i="2"/>
  <c r="AT261" i="2"/>
  <c r="AX792" i="2"/>
  <c r="AM247" i="2"/>
  <c r="BC147" i="2"/>
  <c r="AL48" i="2"/>
  <c r="BC698" i="2"/>
  <c r="AX361" i="2"/>
  <c r="BC896" i="2"/>
  <c r="BF863" i="2"/>
  <c r="AU809" i="2"/>
  <c r="AL434" i="2"/>
  <c r="BC512" i="2"/>
  <c r="AT549" i="2"/>
  <c r="AM924" i="2"/>
  <c r="BF26" i="2"/>
  <c r="AL149" i="2"/>
  <c r="AT138" i="2"/>
  <c r="AM465" i="2"/>
  <c r="BC105" i="2"/>
  <c r="BC1074" i="2"/>
  <c r="AM815" i="2"/>
  <c r="BC716" i="2"/>
  <c r="AP765" i="2"/>
  <c r="AX960" i="2"/>
  <c r="BB609" i="2"/>
  <c r="BB157" i="2"/>
  <c r="BF605" i="2"/>
  <c r="AM262" i="2"/>
  <c r="AU757" i="2"/>
  <c r="AU684" i="2"/>
  <c r="BC577" i="2"/>
  <c r="AL806" i="2"/>
  <c r="BC584" i="2"/>
  <c r="AT757" i="2"/>
  <c r="AT760" i="2"/>
  <c r="AX461" i="2"/>
  <c r="BC72" i="2"/>
  <c r="AU133" i="2"/>
  <c r="AU778" i="2"/>
  <c r="AP345" i="2"/>
  <c r="AU237" i="2"/>
  <c r="AX973" i="2"/>
  <c r="AL932" i="2"/>
  <c r="AP579" i="2"/>
  <c r="BB628" i="2"/>
  <c r="AL348" i="2"/>
  <c r="AP736" i="2"/>
  <c r="AX116" i="2"/>
  <c r="BC706" i="2"/>
  <c r="AU811" i="2"/>
  <c r="BC128" i="2"/>
  <c r="AM168" i="2"/>
  <c r="BB1022" i="2"/>
  <c r="AL166" i="2"/>
  <c r="AL300" i="2"/>
  <c r="AU824" i="2"/>
  <c r="BC69" i="2"/>
  <c r="AX824" i="2"/>
  <c r="BB1043" i="2"/>
  <c r="AU859" i="2"/>
  <c r="BB520" i="2"/>
  <c r="AM1009" i="2"/>
  <c r="AU825" i="2"/>
  <c r="AP894" i="2"/>
  <c r="BF1001" i="2"/>
  <c r="BF391" i="2"/>
  <c r="AL426" i="2"/>
  <c r="AP895" i="2"/>
  <c r="AT782" i="2"/>
  <c r="AP463" i="2"/>
  <c r="AX565" i="2"/>
  <c r="AP221" i="2"/>
  <c r="BF743" i="2"/>
  <c r="AT1033" i="2"/>
  <c r="AL106" i="2"/>
  <c r="BC672" i="2"/>
  <c r="AM518" i="2"/>
  <c r="BB896" i="2"/>
  <c r="AT281" i="2"/>
  <c r="BF72" i="2"/>
  <c r="AL446" i="2"/>
  <c r="AU247" i="2"/>
  <c r="AX44" i="2"/>
  <c r="AL951" i="2"/>
  <c r="AP705" i="2"/>
  <c r="AP703" i="2"/>
  <c r="AM300" i="2"/>
  <c r="AU519" i="2"/>
  <c r="AP226" i="2"/>
  <c r="AM718" i="2"/>
  <c r="AM861" i="2"/>
  <c r="BF170" i="2"/>
  <c r="BC275" i="2"/>
  <c r="AT221" i="2"/>
  <c r="AL453" i="2"/>
  <c r="BB997" i="2"/>
  <c r="AT743" i="2"/>
  <c r="AM446" i="2"/>
  <c r="AM226" i="2"/>
  <c r="AT184" i="2"/>
  <c r="AM1003" i="2"/>
  <c r="BF226" i="2"/>
  <c r="BC642" i="2"/>
  <c r="BB642" i="2"/>
  <c r="AU588" i="2"/>
  <c r="AP197" i="2"/>
  <c r="AM685" i="2"/>
  <c r="AX1044" i="2"/>
  <c r="AU789" i="2"/>
  <c r="AU1000" i="2"/>
  <c r="AM497" i="2"/>
  <c r="AP154" i="2"/>
  <c r="AP961" i="2"/>
  <c r="AL502" i="2"/>
  <c r="BF702" i="2"/>
  <c r="AT558" i="2"/>
  <c r="BF674" i="2"/>
  <c r="AM97" i="2"/>
  <c r="BF560" i="2"/>
  <c r="BB903" i="2"/>
  <c r="AU691" i="2"/>
  <c r="AU787" i="2"/>
  <c r="BF326" i="2"/>
  <c r="AX957" i="2"/>
  <c r="BF1013" i="2"/>
  <c r="BB291" i="2"/>
  <c r="AU146" i="2"/>
  <c r="BF1030" i="2"/>
  <c r="AX66" i="2"/>
  <c r="AM275" i="2"/>
  <c r="AX499" i="2"/>
  <c r="BC678" i="2"/>
  <c r="BB882" i="2"/>
  <c r="BF359" i="2"/>
  <c r="AM324" i="2"/>
  <c r="AL469" i="2"/>
  <c r="AT784" i="2"/>
  <c r="BC67" i="2"/>
  <c r="BF635" i="2"/>
  <c r="AP164" i="2"/>
  <c r="AT660" i="2"/>
  <c r="AP735" i="2"/>
  <c r="AM102" i="2"/>
  <c r="AU984" i="2"/>
  <c r="AP905" i="2"/>
  <c r="AL54" i="2"/>
  <c r="AP428" i="2"/>
  <c r="AP93" i="2"/>
  <c r="BC976" i="2"/>
  <c r="AX486" i="2"/>
  <c r="BC754" i="2"/>
  <c r="AT941" i="2"/>
  <c r="AM44" i="2"/>
  <c r="BC1037" i="2"/>
  <c r="BC952" i="2"/>
  <c r="BC959" i="2"/>
  <c r="BB949" i="2"/>
  <c r="AU326" i="2"/>
  <c r="AT208" i="2"/>
  <c r="AX462" i="2"/>
  <c r="AM110" i="2"/>
  <c r="BC204" i="2"/>
  <c r="AX54" i="2"/>
  <c r="AL265" i="2"/>
  <c r="AT349" i="2"/>
  <c r="BC733" i="2"/>
  <c r="BC890" i="2"/>
  <c r="AM1034" i="2"/>
  <c r="AT490" i="2"/>
  <c r="AX185" i="2"/>
  <c r="AM387" i="2"/>
  <c r="AM489" i="2"/>
  <c r="BF634" i="2"/>
  <c r="AP215" i="2"/>
  <c r="AL461" i="2"/>
  <c r="AM601" i="2"/>
  <c r="BB761" i="2"/>
  <c r="BF280" i="2"/>
  <c r="AU530" i="2"/>
  <c r="AM566" i="2"/>
  <c r="BC1052" i="2"/>
  <c r="AP1003" i="2"/>
  <c r="BF652" i="2"/>
  <c r="AT30" i="2"/>
  <c r="BF929" i="2"/>
  <c r="AL974" i="2"/>
  <c r="AT510" i="2"/>
  <c r="AL43" i="2"/>
  <c r="AM281" i="2"/>
  <c r="AX814" i="2"/>
  <c r="AX290" i="2"/>
  <c r="BC501" i="2"/>
  <c r="AU390" i="2"/>
  <c r="BB34" i="2"/>
  <c r="AL561" i="2"/>
  <c r="AP1032" i="2"/>
  <c r="BB843" i="2"/>
  <c r="BB509" i="2"/>
  <c r="AT828" i="2"/>
  <c r="AX418" i="2"/>
  <c r="BC610" i="2"/>
  <c r="AX325" i="2"/>
  <c r="AL345" i="2"/>
  <c r="AT917" i="2"/>
  <c r="BF495" i="2"/>
  <c r="AL838" i="2"/>
  <c r="AX982" i="2"/>
  <c r="AP711" i="2"/>
  <c r="BF437" i="2"/>
  <c r="BB265" i="2"/>
  <c r="BC995" i="2"/>
  <c r="BB383" i="2"/>
  <c r="BC854" i="2"/>
  <c r="BF343" i="2"/>
  <c r="AL238" i="2"/>
  <c r="AP963" i="2"/>
  <c r="BC323" i="2"/>
  <c r="BC954" i="2"/>
  <c r="BF553" i="2"/>
  <c r="BF734" i="2"/>
  <c r="AL911" i="2"/>
  <c r="AL992" i="2"/>
  <c r="AP1018" i="2"/>
  <c r="AM504" i="2"/>
  <c r="BB640" i="2"/>
  <c r="AT584" i="2"/>
  <c r="BB690" i="2"/>
  <c r="AU1034" i="2"/>
  <c r="BB119" i="2"/>
  <c r="AM638" i="2"/>
  <c r="BB103" i="2"/>
  <c r="AP231" i="2"/>
  <c r="AU784" i="2"/>
  <c r="AL897" i="2"/>
  <c r="AL710" i="2"/>
  <c r="AX519" i="2"/>
  <c r="AX364" i="2"/>
  <c r="BB386" i="2"/>
  <c r="AT853" i="2"/>
  <c r="AM344" i="2"/>
  <c r="AM150" i="2"/>
  <c r="AP879" i="2"/>
  <c r="BB987" i="2"/>
  <c r="AL846" i="2"/>
  <c r="BB580" i="2"/>
  <c r="AU782" i="2"/>
  <c r="AT214" i="2"/>
  <c r="AM689" i="2"/>
  <c r="AM105" i="2"/>
  <c r="BC1081" i="2"/>
  <c r="AM846" i="2"/>
  <c r="AP328" i="2"/>
  <c r="BB1099" i="2"/>
  <c r="AM844" i="2"/>
  <c r="AX416" i="2"/>
  <c r="AT850" i="2"/>
  <c r="BF42" i="2"/>
  <c r="BB933" i="2"/>
  <c r="AL324" i="2"/>
  <c r="AT545" i="2"/>
  <c r="BB746" i="2"/>
  <c r="AX1003" i="2"/>
  <c r="AM28" i="2"/>
  <c r="AP190" i="2"/>
  <c r="AX635" i="2"/>
  <c r="AM1010" i="2"/>
  <c r="BC933" i="2"/>
  <c r="AP296" i="2"/>
  <c r="BC739" i="2"/>
  <c r="AT174" i="2"/>
  <c r="BC718" i="2"/>
  <c r="AT130" i="2"/>
  <c r="BB409" i="2"/>
  <c r="AX327" i="2"/>
  <c r="BC634" i="2"/>
  <c r="AX16" i="2"/>
  <c r="AP585" i="2"/>
  <c r="BF1062" i="2"/>
  <c r="AT985" i="2"/>
  <c r="AU356" i="2"/>
  <c r="AP98" i="2"/>
  <c r="AP569" i="2"/>
  <c r="AP886" i="2"/>
  <c r="AU607" i="2"/>
  <c r="AX266" i="2"/>
  <c r="AP1027" i="2"/>
  <c r="AP31" i="2"/>
  <c r="AL690" i="2"/>
  <c r="AP804" i="2"/>
  <c r="AX758" i="2"/>
  <c r="AU362" i="2"/>
  <c r="AU93" i="2"/>
  <c r="BB350" i="2"/>
  <c r="AP928" i="2"/>
  <c r="AL805" i="2"/>
  <c r="AM162" i="2"/>
  <c r="BF722" i="2"/>
  <c r="BF309" i="2"/>
  <c r="AM72" i="2"/>
  <c r="BC63" i="2"/>
  <c r="AX705" i="2"/>
  <c r="AM384" i="2"/>
  <c r="AT731" i="2"/>
  <c r="AX691" i="2"/>
  <c r="BF1023" i="2"/>
  <c r="AP388" i="2"/>
  <c r="BC604" i="2"/>
  <c r="AU415" i="2"/>
  <c r="AP421" i="2"/>
  <c r="BC774" i="2"/>
  <c r="AX601" i="2"/>
  <c r="BC361" i="2"/>
  <c r="AU944" i="2"/>
  <c r="AM619" i="2"/>
  <c r="BF265" i="2"/>
  <c r="AU62" i="2"/>
  <c r="AT484" i="2"/>
  <c r="AT49" i="2"/>
  <c r="AL184" i="2"/>
  <c r="AT1026" i="2"/>
  <c r="AT577" i="2"/>
  <c r="AL715" i="2"/>
  <c r="AU554" i="2"/>
  <c r="BB985" i="2"/>
  <c r="AX710" i="2"/>
  <c r="AP1084" i="2"/>
  <c r="AU555" i="2"/>
  <c r="AM1076" i="2"/>
  <c r="BF882" i="2"/>
  <c r="AX123" i="2"/>
  <c r="BC572" i="2"/>
  <c r="AX544" i="2"/>
  <c r="AX390" i="2"/>
  <c r="BC640" i="2"/>
  <c r="AX1040" i="2"/>
  <c r="BB139" i="2"/>
  <c r="AP66" i="2"/>
  <c r="AT292" i="2"/>
  <c r="BB931" i="2"/>
  <c r="AP1005" i="2"/>
  <c r="AX135" i="2"/>
  <c r="AP843" i="2"/>
  <c r="BF503" i="2"/>
  <c r="AX932" i="2"/>
  <c r="BF932" i="2"/>
  <c r="AM511" i="2"/>
  <c r="BF94" i="2"/>
  <c r="AU678" i="2"/>
  <c r="BC628" i="2"/>
  <c r="AU482" i="2"/>
  <c r="BC1042" i="2"/>
  <c r="AL966" i="2"/>
  <c r="AL488" i="2"/>
  <c r="BF724" i="2"/>
  <c r="BF782" i="2"/>
  <c r="BB887" i="2"/>
  <c r="BC924" i="2"/>
  <c r="AP466" i="2"/>
  <c r="AP1100" i="2"/>
  <c r="AT1036" i="2"/>
  <c r="AT483" i="2"/>
  <c r="AM1044" i="2"/>
  <c r="AT323" i="2"/>
  <c r="BB220" i="2"/>
  <c r="BB831" i="2"/>
  <c r="AP897" i="2"/>
  <c r="BB154" i="2"/>
  <c r="AM661" i="2"/>
  <c r="AM730" i="2"/>
  <c r="AL15" i="2"/>
  <c r="BB588" i="2"/>
  <c r="AP188" i="2"/>
  <c r="AT639" i="2"/>
  <c r="AM328" i="2"/>
  <c r="BB234" i="2"/>
  <c r="BB900" i="2"/>
  <c r="BC648" i="2"/>
  <c r="AT344" i="2"/>
  <c r="AX62" i="2"/>
  <c r="BB582" i="2"/>
  <c r="AM203" i="2"/>
  <c r="AP744" i="2"/>
  <c r="AL943" i="2"/>
  <c r="AU932" i="2"/>
  <c r="AL849" i="2"/>
  <c r="BC437" i="2"/>
  <c r="AU1040" i="2"/>
  <c r="BF945" i="2"/>
  <c r="BF445" i="2"/>
  <c r="AP750" i="2"/>
  <c r="BF582" i="2"/>
  <c r="AT991" i="2"/>
  <c r="AX616" i="2"/>
  <c r="AL445" i="2"/>
  <c r="BF889" i="2"/>
  <c r="AU1065" i="2"/>
  <c r="BC994" i="2"/>
  <c r="AM441" i="2"/>
  <c r="AM731" i="2"/>
  <c r="AM122" i="2"/>
  <c r="AX671" i="2"/>
  <c r="BC464" i="2"/>
  <c r="AT1025" i="2"/>
  <c r="AU1047" i="2"/>
  <c r="AU1017" i="2"/>
  <c r="AM529" i="2"/>
  <c r="AM773" i="2"/>
  <c r="AL95" i="2"/>
  <c r="AM703" i="2"/>
  <c r="BC629" i="2"/>
  <c r="AX897" i="2"/>
  <c r="AP747" i="2"/>
  <c r="AM409" i="2"/>
  <c r="AL915" i="2"/>
  <c r="AP205" i="2"/>
  <c r="BC795" i="2"/>
  <c r="AM503" i="2"/>
  <c r="BF948" i="2"/>
  <c r="BB295" i="2"/>
  <c r="BF809" i="2"/>
  <c r="BC112" i="2"/>
  <c r="AX226" i="2"/>
  <c r="AP776" i="2"/>
  <c r="AU176" i="2"/>
  <c r="AP702" i="2"/>
  <c r="AU562" i="2"/>
  <c r="BC428" i="2"/>
  <c r="BB268" i="2"/>
  <c r="AU735" i="2"/>
  <c r="AT453" i="2"/>
  <c r="BC821" i="2"/>
  <c r="BB566" i="2"/>
  <c r="AX991" i="2"/>
  <c r="AL602" i="2"/>
  <c r="AT842" i="2"/>
  <c r="AX890" i="2"/>
  <c r="AP648" i="2"/>
  <c r="AP348" i="2"/>
  <c r="AL14" i="2"/>
  <c r="AL837" i="2"/>
  <c r="AP902" i="2"/>
  <c r="AL544" i="2"/>
  <c r="AU658" i="2"/>
  <c r="BC537" i="2"/>
  <c r="BB257" i="2"/>
  <c r="AU21" i="2"/>
  <c r="AT777" i="2"/>
  <c r="BF505" i="2"/>
  <c r="BF954" i="2"/>
  <c r="AL45" i="2"/>
  <c r="BF1047" i="2"/>
  <c r="AP560" i="2"/>
  <c r="AT921" i="2"/>
  <c r="BF95" i="2"/>
  <c r="AT793" i="2"/>
  <c r="BF556" i="2"/>
  <c r="BF487" i="2"/>
  <c r="AM594" i="2"/>
  <c r="AT1000" i="2"/>
  <c r="BB429" i="2"/>
  <c r="BB121" i="2"/>
  <c r="AP21" i="2"/>
  <c r="AL595" i="2"/>
  <c r="BC28" i="2"/>
  <c r="AX489" i="2"/>
  <c r="AM768" i="2"/>
  <c r="AT823" i="2"/>
  <c r="AP355" i="2"/>
  <c r="BB701" i="2"/>
  <c r="BC132" i="2"/>
  <c r="AM620" i="2"/>
  <c r="AM668" i="2"/>
  <c r="AM172" i="2"/>
  <c r="BF204" i="2"/>
  <c r="AT21" i="2"/>
  <c r="BB880" i="2"/>
  <c r="AX414" i="2"/>
  <c r="AT765" i="2"/>
  <c r="AT462" i="2"/>
  <c r="AP706" i="2"/>
  <c r="AP731" i="2"/>
  <c r="BC646" i="2"/>
  <c r="AL822" i="2"/>
  <c r="AL646" i="2"/>
  <c r="BF617" i="2"/>
  <c r="AL260" i="2"/>
  <c r="BF965" i="2"/>
  <c r="AX931" i="2"/>
  <c r="AM1045" i="2"/>
  <c r="AT563" i="2"/>
  <c r="BF28" i="2"/>
  <c r="BB823" i="2"/>
  <c r="AM880" i="2"/>
  <c r="AP573" i="2"/>
  <c r="AT1081" i="2"/>
  <c r="AM307" i="2"/>
  <c r="AX189" i="2"/>
  <c r="AU479" i="2"/>
  <c r="AU750" i="2"/>
  <c r="BB932" i="2"/>
  <c r="BC780" i="2"/>
  <c r="BF823" i="2"/>
  <c r="AP70" i="2"/>
  <c r="BF139" i="2"/>
  <c r="AL571" i="2"/>
  <c r="AU864" i="2"/>
  <c r="AL924" i="2"/>
  <c r="BB713" i="2"/>
  <c r="AP300" i="2"/>
  <c r="BF935" i="2"/>
  <c r="AX641" i="2"/>
  <c r="AM626" i="2"/>
  <c r="BB523" i="2"/>
  <c r="BB610" i="2"/>
  <c r="BB494" i="2"/>
  <c r="BB652" i="2"/>
  <c r="AP965" i="2"/>
  <c r="BB72" i="2"/>
  <c r="AT236" i="2"/>
  <c r="AM618" i="2"/>
  <c r="AM562" i="2"/>
  <c r="BC723" i="2"/>
  <c r="BC608" i="2"/>
  <c r="BC574" i="2"/>
  <c r="BF234" i="2"/>
  <c r="AP63" i="2"/>
  <c r="AL335" i="2"/>
  <c r="AU856" i="2"/>
  <c r="BC518" i="2"/>
  <c r="AL168" i="2"/>
  <c r="BF279" i="2"/>
  <c r="BB366" i="2"/>
  <c r="AM641" i="2"/>
  <c r="BB501" i="2"/>
  <c r="AL1099" i="2"/>
  <c r="BB697" i="2"/>
  <c r="BB964" i="2"/>
  <c r="AX739" i="2"/>
  <c r="AL954" i="2"/>
  <c r="BB515" i="2"/>
  <c r="BB232" i="2"/>
  <c r="AP115" i="2"/>
  <c r="AT1089" i="2"/>
  <c r="AP1014" i="2"/>
  <c r="AM556" i="2"/>
  <c r="AU337" i="2"/>
  <c r="AL672" i="2"/>
  <c r="BB740" i="2"/>
  <c r="AP983" i="2"/>
  <c r="AT553" i="2"/>
  <c r="AL415" i="2"/>
  <c r="AX369" i="2"/>
  <c r="BB604" i="2"/>
  <c r="AP985" i="2"/>
  <c r="AX466" i="2"/>
  <c r="AT220" i="2"/>
  <c r="AP977" i="2"/>
  <c r="AU150" i="2"/>
  <c r="AL110" i="2"/>
  <c r="AX567" i="2"/>
  <c r="BC575" i="2"/>
  <c r="AU223" i="2"/>
  <c r="AM469" i="2"/>
  <c r="AL470" i="2"/>
  <c r="AU420" i="2"/>
  <c r="AT569" i="2"/>
  <c r="AP713" i="2"/>
  <c r="BF214" i="2"/>
  <c r="AX469" i="2"/>
  <c r="AU920" i="2"/>
  <c r="BF899" i="2"/>
  <c r="BB216" i="2"/>
  <c r="BF695" i="2"/>
  <c r="AM414" i="2"/>
  <c r="AL321" i="2"/>
  <c r="AT1048" i="2"/>
  <c r="BF711" i="2"/>
  <c r="AP222" i="2"/>
  <c r="AP661" i="2"/>
  <c r="BC675" i="2"/>
  <c r="BF493" i="2"/>
  <c r="AU345" i="2"/>
  <c r="BB23" i="2"/>
  <c r="AX103" i="2"/>
  <c r="AT264" i="2"/>
  <c r="AU135" i="2"/>
  <c r="BB405" i="2"/>
  <c r="BC687" i="2"/>
  <c r="BC894" i="2"/>
  <c r="AX1032" i="2"/>
  <c r="AU309" i="2"/>
  <c r="AL731" i="2"/>
  <c r="AU189" i="2"/>
  <c r="AM623" i="2"/>
  <c r="AP305" i="2"/>
  <c r="AT144" i="2"/>
  <c r="AT308" i="2"/>
  <c r="AL64" i="2"/>
  <c r="AX420" i="2"/>
  <c r="AL644" i="2"/>
  <c r="BF663" i="2"/>
  <c r="AL847" i="2"/>
  <c r="BB31" i="2"/>
  <c r="AU332" i="2"/>
  <c r="AL623" i="2"/>
  <c r="BC1077" i="2"/>
  <c r="AM584" i="2"/>
  <c r="BB1073" i="2"/>
  <c r="AT22" i="2"/>
  <c r="AM785" i="2"/>
  <c r="AX409" i="2"/>
  <c r="BB755" i="2"/>
  <c r="BF680" i="2"/>
  <c r="AP732" i="2"/>
  <c r="AP816" i="2"/>
  <c r="BB496" i="2"/>
  <c r="AT783" i="2"/>
  <c r="AU699" i="2"/>
  <c r="AM814" i="2"/>
  <c r="AX873" i="2"/>
  <c r="BF613" i="2"/>
  <c r="BB1011" i="2"/>
  <c r="AX329" i="2"/>
  <c r="AX172" i="2"/>
  <c r="AL303" i="2"/>
  <c r="BF113" i="2"/>
  <c r="AL328" i="2"/>
  <c r="AM686" i="2"/>
  <c r="AL231" i="2"/>
  <c r="AL57" i="2"/>
  <c r="AU256" i="2"/>
  <c r="BC609" i="2"/>
  <c r="AU669" i="2"/>
  <c r="BB302" i="2"/>
  <c r="BB725" i="2"/>
  <c r="AT52" i="2"/>
  <c r="BF236" i="2"/>
  <c r="AP944" i="2"/>
  <c r="BB733" i="2"/>
  <c r="AT459" i="2"/>
  <c r="AU818" i="2"/>
  <c r="AT192" i="2"/>
  <c r="BB965" i="2"/>
  <c r="BF146" i="2"/>
  <c r="BF1027" i="2"/>
  <c r="BC309" i="2"/>
  <c r="BC892" i="2"/>
  <c r="AM219" i="2"/>
  <c r="BC1006" i="2"/>
  <c r="AP64" i="2"/>
  <c r="BB114" i="2"/>
  <c r="AL982" i="2"/>
  <c r="AU27" i="2"/>
  <c r="AT682" i="2"/>
  <c r="AU92" i="2"/>
  <c r="AP1047" i="2"/>
  <c r="AP192" i="2"/>
  <c r="BF834" i="2"/>
  <c r="BF784" i="2"/>
  <c r="AT1057" i="2"/>
  <c r="BB326" i="2"/>
  <c r="AX933" i="2"/>
  <c r="BB146" i="2"/>
  <c r="AX1103" i="2"/>
  <c r="BF554" i="2"/>
  <c r="AX606" i="2"/>
  <c r="AU915" i="2"/>
  <c r="AM501" i="2"/>
  <c r="BF357" i="2"/>
  <c r="AP858" i="2"/>
  <c r="AU725" i="2"/>
  <c r="AL870" i="2"/>
  <c r="AU567" i="2"/>
  <c r="AL1088" i="2"/>
  <c r="AX581" i="2"/>
  <c r="AL549" i="2"/>
  <c r="BB417" i="2"/>
  <c r="BC274" i="2"/>
  <c r="AM463" i="2"/>
  <c r="BF562" i="2"/>
  <c r="BB469" i="2"/>
  <c r="BB1049" i="2"/>
  <c r="AT337" i="2"/>
  <c r="AU880" i="2"/>
  <c r="AX1088" i="2"/>
  <c r="BF235" i="2"/>
  <c r="AX785" i="2"/>
  <c r="AM587" i="2"/>
  <c r="AX837" i="2"/>
  <c r="AX953" i="2"/>
  <c r="BF19" i="2"/>
  <c r="AP230" i="2"/>
  <c r="BC906" i="2"/>
  <c r="AX854" i="2"/>
  <c r="AT953" i="2"/>
  <c r="AL1033" i="2"/>
  <c r="BF692" i="2"/>
  <c r="BC478" i="2"/>
  <c r="AL305" i="2"/>
  <c r="AM652" i="2"/>
  <c r="AP619" i="2"/>
  <c r="BC92" i="2"/>
  <c r="BC689" i="2"/>
  <c r="AP187" i="2"/>
  <c r="AU817" i="2"/>
  <c r="BF268" i="2"/>
  <c r="AL186" i="2"/>
  <c r="BB1004" i="2"/>
  <c r="AM787" i="2"/>
  <c r="BC936" i="2"/>
  <c r="BC51" i="2"/>
  <c r="AU590" i="2"/>
  <c r="AT302" i="2"/>
  <c r="AL986" i="2"/>
  <c r="BB707" i="2"/>
  <c r="AP689" i="2"/>
  <c r="BF700" i="2"/>
  <c r="AU338" i="2"/>
  <c r="AL888" i="2"/>
  <c r="AP880" i="2"/>
  <c r="BC807" i="2"/>
  <c r="BC73" i="2"/>
  <c r="AL816" i="2"/>
  <c r="BF685" i="2"/>
  <c r="BB517" i="2"/>
  <c r="AP911" i="2"/>
  <c r="BF440" i="2"/>
  <c r="BC62" i="2"/>
  <c r="AP1088" i="2"/>
  <c r="BB267" i="2"/>
  <c r="BB283" i="2"/>
  <c r="AL976" i="2"/>
  <c r="BC1071" i="2"/>
  <c r="AT477" i="2"/>
  <c r="BB47" i="2"/>
  <c r="AX678" i="2"/>
  <c r="AX396" i="2"/>
  <c r="AT741" i="2"/>
  <c r="AL669" i="2"/>
  <c r="AL97" i="2"/>
  <c r="AP839" i="2"/>
  <c r="AP364" i="2"/>
  <c r="AT201" i="2"/>
  <c r="AM739" i="2"/>
  <c r="BC369" i="2"/>
  <c r="AX988" i="2"/>
  <c r="AT429" i="2"/>
  <c r="AX210" i="2"/>
  <c r="BB1007" i="2"/>
  <c r="AX730" i="2"/>
  <c r="BB1023" i="2"/>
  <c r="AL896" i="2"/>
  <c r="BC366" i="2"/>
  <c r="AL613" i="2"/>
  <c r="BF260" i="2"/>
  <c r="BB889" i="2"/>
  <c r="BF559" i="2"/>
  <c r="BC1008" i="2"/>
  <c r="AL192" i="2"/>
  <c r="AT609" i="2"/>
  <c r="AP1073" i="2"/>
  <c r="BB986" i="2"/>
  <c r="BB744" i="2"/>
  <c r="AT421" i="2"/>
  <c r="BC549" i="2"/>
  <c r="AU777" i="2"/>
  <c r="AL103" i="2"/>
  <c r="AU873" i="2"/>
  <c r="AP760" i="2"/>
  <c r="AM539" i="2"/>
  <c r="AU946" i="2"/>
  <c r="AX1024" i="2"/>
  <c r="BC918" i="2"/>
  <c r="AL579" i="2"/>
  <c r="AL392" i="2"/>
  <c r="AT540" i="2"/>
  <c r="AL334" i="2"/>
  <c r="AL718" i="2"/>
  <c r="AM185" i="2"/>
  <c r="AP781" i="2"/>
  <c r="AU988" i="2"/>
  <c r="AM726" i="2"/>
  <c r="AU1064" i="2"/>
  <c r="BB1015" i="2"/>
  <c r="AX862" i="2"/>
  <c r="AU409" i="2"/>
  <c r="AP952" i="2"/>
  <c r="AM94" i="2"/>
  <c r="BB945" i="2"/>
  <c r="AM473" i="2"/>
  <c r="AL995" i="2"/>
  <c r="BC884" i="2"/>
  <c r="AM966" i="2"/>
  <c r="AP469" i="2"/>
  <c r="AT260" i="2"/>
  <c r="AT150" i="2"/>
  <c r="BB62" i="2"/>
  <c r="BB128" i="2"/>
  <c r="AX384" i="2"/>
  <c r="BB1030" i="2"/>
  <c r="AL420" i="2"/>
  <c r="BC903" i="2"/>
  <c r="BF444" i="2"/>
  <c r="BF390" i="2"/>
  <c r="AL614" i="2"/>
  <c r="AU558" i="2"/>
  <c r="AP502" i="2"/>
  <c r="AX994" i="2"/>
  <c r="AM813" i="2"/>
  <c r="AX34" i="2"/>
  <c r="BC651" i="2"/>
  <c r="BC268" i="2"/>
  <c r="AX1023" i="2"/>
  <c r="BF227" i="2"/>
  <c r="BC992" i="2"/>
  <c r="AT946" i="2"/>
  <c r="AT544" i="2"/>
  <c r="AP763" i="2"/>
  <c r="AX298" i="2"/>
  <c r="AP584" i="2"/>
  <c r="AP704" i="2"/>
  <c r="BF552" i="2"/>
  <c r="AP276" i="2"/>
  <c r="AP567" i="2"/>
  <c r="AU219" i="2"/>
  <c r="BB559" i="2"/>
  <c r="BC972" i="2"/>
  <c r="AP1057" i="2"/>
  <c r="BB803" i="2"/>
  <c r="AX442" i="2"/>
  <c r="BF31" i="2"/>
  <c r="BB1008" i="2"/>
  <c r="BF947" i="2"/>
  <c r="AP526" i="2"/>
  <c r="BB590" i="2"/>
  <c r="BF858" i="2"/>
  <c r="AM624" i="2"/>
  <c r="BC209" i="2"/>
  <c r="AP1091" i="2"/>
  <c r="AT458" i="2"/>
  <c r="BB816" i="2"/>
  <c r="BB471" i="2"/>
  <c r="BB705" i="2"/>
  <c r="AX627" i="2"/>
  <c r="AX338" i="2"/>
  <c r="AU107" i="2"/>
  <c r="BF765" i="2"/>
  <c r="BB224" i="2"/>
  <c r="AT353" i="2"/>
  <c r="AX995" i="2"/>
  <c r="BB498" i="2"/>
  <c r="AM1053" i="2"/>
  <c r="BC594" i="2"/>
  <c r="AX193" i="2"/>
  <c r="AL417" i="2"/>
  <c r="AT889" i="2"/>
  <c r="AL869" i="2"/>
  <c r="AU841" i="2"/>
  <c r="AT50" i="2"/>
  <c r="AP346" i="2"/>
  <c r="AX275" i="2"/>
  <c r="AP622" i="2"/>
  <c r="AU852" i="2"/>
  <c r="BB1013" i="2"/>
  <c r="BC731" i="2"/>
  <c r="AU1048" i="2"/>
  <c r="AM228" i="2"/>
  <c r="BC705" i="2"/>
  <c r="AT654" i="2"/>
  <c r="BC977" i="2"/>
  <c r="BF747" i="2"/>
  <c r="AU360" i="2"/>
  <c r="AX918" i="2"/>
  <c r="BC236" i="2"/>
  <c r="AL1076" i="2"/>
  <c r="AP1087" i="2"/>
  <c r="AT608" i="2"/>
  <c r="AP442" i="2"/>
  <c r="AL282" i="2"/>
  <c r="AM331" i="2"/>
  <c r="AL726" i="2"/>
  <c r="AU1071" i="2"/>
  <c r="BF586" i="2"/>
  <c r="AT472" i="2"/>
  <c r="AM647" i="2"/>
  <c r="AX386" i="2"/>
  <c r="BC1103" i="2"/>
  <c r="BF590" i="2"/>
  <c r="BC420" i="2"/>
  <c r="BB1003" i="2"/>
  <c r="BB445" i="2"/>
  <c r="AT806" i="2"/>
  <c r="AM24" i="2"/>
  <c r="BC735" i="2"/>
  <c r="AU1075" i="2"/>
  <c r="AT655" i="2"/>
  <c r="AT620" i="2"/>
  <c r="AX1076" i="2"/>
  <c r="BC172" i="2"/>
  <c r="AT977" i="2"/>
  <c r="AT942" i="2"/>
  <c r="AL949" i="2"/>
  <c r="AT405" i="2"/>
  <c r="AX1001" i="2"/>
  <c r="BB638" i="2"/>
  <c r="AU805" i="2"/>
  <c r="AP518" i="2"/>
  <c r="AU942" i="2"/>
  <c r="BC349" i="2"/>
  <c r="AT539" i="2"/>
  <c r="AP1048" i="2"/>
  <c r="AM421" i="2"/>
  <c r="AT724" i="2"/>
  <c r="AU770" i="2"/>
  <c r="AU827" i="2"/>
  <c r="AX1074" i="2"/>
  <c r="AP485" i="2"/>
  <c r="AU71" i="2"/>
  <c r="BB1052" i="2"/>
  <c r="AT488" i="2"/>
  <c r="BC558" i="2"/>
  <c r="AU958" i="2"/>
  <c r="AX903" i="2"/>
  <c r="AT689" i="2"/>
  <c r="AL493" i="2"/>
  <c r="AM117" i="2"/>
  <c r="AT1062" i="2"/>
  <c r="BF777" i="2"/>
  <c r="BC839" i="2"/>
  <c r="BF1052" i="2"/>
  <c r="AU471" i="2"/>
  <c r="AM742" i="2"/>
  <c r="BB502" i="2"/>
  <c r="AX346" i="2"/>
  <c r="AU465" i="2"/>
  <c r="BB627" i="2"/>
  <c r="AM1073" i="2"/>
  <c r="AX970" i="2"/>
  <c r="AT387" i="2"/>
  <c r="BF228" i="2"/>
  <c r="AL567" i="2"/>
  <c r="BB915" i="2"/>
  <c r="AU268" i="2"/>
  <c r="AX1047" i="2"/>
  <c r="BF395" i="2"/>
  <c r="AX415" i="2"/>
  <c r="BF510" i="2"/>
  <c r="AL1070" i="2"/>
  <c r="AM154" i="2"/>
  <c r="AU414" i="2"/>
  <c r="BB131" i="2"/>
  <c r="AX611" i="2"/>
  <c r="BB635" i="2"/>
  <c r="AU971" i="2"/>
  <c r="AM887" i="2"/>
  <c r="AM941" i="2"/>
  <c r="AT1097" i="2"/>
  <c r="AT625" i="2"/>
  <c r="AP43" i="2"/>
  <c r="AU440" i="2"/>
  <c r="AU950" i="2"/>
  <c r="AT914" i="2"/>
  <c r="AM671" i="2"/>
  <c r="BF64" i="2"/>
  <c r="BB665" i="2"/>
  <c r="BC695" i="2"/>
  <c r="BB927" i="2"/>
  <c r="AP129" i="2"/>
  <c r="BC828" i="2"/>
  <c r="BC411" i="2"/>
  <c r="AT862" i="2"/>
  <c r="AX728" i="2"/>
  <c r="AP155" i="2"/>
  <c r="AL809" i="2"/>
  <c r="BF616" i="2"/>
  <c r="BB979" i="2"/>
  <c r="BC1099" i="2"/>
  <c r="AP1035" i="2"/>
  <c r="AP149" i="2"/>
  <c r="AX587" i="2"/>
  <c r="BB361" i="2"/>
  <c r="BC1078" i="2"/>
  <c r="BF134" i="2"/>
  <c r="AL661" i="2"/>
  <c r="BC345" i="2"/>
  <c r="AX563" i="2"/>
  <c r="BC526" i="2"/>
  <c r="BC119" i="2"/>
  <c r="AP227" i="2"/>
  <c r="AX276" i="2"/>
  <c r="AP531" i="2"/>
  <c r="BF946" i="2"/>
  <c r="AT32" i="2"/>
  <c r="BC162" i="2"/>
  <c r="AM881" i="2"/>
  <c r="AT1010" i="2"/>
  <c r="AP772" i="2"/>
  <c r="AX1012" i="2"/>
  <c r="AU597" i="2"/>
  <c r="AL948" i="2"/>
  <c r="AM915" i="2"/>
  <c r="BB1034" i="2"/>
  <c r="BF370" i="2"/>
  <c r="AL964" i="2"/>
  <c r="BF871" i="2"/>
  <c r="AU953" i="2"/>
  <c r="BC35" i="2"/>
  <c r="AM43" i="2"/>
  <c r="AL513" i="2"/>
  <c r="AU114" i="2"/>
  <c r="AU955" i="2"/>
  <c r="BF219" i="2"/>
  <c r="AT190" i="2"/>
  <c r="AL942" i="2"/>
  <c r="AL900" i="2"/>
  <c r="BF952" i="2"/>
  <c r="AX751" i="2"/>
  <c r="BC770" i="2"/>
  <c r="AT935" i="2"/>
  <c r="BF1005" i="2"/>
  <c r="AM1018" i="2"/>
  <c r="BB1026" i="2"/>
  <c r="AU861" i="2"/>
  <c r="BB58" i="2"/>
  <c r="BB150" i="2"/>
  <c r="AT235" i="2"/>
  <c r="BF527" i="2"/>
  <c r="AP529" i="2"/>
  <c r="AP739" i="2"/>
  <c r="AT963" i="2"/>
  <c r="AL785" i="2"/>
  <c r="AX651" i="2"/>
  <c r="AU155" i="2"/>
  <c r="AX1079" i="2"/>
  <c r="BF286" i="2"/>
  <c r="BF392" i="2"/>
  <c r="BB563" i="2"/>
  <c r="AM639" i="2"/>
  <c r="AP896" i="2"/>
  <c r="BF953" i="2"/>
  <c r="BB461" i="2"/>
  <c r="AP383" i="2"/>
  <c r="AX842" i="2"/>
  <c r="AL183" i="2"/>
  <c r="AM1012" i="2"/>
  <c r="AL950" i="2"/>
  <c r="AP522" i="2"/>
  <c r="AT954" i="2"/>
  <c r="BC842" i="2"/>
  <c r="AP675" i="2"/>
  <c r="AX201" i="2"/>
  <c r="AT538" i="2"/>
  <c r="BF129" i="2"/>
  <c r="BF492" i="2"/>
  <c r="BC870" i="2"/>
  <c r="AP159" i="2"/>
  <c r="AL728" i="2"/>
  <c r="AL387" i="2"/>
  <c r="BC164" i="2"/>
  <c r="AL517" i="2"/>
  <c r="AX566" i="2"/>
  <c r="BC511" i="2"/>
  <c r="BF712" i="2"/>
  <c r="AX662" i="2"/>
  <c r="AX884" i="2"/>
  <c r="AM901" i="2"/>
  <c r="AM276" i="2"/>
  <c r="BF983" i="2"/>
  <c r="BC864" i="2"/>
  <c r="AT58" i="2"/>
  <c r="AU803" i="2"/>
  <c r="AX676" i="2"/>
  <c r="AU216" i="2"/>
  <c r="AL880" i="2"/>
  <c r="BF144" i="2"/>
  <c r="AX626" i="2"/>
  <c r="AT572" i="2"/>
  <c r="AM736" i="2"/>
  <c r="BB481" i="2"/>
  <c r="AM337" i="2"/>
  <c r="BC481" i="2"/>
  <c r="AL1019" i="2"/>
  <c r="BF232" i="2"/>
  <c r="AP621" i="2"/>
  <c r="AL741" i="2"/>
  <c r="AP783" i="2"/>
  <c r="AT68" i="2"/>
  <c r="BB589" i="2"/>
  <c r="AU35" i="2"/>
  <c r="AU810" i="2"/>
  <c r="AU1074" i="2"/>
  <c r="AU69" i="2"/>
  <c r="AT530" i="2"/>
  <c r="AP583" i="2"/>
  <c r="BF145" i="2"/>
  <c r="BC790" i="2"/>
  <c r="AX465" i="2"/>
  <c r="BF805" i="2"/>
  <c r="AL811" i="2"/>
  <c r="AU59" i="2"/>
  <c r="AL624" i="2"/>
  <c r="AU525" i="2"/>
  <c r="BF355" i="2"/>
  <c r="AP1075" i="2"/>
  <c r="AX698" i="2"/>
  <c r="AT495" i="2"/>
  <c r="AM437" i="2"/>
  <c r="AT27" i="2"/>
  <c r="AX717" i="2"/>
  <c r="AT418" i="2"/>
  <c r="BB1074" i="2"/>
  <c r="AX520" i="2"/>
  <c r="AX888" i="2"/>
  <c r="AT23" i="2"/>
  <c r="AX1011" i="2"/>
  <c r="BF993" i="2"/>
  <c r="BB556" i="2"/>
  <c r="AP721" i="2"/>
  <c r="BB620" i="2"/>
  <c r="BB554" i="2"/>
  <c r="AM794" i="2"/>
  <c r="AP748" i="2"/>
  <c r="AL405" i="2"/>
  <c r="AT612" i="2"/>
  <c r="AP558" i="2"/>
  <c r="AP565" i="2"/>
  <c r="AT468" i="2"/>
  <c r="AP634" i="2"/>
  <c r="AM590" i="2"/>
  <c r="BB327" i="2"/>
  <c r="BB1001" i="2"/>
  <c r="BF920" i="2"/>
  <c r="AL660" i="2"/>
  <c r="BC527" i="2"/>
  <c r="AL20" i="2"/>
  <c r="AM1035" i="2"/>
  <c r="BC888" i="2"/>
  <c r="AT145" i="2"/>
  <c r="AL35" i="2"/>
  <c r="BC691" i="2"/>
  <c r="BC479" i="2"/>
  <c r="AP26" i="2"/>
  <c r="AP339" i="2"/>
  <c r="AX949" i="2"/>
  <c r="AL841" i="2"/>
  <c r="BB643" i="2"/>
  <c r="BF857" i="2"/>
  <c r="BC134" i="2"/>
  <c r="AT931" i="2"/>
  <c r="AT615" i="2"/>
  <c r="AP672" i="2"/>
  <c r="AL165" i="2"/>
  <c r="BB679" i="2"/>
  <c r="BF859" i="2"/>
  <c r="AX554" i="2"/>
  <c r="BC1085" i="2"/>
  <c r="BC1067" i="2"/>
  <c r="BF896" i="2"/>
  <c r="AT272" i="2"/>
  <c r="AP916" i="2"/>
  <c r="AL428" i="2"/>
  <c r="AX590" i="2"/>
  <c r="AT975" i="2"/>
  <c r="BB844" i="2"/>
  <c r="AP751" i="2"/>
  <c r="AP391" i="2"/>
  <c r="AP775" i="2"/>
  <c r="AT186" i="2"/>
  <c r="BC254" i="2"/>
  <c r="AX1069" i="2"/>
  <c r="AL977" i="2"/>
  <c r="AL156" i="2"/>
  <c r="AL172" i="2"/>
  <c r="AX231" i="2"/>
  <c r="AU866" i="2"/>
  <c r="AL497" i="2"/>
  <c r="AX50" i="2"/>
  <c r="AL188" i="2"/>
  <c r="BB238" i="2"/>
  <c r="AU855" i="2"/>
  <c r="BC962" i="2"/>
  <c r="AU1027" i="2"/>
  <c r="BB1088" i="2"/>
  <c r="AX934" i="2"/>
  <c r="BC960" i="2"/>
  <c r="AL651" i="2"/>
  <c r="AU912" i="2"/>
  <c r="AU566" i="2"/>
  <c r="BB741" i="2"/>
  <c r="AU344" i="2"/>
  <c r="AL222" i="2"/>
  <c r="BF516" i="2"/>
  <c r="AU517" i="2"/>
  <c r="BB144" i="2"/>
  <c r="BC825" i="2"/>
  <c r="BB617" i="2"/>
  <c r="BC438" i="2"/>
  <c r="BF489" i="2"/>
  <c r="AL132" i="2"/>
  <c r="AP57" i="2"/>
  <c r="AL1067" i="2"/>
  <c r="AL522" i="2"/>
  <c r="AU185" i="2"/>
  <c r="BC427" i="2"/>
  <c r="AT294" i="2"/>
  <c r="AP884" i="2"/>
  <c r="AL1041" i="2"/>
  <c r="AX53" i="2"/>
  <c r="AM269" i="2"/>
  <c r="AU220" i="2"/>
  <c r="AM917" i="2"/>
  <c r="AT463" i="2"/>
  <c r="AT675" i="2"/>
  <c r="AL637" i="2"/>
  <c r="AU765" i="2"/>
  <c r="AL524" i="2"/>
  <c r="BF717" i="2"/>
  <c r="BB228" i="2"/>
  <c r="AU120" i="2"/>
  <c r="AX24" i="2"/>
  <c r="BC759" i="2"/>
  <c r="AP796" i="2"/>
  <c r="BF149" i="2"/>
  <c r="AM462" i="2"/>
  <c r="AX891" i="2"/>
  <c r="AX143" i="2"/>
  <c r="AX310" i="2"/>
  <c r="BF715" i="2"/>
  <c r="AP1071" i="2"/>
  <c r="AM913" i="2"/>
  <c r="AP97" i="2"/>
  <c r="BB1070" i="2"/>
  <c r="AP943" i="2"/>
  <c r="AT667" i="2"/>
  <c r="AP687" i="2"/>
  <c r="BC811" i="2"/>
  <c r="AM467" i="2"/>
  <c r="AT827" i="2"/>
  <c r="AP798" i="2"/>
  <c r="BB954" i="2"/>
  <c r="BC567" i="2"/>
  <c r="AP519" i="2"/>
  <c r="BB607" i="2"/>
  <c r="BF996" i="2"/>
  <c r="AL519" i="2"/>
  <c r="AU1053" i="2"/>
  <c r="BB735" i="2"/>
  <c r="BF461" i="2"/>
  <c r="BC1069" i="2"/>
  <c r="BF773" i="2"/>
  <c r="AT661" i="2"/>
  <c r="AL803" i="2"/>
  <c r="AM488" i="2"/>
  <c r="AU846" i="2"/>
  <c r="BF269" i="2"/>
  <c r="AX137" i="2"/>
  <c r="AT576" i="2"/>
  <c r="BC625" i="2"/>
  <c r="AM713" i="2"/>
  <c r="AX935" i="2"/>
  <c r="BC684" i="2"/>
  <c r="AP199" i="2"/>
  <c r="AT298" i="2"/>
  <c r="BF520" i="2"/>
  <c r="AX218" i="2"/>
  <c r="BF452" i="2"/>
  <c r="AL42" i="2"/>
  <c r="AM1057" i="2"/>
  <c r="AL394" i="2"/>
  <c r="AL17" i="2"/>
  <c r="AP483" i="2"/>
  <c r="AT326" i="2"/>
  <c r="AP309" i="2"/>
  <c r="BC757" i="2"/>
  <c r="AM837" i="2"/>
  <c r="BC887" i="2"/>
  <c r="BB344" i="2"/>
  <c r="AM47" i="2"/>
  <c r="BF446" i="2"/>
  <c r="AT285" i="2"/>
  <c r="AT45" i="2"/>
  <c r="BF880" i="2"/>
  <c r="AT924" i="2"/>
  <c r="BC533" i="2"/>
  <c r="AM111" i="2"/>
  <c r="AX302" i="2"/>
  <c r="AX747" i="2"/>
  <c r="AT750" i="2"/>
  <c r="BC188" i="2"/>
  <c r="BC524" i="2"/>
  <c r="BC442" i="2"/>
  <c r="AM644" i="2"/>
  <c r="BB671" i="2"/>
  <c r="AT692" i="2"/>
  <c r="AX15" i="2"/>
  <c r="AM499" i="2"/>
  <c r="AT705" i="2"/>
  <c r="BF163" i="2"/>
  <c r="AP481" i="2"/>
  <c r="AL176" i="2"/>
  <c r="AL636" i="2"/>
  <c r="AU930" i="2"/>
  <c r="BC955" i="2"/>
  <c r="BC1064" i="2"/>
  <c r="AT182" i="2"/>
  <c r="BF648" i="2"/>
  <c r="AU583" i="2"/>
  <c r="AM545" i="2"/>
  <c r="AX898" i="2"/>
  <c r="BC818" i="2"/>
  <c r="AU894" i="2"/>
  <c r="BC579" i="2"/>
  <c r="AX791" i="2"/>
  <c r="AL213" i="2"/>
  <c r="BC709" i="2"/>
  <c r="AM137" i="2"/>
  <c r="AU794" i="2"/>
  <c r="AM921" i="2"/>
  <c r="AM1019" i="2"/>
  <c r="BC1080" i="2"/>
  <c r="BC158" i="2"/>
  <c r="AU1097" i="2"/>
  <c r="AL233" i="2"/>
  <c r="BF873" i="2"/>
  <c r="BF742" i="2"/>
  <c r="AX826" i="2"/>
  <c r="AL280" i="2"/>
  <c r="BF328" i="2"/>
  <c r="BF1007" i="2"/>
  <c r="BB947" i="2"/>
  <c r="BF109" i="2"/>
  <c r="BC213" i="2"/>
  <c r="AM831" i="2"/>
  <c r="AX309" i="2"/>
  <c r="BC589" i="2"/>
  <c r="BB463" i="2"/>
  <c r="BF788" i="2"/>
  <c r="BC727" i="2"/>
  <c r="AM622" i="2"/>
  <c r="AP628" i="2"/>
  <c r="AM190" i="2"/>
  <c r="AL409" i="2"/>
  <c r="AT154" i="2"/>
  <c r="AU49" i="2"/>
  <c r="AX1055" i="2"/>
  <c r="AM1050" i="2"/>
  <c r="AP869" i="2"/>
  <c r="AM600" i="2"/>
  <c r="BC525" i="2"/>
  <c r="BC981" i="2"/>
  <c r="AX847" i="2"/>
  <c r="AP509" i="2"/>
  <c r="BC745" i="2"/>
  <c r="AU991" i="2"/>
  <c r="AL523" i="2"/>
  <c r="BC803" i="2"/>
  <c r="AL491" i="2"/>
  <c r="AP68" i="2"/>
  <c r="AL1050" i="2"/>
  <c r="AT1052" i="2"/>
  <c r="BC963" i="2"/>
  <c r="AM895" i="2"/>
  <c r="BB292" i="2"/>
  <c r="BB210" i="2"/>
  <c r="AU186" i="2"/>
  <c r="BC1055" i="2"/>
  <c r="AT422" i="2"/>
  <c r="BF1019" i="2"/>
  <c r="AM165" i="2"/>
  <c r="AP899" i="2"/>
  <c r="AT356" i="2"/>
  <c r="AU620" i="2"/>
  <c r="AP710" i="2"/>
  <c r="AP541" i="2"/>
  <c r="AM218" i="2"/>
  <c r="AL515" i="2"/>
  <c r="AU772" i="2"/>
  <c r="BC791" i="2"/>
  <c r="AP980" i="2"/>
  <c r="AM749" i="2"/>
  <c r="AM547" i="2"/>
  <c r="AP32" i="2"/>
  <c r="AM370" i="2"/>
  <c r="BC444" i="2"/>
  <c r="AP118" i="2"/>
  <c r="AL1018" i="2"/>
  <c r="BC328" i="2"/>
  <c r="AP987" i="2"/>
  <c r="BC459" i="2"/>
  <c r="AX487" i="2"/>
  <c r="AT685" i="2"/>
  <c r="BC228" i="2"/>
  <c r="BF296" i="2"/>
  <c r="AL117" i="2"/>
  <c r="BC837" i="2"/>
  <c r="AU917" i="2"/>
  <c r="AT727" i="2"/>
  <c r="BF791" i="2"/>
  <c r="BC588" i="2"/>
  <c r="BB418" i="2"/>
  <c r="AM495" i="2"/>
  <c r="AP224" i="2"/>
  <c r="AX1019" i="2"/>
  <c r="AT976" i="2"/>
  <c r="AX160" i="2"/>
  <c r="AU391" i="2"/>
  <c r="AU164" i="2"/>
  <c r="BF346" i="2"/>
  <c r="AX1072" i="2"/>
  <c r="BB623" i="2"/>
  <c r="BF1043" i="2"/>
  <c r="AT957" i="2"/>
  <c r="BB667" i="2"/>
  <c r="AT171" i="2"/>
  <c r="AM912" i="2"/>
  <c r="AM355" i="2"/>
  <c r="BF851" i="2"/>
  <c r="AP308" i="2"/>
  <c r="AT1041" i="2"/>
  <c r="BF799" i="2"/>
  <c r="BF201" i="2"/>
  <c r="BC746" i="2"/>
  <c r="AM1099" i="2"/>
  <c r="AP279" i="2"/>
  <c r="AL657" i="2"/>
  <c r="AM687" i="2"/>
  <c r="BF570" i="2"/>
  <c r="AU210" i="2"/>
  <c r="AT592" i="2"/>
  <c r="BF428" i="2"/>
  <c r="BF233" i="2"/>
  <c r="AL588" i="2"/>
  <c r="AU1099" i="2"/>
  <c r="AL49" i="2"/>
  <c r="AT1001" i="2"/>
  <c r="AM106" i="2"/>
  <c r="AM758" i="2"/>
  <c r="AU514" i="2"/>
  <c r="AT542" i="2"/>
  <c r="AX689" i="2"/>
  <c r="BB1053" i="2"/>
  <c r="AX695" i="2"/>
  <c r="AT552" i="2"/>
  <c r="AX219" i="2"/>
  <c r="BB193" i="2"/>
  <c r="BF210" i="2"/>
  <c r="AX131" i="2"/>
  <c r="AM934" i="2"/>
  <c r="AP1030" i="2"/>
  <c r="AP323" i="2"/>
  <c r="AT843" i="2"/>
  <c r="BF575" i="2"/>
  <c r="BC66" i="2"/>
  <c r="AX26" i="2"/>
  <c r="AU605" i="2"/>
  <c r="AX51" i="2"/>
  <c r="AU425" i="2"/>
  <c r="BC520" i="2"/>
  <c r="BB330" i="2"/>
  <c r="AU516" i="2"/>
  <c r="BF671" i="2"/>
  <c r="BC425" i="2"/>
  <c r="AU222" i="2"/>
  <c r="BC362" i="2"/>
  <c r="AP580" i="2"/>
  <c r="AL1014" i="2"/>
  <c r="AT541" i="2"/>
  <c r="BF308" i="2"/>
  <c r="AU460" i="2"/>
  <c r="AM65" i="2"/>
  <c r="AU587" i="2"/>
  <c r="BB307" i="2"/>
  <c r="AL333" i="2"/>
  <c r="AL620" i="2"/>
  <c r="AL460" i="2"/>
  <c r="BB693" i="2"/>
  <c r="AP577" i="2"/>
  <c r="AM821" i="2"/>
  <c r="AM1013" i="2"/>
  <c r="AL427" i="2"/>
  <c r="BF120" i="2"/>
  <c r="AX812" i="2"/>
  <c r="AT188" i="2"/>
  <c r="AP236" i="2"/>
  <c r="AT1008" i="2"/>
  <c r="AP778" i="2"/>
  <c r="AP436" i="2"/>
  <c r="BB780" i="2"/>
  <c r="AU870" i="2"/>
  <c r="BC97" i="2"/>
  <c r="AP615" i="2"/>
  <c r="AM541" i="2"/>
  <c r="BB925" i="2"/>
  <c r="AT693" i="2"/>
  <c r="BC133" i="2"/>
  <c r="AP1024" i="2"/>
  <c r="AU357" i="2"/>
  <c r="BB147" i="2"/>
  <c r="AP134" i="2"/>
  <c r="AT990" i="2"/>
  <c r="AT134" i="2"/>
  <c r="BB594" i="2"/>
  <c r="AX393" i="2"/>
  <c r="AX1002" i="2"/>
  <c r="AP429" i="2"/>
  <c r="AX387" i="2"/>
  <c r="BB792" i="2"/>
  <c r="AL687" i="2"/>
  <c r="BB113" i="2"/>
  <c r="AP785" i="2"/>
  <c r="AL591" i="2"/>
  <c r="AU979" i="2"/>
  <c r="AL611" i="2"/>
  <c r="AL505" i="2"/>
  <c r="AT697" i="2"/>
  <c r="AX846" i="2"/>
  <c r="AT837" i="2"/>
  <c r="AT122" i="2"/>
  <c r="AU263" i="2"/>
  <c r="AT708" i="2"/>
  <c r="AP978" i="2"/>
  <c r="AX869" i="2"/>
  <c r="BC840" i="2"/>
  <c r="AM199" i="2"/>
  <c r="AM294" i="2"/>
  <c r="BC166" i="2"/>
  <c r="AP718" i="2"/>
  <c r="AX1037" i="2"/>
  <c r="AX294" i="2"/>
  <c r="BF735" i="2"/>
  <c r="AM677" i="2"/>
  <c r="BB293" i="2"/>
  <c r="BF897" i="2"/>
  <c r="BC200" i="2"/>
  <c r="BF338" i="2"/>
  <c r="AL845" i="2"/>
  <c r="AU1055" i="2"/>
  <c r="AL143" i="2"/>
  <c r="AP914" i="2"/>
  <c r="AU119" i="2"/>
  <c r="BF73" i="2"/>
  <c r="AX917" i="2"/>
  <c r="AX1006" i="2"/>
  <c r="AL574" i="2"/>
  <c r="AT1078" i="2"/>
  <c r="BF591" i="2"/>
  <c r="BB613" i="2"/>
  <c r="AM478" i="2"/>
  <c r="BC586" i="2"/>
  <c r="AP1026" i="2"/>
  <c r="AM766" i="2"/>
  <c r="AX279" i="2"/>
  <c r="AL298" i="2"/>
  <c r="BB205" i="2"/>
  <c r="BB1005" i="2"/>
  <c r="BF955" i="2"/>
  <c r="AU187" i="2"/>
  <c r="BF1089" i="2"/>
  <c r="AU70" i="2"/>
  <c r="AU134" i="2"/>
  <c r="AM388" i="2"/>
  <c r="AM682" i="2"/>
  <c r="AL736" i="2"/>
  <c r="AX796" i="2"/>
  <c r="AX558" i="2"/>
  <c r="BB742" i="2"/>
  <c r="AU539" i="2"/>
  <c r="AM361" i="2"/>
  <c r="BC613" i="2"/>
  <c r="AX502" i="2"/>
  <c r="AP416" i="2"/>
  <c r="BB974" i="2"/>
  <c r="AU903" i="2"/>
  <c r="AT275" i="2"/>
  <c r="AU233" i="2"/>
  <c r="BC720" i="2"/>
  <c r="BF275" i="2"/>
  <c r="AP542" i="2"/>
  <c r="AX879" i="2"/>
  <c r="AX368" i="2"/>
  <c r="AT266" i="2"/>
  <c r="AL902" i="2"/>
  <c r="AT955" i="2"/>
  <c r="AU578" i="2"/>
  <c r="BC217" i="2"/>
  <c r="AL608" i="2"/>
  <c r="AL465" i="2"/>
  <c r="AT725" i="2"/>
  <c r="AP330" i="2"/>
  <c r="AU720" i="2"/>
  <c r="BC40" i="2"/>
  <c r="AM645" i="2"/>
  <c r="BB573" i="2"/>
  <c r="BB466" i="2"/>
  <c r="AL770" i="2"/>
  <c r="AT442" i="2"/>
  <c r="AU694" i="2"/>
  <c r="AT864" i="2"/>
  <c r="AU339" i="2"/>
  <c r="AM15" i="2"/>
  <c r="AT1038" i="2"/>
  <c r="BB1064" i="2"/>
  <c r="AT937" i="2"/>
  <c r="BB934" i="2"/>
  <c r="AT758" i="2"/>
  <c r="AP802" i="2"/>
  <c r="BB478" i="2"/>
  <c r="AM636" i="2"/>
  <c r="AM829" i="2"/>
  <c r="AM293" i="2"/>
  <c r="AU790" i="2"/>
  <c r="BF766" i="2"/>
  <c r="AX213" i="2"/>
  <c r="AT730" i="2"/>
  <c r="AT869" i="2"/>
  <c r="AT922" i="2"/>
  <c r="AM916" i="2"/>
  <c r="BB904" i="2"/>
  <c r="AM1054" i="2"/>
  <c r="AX238" i="2"/>
  <c r="AP676" i="2"/>
  <c r="AL597" i="2"/>
  <c r="AP334" i="2"/>
  <c r="AL656" i="2"/>
  <c r="AM710" i="2"/>
  <c r="AM498" i="2"/>
  <c r="BB961" i="2"/>
  <c r="AL764" i="2"/>
  <c r="BC490" i="2"/>
  <c r="AU1019" i="2"/>
  <c r="AL1009" i="2"/>
  <c r="BC335" i="2"/>
  <c r="AX497" i="2"/>
  <c r="BF387" i="2"/>
  <c r="BC468" i="2"/>
  <c r="BB612" i="2"/>
  <c r="AU995" i="2"/>
  <c r="BC220" i="2"/>
  <c r="AM580" i="2"/>
  <c r="AT231" i="2"/>
  <c r="BB325" i="2"/>
  <c r="AM533" i="2"/>
  <c r="AX619" i="2"/>
  <c r="AT1103" i="2"/>
  <c r="BB112" i="2"/>
  <c r="BF688" i="2"/>
  <c r="AU785" i="2"/>
  <c r="AU807" i="2"/>
  <c r="AM856" i="2"/>
  <c r="BC265" i="2"/>
  <c r="AP58" i="2"/>
  <c r="AX965" i="2"/>
  <c r="AM598" i="2"/>
  <c r="BC523" i="2"/>
  <c r="BB65" i="2"/>
  <c r="BB869" i="2"/>
  <c r="BC455" i="2"/>
  <c r="BC210" i="2"/>
  <c r="AX579" i="2"/>
  <c r="AL393" i="2"/>
  <c r="BF470" i="2"/>
  <c r="BC472" i="2"/>
  <c r="AX1097" i="2"/>
  <c r="AX107" i="2"/>
  <c r="AP269" i="2"/>
  <c r="BB370" i="2"/>
  <c r="AP256" i="2"/>
  <c r="AP507" i="2"/>
  <c r="AT561" i="2"/>
  <c r="AM521" i="2"/>
  <c r="AX818" i="2"/>
  <c r="AM164" i="2"/>
  <c r="AL432" i="2"/>
  <c r="AL430" i="2"/>
  <c r="AU767" i="2"/>
  <c r="BB910" i="2"/>
  <c r="BB936" i="2"/>
  <c r="AM919" i="2"/>
  <c r="AU188" i="2"/>
  <c r="AX776" i="2"/>
  <c r="AX264" i="2"/>
  <c r="AL503" i="2"/>
  <c r="BB854" i="2"/>
  <c r="AX638" i="2"/>
  <c r="BC831" i="2"/>
  <c r="AM67" i="2"/>
  <c r="BF626" i="2"/>
  <c r="BC1053" i="2"/>
  <c r="AT948" i="2"/>
  <c r="BB392" i="2"/>
  <c r="AL293" i="2"/>
  <c r="AT560" i="2"/>
  <c r="BF542" i="2"/>
  <c r="AT762" i="2"/>
  <c r="AM298" i="2"/>
  <c r="AX576" i="2"/>
  <c r="BC300" i="2"/>
  <c r="AM48" i="2"/>
  <c r="AL865" i="2"/>
  <c r="AT641" i="2"/>
  <c r="BB355" i="2"/>
  <c r="AT604" i="2"/>
  <c r="AU980" i="2"/>
  <c r="AU593" i="2"/>
  <c r="BF137" i="2"/>
  <c r="BB804" i="2"/>
  <c r="AT470" i="2"/>
  <c r="AL204" i="2"/>
  <c r="AM617" i="2"/>
  <c r="AM1038" i="2"/>
  <c r="AP116" i="2"/>
  <c r="AL388" i="2"/>
  <c r="AL161" i="2"/>
  <c r="AT891" i="2"/>
  <c r="BC732" i="2"/>
  <c r="BF569" i="2"/>
  <c r="BF813" i="2"/>
  <c r="AP677" i="2"/>
  <c r="AM1071" i="2"/>
  <c r="BB173" i="2"/>
  <c r="AP525" i="2"/>
  <c r="BF205" i="2"/>
  <c r="AM756" i="2"/>
  <c r="AM303" i="2"/>
  <c r="BB503" i="2"/>
  <c r="BC519" i="2"/>
  <c r="AL26" i="2"/>
  <c r="AU383" i="2"/>
  <c r="AL198" i="2"/>
  <c r="AM737" i="2"/>
  <c r="AP146" i="2"/>
  <c r="AX484" i="2"/>
  <c r="AM746" i="2"/>
  <c r="AX1052" i="2"/>
  <c r="AL828" i="2"/>
  <c r="AP433" i="2"/>
  <c r="AL1023" i="2"/>
  <c r="AL219" i="2"/>
  <c r="BB935" i="2"/>
  <c r="AT947" i="2"/>
  <c r="BC563" i="2"/>
  <c r="BC987" i="2"/>
  <c r="AL1044" i="2"/>
  <c r="BF958" i="2"/>
  <c r="AU1003" i="2"/>
  <c r="AX65" i="2"/>
  <c r="BF810" i="2"/>
  <c r="BC371" i="2"/>
  <c r="BC778" i="2"/>
  <c r="AP369" i="2"/>
  <c r="AX548" i="2"/>
  <c r="AX322" i="2"/>
  <c r="AT382" i="2"/>
  <c r="BF164" i="2"/>
  <c r="AP820" i="2"/>
  <c r="AX104" i="2"/>
  <c r="AX681" i="2"/>
  <c r="AU923" i="2"/>
  <c r="AU655" i="2"/>
  <c r="BB27" i="2"/>
  <c r="AM14" i="2"/>
  <c r="BC54" i="2"/>
  <c r="AM348" i="2"/>
  <c r="AM1077" i="2"/>
  <c r="AX235" i="2"/>
  <c r="BC503" i="2"/>
  <c r="AT575" i="2"/>
  <c r="BB983" i="2"/>
  <c r="AU703" i="2"/>
  <c r="AL479" i="2"/>
  <c r="AX99" i="2"/>
  <c r="BF775" i="2"/>
  <c r="AU746" i="2"/>
  <c r="AU648" i="2"/>
  <c r="AM865" i="2"/>
  <c r="BF91" i="2"/>
  <c r="BF963" i="2"/>
  <c r="AU355" i="2"/>
  <c r="AU1036" i="2"/>
  <c r="AP840" i="2"/>
  <c r="BC256" i="2"/>
  <c r="AX653" i="2"/>
  <c r="AM238" i="2"/>
  <c r="AP474" i="2"/>
  <c r="AP591" i="2"/>
  <c r="AT1012" i="2"/>
  <c r="AU538" i="2"/>
  <c r="AM1065" i="2"/>
  <c r="BF819" i="2"/>
  <c r="AP111" i="2"/>
  <c r="AT624" i="2"/>
  <c r="AT493" i="2"/>
  <c r="AM395" i="2"/>
  <c r="AM920" i="2"/>
  <c r="AU422" i="2"/>
  <c r="BB786" i="2"/>
  <c r="AL807" i="2"/>
  <c r="BF104" i="2"/>
  <c r="BF369" i="2"/>
  <c r="AM494" i="2"/>
  <c r="AL235" i="2"/>
  <c r="AX987" i="2"/>
  <c r="AX410" i="2"/>
  <c r="BB132" i="2"/>
  <c r="AP475" i="2"/>
  <c r="AU959" i="2"/>
  <c r="BF472" i="2"/>
  <c r="AT868" i="2"/>
  <c r="AM651" i="2"/>
  <c r="BC617" i="2"/>
  <c r="AT1003" i="2"/>
  <c r="AP993" i="2"/>
  <c r="AL622" i="2"/>
  <c r="AT109" i="2"/>
  <c r="AM482" i="2"/>
  <c r="BF817" i="2"/>
  <c r="AU159" i="2"/>
  <c r="BB890" i="2"/>
  <c r="BF169" i="2"/>
  <c r="AM231" i="2"/>
  <c r="AL425" i="2"/>
  <c r="AP831" i="2"/>
  <c r="AT979" i="2"/>
  <c r="AU788" i="2"/>
  <c r="BC913" i="2"/>
  <c r="AT684" i="2"/>
  <c r="BF1069" i="2"/>
  <c r="AP548" i="2"/>
  <c r="BF135" i="2"/>
  <c r="BF162" i="2"/>
  <c r="BC264" i="2"/>
  <c r="BB95" i="2"/>
  <c r="AM420" i="2"/>
  <c r="AL108" i="2"/>
  <c r="BB1071" i="2"/>
  <c r="AT994" i="2"/>
  <c r="AX280" i="2"/>
  <c r="BC26" i="2"/>
  <c r="AM120" i="2"/>
  <c r="AM170" i="2"/>
  <c r="BB46" i="2"/>
  <c r="BF574" i="2"/>
  <c r="AL879" i="2"/>
  <c r="BB660" i="2"/>
  <c r="AL940" i="2"/>
  <c r="BB360" i="2"/>
  <c r="BF386" i="2"/>
  <c r="AP848" i="2"/>
  <c r="AT652" i="2"/>
  <c r="AP332" i="2"/>
  <c r="BB710" i="2"/>
  <c r="BF366" i="2"/>
  <c r="AL516" i="2"/>
  <c r="AL784" i="2"/>
  <c r="BC776" i="2"/>
  <c r="AU612" i="2"/>
  <c r="AT562" i="2"/>
  <c r="AU166" i="2"/>
  <c r="BC170" i="2"/>
  <c r="BB552" i="2"/>
  <c r="AP618" i="2"/>
  <c r="AT880" i="2"/>
  <c r="BB663" i="2"/>
  <c r="BB430" i="2"/>
  <c r="AP342" i="2"/>
  <c r="AP606" i="2"/>
  <c r="AL247" i="2"/>
  <c r="AM222" i="2"/>
  <c r="BF466" i="2"/>
  <c r="AL694" i="2"/>
  <c r="AM1021" i="2"/>
  <c r="AL645" i="2"/>
  <c r="BF15" i="2"/>
  <c r="AP823" i="2"/>
  <c r="AU334" i="2"/>
  <c r="BB838" i="2"/>
  <c r="AU229" i="2"/>
  <c r="AP882" i="2"/>
  <c r="AX822" i="2"/>
  <c r="BF922" i="2"/>
  <c r="BB796" i="2"/>
  <c r="BC17" i="2"/>
  <c r="AP806" i="2"/>
  <c r="BF545" i="2"/>
  <c r="AM1078" i="2"/>
  <c r="AU836" i="2"/>
  <c r="AP851" i="2"/>
  <c r="AT65" i="2"/>
  <c r="AX1067" i="2"/>
  <c r="AL506" i="2"/>
  <c r="AM173" i="2"/>
  <c r="AX1010" i="2"/>
  <c r="AU581" i="2"/>
  <c r="AP304" i="2"/>
  <c r="AU994" i="2"/>
  <c r="BF63" i="2"/>
  <c r="AU575" i="2"/>
  <c r="AP913" i="2"/>
  <c r="BC763" i="2"/>
  <c r="AU167" i="2"/>
  <c r="BF767" i="2"/>
  <c r="AP936" i="2"/>
  <c r="BF741" i="2"/>
  <c r="AM779" i="2"/>
  <c r="AX709" i="2"/>
  <c r="AM675" i="2"/>
  <c r="AL285" i="2"/>
  <c r="AL163" i="2"/>
  <c r="BC749" i="2"/>
  <c r="AM188" i="2"/>
  <c r="AL120" i="2"/>
  <c r="AT1064" i="2"/>
  <c r="AT811" i="2"/>
  <c r="AL1034" i="2"/>
  <c r="BB639" i="2"/>
  <c r="AL642" i="2"/>
  <c r="BB673" i="2"/>
  <c r="AM793" i="2"/>
  <c r="BB21" i="2"/>
  <c r="AM606" i="2"/>
  <c r="AX272" i="2"/>
  <c r="BC391" i="2"/>
  <c r="AL695" i="2"/>
  <c r="AT812" i="2"/>
  <c r="AX199" i="2"/>
  <c r="AX166" i="2"/>
  <c r="AP508" i="2"/>
  <c r="AL128" i="2"/>
  <c r="BB218" i="2"/>
  <c r="AT529" i="2"/>
  <c r="AU53" i="2"/>
  <c r="BC405" i="2"/>
  <c r="AL827" i="2"/>
  <c r="AP780" i="2"/>
  <c r="BF46" i="2"/>
  <c r="BB944" i="2"/>
  <c r="AM660" i="2"/>
  <c r="AM171" i="2"/>
  <c r="AX1086" i="2"/>
  <c r="AX515" i="2"/>
  <c r="AP923" i="2"/>
  <c r="AU715" i="2"/>
  <c r="BF854" i="2"/>
  <c r="AP92" i="2"/>
  <c r="AM672" i="2"/>
  <c r="BB164" i="2"/>
  <c r="AU916" i="2"/>
  <c r="BB198" i="2"/>
  <c r="AM108" i="2"/>
  <c r="AL287" i="2"/>
  <c r="AP322" i="2"/>
  <c r="BF53" i="2"/>
  <c r="BC1086" i="2"/>
  <c r="BC394" i="2"/>
  <c r="AL41" i="2"/>
  <c r="AL682" i="2"/>
  <c r="AT331" i="2"/>
  <c r="BC595" i="2"/>
  <c r="AL468" i="2"/>
  <c r="AM1007" i="2"/>
  <c r="BC24" i="2"/>
  <c r="BB778" i="2"/>
  <c r="AX192" i="2"/>
  <c r="AT494" i="2"/>
  <c r="AM1004" i="2"/>
  <c r="AU286" i="2"/>
  <c r="AT749" i="2"/>
  <c r="AL437" i="2"/>
  <c r="BF764" i="2"/>
  <c r="AU565" i="2"/>
  <c r="BC930" i="2"/>
  <c r="AU696" i="2"/>
  <c r="BB855" i="2"/>
  <c r="AT455" i="2"/>
  <c r="AU148" i="2"/>
  <c r="AP700" i="2"/>
  <c r="BF803" i="2"/>
  <c r="BC221" i="2"/>
  <c r="AU1069" i="2"/>
  <c r="AM329" i="2"/>
  <c r="AU910" i="2"/>
  <c r="AU94" i="2"/>
  <c r="AT299" i="2"/>
  <c r="AU1081" i="2"/>
  <c r="AM973" i="2"/>
  <c r="AX337" i="2"/>
  <c r="BB71" i="2"/>
  <c r="BC168" i="2"/>
  <c r="AL390" i="2"/>
  <c r="AU436" i="2"/>
  <c r="AX333" i="2"/>
  <c r="BB988" i="2"/>
  <c r="AX490" i="2"/>
  <c r="BC222" i="2"/>
  <c r="AL638" i="2"/>
  <c r="AM712" i="2"/>
  <c r="BF24" i="2"/>
  <c r="AX1064" i="2"/>
  <c r="AX530" i="2"/>
  <c r="BF247" i="2"/>
  <c r="BF883" i="2"/>
  <c r="AT830" i="2"/>
  <c r="BB862" i="2"/>
  <c r="BB305" i="2"/>
  <c r="AM705" i="2"/>
  <c r="AT960" i="2"/>
  <c r="AU410" i="2"/>
  <c r="BC580" i="2"/>
  <c r="BF1036" i="2"/>
  <c r="BF157" i="2"/>
  <c r="BF262" i="2"/>
  <c r="AT47" i="2"/>
  <c r="AM143" i="2"/>
  <c r="BC949" i="2"/>
  <c r="AT121" i="2"/>
  <c r="AM95" i="2"/>
  <c r="AX97" i="2"/>
  <c r="BC237" i="2"/>
  <c r="BC117" i="2"/>
  <c r="AT360" i="2"/>
  <c r="BB544" i="2"/>
  <c r="AX161" i="2"/>
  <c r="AT189" i="2"/>
  <c r="BF893" i="2"/>
  <c r="AX259" i="2"/>
  <c r="AL757" i="2"/>
  <c r="AM267" i="2"/>
  <c r="AX359" i="2"/>
  <c r="AL62" i="2"/>
  <c r="AT810" i="2"/>
  <c r="AL1027" i="2"/>
  <c r="AU985" i="2"/>
  <c r="BC935" i="2"/>
  <c r="AM805" i="2"/>
  <c r="BF814" i="2"/>
  <c r="AT849" i="2"/>
  <c r="AL268" i="2"/>
  <c r="BC624" i="2"/>
  <c r="AT695" i="2"/>
  <c r="AL71" i="2"/>
  <c r="AP434" i="2"/>
  <c r="AP95" i="2"/>
  <c r="BB506" i="2"/>
  <c r="AM698" i="2"/>
  <c r="BC1079" i="2"/>
  <c r="BF23" i="2"/>
  <c r="BB194" i="2"/>
  <c r="AU542" i="2"/>
  <c r="BC898" i="2"/>
  <c r="AU897" i="2"/>
  <c r="BB603" i="2"/>
  <c r="AT719" i="2"/>
  <c r="AL112" i="2"/>
  <c r="AU276" i="2"/>
  <c r="AL755" i="2"/>
  <c r="AT520" i="2"/>
  <c r="AT1024" i="2"/>
  <c r="AX144" i="2"/>
  <c r="BF50" i="2"/>
  <c r="BF888" i="2"/>
  <c r="BF835" i="2"/>
  <c r="BB507" i="2"/>
  <c r="BB394" i="2"/>
  <c r="AU103" i="2"/>
  <c r="AL1035" i="2"/>
  <c r="AP506" i="2"/>
  <c r="AU1076" i="2"/>
  <c r="AX557" i="2"/>
  <c r="AU48" i="2"/>
  <c r="BF330" i="2"/>
  <c r="BC461" i="2"/>
  <c r="AL923" i="2"/>
  <c r="AT139" i="2"/>
  <c r="BF676" i="2"/>
  <c r="BB654" i="2"/>
  <c r="AT14" i="2"/>
  <c r="BC578" i="2"/>
  <c r="AL866" i="2"/>
  <c r="AU1078" i="2"/>
  <c r="AX806" i="2"/>
  <c r="AM665" i="2"/>
  <c r="BF1034" i="2"/>
  <c r="AX697" i="2"/>
  <c r="AX870" i="2"/>
  <c r="BB382" i="2"/>
  <c r="BC988" i="2"/>
  <c r="AU211" i="2"/>
  <c r="BF804" i="2"/>
  <c r="AM847" i="2"/>
  <c r="AX483" i="2"/>
  <c r="BB286" i="2"/>
  <c r="AL499" i="2"/>
  <c r="AT915" i="2"/>
  <c r="AL931" i="2"/>
  <c r="AT537" i="2"/>
  <c r="AL1087" i="2"/>
  <c r="AX921" i="2"/>
  <c r="AM561" i="2"/>
  <c r="BC849" i="2"/>
  <c r="AX129" i="2"/>
  <c r="BB533" i="2"/>
  <c r="BC783" i="2"/>
  <c r="AU405" i="2"/>
  <c r="AL338" i="2"/>
  <c r="AM322" i="2"/>
  <c r="BC928" i="2"/>
  <c r="AU769" i="2"/>
  <c r="AX980" i="2"/>
  <c r="AU444" i="2"/>
  <c r="AP40" i="2"/>
  <c r="BF812" i="2"/>
  <c r="AT815" i="2"/>
  <c r="BB820" i="2"/>
  <c r="BC846" i="2"/>
  <c r="AP962" i="2"/>
  <c r="AL815" i="2"/>
  <c r="AP169" i="2"/>
  <c r="AX985" i="2"/>
  <c r="AT361" i="2"/>
  <c r="AL1097" i="2"/>
  <c r="BC861" i="2"/>
  <c r="BF866" i="2"/>
  <c r="BC1014" i="2"/>
  <c r="AU629" i="2"/>
  <c r="AX1026" i="2"/>
  <c r="AL733" i="2"/>
  <c r="AU891" i="2"/>
  <c r="AU128" i="2"/>
  <c r="BC111" i="2"/>
  <c r="BC869" i="2"/>
  <c r="BB848" i="2"/>
  <c r="AL774" i="2"/>
  <c r="AL452" i="2"/>
  <c r="AM359" i="2"/>
  <c r="BB446" i="2"/>
  <c r="BF745" i="2"/>
  <c r="AL416" i="2"/>
  <c r="AX113" i="2"/>
  <c r="AT176" i="2"/>
  <c r="AT108" i="2"/>
  <c r="AU706" i="2"/>
  <c r="AU123" i="2"/>
  <c r="BC259" i="2"/>
  <c r="AM702" i="2"/>
  <c r="BB581" i="2"/>
  <c r="AX679" i="2"/>
  <c r="AT557" i="2"/>
  <c r="AL582" i="2"/>
  <c r="AL456" i="2"/>
  <c r="BC838" i="2"/>
  <c r="BC797" i="2"/>
  <c r="BB731" i="2"/>
  <c r="AM166" i="2"/>
  <c r="BC650" i="2"/>
  <c r="BB560" i="2"/>
  <c r="AL364" i="2"/>
  <c r="BC717" i="2"/>
  <c r="AX574" i="2"/>
  <c r="BB683" i="2"/>
  <c r="AP418" i="2"/>
  <c r="AT461" i="2"/>
  <c r="AT594" i="2"/>
  <c r="AP495" i="2"/>
  <c r="BF40" i="2"/>
  <c r="AM1066" i="2"/>
  <c r="AX437" i="2"/>
  <c r="AX256" i="2"/>
  <c r="AX498" i="2"/>
  <c r="AP984" i="2"/>
  <c r="AT486" i="2"/>
  <c r="AM616" i="2"/>
  <c r="AM936" i="2"/>
  <c r="BB264" i="2"/>
  <c r="BB955" i="2"/>
  <c r="AP291" i="2"/>
  <c r="AX52" i="2"/>
  <c r="BB532" i="2"/>
  <c r="AP613" i="2"/>
  <c r="BC917" i="2"/>
  <c r="BC592" i="2"/>
  <c r="AL200" i="2"/>
  <c r="AT365" i="2"/>
  <c r="BC396" i="2"/>
  <c r="AU736" i="2"/>
  <c r="AL66" i="2"/>
  <c r="AL1098" i="2"/>
  <c r="BB765" i="2"/>
  <c r="BF989" i="2"/>
  <c r="AP749" i="2"/>
  <c r="AT751" i="2"/>
  <c r="BF477" i="2"/>
  <c r="AU349" i="2"/>
  <c r="AU1041" i="2"/>
  <c r="AM538" i="2"/>
  <c r="AM366" i="2"/>
  <c r="AT866" i="2"/>
  <c r="BB893" i="2"/>
  <c r="AP945" i="2"/>
  <c r="BB422" i="2"/>
  <c r="BB574" i="2"/>
  <c r="AT432" i="2"/>
  <c r="AU791" i="2"/>
  <c r="AM929" i="2"/>
  <c r="BC786" i="2"/>
  <c r="AP520" i="2"/>
  <c r="AP841" i="2"/>
  <c r="BB895" i="2"/>
  <c r="AT327" i="2"/>
  <c r="AM588" i="2"/>
  <c r="AX133" i="2"/>
  <c r="AX43" i="2"/>
  <c r="AM286" i="2"/>
  <c r="AU411" i="2"/>
  <c r="AL912" i="2"/>
  <c r="AU137" i="2"/>
  <c r="AU686" i="2"/>
  <c r="AM680" i="2"/>
  <c r="AU1043" i="2"/>
  <c r="BF706" i="2"/>
  <c r="AT861" i="2"/>
  <c r="AL1093" i="2"/>
  <c r="AX271" i="2"/>
  <c r="BB790" i="2"/>
  <c r="BC1026" i="2"/>
  <c r="AX57" i="2"/>
  <c r="AM549" i="2"/>
  <c r="AU868" i="2"/>
  <c r="AX734" i="2"/>
  <c r="AU589" i="2"/>
  <c r="AX852" i="2"/>
  <c r="AP1079" i="2"/>
  <c r="AX1021" i="2"/>
  <c r="AX1025" i="2"/>
  <c r="AU1023" i="2"/>
  <c r="AT1018" i="2"/>
  <c r="AL498" i="2"/>
  <c r="AU563" i="2"/>
  <c r="AU44" i="2"/>
  <c r="AM92" i="2"/>
  <c r="BC843" i="2"/>
  <c r="BB492" i="2"/>
  <c r="AT67" i="2"/>
  <c r="AX1008" i="2"/>
  <c r="AM608" i="2"/>
  <c r="BB1086" i="2"/>
  <c r="BC664" i="2"/>
  <c r="AP533" i="2"/>
  <c r="AU154" i="2"/>
  <c r="AT651" i="2"/>
  <c r="AU862" i="2"/>
  <c r="BF1066" i="2"/>
  <c r="AM655" i="2"/>
  <c r="AL459" i="2"/>
  <c r="AT829" i="2"/>
  <c r="BC1063" i="2"/>
  <c r="AL820" i="2"/>
  <c r="AL135" i="2"/>
  <c r="AT34" i="2"/>
  <c r="AU739" i="2"/>
  <c r="AM557" i="2"/>
  <c r="BB255" i="2"/>
  <c r="BF334" i="2"/>
  <c r="AM870" i="2"/>
  <c r="AM522" i="2"/>
  <c r="AX700" i="2"/>
  <c r="AX30" i="2"/>
  <c r="AM1040" i="2"/>
  <c r="AU882" i="2"/>
  <c r="AM835" i="2"/>
  <c r="AU328" i="2"/>
  <c r="BC798" i="2"/>
  <c r="BF584" i="2"/>
  <c r="AU796" i="2"/>
  <c r="AL365" i="2"/>
  <c r="AX190" i="2"/>
  <c r="BC103" i="2"/>
  <c r="AL160" i="2"/>
  <c r="AT73" i="2"/>
  <c r="BF705" i="2"/>
  <c r="AU1050" i="2"/>
  <c r="AX714" i="2"/>
  <c r="AP193" i="2"/>
  <c r="AU158" i="2"/>
  <c r="AL796" i="2"/>
  <c r="AU1073" i="2"/>
  <c r="BB976" i="2"/>
  <c r="BC121" i="2"/>
  <c r="AL463" i="2"/>
  <c r="AL489" i="2"/>
  <c r="AX147" i="2"/>
  <c r="AX197" i="2"/>
  <c r="AP967" i="2"/>
  <c r="AL572" i="2"/>
  <c r="AU611" i="2"/>
  <c r="AL927" i="2"/>
  <c r="AL776" i="2"/>
  <c r="BB547" i="2"/>
  <c r="AX32" i="2"/>
  <c r="AU527" i="2"/>
  <c r="AT469" i="2"/>
  <c r="BC946" i="2"/>
  <c r="BB510" i="2"/>
  <c r="BC334" i="2"/>
  <c r="AL478" i="2"/>
  <c r="AT91" i="2"/>
  <c r="AL356" i="2"/>
  <c r="BC956" i="2"/>
  <c r="AM993" i="2"/>
  <c r="BF469" i="2"/>
  <c r="BC895" i="2"/>
  <c r="AU966" i="2"/>
  <c r="AL1038" i="2"/>
  <c r="AL211" i="2"/>
  <c r="BC927" i="2"/>
  <c r="BC395" i="2"/>
  <c r="BB837" i="2"/>
  <c r="BB689" i="2"/>
  <c r="BF197" i="2"/>
  <c r="BF1071" i="2"/>
  <c r="AP410" i="2"/>
  <c r="AU802" i="2"/>
  <c r="BC1045" i="2"/>
  <c r="BC513" i="2"/>
  <c r="BC1002" i="2"/>
  <c r="AM430" i="2"/>
  <c r="AL22" i="2"/>
  <c r="BF532" i="2"/>
  <c r="AL527" i="2"/>
  <c r="AX896" i="2"/>
  <c r="BF188" i="2"/>
  <c r="BC1015" i="2"/>
  <c r="AP629" i="2"/>
  <c r="AT224" i="2"/>
  <c r="AT415" i="2"/>
  <c r="BF650" i="2"/>
  <c r="AM1052" i="2"/>
  <c r="AL756" i="2"/>
  <c r="AU970" i="2"/>
  <c r="AP995" i="2"/>
  <c r="BF891" i="2"/>
  <c r="AX110" i="2"/>
  <c r="AX821" i="2"/>
  <c r="AM725" i="2"/>
  <c r="BC52" i="2"/>
  <c r="AM1084" i="2"/>
  <c r="AT211" i="2"/>
  <c r="AU603" i="2"/>
  <c r="AP571" i="2"/>
  <c r="AP745" i="2"/>
  <c r="BB666" i="2"/>
  <c r="AP576" i="2"/>
  <c r="BC327" i="2"/>
  <c r="BF697" i="2"/>
  <c r="AT259" i="2"/>
  <c r="AM229" i="2"/>
  <c r="AL525" i="2"/>
  <c r="AP712" i="2"/>
  <c r="AL1078" i="2"/>
  <c r="BC868" i="2"/>
  <c r="AT452" i="2"/>
  <c r="AT1027" i="2"/>
  <c r="AM1080" i="2"/>
  <c r="AL1085" i="2"/>
  <c r="AU476" i="2"/>
  <c r="AX269" i="2"/>
  <c r="BB464" i="2"/>
  <c r="BC356" i="2"/>
  <c r="BB519" i="2"/>
  <c r="BF474" i="2"/>
  <c r="BF467" i="2"/>
  <c r="AL113" i="2"/>
  <c r="BF848" i="2"/>
  <c r="AP175" i="2"/>
  <c r="BF627" i="2"/>
  <c r="AL963" i="2"/>
  <c r="BC1093" i="2"/>
  <c r="AL804" i="2"/>
  <c r="BF802" i="2"/>
  <c r="AT1088" i="2"/>
  <c r="AM16" i="2"/>
  <c r="BB747" i="2"/>
  <c r="AU203" i="2"/>
  <c r="AX720" i="2"/>
  <c r="BB107" i="2"/>
  <c r="BB686" i="2"/>
  <c r="AU269" i="2"/>
  <c r="AU896" i="2"/>
  <c r="AT366" i="2"/>
  <c r="AU492" i="2"/>
  <c r="AU50" i="2"/>
  <c r="BF612" i="2"/>
  <c r="BC957" i="2"/>
  <c r="AU1086" i="2"/>
  <c r="BF725" i="2"/>
  <c r="AT156" i="2"/>
  <c r="AM862" i="2"/>
  <c r="AL274" i="2"/>
  <c r="BB485" i="2"/>
  <c r="BF185" i="2"/>
  <c r="BC486" i="2"/>
  <c r="AU564" i="2"/>
  <c r="AM571" i="2"/>
  <c r="AL258" i="2"/>
  <c r="AM983" i="2"/>
  <c r="AL167" i="2"/>
  <c r="AM849" i="2"/>
  <c r="AT831" i="2"/>
  <c r="AT897" i="2"/>
  <c r="AX228" i="2"/>
  <c r="AL612" i="2"/>
  <c r="BF1008" i="2"/>
  <c r="AX948" i="2"/>
  <c r="AL521" i="2"/>
  <c r="BC484" i="2"/>
  <c r="AL568" i="2"/>
  <c r="AX391" i="2"/>
  <c r="AT578" i="2"/>
  <c r="AT1098" i="2"/>
  <c r="AP198" i="2"/>
  <c r="AL610" i="2"/>
  <c r="AP1054" i="2"/>
  <c r="AL935" i="2"/>
  <c r="BB162" i="2"/>
  <c r="AL227" i="2"/>
  <c r="BB834" i="2"/>
  <c r="BF625" i="2"/>
  <c r="BF1075" i="2"/>
  <c r="AX780" i="2"/>
  <c r="AX383" i="2"/>
  <c r="AU744" i="2"/>
  <c r="AT797" i="2"/>
  <c r="BC135" i="2"/>
  <c r="BF925" i="2"/>
  <c r="AM591" i="2"/>
  <c r="BB1020" i="2"/>
  <c r="BF507" i="2"/>
  <c r="AX293" i="2"/>
  <c r="AX778" i="2"/>
  <c r="AT605" i="2"/>
  <c r="AT293" i="2"/>
  <c r="AU505" i="2"/>
  <c r="AL746" i="2"/>
  <c r="AL537" i="2"/>
  <c r="BF870" i="2"/>
  <c r="BB270" i="2"/>
  <c r="AT471" i="2"/>
  <c r="AM285" i="2"/>
  <c r="BF257" i="2"/>
  <c r="BB310" i="2"/>
  <c r="AL700" i="2"/>
  <c r="AT740" i="2"/>
  <c r="AP834" i="2"/>
  <c r="AL839" i="2"/>
  <c r="BF869" i="2"/>
  <c r="AX795" i="2"/>
  <c r="AP138" i="2"/>
  <c r="AT286" i="2"/>
  <c r="AM947" i="2"/>
  <c r="AL115" i="2"/>
  <c r="AU682" i="2"/>
  <c r="AP814" i="2"/>
  <c r="AL648" i="2"/>
  <c r="BC343" i="2"/>
  <c r="AP637" i="2"/>
  <c r="AM797" i="2"/>
  <c r="AU714" i="2"/>
  <c r="AL722" i="2"/>
  <c r="AL91" i="2"/>
  <c r="AP223" i="2"/>
  <c r="BB892" i="2"/>
  <c r="AX798" i="2"/>
  <c r="AL957" i="2"/>
  <c r="BC699" i="2"/>
  <c r="AT887" i="2"/>
  <c r="AM985" i="2"/>
  <c r="BB269" i="2"/>
  <c r="AP686" i="2"/>
  <c r="AX494" i="2"/>
  <c r="BF628" i="2"/>
  <c r="AM103" i="2"/>
  <c r="AX263" i="2"/>
  <c r="BF436" i="2"/>
  <c r="AU718" i="2"/>
  <c r="BF872" i="2"/>
  <c r="BF686" i="2"/>
  <c r="BB1051" i="2"/>
  <c r="BF1081" i="2"/>
  <c r="AT872" i="2"/>
  <c r="AU508" i="2"/>
  <c r="AM1075" i="2"/>
  <c r="AP611" i="2"/>
  <c r="BC165" i="2"/>
  <c r="AL972" i="2"/>
  <c r="BB301" i="2"/>
  <c r="AP1098" i="2"/>
  <c r="AM155" i="2"/>
  <c r="AP853" i="2"/>
  <c r="AP789" i="2"/>
  <c r="BB33" i="2"/>
  <c r="AT573" i="2"/>
  <c r="BB59" i="2"/>
  <c r="AM454" i="2"/>
  <c r="AU524" i="2"/>
  <c r="AX596" i="2"/>
  <c r="BF719" i="2"/>
  <c r="AT213" i="2"/>
  <c r="BB68" i="2"/>
  <c r="AT892" i="2"/>
  <c r="BC270" i="2"/>
  <c r="BB454" i="2"/>
  <c r="AL946" i="2"/>
  <c r="AM589" i="2"/>
  <c r="AP925" i="2"/>
  <c r="AP257" i="2"/>
  <c r="AL530" i="2"/>
  <c r="AT702" i="2"/>
  <c r="AX838" i="2"/>
  <c r="AM230" i="2"/>
  <c r="AP699" i="2"/>
  <c r="AU161" i="2"/>
  <c r="AX654" i="2"/>
  <c r="AT883" i="2"/>
  <c r="BF604" i="2"/>
  <c r="AL603" i="2"/>
  <c r="AM204" i="2"/>
  <c r="BC333" i="2"/>
  <c r="BF105" i="2"/>
  <c r="AL621" i="2"/>
  <c r="AT522" i="2"/>
  <c r="BC787" i="2"/>
  <c r="BF845" i="2"/>
  <c r="AM745" i="2"/>
  <c r="BB297" i="2"/>
  <c r="AT229" i="2"/>
  <c r="AL1037" i="2"/>
  <c r="BF417" i="2"/>
  <c r="AT729" i="2"/>
  <c r="AP769" i="2"/>
  <c r="AP918" i="2"/>
  <c r="AX194" i="2"/>
  <c r="AX665" i="2"/>
  <c r="AP596" i="2"/>
  <c r="AU258" i="2"/>
  <c r="BF271" i="2"/>
  <c r="AL290" i="2"/>
  <c r="AX571" i="2"/>
  <c r="BB49" i="2"/>
  <c r="AL844" i="2"/>
  <c r="AL557" i="2"/>
  <c r="AM368" i="2"/>
  <c r="AM434" i="2"/>
  <c r="AM516" i="2"/>
  <c r="BB902" i="2"/>
  <c r="BB440" i="2"/>
  <c r="AL917" i="2"/>
  <c r="AL989" i="2"/>
  <c r="AL961" i="2"/>
  <c r="BF420" i="2"/>
  <c r="AM830" i="2"/>
  <c r="AL1052" i="2"/>
  <c r="AM453" i="2"/>
  <c r="AM977" i="2"/>
  <c r="BF45" i="2"/>
  <c r="BC809" i="2"/>
  <c r="BF509" i="2"/>
  <c r="AP216" i="2"/>
  <c r="BF853" i="2"/>
  <c r="AP917" i="2"/>
  <c r="BF798" i="2"/>
  <c r="AP720" i="2"/>
  <c r="AT926" i="2"/>
  <c r="AM760" i="2"/>
  <c r="AX904" i="2"/>
  <c r="AL1066" i="2"/>
  <c r="AL1032" i="2"/>
  <c r="AT886" i="2"/>
  <c r="AM1031" i="2"/>
  <c r="BB651" i="2"/>
  <c r="AU16" i="2"/>
  <c r="AU671" i="2"/>
  <c r="AT582" i="2"/>
  <c r="AP883" i="2"/>
  <c r="AU576" i="2"/>
  <c r="BF511" i="2"/>
  <c r="AM717" i="2"/>
  <c r="AT1049" i="2"/>
  <c r="AP470" i="2"/>
  <c r="BF327" i="2"/>
  <c r="AX765" i="2"/>
  <c r="BC27" i="2"/>
  <c r="AX1015" i="2"/>
  <c r="BC880" i="2"/>
  <c r="AX1093" i="2"/>
  <c r="AM274" i="2"/>
  <c r="AP158" i="2"/>
  <c r="BB185" i="2"/>
  <c r="AT110" i="2"/>
  <c r="AP499" i="2"/>
  <c r="AL618" i="2"/>
  <c r="BF942" i="2"/>
  <c r="AU831" i="2"/>
  <c r="AL208" i="2"/>
  <c r="AU364" i="2"/>
  <c r="AM796" i="2"/>
  <c r="AP1006" i="2"/>
  <c r="BF172" i="2"/>
  <c r="BC507" i="2"/>
  <c r="AM390" i="2"/>
  <c r="BC668" i="2"/>
  <c r="BB751" i="2"/>
  <c r="AU625" i="2"/>
  <c r="BC422" i="2"/>
  <c r="AT647" i="2"/>
  <c r="AP973" i="2"/>
  <c r="AM418" i="2"/>
  <c r="AM1091" i="2"/>
  <c r="AT555" i="2"/>
  <c r="AM662" i="2"/>
  <c r="BC904" i="2"/>
  <c r="BB926" i="2"/>
  <c r="AP696" i="2"/>
  <c r="BC583" i="2"/>
  <c r="BC945" i="2"/>
  <c r="AP722" i="2"/>
  <c r="AT790" i="2"/>
  <c r="BF337" i="2"/>
  <c r="AL99" i="2"/>
  <c r="AL353" i="2"/>
  <c r="BB67" i="2"/>
  <c r="AU745" i="2"/>
  <c r="BC871" i="2"/>
  <c r="AP274" i="2"/>
  <c r="AM720" i="2"/>
  <c r="AP725" i="2"/>
  <c r="AT642" i="2"/>
  <c r="AM353" i="2"/>
  <c r="AT585" i="2"/>
  <c r="AM287" i="2"/>
  <c r="BF43" i="2"/>
  <c r="BB873" i="2"/>
  <c r="AU63" i="2"/>
  <c r="AP232" i="2"/>
  <c r="AT149" i="2"/>
  <c r="AP812" i="2"/>
  <c r="AU640" i="2"/>
  <c r="AP885" i="2"/>
  <c r="BF902" i="2"/>
  <c r="BB593" i="2"/>
  <c r="BB578" i="2"/>
  <c r="AU1070" i="2"/>
  <c r="AT867" i="2"/>
  <c r="BB495" i="2"/>
  <c r="BC665" i="2"/>
  <c r="AX120" i="2"/>
  <c r="AX549" i="2"/>
  <c r="BB480" i="2"/>
  <c r="AL667" i="2"/>
  <c r="AP337" i="2"/>
  <c r="AL1049" i="2"/>
  <c r="BF822" i="2"/>
  <c r="AX31" i="2"/>
  <c r="AL164" i="2"/>
  <c r="AU47" i="2"/>
  <c r="AM889" i="2"/>
  <c r="AU585" i="2"/>
  <c r="AP444" i="2"/>
  <c r="BC848" i="2"/>
  <c r="AL569" i="2"/>
  <c r="AM271" i="2"/>
  <c r="AU680" i="2"/>
  <c r="AM579" i="2"/>
  <c r="AX186" i="2"/>
  <c r="AP1023" i="2"/>
  <c r="AX130" i="2"/>
  <c r="AL1065" i="2"/>
  <c r="BB1027" i="2"/>
  <c r="AP201" i="2"/>
  <c r="AX813" i="2"/>
  <c r="AT912" i="2"/>
  <c r="BB339" i="2"/>
  <c r="AX215" i="2"/>
  <c r="AL458" i="2"/>
  <c r="BC22" i="2"/>
  <c r="AM214" i="2"/>
  <c r="BB825" i="2"/>
  <c r="AX899" i="2"/>
  <c r="AX105" i="2"/>
  <c r="BC93" i="2"/>
  <c r="AT943" i="2"/>
  <c r="AU467" i="2"/>
  <c r="BB826" i="2"/>
  <c r="BC674" i="2"/>
  <c r="BC456" i="2"/>
  <c r="BB678" i="2"/>
  <c r="AX91" i="2"/>
  <c r="AU26" i="2"/>
  <c r="AX1100" i="2"/>
  <c r="AL396" i="2"/>
  <c r="AL532" i="2"/>
  <c r="BB1046" i="2"/>
  <c r="BF345" i="2"/>
  <c r="BB137" i="2"/>
  <c r="AX624" i="2"/>
  <c r="AT919" i="2"/>
  <c r="AM555" i="2"/>
  <c r="AT879" i="2"/>
  <c r="BC458" i="2"/>
  <c r="AU477" i="2"/>
  <c r="BC793" i="2"/>
  <c r="AT1093" i="2"/>
  <c r="AP54" i="2"/>
  <c r="BB750" i="2"/>
  <c r="AX555" i="2"/>
  <c r="AU704" i="2"/>
  <c r="AX323" i="2"/>
  <c r="AU867" i="2"/>
  <c r="AP286" i="2"/>
  <c r="AX348" i="2"/>
  <c r="AT185" i="2"/>
  <c r="AP459" i="2"/>
  <c r="AP761" i="2"/>
  <c r="BC729" i="2"/>
  <c r="AT786" i="2"/>
  <c r="AU851" i="2"/>
  <c r="BB564" i="2"/>
  <c r="BC44" i="2"/>
  <c r="AM174" i="2"/>
  <c r="AT62" i="2"/>
  <c r="AT733" i="2"/>
  <c r="BF749" i="2"/>
  <c r="BF769" i="2"/>
  <c r="AM975" i="2"/>
  <c r="AX456" i="2"/>
  <c r="BB622" i="2"/>
  <c r="AU826" i="2"/>
  <c r="BB824" i="2"/>
  <c r="AL410" i="2"/>
  <c r="AP716" i="2"/>
  <c r="AM863" i="2"/>
  <c r="BC263" i="2"/>
  <c r="BB632" i="2"/>
  <c r="BF774" i="2"/>
  <c r="BB539" i="2"/>
  <c r="BB879" i="2"/>
  <c r="BC826" i="2"/>
  <c r="AX990" i="2"/>
  <c r="BC561" i="2"/>
  <c r="AL1021" i="2"/>
  <c r="BC155" i="2"/>
  <c r="AM23" i="2"/>
  <c r="AT696" i="2"/>
  <c r="BC681" i="2"/>
  <c r="BB859" i="2"/>
  <c r="BC615" i="2"/>
  <c r="AL1053" i="2"/>
  <c r="AP1097" i="2"/>
  <c r="AP568" i="2"/>
  <c r="AT803" i="2"/>
  <c r="AX831" i="2"/>
  <c r="AX475" i="2"/>
  <c r="AP386" i="2"/>
  <c r="AM104" i="2"/>
  <c r="AP370" i="2"/>
  <c r="BC45" i="2"/>
  <c r="AL792" i="2"/>
  <c r="BC175" i="2"/>
  <c r="AX615" i="2"/>
  <c r="BB161" i="2"/>
  <c r="AM931" i="2"/>
  <c r="AX950" i="2"/>
  <c r="BC184" i="2"/>
  <c r="AX1091" i="2"/>
  <c r="BB526" i="2"/>
  <c r="AL617" i="2"/>
  <c r="BF915" i="2"/>
  <c r="AL823" i="2"/>
  <c r="BC714" i="2"/>
  <c r="BF815" i="2"/>
  <c r="BC214" i="2"/>
  <c r="BF704" i="2"/>
  <c r="BB618" i="2"/>
  <c r="AM526" i="2"/>
  <c r="AU662" i="2"/>
  <c r="AL436" i="2"/>
  <c r="AX925" i="2"/>
  <c r="BC232" i="2"/>
  <c r="AU751" i="2"/>
  <c r="AX1000" i="2"/>
  <c r="AU760" i="2"/>
  <c r="AP512" i="2"/>
  <c r="AT602" i="2"/>
  <c r="BB584" i="2"/>
  <c r="AX652" i="2"/>
  <c r="BF1006" i="2"/>
  <c r="AX296" i="2"/>
  <c r="AP162" i="2"/>
  <c r="AU840" i="2"/>
  <c r="BF230" i="2"/>
  <c r="AM970" i="2"/>
  <c r="AM898" i="2"/>
  <c r="AP572" i="2"/>
  <c r="AL904" i="2"/>
  <c r="AM923" i="2"/>
  <c r="AT528" i="2"/>
  <c r="AM871" i="2"/>
  <c r="BF47" i="2"/>
  <c r="AU198" i="2"/>
  <c r="BB773" i="2"/>
  <c r="AT756" i="2"/>
  <c r="AU122" i="2"/>
  <c r="AL457" i="2"/>
  <c r="AM811" i="2"/>
  <c r="AL926" i="2"/>
  <c r="BF1040" i="2"/>
  <c r="AT840" i="2"/>
  <c r="AX343" i="2"/>
  <c r="AU989" i="2"/>
  <c r="AM1056" i="2"/>
  <c r="AP117" i="2"/>
  <c r="BF964" i="2"/>
  <c r="BB595" i="2"/>
  <c r="AT414" i="2"/>
  <c r="AT116" i="2"/>
  <c r="AM961" i="2"/>
  <c r="AM771" i="2"/>
  <c r="AU713" i="2"/>
  <c r="AU469" i="2"/>
  <c r="AM182" i="2"/>
  <c r="BC658" i="2"/>
  <c r="AU925" i="2"/>
  <c r="AP139" i="2"/>
  <c r="BC657" i="2"/>
  <c r="BC182" i="2"/>
  <c r="AL831" i="2"/>
  <c r="AX603" i="2"/>
  <c r="AP292" i="2"/>
  <c r="AX17" i="2"/>
  <c r="AX764" i="2"/>
  <c r="AT17" i="2"/>
  <c r="BC847" i="2"/>
  <c r="AP144" i="2"/>
  <c r="AM457" i="2"/>
  <c r="BC267" i="2"/>
  <c r="AL818" i="2"/>
  <c r="AU280" i="2"/>
  <c r="AL997" i="2"/>
  <c r="BC841" i="2"/>
  <c r="BB199" i="2"/>
  <c r="BB852" i="2"/>
  <c r="AU432" i="2"/>
  <c r="AL226" i="2"/>
  <c r="AL771" i="2"/>
  <c r="BB721" i="2"/>
  <c r="AT464" i="2"/>
  <c r="AX866" i="2"/>
  <c r="BB304" i="2"/>
  <c r="AP626" i="2"/>
  <c r="BB1072" i="2"/>
  <c r="AU106" i="2"/>
  <c r="AP566" i="2"/>
  <c r="BC357" i="2"/>
  <c r="AL429" i="2"/>
  <c r="AX429" i="2"/>
  <c r="AU749" i="2"/>
  <c r="BC655" i="2"/>
  <c r="AM809" i="2"/>
  <c r="AP1099" i="2"/>
  <c r="AL224" i="2"/>
  <c r="AM360" i="2"/>
  <c r="AX471" i="2"/>
  <c r="BF264" i="2"/>
  <c r="BC116" i="2"/>
  <c r="AT747" i="2"/>
  <c r="AU238" i="2"/>
  <c r="AT591" i="2"/>
  <c r="AT291" i="2"/>
  <c r="AT1016" i="2"/>
  <c r="BC510" i="2"/>
  <c r="AX139" i="2"/>
  <c r="BF259" i="2"/>
  <c r="BF1025" i="2"/>
  <c r="BC247" i="2"/>
  <c r="BB231" i="2"/>
  <c r="AT135" i="2"/>
  <c r="AU601" i="2"/>
  <c r="AP103" i="2"/>
  <c r="AT305" i="2"/>
  <c r="AU956" i="2"/>
  <c r="BF184" i="2"/>
  <c r="AT194" i="2"/>
  <c r="AX282" i="2"/>
  <c r="AP737" i="2"/>
  <c r="AM828" i="2"/>
  <c r="AM1089" i="2"/>
  <c r="BF595" i="2"/>
  <c r="AT913" i="2"/>
  <c r="BB525" i="2"/>
  <c r="AX148" i="2"/>
  <c r="AL861" i="2"/>
  <c r="AM922" i="2"/>
  <c r="AX203" i="2"/>
  <c r="AX45" i="2"/>
  <c r="BC383" i="2"/>
  <c r="AX421" i="2"/>
  <c r="AU260" i="2"/>
  <c r="AL1071" i="2"/>
  <c r="AX694" i="2"/>
  <c r="AU1009" i="2"/>
  <c r="AM389" i="2"/>
  <c r="AT384" i="2"/>
  <c r="AM34" i="2"/>
  <c r="AU386" i="2"/>
  <c r="AL790" i="2"/>
  <c r="BF836" i="2"/>
  <c r="AX1063" i="2"/>
  <c r="AX525" i="2"/>
  <c r="BB474" i="2"/>
  <c r="BC1010" i="2"/>
  <c r="AT718" i="2"/>
  <c r="AM778" i="2"/>
  <c r="AX981" i="2"/>
  <c r="AU1057" i="2"/>
  <c r="BF886" i="2"/>
  <c r="BF904" i="2"/>
  <c r="AP600" i="2"/>
  <c r="AX524" i="2"/>
  <c r="AL504" i="2"/>
  <c r="BF1067" i="2"/>
  <c r="BF356" i="2"/>
  <c r="AM183" i="2"/>
  <c r="BC58" i="2"/>
  <c r="AP811" i="2"/>
  <c r="AX523" i="2"/>
  <c r="BF256" i="2"/>
  <c r="AM1026" i="2"/>
  <c r="AX608" i="2"/>
  <c r="BC1007" i="2"/>
  <c r="BB762" i="2"/>
  <c r="BF748" i="2"/>
  <c r="BF733" i="2"/>
  <c r="AT663" i="2"/>
  <c r="BF1090" i="2"/>
  <c r="AL639" i="2"/>
  <c r="AT53" i="2"/>
  <c r="BB540" i="2"/>
  <c r="AM256" i="2"/>
  <c r="AX495" i="2"/>
  <c r="AX274" i="2"/>
  <c r="AP35" i="2"/>
  <c r="AT993" i="2"/>
  <c r="AM979" i="2"/>
  <c r="BB426" i="2"/>
  <c r="AM135" i="2"/>
  <c r="BF488" i="2"/>
  <c r="AU733" i="2"/>
  <c r="AP988" i="2"/>
  <c r="AL1090" i="2"/>
  <c r="AT904" i="2"/>
  <c r="AM992" i="2"/>
  <c r="AL893" i="2"/>
  <c r="BB459" i="2"/>
  <c r="AX216" i="2"/>
  <c r="AL467" i="2"/>
  <c r="AX117" i="2"/>
  <c r="AP590" i="2"/>
  <c r="AL936" i="2"/>
  <c r="AL985" i="2"/>
  <c r="AM198" i="2"/>
  <c r="AL541" i="2"/>
  <c r="AT460" i="2"/>
  <c r="AP105" i="2"/>
  <c r="BC368" i="2"/>
  <c r="AU392" i="2"/>
  <c r="AP147" i="2"/>
  <c r="AL433" i="2"/>
  <c r="AU294" i="2"/>
  <c r="BF117" i="2"/>
  <c r="AM332" i="2"/>
  <c r="AM428" i="2"/>
  <c r="AU574" i="2"/>
  <c r="AT507" i="2"/>
  <c r="AL496" i="2"/>
  <c r="BF960" i="2"/>
  <c r="BC1091" i="2"/>
  <c r="BB43" i="2"/>
  <c r="AX733" i="2"/>
  <c r="AX212" i="2"/>
  <c r="AT104" i="2"/>
  <c r="AT787" i="2"/>
  <c r="BF828" i="2"/>
  <c r="AX463" i="2"/>
  <c r="BB63" i="2"/>
  <c r="BB922" i="2"/>
  <c r="BC290" i="2"/>
  <c r="BB334" i="2"/>
  <c r="BB276" i="2"/>
  <c r="BF638" i="2"/>
  <c r="AU632" i="2"/>
  <c r="AU445" i="2"/>
  <c r="AP824" i="2"/>
  <c r="BB444" i="2"/>
  <c r="AM1043" i="2"/>
  <c r="AP417" i="2"/>
  <c r="BB259" i="2"/>
  <c r="AT965" i="2"/>
  <c r="AU205" i="2"/>
  <c r="BC197" i="2"/>
  <c r="AM1023" i="2"/>
  <c r="AP538" i="2"/>
  <c r="AT499" i="2"/>
  <c r="BF801" i="2"/>
  <c r="AM750" i="2"/>
  <c r="BC656" i="2"/>
  <c r="AL147" i="2"/>
  <c r="AP65" i="2"/>
  <c r="BB596" i="2"/>
  <c r="AP690" i="2"/>
  <c r="BC785" i="2"/>
  <c r="AT871" i="2"/>
  <c r="BF721" i="2"/>
  <c r="AM73" i="2"/>
  <c r="AT301" i="2"/>
  <c r="AU842" i="2"/>
  <c r="BC703" i="2"/>
  <c r="BB795" i="2"/>
  <c r="AX637" i="2"/>
  <c r="BC148" i="2"/>
  <c r="AU656" i="2"/>
  <c r="AX744" i="2"/>
  <c r="AX647" i="2"/>
  <c r="BC997" i="2"/>
  <c r="AX722" i="2"/>
  <c r="BB718" i="2"/>
  <c r="AT755" i="2"/>
  <c r="AP1038" i="2"/>
  <c r="AL629" i="2"/>
  <c r="AU721" i="2"/>
  <c r="AX1046" i="2"/>
  <c r="AL604" i="2"/>
  <c r="AU170" i="2"/>
  <c r="AM57" i="2"/>
  <c r="BC173" i="2"/>
  <c r="AX673" i="2"/>
  <c r="BB801" i="2"/>
  <c r="BF923" i="2"/>
  <c r="AX1054" i="2"/>
  <c r="AM925" i="2"/>
  <c r="AP632" i="2"/>
  <c r="AX759" i="2"/>
  <c r="AU33" i="2"/>
  <c r="AU104" i="2"/>
  <c r="BB653" i="2"/>
  <c r="AM772" i="2"/>
  <c r="AU961" i="2"/>
  <c r="BF573" i="2"/>
  <c r="AT262" i="2"/>
  <c r="BB677" i="2"/>
  <c r="AU892" i="2"/>
  <c r="AT167" i="2"/>
  <c r="BC199" i="2"/>
  <c r="AM812" i="2"/>
  <c r="AT1066" i="2"/>
  <c r="AL102" i="2"/>
  <c r="BF708" i="2"/>
  <c r="AX330" i="2"/>
  <c r="BF789" i="2"/>
  <c r="AP494" i="2"/>
  <c r="AL730" i="2"/>
  <c r="BB1033" i="2"/>
  <c r="AP864" i="2"/>
  <c r="AT1063" i="2"/>
  <c r="AL193" i="2"/>
  <c r="AX732" i="2"/>
  <c r="AP270" i="2"/>
  <c r="AL635" i="2"/>
  <c r="AP1013" i="2"/>
  <c r="BB487" i="2"/>
  <c r="BF972" i="2"/>
  <c r="AX474" i="2"/>
  <c r="AL711" i="2"/>
  <c r="AU157" i="2"/>
  <c r="AP671" i="2"/>
  <c r="AL359" i="2"/>
  <c r="BB841" i="2"/>
  <c r="AT233" i="2"/>
  <c r="AV233" i="2" l="1"/>
  <c r="AW233" i="2"/>
  <c r="AZ233" i="2"/>
  <c r="AY233" i="2"/>
  <c r="BD841" i="2"/>
  <c r="BG841" i="2"/>
  <c r="BH841" i="2"/>
  <c r="BE841" i="2"/>
  <c r="AR359" i="2"/>
  <c r="AO359" i="2"/>
  <c r="AN359" i="2"/>
  <c r="AL358" i="2"/>
  <c r="AQ359" i="2"/>
  <c r="AR711" i="2"/>
  <c r="AQ711" i="2"/>
  <c r="AO711" i="2"/>
  <c r="AN711" i="2"/>
  <c r="BG487" i="2"/>
  <c r="BE487" i="2"/>
  <c r="BD487" i="2"/>
  <c r="BH487" i="2"/>
  <c r="AQ635" i="2"/>
  <c r="AN635" i="2"/>
  <c r="AR635" i="2"/>
  <c r="AO635" i="2"/>
  <c r="AR193" i="2"/>
  <c r="AQ193" i="2"/>
  <c r="AO193" i="2"/>
  <c r="AN193" i="2"/>
  <c r="AY1063" i="2"/>
  <c r="AW1063" i="2"/>
  <c r="AZ1063" i="2"/>
  <c r="AV1063" i="2"/>
  <c r="BE1033" i="2"/>
  <c r="BD1033" i="2"/>
  <c r="BG1033" i="2"/>
  <c r="BH1033" i="2"/>
  <c r="AO730" i="2"/>
  <c r="AQ730" i="2"/>
  <c r="AR730" i="2"/>
  <c r="AN730" i="2"/>
  <c r="AL79" i="2"/>
  <c r="AR102" i="2"/>
  <c r="AO102" i="2"/>
  <c r="AQ102" i="2"/>
  <c r="AN102" i="2"/>
  <c r="AW1066" i="2"/>
  <c r="AV1066" i="2"/>
  <c r="AY1066" i="2"/>
  <c r="AZ1066" i="2"/>
  <c r="AY167" i="2"/>
  <c r="AV167" i="2"/>
  <c r="AZ167" i="2"/>
  <c r="AW167" i="2"/>
  <c r="BH677" i="2"/>
  <c r="BD677" i="2"/>
  <c r="BE677" i="2"/>
  <c r="BG677" i="2"/>
  <c r="AT248" i="2"/>
  <c r="AZ262" i="2"/>
  <c r="AV262" i="2"/>
  <c r="AW262" i="2"/>
  <c r="AY262" i="2"/>
  <c r="BE653" i="2"/>
  <c r="BG653" i="2"/>
  <c r="BD653" i="2"/>
  <c r="BH653" i="2"/>
  <c r="BD801" i="2"/>
  <c r="BH801" i="2"/>
  <c r="BG801" i="2"/>
  <c r="BE801" i="2"/>
  <c r="AR604" i="2"/>
  <c r="AN604" i="2"/>
  <c r="AQ604" i="2"/>
  <c r="AO604" i="2"/>
  <c r="AO629" i="2"/>
  <c r="AR629" i="2"/>
  <c r="AN629" i="2"/>
  <c r="AQ629" i="2"/>
  <c r="AV755" i="2"/>
  <c r="AW755" i="2"/>
  <c r="BD718" i="2"/>
  <c r="BG718" i="2"/>
  <c r="BE718" i="2"/>
  <c r="BH718" i="2"/>
  <c r="BE795" i="2"/>
  <c r="BH795" i="2"/>
  <c r="BD795" i="2"/>
  <c r="BG795" i="2"/>
  <c r="AW301" i="2"/>
  <c r="AV301" i="2"/>
  <c r="AY301" i="2"/>
  <c r="AZ301" i="2"/>
  <c r="AW871" i="2"/>
  <c r="AV871" i="2"/>
  <c r="AZ871" i="2"/>
  <c r="AY871" i="2"/>
  <c r="BH596" i="2"/>
  <c r="BD596" i="2"/>
  <c r="BG596" i="2"/>
  <c r="BE596" i="2"/>
  <c r="AR147" i="2"/>
  <c r="AQ147" i="2"/>
  <c r="AN147" i="2"/>
  <c r="AO147" i="2"/>
  <c r="AZ499" i="2"/>
  <c r="AY499" i="2"/>
  <c r="AW499" i="2"/>
  <c r="AV499" i="2"/>
  <c r="AY965" i="2"/>
  <c r="AV965" i="2"/>
  <c r="AW965" i="2"/>
  <c r="AZ965" i="2"/>
  <c r="BD259" i="2"/>
  <c r="BH259" i="2"/>
  <c r="BG259" i="2"/>
  <c r="BB245" i="2"/>
  <c r="BE259" i="2"/>
  <c r="BE444" i="2"/>
  <c r="BG444" i="2"/>
  <c r="BH444" i="2"/>
  <c r="BD444" i="2"/>
  <c r="BH276" i="2"/>
  <c r="BB277" i="2"/>
  <c r="BG276" i="2"/>
  <c r="BE276" i="2"/>
  <c r="BD276" i="2"/>
  <c r="BD334" i="2"/>
  <c r="BH334" i="2"/>
  <c r="BG334" i="2"/>
  <c r="BE334" i="2"/>
  <c r="BD922" i="2"/>
  <c r="BH922" i="2"/>
  <c r="BG922" i="2"/>
  <c r="BE922" i="2"/>
  <c r="BD63" i="2"/>
  <c r="BG63" i="2"/>
  <c r="BH63" i="2"/>
  <c r="BE63" i="2"/>
  <c r="AV787" i="2"/>
  <c r="AY787" i="2"/>
  <c r="AW787" i="2"/>
  <c r="AZ787" i="2"/>
  <c r="AZ104" i="2"/>
  <c r="AW104" i="2"/>
  <c r="AY104" i="2"/>
  <c r="AV104" i="2"/>
  <c r="BH43" i="2"/>
  <c r="BG43" i="2"/>
  <c r="BD43" i="2"/>
  <c r="BE43" i="2"/>
  <c r="AQ496" i="2"/>
  <c r="AN496" i="2"/>
  <c r="AO496" i="2"/>
  <c r="AR496" i="2"/>
  <c r="AZ507" i="2"/>
  <c r="AY507" i="2"/>
  <c r="AW507" i="2"/>
  <c r="AV507" i="2"/>
  <c r="AR433" i="2"/>
  <c r="AO433" i="2"/>
  <c r="AQ433" i="2"/>
  <c r="AN433" i="2"/>
  <c r="BC367" i="2"/>
  <c r="AZ460" i="2"/>
  <c r="AW460" i="2"/>
  <c r="AY460" i="2"/>
  <c r="AV460" i="2"/>
  <c r="AO541" i="2"/>
  <c r="AR541" i="2"/>
  <c r="AQ541" i="2"/>
  <c r="AN541" i="2"/>
  <c r="AQ985" i="2"/>
  <c r="AN985" i="2"/>
  <c r="AR985" i="2"/>
  <c r="AO985" i="2"/>
  <c r="AQ936" i="2"/>
  <c r="AO936" i="2"/>
  <c r="AR936" i="2"/>
  <c r="AN936" i="2"/>
  <c r="AN467" i="2"/>
  <c r="AO467" i="2"/>
  <c r="AQ467" i="2"/>
  <c r="AR467" i="2"/>
  <c r="BH459" i="2"/>
  <c r="BD459" i="2"/>
  <c r="BE459" i="2"/>
  <c r="BG459" i="2"/>
  <c r="AN893" i="2"/>
  <c r="AQ893" i="2"/>
  <c r="AO893" i="2"/>
  <c r="AR893" i="2"/>
  <c r="AV904" i="2"/>
  <c r="AY904" i="2"/>
  <c r="AZ904" i="2"/>
  <c r="AW904" i="2"/>
  <c r="AR1090" i="2"/>
  <c r="AO1090" i="2"/>
  <c r="AN1090" i="2"/>
  <c r="AQ1090" i="2"/>
  <c r="AM136" i="2"/>
  <c r="BD426" i="2"/>
  <c r="BE426" i="2"/>
  <c r="BH426" i="2"/>
  <c r="BG426" i="2"/>
  <c r="AZ993" i="2"/>
  <c r="AV993" i="2"/>
  <c r="AW993" i="2"/>
  <c r="AY993" i="2"/>
  <c r="AP36" i="2"/>
  <c r="AM242" i="2"/>
  <c r="BE540" i="2"/>
  <c r="BH540" i="2"/>
  <c r="BD540" i="2"/>
  <c r="BG540" i="2"/>
  <c r="AZ53" i="2"/>
  <c r="AW53" i="2"/>
  <c r="AV53" i="2"/>
  <c r="AY53" i="2"/>
  <c r="AR639" i="2"/>
  <c r="AO639" i="2"/>
  <c r="AN639" i="2"/>
  <c r="AQ639" i="2"/>
  <c r="AZ663" i="2"/>
  <c r="AY663" i="2"/>
  <c r="AV663" i="2"/>
  <c r="AW663" i="2"/>
  <c r="BH762" i="2"/>
  <c r="BE762" i="2"/>
  <c r="BG762" i="2"/>
  <c r="BD762" i="2"/>
  <c r="BF242" i="2"/>
  <c r="AM179" i="2"/>
  <c r="AR504" i="2"/>
  <c r="AN504" i="2"/>
  <c r="AO504" i="2"/>
  <c r="AQ504" i="2"/>
  <c r="AW718" i="2"/>
  <c r="AV718" i="2"/>
  <c r="AZ718" i="2"/>
  <c r="AY718" i="2"/>
  <c r="BH474" i="2"/>
  <c r="BD474" i="2"/>
  <c r="BE474" i="2"/>
  <c r="BG474" i="2"/>
  <c r="AO790" i="2"/>
  <c r="AN790" i="2"/>
  <c r="AQ790" i="2"/>
  <c r="AR790" i="2"/>
  <c r="AU385" i="2"/>
  <c r="AU377" i="2" s="1"/>
  <c r="AU378" i="2"/>
  <c r="AV384" i="2"/>
  <c r="AZ384" i="2"/>
  <c r="AY384" i="2"/>
  <c r="AW384" i="2"/>
  <c r="AM379" i="2"/>
  <c r="AR1071" i="2"/>
  <c r="AN1071" i="2"/>
  <c r="AQ1071" i="2"/>
  <c r="AO1071" i="2"/>
  <c r="AU246" i="2"/>
  <c r="BC375" i="2"/>
  <c r="AR861" i="2"/>
  <c r="AQ861" i="2"/>
  <c r="AN861" i="2"/>
  <c r="AO861" i="2"/>
  <c r="BD525" i="2"/>
  <c r="BE525" i="2"/>
  <c r="BG525" i="2"/>
  <c r="BH525" i="2"/>
  <c r="AW913" i="2"/>
  <c r="AV913" i="2"/>
  <c r="AZ913" i="2"/>
  <c r="AY913" i="2"/>
  <c r="AY194" i="2"/>
  <c r="AW194" i="2"/>
  <c r="AZ194" i="2"/>
  <c r="AV194" i="2"/>
  <c r="AT195" i="2"/>
  <c r="BF180" i="2"/>
  <c r="AV305" i="2"/>
  <c r="AY305" i="2"/>
  <c r="AW305" i="2"/>
  <c r="AZ305" i="2"/>
  <c r="AV135" i="2"/>
  <c r="AY135" i="2"/>
  <c r="AT136" i="2"/>
  <c r="AW135" i="2"/>
  <c r="AZ135" i="2"/>
  <c r="BH231" i="2"/>
  <c r="BG231" i="2"/>
  <c r="BE231" i="2"/>
  <c r="BD231" i="2"/>
  <c r="BF245" i="2"/>
  <c r="AX140" i="2"/>
  <c r="AW1016" i="2"/>
  <c r="AY1016" i="2"/>
  <c r="AZ1016" i="2"/>
  <c r="AV1016" i="2"/>
  <c r="AV291" i="2"/>
  <c r="AW291" i="2"/>
  <c r="AZ291" i="2"/>
  <c r="AY291" i="2"/>
  <c r="AY591" i="2"/>
  <c r="AZ591" i="2"/>
  <c r="AV591" i="2"/>
  <c r="AW591" i="2"/>
  <c r="AU239" i="2"/>
  <c r="AZ747" i="2"/>
  <c r="AW747" i="2"/>
  <c r="AV747" i="2"/>
  <c r="AY747" i="2"/>
  <c r="BF250" i="2"/>
  <c r="AN224" i="2"/>
  <c r="AO224" i="2"/>
  <c r="AR224" i="2"/>
  <c r="AQ224" i="2"/>
  <c r="AR429" i="2"/>
  <c r="AN429" i="2"/>
  <c r="AO429" i="2"/>
  <c r="AQ429" i="2"/>
  <c r="AU80" i="2"/>
  <c r="BH1072" i="2"/>
  <c r="BD1072" i="2"/>
  <c r="BE1072" i="2"/>
  <c r="BG1072" i="2"/>
  <c r="BD304" i="2"/>
  <c r="BH304" i="2"/>
  <c r="BG304" i="2"/>
  <c r="BE304" i="2"/>
  <c r="AZ464" i="2"/>
  <c r="AW464" i="2"/>
  <c r="AV464" i="2"/>
  <c r="AY464" i="2"/>
  <c r="BE721" i="2"/>
  <c r="BH721" i="2"/>
  <c r="BD721" i="2"/>
  <c r="BG721" i="2"/>
  <c r="AQ771" i="2"/>
  <c r="AN771" i="2"/>
  <c r="AR771" i="2"/>
  <c r="AO771" i="2"/>
  <c r="AR226" i="2"/>
  <c r="AO226" i="2"/>
  <c r="AN226" i="2"/>
  <c r="AQ226" i="2"/>
  <c r="BD852" i="2"/>
  <c r="BH852" i="2"/>
  <c r="BG852" i="2"/>
  <c r="BE852" i="2"/>
  <c r="BD199" i="2"/>
  <c r="BE199" i="2"/>
  <c r="BG199" i="2"/>
  <c r="BH199" i="2"/>
  <c r="AO997" i="2"/>
  <c r="AN997" i="2"/>
  <c r="AR997" i="2"/>
  <c r="AQ997" i="2"/>
  <c r="AO818" i="2"/>
  <c r="AN818" i="2"/>
  <c r="AQ818" i="2"/>
  <c r="AR818" i="2"/>
  <c r="BC253" i="2"/>
  <c r="AV17" i="2"/>
  <c r="AT18" i="2"/>
  <c r="AY17" i="2"/>
  <c r="AZ17" i="2"/>
  <c r="AW17" i="2"/>
  <c r="AX18" i="2"/>
  <c r="AN831" i="2"/>
  <c r="AR831" i="2"/>
  <c r="AQ831" i="2"/>
  <c r="AO831" i="2"/>
  <c r="BC178" i="2"/>
  <c r="AP140" i="2"/>
  <c r="AM178" i="2"/>
  <c r="AZ116" i="2"/>
  <c r="AW116" i="2"/>
  <c r="AY116" i="2"/>
  <c r="AV116" i="2"/>
  <c r="AV414" i="2"/>
  <c r="AZ414" i="2"/>
  <c r="AW414" i="2"/>
  <c r="AY414" i="2"/>
  <c r="BH595" i="2"/>
  <c r="BE595" i="2"/>
  <c r="BD595" i="2"/>
  <c r="BG595" i="2"/>
  <c r="AV840" i="2"/>
  <c r="AY840" i="2"/>
  <c r="AZ840" i="2"/>
  <c r="AW840" i="2"/>
  <c r="AN926" i="2"/>
  <c r="AR926" i="2"/>
  <c r="AQ926" i="2"/>
  <c r="AO926" i="2"/>
  <c r="AO457" i="2"/>
  <c r="AR457" i="2"/>
  <c r="AQ457" i="2"/>
  <c r="AN457" i="2"/>
  <c r="AZ756" i="2"/>
  <c r="AW756" i="2"/>
  <c r="AY756" i="2"/>
  <c r="AV756" i="2"/>
  <c r="BD773" i="2"/>
  <c r="BG773" i="2"/>
  <c r="BE773" i="2"/>
  <c r="BH773" i="2"/>
  <c r="AY528" i="2"/>
  <c r="AZ528" i="2"/>
  <c r="AW528" i="2"/>
  <c r="AV528" i="2"/>
  <c r="AN904" i="2"/>
  <c r="AO904" i="2"/>
  <c r="AQ904" i="2"/>
  <c r="AR904" i="2"/>
  <c r="BD584" i="2"/>
  <c r="BE584" i="2"/>
  <c r="BH584" i="2"/>
  <c r="BG584" i="2"/>
  <c r="AV602" i="2"/>
  <c r="AY602" i="2"/>
  <c r="AW602" i="2"/>
  <c r="AZ602" i="2"/>
  <c r="AO436" i="2"/>
  <c r="AN436" i="2"/>
  <c r="AQ436" i="2"/>
  <c r="AR436" i="2"/>
  <c r="BD618" i="2"/>
  <c r="BH618" i="2"/>
  <c r="BG618" i="2"/>
  <c r="BE618" i="2"/>
  <c r="AQ823" i="2"/>
  <c r="AR823" i="2"/>
  <c r="AO823" i="2"/>
  <c r="AN823" i="2"/>
  <c r="AO617" i="2"/>
  <c r="AQ617" i="2"/>
  <c r="AN617" i="2"/>
  <c r="AR617" i="2"/>
  <c r="BD526" i="2"/>
  <c r="BH526" i="2"/>
  <c r="BG526" i="2"/>
  <c r="BE526" i="2"/>
  <c r="BC180" i="2"/>
  <c r="BH161" i="2"/>
  <c r="BE161" i="2"/>
  <c r="BG161" i="2"/>
  <c r="BD161" i="2"/>
  <c r="AN792" i="2"/>
  <c r="AR792" i="2"/>
  <c r="AO792" i="2"/>
  <c r="AQ792" i="2"/>
  <c r="AP385" i="2"/>
  <c r="AP377" i="2" s="1"/>
  <c r="AP378" i="2"/>
  <c r="AW803" i="2"/>
  <c r="AV803" i="2"/>
  <c r="AY803" i="2"/>
  <c r="AZ803" i="2"/>
  <c r="AO1053" i="2"/>
  <c r="AQ1053" i="2"/>
  <c r="AN1053" i="2"/>
  <c r="AR1053" i="2"/>
  <c r="BE859" i="2"/>
  <c r="BH859" i="2"/>
  <c r="BD859" i="2"/>
  <c r="BG859" i="2"/>
  <c r="AW696" i="2"/>
  <c r="AV696" i="2"/>
  <c r="AY696" i="2"/>
  <c r="AZ696" i="2"/>
  <c r="AM1467" i="2"/>
  <c r="AN1021" i="2"/>
  <c r="AO1021" i="2"/>
  <c r="AQ1021" i="2"/>
  <c r="AR1021" i="2"/>
  <c r="BG879" i="2"/>
  <c r="BD879" i="2"/>
  <c r="BH879" i="2"/>
  <c r="BE879" i="2"/>
  <c r="BD539" i="2"/>
  <c r="BE539" i="2"/>
  <c r="BH539" i="2"/>
  <c r="BG539" i="2"/>
  <c r="BE632" i="2"/>
  <c r="BG632" i="2"/>
  <c r="BH632" i="2"/>
  <c r="BD632" i="2"/>
  <c r="BC249" i="2"/>
  <c r="AN410" i="2"/>
  <c r="AQ410" i="2"/>
  <c r="AO410" i="2"/>
  <c r="AR410" i="2"/>
  <c r="BD824" i="2"/>
  <c r="BH824" i="2"/>
  <c r="BE824" i="2"/>
  <c r="BG824" i="2"/>
  <c r="BG622" i="2"/>
  <c r="BD622" i="2"/>
  <c r="BE622" i="2"/>
  <c r="BH622" i="2"/>
  <c r="AZ733" i="2"/>
  <c r="AW733" i="2"/>
  <c r="AV733" i="2"/>
  <c r="AY733" i="2"/>
  <c r="AY62" i="2"/>
  <c r="AW62" i="2"/>
  <c r="AZ62" i="2"/>
  <c r="AV62" i="2"/>
  <c r="BD564" i="2"/>
  <c r="BH564" i="2"/>
  <c r="BE564" i="2"/>
  <c r="BG564" i="2"/>
  <c r="AV786" i="2"/>
  <c r="AW786" i="2"/>
  <c r="AP755" i="2"/>
  <c r="AV185" i="2"/>
  <c r="AZ185" i="2"/>
  <c r="AW185" i="2"/>
  <c r="AY185" i="2"/>
  <c r="AT181" i="2"/>
  <c r="AX314" i="2"/>
  <c r="BD750" i="2"/>
  <c r="BG750" i="2"/>
  <c r="BH750" i="2"/>
  <c r="BE750" i="2"/>
  <c r="AY1093" i="2"/>
  <c r="AZ1093" i="2"/>
  <c r="AW1093" i="2"/>
  <c r="AV1093" i="2"/>
  <c r="AZ879" i="2"/>
  <c r="AY879" i="2"/>
  <c r="AW879" i="2"/>
  <c r="AV879" i="2"/>
  <c r="AW919" i="2"/>
  <c r="AZ919" i="2"/>
  <c r="AV919" i="2"/>
  <c r="AY919" i="2"/>
  <c r="BE137" i="2"/>
  <c r="BB87" i="2"/>
  <c r="BG137" i="2"/>
  <c r="BH137" i="2"/>
  <c r="BD137" i="2"/>
  <c r="BG1046" i="2"/>
  <c r="BE1046" i="2"/>
  <c r="BH1046" i="2"/>
  <c r="BD1046" i="2"/>
  <c r="AQ532" i="2"/>
  <c r="AR532" i="2"/>
  <c r="AO532" i="2"/>
  <c r="AN532" i="2"/>
  <c r="AR396" i="2"/>
  <c r="AO396" i="2"/>
  <c r="AQ396" i="2"/>
  <c r="AN396" i="2"/>
  <c r="BH678" i="2"/>
  <c r="BG678" i="2"/>
  <c r="BD678" i="2"/>
  <c r="BE678" i="2"/>
  <c r="BD826" i="2"/>
  <c r="BH826" i="2"/>
  <c r="BE826" i="2"/>
  <c r="BG826" i="2"/>
  <c r="AZ943" i="2"/>
  <c r="AV943" i="2"/>
  <c r="AY943" i="2"/>
  <c r="AW943" i="2"/>
  <c r="BD825" i="2"/>
  <c r="BE825" i="2"/>
  <c r="BC1459" i="2"/>
  <c r="AO458" i="2"/>
  <c r="AN458" i="2"/>
  <c r="AQ458" i="2"/>
  <c r="AR458" i="2"/>
  <c r="BG339" i="2"/>
  <c r="BD339" i="2"/>
  <c r="BE339" i="2"/>
  <c r="BH339" i="2"/>
  <c r="BB340" i="2"/>
  <c r="AV912" i="2"/>
  <c r="AY912" i="2"/>
  <c r="AW912" i="2"/>
  <c r="AZ912" i="2"/>
  <c r="AP202" i="2"/>
  <c r="BH1027" i="2"/>
  <c r="BD1027" i="2"/>
  <c r="BE1027" i="2"/>
  <c r="BG1027" i="2"/>
  <c r="AR1065" i="2"/>
  <c r="AN1065" i="2"/>
  <c r="AQ1065" i="2"/>
  <c r="AO1065" i="2"/>
  <c r="AX127" i="2"/>
  <c r="AR569" i="2"/>
  <c r="AQ569" i="2"/>
  <c r="AN569" i="2"/>
  <c r="AO569" i="2"/>
  <c r="AN164" i="2"/>
  <c r="AR164" i="2"/>
  <c r="AQ164" i="2"/>
  <c r="AO164" i="2"/>
  <c r="AO1049" i="2"/>
  <c r="AQ1049" i="2"/>
  <c r="AR1049" i="2"/>
  <c r="AN1049" i="2"/>
  <c r="AO667" i="2"/>
  <c r="AQ667" i="2"/>
  <c r="AN667" i="2"/>
  <c r="AR667" i="2"/>
  <c r="BE480" i="2"/>
  <c r="BH480" i="2"/>
  <c r="BD480" i="2"/>
  <c r="BG480" i="2"/>
  <c r="BH495" i="2"/>
  <c r="BD495" i="2"/>
  <c r="BE495" i="2"/>
  <c r="BG495" i="2"/>
  <c r="AY867" i="2"/>
  <c r="AW867" i="2"/>
  <c r="AV867" i="2"/>
  <c r="AZ867" i="2"/>
  <c r="BG578" i="2"/>
  <c r="BH578" i="2"/>
  <c r="BE578" i="2"/>
  <c r="BD578" i="2"/>
  <c r="BH593" i="2"/>
  <c r="BE593" i="2"/>
  <c r="BG593" i="2"/>
  <c r="BD593" i="2"/>
  <c r="AY149" i="2"/>
  <c r="AV149" i="2"/>
  <c r="AZ149" i="2"/>
  <c r="AW149" i="2"/>
  <c r="BD873" i="2"/>
  <c r="BG873" i="2"/>
  <c r="BE873" i="2"/>
  <c r="BH873" i="2"/>
  <c r="AZ585" i="2"/>
  <c r="AW585" i="2"/>
  <c r="AV585" i="2"/>
  <c r="AY585" i="2"/>
  <c r="AV642" i="2"/>
  <c r="AW642" i="2"/>
  <c r="AZ642" i="2"/>
  <c r="AY642" i="2"/>
  <c r="BG67" i="2"/>
  <c r="BE67" i="2"/>
  <c r="BH67" i="2"/>
  <c r="BD67" i="2"/>
  <c r="AN353" i="2"/>
  <c r="AO353" i="2"/>
  <c r="AN99" i="2"/>
  <c r="AQ99" i="2"/>
  <c r="AO99" i="2"/>
  <c r="AR99" i="2"/>
  <c r="AV790" i="2"/>
  <c r="AY790" i="2"/>
  <c r="AZ790" i="2"/>
  <c r="AW790" i="2"/>
  <c r="BD926" i="2"/>
  <c r="BG926" i="2"/>
  <c r="BE926" i="2"/>
  <c r="BH926" i="2"/>
  <c r="AZ555" i="2"/>
  <c r="AY555" i="2"/>
  <c r="AW555" i="2"/>
  <c r="AV555" i="2"/>
  <c r="AM419" i="2"/>
  <c r="AY647" i="2"/>
  <c r="AW647" i="2"/>
  <c r="AV647" i="2"/>
  <c r="AZ647" i="2"/>
  <c r="BE751" i="2"/>
  <c r="BD751" i="2"/>
  <c r="BG751" i="2"/>
  <c r="BH751" i="2"/>
  <c r="AM380" i="2"/>
  <c r="AU363" i="2"/>
  <c r="AO208" i="2"/>
  <c r="AR208" i="2"/>
  <c r="AN208" i="2"/>
  <c r="AQ208" i="2"/>
  <c r="AQ618" i="2"/>
  <c r="AO618" i="2"/>
  <c r="AN618" i="2"/>
  <c r="AR618" i="2"/>
  <c r="AY110" i="2"/>
  <c r="AV110" i="2"/>
  <c r="AZ110" i="2"/>
  <c r="AW110" i="2"/>
  <c r="BH185" i="2"/>
  <c r="BB181" i="2"/>
  <c r="BE185" i="2"/>
  <c r="BD185" i="2"/>
  <c r="BG185" i="2"/>
  <c r="BF318" i="2"/>
  <c r="AW1049" i="2"/>
  <c r="AZ1049" i="2"/>
  <c r="AY1049" i="2"/>
  <c r="AV1049" i="2"/>
  <c r="AW582" i="2"/>
  <c r="AZ582" i="2"/>
  <c r="AV582" i="2"/>
  <c r="AY582" i="2"/>
  <c r="BD651" i="2"/>
  <c r="BH651" i="2"/>
  <c r="BG651" i="2"/>
  <c r="BE651" i="2"/>
  <c r="AV886" i="2"/>
  <c r="AZ886" i="2"/>
  <c r="AY886" i="2"/>
  <c r="AW886" i="2"/>
  <c r="AQ1032" i="2"/>
  <c r="AO1032" i="2"/>
  <c r="AR1032" i="2"/>
  <c r="AN1032" i="2"/>
  <c r="AR1066" i="2"/>
  <c r="AQ1066" i="2"/>
  <c r="AO1066" i="2"/>
  <c r="AN1066" i="2"/>
  <c r="AZ926" i="2"/>
  <c r="AV926" i="2"/>
  <c r="AW926" i="2"/>
  <c r="AY926" i="2"/>
  <c r="AN1052" i="2"/>
  <c r="AO1052" i="2"/>
  <c r="AR1052" i="2"/>
  <c r="AQ1052" i="2"/>
  <c r="AQ961" i="2"/>
  <c r="AR961" i="2"/>
  <c r="AO961" i="2"/>
  <c r="AN961" i="2"/>
  <c r="AQ989" i="2"/>
  <c r="AR989" i="2"/>
  <c r="AO989" i="2"/>
  <c r="AN989" i="2"/>
  <c r="AQ917" i="2"/>
  <c r="AN917" i="2"/>
  <c r="AO917" i="2"/>
  <c r="AR917" i="2"/>
  <c r="BH440" i="2"/>
  <c r="BD440" i="2"/>
  <c r="BG440" i="2"/>
  <c r="BE440" i="2"/>
  <c r="BE902" i="2"/>
  <c r="BH902" i="2"/>
  <c r="BG902" i="2"/>
  <c r="BD902" i="2"/>
  <c r="AM435" i="2"/>
  <c r="AM196" i="2" s="1"/>
  <c r="AM367" i="2"/>
  <c r="AQ557" i="2"/>
  <c r="AR557" i="2"/>
  <c r="AN557" i="2"/>
  <c r="AO557" i="2"/>
  <c r="AQ844" i="2"/>
  <c r="AN844" i="2"/>
  <c r="AO844" i="2"/>
  <c r="AR844" i="2"/>
  <c r="BG49" i="2"/>
  <c r="BD49" i="2"/>
  <c r="BE49" i="2"/>
  <c r="BH49" i="2"/>
  <c r="AN290" i="2"/>
  <c r="AO290" i="2"/>
  <c r="AQ290" i="2"/>
  <c r="AR290" i="2"/>
  <c r="AU244" i="2"/>
  <c r="AX195" i="2"/>
  <c r="AZ729" i="2"/>
  <c r="AV729" i="2"/>
  <c r="AW729" i="2"/>
  <c r="AY729" i="2"/>
  <c r="AQ1037" i="2"/>
  <c r="AR1037" i="2"/>
  <c r="AN1037" i="2"/>
  <c r="AO1037" i="2"/>
  <c r="AW229" i="2"/>
  <c r="AY229" i="2"/>
  <c r="AV229" i="2"/>
  <c r="AZ229" i="2"/>
  <c r="BE297" i="2"/>
  <c r="BD297" i="2"/>
  <c r="BG297" i="2"/>
  <c r="BH297" i="2"/>
  <c r="AY522" i="2"/>
  <c r="AW522" i="2"/>
  <c r="AZ522" i="2"/>
  <c r="AV522" i="2"/>
  <c r="AR621" i="2"/>
  <c r="AN621" i="2"/>
  <c r="AO621" i="2"/>
  <c r="AQ621" i="2"/>
  <c r="AQ603" i="2"/>
  <c r="AN603" i="2"/>
  <c r="AO603" i="2"/>
  <c r="AR603" i="2"/>
  <c r="AV883" i="2"/>
  <c r="AY883" i="2"/>
  <c r="AW883" i="2"/>
  <c r="AZ883" i="2"/>
  <c r="AW702" i="2"/>
  <c r="AV702" i="2"/>
  <c r="AY702" i="2"/>
  <c r="AZ702" i="2"/>
  <c r="AR530" i="2"/>
  <c r="AO530" i="2"/>
  <c r="AN530" i="2"/>
  <c r="AQ530" i="2"/>
  <c r="AP243" i="2"/>
  <c r="AN946" i="2"/>
  <c r="AO946" i="2"/>
  <c r="AQ946" i="2"/>
  <c r="AR946" i="2"/>
  <c r="BE454" i="2"/>
  <c r="BH454" i="2"/>
  <c r="BD454" i="2"/>
  <c r="BG454" i="2"/>
  <c r="AW892" i="2"/>
  <c r="AZ892" i="2"/>
  <c r="AV892" i="2"/>
  <c r="AY892" i="2"/>
  <c r="BG68" i="2"/>
  <c r="BD68" i="2"/>
  <c r="BH68" i="2"/>
  <c r="BE68" i="2"/>
  <c r="AV213" i="2"/>
  <c r="AY213" i="2"/>
  <c r="AZ213" i="2"/>
  <c r="AW213" i="2"/>
  <c r="BG59" i="2"/>
  <c r="BH59" i="2"/>
  <c r="BD59" i="2"/>
  <c r="BE59" i="2"/>
  <c r="AY573" i="2"/>
  <c r="AZ573" i="2"/>
  <c r="AW573" i="2"/>
  <c r="AV573" i="2"/>
  <c r="BH33" i="2"/>
  <c r="BG33" i="2"/>
  <c r="BE33" i="2"/>
  <c r="BD33" i="2"/>
  <c r="BG301" i="2"/>
  <c r="BD301" i="2"/>
  <c r="BE301" i="2"/>
  <c r="BH301" i="2"/>
  <c r="AQ972" i="2"/>
  <c r="AN972" i="2"/>
  <c r="AO972" i="2"/>
  <c r="AR972" i="2"/>
  <c r="AY872" i="2"/>
  <c r="AV872" i="2"/>
  <c r="AW872" i="2"/>
  <c r="AZ872" i="2"/>
  <c r="BH1051" i="2"/>
  <c r="BD1051" i="2"/>
  <c r="BE1051" i="2"/>
  <c r="BG1051" i="2"/>
  <c r="AX249" i="2"/>
  <c r="BG269" i="2"/>
  <c r="BD269" i="2"/>
  <c r="BH269" i="2"/>
  <c r="BE269" i="2"/>
  <c r="AZ887" i="2"/>
  <c r="AW887" i="2"/>
  <c r="AY887" i="2"/>
  <c r="AV887" i="2"/>
  <c r="AN957" i="2"/>
  <c r="AQ957" i="2"/>
  <c r="AO957" i="2"/>
  <c r="AR957" i="2"/>
  <c r="BH892" i="2"/>
  <c r="BD892" i="2"/>
  <c r="BE892" i="2"/>
  <c r="BG892" i="2"/>
  <c r="AO91" i="2"/>
  <c r="AN91" i="2"/>
  <c r="AQ91" i="2"/>
  <c r="AR91" i="2"/>
  <c r="AN722" i="2"/>
  <c r="AO722" i="2"/>
  <c r="AR722" i="2"/>
  <c r="AQ722" i="2"/>
  <c r="AN648" i="2"/>
  <c r="AQ648" i="2"/>
  <c r="AO648" i="2"/>
  <c r="AR648" i="2"/>
  <c r="AO115" i="2"/>
  <c r="AR115" i="2"/>
  <c r="AN115" i="2"/>
  <c r="AQ115" i="2"/>
  <c r="AW286" i="2"/>
  <c r="AY286" i="2"/>
  <c r="AZ286" i="2"/>
  <c r="AV286" i="2"/>
  <c r="AP88" i="2"/>
  <c r="AQ839" i="2"/>
  <c r="AR839" i="2"/>
  <c r="AO839" i="2"/>
  <c r="AN839" i="2"/>
  <c r="AP1465" i="2"/>
  <c r="AW740" i="2"/>
  <c r="AV740" i="2"/>
  <c r="AY740" i="2"/>
  <c r="AZ740" i="2"/>
  <c r="AQ700" i="2"/>
  <c r="AN700" i="2"/>
  <c r="AO700" i="2"/>
  <c r="AR700" i="2"/>
  <c r="BD310" i="2"/>
  <c r="BG310" i="2"/>
  <c r="BE310" i="2"/>
  <c r="BH310" i="2"/>
  <c r="BB311" i="2"/>
  <c r="BF243" i="2"/>
  <c r="AW471" i="2"/>
  <c r="AY471" i="2"/>
  <c r="AV471" i="2"/>
  <c r="AZ471" i="2"/>
  <c r="BD270" i="2"/>
  <c r="BE270" i="2"/>
  <c r="BH270" i="2"/>
  <c r="BG270" i="2"/>
  <c r="AN537" i="2"/>
  <c r="AQ537" i="2"/>
  <c r="AO537" i="2"/>
  <c r="AR537" i="2"/>
  <c r="AL536" i="2"/>
  <c r="AQ746" i="2"/>
  <c r="AN746" i="2"/>
  <c r="AR746" i="2"/>
  <c r="AO746" i="2"/>
  <c r="AZ293" i="2"/>
  <c r="AV293" i="2"/>
  <c r="AY293" i="2"/>
  <c r="AW293" i="2"/>
  <c r="AW605" i="2"/>
  <c r="AV605" i="2"/>
  <c r="AY605" i="2"/>
  <c r="AZ605" i="2"/>
  <c r="BG1020" i="2"/>
  <c r="BE1020" i="2"/>
  <c r="BD1020" i="2"/>
  <c r="BH1020" i="2"/>
  <c r="BC136" i="2"/>
  <c r="AW797" i="2"/>
  <c r="AZ797" i="2"/>
  <c r="AY797" i="2"/>
  <c r="AV797" i="2"/>
  <c r="AX375" i="2"/>
  <c r="BG834" i="2"/>
  <c r="BD834" i="2"/>
  <c r="BE834" i="2"/>
  <c r="BB1465" i="2"/>
  <c r="BH834" i="2"/>
  <c r="AN227" i="2"/>
  <c r="AQ227" i="2"/>
  <c r="AO227" i="2"/>
  <c r="AR227" i="2"/>
  <c r="BG162" i="2"/>
  <c r="BD162" i="2"/>
  <c r="BE162" i="2"/>
  <c r="BH162" i="2"/>
  <c r="AO935" i="2"/>
  <c r="AN935" i="2"/>
  <c r="AR935" i="2"/>
  <c r="AQ935" i="2"/>
  <c r="AO610" i="2"/>
  <c r="AQ610" i="2"/>
  <c r="AN610" i="2"/>
  <c r="AR610" i="2"/>
  <c r="AW1098" i="2"/>
  <c r="AZ1098" i="2"/>
  <c r="AV1098" i="2"/>
  <c r="AY1098" i="2"/>
  <c r="AY578" i="2"/>
  <c r="AV578" i="2"/>
  <c r="AW578" i="2"/>
  <c r="AZ578" i="2"/>
  <c r="AR568" i="2"/>
  <c r="AQ568" i="2"/>
  <c r="AO568" i="2"/>
  <c r="AN568" i="2"/>
  <c r="AR521" i="2"/>
  <c r="AO521" i="2"/>
  <c r="AN521" i="2"/>
  <c r="AQ521" i="2"/>
  <c r="AN612" i="2"/>
  <c r="AO612" i="2"/>
  <c r="AR612" i="2"/>
  <c r="AQ612" i="2"/>
  <c r="AW897" i="2"/>
  <c r="AZ897" i="2"/>
  <c r="AY897" i="2"/>
  <c r="AV897" i="2"/>
  <c r="AY831" i="2"/>
  <c r="AV831" i="2"/>
  <c r="AZ831" i="2"/>
  <c r="AW831" i="2"/>
  <c r="AQ167" i="2"/>
  <c r="AR167" i="2"/>
  <c r="AO167" i="2"/>
  <c r="AN167" i="2"/>
  <c r="AR258" i="2"/>
  <c r="AN258" i="2"/>
  <c r="AO258" i="2"/>
  <c r="AL244" i="2"/>
  <c r="AQ258" i="2"/>
  <c r="BF181" i="2"/>
  <c r="BD485" i="2"/>
  <c r="BH485" i="2"/>
  <c r="BE485" i="2"/>
  <c r="BG485" i="2"/>
  <c r="AR274" i="2"/>
  <c r="AQ274" i="2"/>
  <c r="AO274" i="2"/>
  <c r="AN274" i="2"/>
  <c r="AY156" i="2"/>
  <c r="AV156" i="2"/>
  <c r="AZ156" i="2"/>
  <c r="AW156" i="2"/>
  <c r="AY366" i="2"/>
  <c r="AV366" i="2"/>
  <c r="AZ366" i="2"/>
  <c r="AW366" i="2"/>
  <c r="BD686" i="2"/>
  <c r="BH686" i="2"/>
  <c r="BE686" i="2"/>
  <c r="BG686" i="2"/>
  <c r="BE107" i="2"/>
  <c r="BG107" i="2"/>
  <c r="BD107" i="2"/>
  <c r="BH107" i="2"/>
  <c r="BD747" i="2"/>
  <c r="BE747" i="2"/>
  <c r="BH747" i="2"/>
  <c r="BG747" i="2"/>
  <c r="AY1088" i="2"/>
  <c r="AW1088" i="2"/>
  <c r="AV1088" i="2"/>
  <c r="AZ1088" i="2"/>
  <c r="AN804" i="2"/>
  <c r="AO804" i="2"/>
  <c r="AQ804" i="2"/>
  <c r="AR804" i="2"/>
  <c r="AO963" i="2"/>
  <c r="AQ963" i="2"/>
  <c r="AR963" i="2"/>
  <c r="AN963" i="2"/>
  <c r="AO113" i="2"/>
  <c r="AQ113" i="2"/>
  <c r="AN113" i="2"/>
  <c r="AR113" i="2"/>
  <c r="BD519" i="2"/>
  <c r="BG519" i="2"/>
  <c r="BE519" i="2"/>
  <c r="BH519" i="2"/>
  <c r="BG464" i="2"/>
  <c r="BD464" i="2"/>
  <c r="BH464" i="2"/>
  <c r="BE464" i="2"/>
  <c r="AN1085" i="2"/>
  <c r="AO1085" i="2"/>
  <c r="AR1085" i="2"/>
  <c r="AQ1085" i="2"/>
  <c r="AY1027" i="2"/>
  <c r="AZ1027" i="2"/>
  <c r="AV1027" i="2"/>
  <c r="AW1027" i="2"/>
  <c r="AZ452" i="2"/>
  <c r="AY452" i="2"/>
  <c r="AW452" i="2"/>
  <c r="AV452" i="2"/>
  <c r="AN1078" i="2"/>
  <c r="AO1078" i="2"/>
  <c r="AR1078" i="2"/>
  <c r="AQ1078" i="2"/>
  <c r="AQ525" i="2"/>
  <c r="AR525" i="2"/>
  <c r="AO525" i="2"/>
  <c r="AN525" i="2"/>
  <c r="AZ259" i="2"/>
  <c r="AT245" i="2"/>
  <c r="AW259" i="2"/>
  <c r="AV259" i="2"/>
  <c r="AY259" i="2"/>
  <c r="BC318" i="2"/>
  <c r="BG666" i="2"/>
  <c r="BE666" i="2"/>
  <c r="BD666" i="2"/>
  <c r="BH666" i="2"/>
  <c r="AY211" i="2"/>
  <c r="AV211" i="2"/>
  <c r="AZ211" i="2"/>
  <c r="AW211" i="2"/>
  <c r="AQ756" i="2"/>
  <c r="AN756" i="2"/>
  <c r="AR756" i="2"/>
  <c r="AO756" i="2"/>
  <c r="AZ415" i="2"/>
  <c r="AV415" i="2"/>
  <c r="AY415" i="2"/>
  <c r="AW415" i="2"/>
  <c r="AW224" i="2"/>
  <c r="AZ224" i="2"/>
  <c r="AY224" i="2"/>
  <c r="AV224" i="2"/>
  <c r="AN527" i="2"/>
  <c r="AR527" i="2"/>
  <c r="AO527" i="2"/>
  <c r="AQ527" i="2"/>
  <c r="AR22" i="2"/>
  <c r="AO22" i="2"/>
  <c r="AL1459" i="2"/>
  <c r="AQ22" i="2"/>
  <c r="AN22" i="2"/>
  <c r="AM431" i="2"/>
  <c r="AM90" i="2" s="1"/>
  <c r="BD689" i="2"/>
  <c r="BG689" i="2"/>
  <c r="BH689" i="2"/>
  <c r="BE689" i="2"/>
  <c r="BE837" i="2"/>
  <c r="BD837" i="2"/>
  <c r="BG837" i="2"/>
  <c r="BH837" i="2"/>
  <c r="AR211" i="2"/>
  <c r="AN211" i="2"/>
  <c r="AQ211" i="2"/>
  <c r="AO211" i="2"/>
  <c r="AN1038" i="2"/>
  <c r="AQ1038" i="2"/>
  <c r="AO1038" i="2"/>
  <c r="AR1038" i="2"/>
  <c r="AR356" i="2"/>
  <c r="AN356" i="2"/>
  <c r="AQ356" i="2"/>
  <c r="AO356" i="2"/>
  <c r="AW91" i="2"/>
  <c r="AV91" i="2"/>
  <c r="AZ91" i="2"/>
  <c r="AY91" i="2"/>
  <c r="AO478" i="2"/>
  <c r="AR478" i="2"/>
  <c r="AN478" i="2"/>
  <c r="AQ478" i="2"/>
  <c r="BG510" i="2"/>
  <c r="BE510" i="2"/>
  <c r="BD510" i="2"/>
  <c r="BH510" i="2"/>
  <c r="AZ469" i="2"/>
  <c r="AY469" i="2"/>
  <c r="AV469" i="2"/>
  <c r="AW469" i="2"/>
  <c r="BH547" i="2"/>
  <c r="BG547" i="2"/>
  <c r="BD547" i="2"/>
  <c r="BE547" i="2"/>
  <c r="AO776" i="2"/>
  <c r="AN776" i="2"/>
  <c r="AR776" i="2"/>
  <c r="AQ776" i="2"/>
  <c r="AN927" i="2"/>
  <c r="AO927" i="2"/>
  <c r="AQ927" i="2"/>
  <c r="AR927" i="2"/>
  <c r="AR572" i="2"/>
  <c r="AN572" i="2"/>
  <c r="AQ572" i="2"/>
  <c r="AO572" i="2"/>
  <c r="AR489" i="2"/>
  <c r="AN489" i="2"/>
  <c r="AQ489" i="2"/>
  <c r="AO489" i="2"/>
  <c r="AO463" i="2"/>
  <c r="AR463" i="2"/>
  <c r="AN463" i="2"/>
  <c r="AQ463" i="2"/>
  <c r="BG976" i="2"/>
  <c r="BH976" i="2"/>
  <c r="BD976" i="2"/>
  <c r="BE976" i="2"/>
  <c r="AO796" i="2"/>
  <c r="AN796" i="2"/>
  <c r="AQ796" i="2"/>
  <c r="AR796" i="2"/>
  <c r="AV73" i="2"/>
  <c r="AY73" i="2"/>
  <c r="AZ73" i="2"/>
  <c r="AW73" i="2"/>
  <c r="AQ160" i="2"/>
  <c r="AN160" i="2"/>
  <c r="AR160" i="2"/>
  <c r="AO160" i="2"/>
  <c r="AX191" i="2"/>
  <c r="AO365" i="2"/>
  <c r="AN365" i="2"/>
  <c r="AR365" i="2"/>
  <c r="AQ365" i="2"/>
  <c r="AU319" i="2"/>
  <c r="BG255" i="2"/>
  <c r="BD255" i="2"/>
  <c r="BE255" i="2"/>
  <c r="BB241" i="2"/>
  <c r="BH255" i="2"/>
  <c r="AZ34" i="2"/>
  <c r="AW34" i="2"/>
  <c r="AV34" i="2"/>
  <c r="AY34" i="2"/>
  <c r="AQ135" i="2"/>
  <c r="AR135" i="2"/>
  <c r="AN135" i="2"/>
  <c r="AO135" i="2"/>
  <c r="AL136" i="2"/>
  <c r="AN820" i="2"/>
  <c r="AR820" i="2"/>
  <c r="AO820" i="2"/>
  <c r="AQ820" i="2"/>
  <c r="AW829" i="2"/>
  <c r="AZ829" i="2"/>
  <c r="AY829" i="2"/>
  <c r="AV829" i="2"/>
  <c r="AR459" i="2"/>
  <c r="AO459" i="2"/>
  <c r="AQ459" i="2"/>
  <c r="AN459" i="2"/>
  <c r="AZ651" i="2"/>
  <c r="AW651" i="2"/>
  <c r="AY651" i="2"/>
  <c r="AV651" i="2"/>
  <c r="BE1086" i="2"/>
  <c r="BG1086" i="2"/>
  <c r="BD1086" i="2"/>
  <c r="BH1086" i="2"/>
  <c r="AV67" i="2"/>
  <c r="AZ67" i="2"/>
  <c r="AW67" i="2"/>
  <c r="AY67" i="2"/>
  <c r="BD492" i="2"/>
  <c r="BG492" i="2"/>
  <c r="BE492" i="2"/>
  <c r="BH492" i="2"/>
  <c r="AQ498" i="2"/>
  <c r="AO498" i="2"/>
  <c r="AR498" i="2"/>
  <c r="AN498" i="2"/>
  <c r="AZ1018" i="2"/>
  <c r="AW1018" i="2"/>
  <c r="AY1018" i="2"/>
  <c r="AV1018" i="2"/>
  <c r="BD790" i="2"/>
  <c r="BH790" i="2"/>
  <c r="BG790" i="2"/>
  <c r="BE790" i="2"/>
  <c r="AN1093" i="2"/>
  <c r="AR1093" i="2"/>
  <c r="AO1093" i="2"/>
  <c r="AQ1093" i="2"/>
  <c r="AZ861" i="2"/>
  <c r="AW861" i="2"/>
  <c r="AY861" i="2"/>
  <c r="AV861" i="2"/>
  <c r="AU87" i="2"/>
  <c r="AN912" i="2"/>
  <c r="AR912" i="2"/>
  <c r="AQ912" i="2"/>
  <c r="AO912" i="2"/>
  <c r="AU412" i="2"/>
  <c r="AX84" i="2"/>
  <c r="AW327" i="2"/>
  <c r="AZ327" i="2"/>
  <c r="AY327" i="2"/>
  <c r="AT318" i="2"/>
  <c r="AV327" i="2"/>
  <c r="BD895" i="2"/>
  <c r="BH895" i="2"/>
  <c r="BE895" i="2"/>
  <c r="BG895" i="2"/>
  <c r="AY432" i="2"/>
  <c r="AW432" i="2"/>
  <c r="AV432" i="2"/>
  <c r="AZ432" i="2"/>
  <c r="BH574" i="2"/>
  <c r="BD574" i="2"/>
  <c r="BE574" i="2"/>
  <c r="BG574" i="2"/>
  <c r="BH422" i="2"/>
  <c r="BG422" i="2"/>
  <c r="BE422" i="2"/>
  <c r="BD422" i="2"/>
  <c r="BG893" i="2"/>
  <c r="BE893" i="2"/>
  <c r="BD893" i="2"/>
  <c r="BH893" i="2"/>
  <c r="AY866" i="2"/>
  <c r="AZ866" i="2"/>
  <c r="AV866" i="2"/>
  <c r="AW866" i="2"/>
  <c r="AZ751" i="2"/>
  <c r="AW751" i="2"/>
  <c r="AY751" i="2"/>
  <c r="AV751" i="2"/>
  <c r="BG765" i="2"/>
  <c r="BD765" i="2"/>
  <c r="BE765" i="2"/>
  <c r="BH765" i="2"/>
  <c r="AN1098" i="2"/>
  <c r="AR1098" i="2"/>
  <c r="AO1098" i="2"/>
  <c r="AQ1098" i="2"/>
  <c r="AN66" i="2"/>
  <c r="AR66" i="2"/>
  <c r="AO66" i="2"/>
  <c r="AQ66" i="2"/>
  <c r="AW365" i="2"/>
  <c r="AY365" i="2"/>
  <c r="AV365" i="2"/>
  <c r="AZ365" i="2"/>
  <c r="AQ200" i="2"/>
  <c r="AR200" i="2"/>
  <c r="AN200" i="2"/>
  <c r="AO200" i="2"/>
  <c r="BE532" i="2"/>
  <c r="BH532" i="2"/>
  <c r="BD532" i="2"/>
  <c r="BG532" i="2"/>
  <c r="BG955" i="2"/>
  <c r="BD955" i="2"/>
  <c r="BH955" i="2"/>
  <c r="BE955" i="2"/>
  <c r="BH264" i="2"/>
  <c r="BD264" i="2"/>
  <c r="BG264" i="2"/>
  <c r="BB250" i="2"/>
  <c r="BE264" i="2"/>
  <c r="AZ486" i="2"/>
  <c r="AV486" i="2"/>
  <c r="AW486" i="2"/>
  <c r="AY486" i="2"/>
  <c r="AX242" i="2"/>
  <c r="AV594" i="2"/>
  <c r="AZ594" i="2"/>
  <c r="AY594" i="2"/>
  <c r="AW594" i="2"/>
  <c r="AY461" i="2"/>
  <c r="AZ461" i="2"/>
  <c r="AV461" i="2"/>
  <c r="AW461" i="2"/>
  <c r="BD683" i="2"/>
  <c r="BH683" i="2"/>
  <c r="BE683" i="2"/>
  <c r="BG683" i="2"/>
  <c r="AR364" i="2"/>
  <c r="AO364" i="2"/>
  <c r="AN364" i="2"/>
  <c r="AL363" i="2"/>
  <c r="AQ364" i="2"/>
  <c r="BH560" i="2"/>
  <c r="BG560" i="2"/>
  <c r="BD560" i="2"/>
  <c r="BE560" i="2"/>
  <c r="BD731" i="2"/>
  <c r="BE731" i="2"/>
  <c r="BH731" i="2"/>
  <c r="BG731" i="2"/>
  <c r="AN456" i="2"/>
  <c r="AQ456" i="2"/>
  <c r="AO456" i="2"/>
  <c r="AR456" i="2"/>
  <c r="AO582" i="2"/>
  <c r="AQ582" i="2"/>
  <c r="AR582" i="2"/>
  <c r="AN582" i="2"/>
  <c r="AZ557" i="2"/>
  <c r="AY557" i="2"/>
  <c r="AV557" i="2"/>
  <c r="AW557" i="2"/>
  <c r="BG581" i="2"/>
  <c r="BE581" i="2"/>
  <c r="BH581" i="2"/>
  <c r="BD581" i="2"/>
  <c r="BC245" i="2"/>
  <c r="AU124" i="2"/>
  <c r="AU81" i="2"/>
  <c r="AV108" i="2"/>
  <c r="AW108" i="2"/>
  <c r="AZ108" i="2"/>
  <c r="AY108" i="2"/>
  <c r="AV176" i="2"/>
  <c r="AW176" i="2"/>
  <c r="AT177" i="2"/>
  <c r="AZ176" i="2"/>
  <c r="AY176" i="2"/>
  <c r="AO416" i="2"/>
  <c r="AQ416" i="2"/>
  <c r="AR416" i="2"/>
  <c r="AN416" i="2"/>
  <c r="BD446" i="2"/>
  <c r="BG446" i="2"/>
  <c r="BE446" i="2"/>
  <c r="BH446" i="2"/>
  <c r="BB447" i="2"/>
  <c r="AM374" i="2"/>
  <c r="AM358" i="2"/>
  <c r="AM373" i="2" s="1"/>
  <c r="AO452" i="2"/>
  <c r="AQ452" i="2"/>
  <c r="AN452" i="2"/>
  <c r="AR452" i="2"/>
  <c r="AQ774" i="2"/>
  <c r="AR774" i="2"/>
  <c r="AO774" i="2"/>
  <c r="AN774" i="2"/>
  <c r="BD848" i="2"/>
  <c r="BE848" i="2"/>
  <c r="BG848" i="2"/>
  <c r="BH848" i="2"/>
  <c r="AU125" i="2"/>
  <c r="AQ733" i="2"/>
  <c r="AN733" i="2"/>
  <c r="AO733" i="2"/>
  <c r="AR733" i="2"/>
  <c r="AR1097" i="2"/>
  <c r="AN1097" i="2"/>
  <c r="AQ1097" i="2"/>
  <c r="AO1097" i="2"/>
  <c r="AZ361" i="2"/>
  <c r="AV361" i="2"/>
  <c r="AW361" i="2"/>
  <c r="AY361" i="2"/>
  <c r="AO815" i="2"/>
  <c r="AR815" i="2"/>
  <c r="AN815" i="2"/>
  <c r="AQ815" i="2"/>
  <c r="BE820" i="2"/>
  <c r="BH820" i="2"/>
  <c r="BG820" i="2"/>
  <c r="BD820" i="2"/>
  <c r="AZ815" i="2"/>
  <c r="AY815" i="2"/>
  <c r="AW815" i="2"/>
  <c r="AV815" i="2"/>
  <c r="AM313" i="2"/>
  <c r="AO338" i="2"/>
  <c r="AN338" i="2"/>
  <c r="AR338" i="2"/>
  <c r="AQ338" i="2"/>
  <c r="AU406" i="2"/>
  <c r="BG533" i="2"/>
  <c r="BD533" i="2"/>
  <c r="BH533" i="2"/>
  <c r="BE533" i="2"/>
  <c r="AX126" i="2"/>
  <c r="AN1087" i="2"/>
  <c r="AR1087" i="2"/>
  <c r="AO1087" i="2"/>
  <c r="AQ1087" i="2"/>
  <c r="AV537" i="2"/>
  <c r="AW537" i="2"/>
  <c r="AY537" i="2"/>
  <c r="AT536" i="2"/>
  <c r="AZ537" i="2"/>
  <c r="AR931" i="2"/>
  <c r="AO931" i="2"/>
  <c r="AN931" i="2"/>
  <c r="AQ931" i="2"/>
  <c r="AV915" i="2"/>
  <c r="AW915" i="2"/>
  <c r="AZ915" i="2"/>
  <c r="AY915" i="2"/>
  <c r="AO499" i="2"/>
  <c r="AQ499" i="2"/>
  <c r="AN499" i="2"/>
  <c r="AR499" i="2"/>
  <c r="BE286" i="2"/>
  <c r="BH286" i="2"/>
  <c r="BG286" i="2"/>
  <c r="BD286" i="2"/>
  <c r="BD382" i="2"/>
  <c r="BH382" i="2"/>
  <c r="BB381" i="2"/>
  <c r="BB374" i="2"/>
  <c r="BE382" i="2"/>
  <c r="BG382" i="2"/>
  <c r="AN866" i="2"/>
  <c r="AR866" i="2"/>
  <c r="AQ866" i="2"/>
  <c r="AO866" i="2"/>
  <c r="AY14" i="2"/>
  <c r="AW14" i="2"/>
  <c r="AT1455" i="2"/>
  <c r="AV14" i="2"/>
  <c r="AZ14" i="2"/>
  <c r="BG654" i="2"/>
  <c r="BD654" i="2"/>
  <c r="BE654" i="2"/>
  <c r="BH654" i="2"/>
  <c r="AT140" i="2"/>
  <c r="AV139" i="2"/>
  <c r="AY139" i="2"/>
  <c r="AW139" i="2"/>
  <c r="AZ139" i="2"/>
  <c r="AQ923" i="2"/>
  <c r="AR923" i="2"/>
  <c r="AN923" i="2"/>
  <c r="AO923" i="2"/>
  <c r="AO1035" i="2"/>
  <c r="AQ1035" i="2"/>
  <c r="AN1035" i="2"/>
  <c r="AR1035" i="2"/>
  <c r="BG394" i="2"/>
  <c r="BE394" i="2"/>
  <c r="BH394" i="2"/>
  <c r="BD394" i="2"/>
  <c r="BG507" i="2"/>
  <c r="BD507" i="2"/>
  <c r="BH507" i="2"/>
  <c r="BE507" i="2"/>
  <c r="AW1024" i="2"/>
  <c r="AV1024" i="2"/>
  <c r="AZ1024" i="2"/>
  <c r="AY1024" i="2"/>
  <c r="AW520" i="2"/>
  <c r="AZ520" i="2"/>
  <c r="AY520" i="2"/>
  <c r="AV520" i="2"/>
  <c r="AN755" i="2"/>
  <c r="AO755" i="2"/>
  <c r="AR755" i="2"/>
  <c r="AU277" i="2"/>
  <c r="AQ112" i="2"/>
  <c r="AR112" i="2"/>
  <c r="AO112" i="2"/>
  <c r="AN112" i="2"/>
  <c r="AW719" i="2"/>
  <c r="AV719" i="2"/>
  <c r="AZ719" i="2"/>
  <c r="AY719" i="2"/>
  <c r="BG603" i="2"/>
  <c r="BE603" i="2"/>
  <c r="BD603" i="2"/>
  <c r="BH603" i="2"/>
  <c r="BE194" i="2"/>
  <c r="BH194" i="2"/>
  <c r="BB195" i="2"/>
  <c r="BD194" i="2"/>
  <c r="BG194" i="2"/>
  <c r="BF1467" i="2"/>
  <c r="BH506" i="2"/>
  <c r="BD506" i="2"/>
  <c r="BG506" i="2"/>
  <c r="BE506" i="2"/>
  <c r="AP96" i="2"/>
  <c r="AP435" i="2"/>
  <c r="AP196" i="2" s="1"/>
  <c r="AN71" i="2"/>
  <c r="AQ71" i="2"/>
  <c r="AR71" i="2"/>
  <c r="AO71" i="2"/>
  <c r="AZ695" i="2"/>
  <c r="AV695" i="2"/>
  <c r="AW695" i="2"/>
  <c r="AY695" i="2"/>
  <c r="AO268" i="2"/>
  <c r="AQ268" i="2"/>
  <c r="AR268" i="2"/>
  <c r="AN268" i="2"/>
  <c r="AZ849" i="2"/>
  <c r="AV849" i="2"/>
  <c r="AW849" i="2"/>
  <c r="AY849" i="2"/>
  <c r="AO1027" i="2"/>
  <c r="AR1027" i="2"/>
  <c r="AN1027" i="2"/>
  <c r="AQ1027" i="2"/>
  <c r="AY810" i="2"/>
  <c r="AZ810" i="2"/>
  <c r="AV810" i="2"/>
  <c r="AW810" i="2"/>
  <c r="AR62" i="2"/>
  <c r="AO62" i="2"/>
  <c r="AN62" i="2"/>
  <c r="AQ62" i="2"/>
  <c r="AX374" i="2"/>
  <c r="AX358" i="2"/>
  <c r="AX373" i="2" s="1"/>
  <c r="AM253" i="2"/>
  <c r="AQ757" i="2"/>
  <c r="AO757" i="2"/>
  <c r="AR757" i="2"/>
  <c r="AN757" i="2"/>
  <c r="AX245" i="2"/>
  <c r="AY189" i="2"/>
  <c r="AZ189" i="2"/>
  <c r="AV189" i="2"/>
  <c r="AW189" i="2"/>
  <c r="BE544" i="2"/>
  <c r="BG544" i="2"/>
  <c r="BH544" i="2"/>
  <c r="BB543" i="2"/>
  <c r="BD544" i="2"/>
  <c r="AV360" i="2"/>
  <c r="AZ360" i="2"/>
  <c r="AW360" i="2"/>
  <c r="AY360" i="2"/>
  <c r="AM96" i="2"/>
  <c r="AZ121" i="2"/>
  <c r="AV121" i="2"/>
  <c r="AW121" i="2"/>
  <c r="AY121" i="2"/>
  <c r="AY47" i="2"/>
  <c r="AZ47" i="2"/>
  <c r="AV47" i="2"/>
  <c r="AW47" i="2"/>
  <c r="BF248" i="2"/>
  <c r="AV960" i="2"/>
  <c r="AW960" i="2"/>
  <c r="AY960" i="2"/>
  <c r="AZ960" i="2"/>
  <c r="BG305" i="2"/>
  <c r="BE305" i="2"/>
  <c r="BD305" i="2"/>
  <c r="BH305" i="2"/>
  <c r="BG862" i="2"/>
  <c r="BE862" i="2"/>
  <c r="BH862" i="2"/>
  <c r="BD862" i="2"/>
  <c r="AY830" i="2"/>
  <c r="AW830" i="2"/>
  <c r="AV830" i="2"/>
  <c r="AZ830" i="2"/>
  <c r="BF25" i="2"/>
  <c r="AN638" i="2"/>
  <c r="AO638" i="2"/>
  <c r="AQ638" i="2"/>
  <c r="AR638" i="2"/>
  <c r="BG988" i="2"/>
  <c r="BH988" i="2"/>
  <c r="BD988" i="2"/>
  <c r="BE988" i="2"/>
  <c r="AR390" i="2"/>
  <c r="AN390" i="2"/>
  <c r="AO390" i="2"/>
  <c r="AL380" i="2"/>
  <c r="AQ390" i="2"/>
  <c r="BD71" i="2"/>
  <c r="BE71" i="2"/>
  <c r="BG71" i="2"/>
  <c r="BH71" i="2"/>
  <c r="AY299" i="2"/>
  <c r="AZ299" i="2"/>
  <c r="AV299" i="2"/>
  <c r="AW299" i="2"/>
  <c r="AM320" i="2"/>
  <c r="AY455" i="2"/>
  <c r="AZ455" i="2"/>
  <c r="AV455" i="2"/>
  <c r="AW455" i="2"/>
  <c r="BH855" i="2"/>
  <c r="BD855" i="2"/>
  <c r="BG855" i="2"/>
  <c r="BE855" i="2"/>
  <c r="AQ437" i="2"/>
  <c r="AO437" i="2"/>
  <c r="AR437" i="2"/>
  <c r="AN437" i="2"/>
  <c r="AV749" i="2"/>
  <c r="AZ749" i="2"/>
  <c r="AW749" i="2"/>
  <c r="AY749" i="2"/>
  <c r="AZ494" i="2"/>
  <c r="AY494" i="2"/>
  <c r="AW494" i="2"/>
  <c r="AV494" i="2"/>
  <c r="BH778" i="2"/>
  <c r="BG778" i="2"/>
  <c r="BD778" i="2"/>
  <c r="BE778" i="2"/>
  <c r="BC25" i="2"/>
  <c r="AQ468" i="2"/>
  <c r="AO468" i="2"/>
  <c r="AN468" i="2"/>
  <c r="AR468" i="2"/>
  <c r="AW331" i="2"/>
  <c r="AZ331" i="2"/>
  <c r="AV331" i="2"/>
  <c r="AY331" i="2"/>
  <c r="AQ682" i="2"/>
  <c r="AR682" i="2"/>
  <c r="AO682" i="2"/>
  <c r="AN682" i="2"/>
  <c r="AR41" i="2"/>
  <c r="AO41" i="2"/>
  <c r="AN41" i="2"/>
  <c r="AQ41" i="2"/>
  <c r="AP313" i="2"/>
  <c r="AN287" i="2"/>
  <c r="AQ287" i="2"/>
  <c r="AR287" i="2"/>
  <c r="AO287" i="2"/>
  <c r="BD198" i="2"/>
  <c r="BE198" i="2"/>
  <c r="BG198" i="2"/>
  <c r="BH198" i="2"/>
  <c r="BD164" i="2"/>
  <c r="BE164" i="2"/>
  <c r="BG164" i="2"/>
  <c r="BH164" i="2"/>
  <c r="BG944" i="2"/>
  <c r="BE944" i="2"/>
  <c r="BD944" i="2"/>
  <c r="BH944" i="2"/>
  <c r="BF1466" i="2"/>
  <c r="AQ827" i="2"/>
  <c r="AR827" i="2"/>
  <c r="AN827" i="2"/>
  <c r="AO827" i="2"/>
  <c r="BC406" i="2"/>
  <c r="AY529" i="2"/>
  <c r="AZ529" i="2"/>
  <c r="AV529" i="2"/>
  <c r="AW529" i="2"/>
  <c r="BH218" i="2"/>
  <c r="BE218" i="2"/>
  <c r="BD218" i="2"/>
  <c r="BG218" i="2"/>
  <c r="AR128" i="2"/>
  <c r="AL125" i="2"/>
  <c r="AN128" i="2"/>
  <c r="AQ128" i="2"/>
  <c r="AO128" i="2"/>
  <c r="AY812" i="2"/>
  <c r="AZ812" i="2"/>
  <c r="AW812" i="2"/>
  <c r="AV812" i="2"/>
  <c r="AO695" i="2"/>
  <c r="AR695" i="2"/>
  <c r="AQ695" i="2"/>
  <c r="AN695" i="2"/>
  <c r="AX273" i="2"/>
  <c r="BD21" i="2"/>
  <c r="BE21" i="2"/>
  <c r="BH21" i="2"/>
  <c r="BB1460" i="2"/>
  <c r="BG21" i="2"/>
  <c r="BE673" i="2"/>
  <c r="BH673" i="2"/>
  <c r="BD673" i="2"/>
  <c r="BG673" i="2"/>
  <c r="AN642" i="2"/>
  <c r="AR642" i="2"/>
  <c r="AQ642" i="2"/>
  <c r="AO642" i="2"/>
  <c r="BH639" i="2"/>
  <c r="BE639" i="2"/>
  <c r="BG639" i="2"/>
  <c r="BD639" i="2"/>
  <c r="AN1034" i="2"/>
  <c r="AR1034" i="2"/>
  <c r="AO1034" i="2"/>
  <c r="AQ1034" i="2"/>
  <c r="AW811" i="2"/>
  <c r="AV811" i="2"/>
  <c r="AZ811" i="2"/>
  <c r="AY811" i="2"/>
  <c r="AZ1064" i="2"/>
  <c r="AV1064" i="2"/>
  <c r="AY1064" i="2"/>
  <c r="AW1064" i="2"/>
  <c r="AQ120" i="2"/>
  <c r="AR120" i="2"/>
  <c r="AN120" i="2"/>
  <c r="AO120" i="2"/>
  <c r="AO163" i="2"/>
  <c r="AN163" i="2"/>
  <c r="AQ163" i="2"/>
  <c r="AR163" i="2"/>
  <c r="AR285" i="2"/>
  <c r="AN285" i="2"/>
  <c r="AO285" i="2"/>
  <c r="AQ285" i="2"/>
  <c r="AN506" i="2"/>
  <c r="AR506" i="2"/>
  <c r="AQ506" i="2"/>
  <c r="AO506" i="2"/>
  <c r="AV65" i="2"/>
  <c r="AY65" i="2"/>
  <c r="AZ65" i="2"/>
  <c r="AW65" i="2"/>
  <c r="BC18" i="2"/>
  <c r="BD796" i="2"/>
  <c r="BG796" i="2"/>
  <c r="BE796" i="2"/>
  <c r="BH796" i="2"/>
  <c r="BH838" i="2"/>
  <c r="BE838" i="2"/>
  <c r="BG838" i="2"/>
  <c r="BD838" i="2"/>
  <c r="AN645" i="2"/>
  <c r="AO645" i="2"/>
  <c r="AR645" i="2"/>
  <c r="AQ645" i="2"/>
  <c r="AQ694" i="2"/>
  <c r="AR694" i="2"/>
  <c r="AN694" i="2"/>
  <c r="AO694" i="2"/>
  <c r="AQ247" i="2"/>
  <c r="AN247" i="2"/>
  <c r="BG430" i="2"/>
  <c r="BE430" i="2"/>
  <c r="BD430" i="2"/>
  <c r="BH430" i="2"/>
  <c r="BB431" i="2"/>
  <c r="BH663" i="2"/>
  <c r="BE663" i="2"/>
  <c r="BG663" i="2"/>
  <c r="BD663" i="2"/>
  <c r="AZ880" i="2"/>
  <c r="AW880" i="2"/>
  <c r="AY880" i="2"/>
  <c r="AV880" i="2"/>
  <c r="BG552" i="2"/>
  <c r="BH552" i="2"/>
  <c r="BD552" i="2"/>
  <c r="BE552" i="2"/>
  <c r="AZ562" i="2"/>
  <c r="AY562" i="2"/>
  <c r="AW562" i="2"/>
  <c r="AV562" i="2"/>
  <c r="AN784" i="2"/>
  <c r="AQ784" i="2"/>
  <c r="AR784" i="2"/>
  <c r="AO784" i="2"/>
  <c r="AN516" i="2"/>
  <c r="AQ516" i="2"/>
  <c r="AR516" i="2"/>
  <c r="AO516" i="2"/>
  <c r="BE710" i="2"/>
  <c r="BH710" i="2"/>
  <c r="BG710" i="2"/>
  <c r="BD710" i="2"/>
  <c r="AV652" i="2"/>
  <c r="AZ652" i="2"/>
  <c r="AW652" i="2"/>
  <c r="AY652" i="2"/>
  <c r="BF378" i="2"/>
  <c r="BF385" i="2"/>
  <c r="BF377" i="2" s="1"/>
  <c r="BD360" i="2"/>
  <c r="BH360" i="2"/>
  <c r="BE360" i="2"/>
  <c r="BG360" i="2"/>
  <c r="AN940" i="2"/>
  <c r="AQ940" i="2"/>
  <c r="AR940" i="2"/>
  <c r="AO940" i="2"/>
  <c r="BG660" i="2"/>
  <c r="BE660" i="2"/>
  <c r="BH660" i="2"/>
  <c r="BD660" i="2"/>
  <c r="AN879" i="2"/>
  <c r="AQ879" i="2"/>
  <c r="AO879" i="2"/>
  <c r="AR879" i="2"/>
  <c r="BE46" i="2"/>
  <c r="BD46" i="2"/>
  <c r="BB1466" i="2"/>
  <c r="BG46" i="2"/>
  <c r="BH46" i="2"/>
  <c r="AV994" i="2"/>
  <c r="AZ994" i="2"/>
  <c r="AY994" i="2"/>
  <c r="AW994" i="2"/>
  <c r="BD1071" i="2"/>
  <c r="BH1071" i="2"/>
  <c r="BG1071" i="2"/>
  <c r="BE1071" i="2"/>
  <c r="AN108" i="2"/>
  <c r="AO108" i="2"/>
  <c r="AQ108" i="2"/>
  <c r="AR108" i="2"/>
  <c r="BB96" i="2"/>
  <c r="BE95" i="2"/>
  <c r="BD95" i="2"/>
  <c r="BG95" i="2"/>
  <c r="BH95" i="2"/>
  <c r="BC250" i="2"/>
  <c r="BF136" i="2"/>
  <c r="AZ684" i="2"/>
  <c r="AW684" i="2"/>
  <c r="AV684" i="2"/>
  <c r="AY684" i="2"/>
  <c r="AZ979" i="2"/>
  <c r="AV979" i="2"/>
  <c r="AY979" i="2"/>
  <c r="AW979" i="2"/>
  <c r="AR425" i="2"/>
  <c r="AO425" i="2"/>
  <c r="AN425" i="2"/>
  <c r="AQ425" i="2"/>
  <c r="BH890" i="2"/>
  <c r="BD890" i="2"/>
  <c r="BG890" i="2"/>
  <c r="BE890" i="2"/>
  <c r="AY109" i="2"/>
  <c r="AW109" i="2"/>
  <c r="AZ109" i="2"/>
  <c r="AV109" i="2"/>
  <c r="AR622" i="2"/>
  <c r="AO622" i="2"/>
  <c r="AQ622" i="2"/>
  <c r="AN622" i="2"/>
  <c r="AV1003" i="2"/>
  <c r="AZ1003" i="2"/>
  <c r="AY1003" i="2"/>
  <c r="AW1003" i="2"/>
  <c r="AY868" i="2"/>
  <c r="AZ868" i="2"/>
  <c r="AW868" i="2"/>
  <c r="AV868" i="2"/>
  <c r="BH132" i="2"/>
  <c r="BB83" i="2"/>
  <c r="BG132" i="2"/>
  <c r="BD132" i="2"/>
  <c r="BE132" i="2"/>
  <c r="AO235" i="2"/>
  <c r="AR235" i="2"/>
  <c r="AN235" i="2"/>
  <c r="AQ235" i="2"/>
  <c r="AQ807" i="2"/>
  <c r="AR807" i="2"/>
  <c r="AN807" i="2"/>
  <c r="AO807" i="2"/>
  <c r="BD786" i="2"/>
  <c r="BE786" i="2"/>
  <c r="AZ493" i="2"/>
  <c r="AV493" i="2"/>
  <c r="AY493" i="2"/>
  <c r="AW493" i="2"/>
  <c r="AZ624" i="2"/>
  <c r="AV624" i="2"/>
  <c r="AW624" i="2"/>
  <c r="AY624" i="2"/>
  <c r="AY1012" i="2"/>
  <c r="AW1012" i="2"/>
  <c r="AZ1012" i="2"/>
  <c r="AV1012" i="2"/>
  <c r="AM239" i="2"/>
  <c r="BC242" i="2"/>
  <c r="AU354" i="2"/>
  <c r="AR479" i="2"/>
  <c r="AQ479" i="2"/>
  <c r="AN479" i="2"/>
  <c r="AO479" i="2"/>
  <c r="BG983" i="2"/>
  <c r="BH983" i="2"/>
  <c r="BE983" i="2"/>
  <c r="BD983" i="2"/>
  <c r="AV575" i="2"/>
  <c r="AY575" i="2"/>
  <c r="AW575" i="2"/>
  <c r="AZ575" i="2"/>
  <c r="AM1455" i="2"/>
  <c r="BE27" i="2"/>
  <c r="BG27" i="2"/>
  <c r="BH27" i="2"/>
  <c r="BD27" i="2"/>
  <c r="AW382" i="2"/>
  <c r="AT374" i="2"/>
  <c r="AV382" i="2"/>
  <c r="AY382" i="2"/>
  <c r="AZ382" i="2"/>
  <c r="AT381" i="2"/>
  <c r="AX313" i="2"/>
  <c r="BC372" i="2"/>
  <c r="AO1044" i="2"/>
  <c r="AN1044" i="2"/>
  <c r="AR1044" i="2"/>
  <c r="AQ1044" i="2"/>
  <c r="AV947" i="2"/>
  <c r="AY947" i="2"/>
  <c r="AZ947" i="2"/>
  <c r="AW947" i="2"/>
  <c r="BG935" i="2"/>
  <c r="BH935" i="2"/>
  <c r="BE935" i="2"/>
  <c r="BD935" i="2"/>
  <c r="AQ219" i="2"/>
  <c r="AR219" i="2"/>
  <c r="AO219" i="2"/>
  <c r="AN219" i="2"/>
  <c r="AQ1023" i="2"/>
  <c r="AR1023" i="2"/>
  <c r="AO1023" i="2"/>
  <c r="AN1023" i="2"/>
  <c r="AQ828" i="2"/>
  <c r="AN828" i="2"/>
  <c r="AR828" i="2"/>
  <c r="AO828" i="2"/>
  <c r="AQ198" i="2"/>
  <c r="AR198" i="2"/>
  <c r="AO198" i="2"/>
  <c r="AN198" i="2"/>
  <c r="AU375" i="2"/>
  <c r="AQ26" i="2"/>
  <c r="AR26" i="2"/>
  <c r="AO26" i="2"/>
  <c r="AN26" i="2"/>
  <c r="BE503" i="2"/>
  <c r="BH503" i="2"/>
  <c r="BD503" i="2"/>
  <c r="BG503" i="2"/>
  <c r="BE173" i="2"/>
  <c r="BH173" i="2"/>
  <c r="BG173" i="2"/>
  <c r="BD173" i="2"/>
  <c r="AV891" i="2"/>
  <c r="AY891" i="2"/>
  <c r="AW891" i="2"/>
  <c r="AZ891" i="2"/>
  <c r="AR161" i="2"/>
  <c r="AO161" i="2"/>
  <c r="AQ161" i="2"/>
  <c r="AN161" i="2"/>
  <c r="AO388" i="2"/>
  <c r="AQ388" i="2"/>
  <c r="AR388" i="2"/>
  <c r="AL376" i="2"/>
  <c r="AN388" i="2"/>
  <c r="AQ204" i="2"/>
  <c r="AO204" i="2"/>
  <c r="AN204" i="2"/>
  <c r="AR204" i="2"/>
  <c r="AW470" i="2"/>
  <c r="AV470" i="2"/>
  <c r="AZ470" i="2"/>
  <c r="AY470" i="2"/>
  <c r="BH804" i="2"/>
  <c r="BD804" i="2"/>
  <c r="BG804" i="2"/>
  <c r="BE804" i="2"/>
  <c r="BF87" i="2"/>
  <c r="AY604" i="2"/>
  <c r="AV604" i="2"/>
  <c r="AZ604" i="2"/>
  <c r="AW604" i="2"/>
  <c r="BG355" i="2"/>
  <c r="BH355" i="2"/>
  <c r="BE355" i="2"/>
  <c r="BB354" i="2"/>
  <c r="BD355" i="2"/>
  <c r="AW641" i="2"/>
  <c r="AY641" i="2"/>
  <c r="AZ641" i="2"/>
  <c r="AV641" i="2"/>
  <c r="AQ865" i="2"/>
  <c r="AR865" i="2"/>
  <c r="AO865" i="2"/>
  <c r="AN865" i="2"/>
  <c r="AY762" i="2"/>
  <c r="AV762" i="2"/>
  <c r="AZ762" i="2"/>
  <c r="AW762" i="2"/>
  <c r="AV560" i="2"/>
  <c r="AZ560" i="2"/>
  <c r="AW560" i="2"/>
  <c r="AY560" i="2"/>
  <c r="AO293" i="2"/>
  <c r="AN293" i="2"/>
  <c r="AQ293" i="2"/>
  <c r="AR293" i="2"/>
  <c r="BG392" i="2"/>
  <c r="BD392" i="2"/>
  <c r="BH392" i="2"/>
  <c r="BE392" i="2"/>
  <c r="AV948" i="2"/>
  <c r="AY948" i="2"/>
  <c r="AW948" i="2"/>
  <c r="AZ948" i="2"/>
  <c r="BH854" i="2"/>
  <c r="BD854" i="2"/>
  <c r="BE854" i="2"/>
  <c r="BG854" i="2"/>
  <c r="AO503" i="2"/>
  <c r="AR503" i="2"/>
  <c r="AQ503" i="2"/>
  <c r="AN503" i="2"/>
  <c r="AX250" i="2"/>
  <c r="BH936" i="2"/>
  <c r="BD936" i="2"/>
  <c r="BG936" i="2"/>
  <c r="BE936" i="2"/>
  <c r="BD910" i="2"/>
  <c r="BG910" i="2"/>
  <c r="BE910" i="2"/>
  <c r="BH910" i="2"/>
  <c r="AL431" i="2"/>
  <c r="AQ430" i="2"/>
  <c r="AR430" i="2"/>
  <c r="AN430" i="2"/>
  <c r="AO430" i="2"/>
  <c r="AR432" i="2"/>
  <c r="AO432" i="2"/>
  <c r="AQ432" i="2"/>
  <c r="AN432" i="2"/>
  <c r="AZ561" i="2"/>
  <c r="AV561" i="2"/>
  <c r="AY561" i="2"/>
  <c r="AW561" i="2"/>
  <c r="AP242" i="2"/>
  <c r="BH370" i="2"/>
  <c r="BG370" i="2"/>
  <c r="BD370" i="2"/>
  <c r="BE370" i="2"/>
  <c r="AN393" i="2"/>
  <c r="AR393" i="2"/>
  <c r="AQ393" i="2"/>
  <c r="AO393" i="2"/>
  <c r="BD869" i="2"/>
  <c r="BG869" i="2"/>
  <c r="BE869" i="2"/>
  <c r="BH869" i="2"/>
  <c r="BD65" i="2"/>
  <c r="BE65" i="2"/>
  <c r="BG65" i="2"/>
  <c r="BH65" i="2"/>
  <c r="BC251" i="2"/>
  <c r="BG112" i="2"/>
  <c r="BH112" i="2"/>
  <c r="BE112" i="2"/>
  <c r="BD112" i="2"/>
  <c r="AY1103" i="2"/>
  <c r="AV1103" i="2"/>
  <c r="AZ1103" i="2"/>
  <c r="AW1103" i="2"/>
  <c r="BD325" i="2"/>
  <c r="BE325" i="2"/>
  <c r="BG325" i="2"/>
  <c r="BB316" i="2"/>
  <c r="BH325" i="2"/>
  <c r="AW231" i="2"/>
  <c r="AY231" i="2"/>
  <c r="AV231" i="2"/>
  <c r="AZ231" i="2"/>
  <c r="BD612" i="2"/>
  <c r="BG612" i="2"/>
  <c r="BH612" i="2"/>
  <c r="BE612" i="2"/>
  <c r="BC336" i="2"/>
  <c r="AO1009" i="2"/>
  <c r="AN1009" i="2"/>
  <c r="AQ1009" i="2"/>
  <c r="AR1009" i="2"/>
  <c r="AO764" i="2"/>
  <c r="AN764" i="2"/>
  <c r="AR764" i="2"/>
  <c r="AQ764" i="2"/>
  <c r="BG961" i="2"/>
  <c r="BD961" i="2"/>
  <c r="BE961" i="2"/>
  <c r="BH961" i="2"/>
  <c r="AN656" i="2"/>
  <c r="AQ656" i="2"/>
  <c r="AR656" i="2"/>
  <c r="AO656" i="2"/>
  <c r="AN597" i="2"/>
  <c r="AR597" i="2"/>
  <c r="AO597" i="2"/>
  <c r="AQ597" i="2"/>
  <c r="AX239" i="2"/>
  <c r="BG904" i="2"/>
  <c r="BD904" i="2"/>
  <c r="BE904" i="2"/>
  <c r="BH904" i="2"/>
  <c r="AV922" i="2"/>
  <c r="AZ922" i="2"/>
  <c r="AW922" i="2"/>
  <c r="AY922" i="2"/>
  <c r="AV869" i="2"/>
  <c r="AY869" i="2"/>
  <c r="AZ869" i="2"/>
  <c r="AW869" i="2"/>
  <c r="AY730" i="2"/>
  <c r="AZ730" i="2"/>
  <c r="AW730" i="2"/>
  <c r="AV730" i="2"/>
  <c r="BG478" i="2"/>
  <c r="BE478" i="2"/>
  <c r="BH478" i="2"/>
  <c r="BD478" i="2"/>
  <c r="AW758" i="2"/>
  <c r="AZ758" i="2"/>
  <c r="AY758" i="2"/>
  <c r="AV758" i="2"/>
  <c r="BE934" i="2"/>
  <c r="BH934" i="2"/>
  <c r="BG934" i="2"/>
  <c r="BD934" i="2"/>
  <c r="AZ937" i="2"/>
  <c r="AY937" i="2"/>
  <c r="AV937" i="2"/>
  <c r="AW937" i="2"/>
  <c r="BH1064" i="2"/>
  <c r="BE1064" i="2"/>
  <c r="BD1064" i="2"/>
  <c r="BG1064" i="2"/>
  <c r="AZ1038" i="2"/>
  <c r="AV1038" i="2"/>
  <c r="AW1038" i="2"/>
  <c r="AY1038" i="2"/>
  <c r="AU340" i="2"/>
  <c r="AY864" i="2"/>
  <c r="AW864" i="2"/>
  <c r="AV864" i="2"/>
  <c r="AZ864" i="2"/>
  <c r="AW442" i="2"/>
  <c r="AY442" i="2"/>
  <c r="AV442" i="2"/>
  <c r="AT443" i="2"/>
  <c r="AT341" i="2" s="1"/>
  <c r="AZ442" i="2"/>
  <c r="AR770" i="2"/>
  <c r="AO770" i="2"/>
  <c r="AN770" i="2"/>
  <c r="AQ770" i="2"/>
  <c r="BD466" i="2"/>
  <c r="BE466" i="2"/>
  <c r="BH466" i="2"/>
  <c r="BG466" i="2"/>
  <c r="BH573" i="2"/>
  <c r="BD573" i="2"/>
  <c r="BE573" i="2"/>
  <c r="BG573" i="2"/>
  <c r="AW725" i="2"/>
  <c r="AV725" i="2"/>
  <c r="AZ725" i="2"/>
  <c r="AY725" i="2"/>
  <c r="AQ465" i="2"/>
  <c r="AO465" i="2"/>
  <c r="AR465" i="2"/>
  <c r="AN465" i="2"/>
  <c r="AN608" i="2"/>
  <c r="AQ608" i="2"/>
  <c r="AO608" i="2"/>
  <c r="AR608" i="2"/>
  <c r="AZ955" i="2"/>
  <c r="AY955" i="2"/>
  <c r="AW955" i="2"/>
  <c r="AV955" i="2"/>
  <c r="AR902" i="2"/>
  <c r="AQ902" i="2"/>
  <c r="AN902" i="2"/>
  <c r="AO902" i="2"/>
  <c r="AV266" i="2"/>
  <c r="AZ266" i="2"/>
  <c r="AY266" i="2"/>
  <c r="AT252" i="2"/>
  <c r="AW266" i="2"/>
  <c r="AX367" i="2"/>
  <c r="AV275" i="2"/>
  <c r="AY275" i="2"/>
  <c r="AZ275" i="2"/>
  <c r="AW275" i="2"/>
  <c r="BD974" i="2"/>
  <c r="BH974" i="2"/>
  <c r="BG974" i="2"/>
  <c r="BE974" i="2"/>
  <c r="BG742" i="2"/>
  <c r="BH742" i="2"/>
  <c r="BE742" i="2"/>
  <c r="BD742" i="2"/>
  <c r="AO736" i="2"/>
  <c r="AN736" i="2"/>
  <c r="AR736" i="2"/>
  <c r="AQ736" i="2"/>
  <c r="AM376" i="2"/>
  <c r="AU85" i="2"/>
  <c r="AV85" i="2" s="1"/>
  <c r="BH1005" i="2"/>
  <c r="BD1005" i="2"/>
  <c r="BE1005" i="2"/>
  <c r="BG1005" i="2"/>
  <c r="BG205" i="2"/>
  <c r="BH205" i="2"/>
  <c r="BD205" i="2"/>
  <c r="BE205" i="2"/>
  <c r="AN298" i="2"/>
  <c r="AQ298" i="2"/>
  <c r="AO298" i="2"/>
  <c r="AR298" i="2"/>
  <c r="BG613" i="2"/>
  <c r="BD613" i="2"/>
  <c r="BH613" i="2"/>
  <c r="BE613" i="2"/>
  <c r="AY1078" i="2"/>
  <c r="AZ1078" i="2"/>
  <c r="AW1078" i="2"/>
  <c r="AV1078" i="2"/>
  <c r="AO574" i="2"/>
  <c r="AN574" i="2"/>
  <c r="AQ574" i="2"/>
  <c r="AR574" i="2"/>
  <c r="AO143" i="2"/>
  <c r="AR143" i="2"/>
  <c r="AQ143" i="2"/>
  <c r="AN143" i="2"/>
  <c r="AR845" i="2"/>
  <c r="AN845" i="2"/>
  <c r="AQ845" i="2"/>
  <c r="AO845" i="2"/>
  <c r="BG293" i="2"/>
  <c r="BH293" i="2"/>
  <c r="BD293" i="2"/>
  <c r="BE293" i="2"/>
  <c r="AV708" i="2"/>
  <c r="AZ708" i="2"/>
  <c r="AW708" i="2"/>
  <c r="AY708" i="2"/>
  <c r="AU249" i="2"/>
  <c r="AV122" i="2"/>
  <c r="AZ122" i="2"/>
  <c r="AW122" i="2"/>
  <c r="AY122" i="2"/>
  <c r="AZ837" i="2"/>
  <c r="AW837" i="2"/>
  <c r="AV837" i="2"/>
  <c r="AY837" i="2"/>
  <c r="AZ697" i="2"/>
  <c r="AW697" i="2"/>
  <c r="AV697" i="2"/>
  <c r="AY697" i="2"/>
  <c r="AQ505" i="2"/>
  <c r="AR505" i="2"/>
  <c r="AO505" i="2"/>
  <c r="AN505" i="2"/>
  <c r="AN611" i="2"/>
  <c r="AQ611" i="2"/>
  <c r="AO611" i="2"/>
  <c r="AR611" i="2"/>
  <c r="AN591" i="2"/>
  <c r="AQ591" i="2"/>
  <c r="AR591" i="2"/>
  <c r="AO591" i="2"/>
  <c r="BE113" i="2"/>
  <c r="BG113" i="2"/>
  <c r="BH113" i="2"/>
  <c r="BD113" i="2"/>
  <c r="AN687" i="2"/>
  <c r="AQ687" i="2"/>
  <c r="AR687" i="2"/>
  <c r="AO687" i="2"/>
  <c r="BH792" i="2"/>
  <c r="BG792" i="2"/>
  <c r="BD792" i="2"/>
  <c r="BE792" i="2"/>
  <c r="BD594" i="2"/>
  <c r="BG594" i="2"/>
  <c r="BE594" i="2"/>
  <c r="BH594" i="2"/>
  <c r="AT85" i="2"/>
  <c r="AW134" i="2"/>
  <c r="AY134" i="2"/>
  <c r="AV134" i="2"/>
  <c r="AZ134" i="2"/>
  <c r="AW990" i="2"/>
  <c r="AY990" i="2"/>
  <c r="AZ990" i="2"/>
  <c r="AV990" i="2"/>
  <c r="AP85" i="2"/>
  <c r="BH147" i="2"/>
  <c r="BG147" i="2"/>
  <c r="BD147" i="2"/>
  <c r="BE147" i="2"/>
  <c r="BC84" i="2"/>
  <c r="AW693" i="2"/>
  <c r="AZ693" i="2"/>
  <c r="AY693" i="2"/>
  <c r="AV693" i="2"/>
  <c r="BG925" i="2"/>
  <c r="BD925" i="2"/>
  <c r="BH925" i="2"/>
  <c r="BE925" i="2"/>
  <c r="BH780" i="2"/>
  <c r="BE780" i="2"/>
  <c r="BG780" i="2"/>
  <c r="BD780" i="2"/>
  <c r="AV1008" i="2"/>
  <c r="AY1008" i="2"/>
  <c r="AW1008" i="2"/>
  <c r="AZ1008" i="2"/>
  <c r="AZ188" i="2"/>
  <c r="AY188" i="2"/>
  <c r="AV188" i="2"/>
  <c r="AW188" i="2"/>
  <c r="AQ427" i="2"/>
  <c r="AO427" i="2"/>
  <c r="AN427" i="2"/>
  <c r="AR427" i="2"/>
  <c r="BE693" i="2"/>
  <c r="BG693" i="2"/>
  <c r="BH693" i="2"/>
  <c r="BD693" i="2"/>
  <c r="AN460" i="2"/>
  <c r="AR460" i="2"/>
  <c r="AQ460" i="2"/>
  <c r="AO460" i="2"/>
  <c r="AQ620" i="2"/>
  <c r="AR620" i="2"/>
  <c r="AO620" i="2"/>
  <c r="AN620" i="2"/>
  <c r="AO333" i="2"/>
  <c r="AR333" i="2"/>
  <c r="AN333" i="2"/>
  <c r="AQ333" i="2"/>
  <c r="BE307" i="2"/>
  <c r="BG307" i="2"/>
  <c r="BD307" i="2"/>
  <c r="BH307" i="2"/>
  <c r="AY541" i="2"/>
  <c r="AV541" i="2"/>
  <c r="AW541" i="2"/>
  <c r="AZ541" i="2"/>
  <c r="AO1014" i="2"/>
  <c r="AR1014" i="2"/>
  <c r="AN1014" i="2"/>
  <c r="AQ1014" i="2"/>
  <c r="BD330" i="2"/>
  <c r="BH330" i="2"/>
  <c r="BE330" i="2"/>
  <c r="BG330" i="2"/>
  <c r="AV843" i="2"/>
  <c r="AZ843" i="2"/>
  <c r="AW843" i="2"/>
  <c r="AY843" i="2"/>
  <c r="AP314" i="2"/>
  <c r="BE193" i="2"/>
  <c r="BG193" i="2"/>
  <c r="BH193" i="2"/>
  <c r="BD193" i="2"/>
  <c r="AW552" i="2"/>
  <c r="AY552" i="2"/>
  <c r="AV552" i="2"/>
  <c r="AZ552" i="2"/>
  <c r="BD1053" i="2"/>
  <c r="BH1053" i="2"/>
  <c r="BE1053" i="2"/>
  <c r="BG1053" i="2"/>
  <c r="AY542" i="2"/>
  <c r="AZ542" i="2"/>
  <c r="AV542" i="2"/>
  <c r="AW542" i="2"/>
  <c r="AM80" i="2"/>
  <c r="AV1001" i="2"/>
  <c r="AW1001" i="2"/>
  <c r="AZ1001" i="2"/>
  <c r="AY1001" i="2"/>
  <c r="AO49" i="2"/>
  <c r="AN49" i="2"/>
  <c r="AQ49" i="2"/>
  <c r="AR49" i="2"/>
  <c r="AO588" i="2"/>
  <c r="AN588" i="2"/>
  <c r="AQ588" i="2"/>
  <c r="AR588" i="2"/>
  <c r="AW592" i="2"/>
  <c r="AY592" i="2"/>
  <c r="AV592" i="2"/>
  <c r="AZ592" i="2"/>
  <c r="AN657" i="2"/>
  <c r="AO657" i="2"/>
  <c r="AR657" i="2"/>
  <c r="AQ657" i="2"/>
  <c r="BF202" i="2"/>
  <c r="AW1041" i="2"/>
  <c r="AY1041" i="2"/>
  <c r="AV1041" i="2"/>
  <c r="AZ1041" i="2"/>
  <c r="AM354" i="2"/>
  <c r="AV171" i="2"/>
  <c r="AW171" i="2"/>
  <c r="AZ171" i="2"/>
  <c r="AY171" i="2"/>
  <c r="BE667" i="2"/>
  <c r="BD667" i="2"/>
  <c r="BH667" i="2"/>
  <c r="BG667" i="2"/>
  <c r="AV957" i="2"/>
  <c r="AW957" i="2"/>
  <c r="AZ957" i="2"/>
  <c r="AY957" i="2"/>
  <c r="BD623" i="2"/>
  <c r="BE623" i="2"/>
  <c r="BG623" i="2"/>
  <c r="BH623" i="2"/>
  <c r="BF347" i="2"/>
  <c r="AV976" i="2"/>
  <c r="AW976" i="2"/>
  <c r="AZ976" i="2"/>
  <c r="AY976" i="2"/>
  <c r="BE418" i="2"/>
  <c r="BB419" i="2"/>
  <c r="BG418" i="2"/>
  <c r="BH418" i="2"/>
  <c r="BD418" i="2"/>
  <c r="AW727" i="2"/>
  <c r="AZ727" i="2"/>
  <c r="AV727" i="2"/>
  <c r="AY727" i="2"/>
  <c r="AQ117" i="2"/>
  <c r="AR117" i="2"/>
  <c r="AN117" i="2"/>
  <c r="AO117" i="2"/>
  <c r="AZ685" i="2"/>
  <c r="AV685" i="2"/>
  <c r="AW685" i="2"/>
  <c r="AY685" i="2"/>
  <c r="BC319" i="2"/>
  <c r="AN1018" i="2"/>
  <c r="AO1018" i="2"/>
  <c r="AQ1018" i="2"/>
  <c r="AR1018" i="2"/>
  <c r="AR515" i="2"/>
  <c r="AN515" i="2"/>
  <c r="AO515" i="2"/>
  <c r="AQ515" i="2"/>
  <c r="AV356" i="2"/>
  <c r="AW356" i="2"/>
  <c r="AY356" i="2"/>
  <c r="AZ356" i="2"/>
  <c r="AY422" i="2"/>
  <c r="AW422" i="2"/>
  <c r="AV422" i="2"/>
  <c r="AZ422" i="2"/>
  <c r="BE210" i="2"/>
  <c r="BH210" i="2"/>
  <c r="BD210" i="2"/>
  <c r="BG210" i="2"/>
  <c r="BD292" i="2"/>
  <c r="BE292" i="2"/>
  <c r="BG292" i="2"/>
  <c r="BH292" i="2"/>
  <c r="AZ1052" i="2"/>
  <c r="AV1052" i="2"/>
  <c r="AY1052" i="2"/>
  <c r="AW1052" i="2"/>
  <c r="AO1050" i="2"/>
  <c r="AN1050" i="2"/>
  <c r="AQ1050" i="2"/>
  <c r="AR1050" i="2"/>
  <c r="AO491" i="2"/>
  <c r="AQ491" i="2"/>
  <c r="AN491" i="2"/>
  <c r="AR491" i="2"/>
  <c r="AR523" i="2"/>
  <c r="AQ523" i="2"/>
  <c r="AN523" i="2"/>
  <c r="AO523" i="2"/>
  <c r="AZ154" i="2"/>
  <c r="AV154" i="2"/>
  <c r="AW154" i="2"/>
  <c r="AY154" i="2"/>
  <c r="AQ409" i="2"/>
  <c r="AO409" i="2"/>
  <c r="AN409" i="2"/>
  <c r="AR409" i="2"/>
  <c r="AM191" i="2"/>
  <c r="BD463" i="2"/>
  <c r="BE463" i="2"/>
  <c r="BG463" i="2"/>
  <c r="BH463" i="2"/>
  <c r="BH947" i="2"/>
  <c r="BG947" i="2"/>
  <c r="BD947" i="2"/>
  <c r="BE947" i="2"/>
  <c r="BF319" i="2"/>
  <c r="AO280" i="2"/>
  <c r="AQ280" i="2"/>
  <c r="AR280" i="2"/>
  <c r="AN280" i="2"/>
  <c r="AX825" i="2"/>
  <c r="AZ825" i="2" s="1"/>
  <c r="AQ233" i="2"/>
  <c r="AN233" i="2"/>
  <c r="AR233" i="2"/>
  <c r="AO233" i="2"/>
  <c r="AM87" i="2"/>
  <c r="AO213" i="2"/>
  <c r="AQ213" i="2"/>
  <c r="AR213" i="2"/>
  <c r="AN213" i="2"/>
  <c r="AT178" i="2"/>
  <c r="AV182" i="2"/>
  <c r="AW182" i="2"/>
  <c r="AZ182" i="2"/>
  <c r="AY182" i="2"/>
  <c r="AR636" i="2"/>
  <c r="AN636" i="2"/>
  <c r="AO636" i="2"/>
  <c r="AQ636" i="2"/>
  <c r="AR176" i="2"/>
  <c r="AN176" i="2"/>
  <c r="AQ176" i="2"/>
  <c r="AL177" i="2"/>
  <c r="AO176" i="2"/>
  <c r="AW705" i="2"/>
  <c r="AV705" i="2"/>
  <c r="AY705" i="2"/>
  <c r="AZ705" i="2"/>
  <c r="AV692" i="2"/>
  <c r="AZ692" i="2"/>
  <c r="AW692" i="2"/>
  <c r="AY692" i="2"/>
  <c r="BE671" i="2"/>
  <c r="BH671" i="2"/>
  <c r="BG671" i="2"/>
  <c r="BD671" i="2"/>
  <c r="BC443" i="2"/>
  <c r="BC341" i="2" s="1"/>
  <c r="AY750" i="2"/>
  <c r="AV750" i="2"/>
  <c r="AZ750" i="2"/>
  <c r="AW750" i="2"/>
  <c r="AW924" i="2"/>
  <c r="AZ924" i="2"/>
  <c r="AY924" i="2"/>
  <c r="AV924" i="2"/>
  <c r="AW45" i="2"/>
  <c r="AZ45" i="2"/>
  <c r="AV45" i="2"/>
  <c r="AY45" i="2"/>
  <c r="AW285" i="2"/>
  <c r="AZ285" i="2"/>
  <c r="AY285" i="2"/>
  <c r="AV285" i="2"/>
  <c r="BF447" i="2"/>
  <c r="BF413" i="2" s="1"/>
  <c r="BG344" i="2"/>
  <c r="BD344" i="2"/>
  <c r="BE344" i="2"/>
  <c r="BH344" i="2"/>
  <c r="AT317" i="2"/>
  <c r="AW326" i="2"/>
  <c r="AY326" i="2"/>
  <c r="AV326" i="2"/>
  <c r="AZ326" i="2"/>
  <c r="AR17" i="2"/>
  <c r="AO17" i="2"/>
  <c r="AQ17" i="2"/>
  <c r="AN17" i="2"/>
  <c r="AL18" i="2"/>
  <c r="AO394" i="2"/>
  <c r="AQ394" i="2"/>
  <c r="AN394" i="2"/>
  <c r="AR394" i="2"/>
  <c r="AN42" i="2"/>
  <c r="AR42" i="2"/>
  <c r="AO42" i="2"/>
  <c r="AQ42" i="2"/>
  <c r="AV298" i="2"/>
  <c r="AZ298" i="2"/>
  <c r="AW298" i="2"/>
  <c r="AY298" i="2"/>
  <c r="AY576" i="2"/>
  <c r="AV576" i="2"/>
  <c r="AZ576" i="2"/>
  <c r="AW576" i="2"/>
  <c r="AX87" i="2"/>
  <c r="AN803" i="2"/>
  <c r="AR803" i="2"/>
  <c r="AQ803" i="2"/>
  <c r="AO803" i="2"/>
  <c r="AZ661" i="2"/>
  <c r="AY661" i="2"/>
  <c r="AV661" i="2"/>
  <c r="AW661" i="2"/>
  <c r="BE735" i="2"/>
  <c r="BH735" i="2"/>
  <c r="BG735" i="2"/>
  <c r="BD735" i="2"/>
  <c r="AO519" i="2"/>
  <c r="AN519" i="2"/>
  <c r="AQ519" i="2"/>
  <c r="AR519" i="2"/>
  <c r="BH607" i="2"/>
  <c r="BG607" i="2"/>
  <c r="BD607" i="2"/>
  <c r="BE607" i="2"/>
  <c r="BH954" i="2"/>
  <c r="BG954" i="2"/>
  <c r="BD954" i="2"/>
  <c r="BE954" i="2"/>
  <c r="AW827" i="2"/>
  <c r="AZ827" i="2"/>
  <c r="AY827" i="2"/>
  <c r="AV827" i="2"/>
  <c r="AY667" i="2"/>
  <c r="AW667" i="2"/>
  <c r="AV667" i="2"/>
  <c r="AZ667" i="2"/>
  <c r="BE1070" i="2"/>
  <c r="BH1070" i="2"/>
  <c r="BD1070" i="2"/>
  <c r="BG1070" i="2"/>
  <c r="AX311" i="2"/>
  <c r="AX25" i="2"/>
  <c r="BH228" i="2"/>
  <c r="BD228" i="2"/>
  <c r="BG228" i="2"/>
  <c r="BE228" i="2"/>
  <c r="AR524" i="2"/>
  <c r="AO524" i="2"/>
  <c r="AQ524" i="2"/>
  <c r="AN524" i="2"/>
  <c r="AN637" i="2"/>
  <c r="AO637" i="2"/>
  <c r="AQ637" i="2"/>
  <c r="AR637" i="2"/>
  <c r="AZ675" i="2"/>
  <c r="AV675" i="2"/>
  <c r="AY675" i="2"/>
  <c r="AW675" i="2"/>
  <c r="AZ463" i="2"/>
  <c r="AV463" i="2"/>
  <c r="AW463" i="2"/>
  <c r="AY463" i="2"/>
  <c r="AQ1041" i="2"/>
  <c r="AO1041" i="2"/>
  <c r="AR1041" i="2"/>
  <c r="AN1041" i="2"/>
  <c r="AV294" i="2"/>
  <c r="AY294" i="2"/>
  <c r="AW294" i="2"/>
  <c r="AZ294" i="2"/>
  <c r="AU181" i="2"/>
  <c r="AN522" i="2"/>
  <c r="AR522" i="2"/>
  <c r="AQ522" i="2"/>
  <c r="AO522" i="2"/>
  <c r="AN1067" i="2"/>
  <c r="AR1067" i="2"/>
  <c r="AO1067" i="2"/>
  <c r="AQ1067" i="2"/>
  <c r="AN132" i="2"/>
  <c r="AL83" i="2"/>
  <c r="AO132" i="2"/>
  <c r="AQ132" i="2"/>
  <c r="AR132" i="2"/>
  <c r="BC439" i="2"/>
  <c r="BC278" i="2" s="1"/>
  <c r="BH617" i="2"/>
  <c r="BD617" i="2"/>
  <c r="BE617" i="2"/>
  <c r="BG617" i="2"/>
  <c r="BE144" i="2"/>
  <c r="BD144" i="2"/>
  <c r="BH144" i="2"/>
  <c r="BG144" i="2"/>
  <c r="AQ222" i="2"/>
  <c r="AO222" i="2"/>
  <c r="AR222" i="2"/>
  <c r="AN222" i="2"/>
  <c r="BG741" i="2"/>
  <c r="BD741" i="2"/>
  <c r="BH741" i="2"/>
  <c r="BE741" i="2"/>
  <c r="AR651" i="2"/>
  <c r="AQ651" i="2"/>
  <c r="AN651" i="2"/>
  <c r="AO651" i="2"/>
  <c r="BD1088" i="2"/>
  <c r="BG1088" i="2"/>
  <c r="BH1088" i="2"/>
  <c r="BE1088" i="2"/>
  <c r="BG238" i="2"/>
  <c r="BD238" i="2"/>
  <c r="BE238" i="2"/>
  <c r="BH238" i="2"/>
  <c r="BB239" i="2"/>
  <c r="AR188" i="2"/>
  <c r="AN188" i="2"/>
  <c r="AO188" i="2"/>
  <c r="AQ188" i="2"/>
  <c r="AN497" i="2"/>
  <c r="AQ497" i="2"/>
  <c r="AR497" i="2"/>
  <c r="AO497" i="2"/>
  <c r="AO172" i="2"/>
  <c r="AQ172" i="2"/>
  <c r="AN172" i="2"/>
  <c r="AR172" i="2"/>
  <c r="AN156" i="2"/>
  <c r="AR156" i="2"/>
  <c r="AO156" i="2"/>
  <c r="AQ156" i="2"/>
  <c r="AR977" i="2"/>
  <c r="AQ977" i="2"/>
  <c r="AO977" i="2"/>
  <c r="AN977" i="2"/>
  <c r="BC240" i="2"/>
  <c r="AV186" i="2"/>
  <c r="AW186" i="2"/>
  <c r="AZ186" i="2"/>
  <c r="AY186" i="2"/>
  <c r="BE844" i="2"/>
  <c r="BH844" i="2"/>
  <c r="BG844" i="2"/>
  <c r="BD844" i="2"/>
  <c r="AZ975" i="2"/>
  <c r="AY975" i="2"/>
  <c r="AV975" i="2"/>
  <c r="AW975" i="2"/>
  <c r="AR428" i="2"/>
  <c r="AQ428" i="2"/>
  <c r="AO428" i="2"/>
  <c r="AN428" i="2"/>
  <c r="AV272" i="2"/>
  <c r="AW272" i="2"/>
  <c r="AT273" i="2"/>
  <c r="AY273" i="2" s="1"/>
  <c r="AZ272" i="2"/>
  <c r="AY272" i="2"/>
  <c r="BG679" i="2"/>
  <c r="BE679" i="2"/>
  <c r="BD679" i="2"/>
  <c r="BH679" i="2"/>
  <c r="AQ165" i="2"/>
  <c r="AO165" i="2"/>
  <c r="AR165" i="2"/>
  <c r="AN165" i="2"/>
  <c r="AW615" i="2"/>
  <c r="AV615" i="2"/>
  <c r="AZ615" i="2"/>
  <c r="AY615" i="2"/>
  <c r="AY931" i="2"/>
  <c r="AW931" i="2"/>
  <c r="AV931" i="2"/>
  <c r="AZ931" i="2"/>
  <c r="BC85" i="2"/>
  <c r="BD643" i="2"/>
  <c r="BE643" i="2"/>
  <c r="BH643" i="2"/>
  <c r="BG643" i="2"/>
  <c r="AR841" i="2"/>
  <c r="AQ841" i="2"/>
  <c r="AN841" i="2"/>
  <c r="AO841" i="2"/>
  <c r="AP340" i="2"/>
  <c r="AQ35" i="2"/>
  <c r="AN35" i="2"/>
  <c r="AL36" i="2"/>
  <c r="AQ36" i="2" s="1"/>
  <c r="AR35" i="2"/>
  <c r="AO35" i="2"/>
  <c r="AY145" i="2"/>
  <c r="AV145" i="2"/>
  <c r="AW145" i="2"/>
  <c r="AZ145" i="2"/>
  <c r="AR660" i="2"/>
  <c r="AQ660" i="2"/>
  <c r="AN660" i="2"/>
  <c r="AO660" i="2"/>
  <c r="BG1001" i="2"/>
  <c r="BD1001" i="2"/>
  <c r="BH1001" i="2"/>
  <c r="BE1001" i="2"/>
  <c r="BE327" i="2"/>
  <c r="BG327" i="2"/>
  <c r="BD327" i="2"/>
  <c r="BH327" i="2"/>
  <c r="BB318" i="2"/>
  <c r="AV468" i="2"/>
  <c r="AW468" i="2"/>
  <c r="AY468" i="2"/>
  <c r="AZ468" i="2"/>
  <c r="AZ612" i="2"/>
  <c r="AW612" i="2"/>
  <c r="AY612" i="2"/>
  <c r="AV612" i="2"/>
  <c r="AL406" i="2"/>
  <c r="AO405" i="2"/>
  <c r="AN405" i="2"/>
  <c r="BG554" i="2"/>
  <c r="BE554" i="2"/>
  <c r="BH554" i="2"/>
  <c r="BD554" i="2"/>
  <c r="BE620" i="2"/>
  <c r="BD620" i="2"/>
  <c r="BH620" i="2"/>
  <c r="BG620" i="2"/>
  <c r="BH556" i="2"/>
  <c r="BE556" i="2"/>
  <c r="BD556" i="2"/>
  <c r="BG556" i="2"/>
  <c r="AT1467" i="2"/>
  <c r="AY23" i="2"/>
  <c r="AW23" i="2"/>
  <c r="AV23" i="2"/>
  <c r="AZ23" i="2"/>
  <c r="BG1074" i="2"/>
  <c r="BH1074" i="2"/>
  <c r="BE1074" i="2"/>
  <c r="BD1074" i="2"/>
  <c r="AW418" i="2"/>
  <c r="AY418" i="2"/>
  <c r="AV418" i="2"/>
  <c r="AZ418" i="2"/>
  <c r="AT419" i="2"/>
  <c r="AZ27" i="2"/>
  <c r="AW27" i="2"/>
  <c r="AY27" i="2"/>
  <c r="AV27" i="2"/>
  <c r="AZ495" i="2"/>
  <c r="AV495" i="2"/>
  <c r="AW495" i="2"/>
  <c r="AY495" i="2"/>
  <c r="BF354" i="2"/>
  <c r="BG354" i="2" s="1"/>
  <c r="AN624" i="2"/>
  <c r="AO624" i="2"/>
  <c r="AR624" i="2"/>
  <c r="AQ624" i="2"/>
  <c r="AQ811" i="2"/>
  <c r="AN811" i="2"/>
  <c r="AO811" i="2"/>
  <c r="AR811" i="2"/>
  <c r="BF150" i="2"/>
  <c r="BF151" i="2" s="1"/>
  <c r="BG151" i="2" s="1"/>
  <c r="AW530" i="2"/>
  <c r="AZ530" i="2"/>
  <c r="AY530" i="2"/>
  <c r="AV530" i="2"/>
  <c r="AU36" i="2"/>
  <c r="BE589" i="2"/>
  <c r="BG589" i="2"/>
  <c r="BD589" i="2"/>
  <c r="BH589" i="2"/>
  <c r="AY68" i="2"/>
  <c r="AV68" i="2"/>
  <c r="AW68" i="2"/>
  <c r="AZ68" i="2"/>
  <c r="AN741" i="2"/>
  <c r="AR741" i="2"/>
  <c r="AO741" i="2"/>
  <c r="AQ741" i="2"/>
  <c r="AN1019" i="2"/>
  <c r="AR1019" i="2"/>
  <c r="AQ1019" i="2"/>
  <c r="AO1019" i="2"/>
  <c r="BH481" i="2"/>
  <c r="BE481" i="2"/>
  <c r="BD481" i="2"/>
  <c r="BG481" i="2"/>
  <c r="AW572" i="2"/>
  <c r="AV572" i="2"/>
  <c r="AZ572" i="2"/>
  <c r="AY572" i="2"/>
  <c r="AN880" i="2"/>
  <c r="AQ880" i="2"/>
  <c r="AR880" i="2"/>
  <c r="AO880" i="2"/>
  <c r="AZ58" i="2"/>
  <c r="AY58" i="2"/>
  <c r="AV58" i="2"/>
  <c r="AW58" i="2"/>
  <c r="AM277" i="2"/>
  <c r="AQ517" i="2"/>
  <c r="AO517" i="2"/>
  <c r="AN517" i="2"/>
  <c r="AR517" i="2"/>
  <c r="AN387" i="2"/>
  <c r="AQ387" i="2"/>
  <c r="AR387" i="2"/>
  <c r="AO387" i="2"/>
  <c r="AQ728" i="2"/>
  <c r="AR728" i="2"/>
  <c r="AN728" i="2"/>
  <c r="AO728" i="2"/>
  <c r="BF126" i="2"/>
  <c r="AZ538" i="2"/>
  <c r="AV538" i="2"/>
  <c r="AY538" i="2"/>
  <c r="AW538" i="2"/>
  <c r="AX202" i="2"/>
  <c r="AV954" i="2"/>
  <c r="AZ954" i="2"/>
  <c r="AY954" i="2"/>
  <c r="AW954" i="2"/>
  <c r="AO950" i="2"/>
  <c r="AN950" i="2"/>
  <c r="AQ950" i="2"/>
  <c r="AR950" i="2"/>
  <c r="AO183" i="2"/>
  <c r="AL179" i="2"/>
  <c r="AN183" i="2"/>
  <c r="AQ183" i="2"/>
  <c r="AR183" i="2"/>
  <c r="AP375" i="2"/>
  <c r="BE461" i="2"/>
  <c r="BD461" i="2"/>
  <c r="BH461" i="2"/>
  <c r="BG461" i="2"/>
  <c r="BG563" i="2"/>
  <c r="BH563" i="2"/>
  <c r="BE563" i="2"/>
  <c r="BD563" i="2"/>
  <c r="AN785" i="2"/>
  <c r="AR785" i="2"/>
  <c r="AO785" i="2"/>
  <c r="AQ785" i="2"/>
  <c r="AW963" i="2"/>
  <c r="AV963" i="2"/>
  <c r="AY963" i="2"/>
  <c r="AZ963" i="2"/>
  <c r="AZ235" i="2"/>
  <c r="AY235" i="2"/>
  <c r="AW235" i="2"/>
  <c r="AV235" i="2"/>
  <c r="BE150" i="2"/>
  <c r="BD150" i="2"/>
  <c r="BD58" i="2"/>
  <c r="BH58" i="2"/>
  <c r="BE58" i="2"/>
  <c r="BG58" i="2"/>
  <c r="BE1026" i="2"/>
  <c r="BH1026" i="2"/>
  <c r="BG1026" i="2"/>
  <c r="BD1026" i="2"/>
  <c r="AY935" i="2"/>
  <c r="AV935" i="2"/>
  <c r="AW935" i="2"/>
  <c r="AZ935" i="2"/>
  <c r="AO900" i="2"/>
  <c r="AQ900" i="2"/>
  <c r="AN900" i="2"/>
  <c r="AR900" i="2"/>
  <c r="AN942" i="2"/>
  <c r="AQ942" i="2"/>
  <c r="AR942" i="2"/>
  <c r="AO942" i="2"/>
  <c r="AV190" i="2"/>
  <c r="AW190" i="2"/>
  <c r="AT191" i="2"/>
  <c r="AY191" i="2" s="1"/>
  <c r="AY190" i="2"/>
  <c r="AZ190" i="2"/>
  <c r="AO513" i="2"/>
  <c r="AN513" i="2"/>
  <c r="AQ513" i="2"/>
  <c r="AR513" i="2"/>
  <c r="BC36" i="2"/>
  <c r="AQ964" i="2"/>
  <c r="AO964" i="2"/>
  <c r="AN964" i="2"/>
  <c r="AR964" i="2"/>
  <c r="BG1034" i="2"/>
  <c r="BE1034" i="2"/>
  <c r="BD1034" i="2"/>
  <c r="BH1034" i="2"/>
  <c r="AR948" i="2"/>
  <c r="AO948" i="2"/>
  <c r="AQ948" i="2"/>
  <c r="AN948" i="2"/>
  <c r="AZ1010" i="2"/>
  <c r="AW1010" i="2"/>
  <c r="AV1010" i="2"/>
  <c r="AY1010" i="2"/>
  <c r="AW32" i="2"/>
  <c r="AV32" i="2"/>
  <c r="AY32" i="2"/>
  <c r="AZ32" i="2"/>
  <c r="AX277" i="2"/>
  <c r="AO661" i="2"/>
  <c r="AN661" i="2"/>
  <c r="AR661" i="2"/>
  <c r="AQ661" i="2"/>
  <c r="BF85" i="2"/>
  <c r="BE361" i="2"/>
  <c r="BH361" i="2"/>
  <c r="BD361" i="2"/>
  <c r="BG361" i="2"/>
  <c r="BG979" i="2"/>
  <c r="BH979" i="2"/>
  <c r="BE979" i="2"/>
  <c r="BD979" i="2"/>
  <c r="AN809" i="2"/>
  <c r="AO809" i="2"/>
  <c r="AQ809" i="2"/>
  <c r="AR809" i="2"/>
  <c r="AY862" i="2"/>
  <c r="AW862" i="2"/>
  <c r="AV862" i="2"/>
  <c r="AZ862" i="2"/>
  <c r="BC412" i="2"/>
  <c r="AP126" i="2"/>
  <c r="BE927" i="2"/>
  <c r="BD927" i="2"/>
  <c r="BH927" i="2"/>
  <c r="BG927" i="2"/>
  <c r="BD665" i="2"/>
  <c r="BE665" i="2"/>
  <c r="BG665" i="2"/>
  <c r="BH665" i="2"/>
  <c r="AV914" i="2"/>
  <c r="AW914" i="2"/>
  <c r="AY914" i="2"/>
  <c r="AZ914" i="2"/>
  <c r="AV625" i="2"/>
  <c r="AZ625" i="2"/>
  <c r="AY625" i="2"/>
  <c r="AW625" i="2"/>
  <c r="AV1097" i="2"/>
  <c r="AZ1097" i="2"/>
  <c r="AW1097" i="2"/>
  <c r="AY1097" i="2"/>
  <c r="BD635" i="2"/>
  <c r="BE635" i="2"/>
  <c r="BG635" i="2"/>
  <c r="BH635" i="2"/>
  <c r="BD131" i="2"/>
  <c r="BH131" i="2"/>
  <c r="BG131" i="2"/>
  <c r="BE131" i="2"/>
  <c r="AO1070" i="2"/>
  <c r="AN1070" i="2"/>
  <c r="AQ1070" i="2"/>
  <c r="AR1070" i="2"/>
  <c r="BG915" i="2"/>
  <c r="BE915" i="2"/>
  <c r="BD915" i="2"/>
  <c r="BH915" i="2"/>
  <c r="AR567" i="2"/>
  <c r="AO567" i="2"/>
  <c r="AN567" i="2"/>
  <c r="AQ567" i="2"/>
  <c r="AZ387" i="2"/>
  <c r="AV387" i="2"/>
  <c r="AW387" i="2"/>
  <c r="AY387" i="2"/>
  <c r="BG627" i="2"/>
  <c r="BE627" i="2"/>
  <c r="BH627" i="2"/>
  <c r="BD627" i="2"/>
  <c r="AX347" i="2"/>
  <c r="BD502" i="2"/>
  <c r="BH502" i="2"/>
  <c r="BE502" i="2"/>
  <c r="BG502" i="2"/>
  <c r="AY1062" i="2"/>
  <c r="AV1062" i="2"/>
  <c r="AZ1062" i="2"/>
  <c r="AW1062" i="2"/>
  <c r="AQ493" i="2"/>
  <c r="AO493" i="2"/>
  <c r="AN493" i="2"/>
  <c r="AR493" i="2"/>
  <c r="AY689" i="2"/>
  <c r="AV689" i="2"/>
  <c r="AW689" i="2"/>
  <c r="AZ689" i="2"/>
  <c r="AZ488" i="2"/>
  <c r="AW488" i="2"/>
  <c r="AV488" i="2"/>
  <c r="AY488" i="2"/>
  <c r="BE1052" i="2"/>
  <c r="BG1052" i="2"/>
  <c r="BH1052" i="2"/>
  <c r="BD1052" i="2"/>
  <c r="AZ724" i="2"/>
  <c r="AW724" i="2"/>
  <c r="AY724" i="2"/>
  <c r="AV724" i="2"/>
  <c r="AZ539" i="2"/>
  <c r="AV539" i="2"/>
  <c r="AY539" i="2"/>
  <c r="AW539" i="2"/>
  <c r="BG638" i="2"/>
  <c r="BD638" i="2"/>
  <c r="BH638" i="2"/>
  <c r="BE638" i="2"/>
  <c r="AT406" i="2"/>
  <c r="AW405" i="2"/>
  <c r="AV405" i="2"/>
  <c r="AQ949" i="2"/>
  <c r="AN949" i="2"/>
  <c r="AO949" i="2"/>
  <c r="AR949" i="2"/>
  <c r="AY942" i="2"/>
  <c r="AZ942" i="2"/>
  <c r="AW942" i="2"/>
  <c r="AV942" i="2"/>
  <c r="AW977" i="2"/>
  <c r="AZ977" i="2"/>
  <c r="AV977" i="2"/>
  <c r="AY977" i="2"/>
  <c r="AZ620" i="2"/>
  <c r="AW620" i="2"/>
  <c r="AV620" i="2"/>
  <c r="AY620" i="2"/>
  <c r="AW655" i="2"/>
  <c r="AY655" i="2"/>
  <c r="AZ655" i="2"/>
  <c r="AV655" i="2"/>
  <c r="AM25" i="2"/>
  <c r="AZ806" i="2"/>
  <c r="AY806" i="2"/>
  <c r="AV806" i="2"/>
  <c r="AW806" i="2"/>
  <c r="BE445" i="2"/>
  <c r="BG445" i="2"/>
  <c r="BH445" i="2"/>
  <c r="BD445" i="2"/>
  <c r="BD1003" i="2"/>
  <c r="BH1003" i="2"/>
  <c r="BG1003" i="2"/>
  <c r="BE1003" i="2"/>
  <c r="AX378" i="2"/>
  <c r="AX385" i="2"/>
  <c r="AX377" i="2" s="1"/>
  <c r="AW472" i="2"/>
  <c r="AV472" i="2"/>
  <c r="AZ472" i="2"/>
  <c r="AY472" i="2"/>
  <c r="AO726" i="2"/>
  <c r="AR726" i="2"/>
  <c r="AN726" i="2"/>
  <c r="AQ726" i="2"/>
  <c r="AQ282" i="2"/>
  <c r="AO282" i="2"/>
  <c r="AN282" i="2"/>
  <c r="AR282" i="2"/>
  <c r="AP443" i="2"/>
  <c r="AP341" i="2" s="1"/>
  <c r="AY608" i="2"/>
  <c r="AW608" i="2"/>
  <c r="AV608" i="2"/>
  <c r="AZ608" i="2"/>
  <c r="AN1076" i="2"/>
  <c r="AQ1076" i="2"/>
  <c r="AR1076" i="2"/>
  <c r="AO1076" i="2"/>
  <c r="AV654" i="2"/>
  <c r="AW654" i="2"/>
  <c r="AY654" i="2"/>
  <c r="AZ654" i="2"/>
  <c r="BH1013" i="2"/>
  <c r="BD1013" i="2"/>
  <c r="BE1013" i="2"/>
  <c r="BG1013" i="2"/>
  <c r="AP347" i="2"/>
  <c r="AZ50" i="2"/>
  <c r="AV50" i="2"/>
  <c r="AW50" i="2"/>
  <c r="AY50" i="2"/>
  <c r="AQ869" i="2"/>
  <c r="AO869" i="2"/>
  <c r="AN869" i="2"/>
  <c r="AR869" i="2"/>
  <c r="AZ889" i="2"/>
  <c r="AW889" i="2"/>
  <c r="AV889" i="2"/>
  <c r="AY889" i="2"/>
  <c r="AN417" i="2"/>
  <c r="AO417" i="2"/>
  <c r="AQ417" i="2"/>
  <c r="AR417" i="2"/>
  <c r="BE498" i="2"/>
  <c r="BH498" i="2"/>
  <c r="BG498" i="2"/>
  <c r="BD498" i="2"/>
  <c r="AV353" i="2"/>
  <c r="AW353" i="2"/>
  <c r="BG224" i="2"/>
  <c r="BH224" i="2"/>
  <c r="BE224" i="2"/>
  <c r="BD224" i="2"/>
  <c r="BE705" i="2"/>
  <c r="BH705" i="2"/>
  <c r="BD705" i="2"/>
  <c r="BG705" i="2"/>
  <c r="BD471" i="2"/>
  <c r="BE471" i="2"/>
  <c r="BG471" i="2"/>
  <c r="BH471" i="2"/>
  <c r="BH816" i="2"/>
  <c r="BG816" i="2"/>
  <c r="BE816" i="2"/>
  <c r="BD816" i="2"/>
  <c r="AZ458" i="2"/>
  <c r="AY458" i="2"/>
  <c r="AV458" i="2"/>
  <c r="AW458" i="2"/>
  <c r="BH590" i="2"/>
  <c r="BG590" i="2"/>
  <c r="BE590" i="2"/>
  <c r="BD590" i="2"/>
  <c r="BH1008" i="2"/>
  <c r="BE1008" i="2"/>
  <c r="BG1008" i="2"/>
  <c r="BD1008" i="2"/>
  <c r="AX443" i="2"/>
  <c r="AX341" i="2" s="1"/>
  <c r="BD803" i="2"/>
  <c r="BH803" i="2"/>
  <c r="BG803" i="2"/>
  <c r="BE803" i="2"/>
  <c r="BG559" i="2"/>
  <c r="BH559" i="2"/>
  <c r="BE559" i="2"/>
  <c r="BD559" i="2"/>
  <c r="AP277" i="2"/>
  <c r="AV544" i="2"/>
  <c r="AW544" i="2"/>
  <c r="AT543" i="2"/>
  <c r="AZ544" i="2"/>
  <c r="AY544" i="2"/>
  <c r="AY946" i="2"/>
  <c r="AV946" i="2"/>
  <c r="AZ946" i="2"/>
  <c r="AW946" i="2"/>
  <c r="AR614" i="2"/>
  <c r="AO614" i="2"/>
  <c r="AN614" i="2"/>
  <c r="AQ614" i="2"/>
  <c r="BF389" i="2"/>
  <c r="BF379" i="2" s="1"/>
  <c r="BF380" i="2"/>
  <c r="AQ420" i="2"/>
  <c r="AO420" i="2"/>
  <c r="AR420" i="2"/>
  <c r="AN420" i="2"/>
  <c r="BH1030" i="2"/>
  <c r="BD1030" i="2"/>
  <c r="BE1030" i="2"/>
  <c r="BG1030" i="2"/>
  <c r="BD128" i="2"/>
  <c r="BG128" i="2"/>
  <c r="BE128" i="2"/>
  <c r="BH128" i="2"/>
  <c r="BB125" i="2"/>
  <c r="BH62" i="2"/>
  <c r="BD62" i="2"/>
  <c r="BE62" i="2"/>
  <c r="BG62" i="2"/>
  <c r="AV150" i="2"/>
  <c r="AW150" i="2"/>
  <c r="AW260" i="2"/>
  <c r="AV260" i="2"/>
  <c r="AY260" i="2"/>
  <c r="AT246" i="2"/>
  <c r="AZ260" i="2"/>
  <c r="AO995" i="2"/>
  <c r="AN995" i="2"/>
  <c r="AQ995" i="2"/>
  <c r="AR995" i="2"/>
  <c r="BE945" i="2"/>
  <c r="BH945" i="2"/>
  <c r="BG945" i="2"/>
  <c r="BD945" i="2"/>
  <c r="BG1015" i="2"/>
  <c r="BH1015" i="2"/>
  <c r="BE1015" i="2"/>
  <c r="BD1015" i="2"/>
  <c r="AM181" i="2"/>
  <c r="AO718" i="2"/>
  <c r="AR718" i="2"/>
  <c r="AQ718" i="2"/>
  <c r="AN718" i="2"/>
  <c r="AN334" i="2"/>
  <c r="AO334" i="2"/>
  <c r="AR334" i="2"/>
  <c r="AQ334" i="2"/>
  <c r="AY540" i="2"/>
  <c r="AV540" i="2"/>
  <c r="AW540" i="2"/>
  <c r="AZ540" i="2"/>
  <c r="AR392" i="2"/>
  <c r="AO392" i="2"/>
  <c r="AQ392" i="2"/>
  <c r="AN392" i="2"/>
  <c r="AN579" i="2"/>
  <c r="AR579" i="2"/>
  <c r="AQ579" i="2"/>
  <c r="AO579" i="2"/>
  <c r="AO103" i="2"/>
  <c r="AR103" i="2"/>
  <c r="AN103" i="2"/>
  <c r="AQ103" i="2"/>
  <c r="AV421" i="2"/>
  <c r="AZ421" i="2"/>
  <c r="AY421" i="2"/>
  <c r="AW421" i="2"/>
  <c r="BE744" i="2"/>
  <c r="BG744" i="2"/>
  <c r="BH744" i="2"/>
  <c r="BD744" i="2"/>
  <c r="BE986" i="2"/>
  <c r="BD986" i="2"/>
  <c r="BG986" i="2"/>
  <c r="BH986" i="2"/>
  <c r="AY609" i="2"/>
  <c r="AZ609" i="2"/>
  <c r="AV609" i="2"/>
  <c r="AW609" i="2"/>
  <c r="AN192" i="2"/>
  <c r="AR192" i="2"/>
  <c r="AO192" i="2"/>
  <c r="AQ192" i="2"/>
  <c r="BE889" i="2"/>
  <c r="BH889" i="2"/>
  <c r="BD889" i="2"/>
  <c r="BG889" i="2"/>
  <c r="BF246" i="2"/>
  <c r="AO613" i="2"/>
  <c r="AN613" i="2"/>
  <c r="AQ613" i="2"/>
  <c r="AR613" i="2"/>
  <c r="AO896" i="2"/>
  <c r="AN896" i="2"/>
  <c r="AR896" i="2"/>
  <c r="AQ896" i="2"/>
  <c r="BG1023" i="2"/>
  <c r="BH1023" i="2"/>
  <c r="BD1023" i="2"/>
  <c r="BE1023" i="2"/>
  <c r="BE1007" i="2"/>
  <c r="BD1007" i="2"/>
  <c r="BH1007" i="2"/>
  <c r="BG1007" i="2"/>
  <c r="AZ429" i="2"/>
  <c r="AY429" i="2"/>
  <c r="AV429" i="2"/>
  <c r="AW429" i="2"/>
  <c r="AT202" i="2"/>
  <c r="AY201" i="2"/>
  <c r="AY202" i="2" s="1"/>
  <c r="AW201" i="2"/>
  <c r="AZ201" i="2"/>
  <c r="AV201" i="2"/>
  <c r="AP363" i="2"/>
  <c r="AR97" i="2"/>
  <c r="AN97" i="2"/>
  <c r="AQ97" i="2"/>
  <c r="AO97" i="2"/>
  <c r="AN669" i="2"/>
  <c r="AQ669" i="2"/>
  <c r="AR669" i="2"/>
  <c r="AO669" i="2"/>
  <c r="AY741" i="2"/>
  <c r="AV741" i="2"/>
  <c r="AZ741" i="2"/>
  <c r="AW741" i="2"/>
  <c r="BD47" i="2"/>
  <c r="BG47" i="2"/>
  <c r="BE47" i="2"/>
  <c r="BH47" i="2"/>
  <c r="AY477" i="2"/>
  <c r="AV477" i="2"/>
  <c r="AZ477" i="2"/>
  <c r="AW477" i="2"/>
  <c r="AQ976" i="2"/>
  <c r="AR976" i="2"/>
  <c r="AO976" i="2"/>
  <c r="AN976" i="2"/>
  <c r="BD283" i="2"/>
  <c r="BH283" i="2"/>
  <c r="BE283" i="2"/>
  <c r="BG283" i="2"/>
  <c r="BG284" i="2" s="1"/>
  <c r="BB284" i="2"/>
  <c r="BE267" i="2"/>
  <c r="BB253" i="2"/>
  <c r="BH267" i="2"/>
  <c r="BG267" i="2"/>
  <c r="BD267" i="2"/>
  <c r="BH517" i="2"/>
  <c r="BE517" i="2"/>
  <c r="BD517" i="2"/>
  <c r="BG517" i="2"/>
  <c r="AQ816" i="2"/>
  <c r="AR816" i="2"/>
  <c r="AO816" i="2"/>
  <c r="AN816" i="2"/>
  <c r="AO888" i="2"/>
  <c r="AN888" i="2"/>
  <c r="AQ888" i="2"/>
  <c r="AR888" i="2"/>
  <c r="BH707" i="2"/>
  <c r="BG707" i="2"/>
  <c r="BD707" i="2"/>
  <c r="BE707" i="2"/>
  <c r="AN986" i="2"/>
  <c r="AR986" i="2"/>
  <c r="AQ986" i="2"/>
  <c r="AO986" i="2"/>
  <c r="AZ302" i="2"/>
  <c r="AV302" i="2"/>
  <c r="AY302" i="2"/>
  <c r="AW302" i="2"/>
  <c r="BH1004" i="2"/>
  <c r="BG1004" i="2"/>
  <c r="BD1004" i="2"/>
  <c r="BE1004" i="2"/>
  <c r="AO186" i="2"/>
  <c r="AN186" i="2"/>
  <c r="AQ186" i="2"/>
  <c r="AR186" i="2"/>
  <c r="AQ305" i="2"/>
  <c r="AN305" i="2"/>
  <c r="AO305" i="2"/>
  <c r="AR305" i="2"/>
  <c r="AO1033" i="2"/>
  <c r="AN1033" i="2"/>
  <c r="AR1033" i="2"/>
  <c r="AQ1033" i="2"/>
  <c r="AW953" i="2"/>
  <c r="AY953" i="2"/>
  <c r="AZ953" i="2"/>
  <c r="AV953" i="2"/>
  <c r="BF20" i="2"/>
  <c r="AV337" i="2"/>
  <c r="AZ337" i="2"/>
  <c r="AW337" i="2"/>
  <c r="AY337" i="2"/>
  <c r="BG1049" i="2"/>
  <c r="BE1049" i="2"/>
  <c r="BH1049" i="2"/>
  <c r="BD1049" i="2"/>
  <c r="BH469" i="2"/>
  <c r="BE469" i="2"/>
  <c r="BG469" i="2"/>
  <c r="BD469" i="2"/>
  <c r="BG417" i="2"/>
  <c r="BD417" i="2"/>
  <c r="BE417" i="2"/>
  <c r="BH417" i="2"/>
  <c r="AO549" i="2"/>
  <c r="AN549" i="2"/>
  <c r="AQ549" i="2"/>
  <c r="AR549" i="2"/>
  <c r="AQ1088" i="2"/>
  <c r="AR1088" i="2"/>
  <c r="AO1088" i="2"/>
  <c r="AN1088" i="2"/>
  <c r="AR870" i="2"/>
  <c r="AO870" i="2"/>
  <c r="AN870" i="2"/>
  <c r="AQ870" i="2"/>
  <c r="BG146" i="2"/>
  <c r="BH146" i="2"/>
  <c r="BE146" i="2"/>
  <c r="BD146" i="2"/>
  <c r="BB317" i="2"/>
  <c r="BD326" i="2"/>
  <c r="BE326" i="2"/>
  <c r="BG326" i="2"/>
  <c r="BH326" i="2"/>
  <c r="AZ1057" i="2"/>
  <c r="AY1057" i="2"/>
  <c r="AW1057" i="2"/>
  <c r="AV1057" i="2"/>
  <c r="BF1465" i="2"/>
  <c r="AW682" i="2"/>
  <c r="AV682" i="2"/>
  <c r="AZ682" i="2"/>
  <c r="AY682" i="2"/>
  <c r="AO982" i="2"/>
  <c r="AN982" i="2"/>
  <c r="AQ982" i="2"/>
  <c r="AR982" i="2"/>
  <c r="BH114" i="2"/>
  <c r="BD114" i="2"/>
  <c r="BE114" i="2"/>
  <c r="BG114" i="2"/>
  <c r="BE965" i="2"/>
  <c r="BD965" i="2"/>
  <c r="BG965" i="2"/>
  <c r="BH965" i="2"/>
  <c r="AV192" i="2"/>
  <c r="AY192" i="2"/>
  <c r="AW192" i="2"/>
  <c r="AZ192" i="2"/>
  <c r="AW459" i="2"/>
  <c r="AV459" i="2"/>
  <c r="AY459" i="2"/>
  <c r="AZ459" i="2"/>
  <c r="BD733" i="2"/>
  <c r="BH733" i="2"/>
  <c r="BG733" i="2"/>
  <c r="BE733" i="2"/>
  <c r="AY52" i="2"/>
  <c r="AW52" i="2"/>
  <c r="AV52" i="2"/>
  <c r="AZ52" i="2"/>
  <c r="BE725" i="2"/>
  <c r="BG725" i="2"/>
  <c r="BH725" i="2"/>
  <c r="BD725" i="2"/>
  <c r="BG302" i="2"/>
  <c r="BD302" i="2"/>
  <c r="BE302" i="2"/>
  <c r="BH302" i="2"/>
  <c r="AU242" i="2"/>
  <c r="AQ57" i="2"/>
  <c r="AO57" i="2"/>
  <c r="AR57" i="2"/>
  <c r="AN57" i="2"/>
  <c r="AO231" i="2"/>
  <c r="AQ231" i="2"/>
  <c r="AN231" i="2"/>
  <c r="AR231" i="2"/>
  <c r="AL319" i="2"/>
  <c r="AN328" i="2"/>
  <c r="AR328" i="2"/>
  <c r="AQ328" i="2"/>
  <c r="AO328" i="2"/>
  <c r="AQ303" i="2"/>
  <c r="AR303" i="2"/>
  <c r="AO303" i="2"/>
  <c r="AN303" i="2"/>
  <c r="AX320" i="2"/>
  <c r="BH1011" i="2"/>
  <c r="BG1011" i="2"/>
  <c r="BD1011" i="2"/>
  <c r="BE1011" i="2"/>
  <c r="AZ783" i="2"/>
  <c r="AY783" i="2"/>
  <c r="AV783" i="2"/>
  <c r="AW783" i="2"/>
  <c r="BD496" i="2"/>
  <c r="BE496" i="2"/>
  <c r="BH496" i="2"/>
  <c r="BG496" i="2"/>
  <c r="BE755" i="2"/>
  <c r="BD755" i="2"/>
  <c r="AW22" i="2"/>
  <c r="AY22" i="2"/>
  <c r="AV22" i="2"/>
  <c r="AZ22" i="2"/>
  <c r="AT1459" i="2"/>
  <c r="BD1073" i="2"/>
  <c r="BG1073" i="2"/>
  <c r="BH1073" i="2"/>
  <c r="BE1073" i="2"/>
  <c r="AO623" i="2"/>
  <c r="AR623" i="2"/>
  <c r="AQ623" i="2"/>
  <c r="AN623" i="2"/>
  <c r="BE31" i="2"/>
  <c r="BD31" i="2"/>
  <c r="BG31" i="2"/>
  <c r="BH31" i="2"/>
  <c r="AR847" i="2"/>
  <c r="AO847" i="2"/>
  <c r="AN847" i="2"/>
  <c r="AQ847" i="2"/>
  <c r="AQ644" i="2"/>
  <c r="AR644" i="2"/>
  <c r="AO644" i="2"/>
  <c r="AN644" i="2"/>
  <c r="AN64" i="2"/>
  <c r="AQ64" i="2"/>
  <c r="AO64" i="2"/>
  <c r="AR64" i="2"/>
  <c r="AY308" i="2"/>
  <c r="AW308" i="2"/>
  <c r="AZ308" i="2"/>
  <c r="AV308" i="2"/>
  <c r="AV144" i="2"/>
  <c r="AZ144" i="2"/>
  <c r="AW144" i="2"/>
  <c r="AY144" i="2"/>
  <c r="AN731" i="2"/>
  <c r="AQ731" i="2"/>
  <c r="AO731" i="2"/>
  <c r="AR731" i="2"/>
  <c r="BB406" i="2"/>
  <c r="BD406" i="2" s="1"/>
  <c r="BD405" i="2"/>
  <c r="BE405" i="2"/>
  <c r="AU136" i="2"/>
  <c r="AV264" i="2"/>
  <c r="AY264" i="2"/>
  <c r="AW264" i="2"/>
  <c r="AZ264" i="2"/>
  <c r="AT250" i="2"/>
  <c r="BG23" i="2"/>
  <c r="BH23" i="2"/>
  <c r="BD23" i="2"/>
  <c r="BB1467" i="2"/>
  <c r="BE23" i="2"/>
  <c r="AW1048" i="2"/>
  <c r="AV1048" i="2"/>
  <c r="AY1048" i="2"/>
  <c r="AZ1048" i="2"/>
  <c r="AO321" i="2"/>
  <c r="AN321" i="2"/>
  <c r="AQ321" i="2"/>
  <c r="AL312" i="2"/>
  <c r="AR321" i="2"/>
  <c r="BG216" i="2"/>
  <c r="BE216" i="2"/>
  <c r="BD216" i="2"/>
  <c r="BH216" i="2"/>
  <c r="AZ569" i="2"/>
  <c r="AW569" i="2"/>
  <c r="AY569" i="2"/>
  <c r="AV569" i="2"/>
  <c r="AR470" i="2"/>
  <c r="AO470" i="2"/>
  <c r="AN470" i="2"/>
  <c r="AQ470" i="2"/>
  <c r="AO110" i="2"/>
  <c r="AR110" i="2"/>
  <c r="AQ110" i="2"/>
  <c r="AN110" i="2"/>
  <c r="AV220" i="2"/>
  <c r="AY220" i="2"/>
  <c r="AW220" i="2"/>
  <c r="AZ220" i="2"/>
  <c r="BG604" i="2"/>
  <c r="BD604" i="2"/>
  <c r="BE604" i="2"/>
  <c r="BH604" i="2"/>
  <c r="AQ415" i="2"/>
  <c r="AR415" i="2"/>
  <c r="AN415" i="2"/>
  <c r="AO415" i="2"/>
  <c r="AY553" i="2"/>
  <c r="AZ553" i="2"/>
  <c r="AW553" i="2"/>
  <c r="AV553" i="2"/>
  <c r="BD740" i="2"/>
  <c r="BG740" i="2"/>
  <c r="BE740" i="2"/>
  <c r="BH740" i="2"/>
  <c r="AN672" i="2"/>
  <c r="AO672" i="2"/>
  <c r="AQ672" i="2"/>
  <c r="AR672" i="2"/>
  <c r="AV1089" i="2"/>
  <c r="AZ1089" i="2"/>
  <c r="AW1089" i="2"/>
  <c r="AY1089" i="2"/>
  <c r="BH232" i="2"/>
  <c r="BE232" i="2"/>
  <c r="BG232" i="2"/>
  <c r="BD232" i="2"/>
  <c r="BD515" i="2"/>
  <c r="BH515" i="2"/>
  <c r="BE515" i="2"/>
  <c r="BG515" i="2"/>
  <c r="AR954" i="2"/>
  <c r="AQ954" i="2"/>
  <c r="AO954" i="2"/>
  <c r="AN954" i="2"/>
  <c r="BD964" i="2"/>
  <c r="BH964" i="2"/>
  <c r="BG964" i="2"/>
  <c r="BE964" i="2"/>
  <c r="BG697" i="2"/>
  <c r="BD697" i="2"/>
  <c r="BH697" i="2"/>
  <c r="BE697" i="2"/>
  <c r="AO1099" i="2"/>
  <c r="AQ1099" i="2"/>
  <c r="AR1099" i="2"/>
  <c r="AN1099" i="2"/>
  <c r="BD501" i="2"/>
  <c r="BH501" i="2"/>
  <c r="BE501" i="2"/>
  <c r="BG501" i="2"/>
  <c r="BG366" i="2"/>
  <c r="BE366" i="2"/>
  <c r="BH366" i="2"/>
  <c r="BD366" i="2"/>
  <c r="AQ168" i="2"/>
  <c r="AR168" i="2"/>
  <c r="AO168" i="2"/>
  <c r="AN168" i="2"/>
  <c r="AN335" i="2"/>
  <c r="AL336" i="2"/>
  <c r="AO335" i="2"/>
  <c r="AR335" i="2"/>
  <c r="AQ335" i="2"/>
  <c r="AZ236" i="2"/>
  <c r="AW236" i="2"/>
  <c r="AY236" i="2"/>
  <c r="AV236" i="2"/>
  <c r="BG72" i="2"/>
  <c r="BH72" i="2"/>
  <c r="BE72" i="2"/>
  <c r="BD72" i="2"/>
  <c r="BG652" i="2"/>
  <c r="BE652" i="2"/>
  <c r="BD652" i="2"/>
  <c r="BH652" i="2"/>
  <c r="BG494" i="2"/>
  <c r="BH494" i="2"/>
  <c r="BD494" i="2"/>
  <c r="BE494" i="2"/>
  <c r="BD610" i="2"/>
  <c r="BH610" i="2"/>
  <c r="BG610" i="2"/>
  <c r="BE610" i="2"/>
  <c r="BD523" i="2"/>
  <c r="BE523" i="2"/>
  <c r="BG523" i="2"/>
  <c r="BH523" i="2"/>
  <c r="BH713" i="2"/>
  <c r="BE713" i="2"/>
  <c r="BG713" i="2"/>
  <c r="BD713" i="2"/>
  <c r="AR924" i="2"/>
  <c r="AO924" i="2"/>
  <c r="AQ924" i="2"/>
  <c r="AN924" i="2"/>
  <c r="AO571" i="2"/>
  <c r="AR571" i="2"/>
  <c r="AN571" i="2"/>
  <c r="AQ571" i="2"/>
  <c r="BF140" i="2"/>
  <c r="BH932" i="2"/>
  <c r="BD932" i="2"/>
  <c r="BG932" i="2"/>
  <c r="BE932" i="2"/>
  <c r="AZ1081" i="2"/>
  <c r="AW1081" i="2"/>
  <c r="AY1081" i="2"/>
  <c r="AV1081" i="2"/>
  <c r="BE823" i="2"/>
  <c r="BD823" i="2"/>
  <c r="BH823" i="2"/>
  <c r="BG823" i="2"/>
  <c r="BF29" i="2"/>
  <c r="AV563" i="2"/>
  <c r="AW563" i="2"/>
  <c r="AY563" i="2"/>
  <c r="AZ563" i="2"/>
  <c r="AO260" i="2"/>
  <c r="AR260" i="2"/>
  <c r="AL246" i="2"/>
  <c r="AN260" i="2"/>
  <c r="AQ260" i="2"/>
  <c r="AR646" i="2"/>
  <c r="AO646" i="2"/>
  <c r="AN646" i="2"/>
  <c r="AQ646" i="2"/>
  <c r="AN822" i="2"/>
  <c r="AO822" i="2"/>
  <c r="AR822" i="2"/>
  <c r="AQ822" i="2"/>
  <c r="AY462" i="2"/>
  <c r="AV462" i="2"/>
  <c r="AW462" i="2"/>
  <c r="AZ462" i="2"/>
  <c r="AZ765" i="2"/>
  <c r="AW765" i="2"/>
  <c r="AV765" i="2"/>
  <c r="AY765" i="2"/>
  <c r="BG880" i="2"/>
  <c r="BH880" i="2"/>
  <c r="BE880" i="2"/>
  <c r="BD880" i="2"/>
  <c r="AT1460" i="2"/>
  <c r="AY21" i="2"/>
  <c r="AW21" i="2"/>
  <c r="AZ21" i="2"/>
  <c r="AV21" i="2"/>
  <c r="BC83" i="2"/>
  <c r="BE83" i="2" s="1"/>
  <c r="BD701" i="2"/>
  <c r="BH701" i="2"/>
  <c r="BG701" i="2"/>
  <c r="BE701" i="2"/>
  <c r="AP354" i="2"/>
  <c r="AY823" i="2"/>
  <c r="AV823" i="2"/>
  <c r="AW823" i="2"/>
  <c r="AZ823" i="2"/>
  <c r="BC29" i="2"/>
  <c r="AO595" i="2"/>
  <c r="AR595" i="2"/>
  <c r="AN595" i="2"/>
  <c r="AQ595" i="2"/>
  <c r="AP1460" i="2"/>
  <c r="BH121" i="2"/>
  <c r="BE121" i="2"/>
  <c r="BG121" i="2"/>
  <c r="BD121" i="2"/>
  <c r="BE429" i="2"/>
  <c r="BH429" i="2"/>
  <c r="BD429" i="2"/>
  <c r="BG429" i="2"/>
  <c r="AW1000" i="2"/>
  <c r="AV1000" i="2"/>
  <c r="AZ1000" i="2"/>
  <c r="AY1000" i="2"/>
  <c r="AW793" i="2"/>
  <c r="AV793" i="2"/>
  <c r="BF96" i="2"/>
  <c r="AY921" i="2"/>
  <c r="AW921" i="2"/>
  <c r="AV921" i="2"/>
  <c r="AZ921" i="2"/>
  <c r="AN45" i="2"/>
  <c r="AQ45" i="2"/>
  <c r="AR45" i="2"/>
  <c r="AO45" i="2"/>
  <c r="AW777" i="2"/>
  <c r="AY777" i="2"/>
  <c r="AV777" i="2"/>
  <c r="AZ777" i="2"/>
  <c r="AU1460" i="2"/>
  <c r="BE257" i="2"/>
  <c r="BG257" i="2"/>
  <c r="BD257" i="2"/>
  <c r="BB243" i="2"/>
  <c r="BG243" i="2" s="1"/>
  <c r="BH257" i="2"/>
  <c r="BC536" i="2"/>
  <c r="AL543" i="2"/>
  <c r="AQ544" i="2"/>
  <c r="AR544" i="2"/>
  <c r="AO544" i="2"/>
  <c r="AN544" i="2"/>
  <c r="AO837" i="2"/>
  <c r="AQ837" i="2"/>
  <c r="AR837" i="2"/>
  <c r="AN837" i="2"/>
  <c r="AN14" i="2"/>
  <c r="AL1455" i="2"/>
  <c r="AR14" i="2"/>
  <c r="AQ14" i="2"/>
  <c r="AO14" i="2"/>
  <c r="AV842" i="2"/>
  <c r="AW842" i="2"/>
  <c r="AY842" i="2"/>
  <c r="AZ842" i="2"/>
  <c r="AO602" i="2"/>
  <c r="AN602" i="2"/>
  <c r="AR602" i="2"/>
  <c r="AQ602" i="2"/>
  <c r="BE566" i="2"/>
  <c r="BG566" i="2"/>
  <c r="BD566" i="2"/>
  <c r="BH566" i="2"/>
  <c r="AY453" i="2"/>
  <c r="AV453" i="2"/>
  <c r="AW453" i="2"/>
  <c r="AZ453" i="2"/>
  <c r="BG268" i="2"/>
  <c r="BH268" i="2"/>
  <c r="BD268" i="2"/>
  <c r="BE268" i="2"/>
  <c r="AU177" i="2"/>
  <c r="BG295" i="2"/>
  <c r="BD295" i="2"/>
  <c r="BH295" i="2"/>
  <c r="BE295" i="2"/>
  <c r="AR915" i="2"/>
  <c r="AO915" i="2"/>
  <c r="AQ915" i="2"/>
  <c r="AN915" i="2"/>
  <c r="AR95" i="2"/>
  <c r="AL96" i="2"/>
  <c r="AN96" i="2" s="1"/>
  <c r="AN95" i="2"/>
  <c r="AQ95" i="2"/>
  <c r="AO95" i="2"/>
  <c r="AY1025" i="2"/>
  <c r="AZ1025" i="2"/>
  <c r="AW1025" i="2"/>
  <c r="AV1025" i="2"/>
  <c r="AN445" i="2"/>
  <c r="AQ445" i="2"/>
  <c r="AR445" i="2"/>
  <c r="AO445" i="2"/>
  <c r="AZ991" i="2"/>
  <c r="AW991" i="2"/>
  <c r="AV991" i="2"/>
  <c r="AY991" i="2"/>
  <c r="AO849" i="2"/>
  <c r="AR849" i="2"/>
  <c r="AQ849" i="2"/>
  <c r="AN849" i="2"/>
  <c r="AO943" i="2"/>
  <c r="AR943" i="2"/>
  <c r="AN943" i="2"/>
  <c r="AQ943" i="2"/>
  <c r="BH582" i="2"/>
  <c r="BD582" i="2"/>
  <c r="BG582" i="2"/>
  <c r="BE582" i="2"/>
  <c r="AY344" i="2"/>
  <c r="AV344" i="2"/>
  <c r="AZ344" i="2"/>
  <c r="AW344" i="2"/>
  <c r="BD900" i="2"/>
  <c r="BH900" i="2"/>
  <c r="BE900" i="2"/>
  <c r="BG900" i="2"/>
  <c r="BE234" i="2"/>
  <c r="BD234" i="2"/>
  <c r="BH234" i="2"/>
  <c r="BG234" i="2"/>
  <c r="AM319" i="2"/>
  <c r="AV639" i="2"/>
  <c r="AY639" i="2"/>
  <c r="AZ639" i="2"/>
  <c r="AW639" i="2"/>
  <c r="BD588" i="2"/>
  <c r="BH588" i="2"/>
  <c r="BG588" i="2"/>
  <c r="BE588" i="2"/>
  <c r="AN15" i="2"/>
  <c r="AQ15" i="2"/>
  <c r="AR15" i="2"/>
  <c r="AO15" i="2"/>
  <c r="BG154" i="2"/>
  <c r="BH154" i="2"/>
  <c r="BE154" i="2"/>
  <c r="BD154" i="2"/>
  <c r="BH831" i="2"/>
  <c r="BG831" i="2"/>
  <c r="BE831" i="2"/>
  <c r="BD831" i="2"/>
  <c r="BD220" i="2"/>
  <c r="BG220" i="2"/>
  <c r="BE220" i="2"/>
  <c r="BH220" i="2"/>
  <c r="AV323" i="2"/>
  <c r="AY323" i="2"/>
  <c r="AT314" i="2"/>
  <c r="AY314" i="2" s="1"/>
  <c r="AZ323" i="2"/>
  <c r="AW323" i="2"/>
  <c r="AZ483" i="2"/>
  <c r="AY483" i="2"/>
  <c r="AV483" i="2"/>
  <c r="AW483" i="2"/>
  <c r="AZ1036" i="2"/>
  <c r="AW1036" i="2"/>
  <c r="AV1036" i="2"/>
  <c r="AY1036" i="2"/>
  <c r="BH887" i="2"/>
  <c r="BG887" i="2"/>
  <c r="BD887" i="2"/>
  <c r="BE887" i="2"/>
  <c r="AO488" i="2"/>
  <c r="AQ488" i="2"/>
  <c r="AN488" i="2"/>
  <c r="AR488" i="2"/>
  <c r="AQ966" i="2"/>
  <c r="AR966" i="2"/>
  <c r="AN966" i="2"/>
  <c r="AO966" i="2"/>
  <c r="AX136" i="2"/>
  <c r="AY136" i="2" s="1"/>
  <c r="BE931" i="2"/>
  <c r="BG931" i="2"/>
  <c r="BH931" i="2"/>
  <c r="BD931" i="2"/>
  <c r="AW292" i="2"/>
  <c r="AZ292" i="2"/>
  <c r="AV292" i="2"/>
  <c r="AY292" i="2"/>
  <c r="BH139" i="2"/>
  <c r="BD139" i="2"/>
  <c r="BB140" i="2"/>
  <c r="BG139" i="2"/>
  <c r="BE139" i="2"/>
  <c r="AX389" i="2"/>
  <c r="AX379" i="2" s="1"/>
  <c r="AX380" i="2"/>
  <c r="AX543" i="2"/>
  <c r="AX81" i="2"/>
  <c r="AX124" i="2"/>
  <c r="BE985" i="2"/>
  <c r="BD985" i="2"/>
  <c r="BH985" i="2"/>
  <c r="BG985" i="2"/>
  <c r="AQ715" i="2"/>
  <c r="AO715" i="2"/>
  <c r="AN715" i="2"/>
  <c r="AR715" i="2"/>
  <c r="AW577" i="2"/>
  <c r="AZ577" i="2"/>
  <c r="AY577" i="2"/>
  <c r="AV577" i="2"/>
  <c r="AW1026" i="2"/>
  <c r="AY1026" i="2"/>
  <c r="AV1026" i="2"/>
  <c r="AZ1026" i="2"/>
  <c r="AL180" i="2"/>
  <c r="AN184" i="2"/>
  <c r="AR184" i="2"/>
  <c r="AO184" i="2"/>
  <c r="AQ184" i="2"/>
  <c r="AW49" i="2"/>
  <c r="AZ49" i="2"/>
  <c r="AV49" i="2"/>
  <c r="AY49" i="2"/>
  <c r="AV484" i="2"/>
  <c r="AZ484" i="2"/>
  <c r="AW484" i="2"/>
  <c r="AY484" i="2"/>
  <c r="BF251" i="2"/>
  <c r="AP376" i="2"/>
  <c r="AZ731" i="2"/>
  <c r="AW731" i="2"/>
  <c r="AY731" i="2"/>
  <c r="AV731" i="2"/>
  <c r="AR805" i="2"/>
  <c r="AN805" i="2"/>
  <c r="AQ805" i="2"/>
  <c r="AO805" i="2"/>
  <c r="BD350" i="2"/>
  <c r="BE350" i="2"/>
  <c r="BG350" i="2"/>
  <c r="BH350" i="2"/>
  <c r="AR690" i="2"/>
  <c r="AN690" i="2"/>
  <c r="AQ690" i="2"/>
  <c r="AO690" i="2"/>
  <c r="AX252" i="2"/>
  <c r="AZ985" i="2"/>
  <c r="AV985" i="2"/>
  <c r="AY985" i="2"/>
  <c r="AW985" i="2"/>
  <c r="AX318" i="2"/>
  <c r="BH409" i="2"/>
  <c r="BG409" i="2"/>
  <c r="BE409" i="2"/>
  <c r="BD409" i="2"/>
  <c r="AZ130" i="2"/>
  <c r="AW130" i="2"/>
  <c r="AV130" i="2"/>
  <c r="AT127" i="2"/>
  <c r="AY130" i="2"/>
  <c r="AV174" i="2"/>
  <c r="AW174" i="2"/>
  <c r="AY174" i="2"/>
  <c r="AZ174" i="2"/>
  <c r="AP191" i="2"/>
  <c r="AM29" i="2"/>
  <c r="BD746" i="2"/>
  <c r="BE746" i="2"/>
  <c r="BH746" i="2"/>
  <c r="BG746" i="2"/>
  <c r="AZ545" i="2"/>
  <c r="AY545" i="2"/>
  <c r="AV545" i="2"/>
  <c r="AW545" i="2"/>
  <c r="AO324" i="2"/>
  <c r="AL315" i="2"/>
  <c r="AN324" i="2"/>
  <c r="AQ324" i="2"/>
  <c r="AR324" i="2"/>
  <c r="BG933" i="2"/>
  <c r="BD933" i="2"/>
  <c r="BE933" i="2"/>
  <c r="BH933" i="2"/>
  <c r="AZ850" i="2"/>
  <c r="AW850" i="2"/>
  <c r="AY850" i="2"/>
  <c r="AV850" i="2"/>
  <c r="BE1099" i="2"/>
  <c r="BD1099" i="2"/>
  <c r="BG1099" i="2"/>
  <c r="BH1099" i="2"/>
  <c r="AP319" i="2"/>
  <c r="AY214" i="2"/>
  <c r="AW214" i="2"/>
  <c r="AZ214" i="2"/>
  <c r="AV214" i="2"/>
  <c r="BE580" i="2"/>
  <c r="BH580" i="2"/>
  <c r="BG580" i="2"/>
  <c r="BD580" i="2"/>
  <c r="AO846" i="2"/>
  <c r="AQ846" i="2"/>
  <c r="AR846" i="2"/>
  <c r="AN846" i="2"/>
  <c r="BE987" i="2"/>
  <c r="BH987" i="2"/>
  <c r="BD987" i="2"/>
  <c r="BG987" i="2"/>
  <c r="AY853" i="2"/>
  <c r="AZ853" i="2"/>
  <c r="AV853" i="2"/>
  <c r="AW853" i="2"/>
  <c r="BH386" i="2"/>
  <c r="BG386" i="2"/>
  <c r="BD386" i="2"/>
  <c r="BE386" i="2"/>
  <c r="BB385" i="2"/>
  <c r="BB378" i="2"/>
  <c r="AX363" i="2"/>
  <c r="AX362" i="2" s="1"/>
  <c r="AQ710" i="2"/>
  <c r="AN710" i="2"/>
  <c r="AO710" i="2"/>
  <c r="AR710" i="2"/>
  <c r="AR897" i="2"/>
  <c r="AO897" i="2"/>
  <c r="AN897" i="2"/>
  <c r="AQ897" i="2"/>
  <c r="BD103" i="2"/>
  <c r="BG103" i="2"/>
  <c r="BH103" i="2"/>
  <c r="BE103" i="2"/>
  <c r="BD119" i="2"/>
  <c r="BE119" i="2"/>
  <c r="BG119" i="2"/>
  <c r="BH119" i="2"/>
  <c r="BD690" i="2"/>
  <c r="BH690" i="2"/>
  <c r="BG690" i="2"/>
  <c r="BE690" i="2"/>
  <c r="AZ584" i="2"/>
  <c r="AW584" i="2"/>
  <c r="AY584" i="2"/>
  <c r="AV584" i="2"/>
  <c r="BE640" i="2"/>
  <c r="BD640" i="2"/>
  <c r="BG640" i="2"/>
  <c r="BH640" i="2"/>
  <c r="AR992" i="2"/>
  <c r="AN992" i="2"/>
  <c r="AQ992" i="2"/>
  <c r="AO992" i="2"/>
  <c r="AO911" i="2"/>
  <c r="AN911" i="2"/>
  <c r="AQ911" i="2"/>
  <c r="AR911" i="2"/>
  <c r="BC314" i="2"/>
  <c r="AR238" i="2"/>
  <c r="AN238" i="2"/>
  <c r="AQ238" i="2"/>
  <c r="AL239" i="2"/>
  <c r="AO238" i="2"/>
  <c r="BD383" i="2"/>
  <c r="BB375" i="2"/>
  <c r="BE383" i="2"/>
  <c r="BH383" i="2"/>
  <c r="BG383" i="2"/>
  <c r="BE265" i="2"/>
  <c r="BB251" i="2"/>
  <c r="BD265" i="2"/>
  <c r="BG265" i="2"/>
  <c r="BH265" i="2"/>
  <c r="AQ838" i="2"/>
  <c r="AN838" i="2"/>
  <c r="AO838" i="2"/>
  <c r="AR838" i="2"/>
  <c r="AW917" i="2"/>
  <c r="AV917" i="2"/>
  <c r="AY917" i="2"/>
  <c r="AZ917" i="2"/>
  <c r="AO345" i="2"/>
  <c r="AN345" i="2"/>
  <c r="AQ345" i="2"/>
  <c r="AR345" i="2"/>
  <c r="AX316" i="2"/>
  <c r="AV828" i="2"/>
  <c r="AW828" i="2"/>
  <c r="AY828" i="2"/>
  <c r="AZ828" i="2"/>
  <c r="BG509" i="2"/>
  <c r="BD509" i="2"/>
  <c r="BE509" i="2"/>
  <c r="BH509" i="2"/>
  <c r="BG843" i="2"/>
  <c r="BH843" i="2"/>
  <c r="BE843" i="2"/>
  <c r="BD843" i="2"/>
  <c r="AR561" i="2"/>
  <c r="AQ561" i="2"/>
  <c r="AO561" i="2"/>
  <c r="AN561" i="2"/>
  <c r="BD34" i="2"/>
  <c r="BH34" i="2"/>
  <c r="BG34" i="2"/>
  <c r="BE34" i="2"/>
  <c r="AU380" i="2"/>
  <c r="AO43" i="2"/>
  <c r="AR43" i="2"/>
  <c r="AN43" i="2"/>
  <c r="AQ43" i="2"/>
  <c r="AZ510" i="2"/>
  <c r="AY510" i="2"/>
  <c r="AW510" i="2"/>
  <c r="AV510" i="2"/>
  <c r="AQ974" i="2"/>
  <c r="AN974" i="2"/>
  <c r="AR974" i="2"/>
  <c r="AO974" i="2"/>
  <c r="AV30" i="2"/>
  <c r="AZ30" i="2"/>
  <c r="AY30" i="2"/>
  <c r="AW30" i="2"/>
  <c r="BH761" i="2"/>
  <c r="BG761" i="2"/>
  <c r="BD761" i="2"/>
  <c r="BE761" i="2"/>
  <c r="AN461" i="2"/>
  <c r="AO461" i="2"/>
  <c r="AQ461" i="2"/>
  <c r="AR461" i="2"/>
  <c r="AX181" i="2"/>
  <c r="AV490" i="2"/>
  <c r="AW490" i="2"/>
  <c r="AZ490" i="2"/>
  <c r="AY490" i="2"/>
  <c r="AZ349" i="2"/>
  <c r="AV349" i="2"/>
  <c r="AY349" i="2"/>
  <c r="AW349" i="2"/>
  <c r="AN265" i="2"/>
  <c r="AR265" i="2"/>
  <c r="AQ265" i="2"/>
  <c r="AO265" i="2"/>
  <c r="AL251" i="2"/>
  <c r="AV208" i="2"/>
  <c r="AY208" i="2"/>
  <c r="AZ208" i="2"/>
  <c r="AW208" i="2"/>
  <c r="AU317" i="2"/>
  <c r="BG949" i="2"/>
  <c r="BH949" i="2"/>
  <c r="BD949" i="2"/>
  <c r="BE949" i="2"/>
  <c r="AV941" i="2"/>
  <c r="AZ941" i="2"/>
  <c r="AY941" i="2"/>
  <c r="AW941" i="2"/>
  <c r="AQ54" i="2"/>
  <c r="AN54" i="2"/>
  <c r="AO54" i="2"/>
  <c r="AR54" i="2"/>
  <c r="AM79" i="2"/>
  <c r="AW660" i="2"/>
  <c r="AZ660" i="2"/>
  <c r="AV660" i="2"/>
  <c r="AY660" i="2"/>
  <c r="AY784" i="2"/>
  <c r="AZ784" i="2"/>
  <c r="AV784" i="2"/>
  <c r="AW784" i="2"/>
  <c r="AN469" i="2"/>
  <c r="AO469" i="2"/>
  <c r="AR469" i="2"/>
  <c r="AQ469" i="2"/>
  <c r="AM315" i="2"/>
  <c r="BF374" i="2"/>
  <c r="BF358" i="2"/>
  <c r="BF373" i="2" s="1"/>
  <c r="BH882" i="2"/>
  <c r="BG882" i="2"/>
  <c r="BD882" i="2"/>
  <c r="BE882" i="2"/>
  <c r="BH291" i="2"/>
  <c r="BD291" i="2"/>
  <c r="BE291" i="2"/>
  <c r="BG291" i="2"/>
  <c r="BF317" i="2"/>
  <c r="BG903" i="2"/>
  <c r="BE903" i="2"/>
  <c r="BD903" i="2"/>
  <c r="BH903" i="2"/>
  <c r="AW558" i="2"/>
  <c r="AY558" i="2"/>
  <c r="AZ558" i="2"/>
  <c r="AV558" i="2"/>
  <c r="AO502" i="2"/>
  <c r="AQ502" i="2"/>
  <c r="AN502" i="2"/>
  <c r="AR502" i="2"/>
  <c r="BE642" i="2"/>
  <c r="BD642" i="2"/>
  <c r="BG642" i="2"/>
  <c r="BH642" i="2"/>
  <c r="AT180" i="2"/>
  <c r="AY184" i="2"/>
  <c r="AZ184" i="2"/>
  <c r="AW184" i="2"/>
  <c r="AV184" i="2"/>
  <c r="AM447" i="2"/>
  <c r="AM413" i="2" s="1"/>
  <c r="AV743" i="2"/>
  <c r="AY743" i="2"/>
  <c r="AW743" i="2"/>
  <c r="AZ743" i="2"/>
  <c r="BE997" i="2"/>
  <c r="BD997" i="2"/>
  <c r="BG997" i="2"/>
  <c r="BH997" i="2"/>
  <c r="AO453" i="2"/>
  <c r="AQ453" i="2"/>
  <c r="AR453" i="2"/>
  <c r="AN453" i="2"/>
  <c r="AZ221" i="2"/>
  <c r="AV221" i="2"/>
  <c r="AY221" i="2"/>
  <c r="AW221" i="2"/>
  <c r="AN951" i="2"/>
  <c r="AR951" i="2"/>
  <c r="AQ951" i="2"/>
  <c r="AO951" i="2"/>
  <c r="AQ446" i="2"/>
  <c r="AO446" i="2"/>
  <c r="AL447" i="2"/>
  <c r="AN446" i="2"/>
  <c r="AR446" i="2"/>
  <c r="AY281" i="2"/>
  <c r="AZ281" i="2"/>
  <c r="AV281" i="2"/>
  <c r="AW281" i="2"/>
  <c r="BG896" i="2"/>
  <c r="BE896" i="2"/>
  <c r="BD896" i="2"/>
  <c r="BH896" i="2"/>
  <c r="AN106" i="2"/>
  <c r="AR106" i="2"/>
  <c r="AQ106" i="2"/>
  <c r="AO106" i="2"/>
  <c r="AL80" i="2"/>
  <c r="AV1033" i="2"/>
  <c r="AW1033" i="2"/>
  <c r="AY1033" i="2"/>
  <c r="AZ1033" i="2"/>
  <c r="AW782" i="2"/>
  <c r="AZ782" i="2"/>
  <c r="AV782" i="2"/>
  <c r="AY782" i="2"/>
  <c r="AR426" i="2"/>
  <c r="AN426" i="2"/>
  <c r="AO426" i="2"/>
  <c r="AQ426" i="2"/>
  <c r="BE520" i="2"/>
  <c r="BG520" i="2"/>
  <c r="BH520" i="2"/>
  <c r="BD520" i="2"/>
  <c r="BE1043" i="2"/>
  <c r="BD1043" i="2"/>
  <c r="BH1043" i="2"/>
  <c r="BG1043" i="2"/>
  <c r="AQ300" i="2"/>
  <c r="AR300" i="2"/>
  <c r="AO300" i="2"/>
  <c r="AN300" i="2"/>
  <c r="AQ166" i="2"/>
  <c r="AR166" i="2"/>
  <c r="AN166" i="2"/>
  <c r="AO166" i="2"/>
  <c r="BH1022" i="2"/>
  <c r="BG1022" i="2"/>
  <c r="BD1022" i="2"/>
  <c r="BE1022" i="2"/>
  <c r="BC125" i="2"/>
  <c r="AO348" i="2"/>
  <c r="AN348" i="2"/>
  <c r="AR348" i="2"/>
  <c r="AQ348" i="2"/>
  <c r="BH628" i="2"/>
  <c r="BE628" i="2"/>
  <c r="BG628" i="2"/>
  <c r="BD628" i="2"/>
  <c r="AR932" i="2"/>
  <c r="AO932" i="2"/>
  <c r="AN932" i="2"/>
  <c r="AQ932" i="2"/>
  <c r="AU84" i="2"/>
  <c r="AW760" i="2"/>
  <c r="AZ760" i="2"/>
  <c r="AY760" i="2"/>
  <c r="AV760" i="2"/>
  <c r="AV757" i="2"/>
  <c r="AY757" i="2"/>
  <c r="AZ757" i="2"/>
  <c r="AW757" i="2"/>
  <c r="AO806" i="2"/>
  <c r="AN806" i="2"/>
  <c r="AR806" i="2"/>
  <c r="AQ806" i="2"/>
  <c r="AM248" i="2"/>
  <c r="BD157" i="2"/>
  <c r="BG157" i="2"/>
  <c r="BH157" i="2"/>
  <c r="BE157" i="2"/>
  <c r="BG609" i="2"/>
  <c r="BE609" i="2"/>
  <c r="BH609" i="2"/>
  <c r="BD609" i="2"/>
  <c r="AZ138" i="2"/>
  <c r="AV138" i="2"/>
  <c r="AT88" i="2"/>
  <c r="AW138" i="2"/>
  <c r="AY138" i="2"/>
  <c r="AO149" i="2"/>
  <c r="AR149" i="2"/>
  <c r="AN149" i="2"/>
  <c r="AQ149" i="2"/>
  <c r="AY549" i="2"/>
  <c r="AV549" i="2"/>
  <c r="AW549" i="2"/>
  <c r="AZ549" i="2"/>
  <c r="AN434" i="2"/>
  <c r="AR434" i="2"/>
  <c r="AO434" i="2"/>
  <c r="AQ434" i="2"/>
  <c r="AL435" i="2"/>
  <c r="AR48" i="2"/>
  <c r="AO48" i="2"/>
  <c r="AN48" i="2"/>
  <c r="AQ48" i="2"/>
  <c r="AV261" i="2"/>
  <c r="AY261" i="2"/>
  <c r="AZ261" i="2"/>
  <c r="AW261" i="2"/>
  <c r="BH521" i="2"/>
  <c r="BD521" i="2"/>
  <c r="BG521" i="2"/>
  <c r="BE521" i="2"/>
  <c r="BG819" i="2"/>
  <c r="BD819" i="2"/>
  <c r="BE819" i="2"/>
  <c r="BH819" i="2"/>
  <c r="BG602" i="2"/>
  <c r="BD602" i="2"/>
  <c r="BH602" i="2"/>
  <c r="BE602" i="2"/>
  <c r="AO993" i="2"/>
  <c r="AN993" i="2"/>
  <c r="AR993" i="2"/>
  <c r="AQ993" i="2"/>
  <c r="AN978" i="2"/>
  <c r="AO978" i="2"/>
  <c r="AQ978" i="2"/>
  <c r="AR978" i="2"/>
  <c r="BD247" i="2"/>
  <c r="BG247" i="2"/>
  <c r="AY342" i="2"/>
  <c r="AW342" i="2"/>
  <c r="AV342" i="2"/>
  <c r="AZ342" i="2"/>
  <c r="AU314" i="2"/>
  <c r="BD182" i="2"/>
  <c r="BB178" i="2"/>
  <c r="BG182" i="2"/>
  <c r="BE182" i="2"/>
  <c r="BH182" i="2"/>
  <c r="AY568" i="2"/>
  <c r="AW568" i="2"/>
  <c r="AV568" i="2"/>
  <c r="AZ568" i="2"/>
  <c r="BE659" i="2"/>
  <c r="BG659" i="2"/>
  <c r="BD659" i="2"/>
  <c r="BH659" i="2"/>
  <c r="AN512" i="2"/>
  <c r="AO512" i="2"/>
  <c r="AR512" i="2"/>
  <c r="AQ512" i="2"/>
  <c r="AV882" i="2"/>
  <c r="AZ882" i="2"/>
  <c r="AW882" i="2"/>
  <c r="AY882" i="2"/>
  <c r="AO362" i="2"/>
  <c r="AN362" i="2"/>
  <c r="BG45" i="2"/>
  <c r="BD45" i="2"/>
  <c r="BH45" i="2"/>
  <c r="BE45" i="2"/>
  <c r="AN150" i="2"/>
  <c r="AO150" i="2"/>
  <c r="AV580" i="2"/>
  <c r="AZ580" i="2"/>
  <c r="AY580" i="2"/>
  <c r="AW580" i="2"/>
  <c r="BG815" i="2"/>
  <c r="BE815" i="2"/>
  <c r="BD815" i="2"/>
  <c r="BH815" i="2"/>
  <c r="AU96" i="2"/>
  <c r="AP825" i="2"/>
  <c r="AR825" i="2" s="1"/>
  <c r="AN799" i="2"/>
  <c r="AO799" i="2"/>
  <c r="AQ799" i="2"/>
  <c r="AR799" i="2"/>
  <c r="AY282" i="2"/>
  <c r="AV282" i="2"/>
  <c r="AW282" i="2"/>
  <c r="AZ282" i="2"/>
  <c r="AR481" i="2"/>
  <c r="AO481" i="2"/>
  <c r="AQ481" i="2"/>
  <c r="AN481" i="2"/>
  <c r="BC354" i="2"/>
  <c r="BG715" i="2"/>
  <c r="BH715" i="2"/>
  <c r="BE715" i="2"/>
  <c r="BD715" i="2"/>
  <c r="AW321" i="2"/>
  <c r="AT312" i="2"/>
  <c r="AV321" i="2"/>
  <c r="AY321" i="2"/>
  <c r="AZ321" i="2"/>
  <c r="AO994" i="2"/>
  <c r="AQ994" i="2"/>
  <c r="AR994" i="2"/>
  <c r="AN994" i="2"/>
  <c r="BG565" i="2"/>
  <c r="BD565" i="2"/>
  <c r="BH565" i="2"/>
  <c r="BE565" i="2"/>
  <c r="AW1076" i="2"/>
  <c r="AY1076" i="2"/>
  <c r="AV1076" i="2"/>
  <c r="AZ1076" i="2"/>
  <c r="AW1004" i="2"/>
  <c r="AZ1004" i="2"/>
  <c r="AY1004" i="2"/>
  <c r="AV1004" i="2"/>
  <c r="AO583" i="2"/>
  <c r="AR583" i="2"/>
  <c r="AN583" i="2"/>
  <c r="AQ583" i="2"/>
  <c r="AQ758" i="2"/>
  <c r="AN758" i="2"/>
  <c r="AO758" i="2"/>
  <c r="AR758" i="2"/>
  <c r="BE616" i="2"/>
  <c r="BG616" i="2"/>
  <c r="BD616" i="2"/>
  <c r="BH616" i="2"/>
  <c r="AQ486" i="2"/>
  <c r="AO486" i="2"/>
  <c r="AN486" i="2"/>
  <c r="AR486" i="2"/>
  <c r="AO291" i="2"/>
  <c r="AN291" i="2"/>
  <c r="AQ291" i="2"/>
  <c r="AR291" i="2"/>
  <c r="AM246" i="2"/>
  <c r="AN246" i="2" s="1"/>
  <c r="BD827" i="2"/>
  <c r="BE827" i="2"/>
  <c r="BG827" i="2"/>
  <c r="BH827" i="2"/>
  <c r="AN606" i="2"/>
  <c r="AO606" i="2"/>
  <c r="AR606" i="2"/>
  <c r="AQ606" i="2"/>
  <c r="BE190" i="2"/>
  <c r="BD190" i="2"/>
  <c r="BB191" i="2"/>
  <c r="BH190" i="2"/>
  <c r="BG190" i="2"/>
  <c r="AN967" i="2"/>
  <c r="AQ967" i="2"/>
  <c r="AR967" i="2"/>
  <c r="AO967" i="2"/>
  <c r="AQ664" i="2"/>
  <c r="AN664" i="2"/>
  <c r="AR664" i="2"/>
  <c r="AO664" i="2"/>
  <c r="AQ464" i="2"/>
  <c r="AO464" i="2"/>
  <c r="AN464" i="2"/>
  <c r="AR464" i="2"/>
  <c r="BD176" i="2"/>
  <c r="BH176" i="2"/>
  <c r="BB177" i="2"/>
  <c r="BG176" i="2"/>
  <c r="BE176" i="2"/>
  <c r="AW526" i="2"/>
  <c r="AZ526" i="2"/>
  <c r="AY526" i="2"/>
  <c r="AV526" i="2"/>
  <c r="AV44" i="2"/>
  <c r="AY44" i="2"/>
  <c r="AW44" i="2"/>
  <c r="AZ44" i="2"/>
  <c r="AN310" i="2"/>
  <c r="AL311" i="2"/>
  <c r="AO310" i="2"/>
  <c r="AQ310" i="2"/>
  <c r="AR310" i="2"/>
  <c r="AW841" i="2"/>
  <c r="AZ841" i="2"/>
  <c r="AY841" i="2"/>
  <c r="AV841" i="2"/>
  <c r="BC381" i="2"/>
  <c r="AX786" i="2"/>
  <c r="AY786" i="2" s="1"/>
  <c r="BD743" i="2"/>
  <c r="BH743" i="2"/>
  <c r="BG743" i="2"/>
  <c r="BE743" i="2"/>
  <c r="AP336" i="2"/>
  <c r="AZ640" i="2"/>
  <c r="AY640" i="2"/>
  <c r="AV640" i="2"/>
  <c r="AW640" i="2"/>
  <c r="BH436" i="2"/>
  <c r="BE436" i="2"/>
  <c r="BG436" i="2"/>
  <c r="BD436" i="2"/>
  <c r="AQ678" i="2"/>
  <c r="AR678" i="2"/>
  <c r="AO678" i="2"/>
  <c r="AN678" i="2"/>
  <c r="BE748" i="2"/>
  <c r="BG748" i="2"/>
  <c r="BD748" i="2"/>
  <c r="BH748" i="2"/>
  <c r="AY710" i="2"/>
  <c r="AZ710" i="2"/>
  <c r="AV710" i="2"/>
  <c r="AW710" i="2"/>
  <c r="BE1016" i="2"/>
  <c r="BG1016" i="2"/>
  <c r="BH1016" i="2"/>
  <c r="BD1016" i="2"/>
  <c r="AN990" i="2"/>
  <c r="AR990" i="2"/>
  <c r="AO990" i="2"/>
  <c r="AQ990" i="2"/>
  <c r="AR739" i="2"/>
  <c r="AQ739" i="2"/>
  <c r="AN739" i="2"/>
  <c r="AO739" i="2"/>
  <c r="AU140" i="2"/>
  <c r="AW981" i="2"/>
  <c r="AV981" i="2"/>
  <c r="AY981" i="2"/>
  <c r="AZ981" i="2"/>
  <c r="BH767" i="2"/>
  <c r="BE767" i="2"/>
  <c r="BG767" i="2"/>
  <c r="BD767" i="2"/>
  <c r="AN767" i="2"/>
  <c r="AR767" i="2"/>
  <c r="AQ767" i="2"/>
  <c r="AO767" i="2"/>
  <c r="AR765" i="2"/>
  <c r="AN765" i="2"/>
  <c r="AQ765" i="2"/>
  <c r="AO765" i="2"/>
  <c r="BF18" i="2"/>
  <c r="AN596" i="2"/>
  <c r="AQ596" i="2"/>
  <c r="AR596" i="2"/>
  <c r="AO596" i="2"/>
  <c r="BC312" i="2"/>
  <c r="AV802" i="2"/>
  <c r="AY802" i="2"/>
  <c r="AZ802" i="2"/>
  <c r="AW802" i="2"/>
  <c r="AR671" i="2"/>
  <c r="AN671" i="2"/>
  <c r="AO671" i="2"/>
  <c r="AQ671" i="2"/>
  <c r="AN129" i="2"/>
  <c r="AO129" i="2"/>
  <c r="AL126" i="2"/>
  <c r="AR129" i="2"/>
  <c r="AQ129" i="2"/>
  <c r="BH105" i="2"/>
  <c r="BE105" i="2"/>
  <c r="BD105" i="2"/>
  <c r="BG105" i="2"/>
  <c r="AZ723" i="2"/>
  <c r="AW723" i="2"/>
  <c r="AY723" i="2"/>
  <c r="AV723" i="2"/>
  <c r="BE170" i="2"/>
  <c r="BG170" i="2"/>
  <c r="BH170" i="2"/>
  <c r="BD170" i="2"/>
  <c r="BH871" i="2"/>
  <c r="BE871" i="2"/>
  <c r="BD871" i="2"/>
  <c r="BG871" i="2"/>
  <c r="AR723" i="2"/>
  <c r="AQ723" i="2"/>
  <c r="AN723" i="2"/>
  <c r="AO723" i="2"/>
  <c r="AR601" i="2"/>
  <c r="AN601" i="2"/>
  <c r="AQ601" i="2"/>
  <c r="AO601" i="2"/>
  <c r="AO58" i="2"/>
  <c r="AN58" i="2"/>
  <c r="AQ58" i="2"/>
  <c r="AR58" i="2"/>
  <c r="AN73" i="2"/>
  <c r="AQ73" i="2"/>
  <c r="AR73" i="2"/>
  <c r="AO73" i="2"/>
  <c r="AX1455" i="2"/>
  <c r="AN509" i="2"/>
  <c r="AQ509" i="2"/>
  <c r="AR509" i="2"/>
  <c r="AO509" i="2"/>
  <c r="AR795" i="2"/>
  <c r="AO795" i="2"/>
  <c r="AN795" i="2"/>
  <c r="AQ795" i="2"/>
  <c r="AN344" i="2"/>
  <c r="AQ344" i="2"/>
  <c r="AO344" i="2"/>
  <c r="AR344" i="2"/>
  <c r="AR30" i="2"/>
  <c r="AO30" i="2"/>
  <c r="AQ30" i="2"/>
  <c r="AN30" i="2"/>
  <c r="BE396" i="2"/>
  <c r="BH396" i="2"/>
  <c r="BG396" i="2"/>
  <c r="BD396" i="2"/>
  <c r="AQ414" i="2"/>
  <c r="AN414" i="2"/>
  <c r="AO414" i="2"/>
  <c r="AR414" i="2"/>
  <c r="AW487" i="2"/>
  <c r="AY487" i="2"/>
  <c r="AV487" i="2"/>
  <c r="AZ487" i="2"/>
  <c r="AQ905" i="2"/>
  <c r="AN905" i="2"/>
  <c r="AR905" i="2"/>
  <c r="AO905" i="2"/>
  <c r="AY927" i="2"/>
  <c r="AV927" i="2"/>
  <c r="AW927" i="2"/>
  <c r="AZ927" i="2"/>
  <c r="BG621" i="2"/>
  <c r="BH621" i="2"/>
  <c r="BE621" i="2"/>
  <c r="BD621" i="2"/>
  <c r="AW748" i="2"/>
  <c r="AV748" i="2"/>
  <c r="AZ748" i="2"/>
  <c r="AY748" i="2"/>
  <c r="BD966" i="2"/>
  <c r="BH966" i="2"/>
  <c r="BE966" i="2"/>
  <c r="BG966" i="2"/>
  <c r="AQ229" i="2"/>
  <c r="AO229" i="2"/>
  <c r="AR229" i="2"/>
  <c r="AN229" i="2"/>
  <c r="AX20" i="2"/>
  <c r="AY20" i="2" s="1"/>
  <c r="AO928" i="2"/>
  <c r="AR928" i="2"/>
  <c r="AQ928" i="2"/>
  <c r="AN928" i="2"/>
  <c r="BF88" i="2"/>
  <c r="AO919" i="2"/>
  <c r="AN919" i="2"/>
  <c r="AR919" i="2"/>
  <c r="AQ919" i="2"/>
  <c r="AY183" i="2"/>
  <c r="AW183" i="2"/>
  <c r="AZ183" i="2"/>
  <c r="AV183" i="2"/>
  <c r="AT179" i="2"/>
  <c r="AN1055" i="2"/>
  <c r="AQ1055" i="2"/>
  <c r="AR1055" i="2"/>
  <c r="AO1055" i="2"/>
  <c r="AV794" i="2"/>
  <c r="AW794" i="2"/>
  <c r="AZ888" i="2"/>
  <c r="AY888" i="2"/>
  <c r="AW888" i="2"/>
  <c r="AV888" i="2"/>
  <c r="AW721" i="2"/>
  <c r="AZ721" i="2"/>
  <c r="AY721" i="2"/>
  <c r="AV721" i="2"/>
  <c r="AW370" i="2"/>
  <c r="AY370" i="2"/>
  <c r="AV370" i="2"/>
  <c r="AZ370" i="2"/>
  <c r="BH636" i="2"/>
  <c r="BD636" i="2"/>
  <c r="BG636" i="2"/>
  <c r="BE636" i="2"/>
  <c r="AO518" i="2"/>
  <c r="AN518" i="2"/>
  <c r="AR518" i="2"/>
  <c r="AQ518" i="2"/>
  <c r="AN777" i="2"/>
  <c r="AQ777" i="2"/>
  <c r="AR777" i="2"/>
  <c r="AO777" i="2"/>
  <c r="AQ598" i="2"/>
  <c r="AN598" i="2"/>
  <c r="AR598" i="2"/>
  <c r="AO598" i="2"/>
  <c r="AP244" i="2"/>
  <c r="AQ745" i="2"/>
  <c r="AN745" i="2"/>
  <c r="AR745" i="2"/>
  <c r="AO745" i="2"/>
  <c r="AW223" i="2"/>
  <c r="AZ223" i="2"/>
  <c r="AY223" i="2"/>
  <c r="AV223" i="2"/>
  <c r="BH600" i="2"/>
  <c r="BG600" i="2"/>
  <c r="BD600" i="2"/>
  <c r="BE600" i="2"/>
  <c r="BF277" i="2"/>
  <c r="BG1078" i="2"/>
  <c r="BE1078" i="2"/>
  <c r="BD1078" i="2"/>
  <c r="BH1078" i="2"/>
  <c r="BH299" i="2"/>
  <c r="BD299" i="2"/>
  <c r="BE299" i="2"/>
  <c r="BG299" i="2"/>
  <c r="AO732" i="2"/>
  <c r="AN732" i="2"/>
  <c r="AQ732" i="2"/>
  <c r="AR732" i="2"/>
  <c r="AY669" i="2"/>
  <c r="AV669" i="2"/>
  <c r="AZ669" i="2"/>
  <c r="AW669" i="2"/>
  <c r="AZ162" i="2"/>
  <c r="AW162" i="2"/>
  <c r="AY162" i="2"/>
  <c r="AV162" i="2"/>
  <c r="AY383" i="2"/>
  <c r="AW383" i="2"/>
  <c r="AT375" i="2"/>
  <c r="AY375" i="2" s="1"/>
  <c r="AV383" i="2"/>
  <c r="AZ383" i="2"/>
  <c r="AQ485" i="2"/>
  <c r="AN485" i="2"/>
  <c r="AR485" i="2"/>
  <c r="AO485" i="2"/>
  <c r="AW614" i="2"/>
  <c r="AV614" i="2"/>
  <c r="AZ614" i="2"/>
  <c r="AY614" i="2"/>
  <c r="AY247" i="2"/>
  <c r="AV247" i="2"/>
  <c r="AN205" i="2"/>
  <c r="AO205" i="2"/>
  <c r="AR205" i="2"/>
  <c r="AQ205" i="2"/>
  <c r="BD886" i="2"/>
  <c r="BG886" i="2"/>
  <c r="BE886" i="2"/>
  <c r="BH886" i="2"/>
  <c r="AQ1056" i="2"/>
  <c r="AN1056" i="2"/>
  <c r="AO1056" i="2"/>
  <c r="AR1056" i="2"/>
  <c r="AQ727" i="2"/>
  <c r="AR727" i="2"/>
  <c r="AO727" i="2"/>
  <c r="AN727" i="2"/>
  <c r="BF81" i="2"/>
  <c r="BF124" i="2"/>
  <c r="AO171" i="2"/>
  <c r="AN171" i="2"/>
  <c r="AR171" i="2"/>
  <c r="AQ171" i="2"/>
  <c r="AY648" i="2"/>
  <c r="AZ648" i="2"/>
  <c r="AW648" i="2"/>
  <c r="AV648" i="2"/>
  <c r="AZ502" i="2"/>
  <c r="AW502" i="2"/>
  <c r="AV502" i="2"/>
  <c r="AY502" i="2"/>
  <c r="BD928" i="2"/>
  <c r="BG928" i="2"/>
  <c r="BE928" i="2"/>
  <c r="BH928" i="2"/>
  <c r="AQ677" i="2"/>
  <c r="AO677" i="2"/>
  <c r="AR677" i="2"/>
  <c r="AN677" i="2"/>
  <c r="AP439" i="2"/>
  <c r="AP278" i="2" s="1"/>
  <c r="AW70" i="2"/>
  <c r="AY70" i="2"/>
  <c r="AZ70" i="2"/>
  <c r="AV70" i="2"/>
  <c r="AV846" i="2"/>
  <c r="AZ846" i="2"/>
  <c r="AY846" i="2"/>
  <c r="AW846" i="2"/>
  <c r="BH48" i="2"/>
  <c r="BD48" i="2"/>
  <c r="BE48" i="2"/>
  <c r="BG48" i="2"/>
  <c r="AZ1030" i="2"/>
  <c r="AW1030" i="2"/>
  <c r="AY1030" i="2"/>
  <c r="AV1030" i="2"/>
  <c r="BE1012" i="2"/>
  <c r="BH1012" i="2"/>
  <c r="BG1012" i="2"/>
  <c r="BD1012" i="2"/>
  <c r="BC248" i="2"/>
  <c r="AY169" i="2"/>
  <c r="AZ169" i="2"/>
  <c r="AW169" i="2"/>
  <c r="AV169" i="2"/>
  <c r="BD212" i="2"/>
  <c r="BE212" i="2"/>
  <c r="BG212" i="2"/>
  <c r="BH212" i="2"/>
  <c r="BC317" i="2"/>
  <c r="AQ155" i="2"/>
  <c r="AN155" i="2"/>
  <c r="AO155" i="2"/>
  <c r="AR155" i="2"/>
  <c r="AZ656" i="2"/>
  <c r="AY656" i="2"/>
  <c r="AV656" i="2"/>
  <c r="AW656" i="2"/>
  <c r="AW276" i="2"/>
  <c r="AZ276" i="2"/>
  <c r="AY276" i="2"/>
  <c r="AV276" i="2"/>
  <c r="AT277" i="2"/>
  <c r="AN68" i="2"/>
  <c r="AR68" i="2"/>
  <c r="AO68" i="2"/>
  <c r="AQ68" i="2"/>
  <c r="BH858" i="2"/>
  <c r="BD858" i="2"/>
  <c r="BE858" i="2"/>
  <c r="BG858" i="2"/>
  <c r="AM83" i="2"/>
  <c r="AN786" i="2"/>
  <c r="AO786" i="2"/>
  <c r="AW1054" i="2"/>
  <c r="AZ1054" i="2"/>
  <c r="AY1054" i="2"/>
  <c r="AV1054" i="2"/>
  <c r="AQ558" i="2"/>
  <c r="AR558" i="2"/>
  <c r="AN558" i="2"/>
  <c r="AO558" i="2"/>
  <c r="AX447" i="2"/>
  <c r="AX413" i="2" s="1"/>
  <c r="AN706" i="2"/>
  <c r="AR706" i="2"/>
  <c r="AQ706" i="2"/>
  <c r="AO706" i="2"/>
  <c r="AR1075" i="2"/>
  <c r="AN1075" i="2"/>
  <c r="AQ1075" i="2"/>
  <c r="AO1075" i="2"/>
  <c r="AQ724" i="2"/>
  <c r="AR724" i="2"/>
  <c r="AN724" i="2"/>
  <c r="AO724" i="2"/>
  <c r="AR1003" i="2"/>
  <c r="AN1003" i="2"/>
  <c r="AQ1003" i="2"/>
  <c r="AO1003" i="2"/>
  <c r="BD135" i="2"/>
  <c r="BH135" i="2"/>
  <c r="BG135" i="2"/>
  <c r="BB136" i="2"/>
  <c r="BE135" i="2"/>
  <c r="BC81" i="2"/>
  <c r="BC124" i="2"/>
  <c r="AR956" i="2"/>
  <c r="AQ956" i="2"/>
  <c r="AO956" i="2"/>
  <c r="AN956" i="2"/>
  <c r="AZ920" i="2"/>
  <c r="AY920" i="2"/>
  <c r="AV920" i="2"/>
  <c r="AW920" i="2"/>
  <c r="AY565" i="2"/>
  <c r="AZ565" i="2"/>
  <c r="AW565" i="2"/>
  <c r="AV565" i="2"/>
  <c r="AM245" i="2"/>
  <c r="AP318" i="2"/>
  <c r="AU439" i="2"/>
  <c r="AU278" i="2" s="1"/>
  <c r="AY804" i="2"/>
  <c r="AV804" i="2"/>
  <c r="AW804" i="2"/>
  <c r="AZ804" i="2"/>
  <c r="AV1071" i="2"/>
  <c r="AY1071" i="2"/>
  <c r="AZ1071" i="2"/>
  <c r="AW1071" i="2"/>
  <c r="BE275" i="2"/>
  <c r="BD275" i="2"/>
  <c r="BH275" i="2"/>
  <c r="BG275" i="2"/>
  <c r="BC277" i="2"/>
  <c r="BD328" i="2"/>
  <c r="BG328" i="2"/>
  <c r="BB319" i="2"/>
  <c r="BH328" i="2"/>
  <c r="BE328" i="2"/>
  <c r="BD799" i="2"/>
  <c r="BH799" i="2"/>
  <c r="BG799" i="2"/>
  <c r="BE799" i="2"/>
  <c r="AN628" i="2"/>
  <c r="AR628" i="2"/>
  <c r="AQ628" i="2"/>
  <c r="AO628" i="2"/>
  <c r="BE817" i="2"/>
  <c r="BH817" i="2"/>
  <c r="BG817" i="2"/>
  <c r="BD817" i="2"/>
  <c r="AW818" i="2"/>
  <c r="AV818" i="2"/>
  <c r="AZ818" i="2"/>
  <c r="AY818" i="2"/>
  <c r="AP311" i="2"/>
  <c r="AX1465" i="2"/>
  <c r="AX1458" i="2" s="1"/>
  <c r="AQ262" i="2"/>
  <c r="AL248" i="2"/>
  <c r="AR262" i="2"/>
  <c r="AN262" i="2"/>
  <c r="AO262" i="2"/>
  <c r="BE557" i="2"/>
  <c r="BD557" i="2"/>
  <c r="BG557" i="2"/>
  <c r="BH557" i="2"/>
  <c r="AN609" i="2"/>
  <c r="AO609" i="2"/>
  <c r="AR609" i="2"/>
  <c r="AQ609" i="2"/>
  <c r="AR94" i="2"/>
  <c r="AQ94" i="2"/>
  <c r="AO94" i="2"/>
  <c r="AN94" i="2"/>
  <c r="AU313" i="2"/>
  <c r="AW151" i="2"/>
  <c r="AV151" i="2"/>
  <c r="AM140" i="2"/>
  <c r="AY819" i="2"/>
  <c r="AZ819" i="2"/>
  <c r="AV819" i="2"/>
  <c r="AW819" i="2"/>
  <c r="AV496" i="2"/>
  <c r="AW496" i="2"/>
  <c r="AZ496" i="2"/>
  <c r="AY496" i="2"/>
  <c r="BC347" i="2"/>
  <c r="AZ618" i="2"/>
  <c r="AV618" i="2"/>
  <c r="AY618" i="2"/>
  <c r="AW618" i="2"/>
  <c r="AV978" i="2"/>
  <c r="AY978" i="2"/>
  <c r="AW978" i="2"/>
  <c r="AZ978" i="2"/>
  <c r="AV929" i="2"/>
  <c r="AZ929" i="2"/>
  <c r="AY929" i="2"/>
  <c r="AW929" i="2"/>
  <c r="AZ357" i="2"/>
  <c r="AY357" i="2"/>
  <c r="AW357" i="2"/>
  <c r="AV357" i="2"/>
  <c r="AU447" i="2"/>
  <c r="AU413" i="2" s="1"/>
  <c r="AP125" i="2"/>
  <c r="BE391" i="2"/>
  <c r="BH391" i="2"/>
  <c r="BG391" i="2"/>
  <c r="BD391" i="2"/>
  <c r="AR653" i="2"/>
  <c r="AN653" i="2"/>
  <c r="AQ653" i="2"/>
  <c r="AO653" i="2"/>
  <c r="AY972" i="2"/>
  <c r="AW972" i="2"/>
  <c r="AZ972" i="2"/>
  <c r="AV972" i="2"/>
  <c r="BD17" i="2"/>
  <c r="BG17" i="2"/>
  <c r="BB18" i="2"/>
  <c r="BG18" i="2" s="1"/>
  <c r="BE17" i="2"/>
  <c r="BH17" i="2"/>
  <c r="AX336" i="2"/>
  <c r="BH513" i="2"/>
  <c r="BE513" i="2"/>
  <c r="BD513" i="2"/>
  <c r="BG513" i="2"/>
  <c r="AQ808" i="2"/>
  <c r="AO808" i="2"/>
  <c r="AN808" i="2"/>
  <c r="AR808" i="2"/>
  <c r="BD110" i="2"/>
  <c r="BE110" i="2"/>
  <c r="BH110" i="2"/>
  <c r="BG110" i="2"/>
  <c r="BH921" i="2"/>
  <c r="BE921" i="2"/>
  <c r="BD921" i="2"/>
  <c r="BG921" i="2"/>
  <c r="AM241" i="2"/>
  <c r="BD649" i="2"/>
  <c r="BE649" i="2"/>
  <c r="BG649" i="2"/>
  <c r="BH649" i="2"/>
  <c r="AQ773" i="2"/>
  <c r="AN773" i="2"/>
  <c r="AO773" i="2"/>
  <c r="AR773" i="2"/>
  <c r="AY120" i="2"/>
  <c r="AW120" i="2"/>
  <c r="AZ120" i="2"/>
  <c r="AV120" i="2"/>
  <c r="BD975" i="2"/>
  <c r="BG975" i="2"/>
  <c r="BH975" i="2"/>
  <c r="BE975" i="2"/>
  <c r="BG937" i="2"/>
  <c r="BE937" i="2"/>
  <c r="BH937" i="2"/>
  <c r="BD937" i="2"/>
  <c r="BH698" i="2"/>
  <c r="BG698" i="2"/>
  <c r="BD698" i="2"/>
  <c r="BE698" i="2"/>
  <c r="AW1068" i="2"/>
  <c r="AV1068" i="2"/>
  <c r="AZ1068" i="2"/>
  <c r="AY1068" i="2"/>
  <c r="AW16" i="2"/>
  <c r="AZ16" i="2"/>
  <c r="AY16" i="2"/>
  <c r="AV16" i="2"/>
  <c r="AZ713" i="2"/>
  <c r="AY713" i="2"/>
  <c r="AV713" i="2"/>
  <c r="AW713" i="2"/>
  <c r="AY72" i="2"/>
  <c r="AV72" i="2"/>
  <c r="AW72" i="2"/>
  <c r="AZ72" i="2"/>
  <c r="BE488" i="2"/>
  <c r="BH488" i="2"/>
  <c r="BG488" i="2"/>
  <c r="BD488" i="2"/>
  <c r="AZ707" i="2"/>
  <c r="AW707" i="2"/>
  <c r="AV707" i="2"/>
  <c r="AY707" i="2"/>
  <c r="AN817" i="2"/>
  <c r="AQ817" i="2"/>
  <c r="AR817" i="2"/>
  <c r="AO817" i="2"/>
  <c r="BH989" i="2"/>
  <c r="BG989" i="2"/>
  <c r="BE989" i="2"/>
  <c r="BD989" i="2"/>
  <c r="BE346" i="2"/>
  <c r="BD346" i="2"/>
  <c r="BH346" i="2"/>
  <c r="BG346" i="2"/>
  <c r="BB347" i="2"/>
  <c r="AZ726" i="2"/>
  <c r="AY726" i="2"/>
  <c r="AV726" i="2"/>
  <c r="AW726" i="2"/>
  <c r="AO650" i="2"/>
  <c r="AR650" i="2"/>
  <c r="AN650" i="2"/>
  <c r="AQ650" i="2"/>
  <c r="AO275" i="2"/>
  <c r="AR275" i="2"/>
  <c r="AN275" i="2"/>
  <c r="AQ275" i="2"/>
  <c r="AO640" i="2"/>
  <c r="AR640" i="2"/>
  <c r="AQ640" i="2"/>
  <c r="AN640" i="2"/>
  <c r="AV622" i="2"/>
  <c r="AY622" i="2"/>
  <c r="AW622" i="2"/>
  <c r="AZ622" i="2"/>
  <c r="AW616" i="2"/>
  <c r="AZ616" i="2"/>
  <c r="AY616" i="2"/>
  <c r="AV616" i="2"/>
  <c r="BD960" i="2"/>
  <c r="BE960" i="2"/>
  <c r="BH960" i="2"/>
  <c r="BG960" i="2"/>
  <c r="BE930" i="2"/>
  <c r="BH930" i="2"/>
  <c r="BD930" i="2"/>
  <c r="BG930" i="2"/>
  <c r="BF375" i="2"/>
  <c r="AX340" i="2"/>
  <c r="AR1000" i="2"/>
  <c r="AO1000" i="2"/>
  <c r="AN1000" i="2"/>
  <c r="AQ1000" i="2"/>
  <c r="AM195" i="2"/>
  <c r="AU248" i="2"/>
  <c r="AO547" i="2"/>
  <c r="AN547" i="2"/>
  <c r="AR547" i="2"/>
  <c r="AQ547" i="2"/>
  <c r="AV704" i="2"/>
  <c r="AY704" i="2"/>
  <c r="AW704" i="2"/>
  <c r="AZ704" i="2"/>
  <c r="AQ750" i="2"/>
  <c r="AR750" i="2"/>
  <c r="AN750" i="2"/>
  <c r="AO750" i="2"/>
  <c r="AR1005" i="2"/>
  <c r="AN1005" i="2"/>
  <c r="AQ1005" i="2"/>
  <c r="AO1005" i="2"/>
  <c r="AR330" i="2"/>
  <c r="AQ330" i="2"/>
  <c r="AN330" i="2"/>
  <c r="AO330" i="2"/>
  <c r="BD200" i="2"/>
  <c r="BG200" i="2"/>
  <c r="BH200" i="2"/>
  <c r="BE200" i="2"/>
  <c r="AN702" i="2"/>
  <c r="AR702" i="2"/>
  <c r="AO702" i="2"/>
  <c r="AQ702" i="2"/>
  <c r="AV546" i="2"/>
  <c r="AZ546" i="2"/>
  <c r="AY546" i="2"/>
  <c r="AW546" i="2"/>
  <c r="BC316" i="2"/>
  <c r="AN962" i="2"/>
  <c r="AR962" i="2"/>
  <c r="AQ962" i="2"/>
  <c r="AO962" i="2"/>
  <c r="BG530" i="2"/>
  <c r="BH530" i="2"/>
  <c r="BE530" i="2"/>
  <c r="BD530" i="2"/>
  <c r="BE338" i="2"/>
  <c r="BG338" i="2"/>
  <c r="BD338" i="2"/>
  <c r="BH338" i="2"/>
  <c r="AN691" i="2"/>
  <c r="AR691" i="2"/>
  <c r="AQ691" i="2"/>
  <c r="AO691" i="2"/>
  <c r="AV19" i="2"/>
  <c r="AW19" i="2"/>
  <c r="AY19" i="2"/>
  <c r="AZ19" i="2"/>
  <c r="BG950" i="2"/>
  <c r="BD950" i="2"/>
  <c r="BE950" i="2"/>
  <c r="BH950" i="2"/>
  <c r="BC447" i="2"/>
  <c r="BC413" i="2" s="1"/>
  <c r="BD437" i="2"/>
  <c r="BG437" i="2"/>
  <c r="BE437" i="2"/>
  <c r="BH437" i="2"/>
  <c r="AN824" i="2"/>
  <c r="AR824" i="2"/>
  <c r="AQ824" i="2"/>
  <c r="AO824" i="2"/>
  <c r="BG919" i="2"/>
  <c r="BD919" i="2"/>
  <c r="BE919" i="2"/>
  <c r="BH919" i="2"/>
  <c r="AP367" i="2"/>
  <c r="AP362" i="2" s="1"/>
  <c r="AP83" i="2"/>
  <c r="BG948" i="2"/>
  <c r="BE948" i="2"/>
  <c r="BH948" i="2"/>
  <c r="BD948" i="2"/>
  <c r="BD730" i="2"/>
  <c r="BG730" i="2"/>
  <c r="BH730" i="2"/>
  <c r="BE730" i="2"/>
  <c r="AV465" i="2"/>
  <c r="AY465" i="2"/>
  <c r="AZ465" i="2"/>
  <c r="AW465" i="2"/>
  <c r="AR670" i="2"/>
  <c r="AN670" i="2"/>
  <c r="AO670" i="2"/>
  <c r="AQ670" i="2"/>
  <c r="BE258" i="2"/>
  <c r="BG258" i="2"/>
  <c r="BD258" i="2"/>
  <c r="BB244" i="2"/>
  <c r="BH258" i="2"/>
  <c r="AO916" i="2"/>
  <c r="AN916" i="2"/>
  <c r="AQ916" i="2"/>
  <c r="AR916" i="2"/>
  <c r="BE538" i="2"/>
  <c r="BH538" i="2"/>
  <c r="BG538" i="2"/>
  <c r="BD538" i="2"/>
  <c r="BG19" i="2"/>
  <c r="BE19" i="2"/>
  <c r="BH19" i="2"/>
  <c r="BD19" i="2"/>
  <c r="BB20" i="2"/>
  <c r="BG20" i="2" s="1"/>
  <c r="BD772" i="2"/>
  <c r="BH772" i="2"/>
  <c r="BG772" i="2"/>
  <c r="BE772" i="2"/>
  <c r="BG1025" i="2"/>
  <c r="BH1025" i="2"/>
  <c r="BE1025" i="2"/>
  <c r="BD1025" i="2"/>
  <c r="BG64" i="2"/>
  <c r="BE64" i="2"/>
  <c r="BD64" i="2"/>
  <c r="BH64" i="2"/>
  <c r="AX178" i="2"/>
  <c r="BF376" i="2"/>
  <c r="AQ199" i="2"/>
  <c r="AR199" i="2"/>
  <c r="AO199" i="2"/>
  <c r="AN199" i="2"/>
  <c r="BF273" i="2"/>
  <c r="AV297" i="2"/>
  <c r="AY297" i="2"/>
  <c r="AZ297" i="2"/>
  <c r="AW297" i="2"/>
  <c r="AP249" i="2"/>
  <c r="BH365" i="2"/>
  <c r="BE365" i="2"/>
  <c r="BG365" i="2"/>
  <c r="BD365" i="2"/>
  <c r="AP136" i="2"/>
  <c r="AQ136" i="2" s="1"/>
  <c r="AP87" i="2"/>
  <c r="AO1031" i="2"/>
  <c r="AR1031" i="2"/>
  <c r="AQ1031" i="2"/>
  <c r="AN1031" i="2"/>
  <c r="AP1459" i="2"/>
  <c r="BH28" i="2"/>
  <c r="BE28" i="2"/>
  <c r="BD28" i="2"/>
  <c r="BB29" i="2"/>
  <c r="BG28" i="2"/>
  <c r="AO70" i="2"/>
  <c r="AR70" i="2"/>
  <c r="AQ70" i="2"/>
  <c r="AN70" i="2"/>
  <c r="AW199" i="2"/>
  <c r="AZ199" i="2"/>
  <c r="AV199" i="2"/>
  <c r="AY199" i="2"/>
  <c r="BD542" i="2"/>
  <c r="BH542" i="2"/>
  <c r="BE542" i="2"/>
  <c r="BG542" i="2"/>
  <c r="AQ744" i="2"/>
  <c r="AN744" i="2"/>
  <c r="AO744" i="2"/>
  <c r="AR744" i="2"/>
  <c r="AQ819" i="2"/>
  <c r="AO819" i="2"/>
  <c r="AR819" i="2"/>
  <c r="AN819" i="2"/>
  <c r="AR1002" i="2"/>
  <c r="AN1002" i="2"/>
  <c r="AQ1002" i="2"/>
  <c r="AO1002" i="2"/>
  <c r="AW936" i="2"/>
  <c r="AV936" i="2"/>
  <c r="AY936" i="2"/>
  <c r="AZ936" i="2"/>
  <c r="AZ445" i="2"/>
  <c r="AY445" i="2"/>
  <c r="AV445" i="2"/>
  <c r="AW445" i="2"/>
  <c r="AR647" i="2"/>
  <c r="AQ647" i="2"/>
  <c r="AO647" i="2"/>
  <c r="AN647" i="2"/>
  <c r="AQ821" i="2"/>
  <c r="AN821" i="2"/>
  <c r="AR821" i="2"/>
  <c r="AO821" i="2"/>
  <c r="AO825" i="2"/>
  <c r="AN825" i="2"/>
  <c r="BG849" i="2"/>
  <c r="BD849" i="2"/>
  <c r="BE849" i="2"/>
  <c r="BH849" i="2"/>
  <c r="BH615" i="2"/>
  <c r="BE615" i="2"/>
  <c r="BD615" i="2"/>
  <c r="BG615" i="2"/>
  <c r="BG237" i="2"/>
  <c r="BH237" i="2"/>
  <c r="BE237" i="2"/>
  <c r="BD237" i="2"/>
  <c r="AQ829" i="2"/>
  <c r="AR829" i="2"/>
  <c r="AN829" i="2"/>
  <c r="AO829" i="2"/>
  <c r="AR257" i="2"/>
  <c r="AL243" i="2"/>
  <c r="AQ257" i="2"/>
  <c r="AN257" i="2"/>
  <c r="AO257" i="2"/>
  <c r="AR53" i="2"/>
  <c r="AQ53" i="2"/>
  <c r="AN53" i="2"/>
  <c r="AO53" i="2"/>
  <c r="BG460" i="2"/>
  <c r="BH460" i="2"/>
  <c r="BD460" i="2"/>
  <c r="BE460" i="2"/>
  <c r="AW103" i="2"/>
  <c r="AY103" i="2"/>
  <c r="AZ103" i="2"/>
  <c r="AV103" i="2"/>
  <c r="BG160" i="2"/>
  <c r="BE160" i="2"/>
  <c r="BH160" i="2"/>
  <c r="BD160" i="2"/>
  <c r="AO1054" i="2"/>
  <c r="AQ1054" i="2"/>
  <c r="AR1054" i="2"/>
  <c r="AN1054" i="2"/>
  <c r="AY1079" i="2"/>
  <c r="AV1079" i="2"/>
  <c r="AW1079" i="2"/>
  <c r="AZ1079" i="2"/>
  <c r="AZ971" i="2"/>
  <c r="AV971" i="2"/>
  <c r="AW971" i="2"/>
  <c r="AY971" i="2"/>
  <c r="AZ1086" i="2"/>
  <c r="AV1086" i="2"/>
  <c r="AW1086" i="2"/>
  <c r="AY1086" i="2"/>
  <c r="BH148" i="2"/>
  <c r="BD148" i="2"/>
  <c r="BG148" i="2"/>
  <c r="BE148" i="2"/>
  <c r="AZ1014" i="2"/>
  <c r="AW1014" i="2"/>
  <c r="AV1014" i="2"/>
  <c r="AY1014" i="2"/>
  <c r="BG805" i="2"/>
  <c r="BH805" i="2"/>
  <c r="BD805" i="2"/>
  <c r="BE805" i="2"/>
  <c r="AR501" i="2"/>
  <c r="AO501" i="2"/>
  <c r="AQ501" i="2"/>
  <c r="AN501" i="2"/>
  <c r="AV217" i="2"/>
  <c r="AW217" i="2"/>
  <c r="AZ217" i="2"/>
  <c r="AY217" i="2"/>
  <c r="BE785" i="2"/>
  <c r="BG785" i="2"/>
  <c r="BH785" i="2"/>
  <c r="BD785" i="2"/>
  <c r="BD262" i="2"/>
  <c r="BB248" i="2"/>
  <c r="BE262" i="2"/>
  <c r="BH262" i="2"/>
  <c r="BG262" i="2"/>
  <c r="AZ668" i="2"/>
  <c r="AW668" i="2"/>
  <c r="AY668" i="2"/>
  <c r="AV668" i="2"/>
  <c r="AN542" i="2"/>
  <c r="AQ542" i="2"/>
  <c r="AO542" i="2"/>
  <c r="AR542" i="2"/>
  <c r="BG706" i="2"/>
  <c r="BE706" i="2"/>
  <c r="BD706" i="2"/>
  <c r="BH706" i="2"/>
  <c r="AN441" i="2"/>
  <c r="AQ441" i="2"/>
  <c r="AR441" i="2"/>
  <c r="AO441" i="2"/>
  <c r="AQ751" i="2"/>
  <c r="AN751" i="2"/>
  <c r="AO751" i="2"/>
  <c r="AR751" i="2"/>
  <c r="AQ187" i="2"/>
  <c r="AR187" i="2"/>
  <c r="AN187" i="2"/>
  <c r="AO187" i="2"/>
  <c r="AM375" i="2"/>
  <c r="AY113" i="2"/>
  <c r="AV113" i="2"/>
  <c r="AW113" i="2"/>
  <c r="AZ113" i="2"/>
  <c r="AO1057" i="2"/>
  <c r="AR1057" i="2"/>
  <c r="AN1057" i="2"/>
  <c r="AQ1057" i="2"/>
  <c r="AN1073" i="2"/>
  <c r="AR1073" i="2"/>
  <c r="AQ1073" i="2"/>
  <c r="AO1073" i="2"/>
  <c r="AQ666" i="2"/>
  <c r="AR666" i="2"/>
  <c r="AN666" i="2"/>
  <c r="AO666" i="2"/>
  <c r="AX243" i="2"/>
  <c r="BD971" i="2"/>
  <c r="BH971" i="2"/>
  <c r="BE971" i="2"/>
  <c r="BG971" i="2"/>
  <c r="AZ881" i="2"/>
  <c r="AV881" i="2"/>
  <c r="AY881" i="2"/>
  <c r="AW881" i="2"/>
  <c r="AM36" i="2"/>
  <c r="AV454" i="2"/>
  <c r="AY454" i="2"/>
  <c r="AW454" i="2"/>
  <c r="AZ454" i="2"/>
  <c r="BD308" i="2"/>
  <c r="BG308" i="2"/>
  <c r="BH308" i="2"/>
  <c r="BE308" i="2"/>
  <c r="AW603" i="2"/>
  <c r="AY603" i="2"/>
  <c r="AZ603" i="2"/>
  <c r="AV603" i="2"/>
  <c r="AY513" i="2"/>
  <c r="AW513" i="2"/>
  <c r="AV513" i="2"/>
  <c r="AZ513" i="2"/>
  <c r="AW945" i="2"/>
  <c r="AY945" i="2"/>
  <c r="AZ945" i="2"/>
  <c r="AV945" i="2"/>
  <c r="BD106" i="2"/>
  <c r="BG106" i="2"/>
  <c r="BE106" i="2"/>
  <c r="BB80" i="2"/>
  <c r="BH106" i="2"/>
  <c r="AN586" i="2"/>
  <c r="AQ586" i="2"/>
  <c r="AR586" i="2"/>
  <c r="AO586" i="2"/>
  <c r="BE117" i="2"/>
  <c r="BH117" i="2"/>
  <c r="BG117" i="2"/>
  <c r="BD117" i="2"/>
  <c r="AN901" i="2"/>
  <c r="AO901" i="2"/>
  <c r="AQ901" i="2"/>
  <c r="AR901" i="2"/>
  <c r="AV836" i="2"/>
  <c r="AW836" i="2"/>
  <c r="AZ836" i="2"/>
  <c r="AY836" i="2"/>
  <c r="AR1047" i="2"/>
  <c r="AQ1047" i="2"/>
  <c r="AN1047" i="2"/>
  <c r="AO1047" i="2"/>
  <c r="AQ533" i="2"/>
  <c r="AR533" i="2"/>
  <c r="AN533" i="2"/>
  <c r="AO533" i="2"/>
  <c r="AN137" i="2"/>
  <c r="AO137" i="2"/>
  <c r="AQ137" i="2"/>
  <c r="AL87" i="2"/>
  <c r="AR137" i="2"/>
  <c r="BH493" i="2"/>
  <c r="BG493" i="2"/>
  <c r="BE493" i="2"/>
  <c r="BD493" i="2"/>
  <c r="BH691" i="2"/>
  <c r="BD691" i="2"/>
  <c r="BG691" i="2"/>
  <c r="BE691" i="2"/>
  <c r="AN763" i="2"/>
  <c r="AO763" i="2"/>
  <c r="AQ763" i="2"/>
  <c r="AR763" i="2"/>
  <c r="AW870" i="2"/>
  <c r="AV870" i="2"/>
  <c r="AZ870" i="2"/>
  <c r="AY870" i="2"/>
  <c r="AW989" i="2"/>
  <c r="AY989" i="2"/>
  <c r="AZ989" i="2"/>
  <c r="AV989" i="2"/>
  <c r="AO343" i="2"/>
  <c r="AN343" i="2"/>
  <c r="AR343" i="2"/>
  <c r="AQ343" i="2"/>
  <c r="BH1091" i="2"/>
  <c r="BD1091" i="2"/>
  <c r="BG1091" i="2"/>
  <c r="BE1091" i="2"/>
  <c r="AR1045" i="2"/>
  <c r="AN1045" i="2"/>
  <c r="AQ1045" i="2"/>
  <c r="AO1045" i="2"/>
  <c r="AR593" i="2"/>
  <c r="AN593" i="2"/>
  <c r="AQ593" i="2"/>
  <c r="AO593" i="2"/>
  <c r="AW795" i="2"/>
  <c r="AY795" i="2"/>
  <c r="AV795" i="2"/>
  <c r="AZ795" i="2"/>
  <c r="AZ15" i="2"/>
  <c r="AV15" i="2"/>
  <c r="AY15" i="2"/>
  <c r="AW15" i="2"/>
  <c r="BD818" i="2"/>
  <c r="BH818" i="2"/>
  <c r="BG818" i="2"/>
  <c r="BE818" i="2"/>
  <c r="BH348" i="2"/>
  <c r="BD348" i="2"/>
  <c r="BE348" i="2"/>
  <c r="BG348" i="2"/>
  <c r="AR370" i="2"/>
  <c r="AO370" i="2"/>
  <c r="AN370" i="2"/>
  <c r="AQ370" i="2"/>
  <c r="AZ992" i="2"/>
  <c r="AW992" i="2"/>
  <c r="AV992" i="2"/>
  <c r="AY992" i="2"/>
  <c r="AY209" i="2"/>
  <c r="AV209" i="2"/>
  <c r="AZ209" i="2"/>
  <c r="AW209" i="2"/>
  <c r="BC177" i="2"/>
  <c r="AY175" i="2"/>
  <c r="AW175" i="2"/>
  <c r="AZ175" i="2"/>
  <c r="AV175" i="2"/>
  <c r="BH856" i="2"/>
  <c r="BD856" i="2"/>
  <c r="BG856" i="2"/>
  <c r="BE856" i="2"/>
  <c r="BD749" i="2"/>
  <c r="BE749" i="2"/>
  <c r="BH749" i="2"/>
  <c r="BG749" i="2"/>
  <c r="BD1062" i="2"/>
  <c r="BG1062" i="2"/>
  <c r="BH1062" i="2"/>
  <c r="BE1062" i="2"/>
  <c r="AQ1091" i="2"/>
  <c r="AR1091" i="2"/>
  <c r="AO1091" i="2"/>
  <c r="AN1091" i="2"/>
  <c r="BH918" i="2"/>
  <c r="BG918" i="2"/>
  <c r="BD918" i="2"/>
  <c r="BE918" i="2"/>
  <c r="AY392" i="2"/>
  <c r="AZ392" i="2"/>
  <c r="AV392" i="2"/>
  <c r="AW392" i="2"/>
  <c r="AM124" i="2"/>
  <c r="AM81" i="2"/>
  <c r="AY227" i="2"/>
  <c r="AV227" i="2"/>
  <c r="AW227" i="2"/>
  <c r="AZ227" i="2"/>
  <c r="AW335" i="2"/>
  <c r="AT336" i="2"/>
  <c r="AY335" i="2"/>
  <c r="AV335" i="2"/>
  <c r="AZ335" i="2"/>
  <c r="BG1069" i="2"/>
  <c r="BD1069" i="2"/>
  <c r="BE1069" i="2"/>
  <c r="BH1069" i="2"/>
  <c r="BG369" i="2"/>
  <c r="BD369" i="2"/>
  <c r="BH369" i="2"/>
  <c r="BE369" i="2"/>
  <c r="AR529" i="2"/>
  <c r="AN529" i="2"/>
  <c r="AQ529" i="2"/>
  <c r="AO529" i="2"/>
  <c r="BE16" i="2"/>
  <c r="BH16" i="2"/>
  <c r="BG16" i="2"/>
  <c r="BD16" i="2"/>
  <c r="AP312" i="2"/>
  <c r="BC385" i="2"/>
  <c r="BC377" i="2" s="1"/>
  <c r="BC378" i="2"/>
  <c r="BF786" i="2"/>
  <c r="BH786" i="2" s="1"/>
  <c r="AN649" i="2"/>
  <c r="AR649" i="2"/>
  <c r="AO649" i="2"/>
  <c r="AQ649" i="2"/>
  <c r="AN40" i="2"/>
  <c r="AR40" i="2"/>
  <c r="AQ40" i="2"/>
  <c r="AO40" i="2"/>
  <c r="BD1098" i="2"/>
  <c r="BG1098" i="2"/>
  <c r="BE1098" i="2"/>
  <c r="BH1098" i="2"/>
  <c r="AN157" i="2"/>
  <c r="AQ157" i="2"/>
  <c r="AO157" i="2"/>
  <c r="AR157" i="2"/>
  <c r="BG774" i="2"/>
  <c r="BD774" i="2"/>
  <c r="BE774" i="2"/>
  <c r="BH774" i="2"/>
  <c r="AV63" i="2"/>
  <c r="AZ63" i="2"/>
  <c r="AW63" i="2"/>
  <c r="AY63" i="2"/>
  <c r="BB435" i="2"/>
  <c r="BH434" i="2"/>
  <c r="BE434" i="2"/>
  <c r="BD434" i="2"/>
  <c r="BG434" i="2"/>
  <c r="BF125" i="2"/>
  <c r="AU367" i="2"/>
  <c r="AV386" i="2"/>
  <c r="AZ386" i="2"/>
  <c r="AY386" i="2"/>
  <c r="AT378" i="2"/>
  <c r="AY378" i="2" s="1"/>
  <c r="AW386" i="2"/>
  <c r="AT385" i="2"/>
  <c r="BG1042" i="2"/>
  <c r="BE1042" i="2"/>
  <c r="BD1042" i="2"/>
  <c r="BH1042" i="2"/>
  <c r="BD483" i="2"/>
  <c r="BG483" i="2"/>
  <c r="BH483" i="2"/>
  <c r="BE483" i="2"/>
  <c r="AW679" i="2"/>
  <c r="AV679" i="2"/>
  <c r="AZ679" i="2"/>
  <c r="AY679" i="2"/>
  <c r="AQ1025" i="2"/>
  <c r="AR1025" i="2"/>
  <c r="AN1025" i="2"/>
  <c r="AO1025" i="2"/>
  <c r="AV444" i="2"/>
  <c r="AY444" i="2"/>
  <c r="AZ444" i="2"/>
  <c r="AW444" i="2"/>
  <c r="AV716" i="2"/>
  <c r="AZ716" i="2"/>
  <c r="AY716" i="2"/>
  <c r="AW716" i="2"/>
  <c r="AM243" i="2"/>
  <c r="AU336" i="2"/>
  <c r="BH145" i="2"/>
  <c r="BD145" i="2"/>
  <c r="BE145" i="2"/>
  <c r="BG145" i="2"/>
  <c r="BH482" i="2"/>
  <c r="BE482" i="2"/>
  <c r="BG482" i="2"/>
  <c r="BD482" i="2"/>
  <c r="AW966" i="2"/>
  <c r="AZ966" i="2"/>
  <c r="AY966" i="2"/>
  <c r="AV966" i="2"/>
  <c r="BG894" i="2"/>
  <c r="BE894" i="2"/>
  <c r="BH894" i="2"/>
  <c r="BD894" i="2"/>
  <c r="BH771" i="2"/>
  <c r="BG771" i="2"/>
  <c r="BE771" i="2"/>
  <c r="BD771" i="2"/>
  <c r="BC79" i="2"/>
  <c r="BD1084" i="2"/>
  <c r="BH1084" i="2"/>
  <c r="BE1084" i="2"/>
  <c r="BG1084" i="2"/>
  <c r="AV606" i="2"/>
  <c r="AZ606" i="2"/>
  <c r="AW606" i="2"/>
  <c r="AY606" i="2"/>
  <c r="AV1080" i="2"/>
  <c r="AZ1080" i="2"/>
  <c r="AY1080" i="2"/>
  <c r="AW1080" i="2"/>
  <c r="AZ111" i="2"/>
  <c r="AY111" i="2"/>
  <c r="AV111" i="2"/>
  <c r="AW111" i="2"/>
  <c r="BG1002" i="2"/>
  <c r="BE1002" i="2"/>
  <c r="BD1002" i="2"/>
  <c r="BH1002" i="2"/>
  <c r="BC273" i="2"/>
  <c r="AN438" i="2"/>
  <c r="AR438" i="2"/>
  <c r="AO438" i="2"/>
  <c r="AQ438" i="2"/>
  <c r="AL439" i="2"/>
  <c r="BE151" i="2"/>
  <c r="BD151" i="2"/>
  <c r="BH151" i="2"/>
  <c r="BE97" i="2"/>
  <c r="BD97" i="2"/>
  <c r="BG97" i="2"/>
  <c r="BH97" i="2"/>
  <c r="AQ234" i="2"/>
  <c r="AN234" i="2"/>
  <c r="AO234" i="2"/>
  <c r="AR234" i="2"/>
  <c r="AP239" i="2"/>
  <c r="BH562" i="2"/>
  <c r="BE562" i="2"/>
  <c r="BD562" i="2"/>
  <c r="BG562" i="2"/>
  <c r="BG499" i="2"/>
  <c r="BH499" i="2"/>
  <c r="BD499" i="2"/>
  <c r="BE499" i="2"/>
  <c r="AV766" i="2"/>
  <c r="AZ766" i="2"/>
  <c r="AW766" i="2"/>
  <c r="AY766" i="2"/>
  <c r="AM347" i="2"/>
  <c r="AO886" i="2"/>
  <c r="AQ886" i="2"/>
  <c r="AR886" i="2"/>
  <c r="AN886" i="2"/>
  <c r="AY161" i="2"/>
  <c r="AW161" i="2"/>
  <c r="AV161" i="2"/>
  <c r="AZ161" i="2"/>
  <c r="AN863" i="2"/>
  <c r="AR863" i="2"/>
  <c r="AQ863" i="2"/>
  <c r="AO863" i="2"/>
  <c r="AN930" i="2"/>
  <c r="AQ930" i="2"/>
  <c r="AO930" i="2"/>
  <c r="AR930" i="2"/>
  <c r="AY123" i="2"/>
  <c r="AV123" i="2"/>
  <c r="AZ123" i="2"/>
  <c r="AT81" i="2"/>
  <c r="AW123" i="2"/>
  <c r="AT124" i="2"/>
  <c r="AN781" i="2"/>
  <c r="AR781" i="2"/>
  <c r="AQ781" i="2"/>
  <c r="AO781" i="2"/>
  <c r="AM250" i="2"/>
  <c r="AY1069" i="2"/>
  <c r="AW1069" i="2"/>
  <c r="AV1069" i="2"/>
  <c r="AZ1069" i="2"/>
  <c r="AP320" i="2"/>
  <c r="AN32" i="2"/>
  <c r="AQ32" i="2"/>
  <c r="AR32" i="2"/>
  <c r="AO32" i="2"/>
  <c r="AQ925" i="2"/>
  <c r="AR925" i="2"/>
  <c r="AO925" i="2"/>
  <c r="AN925" i="2"/>
  <c r="AM318" i="2"/>
  <c r="AO122" i="2"/>
  <c r="AN122" i="2"/>
  <c r="AR122" i="2"/>
  <c r="AQ122" i="2"/>
  <c r="AO384" i="2"/>
  <c r="AQ384" i="2"/>
  <c r="AN384" i="2"/>
  <c r="AR384" i="2"/>
  <c r="AN748" i="2"/>
  <c r="AR748" i="2"/>
  <c r="AQ748" i="2"/>
  <c r="AO748" i="2"/>
  <c r="BD821" i="2"/>
  <c r="BH821" i="2"/>
  <c r="BE821" i="2"/>
  <c r="BG821" i="2"/>
  <c r="AQ477" i="2"/>
  <c r="AR477" i="2"/>
  <c r="AN477" i="2"/>
  <c r="AO477" i="2"/>
  <c r="AQ868" i="2"/>
  <c r="AR868" i="2"/>
  <c r="AO868" i="2"/>
  <c r="AN868" i="2"/>
  <c r="BE226" i="2"/>
  <c r="BH226" i="2"/>
  <c r="BD226" i="2"/>
  <c r="BG226" i="2"/>
  <c r="BC179" i="2"/>
  <c r="AN1081" i="2"/>
  <c r="AQ1081" i="2"/>
  <c r="AO1081" i="2"/>
  <c r="AR1081" i="2"/>
  <c r="AL385" i="2"/>
  <c r="AO386" i="2"/>
  <c r="AQ386" i="2"/>
  <c r="AN386" i="2"/>
  <c r="AR386" i="2"/>
  <c r="AL378" i="2"/>
  <c r="AZ1075" i="2"/>
  <c r="AY1075" i="2"/>
  <c r="AW1075" i="2"/>
  <c r="AV1075" i="2"/>
  <c r="AX29" i="2"/>
  <c r="AP81" i="2"/>
  <c r="AP124" i="2"/>
  <c r="BC435" i="2"/>
  <c r="BC196" i="2" s="1"/>
  <c r="AX246" i="2"/>
  <c r="AR254" i="2"/>
  <c r="AL240" i="2"/>
  <c r="AQ254" i="2"/>
  <c r="AO254" i="2"/>
  <c r="AN254" i="2"/>
  <c r="AN616" i="2"/>
  <c r="AR616" i="2"/>
  <c r="AO616" i="2"/>
  <c r="AQ616" i="2"/>
  <c r="AY228" i="2"/>
  <c r="AV228" i="2"/>
  <c r="AW228" i="2"/>
  <c r="AZ228" i="2"/>
  <c r="AR944" i="2"/>
  <c r="AQ944" i="2"/>
  <c r="AO944" i="2"/>
  <c r="AN944" i="2"/>
  <c r="BH810" i="2"/>
  <c r="BE810" i="2"/>
  <c r="BG810" i="2"/>
  <c r="BD810" i="2"/>
  <c r="BD349" i="2"/>
  <c r="BG349" i="2"/>
  <c r="BE349" i="2"/>
  <c r="BH349" i="2"/>
  <c r="AO232" i="2"/>
  <c r="AN232" i="2"/>
  <c r="AR232" i="2"/>
  <c r="AQ232" i="2"/>
  <c r="AN411" i="2"/>
  <c r="AL412" i="2"/>
  <c r="AO411" i="2"/>
  <c r="BF340" i="2"/>
  <c r="BG340" i="2" s="1"/>
  <c r="AO539" i="2"/>
  <c r="AR539" i="2"/>
  <c r="AQ539" i="2"/>
  <c r="AN539" i="2"/>
  <c r="AR440" i="2"/>
  <c r="AN440" i="2"/>
  <c r="AQ440" i="2"/>
  <c r="AO440" i="2"/>
  <c r="AR675" i="2"/>
  <c r="AN675" i="2"/>
  <c r="AO675" i="2"/>
  <c r="AQ675" i="2"/>
  <c r="AM316" i="2"/>
  <c r="AY873" i="2"/>
  <c r="AZ873" i="2"/>
  <c r="AW873" i="2"/>
  <c r="AV873" i="2"/>
  <c r="BD465" i="2"/>
  <c r="BE465" i="2"/>
  <c r="BH465" i="2"/>
  <c r="BG465" i="2"/>
  <c r="AR98" i="2"/>
  <c r="AN98" i="2"/>
  <c r="AO98" i="2"/>
  <c r="AQ98" i="2"/>
  <c r="AO286" i="2"/>
  <c r="AN286" i="2"/>
  <c r="AR286" i="2"/>
  <c r="AQ286" i="2"/>
  <c r="AN761" i="2"/>
  <c r="AR761" i="2"/>
  <c r="AQ761" i="2"/>
  <c r="AO761" i="2"/>
  <c r="BH491" i="2"/>
  <c r="BE491" i="2"/>
  <c r="BG491" i="2"/>
  <c r="BD491" i="2"/>
  <c r="AY410" i="2"/>
  <c r="AV410" i="2"/>
  <c r="AZ410" i="2"/>
  <c r="AW410" i="2"/>
  <c r="AR1086" i="2"/>
  <c r="AN1086" i="2"/>
  <c r="AQ1086" i="2"/>
  <c r="AO1086" i="2"/>
  <c r="BB85" i="2"/>
  <c r="BH134" i="2"/>
  <c r="BD134" i="2"/>
  <c r="BG134" i="2"/>
  <c r="BE134" i="2"/>
  <c r="AY664" i="2"/>
  <c r="AV664" i="2"/>
  <c r="AW664" i="2"/>
  <c r="AZ664" i="2"/>
  <c r="AW813" i="2"/>
  <c r="AY813" i="2"/>
  <c r="AZ813" i="2"/>
  <c r="AV813" i="2"/>
  <c r="BE972" i="2"/>
  <c r="BD972" i="2"/>
  <c r="BG972" i="2"/>
  <c r="BH972" i="2"/>
  <c r="AZ607" i="2"/>
  <c r="AV607" i="2"/>
  <c r="AY607" i="2"/>
  <c r="AW607" i="2"/>
  <c r="AR933" i="2"/>
  <c r="AN933" i="2"/>
  <c r="AQ933" i="2"/>
  <c r="AO933" i="2"/>
  <c r="AO1069" i="2"/>
  <c r="AN1069" i="2"/>
  <c r="AR1069" i="2"/>
  <c r="AQ1069" i="2"/>
  <c r="BH298" i="2"/>
  <c r="BG298" i="2"/>
  <c r="BD298" i="2"/>
  <c r="BE298" i="2"/>
  <c r="AQ884" i="2"/>
  <c r="AR884" i="2"/>
  <c r="AN884" i="2"/>
  <c r="AO884" i="2"/>
  <c r="AU419" i="2"/>
  <c r="BB180" i="2"/>
  <c r="BG184" i="2"/>
  <c r="BD184" i="2"/>
  <c r="BE184" i="2"/>
  <c r="BH184" i="2"/>
  <c r="AV346" i="2"/>
  <c r="AW346" i="2"/>
  <c r="AZ346" i="2"/>
  <c r="AT347" i="2"/>
  <c r="AY346" i="2"/>
  <c r="AY532" i="2"/>
  <c r="AW532" i="2"/>
  <c r="AV532" i="2"/>
  <c r="AZ532" i="2"/>
  <c r="AZ500" i="2"/>
  <c r="AV500" i="2"/>
  <c r="AW500" i="2"/>
  <c r="AY500" i="2"/>
  <c r="AX354" i="2"/>
  <c r="AY51" i="2"/>
  <c r="AW51" i="2"/>
  <c r="AZ51" i="2"/>
  <c r="AV51" i="2"/>
  <c r="AY479" i="2"/>
  <c r="AZ479" i="2"/>
  <c r="AV479" i="2"/>
  <c r="AW479" i="2"/>
  <c r="AM202" i="2"/>
  <c r="BF244" i="2"/>
  <c r="AW816" i="2"/>
  <c r="AV816" i="2"/>
  <c r="AY816" i="2"/>
  <c r="AZ816" i="2"/>
  <c r="AO51" i="2"/>
  <c r="AN51" i="2"/>
  <c r="AQ51" i="2"/>
  <c r="AR51" i="2"/>
  <c r="AM543" i="2"/>
  <c r="AR934" i="2"/>
  <c r="AO934" i="2"/>
  <c r="AQ934" i="2"/>
  <c r="AN934" i="2"/>
  <c r="AW982" i="2"/>
  <c r="AZ982" i="2"/>
  <c r="AV982" i="2"/>
  <c r="AY982" i="2"/>
  <c r="AZ798" i="2"/>
  <c r="AY798" i="2"/>
  <c r="AV798" i="2"/>
  <c r="AW798" i="2"/>
  <c r="BG847" i="2"/>
  <c r="BH847" i="2"/>
  <c r="BE847" i="2"/>
  <c r="BD847" i="2"/>
  <c r="AZ547" i="2"/>
  <c r="AY547" i="2"/>
  <c r="AW547" i="2"/>
  <c r="AV547" i="2"/>
  <c r="AZ355" i="2"/>
  <c r="AV355" i="2"/>
  <c r="AW355" i="2"/>
  <c r="AY355" i="2"/>
  <c r="AT354" i="2"/>
  <c r="AW354" i="2" s="1"/>
  <c r="BH24" i="2"/>
  <c r="BD24" i="2"/>
  <c r="BG24" i="2"/>
  <c r="BB25" i="2"/>
  <c r="BE24" i="2"/>
  <c r="AU1455" i="2"/>
  <c r="AR734" i="2"/>
  <c r="AO734" i="2"/>
  <c r="AQ734" i="2"/>
  <c r="AN734" i="2"/>
  <c r="BH479" i="2"/>
  <c r="BE479" i="2"/>
  <c r="BD479" i="2"/>
  <c r="BG479" i="2"/>
  <c r="AO714" i="2"/>
  <c r="AN714" i="2"/>
  <c r="AR714" i="2"/>
  <c r="AQ714" i="2"/>
  <c r="AR283" i="2"/>
  <c r="AN283" i="2"/>
  <c r="AL284" i="2"/>
  <c r="AQ283" i="2"/>
  <c r="AO283" i="2"/>
  <c r="BG802" i="2"/>
  <c r="BE802" i="2"/>
  <c r="BD802" i="2"/>
  <c r="BH802" i="2"/>
  <c r="BE865" i="2"/>
  <c r="BG865" i="2"/>
  <c r="BD865" i="2"/>
  <c r="BH865" i="2"/>
  <c r="BG929" i="2"/>
  <c r="BH929" i="2"/>
  <c r="BD929" i="2"/>
  <c r="BE929" i="2"/>
  <c r="AT320" i="2"/>
  <c r="AZ329" i="2"/>
  <c r="AW329" i="2"/>
  <c r="AV329" i="2"/>
  <c r="AY329" i="2"/>
  <c r="AZ732" i="2"/>
  <c r="AY732" i="2"/>
  <c r="AV732" i="2"/>
  <c r="AW732" i="2"/>
  <c r="AQ545" i="2"/>
  <c r="AR545" i="2"/>
  <c r="AN545" i="2"/>
  <c r="AO545" i="2"/>
  <c r="BG285" i="2"/>
  <c r="BD285" i="2"/>
  <c r="BE285" i="2"/>
  <c r="BH285" i="2"/>
  <c r="AN548" i="2"/>
  <c r="AO548" i="2"/>
  <c r="AR548" i="2"/>
  <c r="AQ548" i="2"/>
  <c r="AU127" i="2"/>
  <c r="BG323" i="2"/>
  <c r="BD323" i="2"/>
  <c r="BB314" i="2"/>
  <c r="BE323" i="2"/>
  <c r="BH323" i="2"/>
  <c r="AZ995" i="2"/>
  <c r="AV995" i="2"/>
  <c r="AW995" i="2"/>
  <c r="AY995" i="2"/>
  <c r="AO1020" i="2"/>
  <c r="AR1020" i="2"/>
  <c r="AQ1020" i="2"/>
  <c r="AN1020" i="2"/>
  <c r="AZ848" i="2"/>
  <c r="AW848" i="2"/>
  <c r="AV848" i="2"/>
  <c r="AY848" i="2"/>
  <c r="AZ33" i="2"/>
  <c r="AW33" i="2"/>
  <c r="AV33" i="2"/>
  <c r="AY33" i="2"/>
  <c r="AR1103" i="2"/>
  <c r="AN1103" i="2"/>
  <c r="AQ1103" i="2"/>
  <c r="AO1103" i="2"/>
  <c r="BF314" i="2"/>
  <c r="BE784" i="2"/>
  <c r="BH784" i="2"/>
  <c r="BD784" i="2"/>
  <c r="BG784" i="2"/>
  <c r="AY847" i="2"/>
  <c r="AZ847" i="2"/>
  <c r="AW847" i="2"/>
  <c r="AV847" i="2"/>
  <c r="AQ67" i="2"/>
  <c r="AR67" i="2"/>
  <c r="AN67" i="2"/>
  <c r="AO67" i="2"/>
  <c r="BE770" i="2"/>
  <c r="BG770" i="2"/>
  <c r="BD770" i="2"/>
  <c r="BH770" i="2"/>
  <c r="BH1097" i="2"/>
  <c r="BG1097" i="2"/>
  <c r="BD1097" i="2"/>
  <c r="BE1097" i="2"/>
  <c r="AP80" i="2"/>
  <c r="AR80" i="2" s="1"/>
  <c r="AW807" i="2"/>
  <c r="AY807" i="2"/>
  <c r="AZ807" i="2"/>
  <c r="AV807" i="2"/>
  <c r="AY884" i="2"/>
  <c r="AV884" i="2"/>
  <c r="AW884" i="2"/>
  <c r="AZ884" i="2"/>
  <c r="AZ617" i="2"/>
  <c r="AW617" i="2"/>
  <c r="AY617" i="2"/>
  <c r="AV617" i="2"/>
  <c r="AV511" i="2"/>
  <c r="AY511" i="2"/>
  <c r="AW511" i="2"/>
  <c r="AZ511" i="2"/>
  <c r="AO867" i="2"/>
  <c r="AR867" i="2"/>
  <c r="AN867" i="2"/>
  <c r="AQ867" i="2"/>
  <c r="AV930" i="2"/>
  <c r="AW930" i="2"/>
  <c r="AY930" i="2"/>
  <c r="AZ930" i="2"/>
  <c r="BD322" i="2"/>
  <c r="BH322" i="2"/>
  <c r="BE322" i="2"/>
  <c r="BG322" i="2"/>
  <c r="BB313" i="2"/>
  <c r="BG219" i="2"/>
  <c r="BD219" i="2"/>
  <c r="BE219" i="2"/>
  <c r="BH219" i="2"/>
  <c r="AQ556" i="2"/>
  <c r="AN556" i="2"/>
  <c r="AR556" i="2"/>
  <c r="AO556" i="2"/>
  <c r="AV480" i="2"/>
  <c r="AZ480" i="2"/>
  <c r="AY480" i="2"/>
  <c r="AW480" i="2"/>
  <c r="BH897" i="2"/>
  <c r="BE897" i="2"/>
  <c r="BG897" i="2"/>
  <c r="BD897" i="2"/>
  <c r="AN510" i="2"/>
  <c r="AO510" i="2"/>
  <c r="AQ510" i="2"/>
  <c r="AR510" i="2"/>
  <c r="AV475" i="2"/>
  <c r="AY475" i="2"/>
  <c r="AW475" i="2"/>
  <c r="AZ475" i="2"/>
  <c r="AO918" i="2"/>
  <c r="AR918" i="2"/>
  <c r="AN918" i="2"/>
  <c r="AQ918" i="2"/>
  <c r="BD233" i="2"/>
  <c r="BG233" i="2"/>
  <c r="BE233" i="2"/>
  <c r="BH233" i="2"/>
  <c r="AY478" i="2"/>
  <c r="AZ478" i="2"/>
  <c r="AW478" i="2"/>
  <c r="AV478" i="2"/>
  <c r="BG696" i="2"/>
  <c r="BE696" i="2"/>
  <c r="BD696" i="2"/>
  <c r="BH696" i="2"/>
  <c r="AP315" i="2"/>
  <c r="AO707" i="2"/>
  <c r="AN707" i="2"/>
  <c r="AR707" i="2"/>
  <c r="AQ707" i="2"/>
  <c r="AO913" i="2"/>
  <c r="AN913" i="2"/>
  <c r="AR913" i="2"/>
  <c r="AQ913" i="2"/>
  <c r="AO145" i="2"/>
  <c r="AQ145" i="2"/>
  <c r="AR145" i="2"/>
  <c r="AN145" i="2"/>
  <c r="AO762" i="2"/>
  <c r="AQ762" i="2"/>
  <c r="AR762" i="2"/>
  <c r="AN762" i="2"/>
  <c r="AO607" i="2"/>
  <c r="AQ607" i="2"/>
  <c r="AN607" i="2"/>
  <c r="AR607" i="2"/>
  <c r="BD787" i="2"/>
  <c r="BE787" i="2"/>
  <c r="BH787" i="2"/>
  <c r="BG787" i="2"/>
  <c r="BE973" i="2"/>
  <c r="BG973" i="2"/>
  <c r="BD973" i="2"/>
  <c r="BH973" i="2"/>
  <c r="AO355" i="2"/>
  <c r="AQ355" i="2"/>
  <c r="AR355" i="2"/>
  <c r="AL354" i="2"/>
  <c r="AN355" i="2"/>
  <c r="AU126" i="2"/>
  <c r="AX125" i="2"/>
  <c r="BG570" i="2"/>
  <c r="BD570" i="2"/>
  <c r="BE570" i="2"/>
  <c r="BH570" i="2"/>
  <c r="BF439" i="2"/>
  <c r="BF278" i="2" s="1"/>
  <c r="AN576" i="2"/>
  <c r="AO576" i="2"/>
  <c r="AR576" i="2"/>
  <c r="AQ576" i="2"/>
  <c r="BD116" i="2"/>
  <c r="BH116" i="2"/>
  <c r="BE116" i="2"/>
  <c r="BG116" i="2"/>
  <c r="AR190" i="2"/>
  <c r="AN190" i="2"/>
  <c r="AL191" i="2"/>
  <c r="AQ191" i="2" s="1"/>
  <c r="AQ190" i="2"/>
  <c r="AO190" i="2"/>
  <c r="AM127" i="2"/>
  <c r="BD516" i="2"/>
  <c r="BH516" i="2"/>
  <c r="BG516" i="2"/>
  <c r="BE516" i="2"/>
  <c r="BE836" i="2"/>
  <c r="BH836" i="2"/>
  <c r="BG836" i="2"/>
  <c r="BD836" i="2"/>
  <c r="BH567" i="2"/>
  <c r="BG567" i="2"/>
  <c r="BE567" i="2"/>
  <c r="BD567" i="2"/>
  <c r="BD236" i="2"/>
  <c r="BH236" i="2"/>
  <c r="BG236" i="2"/>
  <c r="BE236" i="2"/>
  <c r="AW324" i="2"/>
  <c r="AZ324" i="2"/>
  <c r="AT315" i="2"/>
  <c r="AY324" i="2"/>
  <c r="AV324" i="2"/>
  <c r="BG227" i="2"/>
  <c r="BD227" i="2"/>
  <c r="BE227" i="2"/>
  <c r="BH227" i="2"/>
  <c r="AW1056" i="2"/>
  <c r="AY1056" i="2"/>
  <c r="AZ1056" i="2"/>
  <c r="AV1056" i="2"/>
  <c r="AV198" i="2"/>
  <c r="AZ198" i="2"/>
  <c r="AY198" i="2"/>
  <c r="AW198" i="2"/>
  <c r="AZ1006" i="2"/>
  <c r="AW1006" i="2"/>
  <c r="AV1006" i="2"/>
  <c r="AY1006" i="2"/>
  <c r="BE359" i="2"/>
  <c r="BG359" i="2"/>
  <c r="BB358" i="2"/>
  <c r="BD359" i="2"/>
  <c r="BH359" i="2"/>
  <c r="AO215" i="2"/>
  <c r="AQ215" i="2"/>
  <c r="AN215" i="2"/>
  <c r="AR215" i="2"/>
  <c r="AU251" i="2"/>
  <c r="AU1467" i="2"/>
  <c r="BD395" i="2"/>
  <c r="BE395" i="2"/>
  <c r="BH395" i="2"/>
  <c r="BG395" i="2"/>
  <c r="BG1068" i="2"/>
  <c r="BH1068" i="2"/>
  <c r="BE1068" i="2"/>
  <c r="BD1068" i="2"/>
  <c r="BG221" i="2"/>
  <c r="BH221" i="2"/>
  <c r="BE221" i="2"/>
  <c r="BD221" i="2"/>
  <c r="AW94" i="2"/>
  <c r="AV94" i="2"/>
  <c r="AZ94" i="2"/>
  <c r="AY94" i="2"/>
  <c r="AW137" i="2"/>
  <c r="AV137" i="2"/>
  <c r="AZ137" i="2"/>
  <c r="AY137" i="2"/>
  <c r="AT87" i="2"/>
  <c r="AV87" i="2" s="1"/>
  <c r="AQ1015" i="2"/>
  <c r="AR1015" i="2"/>
  <c r="AN1015" i="2"/>
  <c r="AO1015" i="2"/>
  <c r="AR565" i="2"/>
  <c r="AO565" i="2"/>
  <c r="AQ565" i="2"/>
  <c r="AN565" i="2"/>
  <c r="BE656" i="2"/>
  <c r="BH656" i="2"/>
  <c r="BD656" i="2"/>
  <c r="BG656" i="2"/>
  <c r="BF316" i="2"/>
  <c r="AO910" i="2"/>
  <c r="AN910" i="2"/>
  <c r="AR910" i="2"/>
  <c r="AQ910" i="2"/>
  <c r="BD558" i="2"/>
  <c r="BH558" i="2"/>
  <c r="BE558" i="2"/>
  <c r="BG558" i="2"/>
  <c r="AW41" i="2"/>
  <c r="AY41" i="2"/>
  <c r="AZ41" i="2"/>
  <c r="AV41" i="2"/>
  <c r="AM536" i="2"/>
  <c r="AO220" i="2"/>
  <c r="AR220" i="2"/>
  <c r="AN220" i="2"/>
  <c r="AQ220" i="2"/>
  <c r="BD633" i="2"/>
  <c r="BE633" i="2"/>
  <c r="BG633" i="2"/>
  <c r="BH633" i="2"/>
  <c r="AN959" i="2"/>
  <c r="AO959" i="2"/>
  <c r="AQ959" i="2"/>
  <c r="AR959" i="2"/>
  <c r="BG571" i="2"/>
  <c r="BD571" i="2"/>
  <c r="BE571" i="2"/>
  <c r="BH571" i="2"/>
  <c r="AN783" i="2"/>
  <c r="AQ783" i="2"/>
  <c r="AO783" i="2"/>
  <c r="AR783" i="2"/>
  <c r="AV703" i="2"/>
  <c r="AZ703" i="2"/>
  <c r="AW703" i="2"/>
  <c r="AY703" i="2"/>
  <c r="AV611" i="2"/>
  <c r="AZ611" i="2"/>
  <c r="AY611" i="2"/>
  <c r="AW611" i="2"/>
  <c r="AX284" i="2"/>
  <c r="AZ1072" i="2"/>
  <c r="AY1072" i="2"/>
  <c r="AW1072" i="2"/>
  <c r="AV1072" i="2"/>
  <c r="BH763" i="2"/>
  <c r="BE763" i="2"/>
  <c r="BD763" i="2"/>
  <c r="BG763" i="2"/>
  <c r="BG739" i="2"/>
  <c r="BD739" i="2"/>
  <c r="BH739" i="2"/>
  <c r="BE739" i="2"/>
  <c r="AZ517" i="2"/>
  <c r="AY517" i="2"/>
  <c r="AV517" i="2"/>
  <c r="AW517" i="2"/>
  <c r="BF253" i="2"/>
  <c r="AN382" i="2"/>
  <c r="AO382" i="2"/>
  <c r="AL381" i="2"/>
  <c r="AQ382" i="2"/>
  <c r="AR382" i="2"/>
  <c r="AL374" i="2"/>
  <c r="AN374" i="2" s="1"/>
  <c r="AU195" i="2"/>
  <c r="AZ792" i="2"/>
  <c r="AW792" i="2"/>
  <c r="AY792" i="2"/>
  <c r="AV792" i="2"/>
  <c r="BE611" i="2"/>
  <c r="BD611" i="2"/>
  <c r="BH611" i="2"/>
  <c r="BG611" i="2"/>
  <c r="BH703" i="2"/>
  <c r="BE703" i="2"/>
  <c r="BD703" i="2"/>
  <c r="BG703" i="2"/>
  <c r="AZ237" i="2"/>
  <c r="AV237" i="2"/>
  <c r="AW237" i="2"/>
  <c r="AY237" i="2"/>
  <c r="AZ801" i="2"/>
  <c r="AY801" i="2"/>
  <c r="AW801" i="2"/>
  <c r="AV801" i="2"/>
  <c r="BD500" i="2"/>
  <c r="BG500" i="2"/>
  <c r="BH500" i="2"/>
  <c r="BE500" i="2"/>
  <c r="BD486" i="2"/>
  <c r="BG486" i="2"/>
  <c r="BH486" i="2"/>
  <c r="BE486" i="2"/>
  <c r="BH709" i="2"/>
  <c r="BE709" i="2"/>
  <c r="BG709" i="2"/>
  <c r="BD709" i="2"/>
  <c r="AW362" i="2"/>
  <c r="AV362" i="2"/>
  <c r="AO554" i="2"/>
  <c r="AR554" i="2"/>
  <c r="AQ554" i="2"/>
  <c r="AN554" i="2"/>
  <c r="AZ906" i="2"/>
  <c r="AY906" i="2"/>
  <c r="AW906" i="2"/>
  <c r="AV906" i="2"/>
  <c r="BE420" i="2"/>
  <c r="BG420" i="2"/>
  <c r="BH420" i="2"/>
  <c r="BD420" i="2"/>
  <c r="AV396" i="2"/>
  <c r="AY396" i="2"/>
  <c r="AW396" i="2"/>
  <c r="AZ396" i="2"/>
  <c r="AO92" i="2"/>
  <c r="AR92" i="2"/>
  <c r="AQ92" i="2"/>
  <c r="AN92" i="2"/>
  <c r="BD991" i="2"/>
  <c r="BE991" i="2"/>
  <c r="BH991" i="2"/>
  <c r="BG991" i="2"/>
  <c r="AY1067" i="2"/>
  <c r="AV1067" i="2"/>
  <c r="AW1067" i="2"/>
  <c r="AZ1067" i="2"/>
  <c r="AW504" i="2"/>
  <c r="AV504" i="2"/>
  <c r="AY504" i="2"/>
  <c r="AZ504" i="2"/>
  <c r="BE411" i="2"/>
  <c r="BD411" i="2"/>
  <c r="BB412" i="2"/>
  <c r="BD412" i="2" s="1"/>
  <c r="BD793" i="2"/>
  <c r="BE793" i="2"/>
  <c r="AR309" i="2"/>
  <c r="AO309" i="2"/>
  <c r="AQ309" i="2"/>
  <c r="AN309" i="2"/>
  <c r="BD93" i="2"/>
  <c r="BH93" i="2"/>
  <c r="BG93" i="2"/>
  <c r="BE93" i="2"/>
  <c r="BD98" i="2"/>
  <c r="BE98" i="2"/>
  <c r="BH98" i="2"/>
  <c r="BG98" i="2"/>
  <c r="BH203" i="2"/>
  <c r="BG203" i="2"/>
  <c r="BE203" i="2"/>
  <c r="BD203" i="2"/>
  <c r="AQ720" i="2"/>
  <c r="AR720" i="2"/>
  <c r="AN720" i="2"/>
  <c r="AO720" i="2"/>
  <c r="BH189" i="2"/>
  <c r="BE189" i="2"/>
  <c r="BD189" i="2"/>
  <c r="BG189" i="2"/>
  <c r="BH760" i="2"/>
  <c r="BD760" i="2"/>
  <c r="BE760" i="2"/>
  <c r="BG760" i="2"/>
  <c r="BG712" i="2"/>
  <c r="BE712" i="2"/>
  <c r="BH712" i="2"/>
  <c r="BD712" i="2"/>
  <c r="AO1010" i="2"/>
  <c r="AR1010" i="2"/>
  <c r="AQ1010" i="2"/>
  <c r="AN1010" i="2"/>
  <c r="BE830" i="2"/>
  <c r="BD830" i="2"/>
  <c r="BG830" i="2"/>
  <c r="BH830" i="2"/>
  <c r="BE457" i="2"/>
  <c r="BH457" i="2"/>
  <c r="BD457" i="2"/>
  <c r="BG457" i="2"/>
  <c r="AV393" i="2"/>
  <c r="AZ393" i="2"/>
  <c r="AY393" i="2"/>
  <c r="AW393" i="2"/>
  <c r="AP786" i="2"/>
  <c r="AR786" i="2" s="1"/>
  <c r="BD35" i="2"/>
  <c r="BE35" i="2"/>
  <c r="BG35" i="2"/>
  <c r="BB36" i="2"/>
  <c r="BH35" i="2"/>
  <c r="AV64" i="2"/>
  <c r="AZ64" i="2"/>
  <c r="AW64" i="2"/>
  <c r="AY64" i="2"/>
  <c r="AR1089" i="2"/>
  <c r="AO1089" i="2"/>
  <c r="AN1089" i="2"/>
  <c r="AQ1089" i="2"/>
  <c r="AV187" i="2"/>
  <c r="AZ187" i="2"/>
  <c r="AY187" i="2"/>
  <c r="AW187" i="2"/>
  <c r="AR109" i="2"/>
  <c r="AQ109" i="2"/>
  <c r="AN109" i="2"/>
  <c r="AO109" i="2"/>
  <c r="AN339" i="2"/>
  <c r="AO339" i="2"/>
  <c r="AR339" i="2"/>
  <c r="AQ339" i="2"/>
  <c r="AL340" i="2"/>
  <c r="AN564" i="2"/>
  <c r="AR564" i="2"/>
  <c r="AQ564" i="2"/>
  <c r="AO564" i="2"/>
  <c r="AW744" i="2"/>
  <c r="AZ744" i="2"/>
  <c r="AV744" i="2"/>
  <c r="AY744" i="2"/>
  <c r="AY905" i="2"/>
  <c r="AW905" i="2"/>
  <c r="AZ905" i="2"/>
  <c r="AV905" i="2"/>
  <c r="BD504" i="2"/>
  <c r="BG504" i="2"/>
  <c r="BE504" i="2"/>
  <c r="BH504" i="2"/>
  <c r="AY746" i="2"/>
  <c r="AZ746" i="2"/>
  <c r="AV746" i="2"/>
  <c r="AW746" i="2"/>
  <c r="AR350" i="2"/>
  <c r="AO350" i="2"/>
  <c r="AQ350" i="2"/>
  <c r="AN350" i="2"/>
  <c r="BH648" i="2"/>
  <c r="BE648" i="2"/>
  <c r="BD648" i="2"/>
  <c r="BG648" i="2"/>
  <c r="AN654" i="2"/>
  <c r="AQ654" i="2"/>
  <c r="AO654" i="2"/>
  <c r="AR654" i="2"/>
  <c r="BF252" i="2"/>
  <c r="BD717" i="2"/>
  <c r="BG717" i="2"/>
  <c r="BH717" i="2"/>
  <c r="BE717" i="2"/>
  <c r="AY791" i="2"/>
  <c r="AZ791" i="2"/>
  <c r="AV791" i="2"/>
  <c r="AW791" i="2"/>
  <c r="AU379" i="2"/>
  <c r="BH783" i="2"/>
  <c r="BE783" i="2"/>
  <c r="BD783" i="2"/>
  <c r="BG783" i="2"/>
  <c r="AR686" i="2"/>
  <c r="AO686" i="2"/>
  <c r="AN686" i="2"/>
  <c r="AQ686" i="2"/>
  <c r="AP240" i="2"/>
  <c r="BH598" i="2"/>
  <c r="BD598" i="2"/>
  <c r="BG598" i="2"/>
  <c r="BE598" i="2"/>
  <c r="AO952" i="2"/>
  <c r="AR952" i="2"/>
  <c r="AN952" i="2"/>
  <c r="AQ952" i="2"/>
  <c r="BG505" i="2"/>
  <c r="BE505" i="2"/>
  <c r="BH505" i="2"/>
  <c r="BD505" i="2"/>
  <c r="AQ225" i="2"/>
  <c r="AO225" i="2"/>
  <c r="AR225" i="2"/>
  <c r="AN225" i="2"/>
  <c r="AN182" i="2"/>
  <c r="AR182" i="2"/>
  <c r="AO182" i="2"/>
  <c r="AL178" i="2"/>
  <c r="AQ182" i="2"/>
  <c r="AX180" i="2"/>
  <c r="AR798" i="2"/>
  <c r="AO798" i="2"/>
  <c r="AN798" i="2"/>
  <c r="AQ798" i="2"/>
  <c r="AN508" i="2"/>
  <c r="AQ508" i="2"/>
  <c r="AO508" i="2"/>
  <c r="AR508" i="2"/>
  <c r="AX381" i="2"/>
  <c r="AX371" i="2" s="1"/>
  <c r="BH421" i="2"/>
  <c r="BD421" i="2"/>
  <c r="BG421" i="2"/>
  <c r="BE421" i="2"/>
  <c r="BH835" i="2"/>
  <c r="BG835" i="2"/>
  <c r="BE835" i="2"/>
  <c r="BD835" i="2"/>
  <c r="BG1047" i="2"/>
  <c r="BH1047" i="2"/>
  <c r="BD1047" i="2"/>
  <c r="BE1047" i="2"/>
  <c r="AZ1084" i="2"/>
  <c r="AW1084" i="2"/>
  <c r="AY1084" i="2"/>
  <c r="AV1084" i="2"/>
  <c r="AQ955" i="2"/>
  <c r="AN955" i="2"/>
  <c r="AO955" i="2"/>
  <c r="AR955" i="2"/>
  <c r="BG860" i="2"/>
  <c r="BH860" i="2"/>
  <c r="BE860" i="2"/>
  <c r="BD860" i="2"/>
  <c r="BE389" i="2"/>
  <c r="BG389" i="2"/>
  <c r="BH389" i="2"/>
  <c r="BD389" i="2"/>
  <c r="BB379" i="2"/>
  <c r="BG379" i="2" s="1"/>
  <c r="AZ473" i="2"/>
  <c r="AY473" i="2"/>
  <c r="AW473" i="2"/>
  <c r="AV473" i="2"/>
  <c r="BC376" i="2"/>
  <c r="AN500" i="2"/>
  <c r="AR500" i="2"/>
  <c r="AQ500" i="2"/>
  <c r="AO500" i="2"/>
  <c r="BD1038" i="2"/>
  <c r="BH1038" i="2"/>
  <c r="BE1038" i="2"/>
  <c r="BG1038" i="2"/>
  <c r="BD1089" i="2"/>
  <c r="BE1089" i="2"/>
  <c r="BG1089" i="2"/>
  <c r="BH1089" i="2"/>
  <c r="AQ589" i="2"/>
  <c r="AR589" i="2"/>
  <c r="AO589" i="2"/>
  <c r="AN589" i="2"/>
  <c r="AV858" i="2"/>
  <c r="AZ858" i="2"/>
  <c r="AW858" i="2"/>
  <c r="AY858" i="2"/>
  <c r="AL379" i="2"/>
  <c r="AN389" i="2"/>
  <c r="AO389" i="2"/>
  <c r="BD757" i="2"/>
  <c r="BG757" i="2"/>
  <c r="BH757" i="2"/>
  <c r="BE757" i="2"/>
  <c r="BH120" i="2"/>
  <c r="BD120" i="2"/>
  <c r="BG120" i="2"/>
  <c r="BE120" i="2"/>
  <c r="BD963" i="2"/>
  <c r="BG963" i="2"/>
  <c r="BH963" i="2"/>
  <c r="BE963" i="2"/>
  <c r="AY99" i="2"/>
  <c r="AZ99" i="2"/>
  <c r="AV99" i="2"/>
  <c r="AW99" i="2"/>
  <c r="AQ898" i="2"/>
  <c r="AN898" i="2"/>
  <c r="AR898" i="2"/>
  <c r="AO898" i="2"/>
  <c r="AQ854" i="2"/>
  <c r="AR854" i="2"/>
  <c r="AN854" i="2"/>
  <c r="AO854" i="2"/>
  <c r="AZ306" i="2"/>
  <c r="AV306" i="2"/>
  <c r="AY306" i="2"/>
  <c r="AW306" i="2"/>
  <c r="AN201" i="2"/>
  <c r="AL202" i="2"/>
  <c r="AQ201" i="2"/>
  <c r="AR201" i="2"/>
  <c r="AO201" i="2"/>
  <c r="AO146" i="2"/>
  <c r="AR146" i="2"/>
  <c r="AN146" i="2"/>
  <c r="AQ146" i="2"/>
  <c r="AZ838" i="2"/>
  <c r="AW838" i="2"/>
  <c r="AV838" i="2"/>
  <c r="AY838" i="2"/>
  <c r="AO24" i="2"/>
  <c r="AQ24" i="2"/>
  <c r="AN24" i="2"/>
  <c r="AR24" i="2"/>
  <c r="AL25" i="2"/>
  <c r="AW970" i="2"/>
  <c r="AV970" i="2"/>
  <c r="AZ970" i="2"/>
  <c r="AY970" i="2"/>
  <c r="AZ395" i="2"/>
  <c r="AY395" i="2"/>
  <c r="AV395" i="2"/>
  <c r="AW395" i="2"/>
  <c r="AU83" i="2"/>
  <c r="AV958" i="2"/>
  <c r="AY958" i="2"/>
  <c r="AW958" i="2"/>
  <c r="AZ958" i="2"/>
  <c r="AZ409" i="2"/>
  <c r="AW409" i="2"/>
  <c r="AV409" i="2"/>
  <c r="AY409" i="2"/>
  <c r="BH209" i="2"/>
  <c r="BD209" i="2"/>
  <c r="BG209" i="2"/>
  <c r="BE209" i="2"/>
  <c r="AZ521" i="2"/>
  <c r="AY521" i="2"/>
  <c r="AW521" i="2"/>
  <c r="AV521" i="2"/>
  <c r="AZ672" i="2"/>
  <c r="AW672" i="2"/>
  <c r="AY672" i="2"/>
  <c r="AV672" i="2"/>
  <c r="AW1091" i="2"/>
  <c r="AZ1091" i="2"/>
  <c r="AY1091" i="2"/>
  <c r="AV1091" i="2"/>
  <c r="BC239" i="2"/>
  <c r="AO698" i="2"/>
  <c r="AQ698" i="2"/>
  <c r="AR698" i="2"/>
  <c r="AN698" i="2"/>
  <c r="AQ843" i="2"/>
  <c r="AO843" i="2"/>
  <c r="AN843" i="2"/>
  <c r="AR843" i="2"/>
  <c r="AP251" i="2"/>
  <c r="AO782" i="2"/>
  <c r="AN782" i="2"/>
  <c r="AQ782" i="2"/>
  <c r="AR782" i="2"/>
  <c r="AV505" i="2"/>
  <c r="AY505" i="2"/>
  <c r="AW505" i="2"/>
  <c r="AZ505" i="2"/>
  <c r="BE545" i="2"/>
  <c r="BD545" i="2"/>
  <c r="BG545" i="2"/>
  <c r="BH545" i="2"/>
  <c r="AZ119" i="2"/>
  <c r="AV119" i="2"/>
  <c r="AY119" i="2"/>
  <c r="AW119" i="2"/>
  <c r="AU240" i="2"/>
  <c r="BH808" i="2"/>
  <c r="BG808" i="2"/>
  <c r="BE808" i="2"/>
  <c r="BD808" i="2"/>
  <c r="AV893" i="2"/>
  <c r="AY893" i="2"/>
  <c r="AZ893" i="2"/>
  <c r="AW893" i="2"/>
  <c r="AQ553" i="2"/>
  <c r="AN553" i="2"/>
  <c r="AO553" i="2"/>
  <c r="AR553" i="2"/>
  <c r="AQ212" i="2"/>
  <c r="AR212" i="2"/>
  <c r="AO212" i="2"/>
  <c r="AN212" i="2"/>
  <c r="BD1080" i="2"/>
  <c r="BH1080" i="2"/>
  <c r="BG1080" i="2"/>
  <c r="BE1080" i="2"/>
  <c r="AQ1030" i="2"/>
  <c r="AR1030" i="2"/>
  <c r="AO1030" i="2"/>
  <c r="AN1030" i="2"/>
  <c r="AO633" i="2"/>
  <c r="AN633" i="2"/>
  <c r="AR633" i="2"/>
  <c r="AQ633" i="2"/>
  <c r="BE732" i="2"/>
  <c r="BH732" i="2"/>
  <c r="BG732" i="2"/>
  <c r="BD732" i="2"/>
  <c r="AY295" i="2"/>
  <c r="AW295" i="2"/>
  <c r="AZ295" i="2"/>
  <c r="AV295" i="2"/>
  <c r="AN484" i="2"/>
  <c r="AO484" i="2"/>
  <c r="AQ484" i="2"/>
  <c r="AR484" i="2"/>
  <c r="BC96" i="2"/>
  <c r="BD96" i="2" s="1"/>
  <c r="AV148" i="2"/>
  <c r="AY148" i="2"/>
  <c r="AW148" i="2"/>
  <c r="AZ148" i="2"/>
  <c r="AP794" i="2"/>
  <c r="AR794" i="2" s="1"/>
  <c r="BH846" i="2"/>
  <c r="BG846" i="2"/>
  <c r="BE846" i="2"/>
  <c r="BD846" i="2"/>
  <c r="AY265" i="2"/>
  <c r="AV265" i="2"/>
  <c r="AW265" i="2"/>
  <c r="AT251" i="2"/>
  <c r="AZ265" i="2"/>
  <c r="AM125" i="2"/>
  <c r="AN125" i="2" s="1"/>
  <c r="AV650" i="2"/>
  <c r="AZ650" i="2"/>
  <c r="AW650" i="2"/>
  <c r="AY650" i="2"/>
  <c r="AU241" i="2"/>
  <c r="AO851" i="2"/>
  <c r="AN851" i="2"/>
  <c r="AR851" i="2"/>
  <c r="AQ851" i="2"/>
  <c r="BG130" i="2"/>
  <c r="BE130" i="2"/>
  <c r="BD130" i="2"/>
  <c r="BB127" i="2"/>
  <c r="BH130" i="2"/>
  <c r="AV368" i="2"/>
  <c r="AW368" i="2"/>
  <c r="AT367" i="2"/>
  <c r="AV367" i="2" s="1"/>
  <c r="AZ368" i="2"/>
  <c r="AY368" i="2"/>
  <c r="AO494" i="2"/>
  <c r="AQ494" i="2"/>
  <c r="AR494" i="2"/>
  <c r="AN494" i="2"/>
  <c r="BC140" i="2"/>
  <c r="BD140" i="2" s="1"/>
  <c r="AV157" i="2"/>
  <c r="AZ157" i="2"/>
  <c r="AW157" i="2"/>
  <c r="AY157" i="2"/>
  <c r="AW600" i="2"/>
  <c r="AZ600" i="2"/>
  <c r="AY600" i="2"/>
  <c r="AV600" i="2"/>
  <c r="AZ1020" i="2"/>
  <c r="AY1020" i="2"/>
  <c r="AV1020" i="2"/>
  <c r="AW1020" i="2"/>
  <c r="BD230" i="2"/>
  <c r="BG230" i="2"/>
  <c r="BH230" i="2"/>
  <c r="BE230" i="2"/>
  <c r="AQ830" i="2"/>
  <c r="AR830" i="2"/>
  <c r="AN830" i="2"/>
  <c r="AO830" i="2"/>
  <c r="AO662" i="2"/>
  <c r="AN662" i="2"/>
  <c r="AQ662" i="2"/>
  <c r="AR662" i="2"/>
  <c r="AX80" i="2"/>
  <c r="BE967" i="2"/>
  <c r="BG967" i="2"/>
  <c r="BD967" i="2"/>
  <c r="BH967" i="2"/>
  <c r="AQ814" i="2"/>
  <c r="AO814" i="2"/>
  <c r="AN814" i="2"/>
  <c r="AR814" i="2"/>
  <c r="BF191" i="2"/>
  <c r="AM1459" i="2"/>
  <c r="AQ552" i="2"/>
  <c r="AO552" i="2"/>
  <c r="AR552" i="2"/>
  <c r="AN552" i="2"/>
  <c r="AO899" i="2"/>
  <c r="AN899" i="2"/>
  <c r="AQ899" i="2"/>
  <c r="AR899" i="2"/>
  <c r="AV928" i="2"/>
  <c r="AY928" i="2"/>
  <c r="AW928" i="2"/>
  <c r="AZ928" i="2"/>
  <c r="AZ720" i="2"/>
  <c r="AV720" i="2"/>
  <c r="AW720" i="2"/>
  <c r="AY720" i="2"/>
  <c r="AZ714" i="2"/>
  <c r="AY714" i="2"/>
  <c r="AV714" i="2"/>
  <c r="AW714" i="2"/>
  <c r="AM1460" i="2"/>
  <c r="AZ1055" i="2"/>
  <c r="AY1055" i="2"/>
  <c r="AV1055" i="2"/>
  <c r="AW1055" i="2"/>
  <c r="AO984" i="2"/>
  <c r="AR984" i="2"/>
  <c r="AN984" i="2"/>
  <c r="AQ984" i="2"/>
  <c r="BE44" i="2"/>
  <c r="BH44" i="2"/>
  <c r="BD44" i="2"/>
  <c r="BG44" i="2"/>
  <c r="AN216" i="2"/>
  <c r="AR216" i="2"/>
  <c r="AO216" i="2"/>
  <c r="AQ216" i="2"/>
  <c r="AY31" i="2"/>
  <c r="AV31" i="2"/>
  <c r="AW31" i="2"/>
  <c r="AZ31" i="2"/>
  <c r="AZ172" i="2"/>
  <c r="AV172" i="2"/>
  <c r="AY172" i="2"/>
  <c r="AW172" i="2"/>
  <c r="AY859" i="2"/>
  <c r="AV859" i="2"/>
  <c r="AZ859" i="2"/>
  <c r="AW859" i="2"/>
  <c r="AN267" i="2"/>
  <c r="AL253" i="2"/>
  <c r="AO267" i="2"/>
  <c r="AQ267" i="2"/>
  <c r="AR267" i="2"/>
  <c r="BG345" i="2"/>
  <c r="BD345" i="2"/>
  <c r="BH345" i="2"/>
  <c r="BE345" i="2"/>
  <c r="AW950" i="2"/>
  <c r="AY950" i="2"/>
  <c r="AZ950" i="2"/>
  <c r="AV950" i="2"/>
  <c r="AV269" i="2"/>
  <c r="AZ269" i="2"/>
  <c r="AY269" i="2"/>
  <c r="AW269" i="2"/>
  <c r="BE165" i="2"/>
  <c r="BG165" i="2"/>
  <c r="BH165" i="2"/>
  <c r="BD165" i="2"/>
  <c r="AO151" i="2"/>
  <c r="AN151" i="2"/>
  <c r="BG990" i="2"/>
  <c r="BE990" i="2"/>
  <c r="BH990" i="2"/>
  <c r="BD990" i="2"/>
  <c r="AQ834" i="2"/>
  <c r="AR834" i="2"/>
  <c r="AN834" i="2"/>
  <c r="AO834" i="2"/>
  <c r="AL1465" i="2"/>
  <c r="AQ1465" i="2" s="1"/>
  <c r="AQ269" i="2"/>
  <c r="AO269" i="2"/>
  <c r="AR269" i="2"/>
  <c r="AN269" i="2"/>
  <c r="AP245" i="2"/>
  <c r="AW1037" i="2"/>
  <c r="AV1037" i="2"/>
  <c r="AZ1037" i="2"/>
  <c r="AY1037" i="2"/>
  <c r="AQ1048" i="2"/>
  <c r="AN1048" i="2"/>
  <c r="AO1048" i="2"/>
  <c r="AR1048" i="2"/>
  <c r="AU191" i="2"/>
  <c r="AY165" i="2"/>
  <c r="AV165" i="2"/>
  <c r="AW165" i="2"/>
  <c r="AZ165" i="2"/>
  <c r="BD645" i="2"/>
  <c r="BG645" i="2"/>
  <c r="BH645" i="2"/>
  <c r="BE645" i="2"/>
  <c r="BG256" i="2"/>
  <c r="BD256" i="2"/>
  <c r="BB242" i="2"/>
  <c r="BD242" i="2" s="1"/>
  <c r="BE256" i="2"/>
  <c r="BH256" i="2"/>
  <c r="AY436" i="2"/>
  <c r="AV436" i="2"/>
  <c r="AZ436" i="2"/>
  <c r="AW436" i="2"/>
  <c r="AW621" i="2"/>
  <c r="AV621" i="2"/>
  <c r="AZ621" i="2"/>
  <c r="AY621" i="2"/>
  <c r="AY728" i="2"/>
  <c r="AZ728" i="2"/>
  <c r="AW728" i="2"/>
  <c r="AV728" i="2"/>
  <c r="AP127" i="2"/>
  <c r="BG1019" i="2"/>
  <c r="BD1019" i="2"/>
  <c r="BE1019" i="2"/>
  <c r="BH1019" i="2"/>
  <c r="AZ98" i="2"/>
  <c r="AV98" i="2"/>
  <c r="AY98" i="2"/>
  <c r="AW98" i="2"/>
  <c r="BH473" i="2"/>
  <c r="BG473" i="2"/>
  <c r="BE473" i="2"/>
  <c r="BD473" i="2"/>
  <c r="AM252" i="2"/>
  <c r="AV691" i="2"/>
  <c r="AW691" i="2"/>
  <c r="AY691" i="2"/>
  <c r="AZ691" i="2"/>
  <c r="AZ54" i="2"/>
  <c r="AV54" i="2"/>
  <c r="AY54" i="2"/>
  <c r="AW54" i="2"/>
  <c r="AN914" i="2"/>
  <c r="AR914" i="2"/>
  <c r="AO914" i="2"/>
  <c r="AQ914" i="2"/>
  <c r="AQ158" i="2"/>
  <c r="AO158" i="2"/>
  <c r="AN158" i="2"/>
  <c r="AR158" i="2"/>
  <c r="BD576" i="2"/>
  <c r="BH576" i="2"/>
  <c r="BG576" i="2"/>
  <c r="BE576" i="2"/>
  <c r="AX794" i="2"/>
  <c r="AZ794" i="2" s="1"/>
  <c r="AR769" i="2"/>
  <c r="AO769" i="2"/>
  <c r="AN769" i="2"/>
  <c r="AQ769" i="2"/>
  <c r="AW234" i="2"/>
  <c r="AV234" i="2"/>
  <c r="AZ234" i="2"/>
  <c r="AY234" i="2"/>
  <c r="BH941" i="2"/>
  <c r="BG941" i="2"/>
  <c r="BE941" i="2"/>
  <c r="BD941" i="2"/>
  <c r="AN134" i="2"/>
  <c r="AR134" i="2"/>
  <c r="AQ134" i="2"/>
  <c r="AL85" i="2"/>
  <c r="AO134" i="2"/>
  <c r="AQ472" i="2"/>
  <c r="AN472" i="2"/>
  <c r="AR472" i="2"/>
  <c r="AO472" i="2"/>
  <c r="AM363" i="2"/>
  <c r="AN366" i="2"/>
  <c r="AO366" i="2"/>
  <c r="AR366" i="2"/>
  <c r="AQ366" i="2"/>
  <c r="BC195" i="2"/>
  <c r="AL242" i="2"/>
  <c r="AR256" i="2"/>
  <c r="AN256" i="2"/>
  <c r="AQ256" i="2"/>
  <c r="AO256" i="2"/>
  <c r="AQ482" i="2"/>
  <c r="AO482" i="2"/>
  <c r="AR482" i="2"/>
  <c r="AN482" i="2"/>
  <c r="AR864" i="2"/>
  <c r="AQ864" i="2"/>
  <c r="AN864" i="2"/>
  <c r="AO864" i="2"/>
  <c r="BE993" i="2"/>
  <c r="BG993" i="2"/>
  <c r="BH993" i="2"/>
  <c r="BD993" i="2"/>
  <c r="BC241" i="2"/>
  <c r="BC88" i="2"/>
  <c r="AY961" i="2"/>
  <c r="AW961" i="2"/>
  <c r="AV961" i="2"/>
  <c r="AZ961" i="2"/>
  <c r="AN259" i="2"/>
  <c r="AR259" i="2"/>
  <c r="AL245" i="2"/>
  <c r="AQ259" i="2"/>
  <c r="AO259" i="2"/>
  <c r="BD776" i="2"/>
  <c r="BG776" i="2"/>
  <c r="BH776" i="2"/>
  <c r="BE776" i="2"/>
  <c r="AP273" i="2"/>
  <c r="BH789" i="2"/>
  <c r="BD789" i="2"/>
  <c r="BE789" i="2"/>
  <c r="BG789" i="2"/>
  <c r="AY428" i="2"/>
  <c r="AZ428" i="2"/>
  <c r="AW428" i="2"/>
  <c r="AV428" i="2"/>
  <c r="AV309" i="2"/>
  <c r="AY309" i="2"/>
  <c r="AZ309" i="2"/>
  <c r="AW309" i="2"/>
  <c r="AV548" i="2"/>
  <c r="AZ548" i="2"/>
  <c r="AW548" i="2"/>
  <c r="AY548" i="2"/>
  <c r="AY677" i="2"/>
  <c r="AV677" i="2"/>
  <c r="AZ677" i="2"/>
  <c r="AW677" i="2"/>
  <c r="AR1077" i="2"/>
  <c r="AN1077" i="2"/>
  <c r="AQ1077" i="2"/>
  <c r="AO1077" i="2"/>
  <c r="BD324" i="2"/>
  <c r="BB315" i="2"/>
  <c r="BE324" i="2"/>
  <c r="BH324" i="2"/>
  <c r="BG324" i="2"/>
  <c r="AN945" i="2"/>
  <c r="AR945" i="2"/>
  <c r="AO945" i="2"/>
  <c r="AQ945" i="2"/>
  <c r="AP177" i="2"/>
  <c r="AV789" i="2"/>
  <c r="AW789" i="2"/>
  <c r="AY789" i="2"/>
  <c r="AZ789" i="2"/>
  <c r="AO323" i="2"/>
  <c r="AN323" i="2"/>
  <c r="AL314" i="2"/>
  <c r="AR323" i="2"/>
  <c r="AQ323" i="2"/>
  <c r="AW599" i="2"/>
  <c r="AV599" i="2"/>
  <c r="AY599" i="2"/>
  <c r="AZ599" i="2"/>
  <c r="AY97" i="2"/>
  <c r="AW97" i="2"/>
  <c r="AV97" i="2"/>
  <c r="AZ97" i="2"/>
  <c r="AQ50" i="2"/>
  <c r="AN50" i="2"/>
  <c r="AR50" i="2"/>
  <c r="AO50" i="2"/>
  <c r="AU253" i="2"/>
  <c r="BD353" i="2"/>
  <c r="BE353" i="2"/>
  <c r="AV345" i="2"/>
  <c r="AZ345" i="2"/>
  <c r="AY345" i="2"/>
  <c r="AW345" i="2"/>
  <c r="BH1006" i="2"/>
  <c r="BG1006" i="2"/>
  <c r="BE1006" i="2"/>
  <c r="BD1006" i="2"/>
  <c r="AR922" i="2"/>
  <c r="AQ922" i="2"/>
  <c r="AN922" i="2"/>
  <c r="AO922" i="2"/>
  <c r="BH585" i="2"/>
  <c r="BE585" i="2"/>
  <c r="BG585" i="2"/>
  <c r="BD585" i="2"/>
  <c r="AO104" i="2"/>
  <c r="AN104" i="2"/>
  <c r="AR104" i="2"/>
  <c r="AQ104" i="2"/>
  <c r="AR760" i="2"/>
  <c r="AN760" i="2"/>
  <c r="AO760" i="2"/>
  <c r="AQ760" i="2"/>
  <c r="BG222" i="2"/>
  <c r="BE222" i="2"/>
  <c r="BD222" i="2"/>
  <c r="BH222" i="2"/>
  <c r="BG1050" i="2"/>
  <c r="BD1050" i="2"/>
  <c r="BH1050" i="2"/>
  <c r="BE1050" i="2"/>
  <c r="AR842" i="2"/>
  <c r="AN842" i="2"/>
  <c r="AQ842" i="2"/>
  <c r="AO842" i="2"/>
  <c r="AQ59" i="2"/>
  <c r="AO59" i="2"/>
  <c r="AR59" i="2"/>
  <c r="AN59" i="2"/>
  <c r="AQ778" i="2"/>
  <c r="AO778" i="2"/>
  <c r="AN778" i="2"/>
  <c r="AR778" i="2"/>
  <c r="AX177" i="2"/>
  <c r="BG123" i="2"/>
  <c r="BB81" i="2"/>
  <c r="BG81" i="2" s="1"/>
  <c r="BE123" i="2"/>
  <c r="BB124" i="2"/>
  <c r="BG124" i="2" s="1"/>
  <c r="BD123" i="2"/>
  <c r="BH123" i="2"/>
  <c r="BF1455" i="2"/>
  <c r="AY200" i="2"/>
  <c r="AZ200" i="2"/>
  <c r="AV200" i="2"/>
  <c r="AW200" i="2"/>
  <c r="AQ584" i="2"/>
  <c r="AO584" i="2"/>
  <c r="AN584" i="2"/>
  <c r="AR584" i="2"/>
  <c r="AY267" i="2"/>
  <c r="AZ267" i="2"/>
  <c r="AT253" i="2"/>
  <c r="AV267" i="2"/>
  <c r="AW267" i="2"/>
  <c r="AZ559" i="2"/>
  <c r="AW559" i="2"/>
  <c r="AY559" i="2"/>
  <c r="AV559" i="2"/>
  <c r="AR775" i="2"/>
  <c r="AN775" i="2"/>
  <c r="AO775" i="2"/>
  <c r="AQ775" i="2"/>
  <c r="AQ560" i="2"/>
  <c r="AO560" i="2"/>
  <c r="AR560" i="2"/>
  <c r="AN560" i="2"/>
  <c r="AY896" i="2"/>
  <c r="AV896" i="2"/>
  <c r="AW896" i="2"/>
  <c r="AZ896" i="2"/>
  <c r="BD541" i="2"/>
  <c r="BG541" i="2"/>
  <c r="BE541" i="2"/>
  <c r="BH541" i="2"/>
  <c r="AN118" i="2"/>
  <c r="AR118" i="2"/>
  <c r="AO118" i="2"/>
  <c r="AQ118" i="2"/>
  <c r="BH174" i="2"/>
  <c r="BE174" i="2"/>
  <c r="BG174" i="2"/>
  <c r="BD174" i="2"/>
  <c r="BH158" i="2"/>
  <c r="BE158" i="2"/>
  <c r="BG158" i="2"/>
  <c r="BD158" i="2"/>
  <c r="BF178" i="2"/>
  <c r="AO708" i="2"/>
  <c r="AQ708" i="2"/>
  <c r="AN708" i="2"/>
  <c r="AR708" i="2"/>
  <c r="AZ328" i="2"/>
  <c r="AW328" i="2"/>
  <c r="AY328" i="2"/>
  <c r="AT319" i="2"/>
  <c r="AV328" i="2"/>
  <c r="AR1012" i="2"/>
  <c r="AO1012" i="2"/>
  <c r="AQ1012" i="2"/>
  <c r="AN1012" i="2"/>
  <c r="BG337" i="2"/>
  <c r="BD337" i="2"/>
  <c r="BH337" i="2"/>
  <c r="BE337" i="2"/>
  <c r="AO768" i="2"/>
  <c r="AQ768" i="2"/>
  <c r="AR768" i="2"/>
  <c r="AN768" i="2"/>
  <c r="AZ440" i="2"/>
  <c r="AW440" i="2"/>
  <c r="AV440" i="2"/>
  <c r="AY440" i="2"/>
  <c r="AY670" i="2"/>
  <c r="AV670" i="2"/>
  <c r="AZ670" i="2"/>
  <c r="AW670" i="2"/>
  <c r="AP381" i="2"/>
  <c r="AV359" i="2"/>
  <c r="AY359" i="2"/>
  <c r="AW359" i="2"/>
  <c r="AT358" i="2"/>
  <c r="AZ359" i="2"/>
  <c r="AO626" i="2"/>
  <c r="AN626" i="2"/>
  <c r="AR626" i="2"/>
  <c r="AQ626" i="2"/>
  <c r="AY197" i="2"/>
  <c r="AZ197" i="2"/>
  <c r="AV197" i="2"/>
  <c r="AW197" i="2"/>
  <c r="AR975" i="2"/>
  <c r="AN975" i="2"/>
  <c r="AQ975" i="2"/>
  <c r="AO975" i="2"/>
  <c r="AV554" i="2"/>
  <c r="AY554" i="2"/>
  <c r="AW554" i="2"/>
  <c r="AZ554" i="2"/>
  <c r="BE1009" i="2"/>
  <c r="BG1009" i="2"/>
  <c r="BH1009" i="2"/>
  <c r="BD1009" i="2"/>
  <c r="AY333" i="2"/>
  <c r="AZ333" i="2"/>
  <c r="AV333" i="2"/>
  <c r="AW333" i="2"/>
  <c r="AN162" i="2"/>
  <c r="AR162" i="2"/>
  <c r="AO162" i="2"/>
  <c r="AQ162" i="2"/>
  <c r="AZ155" i="2"/>
  <c r="AW155" i="2"/>
  <c r="AY155" i="2"/>
  <c r="AV155" i="2"/>
  <c r="BG40" i="2"/>
  <c r="BD40" i="2"/>
  <c r="BE40" i="2"/>
  <c r="BH40" i="2"/>
  <c r="AV303" i="2"/>
  <c r="AZ303" i="2"/>
  <c r="AW303" i="2"/>
  <c r="AY303" i="2"/>
  <c r="AU202" i="2"/>
  <c r="BD606" i="2"/>
  <c r="BG606" i="2"/>
  <c r="BH606" i="2"/>
  <c r="BE606" i="2"/>
  <c r="AR23" i="2"/>
  <c r="AN23" i="2"/>
  <c r="AQ23" i="2"/>
  <c r="AL1467" i="2"/>
  <c r="AO23" i="2"/>
  <c r="AQ895" i="2"/>
  <c r="AR895" i="2"/>
  <c r="AO895" i="2"/>
  <c r="AN895" i="2"/>
  <c r="AL277" i="2"/>
  <c r="AQ277" i="2" s="1"/>
  <c r="AN276" i="2"/>
  <c r="AO276" i="2"/>
  <c r="AQ276" i="2"/>
  <c r="AR276" i="2"/>
  <c r="AZ826" i="2"/>
  <c r="AV826" i="2"/>
  <c r="AW826" i="2"/>
  <c r="AY826" i="2"/>
  <c r="AM311" i="2"/>
  <c r="AM412" i="2"/>
  <c r="AR546" i="2"/>
  <c r="AO546" i="2"/>
  <c r="AN546" i="2"/>
  <c r="AQ546" i="2"/>
  <c r="AQ570" i="2"/>
  <c r="AO570" i="2"/>
  <c r="AN570" i="2"/>
  <c r="AR570" i="2"/>
  <c r="BH69" i="2"/>
  <c r="BG69" i="2"/>
  <c r="BD69" i="2"/>
  <c r="BE69" i="2"/>
  <c r="AX319" i="2"/>
  <c r="AN791" i="2"/>
  <c r="AR791" i="2"/>
  <c r="AQ791" i="2"/>
  <c r="AO791" i="2"/>
  <c r="BG583" i="2"/>
  <c r="BH583" i="2"/>
  <c r="BD583" i="2"/>
  <c r="BE583" i="2"/>
  <c r="AW820" i="2"/>
  <c r="AZ820" i="2"/>
  <c r="AY820" i="2"/>
  <c r="AV820" i="2"/>
  <c r="BE1087" i="2"/>
  <c r="BD1087" i="2"/>
  <c r="BG1087" i="2"/>
  <c r="BH1087" i="2"/>
  <c r="AZ147" i="2"/>
  <c r="AY147" i="2"/>
  <c r="AW147" i="2"/>
  <c r="AV147" i="2"/>
  <c r="BH912" i="2"/>
  <c r="BG912" i="2"/>
  <c r="BE912" i="2"/>
  <c r="BD912" i="2"/>
  <c r="AW446" i="2"/>
  <c r="AZ446" i="2"/>
  <c r="AT447" i="2"/>
  <c r="AY446" i="2"/>
  <c r="AV446" i="2"/>
  <c r="BC244" i="2"/>
  <c r="AU79" i="2"/>
  <c r="AY222" i="2"/>
  <c r="AW222" i="2"/>
  <c r="AZ222" i="2"/>
  <c r="AV222" i="2"/>
  <c r="AV426" i="2"/>
  <c r="AW426" i="2"/>
  <c r="AZ426" i="2"/>
  <c r="AY426" i="2"/>
  <c r="AZ800" i="2"/>
  <c r="AW800" i="2"/>
  <c r="AV800" i="2"/>
  <c r="AY800" i="2"/>
  <c r="BD1010" i="2"/>
  <c r="BE1010" i="2"/>
  <c r="BH1010" i="2"/>
  <c r="BG1010" i="2"/>
  <c r="BH672" i="2"/>
  <c r="BD672" i="2"/>
  <c r="BG672" i="2"/>
  <c r="BE672" i="2"/>
  <c r="AN793" i="2"/>
  <c r="AO793" i="2"/>
  <c r="BG455" i="2"/>
  <c r="BH455" i="2"/>
  <c r="BE455" i="2"/>
  <c r="BD455" i="2"/>
  <c r="AU88" i="2"/>
  <c r="AV88" i="2" s="1"/>
  <c r="AR1006" i="2"/>
  <c r="AO1006" i="2"/>
  <c r="AN1006" i="2"/>
  <c r="AQ1006" i="2"/>
  <c r="BG263" i="2"/>
  <c r="BH263" i="2"/>
  <c r="BE263" i="2"/>
  <c r="BB249" i="2"/>
  <c r="BD249" i="2" s="1"/>
  <c r="BD263" i="2"/>
  <c r="AY332" i="2"/>
  <c r="AV332" i="2"/>
  <c r="AW332" i="2"/>
  <c r="AZ332" i="2"/>
  <c r="AZ1090" i="2"/>
  <c r="AY1090" i="2"/>
  <c r="AW1090" i="2"/>
  <c r="AV1090" i="2"/>
  <c r="AO63" i="2"/>
  <c r="AR63" i="2"/>
  <c r="AN63" i="2"/>
  <c r="AQ63" i="2"/>
  <c r="BE695" i="2"/>
  <c r="BG695" i="2"/>
  <c r="BH695" i="2"/>
  <c r="BD695" i="2"/>
  <c r="BG214" i="2"/>
  <c r="BH214" i="2"/>
  <c r="BD214" i="2"/>
  <c r="BE214" i="2"/>
  <c r="AW474" i="2"/>
  <c r="AV474" i="2"/>
  <c r="AY474" i="2"/>
  <c r="AZ474" i="2"/>
  <c r="AX96" i="2"/>
  <c r="AR395" i="2"/>
  <c r="AO395" i="2"/>
  <c r="AN395" i="2"/>
  <c r="AQ395" i="2"/>
  <c r="BB252" i="2"/>
  <c r="BG252" i="2" s="1"/>
  <c r="BG266" i="2"/>
  <c r="BE266" i="2"/>
  <c r="BH266" i="2"/>
  <c r="BD266" i="2"/>
  <c r="AV944" i="2"/>
  <c r="AZ944" i="2"/>
  <c r="AY944" i="2"/>
  <c r="AW944" i="2"/>
  <c r="BE794" i="2"/>
  <c r="BD794" i="2"/>
  <c r="AR988" i="2"/>
  <c r="AN988" i="2"/>
  <c r="AO988" i="2"/>
  <c r="AQ988" i="2"/>
  <c r="AY515" i="2"/>
  <c r="AZ515" i="2"/>
  <c r="AV515" i="2"/>
  <c r="AW515" i="2"/>
  <c r="AZ821" i="2"/>
  <c r="AW821" i="2"/>
  <c r="AV821" i="2"/>
  <c r="AY821" i="2"/>
  <c r="AV902" i="2"/>
  <c r="AY902" i="2"/>
  <c r="AZ902" i="2"/>
  <c r="AW902" i="2"/>
  <c r="AP1455" i="2"/>
  <c r="AQ1455" i="2" s="1"/>
  <c r="AR858" i="2"/>
  <c r="AO858" i="2"/>
  <c r="AN858" i="2"/>
  <c r="AQ858" i="2"/>
  <c r="BE980" i="2"/>
  <c r="BD980" i="2"/>
  <c r="BH980" i="2"/>
  <c r="BG980" i="2"/>
  <c r="BH769" i="2"/>
  <c r="BD769" i="2"/>
  <c r="BE769" i="2"/>
  <c r="BG769" i="2"/>
  <c r="AO958" i="2"/>
  <c r="AQ958" i="2"/>
  <c r="AN958" i="2"/>
  <c r="AR958" i="2"/>
  <c r="AP252" i="2"/>
  <c r="AO130" i="2"/>
  <c r="AQ130" i="2"/>
  <c r="AN130" i="2"/>
  <c r="AL127" i="2"/>
  <c r="AQ127" i="2" s="1"/>
  <c r="AQ96" i="2" s="1"/>
  <c r="AR130" i="2"/>
  <c r="AY657" i="2"/>
  <c r="AV657" i="2"/>
  <c r="AW657" i="2"/>
  <c r="AZ657" i="2"/>
  <c r="AU376" i="2"/>
  <c r="BF315" i="2"/>
  <c r="AL140" i="2"/>
  <c r="AN140" i="2" s="1"/>
  <c r="AR139" i="2"/>
  <c r="AO139" i="2"/>
  <c r="AN139" i="2"/>
  <c r="AQ139" i="2"/>
  <c r="BB312" i="2"/>
  <c r="BD312" i="2" s="1"/>
  <c r="BD321" i="2"/>
  <c r="BE321" i="2"/>
  <c r="BH321" i="2"/>
  <c r="BG321" i="2"/>
  <c r="AU347" i="2"/>
  <c r="AO813" i="2"/>
  <c r="AQ813" i="2"/>
  <c r="AN813" i="2"/>
  <c r="AR813" i="2"/>
  <c r="BH261" i="2"/>
  <c r="BE261" i="2"/>
  <c r="BG261" i="2"/>
  <c r="BD261" i="2"/>
  <c r="BD425" i="2"/>
  <c r="BE425" i="2"/>
  <c r="BH425" i="2"/>
  <c r="BG425" i="2"/>
  <c r="BE1040" i="2"/>
  <c r="BH1040" i="2"/>
  <c r="BD1040" i="2"/>
  <c r="BG1040" i="2"/>
  <c r="AV634" i="2"/>
  <c r="AZ634" i="2"/>
  <c r="AY634" i="2"/>
  <c r="AW634" i="2"/>
  <c r="AW601" i="2"/>
  <c r="AY601" i="2"/>
  <c r="AZ601" i="2"/>
  <c r="AV601" i="2"/>
  <c r="BH508" i="2"/>
  <c r="BD508" i="2"/>
  <c r="BG508" i="2"/>
  <c r="BE508" i="2"/>
  <c r="AR281" i="2"/>
  <c r="AN281" i="2"/>
  <c r="AO281" i="2"/>
  <c r="AQ281" i="2"/>
  <c r="BD605" i="2"/>
  <c r="BH605" i="2"/>
  <c r="BE605" i="2"/>
  <c r="BG605" i="2"/>
  <c r="AN742" i="2"/>
  <c r="AR742" i="2"/>
  <c r="AQ742" i="2"/>
  <c r="AO742" i="2"/>
  <c r="AX536" i="2"/>
  <c r="AY536" i="2" s="1"/>
  <c r="AP178" i="2"/>
  <c r="BD737" i="2"/>
  <c r="BE737" i="2"/>
  <c r="BG737" i="2"/>
  <c r="BH737" i="2"/>
  <c r="AN72" i="2"/>
  <c r="AR72" i="2"/>
  <c r="AQ72" i="2"/>
  <c r="AO72" i="2"/>
  <c r="AO848" i="2"/>
  <c r="AR848" i="2"/>
  <c r="AN848" i="2"/>
  <c r="AQ848" i="2"/>
  <c r="BH213" i="2"/>
  <c r="BE213" i="2"/>
  <c r="BD213" i="2"/>
  <c r="BG213" i="2"/>
  <c r="BG156" i="2"/>
  <c r="BE156" i="2"/>
  <c r="BD156" i="2"/>
  <c r="BH156" i="2"/>
  <c r="AX376" i="2"/>
  <c r="AW754" i="2"/>
  <c r="AV754" i="2"/>
  <c r="AN297" i="2"/>
  <c r="AR297" i="2"/>
  <c r="AO297" i="2"/>
  <c r="AQ297" i="2"/>
  <c r="AP389" i="2"/>
  <c r="AP379" i="2" s="1"/>
  <c r="AQ379" i="2" s="1"/>
  <c r="AP380" i="2"/>
  <c r="AQ380" i="2" s="1"/>
  <c r="AQ1017" i="2"/>
  <c r="AR1017" i="2"/>
  <c r="AN1017" i="2"/>
  <c r="AO1017" i="2"/>
  <c r="BH675" i="2"/>
  <c r="BG675" i="2"/>
  <c r="BD675" i="2"/>
  <c r="BE675" i="2"/>
  <c r="AW613" i="2"/>
  <c r="AV613" i="2"/>
  <c r="AY613" i="2"/>
  <c r="AZ613" i="2"/>
  <c r="AN882" i="2"/>
  <c r="AR882" i="2"/>
  <c r="AQ882" i="2"/>
  <c r="AO882" i="2"/>
  <c r="AZ131" i="2"/>
  <c r="AW131" i="2"/>
  <c r="AY131" i="2"/>
  <c r="AV131" i="2"/>
  <c r="AV637" i="2"/>
  <c r="AY637" i="2"/>
  <c r="AW637" i="2"/>
  <c r="AZ637" i="2"/>
  <c r="BE175" i="2"/>
  <c r="BG175" i="2"/>
  <c r="BH175" i="2"/>
  <c r="BD175" i="2"/>
  <c r="AU316" i="2"/>
  <c r="BH905" i="2"/>
  <c r="BG905" i="2"/>
  <c r="BE905" i="2"/>
  <c r="BD905" i="2"/>
  <c r="BD197" i="2"/>
  <c r="BE197" i="2"/>
  <c r="BH197" i="2"/>
  <c r="BG197" i="2"/>
  <c r="AO473" i="2"/>
  <c r="AN473" i="2"/>
  <c r="AR473" i="2"/>
  <c r="AQ473" i="2"/>
  <c r="BE364" i="2"/>
  <c r="BB363" i="2"/>
  <c r="BG364" i="2"/>
  <c r="BD364" i="2"/>
  <c r="BH364" i="2"/>
  <c r="AN862" i="2"/>
  <c r="AO862" i="2"/>
  <c r="AQ862" i="2"/>
  <c r="AR862" i="2"/>
  <c r="AZ674" i="2"/>
  <c r="AY674" i="2"/>
  <c r="AV674" i="2"/>
  <c r="AW674" i="2"/>
  <c r="BD1041" i="2"/>
  <c r="BH1041" i="2"/>
  <c r="BE1041" i="2"/>
  <c r="BG1041" i="2"/>
  <c r="BF825" i="2"/>
  <c r="BG825" i="2" s="1"/>
  <c r="AR69" i="2"/>
  <c r="AO69" i="2"/>
  <c r="AQ69" i="2"/>
  <c r="AN69" i="2"/>
  <c r="BE287" i="2"/>
  <c r="BD287" i="2"/>
  <c r="BG287" i="2"/>
  <c r="BH287" i="2"/>
  <c r="AV763" i="2"/>
  <c r="AW763" i="2"/>
  <c r="AY763" i="2"/>
  <c r="AZ763" i="2"/>
  <c r="AN605" i="2"/>
  <c r="AO605" i="2"/>
  <c r="AR605" i="2"/>
  <c r="AQ605" i="2"/>
  <c r="BH662" i="2"/>
  <c r="BG662" i="2"/>
  <c r="BE662" i="2"/>
  <c r="BD662" i="2"/>
  <c r="AZ263" i="2"/>
  <c r="AT249" i="2"/>
  <c r="AY263" i="2"/>
  <c r="AW263" i="2"/>
  <c r="AV263" i="2"/>
  <c r="AR520" i="2"/>
  <c r="AO520" i="2"/>
  <c r="AQ520" i="2"/>
  <c r="AN520" i="2"/>
  <c r="BG736" i="2"/>
  <c r="BH736" i="2"/>
  <c r="BD736" i="2"/>
  <c r="BE736" i="2"/>
  <c r="AO360" i="2"/>
  <c r="AQ360" i="2"/>
  <c r="AR360" i="2"/>
  <c r="AN360" i="2"/>
  <c r="AY633" i="2"/>
  <c r="AW633" i="2"/>
  <c r="AV633" i="2"/>
  <c r="AZ633" i="2"/>
  <c r="AQ704" i="2"/>
  <c r="AO704" i="2"/>
  <c r="AR704" i="2"/>
  <c r="AN704" i="2"/>
  <c r="AW769" i="2"/>
  <c r="AZ769" i="2"/>
  <c r="AV769" i="2"/>
  <c r="AY769" i="2"/>
  <c r="BD569" i="2"/>
  <c r="BE569" i="2"/>
  <c r="BG569" i="2"/>
  <c r="BH569" i="2"/>
  <c r="AZ949" i="2"/>
  <c r="AW949" i="2"/>
  <c r="AV949" i="2"/>
  <c r="AY949" i="2"/>
  <c r="AN1024" i="2"/>
  <c r="AQ1024" i="2"/>
  <c r="AR1024" i="2"/>
  <c r="AO1024" i="2"/>
  <c r="AV467" i="2"/>
  <c r="AW467" i="2"/>
  <c r="AZ467" i="2"/>
  <c r="AY467" i="2"/>
  <c r="AU431" i="2"/>
  <c r="AU90" i="2" s="1"/>
  <c r="BF1459" i="2"/>
  <c r="AO676" i="2"/>
  <c r="AN676" i="2"/>
  <c r="AR676" i="2"/>
  <c r="AQ676" i="2"/>
  <c r="AN719" i="2"/>
  <c r="AR719" i="2"/>
  <c r="AQ719" i="2"/>
  <c r="AO719" i="2"/>
  <c r="AR983" i="2"/>
  <c r="AQ983" i="2"/>
  <c r="AO983" i="2"/>
  <c r="AN983" i="2"/>
  <c r="BE115" i="2"/>
  <c r="BD115" i="2"/>
  <c r="BH115" i="2"/>
  <c r="BG115" i="2"/>
  <c r="AR148" i="2"/>
  <c r="AN148" i="2"/>
  <c r="AQ148" i="2"/>
  <c r="AO148" i="2"/>
  <c r="AM385" i="2"/>
  <c r="AM377" i="2" s="1"/>
  <c r="AM378" i="2"/>
  <c r="AX85" i="2"/>
  <c r="AM284" i="2"/>
  <c r="AX439" i="2"/>
  <c r="AX278" i="2" s="1"/>
  <c r="BE414" i="2"/>
  <c r="BG414" i="2"/>
  <c r="BH414" i="2"/>
  <c r="BD414" i="2"/>
  <c r="AL372" i="2"/>
  <c r="AO371" i="2"/>
  <c r="AN371" i="2"/>
  <c r="AM1466" i="2"/>
  <c r="AQ455" i="2"/>
  <c r="AO455" i="2"/>
  <c r="AR455" i="2"/>
  <c r="AN455" i="2"/>
  <c r="AR872" i="2"/>
  <c r="AO872" i="2"/>
  <c r="AN872" i="2"/>
  <c r="AQ872" i="2"/>
  <c r="AR170" i="2"/>
  <c r="AO170" i="2"/>
  <c r="AQ170" i="2"/>
  <c r="AN170" i="2"/>
  <c r="AN495" i="2"/>
  <c r="AR495" i="2"/>
  <c r="AQ495" i="2"/>
  <c r="AO495" i="2"/>
  <c r="AN295" i="2"/>
  <c r="AR295" i="2"/>
  <c r="AQ295" i="2"/>
  <c r="AO295" i="2"/>
  <c r="AZ456" i="2"/>
  <c r="AY456" i="2"/>
  <c r="AV456" i="2"/>
  <c r="AW456" i="2"/>
  <c r="AR563" i="2"/>
  <c r="AQ563" i="2"/>
  <c r="AN563" i="2"/>
  <c r="AO563" i="2"/>
  <c r="AZ918" i="2"/>
  <c r="AV918" i="2"/>
  <c r="AY918" i="2"/>
  <c r="AW918" i="2"/>
  <c r="BG225" i="2"/>
  <c r="BD225" i="2"/>
  <c r="BE225" i="2"/>
  <c r="BH225" i="2"/>
  <c r="BG977" i="2"/>
  <c r="BD977" i="2"/>
  <c r="BE977" i="2"/>
  <c r="BH977" i="2"/>
  <c r="BD416" i="2"/>
  <c r="BE416" i="2"/>
  <c r="BG416" i="2"/>
  <c r="BH416" i="2"/>
  <c r="BD215" i="2"/>
  <c r="BH215" i="2"/>
  <c r="BG215" i="2"/>
  <c r="BE215" i="2"/>
  <c r="BD1037" i="2"/>
  <c r="BG1037" i="2"/>
  <c r="BH1037" i="2"/>
  <c r="BE1037" i="2"/>
  <c r="BG694" i="2"/>
  <c r="BH694" i="2"/>
  <c r="BD694" i="2"/>
  <c r="BE694" i="2"/>
  <c r="AO454" i="2"/>
  <c r="AQ454" i="2"/>
  <c r="AN454" i="2"/>
  <c r="AR454" i="2"/>
  <c r="AY595" i="2"/>
  <c r="AZ595" i="2"/>
  <c r="AV595" i="2"/>
  <c r="AW595" i="2"/>
  <c r="AZ759" i="2"/>
  <c r="AW759" i="2"/>
  <c r="AY759" i="2"/>
  <c r="AV759" i="2"/>
  <c r="AN920" i="2"/>
  <c r="AO920" i="2"/>
  <c r="AR920" i="2"/>
  <c r="AQ920" i="2"/>
  <c r="BD978" i="2"/>
  <c r="BH978" i="2"/>
  <c r="BE978" i="2"/>
  <c r="BG978" i="2"/>
  <c r="BE432" i="2"/>
  <c r="BD432" i="2"/>
  <c r="BH432" i="2"/>
  <c r="BG432" i="2"/>
  <c r="BF312" i="2"/>
  <c r="AU25" i="2"/>
  <c r="AW643" i="2"/>
  <c r="AZ643" i="2"/>
  <c r="AV643" i="2"/>
  <c r="AY643" i="2"/>
  <c r="BD1077" i="2"/>
  <c r="BE1077" i="2"/>
  <c r="BG1077" i="2"/>
  <c r="BH1077" i="2"/>
  <c r="AQ44" i="2"/>
  <c r="AN44" i="2"/>
  <c r="AR44" i="2"/>
  <c r="AO44" i="2"/>
  <c r="BD484" i="2"/>
  <c r="BG484" i="2"/>
  <c r="BE484" i="2"/>
  <c r="BH484" i="2"/>
  <c r="AW492" i="2"/>
  <c r="AZ492" i="2"/>
  <c r="AV492" i="2"/>
  <c r="AY492" i="2"/>
  <c r="AY717" i="2"/>
  <c r="AV717" i="2"/>
  <c r="AW717" i="2"/>
  <c r="AZ717" i="2"/>
  <c r="AO1008" i="2"/>
  <c r="AR1008" i="2"/>
  <c r="AN1008" i="2"/>
  <c r="AQ1008" i="2"/>
  <c r="BE163" i="2"/>
  <c r="BG163" i="2"/>
  <c r="BH163" i="2"/>
  <c r="BD163" i="2"/>
  <c r="AO643" i="2"/>
  <c r="AQ643" i="2"/>
  <c r="AR643" i="2"/>
  <c r="AN643" i="2"/>
  <c r="AZ698" i="2"/>
  <c r="AY698" i="2"/>
  <c r="AW698" i="2"/>
  <c r="AV698" i="2"/>
  <c r="AU252" i="2"/>
  <c r="AV252" i="2" s="1"/>
  <c r="AX79" i="2"/>
  <c r="AP250" i="2"/>
  <c r="BH1079" i="2"/>
  <c r="BG1079" i="2"/>
  <c r="BD1079" i="2"/>
  <c r="BE1079" i="2"/>
  <c r="BD996" i="2"/>
  <c r="BE996" i="2"/>
  <c r="BG996" i="2"/>
  <c r="BH996" i="2"/>
  <c r="AO980" i="2"/>
  <c r="AQ980" i="2"/>
  <c r="AN980" i="2"/>
  <c r="AR980" i="2"/>
  <c r="AR322" i="2"/>
  <c r="AQ322" i="2"/>
  <c r="AN322" i="2"/>
  <c r="AO322" i="2"/>
  <c r="AL313" i="2"/>
  <c r="BG572" i="2"/>
  <c r="BH572" i="2"/>
  <c r="BE572" i="2"/>
  <c r="BD572" i="2"/>
  <c r="AX179" i="2"/>
  <c r="AY179" i="2" s="1"/>
  <c r="AN688" i="2"/>
  <c r="AR688" i="2"/>
  <c r="AQ688" i="2"/>
  <c r="AO688" i="2"/>
  <c r="BD452" i="2"/>
  <c r="BG452" i="2"/>
  <c r="BE452" i="2"/>
  <c r="BH452" i="2"/>
  <c r="BH629" i="2"/>
  <c r="BG629" i="2"/>
  <c r="BE629" i="2"/>
  <c r="BD629" i="2"/>
  <c r="AQ270" i="2"/>
  <c r="AR270" i="2"/>
  <c r="AN270" i="2"/>
  <c r="AO270" i="2"/>
  <c r="BD476" i="2"/>
  <c r="BE476" i="2"/>
  <c r="BH476" i="2"/>
  <c r="BG476" i="2"/>
  <c r="BE1021" i="2"/>
  <c r="BH1021" i="2"/>
  <c r="BG1021" i="2"/>
  <c r="BD1021" i="2"/>
  <c r="AV433" i="2"/>
  <c r="AZ433" i="2"/>
  <c r="AY433" i="2"/>
  <c r="AW433" i="2"/>
  <c r="AZ1047" i="2"/>
  <c r="AW1047" i="2"/>
  <c r="AY1047" i="2"/>
  <c r="AV1047" i="2"/>
  <c r="BE217" i="2"/>
  <c r="BG217" i="2"/>
  <c r="BH217" i="2"/>
  <c r="BD217" i="2"/>
  <c r="BG779" i="2"/>
  <c r="BH779" i="2"/>
  <c r="BD779" i="2"/>
  <c r="BE779" i="2"/>
  <c r="AW1021" i="2"/>
  <c r="AZ1021" i="2"/>
  <c r="AY1021" i="2"/>
  <c r="AV1021" i="2"/>
  <c r="AQ903" i="2"/>
  <c r="AO903" i="2"/>
  <c r="AN903" i="2"/>
  <c r="AR903" i="2"/>
  <c r="AO721" i="2"/>
  <c r="AN721" i="2"/>
  <c r="AQ721" i="2"/>
  <c r="AR721" i="2"/>
  <c r="BD684" i="2"/>
  <c r="BH684" i="2"/>
  <c r="BE684" i="2"/>
  <c r="BG684" i="2"/>
  <c r="AX36" i="2"/>
  <c r="BE840" i="2"/>
  <c r="BH840" i="2"/>
  <c r="BD840" i="2"/>
  <c r="BG840" i="2"/>
  <c r="AY986" i="2"/>
  <c r="AV986" i="2"/>
  <c r="AZ986" i="2"/>
  <c r="AW986" i="2"/>
  <c r="AQ1022" i="2"/>
  <c r="AR1022" i="2"/>
  <c r="AO1022" i="2"/>
  <c r="AN1022" i="2"/>
  <c r="AN357" i="2"/>
  <c r="AO357" i="2"/>
  <c r="AR357" i="2"/>
  <c r="AQ357" i="2"/>
  <c r="BE187" i="2"/>
  <c r="BG187" i="2"/>
  <c r="BD187" i="2"/>
  <c r="BH187" i="2"/>
  <c r="AM18" i="2"/>
  <c r="AN18" i="2" s="1"/>
  <c r="AO987" i="2"/>
  <c r="AQ987" i="2"/>
  <c r="AN987" i="2"/>
  <c r="AR987" i="2"/>
  <c r="AN21" i="2"/>
  <c r="AL1460" i="2"/>
  <c r="AR1460" i="2" s="1"/>
  <c r="AO21" i="2"/>
  <c r="AR21" i="2"/>
  <c r="AQ21" i="2"/>
  <c r="AV619" i="2"/>
  <c r="AW619" i="2"/>
  <c r="AZ619" i="2"/>
  <c r="AY619" i="2"/>
  <c r="BH1035" i="2"/>
  <c r="BD1035" i="2"/>
  <c r="BG1035" i="2"/>
  <c r="BE1035" i="2"/>
  <c r="BC1460" i="2"/>
  <c r="BD1460" i="2" s="1"/>
  <c r="BH982" i="2"/>
  <c r="BD982" i="2"/>
  <c r="BE982" i="2"/>
  <c r="BG982" i="2"/>
  <c r="AW844" i="2"/>
  <c r="AV844" i="2"/>
  <c r="AZ844" i="2"/>
  <c r="AY844" i="2"/>
  <c r="AN747" i="2"/>
  <c r="AO747" i="2"/>
  <c r="AR747" i="2"/>
  <c r="AQ747" i="2"/>
  <c r="BD664" i="2"/>
  <c r="BH664" i="2"/>
  <c r="BE664" i="2"/>
  <c r="BG664" i="2"/>
  <c r="AO619" i="2"/>
  <c r="AQ619" i="2"/>
  <c r="AN619" i="2"/>
  <c r="AR619" i="2"/>
  <c r="AZ533" i="2"/>
  <c r="AW533" i="2"/>
  <c r="AY533" i="2"/>
  <c r="AV533" i="2"/>
  <c r="AN1080" i="2"/>
  <c r="AO1080" i="2"/>
  <c r="AR1080" i="2"/>
  <c r="AQ1080" i="2"/>
  <c r="AQ581" i="2"/>
  <c r="AN581" i="2"/>
  <c r="AR581" i="2"/>
  <c r="AO581" i="2"/>
  <c r="BB1459" i="2"/>
  <c r="BE22" i="2"/>
  <c r="BG22" i="2"/>
  <c r="BH22" i="2"/>
  <c r="BD22" i="2"/>
  <c r="AZ508" i="2"/>
  <c r="AW508" i="2"/>
  <c r="AY508" i="2"/>
  <c r="AV508" i="2"/>
  <c r="AO210" i="2"/>
  <c r="AQ210" i="2"/>
  <c r="AN210" i="2"/>
  <c r="AR210" i="2"/>
  <c r="AW204" i="2"/>
  <c r="AY204" i="2"/>
  <c r="AZ204" i="2"/>
  <c r="AV204" i="2"/>
  <c r="BH597" i="2"/>
  <c r="BE597" i="2"/>
  <c r="BD597" i="2"/>
  <c r="BG597" i="2"/>
  <c r="BE300" i="2"/>
  <c r="BG300" i="2"/>
  <c r="BH300" i="2"/>
  <c r="BD300" i="2"/>
  <c r="BD704" i="2"/>
  <c r="BE704" i="2"/>
  <c r="BH704" i="2"/>
  <c r="BG704" i="2"/>
  <c r="BH335" i="2"/>
  <c r="BD335" i="2"/>
  <c r="BG335" i="2"/>
  <c r="BE335" i="2"/>
  <c r="BB336" i="2"/>
  <c r="AV481" i="2"/>
  <c r="AY481" i="2"/>
  <c r="AW481" i="2"/>
  <c r="AZ481" i="2"/>
  <c r="BE916" i="2"/>
  <c r="BD916" i="2"/>
  <c r="BG916" i="2"/>
  <c r="BH916" i="2"/>
  <c r="AR111" i="2"/>
  <c r="AN111" i="2"/>
  <c r="AQ111" i="2"/>
  <c r="AO111" i="2"/>
  <c r="AQ342" i="2"/>
  <c r="AR342" i="2"/>
  <c r="AO342" i="2"/>
  <c r="AN342" i="2"/>
  <c r="AZ166" i="2"/>
  <c r="AY166" i="2"/>
  <c r="AW166" i="2"/>
  <c r="AV166" i="2"/>
  <c r="BC191" i="2"/>
  <c r="AZ996" i="2"/>
  <c r="AV996" i="2"/>
  <c r="AW996" i="2"/>
  <c r="AY996" i="2"/>
  <c r="AZ635" i="2"/>
  <c r="AV635" i="2"/>
  <c r="AY635" i="2"/>
  <c r="AW635" i="2"/>
  <c r="AO294" i="2"/>
  <c r="AQ294" i="2"/>
  <c r="AR294" i="2"/>
  <c r="AN294" i="2"/>
  <c r="AN801" i="2"/>
  <c r="AQ801" i="2"/>
  <c r="AR801" i="2"/>
  <c r="AO801" i="2"/>
  <c r="AM20" i="2"/>
  <c r="AN20" i="2" s="1"/>
  <c r="BF284" i="2"/>
  <c r="AP25" i="2"/>
  <c r="AQ25" i="2" s="1"/>
  <c r="BG872" i="2"/>
  <c r="BD872" i="2"/>
  <c r="BE872" i="2"/>
  <c r="BH872" i="2"/>
  <c r="AQ279" i="2"/>
  <c r="AN279" i="2"/>
  <c r="AR279" i="2"/>
  <c r="AO279" i="2"/>
  <c r="AX241" i="2"/>
  <c r="AZ512" i="2"/>
  <c r="AV512" i="2"/>
  <c r="AY512" i="2"/>
  <c r="AW512" i="2"/>
  <c r="BG807" i="2"/>
  <c r="BH807" i="2"/>
  <c r="BD807" i="2"/>
  <c r="BE807" i="2"/>
  <c r="AV128" i="2"/>
  <c r="AT125" i="2"/>
  <c r="AV125" i="2" s="1"/>
  <c r="AZ128" i="2"/>
  <c r="AW128" i="2"/>
  <c r="AY128" i="2"/>
  <c r="AW466" i="2"/>
  <c r="AY466" i="2"/>
  <c r="AV466" i="2"/>
  <c r="AZ466" i="2"/>
  <c r="BE410" i="2"/>
  <c r="BH410" i="2"/>
  <c r="BG410" i="2"/>
  <c r="BD410" i="2"/>
  <c r="AN528" i="2"/>
  <c r="AQ528" i="2"/>
  <c r="AR528" i="2"/>
  <c r="AO528" i="2"/>
  <c r="AR971" i="2"/>
  <c r="AO971" i="2"/>
  <c r="AQ971" i="2"/>
  <c r="AN971" i="2"/>
  <c r="AW910" i="2"/>
  <c r="AZ910" i="2"/>
  <c r="AV910" i="2"/>
  <c r="AY910" i="2"/>
  <c r="BE30" i="2"/>
  <c r="BH30" i="2"/>
  <c r="BD30" i="2"/>
  <c r="BG30" i="2"/>
  <c r="AY498" i="2"/>
  <c r="AV498" i="2"/>
  <c r="AW498" i="2"/>
  <c r="AZ498" i="2"/>
  <c r="AZ845" i="2"/>
  <c r="AW845" i="2"/>
  <c r="AY845" i="2"/>
  <c r="AV845" i="2"/>
  <c r="BD814" i="2"/>
  <c r="BE814" i="2"/>
  <c r="BH814" i="2"/>
  <c r="BG814" i="2"/>
  <c r="BE468" i="2"/>
  <c r="BG468" i="2"/>
  <c r="BD468" i="2"/>
  <c r="BH468" i="2"/>
  <c r="AP248" i="2"/>
  <c r="AQ248" i="2" s="1"/>
  <c r="AW1092" i="2"/>
  <c r="AZ1092" i="2"/>
  <c r="AY1092" i="2"/>
  <c r="AV1092" i="2"/>
  <c r="BH549" i="2"/>
  <c r="BG549" i="2"/>
  <c r="BD549" i="2"/>
  <c r="BE549" i="2"/>
  <c r="AZ916" i="2"/>
  <c r="AV916" i="2"/>
  <c r="AW916" i="2"/>
  <c r="AY916" i="2"/>
  <c r="AW825" i="2"/>
  <c r="AV825" i="2"/>
  <c r="AY825" i="2"/>
  <c r="AQ663" i="2"/>
  <c r="AR663" i="2"/>
  <c r="AN663" i="2"/>
  <c r="AO663" i="2"/>
  <c r="AY1044" i="2"/>
  <c r="AW1044" i="2"/>
  <c r="AV1044" i="2"/>
  <c r="AZ1044" i="2"/>
  <c r="BD714" i="2"/>
  <c r="BG714" i="2"/>
  <c r="BH714" i="2"/>
  <c r="BE714" i="2"/>
  <c r="BE428" i="2"/>
  <c r="BG428" i="2"/>
  <c r="BD428" i="2"/>
  <c r="BH428" i="2"/>
  <c r="BE868" i="2"/>
  <c r="BG868" i="2"/>
  <c r="BD868" i="2"/>
  <c r="BH868" i="2"/>
  <c r="AY776" i="2"/>
  <c r="AZ776" i="2"/>
  <c r="AW776" i="2"/>
  <c r="AV776" i="2"/>
  <c r="AP150" i="2"/>
  <c r="AP151" i="2" s="1"/>
  <c r="AQ151" i="2" s="1"/>
  <c r="BH601" i="2"/>
  <c r="BG601" i="2"/>
  <c r="BD601" i="2"/>
  <c r="BE601" i="2"/>
  <c r="BE172" i="2"/>
  <c r="BG172" i="2"/>
  <c r="BH172" i="2"/>
  <c r="BD172" i="2"/>
  <c r="BF336" i="2"/>
  <c r="BC419" i="2"/>
  <c r="AQ658" i="2"/>
  <c r="AR658" i="2"/>
  <c r="AO658" i="2"/>
  <c r="AN658" i="2"/>
  <c r="AN123" i="2"/>
  <c r="AL124" i="2"/>
  <c r="AO123" i="2"/>
  <c r="AR123" i="2"/>
  <c r="AQ123" i="2"/>
  <c r="AL81" i="2"/>
  <c r="AZ425" i="2"/>
  <c r="AY425" i="2"/>
  <c r="AV425" i="2"/>
  <c r="AW425" i="2"/>
  <c r="AZ822" i="2"/>
  <c r="AV822" i="2"/>
  <c r="AW822" i="2"/>
  <c r="AY822" i="2"/>
  <c r="AY1053" i="2"/>
  <c r="AZ1053" i="2"/>
  <c r="AV1053" i="2"/>
  <c r="AW1053" i="2"/>
  <c r="AQ599" i="2"/>
  <c r="AR599" i="2"/>
  <c r="AO599" i="2"/>
  <c r="AN599" i="2"/>
  <c r="AZ700" i="2"/>
  <c r="AW700" i="2"/>
  <c r="AY700" i="2"/>
  <c r="AV700" i="2"/>
  <c r="BD864" i="2"/>
  <c r="BH864" i="2"/>
  <c r="BE864" i="2"/>
  <c r="BG864" i="2"/>
  <c r="BD727" i="2"/>
  <c r="BH727" i="2"/>
  <c r="BE727" i="2"/>
  <c r="BG727" i="2"/>
  <c r="AQ712" i="2"/>
  <c r="AR712" i="2"/>
  <c r="AN712" i="2"/>
  <c r="AO712" i="2"/>
  <c r="AR681" i="2"/>
  <c r="AQ681" i="2"/>
  <c r="AO681" i="2"/>
  <c r="AN681" i="2"/>
  <c r="AV678" i="2"/>
  <c r="AY678" i="2"/>
  <c r="AW678" i="2"/>
  <c r="AZ678" i="2"/>
  <c r="AY788" i="2"/>
  <c r="AW788" i="2"/>
  <c r="AZ788" i="2"/>
  <c r="AV788" i="2"/>
  <c r="AR555" i="2"/>
  <c r="AQ555" i="2"/>
  <c r="AO555" i="2"/>
  <c r="AN555" i="2"/>
  <c r="BH637" i="2"/>
  <c r="BD637" i="2"/>
  <c r="BG637" i="2"/>
  <c r="BE637" i="2"/>
  <c r="AW987" i="2"/>
  <c r="AY987" i="2"/>
  <c r="AV987" i="2"/>
  <c r="AZ987" i="2"/>
  <c r="AZ503" i="2"/>
  <c r="AW503" i="2"/>
  <c r="AY503" i="2"/>
  <c r="AV503" i="2"/>
  <c r="AY583" i="2"/>
  <c r="AV583" i="2"/>
  <c r="AW583" i="2"/>
  <c r="AZ583" i="2"/>
  <c r="AR531" i="2"/>
  <c r="AO531" i="2"/>
  <c r="AN531" i="2"/>
  <c r="AQ531" i="2"/>
  <c r="BH917" i="2"/>
  <c r="BD917" i="2"/>
  <c r="BG917" i="2"/>
  <c r="BE917" i="2"/>
  <c r="BD546" i="2"/>
  <c r="BG546" i="2"/>
  <c r="BE546" i="2"/>
  <c r="BH546" i="2"/>
  <c r="AX315" i="2"/>
  <c r="AV835" i="2"/>
  <c r="AW835" i="2"/>
  <c r="AY835" i="2"/>
  <c r="AZ835" i="2"/>
  <c r="AY1002" i="2"/>
  <c r="AW1002" i="2"/>
  <c r="AV1002" i="2"/>
  <c r="AZ1002" i="2"/>
  <c r="AZ742" i="2"/>
  <c r="AY742" i="2"/>
  <c r="AV742" i="2"/>
  <c r="AW742" i="2"/>
  <c r="AV348" i="2"/>
  <c r="AZ348" i="2"/>
  <c r="AW348" i="2"/>
  <c r="AY348" i="2"/>
  <c r="AN947" i="2"/>
  <c r="AR947" i="2"/>
  <c r="AO947" i="2"/>
  <c r="AQ947" i="2"/>
  <c r="BG777" i="2"/>
  <c r="BD777" i="2"/>
  <c r="BE777" i="2"/>
  <c r="BH777" i="2"/>
  <c r="AY901" i="2"/>
  <c r="AZ901" i="2"/>
  <c r="AV901" i="2"/>
  <c r="AW901" i="2"/>
  <c r="AY457" i="2"/>
  <c r="AW457" i="2"/>
  <c r="AV457" i="2"/>
  <c r="AZ457" i="2"/>
  <c r="AY69" i="2"/>
  <c r="AW69" i="2"/>
  <c r="AV69" i="2"/>
  <c r="AZ69" i="2"/>
  <c r="AM381" i="2"/>
  <c r="AN697" i="2"/>
  <c r="AO697" i="2"/>
  <c r="AR697" i="2"/>
  <c r="AQ697" i="2"/>
  <c r="AR991" i="2"/>
  <c r="AO991" i="2"/>
  <c r="AQ991" i="2"/>
  <c r="AN991" i="2"/>
  <c r="AZ711" i="2"/>
  <c r="AW711" i="2"/>
  <c r="AY711" i="2"/>
  <c r="AV711" i="2"/>
  <c r="AN391" i="2"/>
  <c r="AQ391" i="2"/>
  <c r="AR391" i="2"/>
  <c r="AO391" i="2"/>
  <c r="AO575" i="2"/>
  <c r="AQ575" i="2"/>
  <c r="AN575" i="2"/>
  <c r="AR575" i="2"/>
  <c r="AR860" i="2"/>
  <c r="AO860" i="2"/>
  <c r="AQ860" i="2"/>
  <c r="AN860" i="2"/>
  <c r="AY271" i="2"/>
  <c r="AV271" i="2"/>
  <c r="AW271" i="2"/>
  <c r="AZ271" i="2"/>
  <c r="BE775" i="2"/>
  <c r="BD775" i="2"/>
  <c r="BG775" i="2"/>
  <c r="BH775" i="2"/>
  <c r="AZ506" i="2"/>
  <c r="AY506" i="2"/>
  <c r="AV506" i="2"/>
  <c r="AW506" i="2"/>
  <c r="AO577" i="2"/>
  <c r="AN577" i="2"/>
  <c r="AQ577" i="2"/>
  <c r="AR577" i="2"/>
  <c r="BC181" i="2"/>
  <c r="BD181" i="2" s="1"/>
  <c r="BH1036" i="2"/>
  <c r="BG1036" i="2"/>
  <c r="BE1036" i="2"/>
  <c r="BD1036" i="2"/>
  <c r="BG108" i="2"/>
  <c r="BH108" i="2"/>
  <c r="BE108" i="2"/>
  <c r="BD108" i="2"/>
  <c r="AZ973" i="2"/>
  <c r="AV973" i="2"/>
  <c r="AY973" i="2"/>
  <c r="AW973" i="2"/>
  <c r="AQ665" i="2"/>
  <c r="AO665" i="2"/>
  <c r="AN665" i="2"/>
  <c r="AR665" i="2"/>
  <c r="AN507" i="2"/>
  <c r="AQ507" i="2"/>
  <c r="AR507" i="2"/>
  <c r="AO507" i="2"/>
  <c r="BF249" i="2"/>
  <c r="AV117" i="2"/>
  <c r="AZ117" i="2"/>
  <c r="AW117" i="2"/>
  <c r="AY117" i="2"/>
  <c r="AZ325" i="2"/>
  <c r="AT316" i="2"/>
  <c r="AY316" i="2" s="1"/>
  <c r="AW325" i="2"/>
  <c r="AV325" i="2"/>
  <c r="AY325" i="2"/>
  <c r="BH1024" i="2"/>
  <c r="BG1024" i="2"/>
  <c r="BD1024" i="2"/>
  <c r="BE1024" i="2"/>
  <c r="BF1460" i="2"/>
  <c r="AQ307" i="2"/>
  <c r="AO307" i="2"/>
  <c r="AR307" i="2"/>
  <c r="AN307" i="2"/>
  <c r="AU180" i="2"/>
  <c r="AV180" i="2" s="1"/>
  <c r="AP246" i="2"/>
  <c r="BH555" i="2"/>
  <c r="BE555" i="2"/>
  <c r="BG555" i="2"/>
  <c r="BD555" i="2"/>
  <c r="BG166" i="2"/>
  <c r="BE166" i="2"/>
  <c r="BH166" i="2"/>
  <c r="BD166" i="2"/>
  <c r="BG356" i="2"/>
  <c r="BE356" i="2"/>
  <c r="BH356" i="2"/>
  <c r="BD356" i="2"/>
  <c r="BG891" i="2"/>
  <c r="BE891" i="2"/>
  <c r="BD891" i="2"/>
  <c r="BH891" i="2"/>
  <c r="BE331" i="2"/>
  <c r="BH331" i="2"/>
  <c r="BD331" i="2"/>
  <c r="BG331" i="2"/>
  <c r="AN970" i="2"/>
  <c r="AQ970" i="2"/>
  <c r="AO970" i="2"/>
  <c r="AR970" i="2"/>
  <c r="AQ685" i="2"/>
  <c r="AN685" i="2"/>
  <c r="AO685" i="2"/>
  <c r="AR685" i="2"/>
  <c r="BE657" i="2"/>
  <c r="BH657" i="2"/>
  <c r="BG657" i="2"/>
  <c r="BD657" i="2"/>
  <c r="BD994" i="2"/>
  <c r="BH994" i="2"/>
  <c r="BE994" i="2"/>
  <c r="BG994" i="2"/>
  <c r="AV781" i="2"/>
  <c r="AZ781" i="2"/>
  <c r="AY781" i="2"/>
  <c r="AW781" i="2"/>
  <c r="BG911" i="2"/>
  <c r="BD911" i="2"/>
  <c r="BH911" i="2"/>
  <c r="BE911" i="2"/>
  <c r="AP195" i="2"/>
  <c r="BE92" i="2"/>
  <c r="BG92" i="2"/>
  <c r="BH92" i="2"/>
  <c r="BD92" i="2"/>
  <c r="AY638" i="2"/>
  <c r="AV638" i="2"/>
  <c r="AZ638" i="2"/>
  <c r="AW638" i="2"/>
  <c r="BE811" i="2"/>
  <c r="BD811" i="2"/>
  <c r="BG811" i="2"/>
  <c r="BH811" i="2"/>
  <c r="AV1046" i="2"/>
  <c r="AZ1046" i="2"/>
  <c r="AW1046" i="2"/>
  <c r="AY1046" i="2"/>
  <c r="BH614" i="2"/>
  <c r="BD614" i="2"/>
  <c r="BG614" i="2"/>
  <c r="BE614" i="2"/>
  <c r="AO941" i="2"/>
  <c r="AQ941" i="2"/>
  <c r="AR941" i="2"/>
  <c r="AN941" i="2"/>
  <c r="BF311" i="2"/>
  <c r="BH781" i="2"/>
  <c r="BE781" i="2"/>
  <c r="BG781" i="2"/>
  <c r="BD781" i="2"/>
  <c r="BH798" i="2"/>
  <c r="BD798" i="2"/>
  <c r="BE798" i="2"/>
  <c r="BG798" i="2"/>
  <c r="BE415" i="2"/>
  <c r="BD415" i="2"/>
  <c r="BG415" i="2"/>
  <c r="BH415" i="2"/>
  <c r="AO116" i="2"/>
  <c r="AR116" i="2"/>
  <c r="AN116" i="2"/>
  <c r="AQ116" i="2"/>
  <c r="AU178" i="2"/>
  <c r="AR1001" i="2"/>
  <c r="AQ1001" i="2"/>
  <c r="AN1001" i="2"/>
  <c r="AO1001" i="2"/>
  <c r="AO894" i="2"/>
  <c r="AR894" i="2"/>
  <c r="AQ894" i="2"/>
  <c r="AN894" i="2"/>
  <c r="BD758" i="2"/>
  <c r="BH758" i="2"/>
  <c r="BG758" i="2"/>
  <c r="BE758" i="2"/>
  <c r="AZ681" i="2"/>
  <c r="AV681" i="2"/>
  <c r="AY681" i="2"/>
  <c r="AW681" i="2"/>
  <c r="BC252" i="2"/>
  <c r="BD109" i="2"/>
  <c r="BE109" i="2"/>
  <c r="BH109" i="2"/>
  <c r="BG109" i="2"/>
  <c r="BH952" i="2"/>
  <c r="BD952" i="2"/>
  <c r="BG952" i="2"/>
  <c r="BE952" i="2"/>
  <c r="BH970" i="2"/>
  <c r="BG970" i="2"/>
  <c r="BE970" i="2"/>
  <c r="BD970" i="2"/>
  <c r="AR679" i="2"/>
  <c r="AN679" i="2"/>
  <c r="AQ679" i="2"/>
  <c r="AO679" i="2"/>
  <c r="BF536" i="2"/>
  <c r="AU243" i="2"/>
  <c r="BC311" i="2"/>
  <c r="BD311" i="2" s="1"/>
  <c r="BH274" i="2"/>
  <c r="BE274" i="2"/>
  <c r="BD274" i="2"/>
  <c r="BG274" i="2"/>
  <c r="AW394" i="2"/>
  <c r="AY394" i="2"/>
  <c r="AZ394" i="2"/>
  <c r="AV394" i="2"/>
  <c r="AZ997" i="2"/>
  <c r="AW997" i="2"/>
  <c r="AV997" i="2"/>
  <c r="AY997" i="2"/>
  <c r="AZ899" i="2"/>
  <c r="AV899" i="2"/>
  <c r="AY899" i="2"/>
  <c r="AW899" i="2"/>
  <c r="AR738" i="2"/>
  <c r="AQ738" i="2"/>
  <c r="AO738" i="2"/>
  <c r="AN738" i="2"/>
  <c r="AQ953" i="2"/>
  <c r="AR953" i="2"/>
  <c r="AO953" i="2"/>
  <c r="AN953" i="2"/>
  <c r="AZ771" i="2"/>
  <c r="AV771" i="2"/>
  <c r="AW771" i="2"/>
  <c r="AY771" i="2"/>
  <c r="AQ625" i="2"/>
  <c r="AO625" i="2"/>
  <c r="AR625" i="2"/>
  <c r="AN625" i="2"/>
  <c r="AW1099" i="2"/>
  <c r="AZ1099" i="2"/>
  <c r="AY1099" i="2"/>
  <c r="AV1099" i="2"/>
  <c r="AZ476" i="2"/>
  <c r="AW476" i="2"/>
  <c r="AV476" i="2"/>
  <c r="AY476" i="2"/>
  <c r="BF127" i="2"/>
  <c r="AN93" i="2"/>
  <c r="AR93" i="2"/>
  <c r="AQ93" i="2"/>
  <c r="AO93" i="2"/>
  <c r="AZ574" i="2"/>
  <c r="AW574" i="2"/>
  <c r="AY574" i="2"/>
  <c r="AV574" i="2"/>
  <c r="BF435" i="2"/>
  <c r="BF196" i="2" s="1"/>
  <c r="AO810" i="2"/>
  <c r="AR810" i="2"/>
  <c r="AQ810" i="2"/>
  <c r="AN810" i="2"/>
  <c r="AQ853" i="2"/>
  <c r="AO853" i="2"/>
  <c r="AN853" i="2"/>
  <c r="AR853" i="2"/>
  <c r="AR797" i="2"/>
  <c r="AO797" i="2"/>
  <c r="AQ797" i="2"/>
  <c r="AN797" i="2"/>
  <c r="AX1460" i="2"/>
  <c r="AQ996" i="2"/>
  <c r="AO996" i="2"/>
  <c r="AR996" i="2"/>
  <c r="AN996" i="2"/>
  <c r="AV1015" i="2"/>
  <c r="AW1015" i="2"/>
  <c r="AZ1015" i="2"/>
  <c r="AY1015" i="2"/>
  <c r="AW417" i="2"/>
  <c r="AY417" i="2"/>
  <c r="AZ417" i="2"/>
  <c r="AV417" i="2"/>
  <c r="AN462" i="2"/>
  <c r="AQ462" i="2"/>
  <c r="AO462" i="2"/>
  <c r="AR462" i="2"/>
  <c r="AV310" i="2"/>
  <c r="AZ310" i="2"/>
  <c r="AY310" i="2"/>
  <c r="AW310" i="2"/>
  <c r="AT311" i="2"/>
  <c r="BG766" i="2"/>
  <c r="BD766" i="2"/>
  <c r="BE766" i="2"/>
  <c r="BH766" i="2"/>
  <c r="AR217" i="2"/>
  <c r="AN217" i="2"/>
  <c r="AO217" i="2"/>
  <c r="AQ217" i="2"/>
  <c r="BC374" i="2"/>
  <c r="BC358" i="2"/>
  <c r="BC373" i="2" s="1"/>
  <c r="AZ28" i="2"/>
  <c r="AY28" i="2"/>
  <c r="AT29" i="2"/>
  <c r="AY29" i="2" s="1"/>
  <c r="AW28" i="2"/>
  <c r="AV28" i="2"/>
  <c r="AV739" i="2"/>
  <c r="AW739" i="2"/>
  <c r="AZ739" i="2"/>
  <c r="AY739" i="2"/>
  <c r="BC320" i="2"/>
  <c r="BE282" i="2"/>
  <c r="BH282" i="2"/>
  <c r="BG282" i="2"/>
  <c r="BD282" i="2"/>
  <c r="AP1466" i="2"/>
  <c r="AO802" i="2"/>
  <c r="AN802" i="2"/>
  <c r="AR802" i="2"/>
  <c r="AQ802" i="2"/>
  <c r="AZ764" i="2"/>
  <c r="AW764" i="2"/>
  <c r="AV764" i="2"/>
  <c r="AY764" i="2"/>
  <c r="AY1019" i="2"/>
  <c r="AW1019" i="2"/>
  <c r="AZ1019" i="2"/>
  <c r="AV1019" i="2"/>
  <c r="BH851" i="2"/>
  <c r="BE851" i="2"/>
  <c r="BG851" i="2"/>
  <c r="BD851" i="2"/>
  <c r="AO587" i="2"/>
  <c r="AN587" i="2"/>
  <c r="AR587" i="2"/>
  <c r="AQ587" i="2"/>
  <c r="AP316" i="2"/>
  <c r="AQ154" i="2"/>
  <c r="AR154" i="2"/>
  <c r="AO154" i="2"/>
  <c r="AN154" i="2"/>
  <c r="AW170" i="2"/>
  <c r="AZ170" i="2"/>
  <c r="AY170" i="2"/>
  <c r="AV170" i="2"/>
  <c r="AR929" i="2"/>
  <c r="AQ929" i="2"/>
  <c r="AO929" i="2"/>
  <c r="AN929" i="2"/>
  <c r="AU245" i="2"/>
  <c r="AX1459" i="2"/>
  <c r="AY1459" i="2" s="1"/>
  <c r="BD1055" i="2"/>
  <c r="BH1055" i="2"/>
  <c r="BG1055" i="2"/>
  <c r="BE1055" i="2"/>
  <c r="AV279" i="2"/>
  <c r="AZ279" i="2"/>
  <c r="AW279" i="2"/>
  <c r="AY279" i="2"/>
  <c r="AZ665" i="2"/>
  <c r="AY665" i="2"/>
  <c r="AW665" i="2"/>
  <c r="AV665" i="2"/>
  <c r="AQ735" i="2"/>
  <c r="AO735" i="2"/>
  <c r="AN735" i="2"/>
  <c r="AR735" i="2"/>
  <c r="BD362" i="2"/>
  <c r="BE362" i="2"/>
  <c r="AO194" i="2"/>
  <c r="AL195" i="2"/>
  <c r="AN195" i="2" s="1"/>
  <c r="AQ194" i="2"/>
  <c r="AN194" i="2"/>
  <c r="AR194" i="2"/>
  <c r="BG708" i="2"/>
  <c r="BD708" i="2"/>
  <c r="BE708" i="2"/>
  <c r="BH708" i="2"/>
  <c r="BE462" i="2"/>
  <c r="BD462" i="2"/>
  <c r="BH462" i="2"/>
  <c r="BG462" i="2"/>
  <c r="AM84" i="2"/>
  <c r="BG724" i="2"/>
  <c r="BH724" i="2"/>
  <c r="BD724" i="2"/>
  <c r="BE724" i="2"/>
  <c r="AW1005" i="2"/>
  <c r="AY1005" i="2"/>
  <c r="AV1005" i="2"/>
  <c r="AZ1005" i="2"/>
  <c r="AV894" i="2"/>
  <c r="AW894" i="2"/>
  <c r="AY894" i="2"/>
  <c r="AZ894" i="2"/>
  <c r="BD433" i="2"/>
  <c r="BH433" i="2"/>
  <c r="BG433" i="2"/>
  <c r="BE433" i="2"/>
  <c r="BD726" i="2"/>
  <c r="BG726" i="2"/>
  <c r="BH726" i="2"/>
  <c r="BE726" i="2"/>
  <c r="AR659" i="2"/>
  <c r="AN659" i="2"/>
  <c r="AO659" i="2"/>
  <c r="AQ659" i="2"/>
  <c r="AY780" i="2"/>
  <c r="AV780" i="2"/>
  <c r="AZ780" i="2"/>
  <c r="AW780" i="2"/>
  <c r="AY159" i="2"/>
  <c r="AZ159" i="2"/>
  <c r="AV159" i="2"/>
  <c r="AW159" i="2"/>
  <c r="AU320" i="2"/>
  <c r="AZ735" i="2"/>
  <c r="AW735" i="2"/>
  <c r="AV735" i="2"/>
  <c r="AY735" i="2"/>
  <c r="AQ173" i="2"/>
  <c r="AR173" i="2"/>
  <c r="AO173" i="2"/>
  <c r="AN173" i="2"/>
  <c r="AO159" i="2"/>
  <c r="AR159" i="2"/>
  <c r="AN159" i="2"/>
  <c r="AQ159" i="2"/>
  <c r="AR709" i="2"/>
  <c r="AN709" i="2"/>
  <c r="AQ709" i="2"/>
  <c r="AO709" i="2"/>
  <c r="AW230" i="2"/>
  <c r="AV230" i="2"/>
  <c r="AY230" i="2"/>
  <c r="AZ230" i="2"/>
  <c r="BE169" i="2"/>
  <c r="BG169" i="2"/>
  <c r="BH169" i="2"/>
  <c r="BD169" i="2"/>
  <c r="AV1032" i="2"/>
  <c r="AW1032" i="2"/>
  <c r="AZ1032" i="2"/>
  <c r="AY1032" i="2"/>
  <c r="BE99" i="2"/>
  <c r="BH99" i="2"/>
  <c r="BD99" i="2"/>
  <c r="BG99" i="2"/>
  <c r="BE53" i="2"/>
  <c r="BD53" i="2"/>
  <c r="BH53" i="2"/>
  <c r="BG53" i="2"/>
  <c r="AO655" i="2"/>
  <c r="AR655" i="2"/>
  <c r="AN655" i="2"/>
  <c r="AQ655" i="2"/>
  <c r="AN754" i="2"/>
  <c r="AO754" i="2"/>
  <c r="BD625" i="2"/>
  <c r="BH625" i="2"/>
  <c r="BE625" i="2"/>
  <c r="BG625" i="2"/>
  <c r="AY525" i="2"/>
  <c r="AZ525" i="2"/>
  <c r="AW525" i="2"/>
  <c r="AV525" i="2"/>
  <c r="BF177" i="2"/>
  <c r="BG177" i="2" s="1"/>
  <c r="BG427" i="2"/>
  <c r="BH427" i="2"/>
  <c r="BE427" i="2"/>
  <c r="BD427" i="2"/>
  <c r="AV662" i="2"/>
  <c r="AW662" i="2"/>
  <c r="AZ662" i="2"/>
  <c r="AY662" i="2"/>
  <c r="AX431" i="2"/>
  <c r="AX90" i="2" s="1"/>
  <c r="AV1050" i="2"/>
  <c r="AW1050" i="2"/>
  <c r="AZ1050" i="2"/>
  <c r="AY1050" i="2"/>
  <c r="BE828" i="2"/>
  <c r="BD828" i="2"/>
  <c r="BG828" i="2"/>
  <c r="BH828" i="2"/>
  <c r="AV434" i="2"/>
  <c r="AY434" i="2"/>
  <c r="AT435" i="2"/>
  <c r="AZ434" i="2"/>
  <c r="AW434" i="2"/>
  <c r="AZ268" i="2"/>
  <c r="AW268" i="2"/>
  <c r="AV268" i="2"/>
  <c r="AY268" i="2"/>
  <c r="BC543" i="2"/>
  <c r="BD543" i="2" s="1"/>
  <c r="BD442" i="2"/>
  <c r="BH442" i="2"/>
  <c r="BB443" i="2"/>
  <c r="BG442" i="2"/>
  <c r="BE442" i="2"/>
  <c r="AQ857" i="2"/>
  <c r="AR857" i="2"/>
  <c r="AN857" i="2"/>
  <c r="AO857" i="2"/>
  <c r="AZ805" i="2"/>
  <c r="AY805" i="2"/>
  <c r="AW805" i="2"/>
  <c r="AV805" i="2"/>
  <c r="BE1039" i="2"/>
  <c r="BG1039" i="2"/>
  <c r="BD1039" i="2"/>
  <c r="BH1039" i="2"/>
  <c r="AO296" i="2"/>
  <c r="AN296" i="2"/>
  <c r="AQ296" i="2"/>
  <c r="AR296" i="2"/>
  <c r="AN1011" i="2"/>
  <c r="AQ1011" i="2"/>
  <c r="AO1011" i="2"/>
  <c r="AR1011" i="2"/>
  <c r="AW767" i="2"/>
  <c r="AY767" i="2"/>
  <c r="AV767" i="2"/>
  <c r="AZ767" i="2"/>
  <c r="BE1048" i="2"/>
  <c r="BH1048" i="2"/>
  <c r="BG1048" i="2"/>
  <c r="BD1048" i="2"/>
  <c r="AU1459" i="2"/>
  <c r="AW1459" i="2" s="1"/>
  <c r="BE15" i="2"/>
  <c r="BH15" i="2"/>
  <c r="BG15" i="2"/>
  <c r="BD15" i="2"/>
  <c r="AT372" i="2"/>
  <c r="AV371" i="2"/>
  <c r="AY371" i="2"/>
  <c r="AW371" i="2"/>
  <c r="AM249" i="2"/>
  <c r="AN852" i="2"/>
  <c r="AR852" i="2"/>
  <c r="AQ852" i="2"/>
  <c r="AO852" i="2"/>
  <c r="BH674" i="2"/>
  <c r="BG674" i="2"/>
  <c r="BD674" i="2"/>
  <c r="BE674" i="2"/>
  <c r="AW1017" i="2"/>
  <c r="AV1017" i="2"/>
  <c r="AZ1017" i="2"/>
  <c r="AY1017" i="2"/>
  <c r="AO16" i="2"/>
  <c r="AQ16" i="2"/>
  <c r="AR16" i="2"/>
  <c r="AL1458" i="2"/>
  <c r="AN16" i="2"/>
  <c r="AN787" i="2"/>
  <c r="AR787" i="2"/>
  <c r="AO787" i="2"/>
  <c r="AQ787" i="2"/>
  <c r="AN46" i="2"/>
  <c r="AQ46" i="2"/>
  <c r="AL1466" i="2"/>
  <c r="AO46" i="2"/>
  <c r="AR46" i="2"/>
  <c r="AX1466" i="2"/>
  <c r="AV839" i="2"/>
  <c r="AY839" i="2"/>
  <c r="AW839" i="2"/>
  <c r="AZ839" i="2"/>
  <c r="AO490" i="2"/>
  <c r="AQ490" i="2"/>
  <c r="AR490" i="2"/>
  <c r="AN490" i="2"/>
  <c r="AV785" i="2"/>
  <c r="AW785" i="2"/>
  <c r="AY785" i="2"/>
  <c r="AZ785" i="2"/>
  <c r="AT439" i="2"/>
  <c r="AV439" i="2" s="1"/>
  <c r="AW438" i="2"/>
  <c r="AV438" i="2"/>
  <c r="AZ438" i="2"/>
  <c r="AY438" i="2"/>
  <c r="AW42" i="2"/>
  <c r="AV42" i="2"/>
  <c r="AZ42" i="2"/>
  <c r="AY42" i="2"/>
  <c r="BB376" i="2"/>
  <c r="BH388" i="2"/>
  <c r="BG388" i="2"/>
  <c r="BD388" i="2"/>
  <c r="BE388" i="2"/>
  <c r="AQ492" i="2"/>
  <c r="AN492" i="2"/>
  <c r="AO492" i="2"/>
  <c r="AR492" i="2"/>
  <c r="AN306" i="2"/>
  <c r="AO306" i="2"/>
  <c r="AR306" i="2"/>
  <c r="AQ306" i="2"/>
  <c r="AR729" i="2"/>
  <c r="AO729" i="2"/>
  <c r="AN729" i="2"/>
  <c r="AQ729" i="2"/>
  <c r="AP358" i="2"/>
  <c r="AP373" i="2" s="1"/>
  <c r="AP374" i="2"/>
  <c r="BD956" i="2"/>
  <c r="BE956" i="2"/>
  <c r="BH956" i="2"/>
  <c r="BG956" i="2"/>
  <c r="BD867" i="2"/>
  <c r="BG867" i="2"/>
  <c r="BE867" i="2"/>
  <c r="BH867" i="2"/>
  <c r="BG940" i="2"/>
  <c r="BE940" i="2"/>
  <c r="BH940" i="2"/>
  <c r="BD940" i="2"/>
  <c r="AV628" i="2"/>
  <c r="AY628" i="2"/>
  <c r="AW628" i="2"/>
  <c r="AZ628" i="2"/>
  <c r="AR209" i="2"/>
  <c r="AQ209" i="2"/>
  <c r="AO209" i="2"/>
  <c r="AN209" i="2"/>
  <c r="AW646" i="2"/>
  <c r="AY646" i="2"/>
  <c r="AV646" i="2"/>
  <c r="AZ646" i="2"/>
  <c r="BG668" i="2"/>
  <c r="BE668" i="2"/>
  <c r="BD668" i="2"/>
  <c r="BH668" i="2"/>
  <c r="BG587" i="2"/>
  <c r="BE587" i="2"/>
  <c r="BD587" i="2"/>
  <c r="BH587" i="2"/>
  <c r="AZ1070" i="2"/>
  <c r="AY1070" i="2"/>
  <c r="AW1070" i="2"/>
  <c r="AV1070" i="2"/>
  <c r="AR632" i="2"/>
  <c r="AN632" i="2"/>
  <c r="AQ632" i="2"/>
  <c r="AO632" i="2"/>
  <c r="AO346" i="2"/>
  <c r="AL347" i="2"/>
  <c r="AN347" i="2" s="1"/>
  <c r="AN346" i="2"/>
  <c r="AQ346" i="2"/>
  <c r="AR346" i="2"/>
  <c r="AV102" i="2"/>
  <c r="AZ102" i="2"/>
  <c r="AT79" i="2"/>
  <c r="AW102" i="2"/>
  <c r="AY102" i="2"/>
  <c r="BC340" i="2"/>
  <c r="BD340" i="2" s="1"/>
  <c r="AW808" i="2"/>
  <c r="AV808" i="2"/>
  <c r="AZ808" i="2"/>
  <c r="AY808" i="2"/>
  <c r="BG271" i="2"/>
  <c r="BH271" i="2"/>
  <c r="BE271" i="2"/>
  <c r="BD271" i="2"/>
  <c r="BH923" i="2"/>
  <c r="BD923" i="2"/>
  <c r="BE923" i="2"/>
  <c r="BG923" i="2"/>
  <c r="AX240" i="2"/>
  <c r="AO1051" i="2"/>
  <c r="AQ1051" i="2"/>
  <c r="AR1051" i="2"/>
  <c r="AN1051" i="2"/>
  <c r="BG682" i="2"/>
  <c r="BE682" i="2"/>
  <c r="BH682" i="2"/>
  <c r="BD682" i="2"/>
  <c r="BD333" i="2"/>
  <c r="BE333" i="2"/>
  <c r="BG333" i="2"/>
  <c r="BH333" i="2"/>
  <c r="AY974" i="2"/>
  <c r="AV974" i="2"/>
  <c r="AW974" i="2"/>
  <c r="AZ974" i="2"/>
  <c r="BD700" i="2"/>
  <c r="BH700" i="2"/>
  <c r="BE700" i="2"/>
  <c r="BG700" i="2"/>
  <c r="AY173" i="2"/>
  <c r="AZ173" i="2"/>
  <c r="AV173" i="2"/>
  <c r="AW173" i="2"/>
  <c r="AO31" i="2"/>
  <c r="AQ31" i="2"/>
  <c r="AN31" i="2"/>
  <c r="AR31" i="2"/>
  <c r="BE953" i="2"/>
  <c r="BG953" i="2"/>
  <c r="BH953" i="2"/>
  <c r="BD953" i="2"/>
  <c r="AY680" i="2"/>
  <c r="AZ680" i="2"/>
  <c r="AV680" i="2"/>
  <c r="AW680" i="2"/>
  <c r="BD634" i="2"/>
  <c r="BG634" i="2"/>
  <c r="BH634" i="2"/>
  <c r="BE634" i="2"/>
  <c r="BH111" i="2"/>
  <c r="BD111" i="2"/>
  <c r="BE111" i="2"/>
  <c r="BG111" i="2"/>
  <c r="AZ962" i="2"/>
  <c r="AV962" i="2"/>
  <c r="AY962" i="2"/>
  <c r="AW962" i="2"/>
  <c r="AR652" i="2"/>
  <c r="AO652" i="2"/>
  <c r="AN652" i="2"/>
  <c r="AQ652" i="2"/>
  <c r="AQ703" i="2"/>
  <c r="AN703" i="2"/>
  <c r="AO703" i="2"/>
  <c r="AR703" i="2"/>
  <c r="AV527" i="2"/>
  <c r="AZ527" i="2"/>
  <c r="AY527" i="2"/>
  <c r="AW527" i="2"/>
  <c r="AU381" i="2"/>
  <c r="BD692" i="2"/>
  <c r="BE692" i="2"/>
  <c r="BG692" i="2"/>
  <c r="BH692" i="2"/>
  <c r="AN214" i="2"/>
  <c r="AO214" i="2"/>
  <c r="AR214" i="2"/>
  <c r="AQ214" i="2"/>
  <c r="AP447" i="2"/>
  <c r="AP413" i="2" s="1"/>
  <c r="BG143" i="2"/>
  <c r="BD143" i="2"/>
  <c r="BE143" i="2"/>
  <c r="BH143" i="2"/>
  <c r="AR699" i="2"/>
  <c r="AO699" i="2"/>
  <c r="AQ699" i="2"/>
  <c r="AN699" i="2"/>
  <c r="BD342" i="2"/>
  <c r="BH342" i="2"/>
  <c r="BE342" i="2"/>
  <c r="BG342" i="2"/>
  <c r="BF367" i="2"/>
  <c r="AZ644" i="2"/>
  <c r="AW644" i="2"/>
  <c r="AV644" i="2"/>
  <c r="AY644" i="2"/>
  <c r="BD309" i="2"/>
  <c r="BH309" i="2"/>
  <c r="BE309" i="2"/>
  <c r="BG309" i="2"/>
  <c r="AO174" i="2"/>
  <c r="AN174" i="2"/>
  <c r="AQ174" i="2"/>
  <c r="AR174" i="2"/>
  <c r="AO850" i="2"/>
  <c r="AN850" i="2"/>
  <c r="AQ850" i="2"/>
  <c r="AR850" i="2"/>
  <c r="AV1022" i="2"/>
  <c r="AZ1022" i="2"/>
  <c r="AW1022" i="2"/>
  <c r="AY1022" i="2"/>
  <c r="AZ856" i="2"/>
  <c r="AW856" i="2"/>
  <c r="AY856" i="2"/>
  <c r="AV856" i="2"/>
  <c r="BD149" i="2"/>
  <c r="BG149" i="2"/>
  <c r="BE149" i="2"/>
  <c r="BH149" i="2"/>
  <c r="AT25" i="2"/>
  <c r="AW24" i="2"/>
  <c r="AZ24" i="2"/>
  <c r="AV24" i="2"/>
  <c r="AY24" i="2"/>
  <c r="AY799" i="2"/>
  <c r="AV799" i="2"/>
  <c r="AZ799" i="2"/>
  <c r="AW799" i="2"/>
  <c r="BD472" i="2"/>
  <c r="BE472" i="2"/>
  <c r="BG472" i="2"/>
  <c r="BH472" i="2"/>
  <c r="AR840" i="2"/>
  <c r="AQ840" i="2"/>
  <c r="AN840" i="2"/>
  <c r="AO840" i="2"/>
  <c r="AV932" i="2"/>
  <c r="AZ932" i="2"/>
  <c r="AW932" i="2"/>
  <c r="AY932" i="2"/>
  <c r="AW1074" i="2"/>
  <c r="AZ1074" i="2"/>
  <c r="AV1074" i="2"/>
  <c r="AY1074" i="2"/>
  <c r="AZ809" i="2"/>
  <c r="AW809" i="2"/>
  <c r="AY809" i="2"/>
  <c r="AV809" i="2"/>
  <c r="AX435" i="2"/>
  <c r="AX196" i="2" s="1"/>
  <c r="BE782" i="2"/>
  <c r="BD782" i="2"/>
  <c r="BH782" i="2"/>
  <c r="BG782" i="2"/>
  <c r="BC20" i="2"/>
  <c r="BD20" i="2" s="1"/>
  <c r="AZ768" i="2"/>
  <c r="AY768" i="2"/>
  <c r="AV768" i="2"/>
  <c r="AW768" i="2"/>
  <c r="BC1455" i="2"/>
  <c r="AZ688" i="2"/>
  <c r="AY688" i="2"/>
  <c r="AW688" i="2"/>
  <c r="AV688" i="2"/>
  <c r="AY694" i="2"/>
  <c r="AZ694" i="2"/>
  <c r="AV694" i="2"/>
  <c r="AW694" i="2"/>
  <c r="AZ35" i="2"/>
  <c r="AT36" i="2"/>
  <c r="AY36" i="2" s="1"/>
  <c r="AW35" i="2"/>
  <c r="AV35" i="2"/>
  <c r="AY35" i="2"/>
  <c r="AR471" i="2"/>
  <c r="AN471" i="2"/>
  <c r="AO471" i="2"/>
  <c r="AQ471" i="2"/>
  <c r="AP1467" i="2"/>
  <c r="AR1467" i="2" s="1"/>
  <c r="AR578" i="2"/>
  <c r="AO578" i="2"/>
  <c r="AQ578" i="2"/>
  <c r="AN578" i="2"/>
  <c r="AW774" i="2"/>
  <c r="AV774" i="2"/>
  <c r="AZ774" i="2"/>
  <c r="AY774" i="2"/>
  <c r="AW343" i="2"/>
  <c r="AV343" i="2"/>
  <c r="AY343" i="2"/>
  <c r="AZ343" i="2"/>
  <c r="BH670" i="2"/>
  <c r="BG670" i="2"/>
  <c r="BD670" i="2"/>
  <c r="BE670" i="2"/>
  <c r="AW817" i="2"/>
  <c r="AV817" i="2"/>
  <c r="AZ817" i="2"/>
  <c r="AY817" i="2"/>
  <c r="BH734" i="2"/>
  <c r="BE734" i="2"/>
  <c r="BD734" i="2"/>
  <c r="BG734" i="2"/>
  <c r="BF313" i="2"/>
  <c r="BG313" i="2" s="1"/>
  <c r="AQ236" i="2"/>
  <c r="AN236" i="2"/>
  <c r="AO236" i="2"/>
  <c r="AR236" i="2"/>
  <c r="AO559" i="2"/>
  <c r="AQ559" i="2"/>
  <c r="AN559" i="2"/>
  <c r="AR559" i="2"/>
  <c r="BE822" i="2"/>
  <c r="BH822" i="2"/>
  <c r="BD822" i="2"/>
  <c r="BG822" i="2"/>
  <c r="AO627" i="2"/>
  <c r="AQ627" i="2"/>
  <c r="AR627" i="2"/>
  <c r="AN627" i="2"/>
  <c r="BD951" i="2"/>
  <c r="BE951" i="2"/>
  <c r="BH951" i="2"/>
  <c r="BG951" i="2"/>
  <c r="AR185" i="2"/>
  <c r="AN185" i="2"/>
  <c r="AL181" i="2"/>
  <c r="AO185" i="2"/>
  <c r="AQ185" i="2"/>
  <c r="AO749" i="2"/>
  <c r="AR749" i="2"/>
  <c r="AN749" i="2"/>
  <c r="AQ749" i="2"/>
  <c r="BG745" i="2"/>
  <c r="BD745" i="2"/>
  <c r="BE745" i="2"/>
  <c r="BH745" i="2"/>
  <c r="AW736" i="2"/>
  <c r="AZ736" i="2"/>
  <c r="AY736" i="2"/>
  <c r="AV736" i="2"/>
  <c r="AU315" i="2"/>
  <c r="AO800" i="2"/>
  <c r="AQ800" i="2"/>
  <c r="AN800" i="2"/>
  <c r="AR800" i="2"/>
  <c r="AP181" i="2"/>
  <c r="AT126" i="2"/>
  <c r="AY126" i="2" s="1"/>
  <c r="AV129" i="2"/>
  <c r="AW129" i="2"/>
  <c r="AY129" i="2"/>
  <c r="AZ129" i="2"/>
  <c r="BG254" i="2"/>
  <c r="BB240" i="2"/>
  <c r="BD240" i="2" s="1"/>
  <c r="BD254" i="2"/>
  <c r="BE254" i="2"/>
  <c r="BH254" i="2"/>
  <c r="AW215" i="2"/>
  <c r="AY215" i="2"/>
  <c r="AV215" i="2"/>
  <c r="AZ215" i="2"/>
  <c r="AN717" i="2"/>
  <c r="AO717" i="2"/>
  <c r="AR717" i="2"/>
  <c r="AQ717" i="2"/>
  <c r="AN540" i="2"/>
  <c r="AR540" i="2"/>
  <c r="AQ540" i="2"/>
  <c r="AO540" i="2"/>
  <c r="AO475" i="2"/>
  <c r="AQ475" i="2"/>
  <c r="AR475" i="2"/>
  <c r="AN475" i="2"/>
  <c r="AY964" i="2"/>
  <c r="AW964" i="2"/>
  <c r="AZ964" i="2"/>
  <c r="AV964" i="2"/>
  <c r="BH522" i="2"/>
  <c r="BD522" i="2"/>
  <c r="BE522" i="2"/>
  <c r="BG522" i="2"/>
  <c r="BD1065" i="2"/>
  <c r="BG1065" i="2"/>
  <c r="BH1065" i="2"/>
  <c r="BE1065" i="2"/>
  <c r="AZ330" i="2"/>
  <c r="AV330" i="2"/>
  <c r="AY330" i="2"/>
  <c r="AW330" i="2"/>
  <c r="AQ1042" i="2"/>
  <c r="AO1042" i="2"/>
  <c r="AN1042" i="2"/>
  <c r="AR1042" i="2"/>
  <c r="AN444" i="2"/>
  <c r="AO444" i="2"/>
  <c r="AQ444" i="2"/>
  <c r="AR444" i="2"/>
  <c r="AR511" i="2"/>
  <c r="AN511" i="2"/>
  <c r="AO511" i="2"/>
  <c r="AQ511" i="2"/>
  <c r="BD527" i="2"/>
  <c r="BH527" i="2"/>
  <c r="BG527" i="2"/>
  <c r="BE527" i="2"/>
  <c r="BF36" i="2"/>
  <c r="AV163" i="2"/>
  <c r="AY163" i="2"/>
  <c r="AW163" i="2"/>
  <c r="AZ163" i="2"/>
  <c r="AZ257" i="2"/>
  <c r="AY257" i="2"/>
  <c r="AV257" i="2"/>
  <c r="AT243" i="2"/>
  <c r="AW257" i="2"/>
  <c r="AY304" i="2"/>
  <c r="AZ304" i="2"/>
  <c r="AV304" i="2"/>
  <c r="AW304" i="2"/>
  <c r="AV556" i="2"/>
  <c r="AZ556" i="2"/>
  <c r="AW556" i="2"/>
  <c r="AY556" i="2"/>
  <c r="AV814" i="2"/>
  <c r="AY814" i="2"/>
  <c r="AZ814" i="2"/>
  <c r="AW814" i="2"/>
  <c r="AY632" i="2"/>
  <c r="AV632" i="2"/>
  <c r="AZ632" i="2"/>
  <c r="AW632" i="2"/>
  <c r="AY597" i="2"/>
  <c r="AW597" i="2"/>
  <c r="AZ597" i="2"/>
  <c r="AV597" i="2"/>
  <c r="BC126" i="2"/>
  <c r="AO1072" i="2"/>
  <c r="AN1072" i="2"/>
  <c r="AR1072" i="2"/>
  <c r="AQ1072" i="2"/>
  <c r="BE438" i="2"/>
  <c r="BG438" i="2"/>
  <c r="BD438" i="2"/>
  <c r="BH438" i="2"/>
  <c r="BB439" i="2"/>
  <c r="BD439" i="2" s="1"/>
  <c r="AO422" i="2"/>
  <c r="AN422" i="2"/>
  <c r="AR422" i="2"/>
  <c r="AQ422" i="2"/>
  <c r="AR480" i="2"/>
  <c r="AN480" i="2"/>
  <c r="AO480" i="2"/>
  <c r="AQ480" i="2"/>
  <c r="AW626" i="2"/>
  <c r="AZ626" i="2"/>
  <c r="AY626" i="2"/>
  <c r="AV626" i="2"/>
  <c r="AQ766" i="2"/>
  <c r="AO766" i="2"/>
  <c r="AN766" i="2"/>
  <c r="AR766" i="2"/>
  <c r="AV653" i="2"/>
  <c r="AZ653" i="2"/>
  <c r="AY653" i="2"/>
  <c r="AW653" i="2"/>
  <c r="AR263" i="2"/>
  <c r="AL249" i="2"/>
  <c r="AO263" i="2"/>
  <c r="AQ263" i="2"/>
  <c r="AN263" i="2"/>
  <c r="AW851" i="2"/>
  <c r="AZ851" i="2"/>
  <c r="AY851" i="2"/>
  <c r="AV851" i="2"/>
  <c r="BD884" i="2"/>
  <c r="BG884" i="2"/>
  <c r="BH884" i="2"/>
  <c r="BE884" i="2"/>
  <c r="AN906" i="2"/>
  <c r="AO906" i="2"/>
  <c r="AQ906" i="2"/>
  <c r="AR906" i="2"/>
  <c r="BE159" i="2"/>
  <c r="BD159" i="2"/>
  <c r="BH159" i="2"/>
  <c r="BG159" i="2"/>
  <c r="BG1090" i="2"/>
  <c r="BH1090" i="2"/>
  <c r="BD1090" i="2"/>
  <c r="BE1090" i="2"/>
  <c r="AO65" i="2"/>
  <c r="AR65" i="2"/>
  <c r="AN65" i="2"/>
  <c r="AQ65" i="2"/>
  <c r="BH514" i="2"/>
  <c r="BE514" i="2"/>
  <c r="BG514" i="2"/>
  <c r="BD514" i="2"/>
  <c r="AP179" i="2"/>
  <c r="AY205" i="2"/>
  <c r="AW205" i="2"/>
  <c r="AV205" i="2"/>
  <c r="AZ205" i="2"/>
  <c r="AW164" i="2"/>
  <c r="AZ164" i="2"/>
  <c r="AY164" i="2"/>
  <c r="AV164" i="2"/>
  <c r="BE870" i="2"/>
  <c r="BH870" i="2"/>
  <c r="BG870" i="2"/>
  <c r="BD870" i="2"/>
  <c r="AV1031" i="2"/>
  <c r="AZ1031" i="2"/>
  <c r="AW1031" i="2"/>
  <c r="AY1031" i="2"/>
  <c r="AY531" i="2"/>
  <c r="AV531" i="2"/>
  <c r="AW531" i="2"/>
  <c r="AZ531" i="2"/>
  <c r="AY115" i="2"/>
  <c r="AV115" i="2"/>
  <c r="AZ115" i="2"/>
  <c r="AW115" i="2"/>
  <c r="BG942" i="2"/>
  <c r="BD942" i="2"/>
  <c r="BH942" i="2"/>
  <c r="BE942" i="2"/>
  <c r="AZ596" i="2"/>
  <c r="AV596" i="2"/>
  <c r="AY596" i="2"/>
  <c r="AW596" i="2"/>
  <c r="BD26" i="2"/>
  <c r="BH26" i="2"/>
  <c r="BG26" i="2"/>
  <c r="BE26" i="2"/>
  <c r="BE577" i="2"/>
  <c r="BD577" i="2"/>
  <c r="BG577" i="2"/>
  <c r="BH577" i="2"/>
  <c r="AW1039" i="2"/>
  <c r="AV1039" i="2"/>
  <c r="AY1039" i="2"/>
  <c r="AZ1039" i="2"/>
  <c r="AP317" i="2"/>
  <c r="AQ965" i="2"/>
  <c r="AR965" i="2"/>
  <c r="AN965" i="2"/>
  <c r="AO965" i="2"/>
  <c r="AZ623" i="2"/>
  <c r="AW623" i="2"/>
  <c r="AV623" i="2"/>
  <c r="AY623" i="2"/>
  <c r="BG529" i="2"/>
  <c r="BE529" i="2"/>
  <c r="BD529" i="2"/>
  <c r="BH529" i="2"/>
  <c r="AN144" i="2"/>
  <c r="AQ144" i="2"/>
  <c r="AO144" i="2"/>
  <c r="AR144" i="2"/>
  <c r="AU273" i="2"/>
  <c r="BH592" i="2"/>
  <c r="BD592" i="2"/>
  <c r="BE592" i="2"/>
  <c r="BG592" i="2"/>
  <c r="AR383" i="2"/>
  <c r="AL375" i="2"/>
  <c r="AQ375" i="2" s="1"/>
  <c r="AN383" i="2"/>
  <c r="AO383" i="2"/>
  <c r="AQ383" i="2"/>
  <c r="BE42" i="2"/>
  <c r="BH42" i="2"/>
  <c r="BD42" i="2"/>
  <c r="BG42" i="2"/>
  <c r="AY593" i="2"/>
  <c r="AZ593" i="2"/>
  <c r="AV593" i="2"/>
  <c r="AW593" i="2"/>
  <c r="AM439" i="2"/>
  <c r="AM278" i="2" s="1"/>
  <c r="BG914" i="2"/>
  <c r="BE914" i="2"/>
  <c r="BD914" i="2"/>
  <c r="BH914" i="2"/>
  <c r="AM406" i="2"/>
  <c r="BG568" i="2"/>
  <c r="BD568" i="2"/>
  <c r="BE568" i="2"/>
  <c r="BH568" i="2"/>
  <c r="BG188" i="2"/>
  <c r="BE188" i="2"/>
  <c r="BH188" i="2"/>
  <c r="BD188" i="2"/>
  <c r="BE477" i="2"/>
  <c r="BD477" i="2"/>
  <c r="BG477" i="2"/>
  <c r="BH477" i="2"/>
  <c r="AL316" i="2"/>
  <c r="AN316" i="2" s="1"/>
  <c r="AQ325" i="2"/>
  <c r="AR325" i="2"/>
  <c r="AO325" i="2"/>
  <c r="AN325" i="2"/>
  <c r="AQ981" i="2"/>
  <c r="AO981" i="2"/>
  <c r="AR981" i="2"/>
  <c r="AN981" i="2"/>
  <c r="AQ228" i="2"/>
  <c r="AR228" i="2"/>
  <c r="AN228" i="2"/>
  <c r="AO228" i="2"/>
  <c r="AO292" i="2"/>
  <c r="AR292" i="2"/>
  <c r="AN292" i="2"/>
  <c r="AQ292" i="2"/>
  <c r="AW26" i="2"/>
  <c r="AZ26" i="2"/>
  <c r="AV26" i="2"/>
  <c r="AY26" i="2"/>
  <c r="AW338" i="2"/>
  <c r="AV338" i="2"/>
  <c r="AY338" i="2"/>
  <c r="AZ338" i="2"/>
  <c r="AY855" i="2"/>
  <c r="AZ855" i="2"/>
  <c r="AW855" i="2"/>
  <c r="AV855" i="2"/>
  <c r="BH343" i="2"/>
  <c r="BG343" i="2"/>
  <c r="BD343" i="2"/>
  <c r="BE343" i="2"/>
  <c r="AW712" i="2"/>
  <c r="AY712" i="2"/>
  <c r="AV712" i="2"/>
  <c r="AZ712" i="2"/>
  <c r="BH962" i="2"/>
  <c r="BE962" i="2"/>
  <c r="BG962" i="2"/>
  <c r="BD962" i="2"/>
  <c r="BD719" i="2"/>
  <c r="BH719" i="2"/>
  <c r="BG719" i="2"/>
  <c r="BE719" i="2"/>
  <c r="AR1026" i="2"/>
  <c r="AO1026" i="2"/>
  <c r="AN1026" i="2"/>
  <c r="AQ1026" i="2"/>
  <c r="BE553" i="2"/>
  <c r="BH553" i="2"/>
  <c r="BD553" i="2"/>
  <c r="BG553" i="2"/>
  <c r="AW683" i="2"/>
  <c r="AZ683" i="2"/>
  <c r="AV683" i="2"/>
  <c r="AY683" i="2"/>
  <c r="AM126" i="2"/>
  <c r="AY112" i="2"/>
  <c r="AV112" i="2"/>
  <c r="AW112" i="2"/>
  <c r="AZ112" i="2"/>
  <c r="AV734" i="2"/>
  <c r="AW734" i="2"/>
  <c r="AY734" i="2"/>
  <c r="AZ734" i="2"/>
  <c r="AW690" i="2"/>
  <c r="AZ690" i="2"/>
  <c r="AV690" i="2"/>
  <c r="AY690" i="2"/>
  <c r="BE1031" i="2"/>
  <c r="BH1031" i="2"/>
  <c r="BD1031" i="2"/>
  <c r="BG1031" i="2"/>
  <c r="AM251" i="2"/>
  <c r="AQ1046" i="2"/>
  <c r="AR1046" i="2"/>
  <c r="AO1046" i="2"/>
  <c r="AN1046" i="2"/>
  <c r="AR133" i="2"/>
  <c r="AN133" i="2"/>
  <c r="AO133" i="2"/>
  <c r="AL84" i="2"/>
  <c r="AQ133" i="2"/>
  <c r="AZ666" i="2"/>
  <c r="AV666" i="2"/>
  <c r="AW666" i="2"/>
  <c r="AY666" i="2"/>
  <c r="BF794" i="2"/>
  <c r="BF793" i="2" s="1"/>
  <c r="BH793" i="2" s="1"/>
  <c r="AO743" i="2"/>
  <c r="AQ743" i="2"/>
  <c r="AN743" i="2"/>
  <c r="AR743" i="2"/>
  <c r="AZ203" i="2"/>
  <c r="AW203" i="2"/>
  <c r="AY203" i="2"/>
  <c r="AV203" i="2"/>
  <c r="AQ979" i="2"/>
  <c r="AN979" i="2"/>
  <c r="AR979" i="2"/>
  <c r="AO979" i="2"/>
  <c r="AU543" i="2"/>
  <c r="AR1074" i="2"/>
  <c r="AO1074" i="2"/>
  <c r="AQ1074" i="2"/>
  <c r="AN1074" i="2"/>
  <c r="AQ1063" i="2"/>
  <c r="AO1063" i="2"/>
  <c r="AR1063" i="2"/>
  <c r="AN1063" i="2"/>
  <c r="BD155" i="2"/>
  <c r="BH155" i="2"/>
  <c r="BE155" i="2"/>
  <c r="BG155" i="2"/>
  <c r="AV48" i="2"/>
  <c r="AY48" i="2"/>
  <c r="AW48" i="2"/>
  <c r="AZ48" i="2"/>
  <c r="AU20" i="2"/>
  <c r="AV20" i="2" s="1"/>
  <c r="AV687" i="2"/>
  <c r="AZ687" i="2"/>
  <c r="AY687" i="2"/>
  <c r="AW687" i="2"/>
  <c r="AY491" i="2"/>
  <c r="AV491" i="2"/>
  <c r="AZ491" i="2"/>
  <c r="AW491" i="2"/>
  <c r="AZ59" i="2"/>
  <c r="AV59" i="2"/>
  <c r="AW59" i="2"/>
  <c r="AY59" i="2"/>
  <c r="BC1466" i="2"/>
  <c r="AL367" i="2"/>
  <c r="AR367" i="2" s="1"/>
  <c r="AN368" i="2"/>
  <c r="AR368" i="2"/>
  <c r="AQ368" i="2"/>
  <c r="AO368" i="2"/>
  <c r="AQ680" i="2"/>
  <c r="AO680" i="2"/>
  <c r="AN680" i="2"/>
  <c r="AR680" i="2"/>
  <c r="AQ859" i="2"/>
  <c r="AN859" i="2"/>
  <c r="AR859" i="2"/>
  <c r="AO859" i="2"/>
  <c r="AR52" i="2"/>
  <c r="AN52" i="2"/>
  <c r="AO52" i="2"/>
  <c r="AQ52" i="2"/>
  <c r="BD687" i="2"/>
  <c r="BE687" i="2"/>
  <c r="BG687" i="2"/>
  <c r="BH687" i="2"/>
  <c r="AW143" i="2"/>
  <c r="AV143" i="2"/>
  <c r="AY143" i="2"/>
  <c r="AZ143" i="2"/>
  <c r="AY107" i="2"/>
  <c r="AW107" i="2"/>
  <c r="AV107" i="2"/>
  <c r="AZ107" i="2"/>
  <c r="AQ361" i="2"/>
  <c r="AN361" i="2"/>
  <c r="AO361" i="2"/>
  <c r="AR361" i="2"/>
  <c r="BF320" i="2"/>
  <c r="BH586" i="2"/>
  <c r="BE586" i="2"/>
  <c r="BG586" i="2"/>
  <c r="BD586" i="2"/>
  <c r="AN960" i="2"/>
  <c r="AQ960" i="2"/>
  <c r="AO960" i="2"/>
  <c r="AR960" i="2"/>
  <c r="AR299" i="2"/>
  <c r="AN299" i="2"/>
  <c r="AO299" i="2"/>
  <c r="AQ299" i="2"/>
  <c r="AU179" i="2"/>
  <c r="AV179" i="2" s="1"/>
  <c r="BD281" i="2"/>
  <c r="BE281" i="2"/>
  <c r="BG281" i="2"/>
  <c r="BH281" i="2"/>
  <c r="BG14" i="2"/>
  <c r="BB1455" i="2"/>
  <c r="BE1455" i="2" s="1"/>
  <c r="BH14" i="2"/>
  <c r="BD14" i="2"/>
  <c r="BE14" i="2"/>
  <c r="BG899" i="2"/>
  <c r="BH899" i="2"/>
  <c r="BE899" i="2"/>
  <c r="BD899" i="2"/>
  <c r="BH959" i="2"/>
  <c r="BG959" i="2"/>
  <c r="BE959" i="2"/>
  <c r="BD959" i="2"/>
  <c r="AQ442" i="2"/>
  <c r="AN442" i="2"/>
  <c r="AL443" i="2"/>
  <c r="AR442" i="2"/>
  <c r="AO442" i="2"/>
  <c r="AY485" i="2"/>
  <c r="AV485" i="2"/>
  <c r="AZ485" i="2"/>
  <c r="AW485" i="2"/>
  <c r="BH650" i="2"/>
  <c r="BG650" i="2"/>
  <c r="BD650" i="2"/>
  <c r="BE650" i="2"/>
  <c r="BG1085" i="2"/>
  <c r="BH1085" i="2"/>
  <c r="BD1085" i="2"/>
  <c r="BE1085" i="2"/>
  <c r="AN301" i="2"/>
  <c r="AR301" i="2"/>
  <c r="AO301" i="2"/>
  <c r="AQ301" i="2"/>
  <c r="AZ627" i="2"/>
  <c r="AW627" i="2"/>
  <c r="AV627" i="2"/>
  <c r="AY627" i="2"/>
  <c r="AM240" i="2"/>
  <c r="AN240" i="2" s="1"/>
  <c r="BE475" i="2"/>
  <c r="BG475" i="2"/>
  <c r="BD475" i="2"/>
  <c r="BH475" i="2"/>
  <c r="BH357" i="2"/>
  <c r="BD357" i="2"/>
  <c r="BG357" i="2"/>
  <c r="BE357" i="2"/>
  <c r="AV645" i="2"/>
  <c r="AY645" i="2"/>
  <c r="AW645" i="2"/>
  <c r="AZ645" i="2"/>
  <c r="AZ270" i="2"/>
  <c r="AY270" i="2"/>
  <c r="AW270" i="2"/>
  <c r="AV270" i="2"/>
  <c r="AY933" i="2"/>
  <c r="AW933" i="2"/>
  <c r="AZ933" i="2"/>
  <c r="AV933" i="2"/>
  <c r="AQ937" i="2"/>
  <c r="AO937" i="2"/>
  <c r="AR937" i="2"/>
  <c r="AN937" i="2"/>
  <c r="BG728" i="2"/>
  <c r="BE728" i="2"/>
  <c r="BH728" i="2"/>
  <c r="BD728" i="2"/>
  <c r="BG845" i="2"/>
  <c r="BD845" i="2"/>
  <c r="BH845" i="2"/>
  <c r="BE845" i="2"/>
  <c r="AM85" i="2"/>
  <c r="AV416" i="2"/>
  <c r="AY416" i="2"/>
  <c r="AW416" i="2"/>
  <c r="AZ416" i="2"/>
  <c r="AN887" i="2"/>
  <c r="AR887" i="2"/>
  <c r="AQ887" i="2"/>
  <c r="AO887" i="2"/>
  <c r="AW852" i="2"/>
  <c r="AV852" i="2"/>
  <c r="AY852" i="2"/>
  <c r="AZ852" i="2"/>
  <c r="AW287" i="2"/>
  <c r="AY287" i="2"/>
  <c r="AV287" i="2"/>
  <c r="AZ287" i="2"/>
  <c r="BD658" i="2"/>
  <c r="BE658" i="2"/>
  <c r="BH658" i="2"/>
  <c r="BG658" i="2"/>
  <c r="AN131" i="2"/>
  <c r="AR131" i="2"/>
  <c r="AQ131" i="2"/>
  <c r="AO131" i="2"/>
  <c r="BD716" i="2"/>
  <c r="BE716" i="2"/>
  <c r="BH716" i="2"/>
  <c r="BG716" i="2"/>
  <c r="AY254" i="2"/>
  <c r="AZ254" i="2"/>
  <c r="AT240" i="2"/>
  <c r="AY240" i="2" s="1"/>
  <c r="AW254" i="2"/>
  <c r="AV254" i="2"/>
  <c r="BD57" i="2"/>
  <c r="BE57" i="2"/>
  <c r="BH57" i="2"/>
  <c r="BG57" i="2"/>
  <c r="AN197" i="2"/>
  <c r="AQ197" i="2"/>
  <c r="AR197" i="2"/>
  <c r="AO197" i="2"/>
  <c r="AV779" i="2"/>
  <c r="AW779" i="2"/>
  <c r="AZ779" i="2"/>
  <c r="AY779" i="2"/>
  <c r="AY132" i="2"/>
  <c r="AW132" i="2"/>
  <c r="AV132" i="2"/>
  <c r="AT83" i="2"/>
  <c r="AZ132" i="2"/>
  <c r="BD813" i="2"/>
  <c r="BH813" i="2"/>
  <c r="BG813" i="2"/>
  <c r="BE813" i="2"/>
  <c r="AN34" i="2"/>
  <c r="AO34" i="2"/>
  <c r="AQ34" i="2"/>
  <c r="AR34" i="2"/>
  <c r="AY980" i="2"/>
  <c r="AZ980" i="2"/>
  <c r="AW980" i="2"/>
  <c r="AV980" i="2"/>
  <c r="AR329" i="2"/>
  <c r="AO329" i="2"/>
  <c r="AN329" i="2"/>
  <c r="AQ329" i="2"/>
  <c r="AL320" i="2"/>
  <c r="BH1054" i="2"/>
  <c r="BG1054" i="2"/>
  <c r="BE1054" i="2"/>
  <c r="BD1054" i="2"/>
  <c r="AN266" i="2"/>
  <c r="AL252" i="2"/>
  <c r="AQ266" i="2"/>
  <c r="AR266" i="2"/>
  <c r="AO266" i="2"/>
  <c r="BH898" i="2"/>
  <c r="BD898" i="2"/>
  <c r="BG898" i="2"/>
  <c r="BE898" i="2"/>
  <c r="AQ826" i="2"/>
  <c r="AN826" i="2"/>
  <c r="AR826" i="2"/>
  <c r="AO826" i="2"/>
  <c r="AY524" i="2"/>
  <c r="AV524" i="2"/>
  <c r="AZ524" i="2"/>
  <c r="AW524" i="2"/>
  <c r="AM372" i="2"/>
  <c r="BH591" i="2"/>
  <c r="BE591" i="2"/>
  <c r="BD591" i="2"/>
  <c r="BG591" i="2"/>
  <c r="AQ33" i="2"/>
  <c r="AR33" i="2"/>
  <c r="AO33" i="2"/>
  <c r="AN33" i="2"/>
  <c r="BH764" i="2"/>
  <c r="BD764" i="2"/>
  <c r="BE764" i="2"/>
  <c r="BG764" i="2"/>
  <c r="AV699" i="2"/>
  <c r="AW699" i="2"/>
  <c r="AY699" i="2"/>
  <c r="AZ699" i="2"/>
  <c r="AV854" i="2"/>
  <c r="AZ854" i="2"/>
  <c r="AY854" i="2"/>
  <c r="AW854" i="2"/>
  <c r="AP241" i="2"/>
  <c r="AZ40" i="2"/>
  <c r="AW40" i="2"/>
  <c r="AY40" i="2"/>
  <c r="AV40" i="2"/>
  <c r="AW658" i="2"/>
  <c r="AY658" i="2"/>
  <c r="AV658" i="2"/>
  <c r="AZ658" i="2"/>
  <c r="AW489" i="2"/>
  <c r="AV489" i="2"/>
  <c r="AZ489" i="2"/>
  <c r="AY489" i="2"/>
  <c r="BH138" i="2"/>
  <c r="BB88" i="2"/>
  <c r="BE88" i="2" s="1"/>
  <c r="BE138" i="2"/>
  <c r="BG138" i="2"/>
  <c r="BD138" i="2"/>
  <c r="AN332" i="2"/>
  <c r="AR332" i="2"/>
  <c r="AO332" i="2"/>
  <c r="AQ332" i="2"/>
  <c r="BC379" i="2"/>
  <c r="BD379" i="2" s="1"/>
  <c r="AM88" i="2"/>
  <c r="AR308" i="2"/>
  <c r="AQ308" i="2"/>
  <c r="AN308" i="2"/>
  <c r="AO308" i="2"/>
  <c r="AN1043" i="2"/>
  <c r="AO1043" i="2"/>
  <c r="AQ1043" i="2"/>
  <c r="AR1043" i="2"/>
  <c r="AO873" i="2"/>
  <c r="AR873" i="2"/>
  <c r="AN873" i="2"/>
  <c r="AQ873" i="2"/>
  <c r="AY834" i="2"/>
  <c r="AZ834" i="2"/>
  <c r="AW834" i="2"/>
  <c r="AT1465" i="2"/>
  <c r="AT1458" i="2" s="1"/>
  <c r="AT1456" i="2" s="1"/>
  <c r="AT1461" i="2" s="1"/>
  <c r="AV834" i="2"/>
  <c r="BD1100" i="2"/>
  <c r="BE1100" i="2"/>
  <c r="BH1100" i="2"/>
  <c r="BG1100" i="2"/>
  <c r="AY1073" i="2"/>
  <c r="AZ1073" i="2"/>
  <c r="AV1073" i="2"/>
  <c r="AW1073" i="2"/>
  <c r="AR1036" i="2"/>
  <c r="AO1036" i="2"/>
  <c r="AQ1036" i="2"/>
  <c r="AN1036" i="2"/>
  <c r="AQ331" i="2"/>
  <c r="AR331" i="2"/>
  <c r="AN331" i="2"/>
  <c r="AO331" i="2"/>
  <c r="BE791" i="2"/>
  <c r="BD791" i="2"/>
  <c r="BG791" i="2"/>
  <c r="BH791" i="2"/>
  <c r="AY629" i="2"/>
  <c r="AZ629" i="2"/>
  <c r="AV629" i="2"/>
  <c r="AW629" i="2"/>
  <c r="BF83" i="2"/>
  <c r="BG83" i="2" s="1"/>
  <c r="BG490" i="2"/>
  <c r="BE490" i="2"/>
  <c r="BH490" i="2"/>
  <c r="BD490" i="2"/>
  <c r="AN119" i="2"/>
  <c r="AQ119" i="2"/>
  <c r="AR119" i="2"/>
  <c r="AO119" i="2"/>
  <c r="AW411" i="2"/>
  <c r="AV411" i="2"/>
  <c r="AT412" i="2"/>
  <c r="AV412" i="2" s="1"/>
  <c r="BG208" i="2"/>
  <c r="BH208" i="2"/>
  <c r="BE208" i="2"/>
  <c r="BD208" i="2"/>
  <c r="BG73" i="2"/>
  <c r="BH73" i="2"/>
  <c r="BE73" i="2"/>
  <c r="BD73" i="2"/>
  <c r="AZ649" i="2"/>
  <c r="AW649" i="2"/>
  <c r="AV649" i="2"/>
  <c r="AY649" i="2"/>
  <c r="BH204" i="2"/>
  <c r="BE204" i="2"/>
  <c r="BG204" i="2"/>
  <c r="BD204" i="2"/>
  <c r="AR772" i="2"/>
  <c r="AQ772" i="2"/>
  <c r="AO772" i="2"/>
  <c r="AN772" i="2"/>
  <c r="BH644" i="2"/>
  <c r="BE644" i="2"/>
  <c r="BD644" i="2"/>
  <c r="BG644" i="2"/>
  <c r="AM177" i="2"/>
  <c r="AN177" i="2" s="1"/>
  <c r="AR1079" i="2"/>
  <c r="AQ1079" i="2"/>
  <c r="AN1079" i="2"/>
  <c r="AO1079" i="2"/>
  <c r="BE995" i="2"/>
  <c r="BG995" i="2"/>
  <c r="BH995" i="2"/>
  <c r="BD995" i="2"/>
  <c r="AM340" i="2"/>
  <c r="AN340" i="2" s="1"/>
  <c r="AV590" i="2"/>
  <c r="AZ590" i="2"/>
  <c r="AY590" i="2"/>
  <c r="AW590" i="2"/>
  <c r="AW1013" i="2"/>
  <c r="AY1013" i="2"/>
  <c r="AZ1013" i="2"/>
  <c r="AV1013" i="2"/>
  <c r="AR634" i="2"/>
  <c r="AO634" i="2"/>
  <c r="AQ634" i="2"/>
  <c r="AN634" i="2"/>
  <c r="BC1465" i="2"/>
  <c r="BF84" i="2"/>
  <c r="BH453" i="2"/>
  <c r="BD453" i="2"/>
  <c r="BE453" i="2"/>
  <c r="BG453" i="2"/>
  <c r="BH91" i="2"/>
  <c r="BD91" i="2"/>
  <c r="BG91" i="2"/>
  <c r="BE91" i="2"/>
  <c r="AW1045" i="2"/>
  <c r="AZ1045" i="2"/>
  <c r="AV1045" i="2"/>
  <c r="AY1045" i="2"/>
  <c r="BH390" i="2"/>
  <c r="BB380" i="2"/>
  <c r="BG390" i="2"/>
  <c r="BD390" i="2"/>
  <c r="BE390" i="2"/>
  <c r="AR789" i="2"/>
  <c r="AN789" i="2"/>
  <c r="AQ789" i="2"/>
  <c r="AO789" i="2"/>
  <c r="BG168" i="2"/>
  <c r="BD168" i="2"/>
  <c r="BH168" i="2"/>
  <c r="BE168" i="2"/>
  <c r="AY564" i="2"/>
  <c r="AW564" i="2"/>
  <c r="AZ564" i="2"/>
  <c r="AV564" i="2"/>
  <c r="AR788" i="2"/>
  <c r="AO788" i="2"/>
  <c r="AQ788" i="2"/>
  <c r="AN788" i="2"/>
  <c r="BD759" i="2"/>
  <c r="BG759" i="2"/>
  <c r="BH759" i="2"/>
  <c r="BE759" i="2"/>
  <c r="BH655" i="2"/>
  <c r="BD655" i="2"/>
  <c r="BE655" i="2"/>
  <c r="BG655" i="2"/>
  <c r="AT313" i="2"/>
  <c r="AY313" i="2" s="1"/>
  <c r="AV322" i="2"/>
  <c r="AY322" i="2"/>
  <c r="AZ322" i="2"/>
  <c r="AW322" i="2"/>
  <c r="AY93" i="2"/>
  <c r="AW93" i="2"/>
  <c r="AZ93" i="2"/>
  <c r="AV93" i="2"/>
  <c r="AW146" i="2"/>
  <c r="AV146" i="2"/>
  <c r="AZ146" i="2"/>
  <c r="AY146" i="2"/>
  <c r="AR725" i="2"/>
  <c r="AQ725" i="2"/>
  <c r="AN725" i="2"/>
  <c r="AO725" i="2"/>
  <c r="AX88" i="2"/>
  <c r="AY88" i="2" s="1"/>
  <c r="AQ1092" i="2"/>
  <c r="AO1092" i="2"/>
  <c r="AR1092" i="2"/>
  <c r="AN1092" i="2"/>
  <c r="BC202" i="2"/>
  <c r="BH681" i="2"/>
  <c r="BE681" i="2"/>
  <c r="BG681" i="2"/>
  <c r="BD681" i="2"/>
  <c r="AU435" i="2"/>
  <c r="AU196" i="2" s="1"/>
  <c r="BH279" i="2"/>
  <c r="BG279" i="2"/>
  <c r="BD279" i="2"/>
  <c r="BE279" i="2"/>
  <c r="AV761" i="2"/>
  <c r="AW761" i="2"/>
  <c r="AZ761" i="2"/>
  <c r="AY761" i="2"/>
  <c r="AU29" i="2"/>
  <c r="AY770" i="2"/>
  <c r="AW770" i="2"/>
  <c r="AZ770" i="2"/>
  <c r="AV770" i="2"/>
  <c r="AY1051" i="2"/>
  <c r="AV1051" i="2"/>
  <c r="AW1051" i="2"/>
  <c r="AZ1051" i="2"/>
  <c r="AX251" i="2"/>
  <c r="BD528" i="2"/>
  <c r="BG528" i="2"/>
  <c r="BE528" i="2"/>
  <c r="BH528" i="2"/>
  <c r="AW581" i="2"/>
  <c r="AY581" i="2"/>
  <c r="AV581" i="2"/>
  <c r="AZ581" i="2"/>
  <c r="AO921" i="2"/>
  <c r="AN921" i="2"/>
  <c r="AQ921" i="2"/>
  <c r="AR921" i="2"/>
  <c r="AM336" i="2"/>
  <c r="AR716" i="2"/>
  <c r="AO716" i="2"/>
  <c r="AQ716" i="2"/>
  <c r="AN716" i="2"/>
  <c r="AQ487" i="2"/>
  <c r="AN487" i="2"/>
  <c r="AR487" i="2"/>
  <c r="AO487" i="2"/>
  <c r="AY586" i="2"/>
  <c r="AW586" i="2"/>
  <c r="AV586" i="2"/>
  <c r="AZ586" i="2"/>
  <c r="AR856" i="2"/>
  <c r="AQ856" i="2"/>
  <c r="AN856" i="2"/>
  <c r="AO856" i="2"/>
  <c r="AW218" i="2"/>
  <c r="AZ218" i="2"/>
  <c r="AV218" i="2"/>
  <c r="AY218" i="2"/>
  <c r="BH290" i="2"/>
  <c r="BE290" i="2"/>
  <c r="BD290" i="2"/>
  <c r="BG290" i="2"/>
  <c r="AR349" i="2"/>
  <c r="AO349" i="2"/>
  <c r="AN349" i="2"/>
  <c r="AQ349" i="2"/>
  <c r="BG920" i="2"/>
  <c r="BH920" i="2"/>
  <c r="BD920" i="2"/>
  <c r="BE920" i="2"/>
  <c r="BD809" i="2"/>
  <c r="BH809" i="2"/>
  <c r="BG809" i="2"/>
  <c r="BE809" i="2"/>
  <c r="AY497" i="2"/>
  <c r="AZ497" i="2"/>
  <c r="AW497" i="2"/>
  <c r="AV497" i="2"/>
  <c r="AP180" i="2"/>
  <c r="AQ180" i="2" s="1"/>
  <c r="BF240" i="2"/>
  <c r="AU536" i="2"/>
  <c r="BF241" i="2"/>
  <c r="BG241" i="2" s="1"/>
  <c r="AM1465" i="2"/>
  <c r="AM1458" i="2" s="1"/>
  <c r="BH511" i="2"/>
  <c r="BE511" i="2"/>
  <c r="BG511" i="2"/>
  <c r="BD511" i="2"/>
  <c r="AY1034" i="2"/>
  <c r="AV1034" i="2"/>
  <c r="AZ1034" i="2"/>
  <c r="AW1034" i="2"/>
  <c r="AN881" i="2"/>
  <c r="AR881" i="2"/>
  <c r="AO881" i="2"/>
  <c r="AQ881" i="2"/>
  <c r="AV160" i="2"/>
  <c r="AY160" i="2"/>
  <c r="AZ160" i="2"/>
  <c r="AW160" i="2"/>
  <c r="AN105" i="2"/>
  <c r="AR105" i="2"/>
  <c r="AO105" i="2"/>
  <c r="AQ105" i="2"/>
  <c r="BE1056" i="2"/>
  <c r="BH1056" i="2"/>
  <c r="BD1056" i="2"/>
  <c r="BG1056" i="2"/>
  <c r="AU372" i="2"/>
  <c r="AV372" i="2" s="1"/>
  <c r="BG384" i="2"/>
  <c r="BE384" i="2"/>
  <c r="BH384" i="2"/>
  <c r="BD384" i="2"/>
  <c r="AV885" i="2"/>
  <c r="AY885" i="2"/>
  <c r="AW885" i="2"/>
  <c r="AZ885" i="2"/>
  <c r="BG711" i="2"/>
  <c r="BD711" i="2"/>
  <c r="BE711" i="2"/>
  <c r="BH711" i="2"/>
  <c r="BD470" i="2"/>
  <c r="BH470" i="2"/>
  <c r="BG470" i="2"/>
  <c r="BE470" i="2"/>
  <c r="BE294" i="2"/>
  <c r="BH294" i="2"/>
  <c r="BG294" i="2"/>
  <c r="BD294" i="2"/>
  <c r="AM443" i="2"/>
  <c r="AM341" i="2" s="1"/>
  <c r="AR326" i="2"/>
  <c r="AO326" i="2"/>
  <c r="AQ326" i="2"/>
  <c r="AL317" i="2"/>
  <c r="AN326" i="2"/>
  <c r="AV579" i="2"/>
  <c r="AW579" i="2"/>
  <c r="AY579" i="2"/>
  <c r="AZ579" i="2"/>
  <c r="BG306" i="2"/>
  <c r="BE306" i="2"/>
  <c r="BH306" i="2"/>
  <c r="BD306" i="2"/>
  <c r="AR889" i="2"/>
  <c r="AN889" i="2"/>
  <c r="AO889" i="2"/>
  <c r="AQ889" i="2"/>
  <c r="AT244" i="2"/>
  <c r="AY258" i="2"/>
  <c r="AV258" i="2"/>
  <c r="AZ258" i="2"/>
  <c r="AW258" i="2"/>
  <c r="AV391" i="2"/>
  <c r="AW391" i="2"/>
  <c r="AZ391" i="2"/>
  <c r="AY391" i="2"/>
  <c r="AO1007" i="2"/>
  <c r="AR1007" i="2"/>
  <c r="AQ1007" i="2"/>
  <c r="AN1007" i="2"/>
  <c r="AV566" i="2"/>
  <c r="AZ566" i="2"/>
  <c r="AY566" i="2"/>
  <c r="AW566" i="2"/>
  <c r="BH619" i="2"/>
  <c r="BE619" i="2"/>
  <c r="BD619" i="2"/>
  <c r="BG619" i="2"/>
  <c r="BH1045" i="2"/>
  <c r="BE1045" i="2"/>
  <c r="BD1045" i="2"/>
  <c r="BG1045" i="2"/>
  <c r="AV334" i="2"/>
  <c r="AY334" i="2"/>
  <c r="AW334" i="2"/>
  <c r="AZ334" i="2"/>
  <c r="AO713" i="2"/>
  <c r="AQ713" i="2"/>
  <c r="AR713" i="2"/>
  <c r="AN713" i="2"/>
  <c r="AQ674" i="2"/>
  <c r="AO674" i="2"/>
  <c r="AR674" i="2"/>
  <c r="AN674" i="2"/>
  <c r="BF431" i="2"/>
  <c r="BF90" i="2" s="1"/>
  <c r="AM180" i="2"/>
  <c r="AN180" i="2" s="1"/>
  <c r="AX83" i="2"/>
  <c r="AV1009" i="2"/>
  <c r="AZ1009" i="2"/>
  <c r="AY1009" i="2"/>
  <c r="AW1009" i="2"/>
  <c r="AO562" i="2"/>
  <c r="AQ562" i="2"/>
  <c r="AR562" i="2"/>
  <c r="AN562" i="2"/>
  <c r="AN668" i="2"/>
  <c r="AO668" i="2"/>
  <c r="AQ668" i="2"/>
  <c r="AR668" i="2"/>
  <c r="AZ523" i="2"/>
  <c r="AV523" i="2"/>
  <c r="AY523" i="2"/>
  <c r="AW523" i="2"/>
  <c r="AO684" i="2"/>
  <c r="AR684" i="2"/>
  <c r="AN684" i="2"/>
  <c r="AQ684" i="2"/>
  <c r="AN779" i="2"/>
  <c r="AR779" i="2"/>
  <c r="AO779" i="2"/>
  <c r="AQ779" i="2"/>
  <c r="BE303" i="2"/>
  <c r="BD303" i="2"/>
  <c r="BH303" i="2"/>
  <c r="BG303" i="2"/>
  <c r="AZ671" i="2"/>
  <c r="AV671" i="2"/>
  <c r="AW671" i="2"/>
  <c r="AY671" i="2"/>
  <c r="AV518" i="2"/>
  <c r="AY518" i="2"/>
  <c r="AW518" i="2"/>
  <c r="AZ518" i="2"/>
  <c r="AR600" i="2"/>
  <c r="AN600" i="2"/>
  <c r="AQ600" i="2"/>
  <c r="AO600" i="2"/>
  <c r="BE885" i="2"/>
  <c r="BH885" i="2"/>
  <c r="BG885" i="2"/>
  <c r="BD885" i="2"/>
  <c r="AQ705" i="2"/>
  <c r="AO705" i="2"/>
  <c r="AR705" i="2"/>
  <c r="AN705" i="2"/>
  <c r="BG702" i="2"/>
  <c r="BH702" i="2"/>
  <c r="BE702" i="2"/>
  <c r="BD702" i="2"/>
  <c r="AW722" i="2"/>
  <c r="AY722" i="2"/>
  <c r="AZ722" i="2"/>
  <c r="AV722" i="2"/>
  <c r="AZ863" i="2"/>
  <c r="AY863" i="2"/>
  <c r="AW863" i="2"/>
  <c r="AV863" i="2"/>
  <c r="BC313" i="2"/>
  <c r="BD313" i="2" s="1"/>
  <c r="AZ1011" i="2"/>
  <c r="AW1011" i="2"/>
  <c r="AV1011" i="2"/>
  <c r="AY1011" i="2"/>
  <c r="AQ683" i="2"/>
  <c r="AO683" i="2"/>
  <c r="AN683" i="2"/>
  <c r="AR683" i="2"/>
  <c r="AZ1040" i="2"/>
  <c r="AV1040" i="2"/>
  <c r="AY1040" i="2"/>
  <c r="AW1040" i="2"/>
  <c r="BC127" i="2"/>
  <c r="BD127" i="2" s="1"/>
  <c r="AN1064" i="2"/>
  <c r="AR1064" i="2"/>
  <c r="AO1064" i="2"/>
  <c r="AQ1064" i="2"/>
  <c r="AO592" i="2"/>
  <c r="AR592" i="2"/>
  <c r="AQ592" i="2"/>
  <c r="AN592" i="2"/>
  <c r="AQ47" i="2"/>
  <c r="AR47" i="2"/>
  <c r="AN47" i="2"/>
  <c r="AO47" i="2"/>
  <c r="BG829" i="2"/>
  <c r="BD829" i="2"/>
  <c r="BE829" i="2"/>
  <c r="BH829" i="2"/>
  <c r="BD66" i="2"/>
  <c r="BG66" i="2"/>
  <c r="BE66" i="2"/>
  <c r="BH66" i="2"/>
  <c r="BF363" i="2"/>
  <c r="BG579" i="2"/>
  <c r="BH579" i="2"/>
  <c r="BE579" i="2"/>
  <c r="BD579" i="2"/>
  <c r="BG518" i="2"/>
  <c r="BE518" i="2"/>
  <c r="BH518" i="2"/>
  <c r="BD518" i="2"/>
  <c r="AV1042" i="2"/>
  <c r="AY1042" i="2"/>
  <c r="AW1042" i="2"/>
  <c r="AZ1042" i="2"/>
  <c r="AO780" i="2"/>
  <c r="AR780" i="2"/>
  <c r="AQ780" i="2"/>
  <c r="AN780" i="2"/>
  <c r="AY168" i="2"/>
  <c r="AV168" i="2"/>
  <c r="AZ168" i="2"/>
  <c r="AW168" i="2"/>
  <c r="AO759" i="2"/>
  <c r="AN759" i="2"/>
  <c r="AQ759" i="2"/>
  <c r="AR759" i="2"/>
  <c r="AO169" i="2"/>
  <c r="AQ169" i="2"/>
  <c r="AN169" i="2"/>
  <c r="AR169" i="2"/>
  <c r="BC80" i="2"/>
  <c r="BG94" i="2"/>
  <c r="BH94" i="2"/>
  <c r="BD94" i="2"/>
  <c r="BE94" i="2"/>
  <c r="AZ441" i="2"/>
  <c r="AY441" i="2"/>
  <c r="AW441" i="2"/>
  <c r="AV441" i="2"/>
  <c r="AQ812" i="2"/>
  <c r="AR812" i="2"/>
  <c r="AN812" i="2"/>
  <c r="AO812" i="2"/>
  <c r="BH235" i="2"/>
  <c r="BG235" i="2"/>
  <c r="BE235" i="2"/>
  <c r="BD235" i="2"/>
  <c r="AQ1062" i="2"/>
  <c r="AR1062" i="2"/>
  <c r="AO1062" i="2"/>
  <c r="AN1062" i="2"/>
  <c r="BD723" i="2"/>
  <c r="BG723" i="2"/>
  <c r="BE723" i="2"/>
  <c r="BH723" i="2"/>
  <c r="BG441" i="2"/>
  <c r="BD441" i="2"/>
  <c r="BH441" i="2"/>
  <c r="BE441" i="2"/>
  <c r="AO369" i="2"/>
  <c r="AR369" i="2"/>
  <c r="AN369" i="2"/>
  <c r="AQ369" i="2"/>
  <c r="AM273" i="2"/>
  <c r="AQ740" i="2"/>
  <c r="AN740" i="2"/>
  <c r="AO740" i="2"/>
  <c r="AR740" i="2"/>
  <c r="AR701" i="2"/>
  <c r="AO701" i="2"/>
  <c r="AN701" i="2"/>
  <c r="AQ701" i="2"/>
  <c r="BF381" i="2"/>
  <c r="BF371" i="2" s="1"/>
  <c r="BH371" i="2" s="1"/>
  <c r="AQ871" i="2"/>
  <c r="AR871" i="2"/>
  <c r="AO871" i="2"/>
  <c r="AN871" i="2"/>
  <c r="AV1065" i="2"/>
  <c r="AW1065" i="2"/>
  <c r="AY1065" i="2"/>
  <c r="AZ1065" i="2"/>
  <c r="BE624" i="2"/>
  <c r="BG624" i="2"/>
  <c r="BD624" i="2"/>
  <c r="BH624" i="2"/>
  <c r="BG524" i="2"/>
  <c r="BE524" i="2"/>
  <c r="BD524" i="2"/>
  <c r="BH524" i="2"/>
  <c r="BD260" i="2"/>
  <c r="BB246" i="2"/>
  <c r="BG260" i="2"/>
  <c r="BE260" i="2"/>
  <c r="BH260" i="2"/>
  <c r="BE599" i="2"/>
  <c r="BD599" i="2"/>
  <c r="BG599" i="2"/>
  <c r="BH599" i="2"/>
  <c r="BG883" i="2"/>
  <c r="BE883" i="2"/>
  <c r="BD883" i="2"/>
  <c r="BH883" i="2"/>
  <c r="AW158" i="2"/>
  <c r="AV158" i="2"/>
  <c r="AZ158" i="2"/>
  <c r="AY158" i="2"/>
  <c r="AY988" i="2"/>
  <c r="AV988" i="2"/>
  <c r="AW988" i="2"/>
  <c r="AZ988" i="2"/>
  <c r="AR476" i="2"/>
  <c r="AO476" i="2"/>
  <c r="AN476" i="2"/>
  <c r="AQ476" i="2"/>
  <c r="AW307" i="2"/>
  <c r="AV307" i="2"/>
  <c r="AY307" i="2"/>
  <c r="AZ307" i="2"/>
  <c r="BH458" i="2"/>
  <c r="BE458" i="2"/>
  <c r="BD458" i="2"/>
  <c r="BG458" i="2"/>
  <c r="AN337" i="2"/>
  <c r="AR337" i="2"/>
  <c r="AQ337" i="2"/>
  <c r="AO337" i="2"/>
  <c r="AP79" i="2"/>
  <c r="AQ79" i="2" s="1"/>
  <c r="AN737" i="2"/>
  <c r="AQ737" i="2"/>
  <c r="AR737" i="2"/>
  <c r="AO737" i="2"/>
  <c r="AQ175" i="2"/>
  <c r="AO175" i="2"/>
  <c r="AR175" i="2"/>
  <c r="AN175" i="2"/>
  <c r="BE1093" i="2"/>
  <c r="BH1093" i="2"/>
  <c r="BD1093" i="2"/>
  <c r="BG1093" i="2"/>
  <c r="AR885" i="2"/>
  <c r="AQ885" i="2"/>
  <c r="AO885" i="2"/>
  <c r="AN885" i="2"/>
  <c r="BC431" i="2"/>
  <c r="BC90" i="2" s="1"/>
  <c r="AL241" i="2"/>
  <c r="AN241" i="2" s="1"/>
  <c r="AQ255" i="2"/>
  <c r="AR255" i="2"/>
  <c r="AN255" i="2"/>
  <c r="AO255" i="2"/>
  <c r="AZ659" i="2"/>
  <c r="AY659" i="2"/>
  <c r="AV659" i="2"/>
  <c r="AW659" i="2"/>
  <c r="BG866" i="2"/>
  <c r="BE866" i="2"/>
  <c r="BH866" i="2"/>
  <c r="BD866" i="2"/>
  <c r="AZ71" i="2"/>
  <c r="AV71" i="2"/>
  <c r="AY71" i="2"/>
  <c r="AW71" i="2"/>
  <c r="AN218" i="2"/>
  <c r="AR218" i="2"/>
  <c r="AO218" i="2"/>
  <c r="AQ218" i="2"/>
  <c r="AQ538" i="2"/>
  <c r="AO538" i="2"/>
  <c r="AR538" i="2"/>
  <c r="AN538" i="2"/>
  <c r="AV1100" i="2"/>
  <c r="AY1100" i="2"/>
  <c r="AZ1100" i="2"/>
  <c r="AW1100" i="2"/>
  <c r="AU1466" i="2"/>
  <c r="AW778" i="2"/>
  <c r="AY778" i="2"/>
  <c r="AV778" i="2"/>
  <c r="AZ778" i="2"/>
  <c r="BD531" i="2"/>
  <c r="BG531" i="2"/>
  <c r="BH531" i="2"/>
  <c r="BE531" i="2"/>
  <c r="AQ237" i="2"/>
  <c r="AO237" i="2"/>
  <c r="AN237" i="2"/>
  <c r="AR237" i="2"/>
  <c r="BD1018" i="2"/>
  <c r="BE1018" i="2"/>
  <c r="BH1018" i="2"/>
  <c r="BG1018" i="2"/>
  <c r="BF443" i="2"/>
  <c r="BF341" i="2" s="1"/>
  <c r="BE839" i="2"/>
  <c r="BH839" i="2"/>
  <c r="BD839" i="2"/>
  <c r="BG839" i="2"/>
  <c r="BG387" i="2"/>
  <c r="BE387" i="2"/>
  <c r="BD387" i="2"/>
  <c r="BH387" i="2"/>
  <c r="AM244" i="2"/>
  <c r="BD850" i="2"/>
  <c r="BH850" i="2"/>
  <c r="BE850" i="2"/>
  <c r="BG850" i="2"/>
  <c r="BE688" i="2"/>
  <c r="BG688" i="2"/>
  <c r="BD688" i="2"/>
  <c r="BH688" i="2"/>
  <c r="BE901" i="2"/>
  <c r="BG901" i="2"/>
  <c r="BH901" i="2"/>
  <c r="BD901" i="2"/>
  <c r="AV959" i="2"/>
  <c r="AW959" i="2"/>
  <c r="AZ959" i="2"/>
  <c r="AY959" i="2"/>
  <c r="BG1063" i="2"/>
  <c r="BE1063" i="2"/>
  <c r="BD1063" i="2"/>
  <c r="BH1063" i="2"/>
  <c r="AZ1043" i="2"/>
  <c r="AV1043" i="2"/>
  <c r="AY1043" i="2"/>
  <c r="AW1043" i="2"/>
  <c r="AZ796" i="2"/>
  <c r="AY796" i="2"/>
  <c r="AV796" i="2"/>
  <c r="AW796" i="2"/>
  <c r="BC363" i="2"/>
  <c r="BE363" i="2" s="1"/>
  <c r="BH512" i="2"/>
  <c r="BD512" i="2"/>
  <c r="BG512" i="2"/>
  <c r="BE512" i="2"/>
  <c r="BG104" i="2"/>
  <c r="BE104" i="2"/>
  <c r="BD104" i="2"/>
  <c r="BH104" i="2"/>
  <c r="AY587" i="2"/>
  <c r="AZ587" i="2"/>
  <c r="AV587" i="2"/>
  <c r="AW587" i="2"/>
  <c r="AV952" i="2"/>
  <c r="AY952" i="2"/>
  <c r="AW952" i="2"/>
  <c r="AZ952" i="2"/>
  <c r="AW509" i="2"/>
  <c r="AV509" i="2"/>
  <c r="AY509" i="2"/>
  <c r="AZ509" i="2"/>
  <c r="AY300" i="2"/>
  <c r="AW300" i="2"/>
  <c r="AZ300" i="2"/>
  <c r="AV300" i="2"/>
  <c r="BG223" i="2"/>
  <c r="BE223" i="2"/>
  <c r="BD223" i="2"/>
  <c r="BH223" i="2"/>
  <c r="AV610" i="2"/>
  <c r="AY610" i="2"/>
  <c r="AW610" i="2"/>
  <c r="AZ610" i="2"/>
  <c r="AZ43" i="2"/>
  <c r="AY43" i="2"/>
  <c r="AW43" i="2"/>
  <c r="AV43" i="2"/>
  <c r="BE608" i="2"/>
  <c r="BG608" i="2"/>
  <c r="BD608" i="2"/>
  <c r="BH608" i="2"/>
  <c r="AN514" i="2"/>
  <c r="AR514" i="2"/>
  <c r="AO514" i="2"/>
  <c r="AQ514" i="2"/>
  <c r="AQ696" i="2"/>
  <c r="AO696" i="2"/>
  <c r="AR696" i="2"/>
  <c r="AN696" i="2"/>
  <c r="AY427" i="2"/>
  <c r="AZ427" i="2"/>
  <c r="AW427" i="2"/>
  <c r="AV427" i="2"/>
  <c r="BG641" i="2"/>
  <c r="BE641" i="2"/>
  <c r="BD641" i="2"/>
  <c r="BH641" i="2"/>
  <c r="AZ430" i="2"/>
  <c r="AY430" i="2"/>
  <c r="AW430" i="2"/>
  <c r="AV430" i="2"/>
  <c r="AT431" i="2"/>
  <c r="AT90" i="2" s="1"/>
  <c r="BG296" i="2"/>
  <c r="BH296" i="2"/>
  <c r="BE296" i="2"/>
  <c r="BD296" i="2"/>
  <c r="BC87" i="2"/>
  <c r="BE87" i="2" s="1"/>
  <c r="AV225" i="2"/>
  <c r="AZ225" i="2"/>
  <c r="AY225" i="2"/>
  <c r="AW225" i="2"/>
  <c r="AY389" i="2"/>
  <c r="AY419" i="2" s="1"/>
  <c r="AV389" i="2"/>
  <c r="AT379" i="2"/>
  <c r="AV379" i="2" s="1"/>
  <c r="AW389" i="2"/>
  <c r="AR892" i="2"/>
  <c r="AN892" i="2"/>
  <c r="AQ892" i="2"/>
  <c r="AO892" i="2"/>
  <c r="AZ940" i="2"/>
  <c r="AW940" i="2"/>
  <c r="AV940" i="2"/>
  <c r="AY940" i="2"/>
  <c r="BG561" i="2"/>
  <c r="BE561" i="2"/>
  <c r="BH561" i="2"/>
  <c r="BD561" i="2"/>
  <c r="BH680" i="2"/>
  <c r="BD680" i="2"/>
  <c r="BG680" i="2"/>
  <c r="BE680" i="2"/>
  <c r="BE129" i="2"/>
  <c r="BH129" i="2"/>
  <c r="BD129" i="2"/>
  <c r="BG129" i="2"/>
  <c r="BB126" i="2"/>
  <c r="BH32" i="2"/>
  <c r="BG32" i="2"/>
  <c r="BE32" i="2"/>
  <c r="BD32" i="2"/>
  <c r="BD118" i="2"/>
  <c r="BE118" i="2"/>
  <c r="BG118" i="2"/>
  <c r="BH118" i="2"/>
  <c r="BE467" i="2"/>
  <c r="BG467" i="2"/>
  <c r="BH467" i="2"/>
  <c r="BD467" i="2"/>
  <c r="AU284" i="2"/>
  <c r="AQ107" i="2"/>
  <c r="AN107" i="2"/>
  <c r="AR107" i="2"/>
  <c r="AO107" i="2"/>
  <c r="BE812" i="2"/>
  <c r="BH812" i="2"/>
  <c r="BD812" i="2"/>
  <c r="BG812" i="2"/>
  <c r="AT96" i="2"/>
  <c r="AV96" i="2" s="1"/>
  <c r="AY95" i="2"/>
  <c r="AV95" i="2"/>
  <c r="AW95" i="2"/>
  <c r="AZ95" i="2"/>
  <c r="AQ272" i="2"/>
  <c r="AL273" i="2"/>
  <c r="AQ273" i="2" s="1"/>
  <c r="AO272" i="2"/>
  <c r="AN272" i="2"/>
  <c r="AR272" i="2"/>
  <c r="BD1081" i="2"/>
  <c r="BG1081" i="2"/>
  <c r="BH1081" i="2"/>
  <c r="BE1081" i="2"/>
  <c r="AZ715" i="2"/>
  <c r="AV715" i="2"/>
  <c r="AW715" i="2"/>
  <c r="AY715" i="2"/>
  <c r="AN890" i="2"/>
  <c r="AO890" i="2"/>
  <c r="AR890" i="2"/>
  <c r="AQ890" i="2"/>
  <c r="AR302" i="2"/>
  <c r="AN302" i="2"/>
  <c r="AQ302" i="2"/>
  <c r="AO302" i="2"/>
  <c r="AZ226" i="2"/>
  <c r="AY226" i="2"/>
  <c r="AW226" i="2"/>
  <c r="AV226" i="2"/>
  <c r="AZ984" i="2"/>
  <c r="AV984" i="2"/>
  <c r="AY984" i="2"/>
  <c r="AW984" i="2"/>
  <c r="BE754" i="2"/>
  <c r="BD754" i="2"/>
  <c r="BD52" i="2"/>
  <c r="BE52" i="2"/>
  <c r="BG52" i="2"/>
  <c r="BH52" i="2"/>
  <c r="AY388" i="2"/>
  <c r="AW388" i="2"/>
  <c r="AV388" i="2"/>
  <c r="AZ388" i="2"/>
  <c r="AT376" i="2"/>
  <c r="AY376" i="2" s="1"/>
  <c r="AY903" i="2"/>
  <c r="AW903" i="2"/>
  <c r="AZ903" i="2"/>
  <c r="AV903" i="2"/>
  <c r="AQ973" i="2"/>
  <c r="AN973" i="2"/>
  <c r="AR973" i="2"/>
  <c r="AO973" i="2"/>
  <c r="AW350" i="2"/>
  <c r="AY350" i="2"/>
  <c r="AZ350" i="2"/>
  <c r="AV350" i="2"/>
  <c r="BB273" i="2"/>
  <c r="BG273" i="2" s="1"/>
  <c r="BH272" i="2"/>
  <c r="BG272" i="2"/>
  <c r="BD272" i="2"/>
  <c r="BE272" i="2"/>
  <c r="BE280" i="2"/>
  <c r="BD280" i="2"/>
  <c r="BH280" i="2"/>
  <c r="BG280" i="2"/>
  <c r="BE699" i="2"/>
  <c r="BG699" i="2"/>
  <c r="BH699" i="2"/>
  <c r="BD699" i="2"/>
  <c r="AO1016" i="2"/>
  <c r="AR1016" i="2"/>
  <c r="AN1016" i="2"/>
  <c r="AQ1016" i="2"/>
  <c r="AQ114" i="2"/>
  <c r="AO114" i="2"/>
  <c r="AR114" i="2"/>
  <c r="AN114" i="2"/>
  <c r="BD70" i="2"/>
  <c r="BG70" i="2"/>
  <c r="BE70" i="2"/>
  <c r="BH70" i="2"/>
  <c r="AM314" i="2"/>
  <c r="BG756" i="2"/>
  <c r="BE756" i="2"/>
  <c r="BD756" i="2"/>
  <c r="BH756" i="2"/>
  <c r="AW482" i="2"/>
  <c r="AZ482" i="2"/>
  <c r="AY482" i="2"/>
  <c r="AV482" i="2"/>
  <c r="AN615" i="2"/>
  <c r="AO615" i="2"/>
  <c r="AQ615" i="2"/>
  <c r="AR615" i="2"/>
  <c r="AX1467" i="2"/>
  <c r="AY1467" i="2" s="1"/>
  <c r="AW911" i="2"/>
  <c r="AV911" i="2"/>
  <c r="AZ911" i="2"/>
  <c r="AY911" i="2"/>
  <c r="AQ1039" i="2"/>
  <c r="AO1039" i="2"/>
  <c r="AR1039" i="2"/>
  <c r="AN1039" i="2"/>
  <c r="AV589" i="2"/>
  <c r="AY589" i="2"/>
  <c r="AW589" i="2"/>
  <c r="AZ589" i="2"/>
  <c r="AU358" i="2"/>
  <c r="AU373" i="2" s="1"/>
  <c r="AU374" i="2"/>
  <c r="BC315" i="2"/>
  <c r="BD315" i="2" s="1"/>
  <c r="AX150" i="2"/>
  <c r="AX151" i="2" s="1"/>
  <c r="AY151" i="2" s="1"/>
  <c r="AW900" i="2"/>
  <c r="AZ900" i="2"/>
  <c r="AY900" i="2"/>
  <c r="AV900" i="2"/>
  <c r="BG393" i="2"/>
  <c r="BE393" i="2"/>
  <c r="BH393" i="2"/>
  <c r="BD393" i="2"/>
  <c r="AO1100" i="2"/>
  <c r="AQ1100" i="2"/>
  <c r="AR1100" i="2"/>
  <c r="AN1100" i="2"/>
  <c r="AY860" i="2"/>
  <c r="AW860" i="2"/>
  <c r="AZ860" i="2"/>
  <c r="AV860" i="2"/>
  <c r="BG122" i="2"/>
  <c r="BH122" i="2"/>
  <c r="BD122" i="2"/>
  <c r="BE122" i="2"/>
  <c r="BC243" i="2"/>
  <c r="BD243" i="2" s="1"/>
  <c r="AP543" i="2"/>
  <c r="AR543" i="2" s="1"/>
  <c r="AO692" i="2"/>
  <c r="AR692" i="2"/>
  <c r="AQ692" i="2"/>
  <c r="AN692" i="2"/>
  <c r="BD575" i="2"/>
  <c r="BH575" i="2"/>
  <c r="BE575" i="2"/>
  <c r="BG575" i="2"/>
  <c r="BE183" i="2"/>
  <c r="BD183" i="2"/>
  <c r="BH183" i="2"/>
  <c r="BG183" i="2"/>
  <c r="BB179" i="2"/>
  <c r="AV923" i="2"/>
  <c r="AY923" i="2"/>
  <c r="AW923" i="2"/>
  <c r="AZ923" i="2"/>
  <c r="BH788" i="2"/>
  <c r="BG788" i="2"/>
  <c r="BD788" i="2"/>
  <c r="BE788" i="2"/>
  <c r="AV895" i="2"/>
  <c r="AY895" i="2"/>
  <c r="AW895" i="2"/>
  <c r="AZ895" i="2"/>
  <c r="BH102" i="2"/>
  <c r="BG102" i="2"/>
  <c r="BE102" i="2"/>
  <c r="BD102" i="2"/>
  <c r="BB79" i="2"/>
  <c r="AO221" i="2"/>
  <c r="AQ221" i="2"/>
  <c r="AN221" i="2"/>
  <c r="AR221" i="2"/>
  <c r="AZ956" i="2"/>
  <c r="AY956" i="2"/>
  <c r="AW956" i="2"/>
  <c r="AV956" i="2"/>
  <c r="AX312" i="2"/>
  <c r="AP84" i="2"/>
  <c r="BG167" i="2"/>
  <c r="BH167" i="2"/>
  <c r="BD167" i="2"/>
  <c r="BE167" i="2"/>
  <c r="AP20" i="2"/>
  <c r="AQ20" i="2" s="1"/>
  <c r="AO483" i="2"/>
  <c r="AN483" i="2"/>
  <c r="AQ483" i="2"/>
  <c r="AR483" i="2"/>
  <c r="BG50" i="2"/>
  <c r="BE50" i="2"/>
  <c r="BH50" i="2"/>
  <c r="BD50" i="2"/>
  <c r="AQ27" i="2"/>
  <c r="AO27" i="2"/>
  <c r="AR27" i="2"/>
  <c r="AN27" i="2"/>
  <c r="AU311" i="2"/>
  <c r="BD842" i="2"/>
  <c r="BG842" i="2"/>
  <c r="BH842" i="2"/>
  <c r="BE842" i="2"/>
  <c r="BH626" i="2"/>
  <c r="BD626" i="2"/>
  <c r="BG626" i="2"/>
  <c r="BE626" i="2"/>
  <c r="AO28" i="2"/>
  <c r="AN28" i="2"/>
  <c r="AL29" i="2"/>
  <c r="AR28" i="2"/>
  <c r="AQ28" i="2"/>
  <c r="BH489" i="2"/>
  <c r="BG489" i="2"/>
  <c r="BD489" i="2"/>
  <c r="BE489" i="2"/>
  <c r="AW1087" i="2"/>
  <c r="AV1087" i="2"/>
  <c r="AZ1087" i="2"/>
  <c r="AY1087" i="2"/>
  <c r="AY280" i="2"/>
  <c r="AV280" i="2"/>
  <c r="AW280" i="2"/>
  <c r="AZ280" i="2"/>
  <c r="AR693" i="2"/>
  <c r="AO693" i="2"/>
  <c r="AN693" i="2"/>
  <c r="AQ693" i="2"/>
  <c r="AN304" i="2"/>
  <c r="AO304" i="2"/>
  <c r="AR304" i="2"/>
  <c r="AQ304" i="2"/>
  <c r="AR466" i="2"/>
  <c r="AO466" i="2"/>
  <c r="AQ466" i="2"/>
  <c r="AN466" i="2"/>
  <c r="BE537" i="2"/>
  <c r="BB536" i="2"/>
  <c r="BH537" i="2"/>
  <c r="BD537" i="2"/>
  <c r="BG537" i="2"/>
  <c r="BE768" i="2"/>
  <c r="BD768" i="2"/>
  <c r="BH768" i="2"/>
  <c r="BG768" i="2"/>
  <c r="AZ738" i="2"/>
  <c r="AY738" i="2"/>
  <c r="AW738" i="2"/>
  <c r="AV738" i="2"/>
  <c r="AP1458" i="2"/>
  <c r="AP253" i="2"/>
  <c r="AQ253" i="2" s="1"/>
  <c r="AN855" i="2"/>
  <c r="AR855" i="2"/>
  <c r="AO855" i="2"/>
  <c r="AQ855" i="2"/>
  <c r="BE54" i="2"/>
  <c r="BD54" i="2"/>
  <c r="BH54" i="2"/>
  <c r="BG54" i="2"/>
  <c r="BH1044" i="2"/>
  <c r="BD1044" i="2"/>
  <c r="BE1044" i="2"/>
  <c r="BG1044" i="2"/>
  <c r="BE943" i="2"/>
  <c r="BD943" i="2"/>
  <c r="BH943" i="2"/>
  <c r="BG943" i="2"/>
  <c r="AQ1084" i="2"/>
  <c r="AO1084" i="2"/>
  <c r="AR1084" i="2"/>
  <c r="AN1084" i="2"/>
  <c r="AW339" i="2"/>
  <c r="AT340" i="2"/>
  <c r="AZ339" i="2"/>
  <c r="AV339" i="2"/>
  <c r="AY339" i="2"/>
  <c r="BH981" i="2"/>
  <c r="BE981" i="2"/>
  <c r="BG981" i="2"/>
  <c r="BD981" i="2"/>
  <c r="AN261" i="2"/>
  <c r="AR261" i="2"/>
  <c r="AQ261" i="2"/>
  <c r="AO261" i="2"/>
  <c r="BF239" i="2"/>
  <c r="AO1068" i="2"/>
  <c r="AQ1068" i="2"/>
  <c r="AN1068" i="2"/>
  <c r="AR1068" i="2"/>
  <c r="AU18" i="2"/>
  <c r="BF195" i="2"/>
  <c r="BG1103" i="2"/>
  <c r="BE1103" i="2"/>
  <c r="BD1103" i="2"/>
  <c r="BH1103" i="2"/>
  <c r="AZ745" i="2"/>
  <c r="AW745" i="2"/>
  <c r="AV745" i="2"/>
  <c r="AY745" i="2"/>
  <c r="BC284" i="2"/>
  <c r="BD284" i="2" s="1"/>
  <c r="AZ925" i="2"/>
  <c r="AV925" i="2"/>
  <c r="AY925" i="2"/>
  <c r="AW925" i="2"/>
  <c r="AR271" i="2"/>
  <c r="AO271" i="2"/>
  <c r="AN271" i="2"/>
  <c r="AQ271" i="2"/>
  <c r="AV514" i="2"/>
  <c r="AY514" i="2"/>
  <c r="AW514" i="2"/>
  <c r="AZ514" i="2"/>
  <c r="BH1066" i="2"/>
  <c r="BG1066" i="2"/>
  <c r="BD1066" i="2"/>
  <c r="BE1066" i="2"/>
  <c r="BD1076" i="2"/>
  <c r="BE1076" i="2"/>
  <c r="BH1076" i="2"/>
  <c r="BG1076" i="2"/>
  <c r="AP284" i="2"/>
  <c r="AZ232" i="2"/>
  <c r="AV232" i="2"/>
  <c r="AW232" i="2"/>
  <c r="AY232" i="2"/>
  <c r="AW571" i="2"/>
  <c r="AZ571" i="2"/>
  <c r="AV571" i="2"/>
  <c r="AY571" i="2"/>
  <c r="AP29" i="2"/>
  <c r="BH800" i="2"/>
  <c r="BD800" i="2"/>
  <c r="BE800" i="2"/>
  <c r="BG800" i="2"/>
  <c r="BC246" i="2"/>
  <c r="BD192" i="2"/>
  <c r="BE192" i="2"/>
  <c r="BG192" i="2"/>
  <c r="BH192" i="2"/>
  <c r="AV290" i="2"/>
  <c r="AZ290" i="2"/>
  <c r="AW290" i="2"/>
  <c r="AY290" i="2"/>
  <c r="BH1000" i="2"/>
  <c r="BD1000" i="2"/>
  <c r="BE1000" i="2"/>
  <c r="BG1000" i="2"/>
  <c r="BG1014" i="2"/>
  <c r="BD1014" i="2"/>
  <c r="BH1014" i="2"/>
  <c r="BE1014" i="2"/>
  <c r="AU318" i="2"/>
  <c r="AR673" i="2"/>
  <c r="AO673" i="2"/>
  <c r="AN673" i="2"/>
  <c r="AQ673" i="2"/>
  <c r="AR223" i="2"/>
  <c r="AN223" i="2"/>
  <c r="AQ223" i="2"/>
  <c r="AO223" i="2"/>
  <c r="BH1067" i="2"/>
  <c r="BD1067" i="2"/>
  <c r="BE1067" i="2"/>
  <c r="BG1067" i="2"/>
  <c r="AZ92" i="2"/>
  <c r="AW92" i="2"/>
  <c r="AV92" i="2"/>
  <c r="AY92" i="2"/>
  <c r="AQ138" i="2"/>
  <c r="AL88" i="2"/>
  <c r="AO138" i="2"/>
  <c r="AN138" i="2"/>
  <c r="AR138" i="2"/>
  <c r="AW709" i="2"/>
  <c r="AV709" i="2"/>
  <c r="AY709" i="2"/>
  <c r="AZ709" i="2"/>
  <c r="BH861" i="2"/>
  <c r="BD861" i="2"/>
  <c r="BE861" i="2"/>
  <c r="BG861" i="2"/>
  <c r="AY636" i="2"/>
  <c r="AW636" i="2"/>
  <c r="AZ636" i="2"/>
  <c r="AV636" i="2"/>
  <c r="AV216" i="2"/>
  <c r="AZ216" i="2"/>
  <c r="AY216" i="2"/>
  <c r="AW216" i="2"/>
  <c r="AW66" i="2"/>
  <c r="AZ66" i="2"/>
  <c r="AV66" i="2"/>
  <c r="AY66" i="2"/>
  <c r="AX248" i="2"/>
  <c r="AQ594" i="2"/>
  <c r="AO594" i="2"/>
  <c r="AR594" i="2"/>
  <c r="AN594" i="2"/>
  <c r="BG669" i="2"/>
  <c r="BH669" i="2"/>
  <c r="BD669" i="2"/>
  <c r="BE669" i="2"/>
  <c r="BD720" i="2"/>
  <c r="BH720" i="2"/>
  <c r="BG720" i="2"/>
  <c r="BE720" i="2"/>
  <c r="AY238" i="2"/>
  <c r="AZ238" i="2"/>
  <c r="AT239" i="2"/>
  <c r="AY239" i="2" s="1"/>
  <c r="AV238" i="2"/>
  <c r="AW238" i="2"/>
  <c r="BB372" i="2"/>
  <c r="BD372" i="2" s="1"/>
  <c r="BD371" i="2"/>
  <c r="BE371" i="2"/>
  <c r="BE806" i="2"/>
  <c r="BG806" i="2"/>
  <c r="BD806" i="2"/>
  <c r="BH806" i="2"/>
  <c r="AZ219" i="2"/>
  <c r="AW219" i="2"/>
  <c r="AY219" i="2"/>
  <c r="AV219" i="2"/>
  <c r="AN590" i="2"/>
  <c r="AQ590" i="2"/>
  <c r="AO590" i="2"/>
  <c r="AR590" i="2"/>
  <c r="AT241" i="2"/>
  <c r="AV241" i="2" s="1"/>
  <c r="AV255" i="2"/>
  <c r="AW255" i="2"/>
  <c r="AY255" i="2"/>
  <c r="AZ255" i="2"/>
  <c r="AQ835" i="2"/>
  <c r="AN835" i="2"/>
  <c r="AR835" i="2"/>
  <c r="AO835" i="2"/>
  <c r="BG171" i="2"/>
  <c r="BD171" i="2"/>
  <c r="BH171" i="2"/>
  <c r="BE171" i="2"/>
  <c r="AW1077" i="2"/>
  <c r="AV1077" i="2"/>
  <c r="AZ1077" i="2"/>
  <c r="AY1077" i="2"/>
  <c r="AV437" i="2"/>
  <c r="AY437" i="2"/>
  <c r="AW437" i="2"/>
  <c r="AZ437" i="2"/>
  <c r="AU443" i="2"/>
  <c r="AU341" i="2" s="1"/>
  <c r="AQ1013" i="2"/>
  <c r="AN1013" i="2"/>
  <c r="AO1013" i="2"/>
  <c r="AR1013" i="2"/>
  <c r="AZ570" i="2"/>
  <c r="AW570" i="2"/>
  <c r="AV570" i="2"/>
  <c r="AY570" i="2"/>
  <c r="BC1467" i="2"/>
  <c r="BD1467" i="2" s="1"/>
  <c r="AY212" i="2"/>
  <c r="AW212" i="2"/>
  <c r="AZ212" i="2"/>
  <c r="AV212" i="2"/>
  <c r="AT363" i="2"/>
  <c r="AZ363" i="2" s="1"/>
  <c r="AV364" i="2"/>
  <c r="AY364" i="2"/>
  <c r="AZ364" i="2"/>
  <c r="AW364" i="2"/>
  <c r="AZ420" i="2"/>
  <c r="AY420" i="2"/>
  <c r="AV420" i="2"/>
  <c r="AW420" i="2"/>
  <c r="AR1004" i="2"/>
  <c r="AN1004" i="2"/>
  <c r="AQ1004" i="2"/>
  <c r="AO1004" i="2"/>
  <c r="BH1075" i="2"/>
  <c r="BE1075" i="2"/>
  <c r="BG1075" i="2"/>
  <c r="BD1075" i="2"/>
  <c r="AW1035" i="2"/>
  <c r="AY1035" i="2"/>
  <c r="AV1035" i="2"/>
  <c r="AZ1035" i="2"/>
  <c r="AV857" i="2"/>
  <c r="AY857" i="2"/>
  <c r="AW857" i="2"/>
  <c r="AZ857" i="2"/>
  <c r="AZ673" i="2"/>
  <c r="AW673" i="2"/>
  <c r="AV673" i="2"/>
  <c r="AY673" i="2"/>
  <c r="AW118" i="2"/>
  <c r="AY118" i="2"/>
  <c r="AV118" i="2"/>
  <c r="AZ118" i="2"/>
  <c r="BE51" i="2"/>
  <c r="BH51" i="2"/>
  <c r="BD51" i="2"/>
  <c r="BG51" i="2"/>
  <c r="BE881" i="2"/>
  <c r="BG881" i="2"/>
  <c r="BH881" i="2"/>
  <c r="BD881" i="2"/>
  <c r="AY676" i="2"/>
  <c r="AW676" i="2"/>
  <c r="AV676" i="2"/>
  <c r="AZ676" i="2"/>
  <c r="AW516" i="2"/>
  <c r="AY516" i="2"/>
  <c r="AZ516" i="2"/>
  <c r="AV516" i="2"/>
  <c r="AN566" i="2"/>
  <c r="AQ566" i="2"/>
  <c r="AO566" i="2"/>
  <c r="AR566" i="2"/>
  <c r="BF543" i="2"/>
  <c r="BH543" i="2" s="1"/>
  <c r="BE186" i="2"/>
  <c r="BD186" i="2"/>
  <c r="BG186" i="2"/>
  <c r="BH186" i="2"/>
  <c r="BG906" i="2"/>
  <c r="BE906" i="2"/>
  <c r="BD906" i="2"/>
  <c r="BH906" i="2"/>
  <c r="AY57" i="2"/>
  <c r="AW57" i="2"/>
  <c r="AV57" i="2"/>
  <c r="AZ57" i="2"/>
  <c r="BG984" i="2"/>
  <c r="BH984" i="2"/>
  <c r="BD984" i="2"/>
  <c r="BE984" i="2"/>
  <c r="AO794" i="2"/>
  <c r="AN794" i="2"/>
  <c r="BE857" i="2"/>
  <c r="BG857" i="2"/>
  <c r="BH857" i="2"/>
  <c r="BD857" i="2"/>
  <c r="AV519" i="2"/>
  <c r="AW519" i="2"/>
  <c r="AY519" i="2"/>
  <c r="AZ519" i="2"/>
  <c r="AX317" i="2"/>
  <c r="AY317" i="2" s="1"/>
  <c r="BB84" i="2"/>
  <c r="BE84" i="2" s="1"/>
  <c r="BE133" i="2"/>
  <c r="BG133" i="2"/>
  <c r="BH133" i="2"/>
  <c r="BD133" i="2"/>
  <c r="BG456" i="2"/>
  <c r="BD456" i="2"/>
  <c r="BE456" i="2"/>
  <c r="BH456" i="2"/>
  <c r="BG646" i="2"/>
  <c r="BH646" i="2"/>
  <c r="BD646" i="2"/>
  <c r="BE646" i="2"/>
  <c r="AZ934" i="2"/>
  <c r="AW934" i="2"/>
  <c r="AY934" i="2"/>
  <c r="AV934" i="2"/>
  <c r="AN418" i="2"/>
  <c r="AR418" i="2"/>
  <c r="AQ418" i="2"/>
  <c r="AL419" i="2"/>
  <c r="AN419" i="2" s="1"/>
  <c r="AO418" i="2"/>
  <c r="BD946" i="2"/>
  <c r="BE946" i="2"/>
  <c r="BH946" i="2"/>
  <c r="BG946" i="2"/>
  <c r="AY701" i="2"/>
  <c r="AW701" i="2"/>
  <c r="AV701" i="2"/>
  <c r="AZ701" i="2"/>
  <c r="AW114" i="2"/>
  <c r="AY114" i="2"/>
  <c r="AV114" i="2"/>
  <c r="AZ114" i="2"/>
  <c r="BF79" i="2"/>
  <c r="AZ106" i="2"/>
  <c r="AT80" i="2"/>
  <c r="AV80" i="2" s="1"/>
  <c r="AV106" i="2"/>
  <c r="AW106" i="2"/>
  <c r="AY106" i="2"/>
  <c r="BD853" i="2"/>
  <c r="BH853" i="2"/>
  <c r="BG853" i="2"/>
  <c r="BE853" i="2"/>
  <c r="AQ883" i="2"/>
  <c r="AR883" i="2"/>
  <c r="AO883" i="2"/>
  <c r="AN883" i="2"/>
  <c r="AQ474" i="2"/>
  <c r="AO474" i="2"/>
  <c r="AN474" i="2"/>
  <c r="AR474" i="2"/>
  <c r="BG548" i="2"/>
  <c r="BD548" i="2"/>
  <c r="BE548" i="2"/>
  <c r="BH548" i="2"/>
  <c r="AO264" i="2"/>
  <c r="AL250" i="2"/>
  <c r="AQ250" i="2" s="1"/>
  <c r="AR264" i="2"/>
  <c r="AN264" i="2"/>
  <c r="AQ264" i="2"/>
  <c r="AQ284" i="2" s="1"/>
  <c r="AO580" i="2"/>
  <c r="AN580" i="2"/>
  <c r="AR580" i="2"/>
  <c r="AQ580" i="2"/>
  <c r="BF179" i="2"/>
  <c r="BG179" i="2" s="1"/>
  <c r="AV686" i="2"/>
  <c r="AY686" i="2"/>
  <c r="AW686" i="2"/>
  <c r="AZ686" i="2"/>
  <c r="AM317" i="2"/>
  <c r="BH957" i="2"/>
  <c r="BD957" i="2"/>
  <c r="BG957" i="2"/>
  <c r="BE957" i="2"/>
  <c r="BB320" i="2"/>
  <c r="BE329" i="2"/>
  <c r="BH329" i="2"/>
  <c r="BD329" i="2"/>
  <c r="BG329" i="2"/>
  <c r="BG797" i="2"/>
  <c r="BE797" i="2"/>
  <c r="BD797" i="2"/>
  <c r="BH797" i="2"/>
  <c r="BE229" i="2"/>
  <c r="BG229" i="2"/>
  <c r="BH229" i="2"/>
  <c r="BD229" i="2"/>
  <c r="BG332" i="2"/>
  <c r="BE332" i="2"/>
  <c r="BD332" i="2"/>
  <c r="BH332" i="2"/>
  <c r="AN189" i="2"/>
  <c r="AO189" i="2"/>
  <c r="AQ189" i="2"/>
  <c r="AR189" i="2"/>
  <c r="BD676" i="2"/>
  <c r="BH676" i="2"/>
  <c r="BG676" i="2"/>
  <c r="BE676" i="2"/>
  <c r="AW193" i="2"/>
  <c r="AZ193" i="2"/>
  <c r="AV193" i="2"/>
  <c r="AY193" i="2"/>
  <c r="BG738" i="2"/>
  <c r="BD738" i="2"/>
  <c r="BH738" i="2"/>
  <c r="BE738" i="2"/>
  <c r="AZ775" i="2"/>
  <c r="AY775" i="2"/>
  <c r="AW775" i="2"/>
  <c r="AV775" i="2"/>
  <c r="AX244" i="2"/>
  <c r="AY244" i="2" s="1"/>
  <c r="AY951" i="2"/>
  <c r="AZ951" i="2"/>
  <c r="AV951" i="2"/>
  <c r="AW951" i="2"/>
  <c r="AZ824" i="2"/>
  <c r="AY824" i="2"/>
  <c r="AW824" i="2"/>
  <c r="AV824" i="2"/>
  <c r="AT1466" i="2"/>
  <c r="AZ1466" i="2" s="1"/>
  <c r="AV46" i="2"/>
  <c r="AY46" i="2"/>
  <c r="AZ46" i="2"/>
  <c r="AW46" i="2"/>
  <c r="AR327" i="2"/>
  <c r="AL318" i="2"/>
  <c r="AN318" i="2" s="1"/>
  <c r="AQ327" i="2"/>
  <c r="AO327" i="2"/>
  <c r="AN327" i="2"/>
  <c r="AO203" i="2"/>
  <c r="AR203" i="2"/>
  <c r="AQ203" i="2"/>
  <c r="AN203" i="2"/>
  <c r="AY772" i="2"/>
  <c r="AV772" i="2"/>
  <c r="AW772" i="2"/>
  <c r="AZ772" i="2"/>
  <c r="AO573" i="2"/>
  <c r="AR573" i="2"/>
  <c r="AQ573" i="2"/>
  <c r="AN573" i="2"/>
  <c r="BE913" i="2"/>
  <c r="BD913" i="2"/>
  <c r="BG913" i="2"/>
  <c r="BH913" i="2"/>
  <c r="AZ1085" i="2"/>
  <c r="AV1085" i="2"/>
  <c r="AW1085" i="2"/>
  <c r="AY1085" i="2"/>
  <c r="AZ210" i="2"/>
  <c r="AV210" i="2"/>
  <c r="AY210" i="2"/>
  <c r="AW210" i="2"/>
  <c r="AP18" i="2"/>
  <c r="AQ18" i="2" s="1"/>
  <c r="BD992" i="2"/>
  <c r="BH992" i="2"/>
  <c r="BE992" i="2"/>
  <c r="BG992" i="2"/>
  <c r="AW773" i="2"/>
  <c r="AV773" i="2"/>
  <c r="AY773" i="2"/>
  <c r="AZ773" i="2"/>
  <c r="AZ737" i="2"/>
  <c r="AY737" i="2"/>
  <c r="AW737" i="2"/>
  <c r="AV737" i="2"/>
  <c r="AX755" i="2"/>
  <c r="AZ755" i="2" s="1"/>
  <c r="BH1017" i="2"/>
  <c r="BE1017" i="2"/>
  <c r="BD1017" i="2"/>
  <c r="BG1017" i="2"/>
  <c r="AP536" i="2"/>
  <c r="AU250" i="2"/>
  <c r="BG924" i="2"/>
  <c r="BD924" i="2"/>
  <c r="BE924" i="2"/>
  <c r="BH924" i="2"/>
  <c r="BD41" i="2"/>
  <c r="BH41" i="2"/>
  <c r="BE41" i="2"/>
  <c r="BG41" i="2"/>
  <c r="AP431" i="2"/>
  <c r="AP90" i="2" s="1"/>
  <c r="BG863" i="2"/>
  <c r="BD863" i="2"/>
  <c r="BE863" i="2"/>
  <c r="BH863" i="2"/>
  <c r="AV133" i="2"/>
  <c r="AY133" i="2"/>
  <c r="AW133" i="2"/>
  <c r="AZ133" i="2"/>
  <c r="AT84" i="2"/>
  <c r="AY84" i="2" s="1"/>
  <c r="AZ1007" i="2"/>
  <c r="AV1007" i="2"/>
  <c r="AY1007" i="2"/>
  <c r="AW1007" i="2"/>
  <c r="BE685" i="2"/>
  <c r="BD685" i="2"/>
  <c r="BG685" i="2"/>
  <c r="BH685" i="2"/>
  <c r="AW256" i="2"/>
  <c r="AY256" i="2"/>
  <c r="AV256" i="2"/>
  <c r="AT242" i="2"/>
  <c r="AV242" i="2" s="1"/>
  <c r="AZ256" i="2"/>
  <c r="AN526" i="2"/>
  <c r="AR526" i="2"/>
  <c r="AO526" i="2"/>
  <c r="AQ526" i="2"/>
  <c r="AY890" i="2"/>
  <c r="AW890" i="2"/>
  <c r="AV890" i="2"/>
  <c r="AZ890" i="2"/>
  <c r="AM312" i="2"/>
  <c r="AN312" i="2" s="1"/>
  <c r="BC380" i="2"/>
  <c r="BD380" i="2" s="1"/>
  <c r="AR836" i="2"/>
  <c r="AN836" i="2"/>
  <c r="AQ836" i="2"/>
  <c r="AO836" i="2"/>
  <c r="AN891" i="2"/>
  <c r="AO891" i="2"/>
  <c r="AR891" i="2"/>
  <c r="AQ891" i="2"/>
  <c r="AR121" i="2"/>
  <c r="AN121" i="2"/>
  <c r="AQ121" i="2"/>
  <c r="AO121" i="2"/>
  <c r="AQ1040" i="2"/>
  <c r="AN1040" i="2"/>
  <c r="AO1040" i="2"/>
  <c r="AR1040" i="2"/>
  <c r="AX253" i="2"/>
  <c r="AZ588" i="2"/>
  <c r="AV588" i="2"/>
  <c r="AY588" i="2"/>
  <c r="AW588" i="2"/>
  <c r="AW1023" i="2"/>
  <c r="AY1023" i="2"/>
  <c r="AZ1023" i="2"/>
  <c r="AV1023" i="2"/>
  <c r="AO689" i="2"/>
  <c r="AR689" i="2"/>
  <c r="AQ689" i="2"/>
  <c r="AN689" i="2"/>
  <c r="BE729" i="2"/>
  <c r="BD729" i="2"/>
  <c r="BH729" i="2"/>
  <c r="BG729" i="2"/>
  <c r="AW567" i="2"/>
  <c r="AZ567" i="2"/>
  <c r="AV567" i="2"/>
  <c r="AY567" i="2"/>
  <c r="AU312" i="2"/>
  <c r="BE722" i="2"/>
  <c r="BH722" i="2"/>
  <c r="BG722" i="2"/>
  <c r="BD722" i="2"/>
  <c r="AO19" i="2"/>
  <c r="AQ19" i="2"/>
  <c r="AR19" i="2"/>
  <c r="AN19" i="2"/>
  <c r="BH661" i="2"/>
  <c r="BD661" i="2"/>
  <c r="BG661" i="2"/>
  <c r="BE661" i="2"/>
  <c r="AV390" i="2"/>
  <c r="AZ390" i="2"/>
  <c r="AY390" i="2"/>
  <c r="AT380" i="2"/>
  <c r="AV380" i="2" s="1"/>
  <c r="AW390" i="2"/>
  <c r="AZ983" i="2"/>
  <c r="AY983" i="2"/>
  <c r="AV983" i="2"/>
  <c r="AW983" i="2"/>
  <c r="BH888" i="2"/>
  <c r="BD888" i="2"/>
  <c r="BE888" i="2"/>
  <c r="BG888" i="2"/>
  <c r="BE1032" i="2"/>
  <c r="BD1032" i="2"/>
  <c r="BH1032" i="2"/>
  <c r="BG1032" i="2"/>
  <c r="AW283" i="2"/>
  <c r="AT284" i="2"/>
  <c r="AV284" i="2" s="1"/>
  <c r="AY283" i="2"/>
  <c r="AY284" i="2" s="1"/>
  <c r="AZ283" i="2"/>
  <c r="AV283" i="2"/>
  <c r="AY865" i="2"/>
  <c r="AZ865" i="2"/>
  <c r="AV865" i="2"/>
  <c r="AW865" i="2"/>
  <c r="BE958" i="2"/>
  <c r="BG958" i="2"/>
  <c r="BD958" i="2"/>
  <c r="BH958" i="2"/>
  <c r="AW369" i="2"/>
  <c r="AY369" i="2"/>
  <c r="AV369" i="2"/>
  <c r="AZ369" i="2"/>
  <c r="AY501" i="2"/>
  <c r="AZ501" i="2"/>
  <c r="AW501" i="2"/>
  <c r="AV501" i="2"/>
  <c r="BE497" i="2"/>
  <c r="BH497" i="2"/>
  <c r="BD497" i="2"/>
  <c r="BG497" i="2"/>
  <c r="BE1092" i="2"/>
  <c r="BH1092" i="2"/>
  <c r="BD1092" i="2"/>
  <c r="BG1092" i="2"/>
  <c r="BG368" i="2"/>
  <c r="BH368" i="2"/>
  <c r="BD368" i="2"/>
  <c r="BB367" i="2"/>
  <c r="BE368" i="2"/>
  <c r="AV105" i="2"/>
  <c r="AZ105" i="2"/>
  <c r="AY105" i="2"/>
  <c r="AW105" i="2"/>
  <c r="BG201" i="2"/>
  <c r="BD201" i="2"/>
  <c r="BH201" i="2"/>
  <c r="BB202" i="2"/>
  <c r="BD202" i="2" s="1"/>
  <c r="BE201" i="2"/>
  <c r="AY898" i="2"/>
  <c r="AW898" i="2"/>
  <c r="AV898" i="2"/>
  <c r="AZ898" i="2"/>
  <c r="AU1465" i="2"/>
  <c r="AW1465" i="2" s="1"/>
  <c r="AZ706" i="2"/>
  <c r="AW706" i="2"/>
  <c r="AV706" i="2"/>
  <c r="AY706" i="2"/>
  <c r="AZ967" i="2"/>
  <c r="AV967" i="2"/>
  <c r="AW967" i="2"/>
  <c r="AY967" i="2"/>
  <c r="BF755" i="2"/>
  <c r="BH755" i="2" s="1"/>
  <c r="BE647" i="2"/>
  <c r="BD647" i="2"/>
  <c r="BH647" i="2"/>
  <c r="BG647" i="2"/>
  <c r="BE211" i="2"/>
  <c r="BG211" i="2"/>
  <c r="BH211" i="2"/>
  <c r="BD211" i="2"/>
  <c r="AO585" i="2"/>
  <c r="AQ585" i="2"/>
  <c r="AN585" i="2"/>
  <c r="AR585" i="2"/>
  <c r="BF80" i="2"/>
  <c r="BH80" i="2" s="1"/>
  <c r="AR421" i="2"/>
  <c r="AO421" i="2"/>
  <c r="AQ421" i="2"/>
  <c r="AN421" i="2"/>
  <c r="AW598" i="2"/>
  <c r="AZ598" i="2"/>
  <c r="AV598" i="2"/>
  <c r="AY598" i="2"/>
  <c r="AO230" i="2"/>
  <c r="AN230" i="2"/>
  <c r="AQ230" i="2"/>
  <c r="AR230" i="2"/>
  <c r="AZ296" i="2"/>
  <c r="AW296" i="2"/>
  <c r="AV296" i="2"/>
  <c r="AY296" i="2"/>
  <c r="BH1057" i="2"/>
  <c r="BG1057" i="2"/>
  <c r="BE1057" i="2"/>
  <c r="BD1057" i="2"/>
  <c r="AQ641" i="2"/>
  <c r="AN641" i="2"/>
  <c r="AR641" i="2"/>
  <c r="AO641" i="2"/>
  <c r="AW274" i="2"/>
  <c r="AV274" i="2"/>
  <c r="AY274" i="2"/>
  <c r="AZ274" i="2"/>
  <c r="AQ241" i="2"/>
  <c r="AV245" i="2"/>
  <c r="BG314" i="2"/>
  <c r="AQ447" i="2"/>
  <c r="BF362" i="2"/>
  <c r="BG318" i="2"/>
  <c r="AY379" i="2"/>
  <c r="AP82" i="2"/>
  <c r="AP86" i="2" s="1"/>
  <c r="AV347" i="2"/>
  <c r="AT278" i="2"/>
  <c r="BG150" i="2"/>
  <c r="AY127" i="2"/>
  <c r="AY96" i="2" s="1"/>
  <c r="BH150" i="2"/>
  <c r="AQ312" i="2"/>
  <c r="BD125" i="2"/>
  <c r="AV375" i="2"/>
  <c r="AQ794" i="2"/>
  <c r="AN1459" i="2"/>
  <c r="AR150" i="2"/>
  <c r="AV191" i="2"/>
  <c r="AQ389" i="2"/>
  <c r="AQ419" i="2" s="1"/>
  <c r="AQ150" i="2"/>
  <c r="AZ85" i="2"/>
  <c r="AL341" i="2"/>
  <c r="AN443" i="2"/>
  <c r="BG29" i="2"/>
  <c r="BD29" i="2"/>
  <c r="BE1460" i="2"/>
  <c r="BH1460" i="2"/>
  <c r="BG1460" i="2"/>
  <c r="AQ240" i="2"/>
  <c r="BG181" i="2"/>
  <c r="AY180" i="2"/>
  <c r="BD248" i="2"/>
  <c r="BG248" i="2"/>
  <c r="AN284" i="2"/>
  <c r="AW1467" i="2"/>
  <c r="AV1467" i="2"/>
  <c r="BB196" i="2"/>
  <c r="AQ374" i="2"/>
  <c r="AY85" i="2"/>
  <c r="BD435" i="2"/>
  <c r="AV127" i="2"/>
  <c r="BD126" i="2"/>
  <c r="BG126" i="2"/>
  <c r="AQ140" i="2"/>
  <c r="AN245" i="2"/>
  <c r="BH363" i="2"/>
  <c r="BG363" i="2"/>
  <c r="AR151" i="2"/>
  <c r="AY315" i="2"/>
  <c r="AV316" i="2"/>
  <c r="AN191" i="2"/>
  <c r="AN1460" i="2"/>
  <c r="AQ1459" i="2"/>
  <c r="AR1459" i="2"/>
  <c r="BG244" i="2"/>
  <c r="AN378" i="2"/>
  <c r="AQ179" i="2"/>
  <c r="AN179" i="2"/>
  <c r="AV1455" i="2"/>
  <c r="AY1455" i="2"/>
  <c r="AZ1455" i="2"/>
  <c r="AW1455" i="2"/>
  <c r="BE381" i="2"/>
  <c r="AZ536" i="2"/>
  <c r="AW536" i="2"/>
  <c r="AV536" i="2"/>
  <c r="AO80" i="2"/>
  <c r="AN80" i="2"/>
  <c r="AL90" i="2"/>
  <c r="AN431" i="2"/>
  <c r="BG317" i="2"/>
  <c r="BE1459" i="2"/>
  <c r="BD1459" i="2"/>
  <c r="AZ84" i="2"/>
  <c r="BD179" i="2"/>
  <c r="AV431" i="2"/>
  <c r="AQ320" i="2"/>
  <c r="AN320" i="2"/>
  <c r="AZ1465" i="2"/>
  <c r="AY1465" i="2"/>
  <c r="AN314" i="2"/>
  <c r="BD191" i="2"/>
  <c r="AN277" i="2"/>
  <c r="BH81" i="2"/>
  <c r="BG25" i="2"/>
  <c r="BD25" i="2"/>
  <c r="BB1458" i="2"/>
  <c r="BE1465" i="2"/>
  <c r="BD1465" i="2"/>
  <c r="BG1465" i="2"/>
  <c r="BH1465" i="2"/>
  <c r="BD177" i="2"/>
  <c r="BE543" i="2"/>
  <c r="AZ385" i="2"/>
  <c r="AT377" i="2"/>
  <c r="AY385" i="2"/>
  <c r="AV181" i="2"/>
  <c r="AY181" i="2"/>
  <c r="AV277" i="2"/>
  <c r="BG239" i="2"/>
  <c r="AV248" i="2"/>
  <c r="AY248" i="2"/>
  <c r="AO79" i="2"/>
  <c r="AN79" i="2"/>
  <c r="BH87" i="2"/>
  <c r="AO358" i="2"/>
  <c r="AR358" i="2"/>
  <c r="AN358" i="2"/>
  <c r="AQ358" i="2"/>
  <c r="AL377" i="2"/>
  <c r="AN385" i="2"/>
  <c r="AO385" i="2"/>
  <c r="AY1458" i="2"/>
  <c r="BD252" i="2"/>
  <c r="AQ242" i="2"/>
  <c r="AN242" i="2"/>
  <c r="AX82" i="2"/>
  <c r="AX86" i="2" s="1"/>
  <c r="BD336" i="2"/>
  <c r="AZ87" i="2"/>
  <c r="AN1465" i="2"/>
  <c r="AO1465" i="2"/>
  <c r="AR1465" i="2"/>
  <c r="AL1463" i="2"/>
  <c r="BD374" i="2"/>
  <c r="BG191" i="2"/>
  <c r="AV543" i="2"/>
  <c r="BF419" i="2"/>
  <c r="AO1455" i="2"/>
  <c r="AN380" i="2"/>
  <c r="AV140" i="2"/>
  <c r="AZ151" i="2"/>
  <c r="AY177" i="2"/>
  <c r="AR363" i="2"/>
  <c r="AQ363" i="2"/>
  <c r="AN363" i="2"/>
  <c r="AO363" i="2"/>
  <c r="BG245" i="2"/>
  <c r="BD245" i="2"/>
  <c r="AV318" i="2"/>
  <c r="BE354" i="2"/>
  <c r="BD354" i="2"/>
  <c r="AZ381" i="2"/>
  <c r="AV381" i="2"/>
  <c r="AY381" i="2"/>
  <c r="AW381" i="2"/>
  <c r="BD378" i="2"/>
  <c r="BG378" i="2"/>
  <c r="BG786" i="2"/>
  <c r="AV18" i="2"/>
  <c r="AQ252" i="2"/>
  <c r="AV314" i="2"/>
  <c r="AQ825" i="2"/>
  <c r="AZ1458" i="2"/>
  <c r="AN124" i="2"/>
  <c r="AZ389" i="2"/>
  <c r="BD447" i="2"/>
  <c r="AV374" i="2"/>
  <c r="AW83" i="2"/>
  <c r="AV83" i="2"/>
  <c r="AX1463" i="2"/>
  <c r="AX1464" i="2" s="1"/>
  <c r="BD241" i="2"/>
  <c r="AT413" i="2"/>
  <c r="AQ340" i="2"/>
  <c r="BD419" i="2"/>
  <c r="AN412" i="2"/>
  <c r="AY124" i="2"/>
  <c r="AL278" i="2"/>
  <c r="AQ439" i="2"/>
  <c r="AV378" i="2"/>
  <c r="BF1458" i="2"/>
  <c r="BF1463" i="2"/>
  <c r="AQ239" i="2"/>
  <c r="BB377" i="2"/>
  <c r="BH385" i="2"/>
  <c r="BG385" i="2"/>
  <c r="BE385" i="2"/>
  <c r="BD385" i="2"/>
  <c r="AV79" i="2"/>
  <c r="AZ79" i="2"/>
  <c r="AW79" i="2"/>
  <c r="AY79" i="2"/>
  <c r="BG380" i="2"/>
  <c r="BC1458" i="2"/>
  <c r="BD88" i="2"/>
  <c r="BD443" i="2"/>
  <c r="BB341" i="2"/>
  <c r="BG311" i="2"/>
  <c r="AP793" i="2"/>
  <c r="BG371" i="2"/>
  <c r="AX405" i="2"/>
  <c r="AY405" i="2" s="1"/>
  <c r="AR385" i="2"/>
  <c r="BG755" i="2"/>
  <c r="BF754" i="2"/>
  <c r="BG240" i="2"/>
  <c r="BD1455" i="2"/>
  <c r="AN25" i="2"/>
  <c r="AQ85" i="2"/>
  <c r="AR85" i="2"/>
  <c r="AN85" i="2"/>
  <c r="AO85" i="2"/>
  <c r="AY794" i="2"/>
  <c r="AX793" i="2"/>
  <c r="AZ358" i="2"/>
  <c r="AR354" i="2"/>
  <c r="AQ354" i="2"/>
  <c r="BG36" i="2"/>
  <c r="BD36" i="2"/>
  <c r="AQ177" i="2"/>
  <c r="AV246" i="2"/>
  <c r="AY246" i="2"/>
  <c r="BD180" i="2"/>
  <c r="BG180" i="2"/>
  <c r="AW1460" i="2"/>
  <c r="AY1460" i="2"/>
  <c r="AZ1460" i="2"/>
  <c r="AV1460" i="2"/>
  <c r="AQ246" i="2"/>
  <c r="AL413" i="2"/>
  <c r="BD277" i="2"/>
  <c r="BG277" i="2"/>
  <c r="BD124" i="2"/>
  <c r="AN406" i="2"/>
  <c r="AY336" i="2"/>
  <c r="AX419" i="2"/>
  <c r="AN136" i="2"/>
  <c r="AV136" i="2"/>
  <c r="AY18" i="2"/>
  <c r="AN29" i="2"/>
  <c r="AQ29" i="2"/>
  <c r="AQ178" i="2"/>
  <c r="AV249" i="2"/>
  <c r="AY249" i="2"/>
  <c r="AP371" i="2"/>
  <c r="BF405" i="2"/>
  <c r="BG405" i="2" s="1"/>
  <c r="BE367" i="2"/>
  <c r="BD367" i="2"/>
  <c r="AY340" i="2"/>
  <c r="AV25" i="2"/>
  <c r="AY243" i="2"/>
  <c r="AV243" i="2"/>
  <c r="AV251" i="2"/>
  <c r="AY251" i="2"/>
  <c r="BD376" i="2"/>
  <c r="BG376" i="2"/>
  <c r="AQ249" i="2"/>
  <c r="AN249" i="2"/>
  <c r="BG315" i="2"/>
  <c r="BB278" i="2"/>
  <c r="BG278" i="2" s="1"/>
  <c r="AN1466" i="2"/>
  <c r="AQ1466" i="2"/>
  <c r="AR1466" i="2"/>
  <c r="AT196" i="2"/>
  <c r="AQ381" i="2"/>
  <c r="AR381" i="2"/>
  <c r="AL373" i="2"/>
  <c r="AN381" i="2"/>
  <c r="AO381" i="2"/>
  <c r="BH358" i="2"/>
  <c r="BB90" i="2"/>
  <c r="BG431" i="2"/>
  <c r="AZ354" i="2"/>
  <c r="AQ314" i="2"/>
  <c r="AL196" i="2"/>
  <c r="AN435" i="2"/>
  <c r="AQ435" i="2"/>
  <c r="AY252" i="2"/>
  <c r="AM82" i="2"/>
  <c r="AM86" i="2" s="1"/>
  <c r="AM89" i="2" s="1"/>
  <c r="AN36" i="2"/>
  <c r="BG250" i="2"/>
  <c r="BD250" i="2"/>
  <c r="BD251" i="2"/>
  <c r="AZ362" i="2"/>
  <c r="AY362" i="2"/>
  <c r="AO1458" i="2"/>
  <c r="AQ1458" i="2"/>
  <c r="AN1458" i="2"/>
  <c r="AR1458" i="2"/>
  <c r="BH405" i="2"/>
  <c r="AH287" i="2"/>
  <c r="AJ287" i="2" s="1"/>
  <c r="BH79" i="2" l="1"/>
  <c r="BB82" i="2"/>
  <c r="AW84" i="2"/>
  <c r="BG140" i="2"/>
  <c r="AT82" i="2"/>
  <c r="AY755" i="2"/>
  <c r="AY431" i="2"/>
  <c r="AY1466" i="2"/>
  <c r="AN250" i="2"/>
  <c r="AZ1467" i="2"/>
  <c r="AW1466" i="2"/>
  <c r="AN317" i="2"/>
  <c r="AO88" i="2"/>
  <c r="AR84" i="2"/>
  <c r="AQ181" i="2"/>
  <c r="BG336" i="2"/>
  <c r="AQ318" i="2"/>
  <c r="BG80" i="2"/>
  <c r="AV84" i="2"/>
  <c r="AZ150" i="2"/>
  <c r="AY150" i="2"/>
  <c r="AY277" i="2"/>
  <c r="BD239" i="2"/>
  <c r="AV317" i="2"/>
  <c r="BG419" i="2"/>
  <c r="AO354" i="2"/>
  <c r="AN239" i="2"/>
  <c r="BD381" i="2"/>
  <c r="AW81" i="2"/>
  <c r="BD318" i="2"/>
  <c r="BD246" i="2"/>
  <c r="AY83" i="2"/>
  <c r="BH84" i="2"/>
  <c r="AY253" i="2"/>
  <c r="AN248" i="2"/>
  <c r="AN315" i="2"/>
  <c r="BG251" i="2"/>
  <c r="AQ336" i="2"/>
  <c r="AV419" i="2"/>
  <c r="AV177" i="2"/>
  <c r="AQ202" i="2"/>
  <c r="AN1467" i="2"/>
  <c r="AN178" i="2"/>
  <c r="AN379" i="2"/>
  <c r="BG242" i="2"/>
  <c r="BG439" i="2"/>
  <c r="BC1456" i="2"/>
  <c r="BC1457" i="2" s="1"/>
  <c r="AQ317" i="2"/>
  <c r="BG84" i="2"/>
  <c r="AP1463" i="2"/>
  <c r="AP1464" i="2" s="1"/>
  <c r="AQ124" i="2"/>
  <c r="AY318" i="2"/>
  <c r="AN536" i="2"/>
  <c r="AQ88" i="2"/>
  <c r="AQ378" i="2"/>
  <c r="AY140" i="2"/>
  <c r="AV195" i="2"/>
  <c r="AY25" i="2"/>
  <c r="BD84" i="2"/>
  <c r="AQ376" i="2"/>
  <c r="AN253" i="2"/>
  <c r="AV319" i="2"/>
  <c r="AN244" i="2"/>
  <c r="AN372" i="2"/>
  <c r="AV250" i="2"/>
  <c r="AY543" i="2"/>
  <c r="BD319" i="2"/>
  <c r="AV340" i="2"/>
  <c r="BG316" i="2"/>
  <c r="AV124" i="2"/>
  <c r="BE358" i="2"/>
  <c r="AU1463" i="2"/>
  <c r="AU1464" i="2" s="1"/>
  <c r="BD358" i="2"/>
  <c r="BG79" i="2"/>
  <c r="AU1458" i="2"/>
  <c r="AU1456" i="2" s="1"/>
  <c r="AZ83" i="2"/>
  <c r="AV1466" i="2"/>
  <c r="AQ1467" i="2"/>
  <c r="BE81" i="2"/>
  <c r="AV313" i="2"/>
  <c r="BD273" i="2"/>
  <c r="AV311" i="2"/>
  <c r="AQ316" i="2"/>
  <c r="AQ195" i="2"/>
  <c r="BG312" i="2"/>
  <c r="AN252" i="2"/>
  <c r="AQ245" i="2"/>
  <c r="AZ80" i="2"/>
  <c r="BD79" i="2"/>
  <c r="AN375" i="2"/>
  <c r="BG347" i="2"/>
  <c r="AQ126" i="2"/>
  <c r="AY312" i="2"/>
  <c r="BD178" i="2"/>
  <c r="AN251" i="2"/>
  <c r="BD375" i="2"/>
  <c r="AQ319" i="2"/>
  <c r="AV202" i="2"/>
  <c r="BH794" i="2"/>
  <c r="AV358" i="2"/>
  <c r="AP353" i="2"/>
  <c r="AP372" i="2" s="1"/>
  <c r="AQ372" i="2" s="1"/>
  <c r="AN181" i="2"/>
  <c r="BD81" i="2"/>
  <c r="AV239" i="2"/>
  <c r="AV253" i="2"/>
  <c r="BE1467" i="2"/>
  <c r="BG794" i="2"/>
  <c r="BH536" i="2"/>
  <c r="BG320" i="2"/>
  <c r="AQ347" i="2"/>
  <c r="BG127" i="2"/>
  <c r="BG96" i="2" s="1"/>
  <c r="AR81" i="2"/>
  <c r="AO1466" i="2"/>
  <c r="AW358" i="2"/>
  <c r="BH1455" i="2"/>
  <c r="AO1460" i="2"/>
  <c r="AV126" i="2"/>
  <c r="AY81" i="2"/>
  <c r="AQ87" i="2"/>
  <c r="AN243" i="2"/>
  <c r="AY242" i="2"/>
  <c r="BG246" i="2"/>
  <c r="BH88" i="2"/>
  <c r="AV36" i="2"/>
  <c r="AQ84" i="2"/>
  <c r="BD80" i="2"/>
  <c r="BH367" i="2"/>
  <c r="AV435" i="2"/>
  <c r="BD320" i="2"/>
  <c r="BG1459" i="2"/>
  <c r="AY319" i="2"/>
  <c r="AQ385" i="2"/>
  <c r="BG88" i="2"/>
  <c r="BC1463" i="2"/>
  <c r="BG793" i="2"/>
  <c r="AQ786" i="2"/>
  <c r="AN319" i="2"/>
  <c r="BH83" i="2"/>
  <c r="AY374" i="2"/>
  <c r="BD431" i="2"/>
  <c r="AN354" i="2"/>
  <c r="AY87" i="2"/>
  <c r="AQ367" i="2"/>
  <c r="AQ315" i="2"/>
  <c r="AV273" i="2"/>
  <c r="BE1466" i="2"/>
  <c r="BD1466" i="2"/>
  <c r="BH1466" i="2"/>
  <c r="AQ81" i="2"/>
  <c r="AO1467" i="2"/>
  <c r="AO87" i="2"/>
  <c r="AN1455" i="2"/>
  <c r="AW87" i="2"/>
  <c r="AZ81" i="2"/>
  <c r="AQ431" i="2"/>
  <c r="AV240" i="2"/>
  <c r="BE79" i="2"/>
  <c r="AW85" i="2"/>
  <c r="AN273" i="2"/>
  <c r="AQ313" i="2"/>
  <c r="AN313" i="2"/>
  <c r="BD244" i="2"/>
  <c r="AV406" i="2"/>
  <c r="AQ125" i="2"/>
  <c r="BD195" i="2"/>
  <c r="BB373" i="2"/>
  <c r="BD373" i="2" s="1"/>
  <c r="AY363" i="2"/>
  <c r="AY250" i="2"/>
  <c r="BF353" i="2"/>
  <c r="BG353" i="2" s="1"/>
  <c r="BD536" i="2"/>
  <c r="BD87" i="2"/>
  <c r="AN336" i="2"/>
  <c r="AV1465" i="2"/>
  <c r="AW88" i="2"/>
  <c r="AL1456" i="2"/>
  <c r="AL1461" i="2" s="1"/>
  <c r="AN376" i="2"/>
  <c r="AV443" i="2"/>
  <c r="AR536" i="2"/>
  <c r="AV363" i="2"/>
  <c r="AW80" i="2"/>
  <c r="BC82" i="2"/>
  <c r="BC86" i="2" s="1"/>
  <c r="BC89" i="2" s="1"/>
  <c r="BE536" i="2"/>
  <c r="AN127" i="2"/>
  <c r="AQ244" i="2"/>
  <c r="BH354" i="2"/>
  <c r="BG1466" i="2"/>
  <c r="AN84" i="2"/>
  <c r="AV81" i="2"/>
  <c r="AY125" i="2"/>
  <c r="BH1459" i="2"/>
  <c r="AZ88" i="2"/>
  <c r="AW367" i="2"/>
  <c r="AQ1460" i="2"/>
  <c r="BD363" i="2"/>
  <c r="AN367" i="2"/>
  <c r="BG435" i="2"/>
  <c r="BG178" i="2"/>
  <c r="AN88" i="2"/>
  <c r="AX1456" i="2"/>
  <c r="AX1457" i="2" s="1"/>
  <c r="AM1463" i="2"/>
  <c r="AM1464" i="2" s="1"/>
  <c r="AP1456" i="2"/>
  <c r="AV244" i="2"/>
  <c r="AM1456" i="2"/>
  <c r="AM1457" i="2" s="1"/>
  <c r="AV315" i="2"/>
  <c r="AU82" i="2"/>
  <c r="AU86" i="2" s="1"/>
  <c r="AU89" i="2" s="1"/>
  <c r="AZ371" i="2"/>
  <c r="AR1455" i="2"/>
  <c r="BG1467" i="2"/>
  <c r="BH1467" i="2"/>
  <c r="BD317" i="2"/>
  <c r="BG136" i="2"/>
  <c r="AP419" i="2"/>
  <c r="BG87" i="2"/>
  <c r="AQ755" i="2"/>
  <c r="AP754" i="2"/>
  <c r="AW363" i="2"/>
  <c r="BF82" i="2"/>
  <c r="BF86" i="2" s="1"/>
  <c r="BF89" i="2" s="1"/>
  <c r="AQ311" i="2"/>
  <c r="AO83" i="2"/>
  <c r="AN83" i="2"/>
  <c r="AO81" i="2"/>
  <c r="AQ536" i="2"/>
  <c r="AT1457" i="2"/>
  <c r="AY443" i="2"/>
  <c r="BG1455" i="2"/>
  <c r="AN81" i="2"/>
  <c r="AO367" i="2"/>
  <c r="AR88" i="2"/>
  <c r="BG195" i="2"/>
  <c r="AZ1456" i="2"/>
  <c r="AY80" i="2"/>
  <c r="AY195" i="2"/>
  <c r="AR83" i="2"/>
  <c r="AN447" i="2"/>
  <c r="AV312" i="2"/>
  <c r="BG536" i="2"/>
  <c r="AV376" i="2"/>
  <c r="AT373" i="2"/>
  <c r="AY373" i="2" s="1"/>
  <c r="BB1463" i="2"/>
  <c r="BG1463" i="2" s="1"/>
  <c r="AO84" i="2"/>
  <c r="AQ251" i="2"/>
  <c r="BG381" i="2"/>
  <c r="AY367" i="2"/>
  <c r="AV29" i="2"/>
  <c r="AN202" i="2"/>
  <c r="BD314" i="2"/>
  <c r="AY320" i="2"/>
  <c r="AV320" i="2"/>
  <c r="AX353" i="2"/>
  <c r="AX406" i="2" s="1"/>
  <c r="AY406" i="2" s="1"/>
  <c r="BG85" i="2"/>
  <c r="BD85" i="2"/>
  <c r="BH85" i="2"/>
  <c r="BE85" i="2"/>
  <c r="AV336" i="2"/>
  <c r="AV1459" i="2"/>
  <c r="AZ1459" i="2"/>
  <c r="BD253" i="2"/>
  <c r="BG253" i="2"/>
  <c r="AN87" i="2"/>
  <c r="AY245" i="2"/>
  <c r="BG358" i="2"/>
  <c r="AZ543" i="2"/>
  <c r="AP89" i="2"/>
  <c r="AY358" i="2"/>
  <c r="AN126" i="2"/>
  <c r="AY435" i="2"/>
  <c r="BG249" i="2"/>
  <c r="AY354" i="2"/>
  <c r="AQ83" i="2"/>
  <c r="BG443" i="2"/>
  <c r="BF1456" i="2"/>
  <c r="BF1457" i="2" s="1"/>
  <c r="AV447" i="2"/>
  <c r="AW543" i="2"/>
  <c r="AX89" i="2"/>
  <c r="AR79" i="2"/>
  <c r="BG543" i="2"/>
  <c r="AY380" i="2"/>
  <c r="BD83" i="2"/>
  <c r="AQ80" i="2"/>
  <c r="BH381" i="2"/>
  <c r="BD18" i="2"/>
  <c r="AZ367" i="2"/>
  <c r="AY241" i="2"/>
  <c r="AY439" i="2"/>
  <c r="BG202" i="2"/>
  <c r="AT1463" i="2"/>
  <c r="AT1464" i="2" s="1"/>
  <c r="AY1464" i="2" s="1"/>
  <c r="AY311" i="2"/>
  <c r="AO536" i="2"/>
  <c r="AY347" i="2"/>
  <c r="AN439" i="2"/>
  <c r="BD316" i="2"/>
  <c r="BG375" i="2"/>
  <c r="AO543" i="2"/>
  <c r="AN543" i="2"/>
  <c r="BG447" i="2"/>
  <c r="BB413" i="2"/>
  <c r="AO1459" i="2"/>
  <c r="BH825" i="2"/>
  <c r="AY178" i="2"/>
  <c r="AV178" i="2"/>
  <c r="BG367" i="2"/>
  <c r="BE80" i="2"/>
  <c r="AQ243" i="2"/>
  <c r="AV354" i="2"/>
  <c r="AZ786" i="2"/>
  <c r="AL82" i="2"/>
  <c r="AQ82" i="2" s="1"/>
  <c r="AQ543" i="2"/>
  <c r="AN311" i="2"/>
  <c r="AY447" i="2"/>
  <c r="AQ443" i="2"/>
  <c r="AR389" i="2"/>
  <c r="AX754" i="2"/>
  <c r="AV385" i="2"/>
  <c r="AW385" i="2"/>
  <c r="AR87" i="2"/>
  <c r="BD347" i="2"/>
  <c r="BG125" i="2"/>
  <c r="BG319" i="2"/>
  <c r="BG374" i="2"/>
  <c r="BD136" i="2"/>
  <c r="BF411" i="2"/>
  <c r="BG411" i="2" s="1"/>
  <c r="AX411" i="2"/>
  <c r="AZ411" i="2" s="1"/>
  <c r="BG362" i="2"/>
  <c r="BH362" i="2"/>
  <c r="AW1458" i="2"/>
  <c r="AV278" i="2"/>
  <c r="AY278" i="2"/>
  <c r="BH353" i="2"/>
  <c r="BF372" i="2"/>
  <c r="BG372" i="2" s="1"/>
  <c r="AP405" i="2"/>
  <c r="AR371" i="2"/>
  <c r="AQ371" i="2"/>
  <c r="BC1464" i="2"/>
  <c r="AN196" i="2"/>
  <c r="AQ196" i="2"/>
  <c r="AQ413" i="2"/>
  <c r="AN413" i="2"/>
  <c r="BD278" i="2"/>
  <c r="AL1464" i="2"/>
  <c r="AR1463" i="2"/>
  <c r="AN1463" i="2"/>
  <c r="AO1463" i="2"/>
  <c r="AQ1463" i="2"/>
  <c r="AV1458" i="2"/>
  <c r="BF1464" i="2"/>
  <c r="BB1464" i="2"/>
  <c r="BD1463" i="2"/>
  <c r="BG373" i="2"/>
  <c r="AQ341" i="2"/>
  <c r="AN341" i="2"/>
  <c r="AY196" i="2"/>
  <c r="AV196" i="2"/>
  <c r="AN82" i="2"/>
  <c r="AL86" i="2"/>
  <c r="BD341" i="2"/>
  <c r="BG341" i="2"/>
  <c r="AR353" i="2"/>
  <c r="AQ353" i="2"/>
  <c r="BG90" i="2"/>
  <c r="BD90" i="2"/>
  <c r="BD377" i="2"/>
  <c r="BG377" i="2"/>
  <c r="BF1461" i="2"/>
  <c r="BB86" i="2"/>
  <c r="BH82" i="2"/>
  <c r="AN377" i="2"/>
  <c r="AQ377" i="2"/>
  <c r="AQ90" i="2"/>
  <c r="AN90" i="2"/>
  <c r="AV377" i="2"/>
  <c r="AY377" i="2"/>
  <c r="AY341" i="2"/>
  <c r="AV341" i="2"/>
  <c r="AQ793" i="2"/>
  <c r="AR793" i="2"/>
  <c r="AY413" i="2"/>
  <c r="AV413" i="2"/>
  <c r="BD1458" i="2"/>
  <c r="BE1458" i="2"/>
  <c r="BH1458" i="2"/>
  <c r="BG1458" i="2"/>
  <c r="BB1456" i="2"/>
  <c r="BG196" i="2"/>
  <c r="BD196" i="2"/>
  <c r="AZ793" i="2"/>
  <c r="AY793" i="2"/>
  <c r="BH754" i="2"/>
  <c r="BG754" i="2"/>
  <c r="AV90" i="2"/>
  <c r="AY90" i="2"/>
  <c r="AQ373" i="2"/>
  <c r="AN373" i="2"/>
  <c r="AQ278" i="2"/>
  <c r="AN278" i="2"/>
  <c r="AR362" i="2"/>
  <c r="AQ362" i="2"/>
  <c r="AZ405" i="2"/>
  <c r="AT86" i="2"/>
  <c r="AY82" i="2"/>
  <c r="AV82" i="2"/>
  <c r="AZ82" i="2"/>
  <c r="AT1462" i="2"/>
  <c r="AH286" i="2"/>
  <c r="AJ286" i="2" s="1"/>
  <c r="AX372" i="2" l="1"/>
  <c r="AY372" i="2" s="1"/>
  <c r="AY1457" i="2"/>
  <c r="BH411" i="2"/>
  <c r="AO82" i="2"/>
  <c r="BH1463" i="2"/>
  <c r="BG82" i="2"/>
  <c r="AW82" i="2"/>
  <c r="BD82" i="2"/>
  <c r="AW1463" i="2"/>
  <c r="AY1463" i="2"/>
  <c r="AO1456" i="2"/>
  <c r="BE82" i="2"/>
  <c r="AR1456" i="2"/>
  <c r="AV1463" i="2"/>
  <c r="BC1461" i="2"/>
  <c r="BC1470" i="2" s="1"/>
  <c r="BC1471" i="2" s="1"/>
  <c r="AV373" i="2"/>
  <c r="BF406" i="2"/>
  <c r="BG406" i="2" s="1"/>
  <c r="AV1464" i="2"/>
  <c r="AL1457" i="2"/>
  <c r="AN1456" i="2"/>
  <c r="AT1470" i="2"/>
  <c r="AT1471" i="2" s="1"/>
  <c r="AQ1456" i="2"/>
  <c r="AX1461" i="2"/>
  <c r="AY1461" i="2" s="1"/>
  <c r="AR82" i="2"/>
  <c r="AZ1463" i="2"/>
  <c r="BE1463" i="2"/>
  <c r="AY1456" i="2"/>
  <c r="BG413" i="2"/>
  <c r="BD413" i="2"/>
  <c r="AY353" i="2"/>
  <c r="AZ353" i="2"/>
  <c r="AU1457" i="2"/>
  <c r="AV1457" i="2" s="1"/>
  <c r="AU1461" i="2"/>
  <c r="AW1456" i="2"/>
  <c r="AP1461" i="2"/>
  <c r="AQ1461" i="2" s="1"/>
  <c r="AP1457" i="2"/>
  <c r="AQ1457" i="2" s="1"/>
  <c r="AR754" i="2"/>
  <c r="AQ754" i="2"/>
  <c r="AV1456" i="2"/>
  <c r="AY754" i="2"/>
  <c r="AZ754" i="2"/>
  <c r="AM1461" i="2"/>
  <c r="AN1461" i="2" s="1"/>
  <c r="BF412" i="2"/>
  <c r="BG412" i="2" s="1"/>
  <c r="AX412" i="2"/>
  <c r="AY412" i="2" s="1"/>
  <c r="AY411" i="2"/>
  <c r="BF1462" i="2"/>
  <c r="BF1468" i="2" s="1"/>
  <c r="BF1469" i="2" s="1"/>
  <c r="BF1470" i="2"/>
  <c r="BF1471" i="2" s="1"/>
  <c r="BD1464" i="2"/>
  <c r="BG1464" i="2"/>
  <c r="AT89" i="2"/>
  <c r="AZ86" i="2"/>
  <c r="AW86" i="2"/>
  <c r="AV86" i="2"/>
  <c r="AY86" i="2"/>
  <c r="AL89" i="2"/>
  <c r="AQ86" i="2"/>
  <c r="AN86" i="2"/>
  <c r="AO86" i="2"/>
  <c r="AR86" i="2"/>
  <c r="BC1462" i="2"/>
  <c r="BC1468" i="2" s="1"/>
  <c r="BC1469" i="2" s="1"/>
  <c r="AN1464" i="2"/>
  <c r="AQ1464" i="2"/>
  <c r="BE1456" i="2"/>
  <c r="BB1461" i="2"/>
  <c r="BD1456" i="2"/>
  <c r="BH1456" i="2"/>
  <c r="BG1456" i="2"/>
  <c r="BB1457" i="2"/>
  <c r="BB89" i="2"/>
  <c r="BE86" i="2"/>
  <c r="BD86" i="2"/>
  <c r="BG86" i="2"/>
  <c r="BH86" i="2"/>
  <c r="AR405" i="2"/>
  <c r="AP411" i="2"/>
  <c r="AQ405" i="2"/>
  <c r="AP406" i="2"/>
  <c r="AQ406" i="2" s="1"/>
  <c r="AN1457" i="2"/>
  <c r="AR1461" i="2"/>
  <c r="AL1470" i="2"/>
  <c r="AL1462" i="2"/>
  <c r="AT1468" i="2"/>
  <c r="AH30" i="2"/>
  <c r="AO1461" i="2" l="1"/>
  <c r="AX1470" i="2"/>
  <c r="AX1471" i="2" s="1"/>
  <c r="AX1462" i="2"/>
  <c r="AX1468" i="2" s="1"/>
  <c r="AX1469" i="2" s="1"/>
  <c r="AZ1461" i="2"/>
  <c r="AP1462" i="2"/>
  <c r="AP1468" i="2" s="1"/>
  <c r="AP1469" i="2" s="1"/>
  <c r="AP1470" i="2"/>
  <c r="AP1471" i="2" s="1"/>
  <c r="AM1462" i="2"/>
  <c r="AM1468" i="2" s="1"/>
  <c r="AM1469" i="2" s="1"/>
  <c r="AM1470" i="2"/>
  <c r="AM1471" i="2" s="1"/>
  <c r="AU1462" i="2"/>
  <c r="AV1461" i="2"/>
  <c r="AU1470" i="2"/>
  <c r="AW1461" i="2"/>
  <c r="AY1470" i="2"/>
  <c r="BG1457" i="2"/>
  <c r="BD1457" i="2"/>
  <c r="AR411" i="2"/>
  <c r="AP412" i="2"/>
  <c r="AQ412" i="2" s="1"/>
  <c r="AQ411" i="2"/>
  <c r="BG1461" i="2"/>
  <c r="BH1461" i="2"/>
  <c r="BB1462" i="2"/>
  <c r="BB1470" i="2"/>
  <c r="BE1461" i="2"/>
  <c r="BD1461" i="2"/>
  <c r="AN89" i="2"/>
  <c r="AQ89" i="2"/>
  <c r="AR89" i="2"/>
  <c r="AO89" i="2"/>
  <c r="AZ89" i="2"/>
  <c r="AW89" i="2"/>
  <c r="AV89" i="2"/>
  <c r="AY89" i="2"/>
  <c r="BG89" i="2"/>
  <c r="BH89" i="2"/>
  <c r="BD89" i="2"/>
  <c r="BE89" i="2"/>
  <c r="AL1471" i="2"/>
  <c r="AO1470" i="2"/>
  <c r="AR1470" i="2"/>
  <c r="AQ1470" i="2"/>
  <c r="AN1470" i="2"/>
  <c r="AL1468" i="2"/>
  <c r="AY1471" i="2"/>
  <c r="AT1469" i="2"/>
  <c r="AH231" i="2"/>
  <c r="AJ231" i="2" s="1"/>
  <c r="AQ1462" i="2" l="1"/>
  <c r="AZ1470" i="2"/>
  <c r="AY1468" i="2"/>
  <c r="AZ1468" i="2"/>
  <c r="AY1462" i="2"/>
  <c r="AN1462" i="2"/>
  <c r="AU1471" i="2"/>
  <c r="AV1471" i="2" s="1"/>
  <c r="AV1470" i="2"/>
  <c r="AW1470" i="2"/>
  <c r="AU1468" i="2"/>
  <c r="AV1462" i="2"/>
  <c r="BB1468" i="2"/>
  <c r="BG1462" i="2"/>
  <c r="BD1462" i="2"/>
  <c r="BD1470" i="2"/>
  <c r="BH1470" i="2"/>
  <c r="BB1471" i="2"/>
  <c r="BG1470" i="2"/>
  <c r="BE1470" i="2"/>
  <c r="AN1468" i="2"/>
  <c r="AR1468" i="2"/>
  <c r="AQ1468" i="2"/>
  <c r="AO1468" i="2"/>
  <c r="AL1469" i="2"/>
  <c r="AQ1471" i="2"/>
  <c r="AN1471" i="2"/>
  <c r="AY1469" i="2"/>
  <c r="AH350" i="2"/>
  <c r="AJ350" i="2" s="1"/>
  <c r="AU1469" i="2" l="1"/>
  <c r="AV1469" i="2" s="1"/>
  <c r="AW1468" i="2"/>
  <c r="AV1468" i="2"/>
  <c r="BD1471" i="2"/>
  <c r="BG1471" i="2"/>
  <c r="BE1468" i="2"/>
  <c r="BG1468" i="2"/>
  <c r="BB1469" i="2"/>
  <c r="BD1468" i="2"/>
  <c r="BH1468" i="2"/>
  <c r="AQ1469" i="2"/>
  <c r="AN1469" i="2"/>
  <c r="AH204" i="2"/>
  <c r="AJ204" i="2" s="1"/>
  <c r="BD1469" i="2" l="1"/>
  <c r="BG1469" i="2"/>
  <c r="AH295" i="2"/>
  <c r="AJ295" i="2" s="1"/>
  <c r="AH205" i="2" l="1"/>
  <c r="AJ205" i="2" s="1"/>
  <c r="R219" i="1"/>
  <c r="R217" i="1" l="1"/>
  <c r="AF30" i="2" l="1"/>
  <c r="AI30" i="2" s="1"/>
  <c r="AJ30" i="2" s="1"/>
  <c r="X43" i="1"/>
  <c r="R216" i="1" l="1"/>
  <c r="R220" i="1" l="1"/>
  <c r="S96" i="1" l="1"/>
  <c r="AG314" i="2" l="1"/>
  <c r="Z351" i="1" l="1"/>
  <c r="AA96" i="1" l="1"/>
  <c r="AG117" i="2"/>
  <c r="Z354" i="1"/>
  <c r="Z356" i="1"/>
  <c r="AG318" i="2"/>
  <c r="AG169" i="2"/>
  <c r="Z308" i="1"/>
  <c r="AE224" i="2" l="1"/>
  <c r="AE223" i="2" s="1"/>
  <c r="U342" i="1"/>
  <c r="AG320" i="2"/>
  <c r="AG315" i="2"/>
  <c r="U334" i="1"/>
  <c r="U250" i="1"/>
  <c r="Z352" i="1"/>
  <c r="AG22" i="2"/>
  <c r="AE22" i="2"/>
  <c r="Z355" i="1"/>
  <c r="AG319" i="2"/>
  <c r="X96" i="1"/>
  <c r="AE301" i="2" l="1"/>
  <c r="AE300" i="2" s="1"/>
  <c r="AG1459" i="2"/>
  <c r="AE1459" i="2"/>
  <c r="AE291" i="2" l="1"/>
  <c r="AE290" i="2" s="1"/>
  <c r="AA272" i="1"/>
  <c r="X225" i="1"/>
  <c r="U275" i="1"/>
  <c r="AA118" i="1" l="1"/>
  <c r="U212" i="1"/>
  <c r="AG268" i="2"/>
  <c r="AA233" i="1"/>
  <c r="U298" i="1"/>
  <c r="AA175" i="1" l="1"/>
  <c r="AA206" i="1"/>
  <c r="X196" i="1"/>
  <c r="S272" i="1"/>
  <c r="AA282" i="1"/>
  <c r="AA90" i="1"/>
  <c r="AA243" i="1"/>
  <c r="AA86" i="1"/>
  <c r="AA313" i="1"/>
  <c r="AA77" i="1"/>
  <c r="S286" i="1"/>
  <c r="AA274" i="1"/>
  <c r="U245" i="1"/>
  <c r="X179" i="1" l="1"/>
  <c r="S334" i="1"/>
  <c r="AA286" i="1"/>
  <c r="AE743" i="2"/>
  <c r="U317" i="1"/>
  <c r="U93" i="1" l="1"/>
  <c r="S309" i="1"/>
  <c r="AA196" i="1"/>
  <c r="AA301" i="1"/>
  <c r="U279" i="1"/>
  <c r="AE856" i="2"/>
  <c r="U194" i="1"/>
  <c r="AA304" i="1"/>
  <c r="S317" i="1"/>
  <c r="X278" i="1"/>
  <c r="AA309" i="1"/>
  <c r="X312" i="1"/>
  <c r="X308" i="1"/>
  <c r="AA357" i="1"/>
  <c r="S266" i="1"/>
  <c r="AG291" i="2"/>
  <c r="AE719" i="2"/>
  <c r="U301" i="1"/>
  <c r="AG290" i="2" l="1"/>
  <c r="AA334" i="1"/>
  <c r="AA268" i="1"/>
  <c r="AG331" i="2"/>
  <c r="AA316" i="1"/>
  <c r="X206" i="1"/>
  <c r="X309" i="1"/>
  <c r="AA312" i="1"/>
  <c r="X316" i="1"/>
  <c r="S325" i="1"/>
  <c r="S324" i="1" s="1"/>
  <c r="U302" i="1" l="1"/>
  <c r="X313" i="1"/>
  <c r="X317" i="1"/>
  <c r="S278" i="1"/>
  <c r="AG98" i="2" l="1"/>
  <c r="X90" i="1"/>
  <c r="X286" i="1"/>
  <c r="X282" i="1"/>
  <c r="AA308" i="1"/>
  <c r="U72" i="1"/>
  <c r="U91" i="1"/>
  <c r="U182" i="1"/>
  <c r="U213" i="1"/>
  <c r="U287" i="1"/>
  <c r="U68" i="1"/>
  <c r="U57" i="1"/>
  <c r="U207" i="1"/>
  <c r="U239" i="1"/>
  <c r="X301" i="1"/>
  <c r="AA317" i="1"/>
  <c r="S354" i="1"/>
  <c r="AA278" i="1"/>
  <c r="X355" i="1"/>
  <c r="S274" i="1"/>
  <c r="X194" i="1"/>
  <c r="X231" i="1"/>
  <c r="S355" i="1"/>
  <c r="X243" i="1"/>
  <c r="X227" i="1"/>
  <c r="AA195" i="1"/>
  <c r="U244" i="1"/>
  <c r="U60" i="1"/>
  <c r="U69" i="1"/>
  <c r="X233" i="1"/>
  <c r="AA235" i="1"/>
  <c r="U247" i="1"/>
  <c r="U315" i="1"/>
  <c r="AA305" i="1"/>
  <c r="AA210" i="1"/>
  <c r="AA226" i="1"/>
  <c r="AA232" i="1"/>
  <c r="S49" i="1"/>
  <c r="S305" i="1"/>
  <c r="AA49" i="1"/>
  <c r="AA228" i="1"/>
  <c r="X272" i="1"/>
  <c r="AA225" i="1"/>
  <c r="X304" i="1"/>
  <c r="U283" i="1"/>
  <c r="U171" i="1"/>
  <c r="S184" i="1"/>
  <c r="U284" i="1"/>
  <c r="X228" i="1"/>
  <c r="U51" i="1" l="1"/>
  <c r="AA179" i="1"/>
  <c r="X86" i="1"/>
  <c r="S282" i="1"/>
  <c r="X195" i="1"/>
  <c r="S74" i="1"/>
  <c r="U272" i="1"/>
  <c r="U233" i="1"/>
  <c r="S353" i="1"/>
  <c r="AA320" i="1"/>
  <c r="AE862" i="2"/>
  <c r="X357" i="1"/>
  <c r="AE220" i="2"/>
  <c r="AE98" i="2"/>
  <c r="AE211" i="2"/>
  <c r="X334" i="1"/>
  <c r="X274" i="1"/>
  <c r="AA194" i="1"/>
  <c r="U206" i="1"/>
  <c r="U78" i="1"/>
  <c r="U303" i="1"/>
  <c r="AE857" i="2"/>
  <c r="U225" i="1"/>
  <c r="U196" i="1"/>
  <c r="X354" i="1"/>
  <c r="X232" i="1"/>
  <c r="U82" i="1"/>
  <c r="U309" i="1"/>
  <c r="AE172" i="2"/>
  <c r="AE731" i="2"/>
  <c r="X77" i="1"/>
  <c r="AE858" i="2"/>
  <c r="Z360" i="1"/>
  <c r="X175" i="1"/>
  <c r="Z309" i="1"/>
  <c r="Z306" i="1"/>
  <c r="U313" i="1"/>
  <c r="Z194" i="1"/>
  <c r="U192" i="1"/>
  <c r="AG856" i="2" l="1"/>
  <c r="X118" i="1"/>
  <c r="AG731" i="2"/>
  <c r="U195" i="1"/>
  <c r="Z96" i="1"/>
  <c r="AE737" i="2"/>
  <c r="X268" i="1"/>
  <c r="S356" i="1"/>
  <c r="AA356" i="1"/>
  <c r="U203" i="1"/>
  <c r="U322" i="1"/>
  <c r="U211" i="1"/>
  <c r="U299" i="1"/>
  <c r="U280" i="1"/>
  <c r="X271" i="1"/>
  <c r="X351" i="1"/>
  <c r="AA231" i="1"/>
  <c r="X356" i="1"/>
  <c r="S351" i="1"/>
  <c r="X226" i="1"/>
  <c r="X234" i="1"/>
  <c r="U311" i="1"/>
  <c r="U297" i="1"/>
  <c r="U89" i="1"/>
  <c r="U71" i="1" l="1"/>
  <c r="AG729" i="2"/>
  <c r="U209" i="1"/>
  <c r="AE616" i="2"/>
  <c r="U88" i="1"/>
  <c r="U96" i="1"/>
  <c r="U198" i="1"/>
  <c r="U242" i="1"/>
  <c r="U87" i="1"/>
  <c r="U241" i="1"/>
  <c r="X210" i="1"/>
  <c r="U292" i="1"/>
  <c r="U290" i="1"/>
  <c r="U92" i="1"/>
  <c r="Z178" i="1"/>
  <c r="Z334" i="1"/>
  <c r="S229" i="1"/>
  <c r="X342" i="1"/>
  <c r="S291" i="1"/>
  <c r="Z83" i="1"/>
  <c r="U48" i="1"/>
  <c r="U246" i="1"/>
  <c r="U208" i="1"/>
  <c r="AA354" i="1"/>
  <c r="S232" i="1"/>
  <c r="AA229" i="1"/>
  <c r="AA271" i="1"/>
  <c r="X352" i="1"/>
  <c r="U181" i="1" l="1"/>
  <c r="U318" i="1"/>
  <c r="AA291" i="1"/>
  <c r="U321" i="1"/>
  <c r="U310" i="1"/>
  <c r="U291" i="1"/>
  <c r="AE314" i="2"/>
  <c r="AE863" i="2"/>
  <c r="X235" i="1"/>
  <c r="U351" i="1"/>
  <c r="U288" i="1"/>
  <c r="AE117" i="2"/>
  <c r="U190" i="1"/>
  <c r="AE169" i="2"/>
  <c r="X229" i="1"/>
  <c r="X49" i="1"/>
  <c r="Z184" i="1"/>
  <c r="U205" i="1"/>
  <c r="U359" i="1"/>
  <c r="U319" i="1"/>
  <c r="U307" i="1"/>
  <c r="S227" i="1"/>
  <c r="U323" i="1"/>
  <c r="U248" i="1"/>
  <c r="X53" i="1"/>
  <c r="S53" i="1"/>
  <c r="AE318" i="2"/>
  <c r="Z292" i="1"/>
  <c r="U178" i="1"/>
  <c r="AE725" i="2"/>
  <c r="U360" i="1"/>
  <c r="U358" i="1"/>
  <c r="U180" i="1"/>
  <c r="Z173" i="1"/>
  <c r="AE215" i="2"/>
  <c r="AA234" i="1"/>
  <c r="X320" i="1"/>
  <c r="S352" i="1"/>
  <c r="AA352" i="1"/>
  <c r="Z295" i="1"/>
  <c r="Z307" i="1"/>
  <c r="U229" i="1"/>
  <c r="U240" i="1"/>
  <c r="S234" i="1"/>
  <c r="U56" i="1"/>
  <c r="U52" i="1"/>
  <c r="U231" i="1"/>
  <c r="AA227" i="1"/>
  <c r="AE218" i="2"/>
  <c r="U296" i="1"/>
  <c r="U61" i="1"/>
  <c r="U314" i="1"/>
  <c r="U184" i="1"/>
  <c r="X291" i="1"/>
  <c r="U354" i="1"/>
  <c r="U320" i="1"/>
  <c r="AE747" i="2"/>
  <c r="AA184" i="1"/>
  <c r="AA53" i="1"/>
  <c r="S250" i="1"/>
  <c r="U232" i="1"/>
  <c r="AA342" i="1"/>
  <c r="AG215" i="2"/>
  <c r="AG224" i="2"/>
  <c r="AE219" i="2"/>
  <c r="AG301" i="2"/>
  <c r="Z250" i="1"/>
  <c r="X250" i="1"/>
  <c r="U234" i="1"/>
  <c r="U227" i="1"/>
  <c r="U53" i="1"/>
  <c r="U235" i="1"/>
  <c r="U210" i="1"/>
  <c r="AE214" i="2"/>
  <c r="U305" i="1"/>
  <c r="Z229" i="1"/>
  <c r="AE212" i="2"/>
  <c r="AE221" i="2"/>
  <c r="AE213" i="2"/>
  <c r="AE105" i="2"/>
  <c r="U226" i="1"/>
  <c r="AE222" i="2"/>
  <c r="AE620" i="2"/>
  <c r="AE122" i="2" l="1"/>
  <c r="AG213" i="2"/>
  <c r="AG105" i="2"/>
  <c r="AE159" i="2"/>
  <c r="AG159" i="2"/>
  <c r="U59" i="1"/>
  <c r="U85" i="1"/>
  <c r="AG300" i="2"/>
  <c r="AG223" i="2"/>
  <c r="AE422" i="2"/>
  <c r="S342" i="1"/>
  <c r="AA250" i="1"/>
  <c r="Z227" i="1"/>
  <c r="Z342" i="1"/>
  <c r="X184" i="1"/>
  <c r="U228" i="1"/>
  <c r="AE113" i="2"/>
  <c r="U49" i="1"/>
  <c r="AA351" i="1"/>
  <c r="Z322" i="1"/>
  <c r="Z53" i="1"/>
  <c r="U238" i="1"/>
  <c r="AA355" i="1"/>
  <c r="X305" i="1"/>
  <c r="AG122" i="2" l="1"/>
  <c r="AE1491" i="2"/>
  <c r="U276" i="1"/>
  <c r="U83" i="1"/>
  <c r="AE861" i="2"/>
  <c r="Z48" i="1"/>
  <c r="U355" i="1"/>
  <c r="U352" i="1"/>
  <c r="Z288" i="1"/>
  <c r="Z242" i="1"/>
  <c r="U173" i="1"/>
  <c r="AE1500" i="2" l="1"/>
  <c r="AE1509" i="2" s="1"/>
  <c r="AG1491" i="2"/>
  <c r="AE315" i="2"/>
  <c r="U306" i="1"/>
  <c r="U271" i="1"/>
  <c r="AE319" i="2"/>
  <c r="Z299" i="1"/>
  <c r="U295" i="1"/>
  <c r="U356" i="1"/>
  <c r="Z192" i="1"/>
  <c r="AE320" i="2"/>
  <c r="Z241" i="1"/>
  <c r="AG1500" i="2" l="1"/>
  <c r="Z198" i="1"/>
  <c r="Z203" i="1"/>
  <c r="Z82" i="1"/>
  <c r="Z239" i="1"/>
  <c r="Z247" i="1"/>
  <c r="Z280" i="1"/>
  <c r="Z283" i="1"/>
  <c r="Z60" i="1"/>
  <c r="AG1509" i="2" l="1"/>
  <c r="Z297" i="1"/>
  <c r="AF220" i="2" l="1"/>
  <c r="AF857" i="2" l="1"/>
  <c r="AF98" i="2" l="1"/>
  <c r="AI98" i="2" s="1"/>
  <c r="AF218" i="2"/>
  <c r="AF214" i="2" l="1"/>
  <c r="AH98" i="2" l="1"/>
  <c r="AJ98" i="2" s="1"/>
  <c r="AI302" i="2" l="1"/>
  <c r="W342" i="1"/>
  <c r="AF301" i="2" l="1"/>
  <c r="AI301" i="2" s="1"/>
  <c r="AI300" i="2" s="1"/>
  <c r="AI292" i="2"/>
  <c r="W334" i="1"/>
  <c r="AF300" i="2" l="1"/>
  <c r="AF22" i="2"/>
  <c r="AF224" i="2"/>
  <c r="Z122" i="1" l="1"/>
  <c r="AI22" i="2"/>
  <c r="AI1459" i="2" s="1"/>
  <c r="AI224" i="2"/>
  <c r="AI223" i="2" s="1"/>
  <c r="AF223" i="2"/>
  <c r="AF1459" i="2"/>
  <c r="AI225" i="2"/>
  <c r="W250" i="1"/>
  <c r="AF291" i="2"/>
  <c r="AI291" i="2" l="1"/>
  <c r="AI290" i="2" s="1"/>
  <c r="AF290" i="2"/>
  <c r="AF159" i="2"/>
  <c r="S243" i="1" l="1"/>
  <c r="S235" i="1"/>
  <c r="S206" i="1"/>
  <c r="S320" i="1"/>
  <c r="W231" i="1"/>
  <c r="S271" i="1"/>
  <c r="S194" i="1"/>
  <c r="S231" i="1"/>
  <c r="W228" i="1"/>
  <c r="S226" i="1"/>
  <c r="S228" i="1"/>
  <c r="S210" i="1"/>
  <c r="S225" i="1" l="1"/>
  <c r="AA197" i="1"/>
  <c r="S304" i="1"/>
  <c r="W233" i="1"/>
  <c r="W196" i="1"/>
  <c r="S196" i="1"/>
  <c r="S357" i="1"/>
  <c r="S233" i="1"/>
  <c r="S195" i="1"/>
  <c r="S273" i="1"/>
  <c r="S90" i="1"/>
  <c r="S86" i="1"/>
  <c r="S313" i="1"/>
  <c r="S301" i="1"/>
  <c r="S308" i="1"/>
  <c r="X199" i="1" l="1"/>
  <c r="AG313" i="2"/>
  <c r="AA266" i="1"/>
  <c r="X267" i="1"/>
  <c r="S312" i="1"/>
  <c r="S267" i="1"/>
  <c r="S237" i="1" l="1"/>
  <c r="S265" i="1"/>
  <c r="S316" i="1"/>
  <c r="X289" i="1"/>
  <c r="AG317" i="2" l="1"/>
  <c r="X273" i="1"/>
  <c r="U404" i="1" l="1"/>
  <c r="Z474" i="1"/>
  <c r="X499" i="1"/>
  <c r="Z403" i="1"/>
  <c r="Z458" i="1"/>
  <c r="Z421" i="1"/>
  <c r="U470" i="1"/>
  <c r="X420" i="1" l="1"/>
  <c r="U494" i="1"/>
  <c r="R488" i="1"/>
  <c r="U424" i="1"/>
  <c r="U436" i="1"/>
  <c r="X493" i="1"/>
  <c r="X403" i="1"/>
  <c r="U407" i="1" l="1"/>
  <c r="X470" i="1"/>
  <c r="W488" i="1"/>
  <c r="Z480" i="1"/>
  <c r="U446" i="1"/>
  <c r="X502" i="1"/>
  <c r="U432" i="1"/>
  <c r="Z426" i="1"/>
  <c r="X505" i="1"/>
  <c r="U435" i="1"/>
  <c r="AA404" i="1"/>
  <c r="AA463" i="1"/>
  <c r="U497" i="1"/>
  <c r="X452" i="1"/>
  <c r="AA431" i="1"/>
  <c r="Z420" i="1"/>
  <c r="AA435" i="1"/>
  <c r="AA442" i="1"/>
  <c r="X404" i="1"/>
  <c r="U408" i="1"/>
  <c r="AA477" i="1"/>
  <c r="AA503" i="1"/>
  <c r="AA502" i="1"/>
  <c r="X503" i="1"/>
  <c r="AA494" i="1"/>
  <c r="AA465" i="1"/>
  <c r="Z477" i="1"/>
  <c r="X447" i="1"/>
  <c r="Z414" i="1"/>
  <c r="X498" i="1"/>
  <c r="AA482" i="1"/>
  <c r="Z521" i="1"/>
  <c r="AA425" i="1"/>
  <c r="Z494" i="1"/>
  <c r="Z466" i="1"/>
  <c r="Z443" i="1"/>
  <c r="AA476" i="1"/>
  <c r="Z415" i="1"/>
  <c r="AA480" i="1"/>
  <c r="AA410" i="1"/>
  <c r="U431" i="1"/>
  <c r="U418" i="1"/>
  <c r="Z470" i="1"/>
  <c r="U410" i="1"/>
  <c r="X475" i="1"/>
  <c r="X504" i="1"/>
  <c r="U448" i="1"/>
  <c r="Z499" i="1"/>
  <c r="U430" i="1"/>
  <c r="Z460" i="1"/>
  <c r="X438" i="1"/>
  <c r="X435" i="1"/>
  <c r="W486" i="1"/>
  <c r="Z471" i="1"/>
  <c r="AA504" i="1"/>
  <c r="AA414" i="1"/>
  <c r="U449" i="1"/>
  <c r="R487" i="1"/>
  <c r="X419" i="1"/>
  <c r="AA407" i="1"/>
  <c r="Z463" i="1"/>
  <c r="X441" i="1"/>
  <c r="W487" i="1"/>
  <c r="AA447" i="1"/>
  <c r="X453" i="1"/>
  <c r="U441" i="1"/>
  <c r="Z410" i="1"/>
  <c r="X454" i="1"/>
  <c r="U409" i="1"/>
  <c r="AA430" i="1"/>
  <c r="X408" i="1"/>
  <c r="AA438" i="1"/>
  <c r="R505" i="1"/>
  <c r="U475" i="1"/>
  <c r="AA528" i="1"/>
  <c r="Z487" i="1"/>
  <c r="X480" i="1"/>
  <c r="Z453" i="1"/>
  <c r="Z431" i="1"/>
  <c r="X482" i="1"/>
  <c r="W505" i="1"/>
  <c r="AA466" i="1"/>
  <c r="X464" i="1"/>
  <c r="U480" i="1"/>
  <c r="X414" i="1"/>
  <c r="U426" i="1"/>
  <c r="X431" i="1"/>
  <c r="X481" i="1"/>
  <c r="X448" i="1"/>
  <c r="Z454" i="1"/>
  <c r="U492" i="1"/>
  <c r="X471" i="1"/>
  <c r="AA493" i="1"/>
  <c r="AA471" i="1"/>
  <c r="U486" i="1"/>
  <c r="X521" i="1"/>
  <c r="AA413" i="1"/>
  <c r="Z442" i="1"/>
  <c r="Z430" i="1"/>
  <c r="Z404" i="1"/>
  <c r="X494" i="1"/>
  <c r="AA454" i="1"/>
  <c r="X430" i="1"/>
  <c r="U402" i="1"/>
  <c r="AA475" i="1"/>
  <c r="X413" i="1"/>
  <c r="X469" i="1"/>
  <c r="AA403" i="1"/>
  <c r="U420" i="1"/>
  <c r="AA408" i="1"/>
  <c r="AA508" i="1"/>
  <c r="U476" i="1"/>
  <c r="U493" i="1"/>
  <c r="AA509" i="1"/>
  <c r="AA470" i="1"/>
  <c r="U415" i="1"/>
  <c r="U453" i="1"/>
  <c r="Z449" i="1"/>
  <c r="U471" i="1"/>
  <c r="Z418" i="1"/>
  <c r="Z446" i="1"/>
  <c r="X509" i="1"/>
  <c r="Z435" i="1"/>
  <c r="Z436" i="1"/>
  <c r="U510" i="1"/>
  <c r="X443" i="1"/>
  <c r="Z448" i="1"/>
  <c r="AA448" i="1"/>
  <c r="AA418" i="1"/>
  <c r="Z469" i="1"/>
  <c r="U454" i="1"/>
  <c r="AA469" i="1"/>
  <c r="U443" i="1"/>
  <c r="U518" i="1"/>
  <c r="R486" i="1"/>
  <c r="AA424" i="1"/>
  <c r="AA486" i="1"/>
  <c r="U419" i="1"/>
  <c r="Z510" i="1"/>
  <c r="AA458" i="1"/>
  <c r="AA521" i="1"/>
  <c r="W435" i="1"/>
  <c r="R454" i="1"/>
  <c r="W454" i="1"/>
  <c r="R430" i="1"/>
  <c r="W430" i="1"/>
  <c r="W431" i="1"/>
  <c r="R518" i="1"/>
  <c r="W518" i="1"/>
  <c r="X488" i="1"/>
  <c r="X466" i="1"/>
  <c r="W415" i="1"/>
  <c r="Z482" i="1"/>
  <c r="Z447" i="1"/>
  <c r="U464" i="1"/>
  <c r="W475" i="1"/>
  <c r="W460" i="1"/>
  <c r="W477" i="1"/>
  <c r="W502" i="1"/>
  <c r="R448" i="1"/>
  <c r="AA510" i="1"/>
  <c r="W448" i="1"/>
  <c r="Z408" i="1"/>
  <c r="W528" i="1"/>
  <c r="R509" i="1"/>
  <c r="W509" i="1"/>
  <c r="AA481" i="1"/>
  <c r="W425" i="1"/>
  <c r="AA518" i="1"/>
  <c r="Z486" i="1"/>
  <c r="X432" i="1"/>
  <c r="AA449" i="1"/>
  <c r="Z438" i="1"/>
  <c r="W413" i="1"/>
  <c r="AA443" i="1"/>
  <c r="U458" i="1"/>
  <c r="W402" i="1"/>
  <c r="U459" i="1"/>
  <c r="X436" i="1"/>
  <c r="U491" i="1"/>
  <c r="U452" i="1"/>
  <c r="AA441" i="1"/>
  <c r="U503" i="1"/>
  <c r="R419" i="1"/>
  <c r="U460" i="1"/>
  <c r="AA452" i="1"/>
  <c r="X426" i="1"/>
  <c r="Z475" i="1"/>
  <c r="X463" i="1"/>
  <c r="W419" i="1"/>
  <c r="X476" i="1"/>
  <c r="AA498" i="1"/>
  <c r="Z488" i="1"/>
  <c r="U438" i="1"/>
  <c r="W470" i="1"/>
  <c r="R498" i="1"/>
  <c r="Z432" i="1"/>
  <c r="W498" i="1"/>
  <c r="W465" i="1"/>
  <c r="Z528" i="1"/>
  <c r="R481" i="1"/>
  <c r="W481" i="1"/>
  <c r="R404" i="1"/>
  <c r="Z504" i="1"/>
  <c r="W404" i="1"/>
  <c r="Z503" i="1"/>
  <c r="AA432" i="1"/>
  <c r="U504" i="1"/>
  <c r="W443" i="1"/>
  <c r="U469" i="1"/>
  <c r="W464" i="1"/>
  <c r="R464" i="1"/>
  <c r="R410" i="1"/>
  <c r="X497" i="1"/>
  <c r="W410" i="1"/>
  <c r="Z413" i="1"/>
  <c r="W491" i="1"/>
  <c r="X442" i="1"/>
  <c r="W504" i="1"/>
  <c r="Z497" i="1"/>
  <c r="W497" i="1"/>
  <c r="AA436" i="1"/>
  <c r="Z518" i="1"/>
  <c r="W480" i="1"/>
  <c r="W493" i="1"/>
  <c r="R493" i="1"/>
  <c r="X474" i="1"/>
  <c r="Z493" i="1"/>
  <c r="R414" i="1"/>
  <c r="U505" i="1"/>
  <c r="AA415" i="1"/>
  <c r="Z492" i="1"/>
  <c r="W414" i="1"/>
  <c r="R435" i="1"/>
  <c r="R431" i="1"/>
  <c r="U474" i="1"/>
  <c r="Z425" i="1"/>
  <c r="X491" i="1"/>
  <c r="U413" i="1"/>
  <c r="R460" i="1"/>
  <c r="Z481" i="1"/>
  <c r="X410" i="1"/>
  <c r="R443" i="1"/>
  <c r="R504" i="1"/>
  <c r="R480" i="1"/>
  <c r="U463" i="1"/>
  <c r="Z452" i="1"/>
  <c r="AA419" i="1"/>
  <c r="AA437" i="1"/>
  <c r="AA459" i="1"/>
  <c r="R475" i="1"/>
  <c r="R402" i="1"/>
  <c r="U528" i="1"/>
  <c r="U477" i="1"/>
  <c r="R491" i="1"/>
  <c r="U521" i="1"/>
  <c r="Z491" i="1"/>
  <c r="Z407" i="1"/>
  <c r="Z409" i="1"/>
  <c r="R502" i="1"/>
  <c r="X459" i="1"/>
  <c r="Z419" i="1"/>
  <c r="U482" i="1"/>
  <c r="R470" i="1"/>
  <c r="Z502" i="1"/>
  <c r="Z402" i="1"/>
  <c r="Z498" i="1"/>
  <c r="R415" i="1"/>
  <c r="R477" i="1"/>
  <c r="R528" i="1"/>
  <c r="R425" i="1"/>
  <c r="U481" i="1"/>
  <c r="R413" i="1"/>
  <c r="AA497" i="1"/>
  <c r="R465" i="1"/>
  <c r="X418" i="1"/>
  <c r="R497" i="1"/>
  <c r="Z424" i="1"/>
  <c r="W426" i="1"/>
  <c r="X477" i="1"/>
  <c r="U465" i="1"/>
  <c r="R418" i="1"/>
  <c r="X409" i="1"/>
  <c r="W418" i="1"/>
  <c r="U488" i="1"/>
  <c r="W508" i="1"/>
  <c r="W492" i="1"/>
  <c r="W447" i="1"/>
  <c r="R471" i="1"/>
  <c r="X518" i="1"/>
  <c r="W471" i="1"/>
  <c r="W442" i="1"/>
  <c r="R408" i="1"/>
  <c r="X487" i="1"/>
  <c r="W408" i="1"/>
  <c r="W437" i="1"/>
  <c r="R499" i="1"/>
  <c r="W499" i="1"/>
  <c r="R453" i="1"/>
  <c r="W453" i="1"/>
  <c r="R441" i="1"/>
  <c r="W441" i="1"/>
  <c r="R458" i="1"/>
  <c r="W458" i="1"/>
  <c r="Z437" i="1"/>
  <c r="U403" i="1"/>
  <c r="U442" i="1"/>
  <c r="W436" i="1"/>
  <c r="R407" i="1"/>
  <c r="W407" i="1"/>
  <c r="X460" i="1"/>
  <c r="U508" i="1"/>
  <c r="W466" i="1"/>
  <c r="R466" i="1"/>
  <c r="W503" i="1"/>
  <c r="R432" i="1"/>
  <c r="X415" i="1"/>
  <c r="X437" i="1"/>
  <c r="X421" i="1"/>
  <c r="W432" i="1"/>
  <c r="W459" i="1"/>
  <c r="R438" i="1"/>
  <c r="W438" i="1"/>
  <c r="AA474" i="1"/>
  <c r="W420" i="1"/>
  <c r="AA491" i="1"/>
  <c r="W521" i="1"/>
  <c r="W469" i="1"/>
  <c r="R463" i="1"/>
  <c r="AA499" i="1"/>
  <c r="X407" i="1"/>
  <c r="Z509" i="1"/>
  <c r="U509" i="1"/>
  <c r="W463" i="1"/>
  <c r="AA505" i="1"/>
  <c r="X492" i="1"/>
  <c r="R442" i="1"/>
  <c r="U502" i="1"/>
  <c r="U414" i="1"/>
  <c r="R447" i="1"/>
  <c r="R437" i="1"/>
  <c r="AA492" i="1"/>
  <c r="U498" i="1"/>
  <c r="R492" i="1"/>
  <c r="AA426" i="1"/>
  <c r="AA446" i="1"/>
  <c r="R436" i="1"/>
  <c r="R426" i="1"/>
  <c r="R508" i="1"/>
  <c r="AA409" i="1"/>
  <c r="W449" i="1"/>
  <c r="U487" i="1"/>
  <c r="R469" i="1"/>
  <c r="X458" i="1"/>
  <c r="X510" i="1"/>
  <c r="R521" i="1"/>
  <c r="U499" i="1"/>
  <c r="X424" i="1"/>
  <c r="X465" i="1"/>
  <c r="R459" i="1"/>
  <c r="AA420" i="1"/>
  <c r="R449" i="1"/>
  <c r="R503" i="1"/>
  <c r="AA460" i="1"/>
  <c r="R420" i="1"/>
  <c r="AA488" i="1"/>
  <c r="W474" i="1"/>
  <c r="AA464" i="1"/>
  <c r="Z508" i="1"/>
  <c r="U447" i="1"/>
  <c r="AA421" i="1"/>
  <c r="Z464" i="1"/>
  <c r="U421" i="1"/>
  <c r="X528" i="1"/>
  <c r="W446" i="1"/>
  <c r="W482" i="1"/>
  <c r="R403" i="1"/>
  <c r="W403" i="1"/>
  <c r="U425" i="1"/>
  <c r="Z441" i="1"/>
  <c r="R446" i="1"/>
  <c r="AA402" i="1"/>
  <c r="Z476" i="1"/>
  <c r="U466" i="1"/>
  <c r="R474" i="1"/>
  <c r="AA453" i="1"/>
  <c r="Z465" i="1"/>
  <c r="Z505" i="1"/>
  <c r="R482" i="1"/>
  <c r="W421" i="1"/>
  <c r="R409" i="1"/>
  <c r="X402" i="1"/>
  <c r="W409" i="1"/>
  <c r="R476" i="1"/>
  <c r="W476" i="1"/>
  <c r="W510" i="1"/>
  <c r="X449" i="1"/>
  <c r="W494" i="1"/>
  <c r="R494" i="1"/>
  <c r="W452" i="1"/>
  <c r="X425" i="1"/>
  <c r="R452" i="1"/>
  <c r="R510" i="1"/>
  <c r="R421" i="1"/>
  <c r="Z459" i="1"/>
  <c r="X508" i="1"/>
  <c r="U437" i="1"/>
  <c r="X446" i="1"/>
  <c r="W424" i="1"/>
  <c r="X486" i="1"/>
  <c r="AA487" i="1"/>
  <c r="R424" i="1"/>
  <c r="AD882" i="2"/>
  <c r="W374" i="1"/>
  <c r="AD1052" i="2"/>
  <c r="S421" i="1"/>
  <c r="AA375" i="1"/>
  <c r="AD913" i="2"/>
  <c r="S374" i="1"/>
  <c r="Z386" i="1"/>
  <c r="U385" i="1"/>
  <c r="AA527" i="1" l="1"/>
  <c r="AA468" i="1"/>
  <c r="W390" i="1"/>
  <c r="AA398" i="1"/>
  <c r="AA382" i="1"/>
  <c r="R390" i="1"/>
  <c r="AD1056" i="2"/>
  <c r="S425" i="1" l="1"/>
  <c r="AD965" i="2"/>
  <c r="S452" i="1" l="1"/>
  <c r="W391" i="1"/>
  <c r="R391" i="1"/>
  <c r="AD979" i="2"/>
  <c r="S464" i="1" l="1"/>
  <c r="U468" i="1"/>
  <c r="X397" i="1"/>
  <c r="X406" i="1"/>
  <c r="X396" i="1"/>
  <c r="S486" i="1"/>
  <c r="AD1003" i="2" l="1"/>
  <c r="W524" i="1"/>
  <c r="AA393" i="1"/>
  <c r="W381" i="1"/>
  <c r="AD985" i="2"/>
  <c r="S470" i="1"/>
  <c r="U479" i="1"/>
  <c r="W517" i="1" l="1"/>
  <c r="R517" i="1"/>
  <c r="AD920" i="2"/>
  <c r="S381" i="1"/>
  <c r="AD1088" i="2"/>
  <c r="AD889" i="2"/>
  <c r="W375" i="1"/>
  <c r="W387" i="1"/>
  <c r="X468" i="1"/>
  <c r="X382" i="1"/>
  <c r="W380" i="1"/>
  <c r="AD895" i="2"/>
  <c r="R380" i="1"/>
  <c r="AD926" i="2"/>
  <c r="S387" i="1"/>
  <c r="W525" i="1"/>
  <c r="S375" i="1"/>
  <c r="AD914" i="2"/>
  <c r="S505" i="1"/>
  <c r="AD1022" i="2" l="1"/>
  <c r="AD883" i="2"/>
  <c r="AA524" i="1"/>
  <c r="W496" i="1"/>
  <c r="AD901" i="2"/>
  <c r="R524" i="1"/>
  <c r="X387" i="1"/>
  <c r="U445" i="1"/>
  <c r="S424" i="1"/>
  <c r="AD1055" i="2" l="1"/>
  <c r="R496" i="1"/>
  <c r="R525" i="1"/>
  <c r="U387" i="1"/>
  <c r="W393" i="1"/>
  <c r="AA507" i="1"/>
  <c r="Z515" i="1"/>
  <c r="X517" i="1"/>
  <c r="U381" i="1"/>
  <c r="S413" i="1"/>
  <c r="AD1044" i="2" l="1"/>
  <c r="AA451" i="1"/>
  <c r="AA385" i="1"/>
  <c r="X473" i="1"/>
  <c r="AA386" i="1"/>
  <c r="S393" i="1"/>
  <c r="AD932" i="2"/>
  <c r="W386" i="1"/>
  <c r="S386" i="1"/>
  <c r="AD925" i="2"/>
  <c r="AD894" i="2"/>
  <c r="Z397" i="1"/>
  <c r="Z412" i="1"/>
  <c r="Z496" i="1"/>
  <c r="S491" i="1"/>
  <c r="AD1008" i="2" l="1"/>
  <c r="W473" i="1"/>
  <c r="W379" i="1"/>
  <c r="AD893" i="2"/>
  <c r="S480" i="1"/>
  <c r="AD995" i="2" l="1"/>
  <c r="S409" i="1"/>
  <c r="AD1040" i="2" l="1"/>
  <c r="AD918" i="2"/>
  <c r="S379" i="1"/>
  <c r="AD887" i="2"/>
  <c r="X501" i="1"/>
  <c r="AA445" i="1"/>
  <c r="W385" i="1"/>
  <c r="AD949" i="2"/>
  <c r="S436" i="1"/>
  <c r="U379" i="1"/>
  <c r="S385" i="1"/>
  <c r="AD924" i="2"/>
  <c r="R473" i="1"/>
  <c r="AA374" i="1"/>
  <c r="S446" i="1"/>
  <c r="AD959" i="2" l="1"/>
  <c r="X524" i="1"/>
  <c r="W382" i="1" l="1"/>
  <c r="AD921" i="2"/>
  <c r="S382" i="1"/>
  <c r="AD991" i="2"/>
  <c r="S476" i="1"/>
  <c r="AD890" i="2"/>
  <c r="AD975" i="2"/>
  <c r="S460" i="1" l="1"/>
  <c r="S524" i="1"/>
  <c r="S404" i="1"/>
  <c r="AD1035" i="2" l="1"/>
  <c r="U490" i="1"/>
  <c r="U451" i="1" l="1"/>
  <c r="AA496" i="1"/>
  <c r="AD990" i="2"/>
  <c r="S475" i="1" l="1"/>
  <c r="AD1074" i="2" l="1"/>
  <c r="Z517" i="1"/>
  <c r="W434" i="1"/>
  <c r="R434" i="1"/>
  <c r="X376" i="1"/>
  <c r="U391" i="1"/>
  <c r="R387" i="1"/>
  <c r="AD1064" i="2" l="1"/>
  <c r="AA473" i="1"/>
  <c r="R386" i="1"/>
  <c r="U524" i="1" l="1"/>
  <c r="U386" i="1"/>
  <c r="W392" i="1"/>
  <c r="AD904" i="2"/>
  <c r="W396" i="1"/>
  <c r="AD1093" i="2"/>
  <c r="S392" i="1"/>
  <c r="AD931" i="2"/>
  <c r="U525" i="1"/>
  <c r="S509" i="1"/>
  <c r="AD1026" i="2" l="1"/>
  <c r="AD900" i="2"/>
  <c r="AA423" i="1"/>
  <c r="AD935" i="2"/>
  <c r="S396" i="1"/>
  <c r="AA525" i="1"/>
  <c r="U501" i="1"/>
  <c r="W397" i="1"/>
  <c r="R397" i="1"/>
  <c r="S477" i="1"/>
  <c r="AD992" i="2"/>
  <c r="S403" i="1"/>
  <c r="AD1034" i="2"/>
  <c r="X434" i="1"/>
  <c r="AD986" i="2"/>
  <c r="S471" i="1"/>
  <c r="AA391" i="1"/>
  <c r="X417" i="1"/>
  <c r="S410" i="1"/>
  <c r="AD1041" i="2"/>
  <c r="AA380" i="1"/>
  <c r="AD1051" i="2"/>
  <c r="S420" i="1" l="1"/>
  <c r="Z520" i="1"/>
  <c r="U517" i="1"/>
  <c r="U423" i="1" l="1"/>
  <c r="W520" i="1"/>
  <c r="R520" i="1"/>
  <c r="AA490" i="1"/>
  <c r="X390" i="1"/>
  <c r="S454" i="1"/>
  <c r="AD967" i="2"/>
  <c r="Z382" i="1"/>
  <c r="S508" i="1"/>
  <c r="AD1025" i="2"/>
  <c r="Z374" i="1"/>
  <c r="X445" i="1"/>
  <c r="W412" i="1" l="1"/>
  <c r="R412" i="1"/>
  <c r="X525" i="1"/>
  <c r="U398" i="1"/>
  <c r="W468" i="1"/>
  <c r="Z391" i="1"/>
  <c r="AD973" i="2"/>
  <c r="S458" i="1"/>
  <c r="W462" i="1" l="1"/>
  <c r="R462" i="1"/>
  <c r="R468" i="1"/>
  <c r="AA387" i="1"/>
  <c r="AD954" i="2"/>
  <c r="S441" i="1" l="1"/>
  <c r="W398" i="1"/>
  <c r="AD1078" i="2"/>
  <c r="R398" i="1"/>
  <c r="U376" i="1"/>
  <c r="X398" i="1"/>
  <c r="X515" i="1"/>
  <c r="S528" i="1" l="1"/>
  <c r="AA517" i="1"/>
  <c r="X392" i="1"/>
  <c r="Z385" i="1"/>
  <c r="Z434" i="1"/>
  <c r="U473" i="1"/>
  <c r="Z440" i="1"/>
  <c r="AD974" i="2"/>
  <c r="S459" i="1" l="1"/>
  <c r="R379" i="1" l="1"/>
  <c r="W445" i="1"/>
  <c r="W515" i="1"/>
  <c r="R515" i="1"/>
  <c r="U374" i="1"/>
  <c r="S465" i="1"/>
  <c r="AD980" i="2" l="1"/>
  <c r="AA376" i="1"/>
  <c r="AA479" i="1"/>
  <c r="Z462" i="1"/>
  <c r="X440" i="1"/>
  <c r="R445" i="1"/>
  <c r="S391" i="1"/>
  <c r="AD930" i="2"/>
  <c r="U527" i="1"/>
  <c r="AD899" i="2" l="1"/>
  <c r="S510" i="1"/>
  <c r="AD1027" i="2" l="1"/>
  <c r="W417" i="1"/>
  <c r="AD888" i="2"/>
  <c r="S402" i="1"/>
  <c r="AD1033" i="2"/>
  <c r="S492" i="1"/>
  <c r="AD1009" i="2"/>
  <c r="AD961" i="2"/>
  <c r="S448" i="1"/>
  <c r="X496" i="1"/>
  <c r="R417" i="1"/>
  <c r="U440" i="1"/>
  <c r="AD919" i="2"/>
  <c r="S380" i="1" l="1"/>
  <c r="W490" i="1" l="1"/>
  <c r="R490" i="1"/>
  <c r="U406" i="1"/>
  <c r="W451" i="1"/>
  <c r="U520" i="1"/>
  <c r="X375" i="1"/>
  <c r="Z490" i="1"/>
  <c r="Z527" i="1"/>
  <c r="AA396" i="1"/>
  <c r="X479" i="1"/>
  <c r="AA412" i="1"/>
  <c r="Z406" i="1"/>
  <c r="Z393" i="1"/>
  <c r="X393" i="1"/>
  <c r="Z417" i="1"/>
  <c r="AD1014" i="2"/>
  <c r="S497" i="1" l="1"/>
  <c r="AD997" i="2"/>
  <c r="S482" i="1" l="1"/>
  <c r="S437" i="1"/>
  <c r="AD950" i="2" l="1"/>
  <c r="S487" i="1"/>
  <c r="AD1004" i="2" l="1"/>
  <c r="X374" i="1"/>
  <c r="X451" i="1"/>
  <c r="S426" i="1"/>
  <c r="AD1057" i="2" l="1"/>
  <c r="AA434" i="1"/>
  <c r="AA392" i="1"/>
  <c r="X381" i="1"/>
  <c r="R451" i="1"/>
  <c r="R393" i="1" l="1"/>
  <c r="U496" i="1"/>
  <c r="W376" i="1"/>
  <c r="X520" i="1"/>
  <c r="U380" i="1"/>
  <c r="W507" i="1"/>
  <c r="AD915" i="2"/>
  <c r="S376" i="1"/>
  <c r="S442" i="1"/>
  <c r="AD955" i="2"/>
  <c r="AD1038" i="2"/>
  <c r="S407" i="1"/>
  <c r="R507" i="1"/>
  <c r="U390" i="1"/>
  <c r="AD884" i="2"/>
  <c r="U392" i="1"/>
  <c r="W527" i="1" l="1"/>
  <c r="U515" i="1"/>
  <c r="S431" i="1"/>
  <c r="AD944" i="2"/>
  <c r="Z390" i="1"/>
  <c r="Z468" i="1"/>
  <c r="R527" i="1"/>
  <c r="Z380" i="1"/>
  <c r="X380" i="1"/>
  <c r="Z379" i="1"/>
  <c r="Z525" i="1"/>
  <c r="W501" i="1" l="1"/>
  <c r="R501" i="1"/>
  <c r="AA379" i="1"/>
  <c r="AA381" i="1"/>
  <c r="AA462" i="1"/>
  <c r="S438" i="1"/>
  <c r="AD951" i="2"/>
  <c r="X412" i="1"/>
  <c r="Z507" i="1"/>
  <c r="X507" i="1"/>
  <c r="Z375" i="1"/>
  <c r="AD905" i="2"/>
  <c r="AD1020" i="2"/>
  <c r="S503" i="1"/>
  <c r="U462" i="1"/>
  <c r="U382" i="1" l="1"/>
  <c r="W479" i="1" l="1"/>
  <c r="AD898" i="2"/>
  <c r="AD936" i="2"/>
  <c r="S397" i="1" l="1"/>
  <c r="AD1039" i="2"/>
  <c r="S408" i="1"/>
  <c r="AD984" i="2"/>
  <c r="S469" i="1"/>
  <c r="S521" i="1"/>
  <c r="R479" i="1"/>
  <c r="R375" i="1" l="1"/>
  <c r="U507" i="1"/>
  <c r="AD1045" i="2"/>
  <c r="S414" i="1" l="1"/>
  <c r="Z501" i="1"/>
  <c r="X527" i="1"/>
  <c r="S498" i="1"/>
  <c r="AD1015" i="2" l="1"/>
  <c r="S474" i="1"/>
  <c r="AD989" i="2" l="1"/>
  <c r="AD945" i="2"/>
  <c r="S432" i="1" l="1"/>
  <c r="R385" i="1"/>
  <c r="S415" i="1" l="1"/>
  <c r="AD1046" i="2" l="1"/>
  <c r="Z445" i="1"/>
  <c r="S494" i="1"/>
  <c r="AD1011" i="2" l="1"/>
  <c r="Z423" i="1"/>
  <c r="S481" i="1"/>
  <c r="AD996" i="2" l="1"/>
  <c r="R374" i="1"/>
  <c r="R382" i="1" l="1"/>
  <c r="Z451" i="1" l="1"/>
  <c r="R396" i="1"/>
  <c r="Z392" i="1" l="1"/>
  <c r="Z473" i="1"/>
  <c r="X386" i="1"/>
  <c r="X385" i="1"/>
  <c r="AA440" i="1"/>
  <c r="AD978" i="2"/>
  <c r="S463" i="1" l="1"/>
  <c r="AA390" i="1"/>
  <c r="AD966" i="2"/>
  <c r="S453" i="1" l="1"/>
  <c r="Z381" i="1"/>
  <c r="R381" i="1" l="1"/>
  <c r="X490" i="1"/>
  <c r="R392" i="1" l="1"/>
  <c r="S499" i="1"/>
  <c r="AD1016" i="2" l="1"/>
  <c r="Z396" i="1"/>
  <c r="X379" i="1"/>
  <c r="S419" i="1"/>
  <c r="AD1050" i="2" l="1"/>
  <c r="AA406" i="1"/>
  <c r="S504" i="1"/>
  <c r="AD1021" i="2" l="1"/>
  <c r="S443" i="1"/>
  <c r="AD956" i="2" l="1"/>
  <c r="S502" i="1"/>
  <c r="AD1019" i="2" l="1"/>
  <c r="X391" i="1"/>
  <c r="AD960" i="2"/>
  <c r="S447" i="1" l="1"/>
  <c r="U457" i="1"/>
  <c r="AA515" i="1"/>
  <c r="AD1071" i="2" l="1"/>
  <c r="Z524" i="1"/>
  <c r="U417" i="1" l="1"/>
  <c r="AD1005" i="2"/>
  <c r="S488" i="1" l="1"/>
  <c r="Z387" i="1"/>
  <c r="S390" i="1"/>
  <c r="AD929" i="2" l="1"/>
  <c r="U434" i="1" l="1"/>
  <c r="U393" i="1"/>
  <c r="AD1049" i="2"/>
  <c r="S418" i="1" l="1"/>
  <c r="W440" i="1"/>
  <c r="U397" i="1"/>
  <c r="R440" i="1"/>
  <c r="W423" i="1"/>
  <c r="R376" i="1"/>
  <c r="S518" i="1"/>
  <c r="AD962" i="2"/>
  <c r="S449" i="1" l="1"/>
  <c r="Z398" i="1"/>
  <c r="U412" i="1"/>
  <c r="AD1081" i="2" l="1"/>
  <c r="AA501" i="1"/>
  <c r="R423" i="1"/>
  <c r="X462" i="1"/>
  <c r="S435" i="1"/>
  <c r="AD948" i="2" l="1"/>
  <c r="U396" i="1"/>
  <c r="AD981" i="2" l="1"/>
  <c r="S466" i="1" l="1"/>
  <c r="Z479" i="1"/>
  <c r="AA397" i="1"/>
  <c r="Z376" i="1"/>
  <c r="AD1010" i="2"/>
  <c r="S493" i="1" l="1"/>
  <c r="S430" i="1"/>
  <c r="AD943" i="2" l="1"/>
  <c r="AA520" i="1"/>
  <c r="U375" i="1"/>
  <c r="X423" i="1" l="1"/>
  <c r="AA417" i="1" l="1"/>
  <c r="W406" i="1"/>
  <c r="R406" i="1"/>
  <c r="W457" i="1" l="1"/>
  <c r="R457" i="1"/>
  <c r="W389" i="1" l="1"/>
  <c r="AA457" i="1"/>
  <c r="R389" i="1"/>
  <c r="U378" i="1"/>
  <c r="W485" i="1"/>
  <c r="R485" i="1"/>
  <c r="AD934" i="2"/>
  <c r="AD933" i="2" s="1"/>
  <c r="W395" i="1"/>
  <c r="S527" i="1"/>
  <c r="X457" i="1"/>
  <c r="W523" i="1"/>
  <c r="U401" i="1"/>
  <c r="X389" i="1"/>
  <c r="U485" i="1"/>
  <c r="AD964" i="2"/>
  <c r="AD963" i="2" s="1"/>
  <c r="AD972" i="2"/>
  <c r="AD971" i="2" s="1"/>
  <c r="AD1077" i="2" l="1"/>
  <c r="AA401" i="1"/>
  <c r="AD1089" i="2"/>
  <c r="AD1076" i="2" l="1"/>
  <c r="S451" i="1" l="1"/>
  <c r="W378" i="1"/>
  <c r="S395" i="1"/>
  <c r="X384" i="1"/>
  <c r="AD983" i="2"/>
  <c r="AD982" i="2" s="1"/>
  <c r="S468" i="1"/>
  <c r="Z485" i="1" l="1"/>
  <c r="X523" i="1"/>
  <c r="AD1080" i="2"/>
  <c r="AD1079" i="2" l="1"/>
  <c r="S517" i="1" l="1"/>
  <c r="W373" i="1"/>
  <c r="AD923" i="2"/>
  <c r="AD922" i="2" s="1"/>
  <c r="U395" i="1"/>
  <c r="U429" i="1"/>
  <c r="X429" i="1"/>
  <c r="Z429" i="1"/>
  <c r="W384" i="1"/>
  <c r="AD1007" i="2"/>
  <c r="AD1006" i="2" s="1"/>
  <c r="X395" i="1"/>
  <c r="X485" i="1"/>
  <c r="S490" i="1" l="1"/>
  <c r="W401" i="1"/>
  <c r="AD1070" i="2"/>
  <c r="Z457" i="1"/>
  <c r="AD1013" i="2"/>
  <c r="AD1012" i="2" s="1"/>
  <c r="S479" i="1"/>
  <c r="S384" i="1"/>
  <c r="R401" i="1"/>
  <c r="S457" i="1"/>
  <c r="AD1069" i="2" l="1"/>
  <c r="AD994" i="2" l="1"/>
  <c r="AD993" i="2" s="1"/>
  <c r="AD1018" i="2"/>
  <c r="AD1017" i="2" s="1"/>
  <c r="AD1048" i="2"/>
  <c r="AD1047" i="2" s="1"/>
  <c r="AA395" i="1"/>
  <c r="Z384" i="1" l="1"/>
  <c r="AA384" i="1"/>
  <c r="AA485" i="1"/>
  <c r="R395" i="1"/>
  <c r="AD886" i="2"/>
  <c r="AD885" i="2" s="1"/>
  <c r="AD1398" i="2" s="1"/>
  <c r="S496" i="1" l="1"/>
  <c r="AA389" i="1"/>
  <c r="S520" i="1"/>
  <c r="W429" i="1" l="1"/>
  <c r="AD1054" i="2"/>
  <c r="AD1053" i="2" s="1"/>
  <c r="S445" i="1"/>
  <c r="AD977" i="2"/>
  <c r="AD976" i="2" s="1"/>
  <c r="Z401" i="1"/>
  <c r="AD892" i="2"/>
  <c r="AD891" i="2" s="1"/>
  <c r="AD1399" i="2" s="1"/>
  <c r="AD947" i="2"/>
  <c r="AD946" i="2" s="1"/>
  <c r="AA378" i="1"/>
  <c r="AD928" i="2"/>
  <c r="AD927" i="2" s="1"/>
  <c r="AA429" i="1"/>
  <c r="AD897" i="2" l="1"/>
  <c r="AD896" i="2" s="1"/>
  <c r="AD1400" i="2" s="1"/>
  <c r="AD958" i="2" l="1"/>
  <c r="AD957" i="2" s="1"/>
  <c r="Z395" i="1"/>
  <c r="S412" i="1"/>
  <c r="S378" i="1"/>
  <c r="AD988" i="2"/>
  <c r="AD987" i="2" s="1"/>
  <c r="AD970" i="2" s="1"/>
  <c r="S501" i="1"/>
  <c r="AD953" i="2" l="1"/>
  <c r="AD952" i="2" s="1"/>
  <c r="X378" i="1"/>
  <c r="R378" i="1"/>
  <c r="AD1043" i="2" l="1"/>
  <c r="AD1042" i="2" s="1"/>
  <c r="S462" i="1"/>
  <c r="AD917" i="2" l="1"/>
  <c r="AD916" i="2" s="1"/>
  <c r="AD1037" i="2"/>
  <c r="AD1036" i="2" s="1"/>
  <c r="S525" i="1"/>
  <c r="S417" i="1" l="1"/>
  <c r="AD937" i="2"/>
  <c r="S398" i="1"/>
  <c r="Z523" i="1"/>
  <c r="S423" i="1"/>
  <c r="U384" i="1" l="1"/>
  <c r="S440" i="1" l="1"/>
  <c r="Z378" i="1"/>
  <c r="S434" i="1" l="1"/>
  <c r="R429" i="1" l="1"/>
  <c r="AD906" i="2" l="1"/>
  <c r="AD1402" i="2" s="1"/>
  <c r="S406" i="1" l="1"/>
  <c r="R384" i="1"/>
  <c r="S389" i="1" l="1"/>
  <c r="AD903" i="2" l="1"/>
  <c r="AD902" i="2" s="1"/>
  <c r="AD1401" i="2" s="1"/>
  <c r="AD1075" i="2" l="1"/>
  <c r="AD1090" i="2" l="1"/>
  <c r="S473" i="1" l="1"/>
  <c r="R523" i="1"/>
  <c r="Z389" i="1"/>
  <c r="AA523" i="1"/>
  <c r="X401" i="1"/>
  <c r="U389" i="1"/>
  <c r="U523" i="1"/>
  <c r="S507" i="1"/>
  <c r="AD1024" i="2" l="1"/>
  <c r="AD1023" i="2" s="1"/>
  <c r="AD1032" i="2" l="1"/>
  <c r="AD1031" i="2" s="1"/>
  <c r="AD1030" i="2" s="1"/>
  <c r="S401" i="1" l="1"/>
  <c r="W514" i="1" l="1"/>
  <c r="AD942" i="2"/>
  <c r="AD941" i="2" s="1"/>
  <c r="AD940" i="2" s="1"/>
  <c r="S523" i="1"/>
  <c r="R373" i="1"/>
  <c r="AA373" i="1"/>
  <c r="S429" i="1" l="1"/>
  <c r="X373" i="1"/>
  <c r="Z373" i="1"/>
  <c r="AD1002" i="2" l="1"/>
  <c r="AD1001" i="2" s="1"/>
  <c r="AD1000" i="2" s="1"/>
  <c r="S515" i="1"/>
  <c r="U373" i="1"/>
  <c r="S485" i="1" l="1"/>
  <c r="U514" i="1"/>
  <c r="AD1068" i="2" l="1"/>
  <c r="S514" i="1"/>
  <c r="AD912" i="2"/>
  <c r="AD911" i="2" s="1"/>
  <c r="AD910" i="2" s="1"/>
  <c r="X514" i="1"/>
  <c r="AD1065" i="2" l="1"/>
  <c r="AD881" i="2" l="1"/>
  <c r="AD880" i="2" s="1"/>
  <c r="AA514" i="1"/>
  <c r="AD1397" i="2" l="1"/>
  <c r="AD1396" i="2" s="1"/>
  <c r="AD879" i="2"/>
  <c r="S373" i="1"/>
  <c r="AD1073" i="2" l="1"/>
  <c r="R514" i="1"/>
  <c r="AD1072" i="2" l="1"/>
  <c r="AD1085" i="2"/>
  <c r="AD1084" i="2" s="1"/>
  <c r="AD1067" i="2"/>
  <c r="AD1063" i="2" l="1"/>
  <c r="AD1062" i="2" s="1"/>
  <c r="AD1066" i="2"/>
  <c r="Z514" i="1"/>
  <c r="Z362" i="1" l="1"/>
  <c r="Z361" i="1" s="1"/>
  <c r="Z325" i="1" l="1"/>
  <c r="Z324" i="1" s="1"/>
  <c r="U325" i="1"/>
  <c r="U324" i="1" s="1"/>
  <c r="AE268" i="2"/>
  <c r="AI332" i="2" l="1"/>
  <c r="AI331" i="2" s="1"/>
  <c r="AE285" i="2" l="1"/>
  <c r="AE283" i="2" s="1"/>
  <c r="AE284" i="2" s="1"/>
  <c r="AF331" i="2"/>
  <c r="AE438" i="2" l="1"/>
  <c r="AE436" i="2" l="1"/>
  <c r="W362" i="1"/>
  <c r="W361" i="1" s="1"/>
  <c r="AI269" i="2"/>
  <c r="AI268" i="2" s="1"/>
  <c r="W325" i="1"/>
  <c r="W324" i="1" s="1"/>
  <c r="AE331" i="2"/>
  <c r="U362" i="1"/>
  <c r="U361" i="1" s="1"/>
  <c r="AE348" i="2" l="1"/>
  <c r="AE346" i="2" s="1"/>
  <c r="AE347" i="2" s="1"/>
  <c r="AF268" i="2"/>
  <c r="AE442" i="2" l="1"/>
  <c r="AE440" i="2" s="1"/>
  <c r="AE97" i="2" l="1"/>
  <c r="AG203" i="2" l="1"/>
  <c r="AE203" i="2" l="1"/>
  <c r="AE201" i="2" s="1"/>
  <c r="AG201" i="2"/>
  <c r="AE434" i="2" l="1"/>
  <c r="AG434" i="2"/>
  <c r="AG432" i="2" l="1"/>
  <c r="AE432" i="2"/>
  <c r="AG285" i="2"/>
  <c r="AG283" i="2" l="1"/>
  <c r="AG284" i="2" s="1"/>
  <c r="AG438" i="2" l="1"/>
  <c r="AA325" i="1"/>
  <c r="AA324" i="1" s="1"/>
  <c r="X362" i="1"/>
  <c r="X361" i="1" s="1"/>
  <c r="AG348" i="2" l="1"/>
  <c r="AG346" i="2" s="1"/>
  <c r="AG347" i="2" s="1"/>
  <c r="AG436" i="2"/>
  <c r="X325" i="1"/>
  <c r="X324" i="1" s="1"/>
  <c r="AA362" i="1"/>
  <c r="AA361" i="1" s="1"/>
  <c r="AG442" i="2" l="1"/>
  <c r="AG440" i="2" s="1"/>
  <c r="AF348" i="2"/>
  <c r="AF346" i="2" l="1"/>
  <c r="AF347" i="2" s="1"/>
  <c r="AI348" i="2"/>
  <c r="AI346" i="2" s="1"/>
  <c r="AI347" i="2" s="1"/>
  <c r="AF442" i="2" l="1"/>
  <c r="AF440" i="2" l="1"/>
  <c r="AI442" i="2"/>
  <c r="AI440" i="2" l="1"/>
  <c r="AG97" i="2" l="1"/>
  <c r="S50" i="1" l="1"/>
  <c r="AI132" i="2" l="1"/>
  <c r="W95" i="1" l="1"/>
  <c r="Z191" i="1" l="1"/>
  <c r="S70" i="1"/>
  <c r="Z70" i="1"/>
  <c r="U50" i="1" l="1"/>
  <c r="AE131" i="2"/>
  <c r="U95" i="1"/>
  <c r="Z215" i="1"/>
  <c r="Z214" i="1" s="1"/>
  <c r="AE1479" i="2" l="1"/>
  <c r="X95" i="1" l="1"/>
  <c r="AF131" i="2" l="1"/>
  <c r="X50" i="1" l="1"/>
  <c r="AE321" i="2" l="1"/>
  <c r="Z199" i="1" l="1"/>
  <c r="U172" i="1"/>
  <c r="Z353" i="1"/>
  <c r="AE312" i="2" l="1"/>
  <c r="S170" i="1"/>
  <c r="AI187" i="2"/>
  <c r="AI186" i="2" s="1"/>
  <c r="AE1523" i="2" l="1"/>
  <c r="Z172" i="1"/>
  <c r="U70" i="1"/>
  <c r="W215" i="1" l="1"/>
  <c r="W214" i="1" s="1"/>
  <c r="S191" i="1" l="1"/>
  <c r="U215" i="1"/>
  <c r="U214" i="1" s="1"/>
  <c r="AE186" i="2" l="1"/>
  <c r="AE202" i="2" s="1"/>
  <c r="Z269" i="1" l="1"/>
  <c r="U289" i="1" l="1"/>
  <c r="AE267" i="2"/>
  <c r="AA70" i="1" l="1"/>
  <c r="AE703" i="2"/>
  <c r="AE253" i="2"/>
  <c r="S350" i="1"/>
  <c r="AA172" i="1" l="1"/>
  <c r="Z50" i="1"/>
  <c r="Z174" i="1"/>
  <c r="Z104" i="1" l="1"/>
  <c r="AG1523" i="2" l="1"/>
  <c r="S172" i="1"/>
  <c r="W224" i="1"/>
  <c r="U199" i="1" l="1"/>
  <c r="AE184" i="2"/>
  <c r="Z63" i="1"/>
  <c r="S95" i="1"/>
  <c r="U191" i="1" l="1"/>
  <c r="S177" i="1" l="1"/>
  <c r="Z117" i="1" l="1"/>
  <c r="AE488" i="2"/>
  <c r="AE487" i="2" s="1"/>
  <c r="AG321" i="2" l="1"/>
  <c r="AA191" i="1"/>
  <c r="AH489" i="2"/>
  <c r="AG312" i="2" l="1"/>
  <c r="AA350" i="1"/>
  <c r="AA50" i="1" l="1"/>
  <c r="Z170" i="1" l="1"/>
  <c r="W353" i="1"/>
  <c r="AI326" i="2"/>
  <c r="AI317" i="2" s="1"/>
  <c r="AF317" i="2" l="1"/>
  <c r="AA95" i="1"/>
  <c r="W289" i="1" l="1"/>
  <c r="U353" i="1" l="1"/>
  <c r="X350" i="1"/>
  <c r="X70" i="1" l="1"/>
  <c r="AG255" i="2"/>
  <c r="AE317" i="2"/>
  <c r="AF321" i="2"/>
  <c r="U75" i="1"/>
  <c r="AE848" i="2" l="1"/>
  <c r="AF312" i="2"/>
  <c r="AI321" i="2"/>
  <c r="AE120" i="2"/>
  <c r="AE843" i="2" l="1"/>
  <c r="AE838" i="2"/>
  <c r="AI312" i="2"/>
  <c r="AE1238" i="2" l="1"/>
  <c r="X172" i="1"/>
  <c r="AE1237" i="2" l="1"/>
  <c r="U117" i="1"/>
  <c r="AH666" i="2"/>
  <c r="AE355" i="2" l="1"/>
  <c r="Z312" i="1"/>
  <c r="W100" i="1" l="1"/>
  <c r="AF138" i="2"/>
  <c r="Z86" i="1" l="1"/>
  <c r="AA199" i="1" l="1"/>
  <c r="Z224" i="1" l="1"/>
  <c r="AH625" i="2" l="1"/>
  <c r="AH600" i="2"/>
  <c r="AG862" i="2"/>
  <c r="Z272" i="1"/>
  <c r="Z316" i="1" l="1"/>
  <c r="W279" i="1" l="1"/>
  <c r="AI718" i="2"/>
  <c r="AH465" i="2"/>
  <c r="AG220" i="2" l="1"/>
  <c r="AI220" i="2" s="1"/>
  <c r="S71" i="1"/>
  <c r="X269" i="1"/>
  <c r="W245" i="1"/>
  <c r="AH689" i="2"/>
  <c r="AE255" i="2"/>
  <c r="AH659" i="2"/>
  <c r="W300" i="1"/>
  <c r="AE145" i="2" l="1"/>
  <c r="AE150" i="2" s="1"/>
  <c r="AE151" i="2" s="1"/>
  <c r="U107" i="1"/>
  <c r="U113" i="1" s="1"/>
  <c r="Z107" i="1"/>
  <c r="Z113" i="1" s="1"/>
  <c r="X174" i="1"/>
  <c r="Z114" i="1" l="1"/>
  <c r="U114" i="1"/>
  <c r="AI704" i="2"/>
  <c r="Z95" i="1"/>
  <c r="AH714" i="2"/>
  <c r="Z289" i="1"/>
  <c r="W55" i="1"/>
  <c r="AH133" i="2"/>
  <c r="AH596" i="2"/>
  <c r="Z243" i="1"/>
  <c r="AH762" i="2"/>
  <c r="AG131" i="2" l="1"/>
  <c r="AH683" i="2"/>
  <c r="Z206" i="1"/>
  <c r="W275" i="1"/>
  <c r="AG1568" i="2" l="1"/>
  <c r="W298" i="1" l="1"/>
  <c r="W284" i="1"/>
  <c r="AH696" i="2"/>
  <c r="AI730" i="2" l="1"/>
  <c r="AH734" i="2"/>
  <c r="AH491" i="2"/>
  <c r="AG719" i="2"/>
  <c r="W93" i="1"/>
  <c r="W69" i="1"/>
  <c r="Z274" i="1"/>
  <c r="W96" i="1"/>
  <c r="AH533" i="2"/>
  <c r="R334" i="1"/>
  <c r="AI586" i="2"/>
  <c r="AI666" i="2"/>
  <c r="W52" i="1"/>
  <c r="AH467" i="2"/>
  <c r="AH292" i="2"/>
  <c r="AJ292" i="2" s="1"/>
  <c r="W319" i="1"/>
  <c r="W311" i="1"/>
  <c r="AH662" i="2"/>
  <c r="AH500" i="2"/>
  <c r="Z79" i="1"/>
  <c r="R96" i="1"/>
  <c r="Z77" i="1"/>
  <c r="AH582" i="2"/>
  <c r="W184" i="1"/>
  <c r="AI710" i="2"/>
  <c r="AI160" i="2"/>
  <c r="AI159" i="2" s="1"/>
  <c r="Z189" i="1"/>
  <c r="W189" i="1"/>
  <c r="W72" i="1"/>
  <c r="AH522" i="2"/>
  <c r="W68" i="1"/>
  <c r="AF488" i="2"/>
  <c r="AH513" i="2"/>
  <c r="AD488" i="2"/>
  <c r="AD487" i="2" s="1"/>
  <c r="AE185" i="2"/>
  <c r="AI555" i="2"/>
  <c r="AH643" i="2"/>
  <c r="AG145" i="2" l="1"/>
  <c r="AA107" i="1"/>
  <c r="AA113" i="1" s="1"/>
  <c r="Z119" i="1"/>
  <c r="AG211" i="2"/>
  <c r="AF487" i="2"/>
  <c r="AG681" i="2"/>
  <c r="AH490" i="2"/>
  <c r="AH488" i="2" s="1"/>
  <c r="AH487" i="2" s="1"/>
  <c r="X71" i="1"/>
  <c r="AG717" i="2"/>
  <c r="AA71" i="1"/>
  <c r="Z71" i="1"/>
  <c r="AE512" i="2"/>
  <c r="AE511" i="2" s="1"/>
  <c r="AG743" i="2"/>
  <c r="AI133" i="2"/>
  <c r="AH545" i="2"/>
  <c r="S51" i="1"/>
  <c r="AJ666" i="2"/>
  <c r="W170" i="1"/>
  <c r="AH508" i="2"/>
  <c r="W63" i="1"/>
  <c r="W182" i="1"/>
  <c r="AH746" i="2"/>
  <c r="U200" i="1"/>
  <c r="W248" i="1"/>
  <c r="R189" i="1"/>
  <c r="U189" i="1"/>
  <c r="AI107" i="2"/>
  <c r="AI106" i="2" s="1"/>
  <c r="Z317" i="1"/>
  <c r="Z273" i="1"/>
  <c r="X215" i="1"/>
  <c r="X214" i="1" s="1"/>
  <c r="AH748" i="2"/>
  <c r="AI635" i="2"/>
  <c r="AH721" i="2"/>
  <c r="W302" i="1"/>
  <c r="AH484" i="2"/>
  <c r="AA114" i="1" l="1"/>
  <c r="AG150" i="2"/>
  <c r="AG151" i="2" s="1"/>
  <c r="AA117" i="1"/>
  <c r="AG386" i="2"/>
  <c r="AG741" i="2"/>
  <c r="AJ133" i="2"/>
  <c r="AH831" i="2"/>
  <c r="AG21" i="2"/>
  <c r="Z300" i="1"/>
  <c r="AH498" i="2"/>
  <c r="AH738" i="2"/>
  <c r="W67" i="1"/>
  <c r="W61" i="1"/>
  <c r="W47" i="1"/>
  <c r="U67" i="1"/>
  <c r="U47" i="1"/>
  <c r="AH456" i="2"/>
  <c r="R202" i="1"/>
  <c r="AE845" i="2" l="1"/>
  <c r="AG355" i="2"/>
  <c r="S181" i="1"/>
  <c r="AE455" i="2"/>
  <c r="AE454" i="2" s="1"/>
  <c r="AG1460" i="2"/>
  <c r="AG679" i="2"/>
  <c r="X263" i="1"/>
  <c r="AH519" i="2"/>
  <c r="AE840" i="2" l="1"/>
  <c r="AH366" i="2"/>
  <c r="W244" i="1"/>
  <c r="AH646" i="2"/>
  <c r="AH472" i="2"/>
  <c r="Z277" i="1"/>
  <c r="AH658" i="2"/>
  <c r="X67" i="1"/>
  <c r="W237" i="1"/>
  <c r="AD585" i="2"/>
  <c r="AA47" i="1"/>
  <c r="AF186" i="2" l="1"/>
  <c r="X191" i="1"/>
  <c r="AH587" i="2"/>
  <c r="AE471" i="2"/>
  <c r="AE470" i="2" s="1"/>
  <c r="S67" i="1"/>
  <c r="AH532" i="2"/>
  <c r="Z76" i="1"/>
  <c r="AF585" i="2"/>
  <c r="W190" i="1"/>
  <c r="R67" i="1"/>
  <c r="X117" i="1" l="1"/>
  <c r="AH578" i="2"/>
  <c r="W88" i="1"/>
  <c r="AG330" i="2"/>
  <c r="AH365" i="2" l="1"/>
  <c r="AH363" i="2" s="1"/>
  <c r="AH555" i="2"/>
  <c r="AH255" i="2" l="1"/>
  <c r="AE554" i="2"/>
  <c r="AJ555" i="2"/>
  <c r="AH528" i="2"/>
  <c r="AG725" i="2"/>
  <c r="U170" i="1"/>
  <c r="W89" i="1"/>
  <c r="Z305" i="1"/>
  <c r="AE386" i="2" l="1"/>
  <c r="Z268" i="1"/>
  <c r="AH801" i="2"/>
  <c r="AH745" i="2"/>
  <c r="AG260" i="2" l="1"/>
  <c r="AG246" i="2" s="1"/>
  <c r="X47" i="1"/>
  <c r="AE795" i="2"/>
  <c r="AH621" i="2"/>
  <c r="AH586" i="2"/>
  <c r="AE585" i="2" l="1"/>
  <c r="AH585" i="2"/>
  <c r="AJ586" i="2"/>
  <c r="W296" i="1" l="1"/>
  <c r="AH712" i="2"/>
  <c r="U269" i="1"/>
  <c r="W318" i="1"/>
  <c r="AH674" i="2"/>
  <c r="AA189" i="1"/>
  <c r="S107" i="1" l="1"/>
  <c r="S113" i="1" s="1"/>
  <c r="AG693" i="2"/>
  <c r="S179" i="1"/>
  <c r="AD1460" i="2"/>
  <c r="R81" i="1"/>
  <c r="R263" i="1"/>
  <c r="AA269" i="1"/>
  <c r="W81" i="1"/>
  <c r="S114" i="1" l="1"/>
  <c r="AG845" i="2"/>
  <c r="AH602" i="2"/>
  <c r="AI613" i="2"/>
  <c r="AG840" i="2" l="1"/>
  <c r="AH615" i="2"/>
  <c r="W205" i="1"/>
  <c r="Z47" i="1"/>
  <c r="Z282" i="1"/>
  <c r="AH757" i="2"/>
  <c r="AG1526" i="2" l="1"/>
  <c r="AG158" i="2"/>
  <c r="AH636" i="2"/>
  <c r="AH495" i="2"/>
  <c r="AE1571" i="2" l="1"/>
  <c r="AE1564" i="2"/>
  <c r="AE1579" i="2" l="1"/>
  <c r="AE1586" i="2" s="1"/>
  <c r="AG569" i="2"/>
  <c r="AI456" i="2"/>
  <c r="AI327" i="2"/>
  <c r="AI318" i="2" s="1"/>
  <c r="AH623" i="2"/>
  <c r="AH645" i="2"/>
  <c r="Z263" i="1"/>
  <c r="Z281" i="1"/>
  <c r="X107" i="1" l="1"/>
  <c r="X113" i="1" s="1"/>
  <c r="AG455" i="2"/>
  <c r="AG454" i="2" s="1"/>
  <c r="AJ456" i="2"/>
  <c r="AF318" i="2"/>
  <c r="AH637" i="2"/>
  <c r="AI489" i="2"/>
  <c r="AG691" i="2"/>
  <c r="AG420" i="2"/>
  <c r="AG795" i="2"/>
  <c r="S100" i="1"/>
  <c r="S47" i="1"/>
  <c r="W208" i="1"/>
  <c r="AH792" i="2"/>
  <c r="Z230" i="1"/>
  <c r="W354" i="1"/>
  <c r="AH644" i="2"/>
  <c r="Z266" i="1"/>
  <c r="W202" i="1"/>
  <c r="Z278" i="1"/>
  <c r="AH705" i="2"/>
  <c r="W180" i="1"/>
  <c r="S81" i="1"/>
  <c r="AG723" i="2"/>
  <c r="Z304" i="1"/>
  <c r="AE709" i="2"/>
  <c r="AG113" i="2"/>
  <c r="R250" i="1"/>
  <c r="AI519" i="2"/>
  <c r="AH302" i="2"/>
  <c r="AJ302" i="2" s="1"/>
  <c r="Z193" i="1"/>
  <c r="S269" i="1"/>
  <c r="S189" i="1"/>
  <c r="X114" i="1" l="1"/>
  <c r="AE210" i="2"/>
  <c r="AE241" i="2" s="1"/>
  <c r="U174" i="1"/>
  <c r="AE388" i="2"/>
  <c r="AE385" i="2" s="1"/>
  <c r="AE408" i="2" s="1"/>
  <c r="S174" i="1"/>
  <c r="AG737" i="2"/>
  <c r="AG747" i="2"/>
  <c r="AE209" i="2"/>
  <c r="AG687" i="2"/>
  <c r="AJ489" i="2"/>
  <c r="AJ519" i="2"/>
  <c r="AH639" i="2"/>
  <c r="AD589" i="2"/>
  <c r="AH821" i="2"/>
  <c r="Z49" i="1"/>
  <c r="AH576" i="2"/>
  <c r="AH635" i="2"/>
  <c r="AH225" i="2"/>
  <c r="AJ225" i="2" s="1"/>
  <c r="W290" i="1"/>
  <c r="R342" i="1"/>
  <c r="Z90" i="1"/>
  <c r="AD318" i="2"/>
  <c r="AH617" i="2"/>
  <c r="AI513" i="2"/>
  <c r="U224" i="1"/>
  <c r="AH563" i="2"/>
  <c r="AH796" i="2"/>
  <c r="X189" i="1"/>
  <c r="Z285" i="1"/>
  <c r="U300" i="1"/>
  <c r="AE717" i="2"/>
  <c r="AE157" i="2" l="1"/>
  <c r="AE180" i="2" s="1"/>
  <c r="AG1476" i="2"/>
  <c r="AE382" i="2"/>
  <c r="AG258" i="2"/>
  <c r="AG244" i="2" s="1"/>
  <c r="AG210" i="2"/>
  <c r="AG241" i="2" s="1"/>
  <c r="S85" i="1"/>
  <c r="AD795" i="2"/>
  <c r="AH327" i="2"/>
  <c r="AH795" i="2"/>
  <c r="AG512" i="2"/>
  <c r="AG511" i="2" s="1"/>
  <c r="AE634" i="2"/>
  <c r="AJ513" i="2"/>
  <c r="AJ635" i="2"/>
  <c r="AG685" i="2"/>
  <c r="AG735" i="2"/>
  <c r="AD620" i="2"/>
  <c r="W211" i="1"/>
  <c r="AA215" i="1"/>
  <c r="AA214" i="1" s="1"/>
  <c r="AI609" i="2"/>
  <c r="AE374" i="2" l="1"/>
  <c r="AE1525" i="2"/>
  <c r="AE174" i="2"/>
  <c r="AE1534" i="2"/>
  <c r="AE1476" i="2"/>
  <c r="AG119" i="2"/>
  <c r="AG186" i="2"/>
  <c r="AG202" i="2" s="1"/>
  <c r="S33" i="1"/>
  <c r="AG608" i="2"/>
  <c r="AH622" i="2"/>
  <c r="AH620" i="2" s="1"/>
  <c r="AJ327" i="2"/>
  <c r="AJ318" i="2" s="1"/>
  <c r="AH318" i="2"/>
  <c r="AG172" i="2"/>
  <c r="AI674" i="2"/>
  <c r="AE383" i="2" l="1"/>
  <c r="AE381" i="2" s="1"/>
  <c r="AE407" i="2" s="1"/>
  <c r="AJ674" i="2"/>
  <c r="AD525" i="2"/>
  <c r="W87" i="1"/>
  <c r="AE371" i="2" l="1"/>
  <c r="AE1543" i="2"/>
  <c r="AE1552" i="2" s="1"/>
  <c r="AH527" i="2"/>
  <c r="W269" i="1"/>
  <c r="AH816" i="2"/>
  <c r="AE217" i="2"/>
  <c r="AH733" i="2"/>
  <c r="W310" i="1"/>
  <c r="AF438" i="2" l="1"/>
  <c r="AF285" i="2"/>
  <c r="AE216" i="2" l="1"/>
  <c r="AE208" i="2" s="1"/>
  <c r="AF283" i="2"/>
  <c r="AF284" i="2" s="1"/>
  <c r="AI285" i="2"/>
  <c r="AI283" i="2" s="1"/>
  <c r="AI284" i="2" s="1"/>
  <c r="AF436" i="2" l="1"/>
  <c r="AI438" i="2"/>
  <c r="AI436" i="2" l="1"/>
  <c r="AI472" i="2" l="1"/>
  <c r="AJ472" i="2" l="1"/>
  <c r="AI650" i="2" l="1"/>
  <c r="AG383" i="2" l="1"/>
  <c r="AG699" i="2" l="1"/>
  <c r="AG697" i="2" s="1"/>
  <c r="S199" i="1" l="1"/>
  <c r="S97" i="1"/>
  <c r="S94" i="1" s="1"/>
  <c r="Z286" i="1"/>
  <c r="AD641" i="2"/>
  <c r="AH647" i="2" l="1"/>
  <c r="AD1467" i="2"/>
  <c r="AH629" i="2"/>
  <c r="W303" i="1"/>
  <c r="S99" i="1"/>
  <c r="AH749" i="2"/>
  <c r="Z74" i="1"/>
  <c r="R28" i="1" l="1"/>
  <c r="W213" i="1"/>
  <c r="AH722" i="2"/>
  <c r="W321" i="1"/>
  <c r="AD471" i="2" l="1"/>
  <c r="W171" i="1"/>
  <c r="AF554" i="2"/>
  <c r="AD554" i="2"/>
  <c r="AF471" i="2"/>
  <c r="W56" i="1"/>
  <c r="AH368" i="2" l="1"/>
  <c r="AH556" i="2"/>
  <c r="AH554" i="2" s="1"/>
  <c r="AD62" i="2"/>
  <c r="AD67" i="2" s="1"/>
  <c r="AH473" i="2"/>
  <c r="AG171" i="2"/>
  <c r="Z210" i="1"/>
  <c r="AH471" i="2" l="1"/>
  <c r="S28" i="1"/>
  <c r="AF470" i="2"/>
  <c r="W57" i="1"/>
  <c r="AD470" i="2"/>
  <c r="Z357" i="1"/>
  <c r="AH474" i="2" l="1"/>
  <c r="AH470" i="2" s="1"/>
  <c r="AH653" i="2" l="1"/>
  <c r="W240" i="1"/>
  <c r="W315" i="1" l="1"/>
  <c r="AH740" i="2"/>
  <c r="R181" i="1" l="1"/>
  <c r="AD68" i="2"/>
  <c r="AD73" i="2" s="1"/>
  <c r="R33" i="1" l="1"/>
  <c r="R172" i="1"/>
  <c r="W74" i="1" l="1"/>
  <c r="AI503" i="2"/>
  <c r="AH1523" i="2" l="1"/>
  <c r="R51" i="1"/>
  <c r="R179" i="1"/>
  <c r="R70" i="1" l="1"/>
  <c r="R71" i="1" l="1"/>
  <c r="W308" i="1"/>
  <c r="W267" i="1"/>
  <c r="R85" i="1" l="1"/>
  <c r="AH321" i="2" l="1"/>
  <c r="AH481" i="2"/>
  <c r="AJ321" i="2" l="1"/>
  <c r="AG138" i="2" l="1"/>
  <c r="AI138" i="2" s="1"/>
  <c r="AG388" i="2" l="1"/>
  <c r="AG385" i="2" s="1"/>
  <c r="AG408" i="2" s="1"/>
  <c r="Z100" i="1"/>
  <c r="W265" i="1"/>
  <c r="AA87" i="1" l="1"/>
  <c r="AE693" i="2" l="1"/>
  <c r="X87" i="1"/>
  <c r="U282" i="1"/>
  <c r="AF257" i="2"/>
  <c r="X265" i="1"/>
  <c r="AI527" i="2"/>
  <c r="AJ527" i="2" s="1"/>
  <c r="X56" i="1"/>
  <c r="AH739" i="2"/>
  <c r="W230" i="1"/>
  <c r="Z87" i="1"/>
  <c r="AI167" i="2"/>
  <c r="AI169" i="2" s="1"/>
  <c r="AH187" i="2"/>
  <c r="S289" i="1"/>
  <c r="AI642" i="2"/>
  <c r="W314" i="1"/>
  <c r="Z92" i="1"/>
  <c r="AE170" i="2"/>
  <c r="X63" i="1"/>
  <c r="AI324" i="2"/>
  <c r="AI315" i="2" s="1"/>
  <c r="AH706" i="2"/>
  <c r="Z55" i="1"/>
  <c r="AA92" i="1"/>
  <c r="AG855" i="2" l="1"/>
  <c r="AF315" i="2"/>
  <c r="AF169" i="2"/>
  <c r="AH186" i="2"/>
  <c r="AJ187" i="2"/>
  <c r="AJ186" i="2" s="1"/>
  <c r="AH827" i="2"/>
  <c r="AH132" i="2"/>
  <c r="W352" i="1"/>
  <c r="AH701" i="2"/>
  <c r="W287" i="1"/>
  <c r="U286" i="1"/>
  <c r="X353" i="1"/>
  <c r="AG858" i="2" l="1"/>
  <c r="AE699" i="2"/>
  <c r="AJ132" i="2"/>
  <c r="AH660" i="2"/>
  <c r="AH167" i="2"/>
  <c r="AA56" i="1"/>
  <c r="X92" i="1"/>
  <c r="W246" i="1"/>
  <c r="AH791" i="2"/>
  <c r="AI791" i="2"/>
  <c r="AA63" i="1"/>
  <c r="W359" i="1"/>
  <c r="R352" i="1"/>
  <c r="AE266" i="2"/>
  <c r="U316" i="1"/>
  <c r="Z56" i="1"/>
  <c r="AH742" i="2"/>
  <c r="S230" i="1"/>
  <c r="AG471" i="2"/>
  <c r="R95" i="1"/>
  <c r="AI770" i="2"/>
  <c r="AG266" i="2"/>
  <c r="R354" i="1"/>
  <c r="AG80" i="2" l="1"/>
  <c r="AG106" i="2"/>
  <c r="AA181" i="1"/>
  <c r="Z179" i="1"/>
  <c r="AH770" i="2"/>
  <c r="AJ770" i="2" s="1"/>
  <c r="AE741" i="2"/>
  <c r="AJ791" i="2"/>
  <c r="AI473" i="2"/>
  <c r="AI471" i="2" s="1"/>
  <c r="AE252" i="2"/>
  <c r="AI757" i="2"/>
  <c r="AD169" i="2"/>
  <c r="AH169" i="2"/>
  <c r="AJ167" i="2"/>
  <c r="AJ169" i="2" s="1"/>
  <c r="X181" i="1"/>
  <c r="AG156" i="2" l="1"/>
  <c r="AJ473" i="2"/>
  <c r="AJ471" i="2" s="1"/>
  <c r="AJ757" i="2"/>
  <c r="AD315" i="2"/>
  <c r="AA294" i="1"/>
  <c r="AA178" i="1"/>
  <c r="AH559" i="2"/>
  <c r="AH677" i="2"/>
  <c r="AH804" i="2"/>
  <c r="AG1524" i="2" l="1"/>
  <c r="AG218" i="2"/>
  <c r="AI218" i="2" s="1"/>
  <c r="AG23" i="2"/>
  <c r="U58" i="1"/>
  <c r="AH324" i="2"/>
  <c r="AJ324" i="2" s="1"/>
  <c r="AJ315" i="2" s="1"/>
  <c r="Z181" i="1"/>
  <c r="AG19" i="2"/>
  <c r="AI804" i="2"/>
  <c r="AJ804" i="2" s="1"/>
  <c r="AA285" i="1"/>
  <c r="AA97" i="1"/>
  <c r="AA94" i="1" s="1"/>
  <c r="AG1522" i="2" l="1"/>
  <c r="AE104" i="2"/>
  <c r="AH315" i="2"/>
  <c r="AG1467" i="2"/>
  <c r="AE1480" i="2" l="1"/>
  <c r="AE1478" i="2" l="1"/>
  <c r="U63" i="1"/>
  <c r="AI659" i="2"/>
  <c r="AJ659" i="2" s="1"/>
  <c r="X178" i="1"/>
  <c r="Z245" i="1"/>
  <c r="Z175" i="1" l="1"/>
  <c r="X240" i="1"/>
  <c r="AA240" i="1"/>
  <c r="Z270" i="1"/>
  <c r="X237" i="1"/>
  <c r="S202" i="1"/>
  <c r="AD573" i="2"/>
  <c r="AD572" i="2" s="1"/>
  <c r="AF573" i="2"/>
  <c r="AF572" i="2" s="1"/>
  <c r="W263" i="1"/>
  <c r="AI816" i="2"/>
  <c r="AE608" i="2"/>
  <c r="AH574" i="2"/>
  <c r="AI762" i="2"/>
  <c r="R100" i="1"/>
  <c r="AE1485" i="2" l="1"/>
  <c r="AE106" i="2"/>
  <c r="Z58" i="1"/>
  <c r="AJ816" i="2"/>
  <c r="AJ762" i="2"/>
  <c r="AE1494" i="2" l="1"/>
  <c r="AE1503" i="2" s="1"/>
  <c r="AE80" i="2"/>
  <c r="AI563" i="2"/>
  <c r="Z97" i="1"/>
  <c r="Z94" i="1" s="1"/>
  <c r="AG95" i="2" l="1"/>
  <c r="AG99" i="2"/>
  <c r="AJ563" i="2"/>
  <c r="W178" i="1"/>
  <c r="AI571" i="2"/>
  <c r="S200" i="1"/>
  <c r="AA245" i="1"/>
  <c r="AI653" i="2"/>
  <c r="AJ653" i="2" s="1"/>
  <c r="X245" i="1"/>
  <c r="AI495" i="2"/>
  <c r="AH570" i="2"/>
  <c r="AG430" i="2" l="1"/>
  <c r="AE569" i="2"/>
  <c r="AG96" i="2"/>
  <c r="AH22" i="2"/>
  <c r="AD1459" i="2"/>
  <c r="AJ495" i="2"/>
  <c r="AD569" i="2"/>
  <c r="AI578" i="2"/>
  <c r="Z240" i="1"/>
  <c r="S118" i="1" l="1"/>
  <c r="AH185" i="2"/>
  <c r="AH571" i="2"/>
  <c r="AG428" i="2"/>
  <c r="AJ578" i="2"/>
  <c r="AH1459" i="2"/>
  <c r="AJ22" i="2"/>
  <c r="AJ1459" i="2" s="1"/>
  <c r="AI759" i="2"/>
  <c r="S294" i="1"/>
  <c r="AH759" i="2"/>
  <c r="AJ759" i="2" l="1"/>
  <c r="AH569" i="2"/>
  <c r="AJ571" i="2"/>
  <c r="AA353" i="1"/>
  <c r="U55" i="1"/>
  <c r="AH736" i="2"/>
  <c r="U263" i="1"/>
  <c r="X266" i="1"/>
  <c r="AE265" i="2"/>
  <c r="U312" i="1"/>
  <c r="AG325" i="2" l="1"/>
  <c r="AE251" i="2"/>
  <c r="AE735" i="2"/>
  <c r="X275" i="1"/>
  <c r="X294" i="1"/>
  <c r="AH618" i="2"/>
  <c r="AH720" i="2"/>
  <c r="AI683" i="2"/>
  <c r="AJ683" i="2" s="1"/>
  <c r="W200" i="1"/>
  <c r="AG316" i="2" l="1"/>
  <c r="AG310" i="2"/>
  <c r="W207" i="1"/>
  <c r="Z275" i="1"/>
  <c r="AH783" i="2"/>
  <c r="AH760" i="2"/>
  <c r="AI602" i="2"/>
  <c r="AI549" i="2"/>
  <c r="AI796" i="2"/>
  <c r="X246" i="1"/>
  <c r="AH478" i="2"/>
  <c r="AA248" i="1"/>
  <c r="X81" i="1"/>
  <c r="S77" i="1"/>
  <c r="U281" i="1"/>
  <c r="AE1481" i="2" l="1"/>
  <c r="AE143" i="2"/>
  <c r="AG863" i="2"/>
  <c r="U104" i="1"/>
  <c r="X104" i="1"/>
  <c r="AF795" i="2"/>
  <c r="U179" i="1"/>
  <c r="AE103" i="2"/>
  <c r="AG311" i="2"/>
  <c r="AG335" i="2"/>
  <c r="AJ602" i="2"/>
  <c r="AI795" i="2"/>
  <c r="AJ796" i="2"/>
  <c r="AJ795" i="2" s="1"/>
  <c r="Z75" i="1"/>
  <c r="AI821" i="2"/>
  <c r="AH692" i="2"/>
  <c r="AA263" i="1"/>
  <c r="AG212" i="2"/>
  <c r="Z291" i="1"/>
  <c r="AI365" i="2"/>
  <c r="AI760" i="2"/>
  <c r="AJ760" i="2" s="1"/>
  <c r="X292" i="1"/>
  <c r="X303" i="1"/>
  <c r="R356" i="1"/>
  <c r="AI524" i="2"/>
  <c r="W92" i="1"/>
  <c r="Z99" i="1"/>
  <c r="AI701" i="2"/>
  <c r="AJ701" i="2" s="1"/>
  <c r="AG137" i="2"/>
  <c r="AH650" i="2"/>
  <c r="W268" i="1"/>
  <c r="AI671" i="2"/>
  <c r="Z177" i="1"/>
  <c r="AI366" i="2"/>
  <c r="AJ366" i="2" s="1"/>
  <c r="W292" i="1"/>
  <c r="AI707" i="2"/>
  <c r="X248" i="1"/>
  <c r="AI621" i="2"/>
  <c r="AI783" i="2"/>
  <c r="AJ783" i="2" s="1"/>
  <c r="Z233" i="1"/>
  <c r="AA193" i="1"/>
  <c r="AA209" i="1"/>
  <c r="AI645" i="2"/>
  <c r="AJ645" i="2" s="1"/>
  <c r="Z320" i="1"/>
  <c r="Z209" i="1"/>
  <c r="W210" i="1"/>
  <c r="AH751" i="2"/>
  <c r="AA275" i="1"/>
  <c r="AA224" i="1"/>
  <c r="W323" i="1"/>
  <c r="Z287" i="1"/>
  <c r="S277" i="1"/>
  <c r="X209" i="1"/>
  <c r="AD593" i="2"/>
  <c r="W356" i="1"/>
  <c r="W294" i="1"/>
  <c r="AH707" i="2"/>
  <c r="W97" i="1"/>
  <c r="W94" i="1" s="1"/>
  <c r="AH698" i="2"/>
  <c r="AA303" i="1"/>
  <c r="Z303" i="1"/>
  <c r="AI329" i="2"/>
  <c r="AI320" i="2" s="1"/>
  <c r="AF137" i="2"/>
  <c r="W99" i="1"/>
  <c r="AI590" i="2"/>
  <c r="Z248" i="1"/>
  <c r="AI722" i="2"/>
  <c r="AJ722" i="2" s="1"/>
  <c r="S285" i="1"/>
  <c r="AH524" i="2"/>
  <c r="AA207" i="1"/>
  <c r="AI662" i="2"/>
  <c r="AJ662" i="2" s="1"/>
  <c r="AH784" i="2"/>
  <c r="AA246" i="1"/>
  <c r="X207" i="1"/>
  <c r="X287" i="1"/>
  <c r="U285" i="1"/>
  <c r="AF260" i="2"/>
  <c r="AJ365" i="2" l="1"/>
  <c r="AJ363" i="2" s="1"/>
  <c r="AI363" i="2"/>
  <c r="AG1532" i="2"/>
  <c r="AE156" i="2"/>
  <c r="AH156" i="2" s="1"/>
  <c r="AE1477" i="2"/>
  <c r="U122" i="1"/>
  <c r="S117" i="1"/>
  <c r="AE420" i="2"/>
  <c r="AE418" i="2" s="1"/>
  <c r="AG446" i="2"/>
  <c r="AG422" i="2"/>
  <c r="AJ524" i="2"/>
  <c r="S204" i="1"/>
  <c r="AJ707" i="2"/>
  <c r="AI137" i="2"/>
  <c r="AI784" i="2"/>
  <c r="AJ784" i="2" s="1"/>
  <c r="AH830" i="2"/>
  <c r="AE649" i="2"/>
  <c r="AI792" i="2"/>
  <c r="AJ792" i="2" s="1"/>
  <c r="AE691" i="2"/>
  <c r="AI134" i="2"/>
  <c r="AI131" i="2" s="1"/>
  <c r="AE446" i="2"/>
  <c r="AH396" i="2"/>
  <c r="AI538" i="2"/>
  <c r="AF589" i="2"/>
  <c r="AF320" i="2"/>
  <c r="AH640" i="2"/>
  <c r="AF620" i="2"/>
  <c r="AJ621" i="2"/>
  <c r="AE697" i="2"/>
  <c r="AG170" i="2"/>
  <c r="AI830" i="2"/>
  <c r="AG339" i="2"/>
  <c r="AG340" i="2" s="1"/>
  <c r="AG336" i="2"/>
  <c r="AH595" i="2"/>
  <c r="AA58" i="1"/>
  <c r="AJ650" i="2"/>
  <c r="AJ821" i="2"/>
  <c r="AD616" i="2"/>
  <c r="W209" i="1"/>
  <c r="AI619" i="2"/>
  <c r="AA289" i="1"/>
  <c r="Z207" i="1"/>
  <c r="AA287" i="1"/>
  <c r="AH538" i="2"/>
  <c r="AG703" i="2"/>
  <c r="AH367" i="2"/>
  <c r="AH362" i="2" s="1"/>
  <c r="AG616" i="2"/>
  <c r="AD756" i="2"/>
  <c r="R362" i="1"/>
  <c r="R361" i="1" s="1"/>
  <c r="Z67" i="1"/>
  <c r="AF23" i="2"/>
  <c r="U237" i="1"/>
  <c r="AI570" i="2"/>
  <c r="AI660" i="2"/>
  <c r="AJ660" i="2" s="1"/>
  <c r="AH606" i="2"/>
  <c r="W177" i="1"/>
  <c r="AE1475" i="2" l="1"/>
  <c r="AG1541" i="2"/>
  <c r="AG1564" i="2"/>
  <c r="AE1524" i="2"/>
  <c r="AH1524" i="2" s="1"/>
  <c r="AG1571" i="2"/>
  <c r="AE102" i="2"/>
  <c r="AE79" i="2"/>
  <c r="AE361" i="2"/>
  <c r="AE380" i="2" s="1"/>
  <c r="AG382" i="2"/>
  <c r="AG381" i="2" s="1"/>
  <c r="AG407" i="2" s="1"/>
  <c r="U204" i="1"/>
  <c r="AJ830" i="2"/>
  <c r="AF569" i="2"/>
  <c r="AE1533" i="2"/>
  <c r="AA204" i="1"/>
  <c r="AH619" i="2"/>
  <c r="AH616" i="2" s="1"/>
  <c r="AG267" i="2"/>
  <c r="AH564" i="2"/>
  <c r="AI618" i="2"/>
  <c r="AJ618" i="2" s="1"/>
  <c r="AG427" i="2"/>
  <c r="AJ538" i="2"/>
  <c r="AI260" i="2"/>
  <c r="AI569" i="2"/>
  <c r="AJ570" i="2"/>
  <c r="AJ569" i="2" s="1"/>
  <c r="AI564" i="2"/>
  <c r="AG418" i="2"/>
  <c r="AG371" i="2" l="1"/>
  <c r="AE1542" i="2"/>
  <c r="AE1551" i="2" s="1"/>
  <c r="AG1579" i="2"/>
  <c r="AE1572" i="2"/>
  <c r="AE1565" i="2"/>
  <c r="AE1522" i="2"/>
  <c r="AH1522" i="2" s="1"/>
  <c r="AG1550" i="2"/>
  <c r="AE1474" i="2"/>
  <c r="AG374" i="2"/>
  <c r="AJ619" i="2"/>
  <c r="AG444" i="2"/>
  <c r="AJ564" i="2"/>
  <c r="AE444" i="2"/>
  <c r="AI23" i="2"/>
  <c r="AI1467" i="2" s="1"/>
  <c r="AF1467" i="2"/>
  <c r="AD320" i="2"/>
  <c r="AE1563" i="2" l="1"/>
  <c r="AG1586" i="2"/>
  <c r="AE1580" i="2"/>
  <c r="AE1587" i="2" s="1"/>
  <c r="AE1570" i="2"/>
  <c r="AH329" i="2"/>
  <c r="AJ329" i="2" s="1"/>
  <c r="AJ320" i="2" s="1"/>
  <c r="AG425" i="2"/>
  <c r="AG435" i="2"/>
  <c r="AG196" i="2" s="1"/>
  <c r="AG439" i="2"/>
  <c r="AG278" i="2" s="1"/>
  <c r="AG443" i="2"/>
  <c r="AG341" i="2" s="1"/>
  <c r="AG431" i="2"/>
  <c r="AG90" i="2" s="1"/>
  <c r="AG447" i="2"/>
  <c r="AG413" i="2" s="1"/>
  <c r="Z246" i="1"/>
  <c r="AF99" i="2"/>
  <c r="X97" i="1"/>
  <c r="X94" i="1" s="1"/>
  <c r="AI782" i="2"/>
  <c r="AH549" i="2"/>
  <c r="AH825" i="2" s="1"/>
  <c r="AI670" i="2"/>
  <c r="AG756" i="2"/>
  <c r="AE860" i="2"/>
  <c r="AE859" i="2" s="1"/>
  <c r="AA292" i="1"/>
  <c r="Z267" i="1"/>
  <c r="AI819" i="2"/>
  <c r="AH819" i="2"/>
  <c r="AF756" i="2"/>
  <c r="X55" i="1"/>
  <c r="AG589" i="2"/>
  <c r="AD529" i="2"/>
  <c r="R294" i="1"/>
  <c r="AI721" i="2"/>
  <c r="AJ721" i="2" s="1"/>
  <c r="AE182" i="2"/>
  <c r="Z358" i="1"/>
  <c r="AH782" i="2"/>
  <c r="AI831" i="2"/>
  <c r="AJ831" i="2" s="1"/>
  <c r="AH613" i="2"/>
  <c r="AI582" i="2"/>
  <c r="AJ582" i="2" s="1"/>
  <c r="AA270" i="1"/>
  <c r="AI509" i="2"/>
  <c r="W79" i="1"/>
  <c r="AH320" i="2" l="1"/>
  <c r="AE1578" i="2"/>
  <c r="AE1585" i="2" s="1"/>
  <c r="AG256" i="2"/>
  <c r="AF259" i="2"/>
  <c r="AF245" i="2" s="1"/>
  <c r="AG221" i="2"/>
  <c r="AA85" i="1"/>
  <c r="Z85" i="1"/>
  <c r="Z84" i="1"/>
  <c r="X85" i="1"/>
  <c r="X204" i="1"/>
  <c r="X84" i="1"/>
  <c r="AJ819" i="2"/>
  <c r="U84" i="1"/>
  <c r="AJ782" i="2"/>
  <c r="AE756" i="2"/>
  <c r="AH758" i="2"/>
  <c r="AJ549" i="2"/>
  <c r="AI591" i="2"/>
  <c r="AI589" i="2" s="1"/>
  <c r="AI758" i="2"/>
  <c r="AI756" i="2" s="1"/>
  <c r="AI99" i="2"/>
  <c r="AG675" i="2"/>
  <c r="AJ613" i="2"/>
  <c r="AH531" i="2"/>
  <c r="X170" i="1"/>
  <c r="AE1591" i="2" l="1"/>
  <c r="AE1592" i="2"/>
  <c r="S58" i="1"/>
  <c r="AG252" i="2"/>
  <c r="AG673" i="2"/>
  <c r="AG672" i="2" s="1"/>
  <c r="AH756" i="2"/>
  <c r="AJ758" i="2"/>
  <c r="AJ756" i="2" s="1"/>
  <c r="AG242" i="2"/>
  <c r="AA302" i="1"/>
  <c r="Z182" i="1"/>
  <c r="AA264" i="1"/>
  <c r="Z302" i="1"/>
  <c r="X182" i="1"/>
  <c r="X208" i="1"/>
  <c r="U90" i="1"/>
  <c r="AH530" i="2"/>
  <c r="X193" i="1"/>
  <c r="S263" i="1"/>
  <c r="Z208" i="1"/>
  <c r="AA182" i="1"/>
  <c r="X358" i="1"/>
  <c r="AG649" i="2"/>
  <c r="AE259" i="2"/>
  <c r="AI623" i="2"/>
  <c r="AJ623" i="2" s="1"/>
  <c r="X238" i="1"/>
  <c r="AH591" i="2"/>
  <c r="AJ591" i="2" s="1"/>
  <c r="X281" i="1"/>
  <c r="AA200" i="1"/>
  <c r="AH670" i="2"/>
  <c r="AJ670" i="2" s="1"/>
  <c r="U267" i="1"/>
  <c r="Z238" i="1"/>
  <c r="X244" i="1"/>
  <c r="W91" i="1"/>
  <c r="AG860" i="2" l="1"/>
  <c r="AG835" i="2"/>
  <c r="AG185" i="2"/>
  <c r="X212" i="1"/>
  <c r="AA212" i="1"/>
  <c r="AH259" i="2"/>
  <c r="AE245" i="2"/>
  <c r="AA174" i="1"/>
  <c r="AE529" i="2"/>
  <c r="AH529" i="2"/>
  <c r="AH818" i="2"/>
  <c r="AH410" i="2"/>
  <c r="AA358" i="1"/>
  <c r="X302" i="1"/>
  <c r="AA238" i="1"/>
  <c r="W357" i="1"/>
  <c r="R97" i="1"/>
  <c r="R94" i="1" s="1"/>
  <c r="AA244" i="1"/>
  <c r="Z244" i="1"/>
  <c r="AH609" i="2"/>
  <c r="X224" i="1"/>
  <c r="AA55" i="1"/>
  <c r="AG656" i="2"/>
  <c r="AG648" i="2" s="1"/>
  <c r="U273" i="1"/>
  <c r="X74" i="1"/>
  <c r="AD331" i="2"/>
  <c r="AI818" i="2"/>
  <c r="AH680" i="2"/>
  <c r="AH767" i="2"/>
  <c r="U81" i="1"/>
  <c r="AH504" i="2"/>
  <c r="U76" i="1"/>
  <c r="AG175" i="2" l="1"/>
  <c r="AG157" i="2"/>
  <c r="AE847" i="2"/>
  <c r="U119" i="1"/>
  <c r="Z212" i="1"/>
  <c r="AJ818" i="2"/>
  <c r="AI658" i="2"/>
  <c r="AJ658" i="2" s="1"/>
  <c r="AH332" i="2"/>
  <c r="AJ332" i="2" s="1"/>
  <c r="AJ331" i="2" s="1"/>
  <c r="AG419" i="2"/>
  <c r="AG405" i="2"/>
  <c r="AG181" i="2"/>
  <c r="AJ609" i="2"/>
  <c r="AG58" i="2"/>
  <c r="AA208" i="1"/>
  <c r="Z73" i="1"/>
  <c r="Z81" i="1"/>
  <c r="AG262" i="2"/>
  <c r="Z195" i="1"/>
  <c r="AA72" i="1"/>
  <c r="AA267" i="1"/>
  <c r="AG1535" i="2" l="1"/>
  <c r="AG1525" i="2"/>
  <c r="AE842" i="2"/>
  <c r="AE837" i="2"/>
  <c r="Z28" i="1"/>
  <c r="AG259" i="2"/>
  <c r="AI259" i="2" s="1"/>
  <c r="AE356" i="2"/>
  <c r="AG184" i="2"/>
  <c r="AG180" i="2" s="1"/>
  <c r="AH331" i="2"/>
  <c r="AG57" i="2"/>
  <c r="AG103" i="2"/>
  <c r="AA300" i="1"/>
  <c r="AE375" i="2" l="1"/>
  <c r="AE354" i="2"/>
  <c r="AE373" i="2" s="1"/>
  <c r="AG1477" i="2"/>
  <c r="AG174" i="2"/>
  <c r="AG1544" i="2"/>
  <c r="AJ259" i="2"/>
  <c r="U294" i="1"/>
  <c r="R215" i="1"/>
  <c r="R214" i="1" s="1"/>
  <c r="X264" i="1"/>
  <c r="AG1553" i="2" l="1"/>
  <c r="AG1575" i="2"/>
  <c r="AG1534" i="2"/>
  <c r="AG1475" i="2"/>
  <c r="AG501" i="2"/>
  <c r="R99" i="1"/>
  <c r="AI788" i="2"/>
  <c r="Z265" i="1"/>
  <c r="AI668" i="2"/>
  <c r="R63" i="1"/>
  <c r="AH668" i="2"/>
  <c r="U265" i="1"/>
  <c r="AA76" i="1"/>
  <c r="AI500" i="2"/>
  <c r="AJ500" i="2" s="1"/>
  <c r="X75" i="1"/>
  <c r="AI526" i="2"/>
  <c r="AG1583" i="2" l="1"/>
  <c r="AG1543" i="2"/>
  <c r="AG857" i="2"/>
  <c r="AG847" i="2"/>
  <c r="AJ668" i="2"/>
  <c r="AH788" i="2"/>
  <c r="AF525" i="2"/>
  <c r="AI639" i="2"/>
  <c r="AJ639" i="2" s="1"/>
  <c r="AA211" i="1"/>
  <c r="X72" i="1"/>
  <c r="W206" i="1"/>
  <c r="AA290" i="1"/>
  <c r="AI705" i="2"/>
  <c r="AJ705" i="2" s="1"/>
  <c r="Z271" i="1"/>
  <c r="AE257" i="2"/>
  <c r="Z72" i="1"/>
  <c r="AI617" i="2"/>
  <c r="AH542" i="2"/>
  <c r="Z290" i="1"/>
  <c r="AA284" i="1"/>
  <c r="X284" i="1"/>
  <c r="Z88" i="1"/>
  <c r="AA279" i="1"/>
  <c r="AA74" i="1"/>
  <c r="AG1552" i="2" l="1"/>
  <c r="AG1590" i="2"/>
  <c r="AG1555" i="2"/>
  <c r="AG1554" i="2"/>
  <c r="AG837" i="2"/>
  <c r="AG842" i="2"/>
  <c r="AG846" i="2"/>
  <c r="AG854" i="2"/>
  <c r="AI857" i="2"/>
  <c r="AF106" i="2"/>
  <c r="AJ788" i="2"/>
  <c r="AH786" i="2"/>
  <c r="AF430" i="2"/>
  <c r="AF97" i="2"/>
  <c r="AH257" i="2"/>
  <c r="AE243" i="2"/>
  <c r="AF616" i="2"/>
  <c r="AI616" i="2"/>
  <c r="AJ617" i="2"/>
  <c r="AJ616" i="2" s="1"/>
  <c r="AG1295" i="2"/>
  <c r="AH107" i="2"/>
  <c r="W86" i="1"/>
  <c r="Z234" i="1"/>
  <c r="X279" i="1"/>
  <c r="AI532" i="2"/>
  <c r="AJ532" i="2" s="1"/>
  <c r="Z313" i="1"/>
  <c r="X211" i="1"/>
  <c r="AF258" i="2"/>
  <c r="AF80" i="2" l="1"/>
  <c r="AI80" i="2" s="1"/>
  <c r="AG861" i="2"/>
  <c r="AG841" i="2"/>
  <c r="AG15" i="2"/>
  <c r="AF95" i="2"/>
  <c r="AF96" i="2" s="1"/>
  <c r="AI97" i="2"/>
  <c r="AI95" i="2" s="1"/>
  <c r="AI96" i="2" s="1"/>
  <c r="AH106" i="2"/>
  <c r="AJ107" i="2"/>
  <c r="AJ106" i="2" s="1"/>
  <c r="W266" i="1"/>
  <c r="AI669" i="2"/>
  <c r="AI689" i="2"/>
  <c r="AJ689" i="2" s="1"/>
  <c r="X290" i="1"/>
  <c r="AG217" i="2"/>
  <c r="W238" i="1"/>
  <c r="AH651" i="2"/>
  <c r="AI574" i="2"/>
  <c r="U79" i="1"/>
  <c r="Z279" i="1"/>
  <c r="W358" i="1"/>
  <c r="U268" i="1"/>
  <c r="S193" i="1"/>
  <c r="AH605" i="2"/>
  <c r="AG529" i="2"/>
  <c r="AI696" i="2"/>
  <c r="AJ696" i="2" s="1"/>
  <c r="R355" i="1"/>
  <c r="U350" i="1"/>
  <c r="X91" i="1"/>
  <c r="Z284" i="1"/>
  <c r="AG620" i="2"/>
  <c r="U274" i="1"/>
  <c r="Z91" i="1"/>
  <c r="R351" i="1"/>
  <c r="AI657" i="2"/>
  <c r="Z211" i="1"/>
  <c r="AA230" i="1"/>
  <c r="Z180" i="1"/>
  <c r="X88" i="1"/>
  <c r="AA88" i="1"/>
  <c r="Z196" i="1"/>
  <c r="AE313" i="2"/>
  <c r="Z294" i="1"/>
  <c r="S362" i="1"/>
  <c r="S361" i="1" s="1"/>
  <c r="AI576" i="2"/>
  <c r="AJ576" i="2" s="1"/>
  <c r="W243" i="1"/>
  <c r="W78" i="1"/>
  <c r="AG593" i="2"/>
  <c r="S75" i="1"/>
  <c r="AH768" i="2"/>
  <c r="AI768" i="2"/>
  <c r="AD505" i="2"/>
  <c r="AA91" i="1"/>
  <c r="AI605" i="2"/>
  <c r="AI328" i="2"/>
  <c r="AI319" i="2" s="1"/>
  <c r="AI625" i="2"/>
  <c r="AA180" i="1"/>
  <c r="AE497" i="2"/>
  <c r="AI462" i="2"/>
  <c r="S268" i="1"/>
  <c r="X180" i="1"/>
  <c r="X73" i="1"/>
  <c r="W355" i="1"/>
  <c r="AE112" i="2"/>
  <c r="AG1592" i="2" l="1"/>
  <c r="AG1591" i="2"/>
  <c r="AG859" i="2"/>
  <c r="AG836" i="2"/>
  <c r="AE260" i="2"/>
  <c r="AE246" i="2" s="1"/>
  <c r="AE130" i="2"/>
  <c r="AE127" i="2" s="1"/>
  <c r="AE21" i="2"/>
  <c r="AH507" i="2"/>
  <c r="AJ605" i="2"/>
  <c r="AI531" i="2"/>
  <c r="AJ531" i="2" s="1"/>
  <c r="AJ768" i="2"/>
  <c r="AI258" i="2"/>
  <c r="AF319" i="2"/>
  <c r="AI622" i="2"/>
  <c r="AJ574" i="2"/>
  <c r="AF428" i="2"/>
  <c r="AI430" i="2"/>
  <c r="AI596" i="2"/>
  <c r="AJ596" i="2" s="1"/>
  <c r="AI651" i="2"/>
  <c r="AH382" i="2"/>
  <c r="AE111" i="2"/>
  <c r="AJ625" i="2"/>
  <c r="AE681" i="2"/>
  <c r="AE679" i="2" s="1"/>
  <c r="AH323" i="2"/>
  <c r="AG1567" i="2" l="1"/>
  <c r="AE1486" i="2"/>
  <c r="AD314" i="2"/>
  <c r="AH314" i="2"/>
  <c r="AH21" i="2"/>
  <c r="AE1460" i="2"/>
  <c r="AH260" i="2"/>
  <c r="AJ651" i="2"/>
  <c r="AI428" i="2"/>
  <c r="AG248" i="2"/>
  <c r="AE128" i="2"/>
  <c r="AJ622" i="2"/>
  <c r="AJ620" i="2" s="1"/>
  <c r="AI620" i="2"/>
  <c r="AE1484" i="2" l="1"/>
  <c r="AE1495" i="2"/>
  <c r="AE1504" i="2" s="1"/>
  <c r="AG1566" i="2"/>
  <c r="AJ260" i="2"/>
  <c r="AH1460" i="2"/>
  <c r="AD319" i="2"/>
  <c r="U202" i="1"/>
  <c r="U201" i="1" s="1"/>
  <c r="AE1306" i="2"/>
  <c r="AH1306" i="2" s="1"/>
  <c r="AI323" i="2"/>
  <c r="W351" i="1"/>
  <c r="AE1493" i="2" l="1"/>
  <c r="AE1502" i="2" s="1"/>
  <c r="AE26" i="2"/>
  <c r="AA122" i="1"/>
  <c r="X122" i="1"/>
  <c r="AH328" i="2"/>
  <c r="AH319" i="2" s="1"/>
  <c r="AE125" i="2"/>
  <c r="AF314" i="2"/>
  <c r="AI314" i="2"/>
  <c r="AJ323" i="2"/>
  <c r="AJ314" i="2" s="1"/>
  <c r="AI409" i="2"/>
  <c r="X202" i="1"/>
  <c r="Z225" i="1"/>
  <c r="AA202" i="1"/>
  <c r="X76" i="1"/>
  <c r="AG497" i="2"/>
  <c r="AG361" i="2" l="1"/>
  <c r="AG380" i="2" s="1"/>
  <c r="AE23" i="2"/>
  <c r="AJ328" i="2"/>
  <c r="AJ319" i="2" s="1"/>
  <c r="AE19" i="2"/>
  <c r="AH26" i="2"/>
  <c r="AE62" i="2"/>
  <c r="AE67" i="2" s="1"/>
  <c r="S270" i="1"/>
  <c r="AG477" i="2"/>
  <c r="AF256" i="2"/>
  <c r="AF255" i="2" l="1"/>
  <c r="AI255" i="2" s="1"/>
  <c r="AJ255" i="2" s="1"/>
  <c r="X58" i="1"/>
  <c r="U28" i="1"/>
  <c r="AH62" i="2"/>
  <c r="AH67" i="2" s="1"/>
  <c r="AF254" i="2"/>
  <c r="AH23" i="2"/>
  <c r="AE1467" i="2"/>
  <c r="Z78" i="1"/>
  <c r="AA170" i="1"/>
  <c r="AG505" i="2"/>
  <c r="X61" i="1"/>
  <c r="Z226" i="1"/>
  <c r="AF665" i="2"/>
  <c r="W264" i="1"/>
  <c r="AH590" i="2"/>
  <c r="AG634" i="2"/>
  <c r="AI541" i="2"/>
  <c r="X230" i="1"/>
  <c r="AG766" i="2"/>
  <c r="U97" i="1"/>
  <c r="U94" i="1" s="1"/>
  <c r="U270" i="1"/>
  <c r="AH676" i="2"/>
  <c r="AE99" i="2"/>
  <c r="W360" i="1"/>
  <c r="R184" i="1"/>
  <c r="AE766" i="2"/>
  <c r="W77" i="1"/>
  <c r="AE855" i="2" l="1"/>
  <c r="AE854" i="2" s="1"/>
  <c r="AE835" i="2"/>
  <c r="Z118" i="1"/>
  <c r="AE262" i="2"/>
  <c r="Z59" i="1"/>
  <c r="AE95" i="2"/>
  <c r="AI256" i="2"/>
  <c r="AH1467" i="2"/>
  <c r="AJ23" i="2"/>
  <c r="AJ1467" i="2" s="1"/>
  <c r="AH19" i="2"/>
  <c r="AE589" i="2"/>
  <c r="AH99" i="2"/>
  <c r="AJ99" i="2" s="1"/>
  <c r="AH134" i="2"/>
  <c r="AE675" i="2"/>
  <c r="AE673" i="2" s="1"/>
  <c r="AJ590" i="2"/>
  <c r="AJ589" i="2" s="1"/>
  <c r="AH589" i="2"/>
  <c r="AI507" i="2"/>
  <c r="AJ507" i="2" s="1"/>
  <c r="AE58" i="2" l="1"/>
  <c r="AE1554" i="2"/>
  <c r="AE1555" i="2"/>
  <c r="AG359" i="2"/>
  <c r="AE96" i="2"/>
  <c r="AE248" i="2"/>
  <c r="AH131" i="2"/>
  <c r="AJ134" i="2"/>
  <c r="AJ131" i="2" s="1"/>
  <c r="AE430" i="2"/>
  <c r="Z276" i="1"/>
  <c r="AH541" i="2"/>
  <c r="AJ541" i="2" s="1"/>
  <c r="AE137" i="2"/>
  <c r="AH137" i="2" s="1"/>
  <c r="AJ137" i="2" s="1"/>
  <c r="U99" i="1"/>
  <c r="AI506" i="2"/>
  <c r="AI505" i="2" s="1"/>
  <c r="X360" i="1"/>
  <c r="Z350" i="1"/>
  <c r="AD313" i="2"/>
  <c r="X197" i="1"/>
  <c r="AI479" i="2"/>
  <c r="AD477" i="2"/>
  <c r="U278" i="1"/>
  <c r="AA310" i="1"/>
  <c r="AE477" i="2"/>
  <c r="AA273" i="1"/>
  <c r="AG488" i="2"/>
  <c r="AD766" i="2"/>
  <c r="AA78" i="1"/>
  <c r="R353" i="1"/>
  <c r="Z231" i="1"/>
  <c r="AI733" i="2"/>
  <c r="AJ733" i="2" s="1"/>
  <c r="X93" i="1"/>
  <c r="X171" i="1"/>
  <c r="AG411" i="2"/>
  <c r="W193" i="1"/>
  <c r="AA276" i="1"/>
  <c r="AA73" i="1"/>
  <c r="AA67" i="1"/>
  <c r="X89" i="1"/>
  <c r="AA68" i="1"/>
  <c r="S55" i="1"/>
  <c r="AI594" i="2"/>
  <c r="AG264" i="2"/>
  <c r="AI769" i="2"/>
  <c r="U175" i="1"/>
  <c r="AH567" i="2"/>
  <c r="X79" i="1"/>
  <c r="AD634" i="2"/>
  <c r="AD633" i="2" s="1"/>
  <c r="AI115" i="2"/>
  <c r="AI117" i="2" s="1"/>
  <c r="AA360" i="1"/>
  <c r="AA319" i="1"/>
  <c r="AA93" i="1"/>
  <c r="Z68" i="1"/>
  <c r="Z310" i="1"/>
  <c r="AE57" i="2" l="1"/>
  <c r="AG378" i="2"/>
  <c r="AE687" i="2"/>
  <c r="AF505" i="2"/>
  <c r="Z51" i="1"/>
  <c r="AH322" i="2"/>
  <c r="AH313" i="2" s="1"/>
  <c r="AF117" i="2"/>
  <c r="AA59" i="1"/>
  <c r="X59" i="1"/>
  <c r="AI490" i="2"/>
  <c r="AJ490" i="2" s="1"/>
  <c r="AJ488" i="2" s="1"/>
  <c r="S84" i="1"/>
  <c r="AH769" i="2"/>
  <c r="AH766" i="2" s="1"/>
  <c r="X51" i="1"/>
  <c r="AI801" i="2"/>
  <c r="AG263" i="2"/>
  <c r="AE427" i="2"/>
  <c r="AA51" i="1"/>
  <c r="AH479" i="2"/>
  <c r="AH638" i="2"/>
  <c r="AG118" i="2"/>
  <c r="AI643" i="2"/>
  <c r="AH160" i="2"/>
  <c r="AJ769" i="2" l="1"/>
  <c r="AI488" i="2"/>
  <c r="AH634" i="2"/>
  <c r="AE431" i="2"/>
  <c r="AE90" i="2" s="1"/>
  <c r="AH159" i="2"/>
  <c r="AJ160" i="2"/>
  <c r="AJ159" i="2" s="1"/>
  <c r="AJ643" i="2"/>
  <c r="AH477" i="2"/>
  <c r="AJ479" i="2"/>
  <c r="AE428" i="2"/>
  <c r="AJ801" i="2"/>
  <c r="AD317" i="2"/>
  <c r="X319" i="1"/>
  <c r="AF130" i="2"/>
  <c r="AA61" i="1"/>
  <c r="AA89" i="1"/>
  <c r="X78" i="1"/>
  <c r="AA277" i="1"/>
  <c r="X314" i="1"/>
  <c r="S215" i="1"/>
  <c r="S214" i="1" s="1"/>
  <c r="AI542" i="2"/>
  <c r="AI786" i="2" s="1"/>
  <c r="X310" i="1"/>
  <c r="AG1479" i="2" l="1"/>
  <c r="AG1480" i="2"/>
  <c r="AG104" i="2"/>
  <c r="AG102" i="2"/>
  <c r="Z204" i="1"/>
  <c r="AH326" i="2"/>
  <c r="AJ542" i="2"/>
  <c r="AJ786" i="2" s="1"/>
  <c r="AG249" i="2"/>
  <c r="AE439" i="2"/>
  <c r="AE278" i="2" s="1"/>
  <c r="AE425" i="2"/>
  <c r="AE443" i="2"/>
  <c r="AE341" i="2" s="1"/>
  <c r="AE435" i="2"/>
  <c r="AE196" i="2" s="1"/>
  <c r="AE447" i="2"/>
  <c r="AE413" i="2" s="1"/>
  <c r="AD497" i="2"/>
  <c r="AE781" i="2"/>
  <c r="AE330" i="2"/>
  <c r="AH506" i="2"/>
  <c r="AG781" i="2"/>
  <c r="X100" i="1"/>
  <c r="AI606" i="2"/>
  <c r="AJ606" i="2" s="1"/>
  <c r="AH710" i="2"/>
  <c r="AJ710" i="2" s="1"/>
  <c r="AA81" i="1"/>
  <c r="X177" i="1"/>
  <c r="AA323" i="1"/>
  <c r="AE494" i="2"/>
  <c r="AE493" i="2" s="1"/>
  <c r="AI739" i="2"/>
  <c r="AJ739" i="2" s="1"/>
  <c r="AA281" i="1"/>
  <c r="AI499" i="2"/>
  <c r="Z200" i="1"/>
  <c r="AH718" i="2"/>
  <c r="AJ718" i="2" s="1"/>
  <c r="AA99" i="1"/>
  <c r="AA171" i="1"/>
  <c r="Z314" i="1"/>
  <c r="AA79" i="1"/>
  <c r="Z319" i="1"/>
  <c r="U266" i="1"/>
  <c r="R325" i="1"/>
  <c r="R324" i="1" s="1"/>
  <c r="X205" i="1"/>
  <c r="X68" i="1"/>
  <c r="X323" i="1"/>
  <c r="AI746" i="2"/>
  <c r="AJ746" i="2" s="1"/>
  <c r="AA314" i="1"/>
  <c r="Z205" i="1"/>
  <c r="AA100" i="1"/>
  <c r="AG525" i="2"/>
  <c r="U230" i="1"/>
  <c r="AI615" i="2"/>
  <c r="AJ615" i="2" s="1"/>
  <c r="Z197" i="1"/>
  <c r="AH548" i="2"/>
  <c r="AH642" i="2"/>
  <c r="U177" i="1"/>
  <c r="U73" i="1"/>
  <c r="S175" i="1"/>
  <c r="AG716" i="2"/>
  <c r="AA190" i="1"/>
  <c r="AA265" i="1"/>
  <c r="AI533" i="2"/>
  <c r="AJ533" i="2" s="1"/>
  <c r="S300" i="1"/>
  <c r="X276" i="1"/>
  <c r="AH502" i="2"/>
  <c r="AE258" i="2"/>
  <c r="Z61" i="1"/>
  <c r="AH269" i="2"/>
  <c r="AI559" i="2"/>
  <c r="Z237" i="1"/>
  <c r="AH598" i="2"/>
  <c r="U243" i="1"/>
  <c r="Z264" i="1"/>
  <c r="Z262" i="1" s="1"/>
  <c r="AE138" i="2"/>
  <c r="AH138" i="2" s="1"/>
  <c r="AJ138" i="2" s="1"/>
  <c r="U100" i="1"/>
  <c r="U357" i="1"/>
  <c r="U349" i="1" s="1"/>
  <c r="U365" i="1" s="1"/>
  <c r="U368" i="1" s="1"/>
  <c r="AG1306" i="2"/>
  <c r="AI484" i="2"/>
  <c r="AJ484" i="2" s="1"/>
  <c r="AG597" i="2"/>
  <c r="AG588" i="2" s="1"/>
  <c r="AI522" i="2"/>
  <c r="AH657" i="2"/>
  <c r="AG665" i="2"/>
  <c r="AG664" i="2" s="1"/>
  <c r="Z202" i="1"/>
  <c r="Z89" i="1"/>
  <c r="AH509" i="2"/>
  <c r="AJ509" i="2" s="1"/>
  <c r="AD117" i="2"/>
  <c r="Z323" i="1"/>
  <c r="S73" i="1"/>
  <c r="AA205" i="1"/>
  <c r="U197" i="1"/>
  <c r="S197" i="1"/>
  <c r="AI548" i="2"/>
  <c r="Z93" i="1"/>
  <c r="X318" i="1"/>
  <c r="Z171" i="1"/>
  <c r="AG554" i="2"/>
  <c r="X99" i="1"/>
  <c r="AG143" i="2" l="1"/>
  <c r="AG1490" i="2"/>
  <c r="AE1532" i="2"/>
  <c r="AE1530" i="2"/>
  <c r="AG166" i="2"/>
  <c r="AG1488" i="2"/>
  <c r="AE158" i="2"/>
  <c r="AE181" i="2" s="1"/>
  <c r="AG1497" i="2"/>
  <c r="AG1574" i="2"/>
  <c r="AG1478" i="2"/>
  <c r="AE846" i="2"/>
  <c r="AE844" i="2" s="1"/>
  <c r="AG1307" i="2"/>
  <c r="AG26" i="2"/>
  <c r="AG62" i="2" s="1"/>
  <c r="AG67" i="2" s="1"/>
  <c r="AG79" i="2"/>
  <c r="S104" i="1"/>
  <c r="S122" i="1"/>
  <c r="AA104" i="1"/>
  <c r="AG130" i="2"/>
  <c r="AG127" i="2" s="1"/>
  <c r="AG257" i="2"/>
  <c r="AG112" i="2"/>
  <c r="AG265" i="2"/>
  <c r="AG251" i="2" s="1"/>
  <c r="AG27" i="2"/>
  <c r="AA84" i="1"/>
  <c r="AI803" i="2"/>
  <c r="AH803" i="2"/>
  <c r="AH499" i="2"/>
  <c r="AH497" i="2" s="1"/>
  <c r="AH258" i="2"/>
  <c r="AJ258" i="2" s="1"/>
  <c r="AE244" i="2"/>
  <c r="AE597" i="2"/>
  <c r="AD268" i="2"/>
  <c r="AE505" i="2"/>
  <c r="AI556" i="2"/>
  <c r="AJ556" i="2" s="1"/>
  <c r="AJ554" i="2" s="1"/>
  <c r="AE656" i="2"/>
  <c r="AE648" i="2" s="1"/>
  <c r="AI368" i="2"/>
  <c r="AH268" i="2"/>
  <c r="AJ269" i="2"/>
  <c r="AJ268" i="2" s="1"/>
  <c r="AE325" i="2"/>
  <c r="AE183" i="2"/>
  <c r="AJ522" i="2"/>
  <c r="AI751" i="2"/>
  <c r="AJ751" i="2" s="1"/>
  <c r="AJ548" i="2"/>
  <c r="AI528" i="2"/>
  <c r="AJ559" i="2"/>
  <c r="AE641" i="2"/>
  <c r="AE633" i="2" s="1"/>
  <c r="AG111" i="2"/>
  <c r="AE171" i="2"/>
  <c r="AJ326" i="2"/>
  <c r="AJ317" i="2" s="1"/>
  <c r="AH317" i="2"/>
  <c r="AH822" i="2"/>
  <c r="AH115" i="2"/>
  <c r="Z80" i="1"/>
  <c r="AI667" i="2"/>
  <c r="AI665" i="2" s="1"/>
  <c r="AJ657" i="2"/>
  <c r="AJ642" i="2"/>
  <c r="AH641" i="2"/>
  <c r="AH633" i="2" s="1"/>
  <c r="AJ506" i="2"/>
  <c r="AJ505" i="2" s="1"/>
  <c r="AH505" i="2"/>
  <c r="AG1481" i="2" l="1"/>
  <c r="AG183" i="2"/>
  <c r="AG179" i="2" s="1"/>
  <c r="AG1474" i="2"/>
  <c r="AG1506" i="2"/>
  <c r="AE1541" i="2"/>
  <c r="AE1550" i="2" s="1"/>
  <c r="AG1485" i="2"/>
  <c r="AF1521" i="2"/>
  <c r="AG1582" i="2"/>
  <c r="AE1526" i="2"/>
  <c r="AE1567" i="2"/>
  <c r="AE175" i="2"/>
  <c r="AE1535" i="2"/>
  <c r="AG1533" i="2"/>
  <c r="AE1521" i="2"/>
  <c r="AE1574" i="2"/>
  <c r="AE1531" i="2"/>
  <c r="AG1573" i="2"/>
  <c r="AE1568" i="2"/>
  <c r="AE841" i="2"/>
  <c r="AE839" i="2" s="1"/>
  <c r="AE836" i="2"/>
  <c r="AE834" i="2" s="1"/>
  <c r="AE1465" i="2" s="1"/>
  <c r="AE1463" i="2" s="1"/>
  <c r="AJ368" i="2"/>
  <c r="AI130" i="2"/>
  <c r="Z33" i="1"/>
  <c r="AA33" i="1"/>
  <c r="AG254" i="2"/>
  <c r="AG261" i="2"/>
  <c r="AA28" i="1"/>
  <c r="X33" i="1"/>
  <c r="AG173" i="2"/>
  <c r="AI554" i="2"/>
  <c r="AJ803" i="2"/>
  <c r="AJ499" i="2"/>
  <c r="AE632" i="2"/>
  <c r="AE166" i="2"/>
  <c r="AE176" i="2"/>
  <c r="AH117" i="2"/>
  <c r="AJ115" i="2"/>
  <c r="AJ117" i="2" s="1"/>
  <c r="AG243" i="2"/>
  <c r="AI257" i="2"/>
  <c r="AJ528" i="2"/>
  <c r="AI525" i="2"/>
  <c r="AG68" i="2"/>
  <c r="AG73" i="2" s="1"/>
  <c r="AG1499" i="2" l="1"/>
  <c r="AG1508" i="2" s="1"/>
  <c r="AG128" i="2"/>
  <c r="AG358" i="2"/>
  <c r="AG377" i="2" s="1"/>
  <c r="AE1540" i="2"/>
  <c r="AE1549" i="2" s="1"/>
  <c r="AE1539" i="2"/>
  <c r="AE1548" i="2" s="1"/>
  <c r="AE1566" i="2"/>
  <c r="AG1489" i="2"/>
  <c r="AG1486" i="2"/>
  <c r="AG1542" i="2"/>
  <c r="AE1582" i="2"/>
  <c r="AE1589" i="2" s="1"/>
  <c r="AG1494" i="2"/>
  <c r="AG1581" i="2"/>
  <c r="AG1531" i="2"/>
  <c r="AG1589" i="2"/>
  <c r="AE173" i="2"/>
  <c r="AJ257" i="2"/>
  <c r="AE179" i="2"/>
  <c r="AE310" i="2"/>
  <c r="AE316" i="2"/>
  <c r="AI254" i="2"/>
  <c r="AG238" i="2"/>
  <c r="AG219" i="2"/>
  <c r="AD781" i="2"/>
  <c r="AE501" i="2"/>
  <c r="AE492" i="2" s="1"/>
  <c r="AE486" i="2" s="1"/>
  <c r="U74" i="1"/>
  <c r="AI822" i="2"/>
  <c r="Z232" i="1"/>
  <c r="AH540" i="2"/>
  <c r="AA57" i="1"/>
  <c r="AI498" i="2"/>
  <c r="AA213" i="1"/>
  <c r="X213" i="1"/>
  <c r="AG641" i="2"/>
  <c r="AG633" i="2" s="1"/>
  <c r="AG632" i="2" s="1"/>
  <c r="AA318" i="1"/>
  <c r="AD494" i="2"/>
  <c r="AD493" i="2" s="1"/>
  <c r="AI540" i="2"/>
  <c r="AG470" i="2"/>
  <c r="U264" i="1"/>
  <c r="Z213" i="1"/>
  <c r="Z201" i="1" s="1"/>
  <c r="AF494" i="2"/>
  <c r="AI367" i="2"/>
  <c r="AI362" i="2" s="1"/>
  <c r="S76" i="1"/>
  <c r="W90" i="1"/>
  <c r="U77" i="1"/>
  <c r="Z228" i="1"/>
  <c r="AI629" i="2"/>
  <c r="AJ629" i="2" s="1"/>
  <c r="AI745" i="2"/>
  <c r="AJ745" i="2" s="1"/>
  <c r="AG585" i="2"/>
  <c r="AI530" i="2"/>
  <c r="AE1307" i="2"/>
  <c r="AH1307" i="2" s="1"/>
  <c r="Z190" i="1"/>
  <c r="Z188" i="1" s="1"/>
  <c r="AI684" i="2"/>
  <c r="W276" i="1"/>
  <c r="X200" i="1"/>
  <c r="Z57" i="1"/>
  <c r="AH594" i="2"/>
  <c r="Z318" i="1"/>
  <c r="AH684" i="2"/>
  <c r="U277" i="1"/>
  <c r="AG494" i="2"/>
  <c r="AG493" i="2" s="1"/>
  <c r="AG492" i="2" s="1"/>
  <c r="X277" i="1"/>
  <c r="AH686" i="2"/>
  <c r="U193" i="1"/>
  <c r="U188" i="1" s="1"/>
  <c r="U218" i="1" s="1"/>
  <c r="U221" i="1" s="1"/>
  <c r="X57" i="1"/>
  <c r="X190" i="1"/>
  <c r="AE155" i="2" l="1"/>
  <c r="AE1488" i="2"/>
  <c r="AG1503" i="2"/>
  <c r="AG1495" i="2"/>
  <c r="AG1487" i="2"/>
  <c r="AE1562" i="2"/>
  <c r="AG182" i="2"/>
  <c r="AG1540" i="2"/>
  <c r="AG1588" i="2"/>
  <c r="AG1551" i="2"/>
  <c r="AG1484" i="2"/>
  <c r="AE1544" i="2"/>
  <c r="AE1553" i="2" s="1"/>
  <c r="AG1498" i="2"/>
  <c r="AG129" i="2"/>
  <c r="AG126" i="2" s="1"/>
  <c r="AG123" i="2"/>
  <c r="AE27" i="2"/>
  <c r="AH27" i="2" s="1"/>
  <c r="AH68" i="2" s="1"/>
  <c r="AH73" i="2" s="1"/>
  <c r="S119" i="1"/>
  <c r="AA119" i="1"/>
  <c r="X119" i="1"/>
  <c r="U118" i="1"/>
  <c r="AF185" i="2"/>
  <c r="AG214" i="2"/>
  <c r="AG245" i="2" s="1"/>
  <c r="AF203" i="2"/>
  <c r="AE254" i="2"/>
  <c r="AE256" i="2"/>
  <c r="AE242" i="2" s="1"/>
  <c r="AH390" i="2"/>
  <c r="AH389" i="2" s="1"/>
  <c r="AJ684" i="2"/>
  <c r="Z218" i="1"/>
  <c r="Z221" i="1" s="1"/>
  <c r="AH496" i="2"/>
  <c r="AH494" i="2" s="1"/>
  <c r="AH493" i="2" s="1"/>
  <c r="AE593" i="2"/>
  <c r="AE588" i="2" s="1"/>
  <c r="AJ540" i="2"/>
  <c r="AI474" i="2"/>
  <c r="AJ474" i="2" s="1"/>
  <c r="AJ470" i="2" s="1"/>
  <c r="AG125" i="2"/>
  <c r="AI529" i="2"/>
  <c r="AJ530" i="2"/>
  <c r="AJ529" i="2" s="1"/>
  <c r="AE190" i="2"/>
  <c r="AI587" i="2"/>
  <c r="AE665" i="2"/>
  <c r="AH667" i="2"/>
  <c r="U262" i="1"/>
  <c r="AH593" i="2"/>
  <c r="AJ594" i="2"/>
  <c r="AG209" i="2"/>
  <c r="AI497" i="2"/>
  <c r="AJ498" i="2"/>
  <c r="AJ497" i="2" s="1"/>
  <c r="AJ822" i="2"/>
  <c r="AJ367" i="2"/>
  <c r="AJ362" i="2" s="1"/>
  <c r="U66" i="1"/>
  <c r="AE685" i="2"/>
  <c r="AE672" i="2" s="1"/>
  <c r="AI496" i="2"/>
  <c r="AI494" i="2" s="1"/>
  <c r="AF529" i="2"/>
  <c r="AF497" i="2"/>
  <c r="AF493" i="2" s="1"/>
  <c r="AH785" i="2"/>
  <c r="AF781" i="2"/>
  <c r="AI785" i="2"/>
  <c r="AI781" i="2" s="1"/>
  <c r="AG272" i="2"/>
  <c r="AE335" i="2"/>
  <c r="AE311" i="2"/>
  <c r="AG176" i="2" l="1"/>
  <c r="AE154" i="2"/>
  <c r="AE177" i="2" s="1"/>
  <c r="AE68" i="2"/>
  <c r="AE73" i="2" s="1"/>
  <c r="AE165" i="2"/>
  <c r="AE164" i="2" s="1"/>
  <c r="AG1496" i="2"/>
  <c r="AE1497" i="2"/>
  <c r="AE1506" i="2" s="1"/>
  <c r="AE1520" i="2"/>
  <c r="AG1507" i="2"/>
  <c r="AG1483" i="2"/>
  <c r="AG1520" i="2"/>
  <c r="AG1504" i="2"/>
  <c r="AE1529" i="2"/>
  <c r="AG1549" i="2"/>
  <c r="AG1529" i="2"/>
  <c r="AG1493" i="2"/>
  <c r="AG114" i="2"/>
  <c r="AG110" i="2" s="1"/>
  <c r="AE119" i="2"/>
  <c r="AG356" i="2"/>
  <c r="AF434" i="2"/>
  <c r="X28" i="1"/>
  <c r="AE359" i="2"/>
  <c r="AE358" i="2" s="1"/>
  <c r="AE377" i="2" s="1"/>
  <c r="AI214" i="2"/>
  <c r="AI245" i="2" s="1"/>
  <c r="AI493" i="2"/>
  <c r="AJ496" i="2"/>
  <c r="AJ494" i="2" s="1"/>
  <c r="AJ493" i="2" s="1"/>
  <c r="AI470" i="2"/>
  <c r="AG124" i="2"/>
  <c r="AG135" i="2"/>
  <c r="AE339" i="2"/>
  <c r="AE340" i="2" s="1"/>
  <c r="AE336" i="2"/>
  <c r="AI585" i="2"/>
  <c r="AJ587" i="2"/>
  <c r="AJ585" i="2" s="1"/>
  <c r="AI185" i="2"/>
  <c r="AE240" i="2"/>
  <c r="AJ667" i="2"/>
  <c r="AE405" i="2"/>
  <c r="AE419" i="2"/>
  <c r="AF201" i="2"/>
  <c r="AF202" i="2" s="1"/>
  <c r="AI203" i="2"/>
  <c r="AI201" i="2" s="1"/>
  <c r="AI202" i="2" s="1"/>
  <c r="AG276" i="2"/>
  <c r="AG250" i="2"/>
  <c r="AE178" i="2"/>
  <c r="AE664" i="2"/>
  <c r="AE194" i="2"/>
  <c r="AH781" i="2"/>
  <c r="AJ785" i="2"/>
  <c r="AJ781" i="2" s="1"/>
  <c r="AE353" i="2" l="1"/>
  <c r="AE372" i="2" s="1"/>
  <c r="AG375" i="2"/>
  <c r="AG354" i="2"/>
  <c r="AG373" i="2" s="1"/>
  <c r="AG1538" i="2"/>
  <c r="AG1492" i="2"/>
  <c r="AE1519" i="2"/>
  <c r="AG1505" i="2"/>
  <c r="AG1502" i="2"/>
  <c r="AE1527" i="2"/>
  <c r="AE1528" i="2"/>
  <c r="AE1538" i="2"/>
  <c r="AE1547" i="2" s="1"/>
  <c r="AG81" i="2"/>
  <c r="AG86" i="2" s="1"/>
  <c r="AE378" i="2"/>
  <c r="AE195" i="2"/>
  <c r="AG136" i="2"/>
  <c r="AG139" i="2"/>
  <c r="AG140" i="2" s="1"/>
  <c r="AG240" i="2"/>
  <c r="U33" i="1"/>
  <c r="AH359" i="2"/>
  <c r="AJ185" i="2"/>
  <c r="AG190" i="2"/>
  <c r="AF432" i="2"/>
  <c r="AI434" i="2"/>
  <c r="AE191" i="2"/>
  <c r="AE411" i="2"/>
  <c r="AG28" i="2" l="1"/>
  <c r="AG353" i="2"/>
  <c r="AG372" i="2" s="1"/>
  <c r="AG17" i="2"/>
  <c r="AG24" i="2"/>
  <c r="AE1537" i="2"/>
  <c r="AE1546" i="2" s="1"/>
  <c r="AG1547" i="2"/>
  <c r="AG1501" i="2"/>
  <c r="AE1518" i="2"/>
  <c r="AG1297" i="2"/>
  <c r="AG1304" i="2"/>
  <c r="AE14" i="2"/>
  <c r="AE406" i="2"/>
  <c r="AI432" i="2"/>
  <c r="AE412" i="2"/>
  <c r="AG194" i="2"/>
  <c r="AG412" i="2" l="1"/>
  <c r="AE1294" i="2"/>
  <c r="AE1300" i="2" s="1"/>
  <c r="AG406" i="2"/>
  <c r="AE1557" i="2"/>
  <c r="AE1536" i="2"/>
  <c r="AE1545" i="2" s="1"/>
  <c r="AG1308" i="2"/>
  <c r="AD96" i="2"/>
  <c r="AH97" i="2"/>
  <c r="AG33" i="2"/>
  <c r="R199" i="1"/>
  <c r="AE1455" i="2"/>
  <c r="AE20" i="2"/>
  <c r="AE1558" i="2" l="1"/>
  <c r="AE1559" i="2" s="1"/>
  <c r="AG1313" i="2"/>
  <c r="AH430" i="2"/>
  <c r="AE1464" i="2"/>
  <c r="AH105" i="2"/>
  <c r="AG35" i="2"/>
  <c r="AJ97" i="2"/>
  <c r="AJ95" i="2" s="1"/>
  <c r="AJ96" i="2" s="1"/>
  <c r="AH95" i="2"/>
  <c r="AH96" i="2" s="1"/>
  <c r="W316" i="1"/>
  <c r="AI742" i="2"/>
  <c r="AG1315" i="2" l="1"/>
  <c r="AD428" i="2"/>
  <c r="AJ430" i="2"/>
  <c r="AH428" i="2"/>
  <c r="AJ742" i="2"/>
  <c r="AJ428" i="2" l="1"/>
  <c r="AH348" i="2" l="1"/>
  <c r="AD346" i="2"/>
  <c r="AD347" i="2" s="1"/>
  <c r="AH1477" i="2" l="1"/>
  <c r="AD440" i="2"/>
  <c r="AH346" i="2"/>
  <c r="AH347" i="2" s="1"/>
  <c r="AJ348" i="2"/>
  <c r="AJ346" i="2" s="1"/>
  <c r="AJ347" i="2" s="1"/>
  <c r="AH856" i="2"/>
  <c r="AH442" i="2" l="1"/>
  <c r="AJ442" i="2" s="1"/>
  <c r="AH1476" i="2" l="1"/>
  <c r="AH440" i="2"/>
  <c r="AJ440" i="2"/>
  <c r="AH857" i="2"/>
  <c r="AJ857" i="2" s="1"/>
  <c r="AH1475" i="2" l="1"/>
  <c r="AH1565" i="2"/>
  <c r="AH103" i="2"/>
  <c r="W273" i="1"/>
  <c r="AI680" i="2"/>
  <c r="AJ680" i="2" l="1"/>
  <c r="AH220" i="2" l="1"/>
  <c r="AJ220" i="2" s="1"/>
  <c r="R204" i="1" l="1"/>
  <c r="AH172" i="2" l="1"/>
  <c r="AH113" i="2" l="1"/>
  <c r="AH848" i="2" l="1"/>
  <c r="AH843" i="2" l="1"/>
  <c r="AH218" i="2" l="1"/>
  <c r="AJ218" i="2" s="1"/>
  <c r="AD244" i="2"/>
  <c r="AH213" i="2"/>
  <c r="AH244" i="2" l="1"/>
  <c r="R58" i="1" l="1"/>
  <c r="AH693" i="2"/>
  <c r="AD691" i="2"/>
  <c r="AH691" i="2" l="1"/>
  <c r="AF855" i="2"/>
  <c r="AI855" i="2" s="1"/>
  <c r="AD679" i="2" l="1"/>
  <c r="AH681" i="2"/>
  <c r="AH679" i="2" l="1"/>
  <c r="AH221" i="2" l="1"/>
  <c r="AI698" i="2" l="1"/>
  <c r="W285" i="1"/>
  <c r="AH1521" i="2" l="1"/>
  <c r="AJ698" i="2"/>
  <c r="AD245" i="2" l="1"/>
  <c r="AH214" i="2"/>
  <c r="AI724" i="2"/>
  <c r="W304" i="1"/>
  <c r="AH245" i="2" l="1"/>
  <c r="AJ214" i="2"/>
  <c r="AJ245" i="2" s="1"/>
  <c r="AH855" i="2" l="1"/>
  <c r="AH687" i="2"/>
  <c r="AD685" i="2"/>
  <c r="AJ855" i="2" l="1"/>
  <c r="AH685" i="2"/>
  <c r="R212" i="1" l="1"/>
  <c r="AH120" i="2" l="1"/>
  <c r="AH1572" i="2" l="1"/>
  <c r="AH731" i="2"/>
  <c r="AD729" i="2"/>
  <c r="R117" i="1" l="1"/>
  <c r="AD1587" i="2" l="1"/>
  <c r="AH1580" i="2"/>
  <c r="AD374" i="2" l="1"/>
  <c r="AH175" i="2"/>
  <c r="AH1535" i="2"/>
  <c r="AH1587" i="2"/>
  <c r="AH1526" i="2"/>
  <c r="AH158" i="2"/>
  <c r="AD181" i="2"/>
  <c r="AH217" i="2"/>
  <c r="AH355" i="2"/>
  <c r="AH374" i="2" l="1"/>
  <c r="AH181" i="2"/>
  <c r="AD1553" i="2" l="1"/>
  <c r="AH1486" i="2"/>
  <c r="AH861" i="2"/>
  <c r="AH1544" i="2" l="1"/>
  <c r="AH1553" i="2" s="1"/>
  <c r="AD1504" i="2" l="1"/>
  <c r="AH1495" i="2"/>
  <c r="AH860" i="2"/>
  <c r="AH1504" i="2" l="1"/>
  <c r="AH1520" i="2"/>
  <c r="AH1519" i="2" l="1"/>
  <c r="AH422" i="2"/>
  <c r="AH155" i="2"/>
  <c r="AH1567" i="2" l="1"/>
  <c r="AH1530" i="2" l="1"/>
  <c r="AD300" i="2"/>
  <c r="AH301" i="2"/>
  <c r="AJ301" i="2" l="1"/>
  <c r="AJ300" i="2" s="1"/>
  <c r="AH300" i="2"/>
  <c r="AD1548" i="2" l="1"/>
  <c r="AH1539" i="2"/>
  <c r="AD243" i="2"/>
  <c r="AH212" i="2"/>
  <c r="AH1548" i="2" l="1"/>
  <c r="AH862" i="2"/>
  <c r="AH243" i="2"/>
  <c r="AD378" i="2" l="1"/>
  <c r="AH386" i="2"/>
  <c r="R59" i="1"/>
  <c r="AH378" i="2" l="1"/>
  <c r="AF382" i="2" l="1"/>
  <c r="AI382" i="2" l="1"/>
  <c r="AJ382" i="2" l="1"/>
  <c r="AH203" i="2" l="1"/>
  <c r="AD201" i="2"/>
  <c r="AD202" i="2" s="1"/>
  <c r="AJ203" i="2" l="1"/>
  <c r="AJ201" i="2" s="1"/>
  <c r="AJ202" i="2" s="1"/>
  <c r="AH201" i="2"/>
  <c r="AH202" i="2" s="1"/>
  <c r="AH434" i="2" l="1"/>
  <c r="AD432" i="2"/>
  <c r="AJ434" i="2" l="1"/>
  <c r="AH432" i="2"/>
  <c r="R107" i="1" l="1"/>
  <c r="R113" i="1" s="1"/>
  <c r="AJ432" i="2"/>
  <c r="R114" i="1" l="1"/>
  <c r="AH145" i="2"/>
  <c r="AD150" i="2"/>
  <c r="AD151" i="2" s="1"/>
  <c r="AH847" i="2"/>
  <c r="AH150" i="2" l="1"/>
  <c r="AH151" i="2" s="1"/>
  <c r="AH837" i="2"/>
  <c r="AH842" i="2"/>
  <c r="AH1568" i="2" l="1"/>
  <c r="AH1566" i="2"/>
  <c r="AH725" i="2" l="1"/>
  <c r="AD723" i="2"/>
  <c r="AD381" i="2" l="1"/>
  <c r="AD407" i="2" s="1"/>
  <c r="AH383" i="2" l="1"/>
  <c r="AH381" i="2" s="1"/>
  <c r="AH407" i="2" s="1"/>
  <c r="AD249" i="2"/>
  <c r="AF21" i="2"/>
  <c r="AF19" i="2" l="1"/>
  <c r="AI19" i="2" l="1"/>
  <c r="AI21" i="2"/>
  <c r="AF1460" i="2"/>
  <c r="AI1460" i="2" l="1"/>
  <c r="AJ21" i="2"/>
  <c r="AJ1460" i="2" s="1"/>
  <c r="AJ19" i="2"/>
  <c r="AH224" i="2" l="1"/>
  <c r="AD223" i="2"/>
  <c r="AJ224" i="2" l="1"/>
  <c r="AJ223" i="2" s="1"/>
  <c r="AH223" i="2"/>
  <c r="AH845" i="2" l="1"/>
  <c r="AH835" i="2"/>
  <c r="R50" i="1"/>
  <c r="AH1479" i="2" l="1"/>
  <c r="AH840" i="2"/>
  <c r="AH58" i="2"/>
  <c r="AH57" i="2" l="1"/>
  <c r="R174" i="1" l="1"/>
  <c r="AH291" i="2"/>
  <c r="AD290" i="2"/>
  <c r="AD312" i="2"/>
  <c r="AD250" i="2" l="1"/>
  <c r="AJ291" i="2"/>
  <c r="AH290" i="2"/>
  <c r="AH312" i="2"/>
  <c r="AH1525" i="2" l="1"/>
  <c r="AH219" i="2"/>
  <c r="AH157" i="2"/>
  <c r="AJ290" i="2"/>
  <c r="AJ312" i="2"/>
  <c r="AH1518" i="2" l="1"/>
  <c r="AH1485" i="2"/>
  <c r="AH1529" i="2"/>
  <c r="AH154" i="2"/>
  <c r="AH112" i="2"/>
  <c r="W277" i="1"/>
  <c r="AI686" i="2"/>
  <c r="AH1484" i="2" l="1"/>
  <c r="AH1528" i="2"/>
  <c r="AJ686" i="2"/>
  <c r="AH1494" i="2" l="1"/>
  <c r="AD1503" i="2"/>
  <c r="AH1538" i="2"/>
  <c r="AD1547" i="2"/>
  <c r="AH128" i="2"/>
  <c r="AD125" i="2"/>
  <c r="AH111" i="2"/>
  <c r="AH182" i="2"/>
  <c r="AD178" i="2"/>
  <c r="AH1547" i="2" l="1"/>
  <c r="AH1537" i="2"/>
  <c r="AD1546" i="2"/>
  <c r="AD1502" i="2"/>
  <c r="AH1493" i="2"/>
  <c r="AH1503" i="2"/>
  <c r="W204" i="1"/>
  <c r="AH165" i="2"/>
  <c r="AH178" i="2"/>
  <c r="AH125" i="2"/>
  <c r="AH1546" i="2" l="1"/>
  <c r="AH1502" i="2"/>
  <c r="AD246" i="2" l="1"/>
  <c r="AH719" i="2"/>
  <c r="AD717" i="2"/>
  <c r="AH215" i="2" l="1"/>
  <c r="AH246" i="2" s="1"/>
  <c r="AH717" i="2"/>
  <c r="AH211" i="2"/>
  <c r="AH1491" i="2" l="1"/>
  <c r="AH122" i="2"/>
  <c r="AH143" i="2" l="1"/>
  <c r="R104" i="1"/>
  <c r="W312" i="1"/>
  <c r="AI736" i="2"/>
  <c r="AH1481" i="2" l="1"/>
  <c r="AD1509" i="2"/>
  <c r="AH1500" i="2"/>
  <c r="AJ736" i="2"/>
  <c r="AH1509" i="2" l="1"/>
  <c r="AD735" i="2" l="1"/>
  <c r="AH737" i="2"/>
  <c r="AH846" i="2" l="1"/>
  <c r="AD844" i="2"/>
  <c r="AH836" i="2"/>
  <c r="AH330" i="2"/>
  <c r="AH735" i="2"/>
  <c r="AH841" i="2" l="1"/>
  <c r="AD839" i="2"/>
  <c r="AH844" i="2"/>
  <c r="AH747" i="2"/>
  <c r="AH1591" i="2" l="1"/>
  <c r="AH1592" i="2"/>
  <c r="AH863" i="2"/>
  <c r="AD859" i="2"/>
  <c r="AH839" i="2"/>
  <c r="AD316" i="2"/>
  <c r="AH325" i="2"/>
  <c r="AD310" i="2"/>
  <c r="AH859" i="2" l="1"/>
  <c r="AH316" i="2"/>
  <c r="AH310" i="2"/>
  <c r="AD311" i="2"/>
  <c r="AD335" i="2"/>
  <c r="R122" i="1" l="1"/>
  <c r="AD339" i="2"/>
  <c r="AD340" i="2" s="1"/>
  <c r="AD336" i="2"/>
  <c r="AH210" i="2"/>
  <c r="AD241" i="2"/>
  <c r="AH335" i="2"/>
  <c r="AH311" i="2"/>
  <c r="AH339" i="2" l="1"/>
  <c r="AH340" i="2" s="1"/>
  <c r="AH336" i="2"/>
  <c r="AH241" i="2"/>
  <c r="AH209" i="2"/>
  <c r="AF1307" i="2"/>
  <c r="AI1307" i="2" s="1"/>
  <c r="AJ1307" i="2" s="1"/>
  <c r="AH361" i="2" l="1"/>
  <c r="AH358" i="2" s="1"/>
  <c r="AD358" i="2"/>
  <c r="AD385" i="2"/>
  <c r="AD408" i="2" s="1"/>
  <c r="AF27" i="2"/>
  <c r="AD371" i="2" l="1"/>
  <c r="AD377" i="2"/>
  <c r="AD380" i="2"/>
  <c r="AH388" i="2"/>
  <c r="AH385" i="2" s="1"/>
  <c r="AH408" i="2" s="1"/>
  <c r="AF68" i="2"/>
  <c r="AF73" i="2" s="1"/>
  <c r="AI27" i="2"/>
  <c r="AH371" i="2" l="1"/>
  <c r="AH377" i="2"/>
  <c r="AH380" i="2"/>
  <c r="AD405" i="2"/>
  <c r="W33" i="1"/>
  <c r="W70" i="1"/>
  <c r="AI68" i="2"/>
  <c r="AI73" i="2" s="1"/>
  <c r="AJ27" i="2"/>
  <c r="AJ68" i="2" s="1"/>
  <c r="AJ73" i="2" s="1"/>
  <c r="AH405" i="2" l="1"/>
  <c r="AH285" i="2" l="1"/>
  <c r="AD283" i="2"/>
  <c r="AD284" i="2" s="1"/>
  <c r="AH283" i="2" l="1"/>
  <c r="AH284" i="2" s="1"/>
  <c r="AJ285" i="2"/>
  <c r="AJ283" i="2" s="1"/>
  <c r="AJ284" i="2" s="1"/>
  <c r="AH438" i="2" l="1"/>
  <c r="AD436" i="2"/>
  <c r="AD697" i="2" l="1"/>
  <c r="AH699" i="2"/>
  <c r="AJ438" i="2"/>
  <c r="AH436" i="2"/>
  <c r="AD741" i="2" l="1"/>
  <c r="AH743" i="2"/>
  <c r="AJ436" i="2"/>
  <c r="AH697" i="2"/>
  <c r="AH1488" i="2" l="1"/>
  <c r="AH838" i="2"/>
  <c r="AH741" i="2"/>
  <c r="AH1554" i="2" l="1"/>
  <c r="AH1555" i="2"/>
  <c r="AH858" i="2"/>
  <c r="AD854" i="2"/>
  <c r="R119" i="1"/>
  <c r="AH266" i="2"/>
  <c r="AD252" i="2"/>
  <c r="AD1590" i="2" l="1"/>
  <c r="AH1497" i="2"/>
  <c r="AD1506" i="2"/>
  <c r="AH854" i="2"/>
  <c r="AD354" i="2"/>
  <c r="AD373" i="2" s="1"/>
  <c r="AH252" i="2"/>
  <c r="AH1238" i="2"/>
  <c r="AH1237" i="2"/>
  <c r="AD834" i="2"/>
  <c r="AD1465" i="2" s="1"/>
  <c r="AD1463" i="2" s="1"/>
  <c r="AD353" i="2" l="1"/>
  <c r="AD372" i="2" s="1"/>
  <c r="AH1506" i="2"/>
  <c r="AD375" i="2"/>
  <c r="AH834" i="2"/>
  <c r="AH1465" i="2" s="1"/>
  <c r="AH1463" i="2" s="1"/>
  <c r="R84" i="1"/>
  <c r="AH420" i="2"/>
  <c r="AD418" i="2"/>
  <c r="AD419" i="2" s="1"/>
  <c r="AH356" i="2"/>
  <c r="AH354" i="2" s="1"/>
  <c r="AH373" i="2" s="1"/>
  <c r="AH353" i="2" l="1"/>
  <c r="AH372" i="2" s="1"/>
  <c r="AH375" i="2"/>
  <c r="AH703" i="2"/>
  <c r="AD406" i="2"/>
  <c r="AH418" i="2"/>
  <c r="AH419" i="2" s="1"/>
  <c r="AH446" i="2" l="1"/>
  <c r="AD444" i="2"/>
  <c r="AH406" i="2"/>
  <c r="AD425" i="2" l="1"/>
  <c r="AH427" i="2"/>
  <c r="AH447" i="2" s="1"/>
  <c r="AH413" i="2" s="1"/>
  <c r="AD431" i="2"/>
  <c r="AD90" i="2" s="1"/>
  <c r="AD443" i="2"/>
  <c r="AD341" i="2" s="1"/>
  <c r="AD435" i="2"/>
  <c r="AD196" i="2" s="1"/>
  <c r="AD439" i="2"/>
  <c r="AD278" i="2" s="1"/>
  <c r="AD447" i="2"/>
  <c r="AD413" i="2" s="1"/>
  <c r="AH267" i="2"/>
  <c r="AH444" i="2"/>
  <c r="AH425" i="2" l="1"/>
  <c r="AH431" i="2"/>
  <c r="AH90" i="2" s="1"/>
  <c r="AH443" i="2"/>
  <c r="AH341" i="2" s="1"/>
  <c r="AH435" i="2"/>
  <c r="AH196" i="2" s="1"/>
  <c r="AH439" i="2"/>
  <c r="AH278" i="2" s="1"/>
  <c r="R191" i="1" l="1"/>
  <c r="AH171" i="2" l="1"/>
  <c r="AH1532" i="2" l="1"/>
  <c r="AH1533" i="2" l="1"/>
  <c r="AH170" i="2"/>
  <c r="AH1541" i="2" l="1"/>
  <c r="AD1550" i="2"/>
  <c r="AH1531" i="2"/>
  <c r="AD673" i="2"/>
  <c r="AD672" i="2" s="1"/>
  <c r="AH675" i="2"/>
  <c r="AI692" i="2"/>
  <c r="W281" i="1"/>
  <c r="AD1551" i="2" l="1"/>
  <c r="AH1542" i="2"/>
  <c r="AH1550" i="2"/>
  <c r="AH119" i="2"/>
  <c r="AH673" i="2"/>
  <c r="AH672" i="2" s="1"/>
  <c r="AJ692" i="2"/>
  <c r="AH183" i="2"/>
  <c r="AD179" i="2"/>
  <c r="AH1551" i="2" l="1"/>
  <c r="AH1540" i="2"/>
  <c r="AD1549" i="2"/>
  <c r="AH166" i="2"/>
  <c r="AH179" i="2"/>
  <c r="AH173" i="2"/>
  <c r="AD248" i="2"/>
  <c r="AH262" i="2"/>
  <c r="AH1549" i="2" l="1"/>
  <c r="AH248" i="2"/>
  <c r="AE1295" i="2"/>
  <c r="AE15" i="2" l="1"/>
  <c r="AH222" i="2" l="1"/>
  <c r="AD253" i="2"/>
  <c r="AH253" i="2" l="1"/>
  <c r="AH216" i="2"/>
  <c r="AD208" i="2"/>
  <c r="S281" i="1"/>
  <c r="AD1508" i="2" l="1"/>
  <c r="AH208" i="2"/>
  <c r="AE612" i="2" l="1"/>
  <c r="AE611" i="2" s="1"/>
  <c r="AH1574" i="2" l="1"/>
  <c r="AD251" i="2"/>
  <c r="AH265" i="2"/>
  <c r="U308" i="1"/>
  <c r="AH462" i="2"/>
  <c r="AH730" i="2"/>
  <c r="AH729" i="2" l="1"/>
  <c r="AJ730" i="2"/>
  <c r="AH251" i="2"/>
  <c r="AD247" i="2"/>
  <c r="AJ462" i="2"/>
  <c r="AE264" i="2"/>
  <c r="AE729" i="2"/>
  <c r="AE537" i="2"/>
  <c r="AE536" i="2" s="1"/>
  <c r="AD612" i="2"/>
  <c r="AD611" i="2" s="1"/>
  <c r="X285" i="1"/>
  <c r="AE800" i="2"/>
  <c r="X299" i="1"/>
  <c r="AG537" i="2"/>
  <c r="AG536" i="2" s="1"/>
  <c r="Z52" i="1"/>
  <c r="X52" i="1"/>
  <c r="AA299" i="1"/>
  <c r="AI467" i="2"/>
  <c r="AJ467" i="2" s="1"/>
  <c r="X300" i="1"/>
  <c r="AF612" i="2"/>
  <c r="AF611" i="2" s="1"/>
  <c r="AA52" i="1"/>
  <c r="AF537" i="2"/>
  <c r="AF536" i="2" s="1"/>
  <c r="AA321" i="1"/>
  <c r="AD537" i="2"/>
  <c r="AD536" i="2" s="1"/>
  <c r="AG612" i="2"/>
  <c r="AG611" i="2" s="1"/>
  <c r="AH1582" i="2" l="1"/>
  <c r="AD1589" i="2"/>
  <c r="AH80" i="2"/>
  <c r="AJ80" i="2" s="1"/>
  <c r="AH1295" i="2"/>
  <c r="AH539" i="2"/>
  <c r="AH537" i="2" s="1"/>
  <c r="AH536" i="2" s="1"/>
  <c r="AI614" i="2"/>
  <c r="AI612" i="2" s="1"/>
  <c r="AI611" i="2" s="1"/>
  <c r="AI539" i="2"/>
  <c r="AH614" i="2"/>
  <c r="AD1588" i="2" l="1"/>
  <c r="AH1589" i="2"/>
  <c r="AH15" i="2"/>
  <c r="AH612" i="2"/>
  <c r="AH611" i="2" s="1"/>
  <c r="AJ614" i="2"/>
  <c r="AJ612" i="2" s="1"/>
  <c r="AJ611" i="2" s="1"/>
  <c r="AI537" i="2"/>
  <c r="AI536" i="2" s="1"/>
  <c r="AJ539" i="2"/>
  <c r="AJ537" i="2" s="1"/>
  <c r="AJ536" i="2" s="1"/>
  <c r="AE250" i="2"/>
  <c r="AH264" i="2"/>
  <c r="S63" i="1"/>
  <c r="AH250" i="2" l="1"/>
  <c r="AI322" i="2" l="1"/>
  <c r="AG815" i="2"/>
  <c r="AG573" i="2"/>
  <c r="AG572" i="2" s="1"/>
  <c r="X321" i="1"/>
  <c r="AI712" i="2"/>
  <c r="AJ712" i="2" s="1"/>
  <c r="AI740" i="2"/>
  <c r="AJ740" i="2" s="1"/>
  <c r="AH724" i="2"/>
  <c r="AH715" i="2"/>
  <c r="AG487" i="2"/>
  <c r="AG486" i="2" s="1"/>
  <c r="S79" i="1"/>
  <c r="AG800" i="2"/>
  <c r="W350" i="1"/>
  <c r="W349" i="1" s="1"/>
  <c r="W365" i="1" s="1"/>
  <c r="W368" i="1" s="1"/>
  <c r="AI626" i="2"/>
  <c r="AA69" i="1"/>
  <c r="AA298" i="1"/>
  <c r="W299" i="1"/>
  <c r="AI715" i="2"/>
  <c r="Z69" i="1"/>
  <c r="Z66" i="1" s="1"/>
  <c r="Z98" i="1" s="1"/>
  <c r="Z101" i="1" s="1"/>
  <c r="AI491" i="2" l="1"/>
  <c r="AI487" i="2" s="1"/>
  <c r="AE723" i="2"/>
  <c r="AE716" i="2" s="1"/>
  <c r="AE708" i="2" s="1"/>
  <c r="AE663" i="2" s="1"/>
  <c r="AJ715" i="2"/>
  <c r="AH723" i="2"/>
  <c r="AJ724" i="2"/>
  <c r="AH626" i="2"/>
  <c r="AI575" i="2"/>
  <c r="AI573" i="2" s="1"/>
  <c r="AI572" i="2" s="1"/>
  <c r="AI313" i="2"/>
  <c r="AJ322" i="2"/>
  <c r="AJ313" i="2" s="1"/>
  <c r="AF313" i="2"/>
  <c r="AJ491" i="2" l="1"/>
  <c r="AJ487" i="2" s="1"/>
  <c r="AJ626" i="2"/>
  <c r="AD127" i="2"/>
  <c r="AH130" i="2"/>
  <c r="Z296" i="1"/>
  <c r="Z315" i="1"/>
  <c r="U304" i="1"/>
  <c r="U293" i="1" s="1"/>
  <c r="U328" i="1" s="1"/>
  <c r="U331" i="1" s="1"/>
  <c r="AA359" i="1"/>
  <c r="AA349" i="1" s="1"/>
  <c r="AA365" i="1" s="1"/>
  <c r="AA368" i="1" s="1"/>
  <c r="X296" i="1"/>
  <c r="Z359" i="1"/>
  <c r="Z349" i="1" s="1"/>
  <c r="Z365" i="1" s="1"/>
  <c r="Z368" i="1" s="1"/>
  <c r="X298" i="1"/>
  <c r="AA296" i="1"/>
  <c r="U86" i="1"/>
  <c r="U80" i="1" s="1"/>
  <c r="U98" i="1" s="1"/>
  <c r="U101" i="1" s="1"/>
  <c r="AI545" i="2"/>
  <c r="X315" i="1"/>
  <c r="AH526" i="2"/>
  <c r="AA237" i="1"/>
  <c r="AE815" i="2"/>
  <c r="AG120" i="2"/>
  <c r="AA75" i="1"/>
  <c r="AA66" i="1" s="1"/>
  <c r="AA283" i="1"/>
  <c r="AD815" i="2"/>
  <c r="AD800" i="2"/>
  <c r="Z235" i="1"/>
  <c r="AA315" i="1"/>
  <c r="Z301" i="1"/>
  <c r="S57" i="1"/>
  <c r="AG848" i="2" l="1"/>
  <c r="AG844" i="2" s="1"/>
  <c r="AG155" i="2"/>
  <c r="AG222" i="2"/>
  <c r="AG253" i="2" s="1"/>
  <c r="AH575" i="2"/>
  <c r="AE573" i="2"/>
  <c r="AE572" i="2" s="1"/>
  <c r="AH525" i="2"/>
  <c r="AJ526" i="2"/>
  <c r="AJ525" i="2" s="1"/>
  <c r="AJ545" i="2"/>
  <c r="AE118" i="2"/>
  <c r="AD135" i="2"/>
  <c r="AH823" i="2"/>
  <c r="AE263" i="2"/>
  <c r="AH127" i="2"/>
  <c r="AJ130" i="2"/>
  <c r="AG216" i="2"/>
  <c r="AF815" i="2"/>
  <c r="AI817" i="2"/>
  <c r="AI815" i="2" s="1"/>
  <c r="AH802" i="2"/>
  <c r="AH817" i="2"/>
  <c r="AE525" i="2"/>
  <c r="AE1575" i="2" l="1"/>
  <c r="AH1575" i="2" s="1"/>
  <c r="AE1490" i="2"/>
  <c r="AH1490" i="2" s="1"/>
  <c r="AG1530" i="2"/>
  <c r="AG1565" i="2"/>
  <c r="AG1572" i="2"/>
  <c r="AE1489" i="2"/>
  <c r="AG1521" i="2"/>
  <c r="AI1521" i="2" s="1"/>
  <c r="AJ1521" i="2" s="1"/>
  <c r="AG843" i="2"/>
  <c r="AD86" i="2"/>
  <c r="AG121" i="2"/>
  <c r="AG165" i="2"/>
  <c r="AD139" i="2"/>
  <c r="AE129" i="2"/>
  <c r="AG178" i="2"/>
  <c r="AE261" i="2"/>
  <c r="AH815" i="2"/>
  <c r="AJ817" i="2"/>
  <c r="AJ815" i="2" s="1"/>
  <c r="AH800" i="2"/>
  <c r="AH118" i="2"/>
  <c r="AJ575" i="2"/>
  <c r="AJ573" i="2" s="1"/>
  <c r="AJ572" i="2" s="1"/>
  <c r="AH573" i="2"/>
  <c r="AH572" i="2" s="1"/>
  <c r="R350" i="1"/>
  <c r="X283" i="1"/>
  <c r="AA177" i="1"/>
  <c r="X359" i="1"/>
  <c r="X349" i="1" s="1"/>
  <c r="X365" i="1" s="1"/>
  <c r="X368" i="1" s="1"/>
  <c r="AI478" i="2"/>
  <c r="R57" i="1"/>
  <c r="X69" i="1"/>
  <c r="X66" i="1" s="1"/>
  <c r="AE1510" i="2" l="1"/>
  <c r="AH1510" i="2" s="1"/>
  <c r="AE1511" i="2"/>
  <c r="AH1511" i="2" s="1"/>
  <c r="AE1573" i="2"/>
  <c r="AH1573" i="2" s="1"/>
  <c r="AG1539" i="2"/>
  <c r="AG1580" i="2"/>
  <c r="AE1499" i="2"/>
  <c r="AG1519" i="2"/>
  <c r="AE1498" i="2"/>
  <c r="AE1507" i="2" s="1"/>
  <c r="AG1527" i="2"/>
  <c r="AG1528" i="2"/>
  <c r="AG1511" i="2"/>
  <c r="AG1563" i="2"/>
  <c r="AE1487" i="2"/>
  <c r="AG1569" i="2"/>
  <c r="AG1570" i="2"/>
  <c r="AE1583" i="2"/>
  <c r="AG154" i="2"/>
  <c r="AG177" i="2" s="1"/>
  <c r="AG839" i="2"/>
  <c r="AG838" i="2"/>
  <c r="AI827" i="2"/>
  <c r="AI825" i="2" s="1"/>
  <c r="AF477" i="2"/>
  <c r="AE114" i="2"/>
  <c r="AI477" i="2"/>
  <c r="AJ478" i="2"/>
  <c r="AJ477" i="2" s="1"/>
  <c r="AI823" i="2"/>
  <c r="AE249" i="2"/>
  <c r="AH263" i="2"/>
  <c r="AG164" i="2"/>
  <c r="AG247" i="2"/>
  <c r="AG208" i="2"/>
  <c r="AG195" i="2" l="1"/>
  <c r="AG191" i="2"/>
  <c r="AE1590" i="2"/>
  <c r="AH1583" i="2"/>
  <c r="AG1510" i="2"/>
  <c r="AG1513" i="2"/>
  <c r="AG1537" i="2"/>
  <c r="AG1587" i="2"/>
  <c r="AE1483" i="2"/>
  <c r="AG1578" i="2"/>
  <c r="AG1518" i="2"/>
  <c r="AE1496" i="2"/>
  <c r="AE1505" i="2" s="1"/>
  <c r="AG1562" i="2"/>
  <c r="AH1499" i="2"/>
  <c r="AE1508" i="2"/>
  <c r="AE1581" i="2"/>
  <c r="AG1548" i="2"/>
  <c r="AE1569" i="2"/>
  <c r="AG1237" i="2"/>
  <c r="AG1238" i="2"/>
  <c r="AG834" i="2"/>
  <c r="AG1465" i="2" s="1"/>
  <c r="AG1463" i="2" s="1"/>
  <c r="AE123" i="2"/>
  <c r="AJ827" i="2"/>
  <c r="AJ825" i="2" s="1"/>
  <c r="AG14" i="2"/>
  <c r="AG239" i="2"/>
  <c r="AG273" i="2"/>
  <c r="AG277" i="2"/>
  <c r="AE110" i="2"/>
  <c r="AJ823" i="2"/>
  <c r="AE247" i="2"/>
  <c r="AE238" i="2"/>
  <c r="AH261" i="2"/>
  <c r="AH249" i="2"/>
  <c r="AE126" i="2"/>
  <c r="AH129" i="2"/>
  <c r="AG1296" i="2" l="1"/>
  <c r="AG1585" i="2"/>
  <c r="AG1546" i="2"/>
  <c r="AH1590" i="2"/>
  <c r="AG1294" i="2"/>
  <c r="AG1298" i="2" s="1"/>
  <c r="AE1594" i="2"/>
  <c r="AE1577" i="2"/>
  <c r="AE1584" i="2" s="1"/>
  <c r="AH1508" i="2"/>
  <c r="AE1513" i="2"/>
  <c r="AE1492" i="2"/>
  <c r="AE1501" i="2" s="1"/>
  <c r="AG1594" i="2"/>
  <c r="AG1577" i="2"/>
  <c r="AE1588" i="2"/>
  <c r="AH1581" i="2"/>
  <c r="AG1557" i="2"/>
  <c r="AG1536" i="2"/>
  <c r="AG1514" i="2"/>
  <c r="AE1297" i="2"/>
  <c r="AE1298" i="2" s="1"/>
  <c r="AE1296" i="2"/>
  <c r="AE81" i="2"/>
  <c r="AE121" i="2"/>
  <c r="AG16" i="2"/>
  <c r="AE17" i="2"/>
  <c r="AE18" i="2" s="1"/>
  <c r="AE24" i="2"/>
  <c r="AH123" i="2"/>
  <c r="AH247" i="2"/>
  <c r="AE239" i="2"/>
  <c r="AE272" i="2"/>
  <c r="AE124" i="2"/>
  <c r="AE135" i="2"/>
  <c r="AG1455" i="2"/>
  <c r="AG20" i="2"/>
  <c r="AG18" i="2"/>
  <c r="AG25" i="2"/>
  <c r="AG29" i="2"/>
  <c r="AG36" i="2"/>
  <c r="AE761" i="2"/>
  <c r="AE755" i="2" s="1"/>
  <c r="Z311" i="1"/>
  <c r="AI734" i="2"/>
  <c r="AJ734" i="2" s="1"/>
  <c r="X270" i="1"/>
  <c r="AG1300" i="2" l="1"/>
  <c r="AG1305" i="2"/>
  <c r="AG1316" i="2"/>
  <c r="AG1309" i="2"/>
  <c r="AG1584" i="2"/>
  <c r="AE1514" i="2"/>
  <c r="AE1515" i="2" s="1"/>
  <c r="AG1545" i="2"/>
  <c r="AG1595" i="2"/>
  <c r="AE1595" i="2"/>
  <c r="AE1596" i="2" s="1"/>
  <c r="AE16" i="2"/>
  <c r="AE1458" i="2" s="1"/>
  <c r="AE1456" i="2" s="1"/>
  <c r="AG1515" i="2"/>
  <c r="AH1588" i="2"/>
  <c r="AG1558" i="2"/>
  <c r="AE1304" i="2"/>
  <c r="AE1305" i="2" s="1"/>
  <c r="AE86" i="2"/>
  <c r="AH81" i="2"/>
  <c r="AE754" i="2"/>
  <c r="AE136" i="2"/>
  <c r="AE139" i="2"/>
  <c r="AE140" i="2" s="1"/>
  <c r="AH135" i="2"/>
  <c r="AG1458" i="2"/>
  <c r="AG1456" i="2" s="1"/>
  <c r="AG1457" i="2" s="1"/>
  <c r="AG1464" i="2"/>
  <c r="AE276" i="2"/>
  <c r="AE277" i="2" s="1"/>
  <c r="AE273" i="2"/>
  <c r="AE28" i="2"/>
  <c r="AE25" i="2"/>
  <c r="AG1559" i="2" l="1"/>
  <c r="AG1596" i="2"/>
  <c r="AE1308" i="2"/>
  <c r="AE1309" i="2" s="1"/>
  <c r="AH86" i="2"/>
  <c r="AG1461" i="2"/>
  <c r="AG1462" i="2" s="1"/>
  <c r="AG1468" i="2" s="1"/>
  <c r="AG1469" i="2" s="1"/>
  <c r="AE1457" i="2"/>
  <c r="AE1461" i="2"/>
  <c r="AE33" i="2"/>
  <c r="AE29" i="2"/>
  <c r="AH139" i="2"/>
  <c r="AI566" i="2"/>
  <c r="AI767" i="2"/>
  <c r="AH566" i="2"/>
  <c r="AG480" i="2"/>
  <c r="AG476" i="2" s="1"/>
  <c r="AG475" i="2" s="1"/>
  <c r="AG469" i="2" s="1"/>
  <c r="AE1313" i="2" l="1"/>
  <c r="AG1470" i="2"/>
  <c r="AG1471" i="2" s="1"/>
  <c r="AJ566" i="2"/>
  <c r="AJ767" i="2"/>
  <c r="AJ766" i="2" s="1"/>
  <c r="AI766" i="2"/>
  <c r="AF800" i="2"/>
  <c r="AI802" i="2"/>
  <c r="AF766" i="2"/>
  <c r="AE35" i="2"/>
  <c r="AE1462" i="2"/>
  <c r="AE1468" i="2" s="1"/>
  <c r="AE1469" i="2" s="1"/>
  <c r="AE1470" i="2"/>
  <c r="AE1471" i="2" s="1"/>
  <c r="AE1315" i="2" l="1"/>
  <c r="AE1316" i="2" s="1"/>
  <c r="AI800" i="2"/>
  <c r="AJ802" i="2"/>
  <c r="AJ800" i="2" s="1"/>
  <c r="Z298" i="1"/>
  <c r="AG709" i="2"/>
  <c r="AG708" i="2" s="1"/>
  <c r="AG663" i="2" s="1"/>
  <c r="AA311" i="1"/>
  <c r="W301" i="1"/>
  <c r="AI720" i="2"/>
  <c r="AJ720" i="2" s="1"/>
  <c r="R301" i="1"/>
  <c r="AG761" i="2"/>
  <c r="AG755" i="2" s="1"/>
  <c r="AG754" i="2" l="1"/>
  <c r="AI714" i="2"/>
  <c r="AJ714" i="2" s="1"/>
  <c r="AE36" i="2"/>
  <c r="AE480" i="2" l="1"/>
  <c r="AE476" i="2" s="1"/>
  <c r="AE475" i="2" s="1"/>
  <c r="AE469" i="2" s="1"/>
  <c r="AD761" i="2"/>
  <c r="AD755" i="2" s="1"/>
  <c r="R231" i="1"/>
  <c r="S224" i="1"/>
  <c r="S264" i="1"/>
  <c r="AD754" i="2" l="1"/>
  <c r="AF761" i="2"/>
  <c r="AF755" i="2" s="1"/>
  <c r="AI763" i="2"/>
  <c r="AI761" i="2" s="1"/>
  <c r="AI755" i="2" s="1"/>
  <c r="AH763" i="2"/>
  <c r="AH1564" i="2" l="1"/>
  <c r="AH1571" i="2"/>
  <c r="AI754" i="2"/>
  <c r="AF754" i="2"/>
  <c r="AH256" i="2"/>
  <c r="AD242" i="2"/>
  <c r="AH761" i="2"/>
  <c r="AH755" i="2" s="1"/>
  <c r="AJ763" i="2"/>
  <c r="AJ761" i="2" s="1"/>
  <c r="AJ755" i="2" s="1"/>
  <c r="AH1570" i="2" l="1"/>
  <c r="AH1562" i="2"/>
  <c r="AH1563" i="2"/>
  <c r="AJ754" i="2"/>
  <c r="AH754" i="2"/>
  <c r="AH242" i="2"/>
  <c r="AJ256" i="2"/>
  <c r="AH254" i="2"/>
  <c r="AD238" i="2"/>
  <c r="AD240" i="2"/>
  <c r="AH695" i="2"/>
  <c r="S87" i="1"/>
  <c r="R87" i="1"/>
  <c r="Z321" i="1"/>
  <c r="Z293" i="1" s="1"/>
  <c r="Z328" i="1" s="1"/>
  <c r="Z331" i="1" s="1"/>
  <c r="AI749" i="2"/>
  <c r="AJ749" i="2" s="1"/>
  <c r="AH1569" i="2" l="1"/>
  <c r="AD1586" i="2"/>
  <c r="AH1579" i="2"/>
  <c r="AJ254" i="2"/>
  <c r="AH240" i="2"/>
  <c r="AH238" i="2"/>
  <c r="AD239" i="2"/>
  <c r="AD272" i="2"/>
  <c r="AH1578" i="2" l="1"/>
  <c r="AD1585" i="2"/>
  <c r="AH1594" i="2"/>
  <c r="AH1586" i="2"/>
  <c r="AH239" i="2"/>
  <c r="AH272" i="2"/>
  <c r="AD276" i="2"/>
  <c r="AD277" i="2" s="1"/>
  <c r="AD273" i="2"/>
  <c r="AD1584" i="2" l="1"/>
  <c r="AH1577" i="2"/>
  <c r="AH1585" i="2"/>
  <c r="AH273" i="2"/>
  <c r="AH276" i="2"/>
  <c r="AH277" i="2" s="1"/>
  <c r="W283" i="1"/>
  <c r="AI695" i="2"/>
  <c r="AJ695" i="2" s="1"/>
  <c r="AI482" i="2"/>
  <c r="AD480" i="2"/>
  <c r="AD476" i="2" s="1"/>
  <c r="X311" i="1"/>
  <c r="S213" i="1"/>
  <c r="AH1595" i="2" l="1"/>
  <c r="AD1596" i="2"/>
  <c r="AH1584" i="2"/>
  <c r="AH482" i="2"/>
  <c r="AH480" i="2" s="1"/>
  <c r="AH476" i="2" s="1"/>
  <c r="AH1596" i="2" l="1"/>
  <c r="AJ482" i="2"/>
  <c r="R213" i="1"/>
  <c r="R227" i="1" l="1"/>
  <c r="AI638" i="2"/>
  <c r="AJ638" i="2" s="1"/>
  <c r="W227" i="1"/>
  <c r="R79" i="1" l="1"/>
  <c r="R226" i="1" l="1"/>
  <c r="AI637" i="2"/>
  <c r="AJ637" i="2" s="1"/>
  <c r="W226" i="1"/>
  <c r="R68" i="1" l="1"/>
  <c r="S68" i="1"/>
  <c r="R285" i="1" l="1"/>
  <c r="S180" i="1"/>
  <c r="AH546" i="2" l="1"/>
  <c r="AI546" i="2"/>
  <c r="AJ546" i="2" l="1"/>
  <c r="R180" i="1" l="1"/>
  <c r="R182" i="1" l="1"/>
  <c r="S182" i="1"/>
  <c r="R90" i="1" l="1"/>
  <c r="S208" i="1"/>
  <c r="R193" i="1" l="1"/>
  <c r="R284" i="1" l="1"/>
  <c r="S284" i="1"/>
  <c r="AH744" i="2" l="1"/>
  <c r="R208" i="1"/>
  <c r="R317" i="1" l="1"/>
  <c r="W317" i="1"/>
  <c r="AI744" i="2"/>
  <c r="AJ744" i="2" s="1"/>
  <c r="R178" i="1" l="1"/>
  <c r="W194" i="1"/>
  <c r="AA242" i="1"/>
  <c r="AI595" i="2" l="1"/>
  <c r="AF593" i="2"/>
  <c r="AJ595" i="2" l="1"/>
  <c r="AJ593" i="2" s="1"/>
  <c r="AI593" i="2"/>
  <c r="AI655" i="2"/>
  <c r="W242" i="1"/>
  <c r="S178" i="1" l="1"/>
  <c r="S242" i="1"/>
  <c r="R242" i="1" l="1"/>
  <c r="AH655" i="2" l="1"/>
  <c r="AJ655" i="2" s="1"/>
  <c r="R194" i="1"/>
  <c r="X242" i="1" l="1"/>
  <c r="R76" i="1" l="1"/>
  <c r="W76" i="1"/>
  <c r="AI504" i="2"/>
  <c r="AJ504" i="2" s="1"/>
  <c r="AD411" i="2" l="1"/>
  <c r="AD412" i="2" s="1"/>
  <c r="AH409" i="2" l="1"/>
  <c r="AH411" i="2" l="1"/>
  <c r="AH412" i="2" s="1"/>
  <c r="AJ409" i="2"/>
  <c r="R61" i="1" l="1"/>
  <c r="S61" i="1" l="1"/>
  <c r="AI502" i="2" l="1"/>
  <c r="W73" i="1"/>
  <c r="R73" i="1"/>
  <c r="AI501" i="2" l="1"/>
  <c r="AJ502" i="2"/>
  <c r="AF501" i="2"/>
  <c r="R358" i="1" l="1"/>
  <c r="S358" i="1"/>
  <c r="R195" i="1" l="1"/>
  <c r="W195" i="1" l="1"/>
  <c r="AI600" i="2"/>
  <c r="AJ600" i="2" s="1"/>
  <c r="S93" i="1" l="1"/>
  <c r="R93" i="1" l="1"/>
  <c r="R207" i="1" l="1"/>
  <c r="R243" i="1" l="1"/>
  <c r="AG464" i="2" l="1"/>
  <c r="AE464" i="2"/>
  <c r="S322" i="1"/>
  <c r="S207" i="1"/>
  <c r="AI466" i="2" l="1"/>
  <c r="AA322" i="1" l="1"/>
  <c r="X322" i="1" l="1"/>
  <c r="R322" i="1"/>
  <c r="W322" i="1"/>
  <c r="AI750" i="2"/>
  <c r="AD464" i="2" l="1"/>
  <c r="AH466" i="2"/>
  <c r="AD716" i="2"/>
  <c r="AH750" i="2" l="1"/>
  <c r="AH716" i="2" s="1"/>
  <c r="AH464" i="2"/>
  <c r="AJ466" i="2"/>
  <c r="AJ750" i="2" l="1"/>
  <c r="R210" i="1" l="1"/>
  <c r="R246" i="1" l="1"/>
  <c r="S246" i="1" l="1"/>
  <c r="S171" i="1"/>
  <c r="R269" i="1" l="1"/>
  <c r="R171" i="1" l="1"/>
  <c r="S245" i="1"/>
  <c r="R245" i="1" l="1"/>
  <c r="S310" i="1" l="1"/>
  <c r="R310" i="1" l="1"/>
  <c r="R265" i="1" l="1"/>
  <c r="AI581" i="2" l="1"/>
  <c r="AH581" i="2"/>
  <c r="AJ581" i="2" l="1"/>
  <c r="R190" i="1" l="1"/>
  <c r="AF544" i="2" l="1"/>
  <c r="AF543" i="2" s="1"/>
  <c r="S190" i="1"/>
  <c r="AD544" i="2"/>
  <c r="AD543" i="2" s="1"/>
  <c r="AG544" i="2" l="1"/>
  <c r="AG543" i="2" s="1"/>
  <c r="AI547" i="2" l="1"/>
  <c r="AI544" i="2" s="1"/>
  <c r="AI543" i="2" s="1"/>
  <c r="R290" i="1" l="1"/>
  <c r="AE544" i="2" l="1"/>
  <c r="AE543" i="2" s="1"/>
  <c r="AH547" i="2"/>
  <c r="S238" i="1"/>
  <c r="AH544" i="2" l="1"/>
  <c r="AH543" i="2" s="1"/>
  <c r="AJ547" i="2"/>
  <c r="AJ544" i="2" s="1"/>
  <c r="AJ543" i="2" s="1"/>
  <c r="R238" i="1" l="1"/>
  <c r="S290" i="1" l="1"/>
  <c r="AH682" i="2" l="1"/>
  <c r="R274" i="1"/>
  <c r="AI682" i="2" l="1"/>
  <c r="AJ682" i="2" s="1"/>
  <c r="W274" i="1"/>
  <c r="W75" i="1" l="1"/>
  <c r="R75" i="1"/>
  <c r="AI508" i="2" l="1"/>
  <c r="AF492" i="2"/>
  <c r="AF486" i="2" s="1"/>
  <c r="AJ508" i="2" l="1"/>
  <c r="AI492" i="2"/>
  <c r="AI486" i="2" s="1"/>
  <c r="R177" i="1"/>
  <c r="R234" i="1" l="1"/>
  <c r="W234" i="1" l="1"/>
  <c r="AI646" i="2"/>
  <c r="AJ646" i="2" s="1"/>
  <c r="R235" i="1"/>
  <c r="S89" i="1"/>
  <c r="AI647" i="2"/>
  <c r="AJ647" i="2" s="1"/>
  <c r="W235" i="1"/>
  <c r="R89" i="1" l="1"/>
  <c r="S212" i="1" l="1"/>
  <c r="AH184" i="2" l="1"/>
  <c r="AD180" i="2"/>
  <c r="R200" i="1"/>
  <c r="AH458" i="2"/>
  <c r="AH1534" i="2" l="1"/>
  <c r="AD177" i="2"/>
  <c r="AD190" i="2"/>
  <c r="AH180" i="2"/>
  <c r="AH176" i="2"/>
  <c r="AH174" i="2"/>
  <c r="AD164" i="2"/>
  <c r="AH1527" i="2" l="1"/>
  <c r="AH1297" i="2"/>
  <c r="AH164" i="2"/>
  <c r="AH17" i="2"/>
  <c r="AH177" i="2"/>
  <c r="AH190" i="2"/>
  <c r="AD191" i="2"/>
  <c r="AD194" i="2"/>
  <c r="AD195" i="2" s="1"/>
  <c r="AH1557" i="2" l="1"/>
  <c r="AH1543" i="2"/>
  <c r="AD1552" i="2"/>
  <c r="AH1304" i="2"/>
  <c r="AH194" i="2"/>
  <c r="AH195" i="2" s="1"/>
  <c r="AH191" i="2"/>
  <c r="AH24" i="2"/>
  <c r="R49" i="1"/>
  <c r="AH1536" i="2" l="1"/>
  <c r="AD1545" i="2"/>
  <c r="AH1552" i="2"/>
  <c r="AH1308" i="2"/>
  <c r="AH1313" i="2"/>
  <c r="AH33" i="2"/>
  <c r="AH28" i="2"/>
  <c r="AD1559" i="2" l="1"/>
  <c r="AH1558" i="2"/>
  <c r="AH1545" i="2"/>
  <c r="W49" i="1"/>
  <c r="AI458" i="2"/>
  <c r="AJ458" i="2" s="1"/>
  <c r="AH1559" i="2" l="1"/>
  <c r="AH1315" i="2"/>
  <c r="AH35" i="2"/>
  <c r="AE562" i="2" l="1"/>
  <c r="AF562" i="2"/>
  <c r="AD562" i="2"/>
  <c r="AG562" i="2"/>
  <c r="AH732" i="2"/>
  <c r="AH565" i="2" l="1"/>
  <c r="AH562" i="2" s="1"/>
  <c r="AI565" i="2"/>
  <c r="AI562" i="2" l="1"/>
  <c r="AJ565" i="2"/>
  <c r="AJ562" i="2" s="1"/>
  <c r="R309" i="1" l="1"/>
  <c r="AI732" i="2" l="1"/>
  <c r="AJ732" i="2" s="1"/>
  <c r="W309" i="1"/>
  <c r="X48" i="1"/>
  <c r="AI396" i="2" l="1"/>
  <c r="AJ396" i="2" s="1"/>
  <c r="W48" i="1" l="1"/>
  <c r="AD455" i="2"/>
  <c r="AD454" i="2" s="1"/>
  <c r="AA48" i="1"/>
  <c r="R48" i="1"/>
  <c r="AI457" i="2" l="1"/>
  <c r="AI455" i="2" s="1"/>
  <c r="AI454" i="2" s="1"/>
  <c r="AF455" i="2"/>
  <c r="AF454" i="2" s="1"/>
  <c r="AH457" i="2"/>
  <c r="AH455" i="2" l="1"/>
  <c r="AH454" i="2" s="1"/>
  <c r="AJ457" i="2"/>
  <c r="AJ455" i="2" s="1"/>
  <c r="AJ454" i="2" s="1"/>
  <c r="S48" i="1" l="1"/>
  <c r="R228" i="1" l="1"/>
  <c r="R267" i="1" l="1"/>
  <c r="AD501" i="2"/>
  <c r="AD492" i="2" s="1"/>
  <c r="AD486" i="2" s="1"/>
  <c r="AH503" i="2" l="1"/>
  <c r="AH501" i="2" l="1"/>
  <c r="AH492" i="2" s="1"/>
  <c r="AH486" i="2" s="1"/>
  <c r="AJ503" i="2"/>
  <c r="AJ501" i="2" s="1"/>
  <c r="AJ492" i="2" s="1"/>
  <c r="AJ486" i="2" s="1"/>
  <c r="R357" i="1" l="1"/>
  <c r="R74" i="1" l="1"/>
  <c r="R291" i="1" l="1"/>
  <c r="AH468" i="2"/>
  <c r="W291" i="1" l="1"/>
  <c r="AI706" i="2"/>
  <c r="AJ706" i="2" s="1"/>
  <c r="R273" i="1"/>
  <c r="R47" i="1" l="1"/>
  <c r="R53" i="1" l="1"/>
  <c r="AI468" i="2"/>
  <c r="AJ468" i="2" s="1"/>
  <c r="W53" i="1"/>
  <c r="AD656" i="2"/>
  <c r="AH661" i="2" l="1"/>
  <c r="AH656" i="2" l="1"/>
  <c r="S247" i="1"/>
  <c r="S360" i="1"/>
  <c r="AA247" i="1"/>
  <c r="AI748" i="2"/>
  <c r="AJ748" i="2" s="1"/>
  <c r="W320" i="1"/>
  <c r="X247" i="1"/>
  <c r="R247" i="1" l="1"/>
  <c r="AI661" i="2" l="1"/>
  <c r="AF656" i="2"/>
  <c r="W247" i="1"/>
  <c r="R320" i="1"/>
  <c r="AI656" i="2" l="1"/>
  <c r="AJ661" i="2"/>
  <c r="AJ656" i="2" s="1"/>
  <c r="R224" i="1" l="1"/>
  <c r="R360" i="1" l="1"/>
  <c r="AH628" i="2" l="1"/>
  <c r="AI628" i="2"/>
  <c r="AJ628" i="2" l="1"/>
  <c r="AI580" i="2"/>
  <c r="AH580" i="2" l="1"/>
  <c r="AJ580" i="2" s="1"/>
  <c r="R237" i="1" l="1"/>
  <c r="R312" i="1" l="1"/>
  <c r="R264" i="1" l="1"/>
  <c r="X297" i="1" l="1"/>
  <c r="AG624" i="2"/>
  <c r="AG607" i="2" s="1"/>
  <c r="AH713" i="2"/>
  <c r="R297" i="1"/>
  <c r="AE624" i="2"/>
  <c r="AE607" i="2" s="1"/>
  <c r="AA297" i="1" l="1"/>
  <c r="AI713" i="2"/>
  <c r="AJ713" i="2" s="1"/>
  <c r="W297" i="1"/>
  <c r="AD624" i="2"/>
  <c r="S297" i="1"/>
  <c r="AH627" i="2" l="1"/>
  <c r="AF624" i="2"/>
  <c r="AI627" i="2"/>
  <c r="AI624" i="2" s="1"/>
  <c r="AH624" i="2" l="1"/>
  <c r="AJ627" i="2"/>
  <c r="AJ624" i="2" s="1"/>
  <c r="AH726" i="2"/>
  <c r="R305" i="1" l="1"/>
  <c r="AI726" i="2" l="1"/>
  <c r="AJ726" i="2" s="1"/>
  <c r="W305" i="1"/>
  <c r="R196" i="1"/>
  <c r="R316" i="1" l="1"/>
  <c r="R270" i="1" l="1"/>
  <c r="W270" i="1"/>
  <c r="AI676" i="2"/>
  <c r="AJ676" i="2" s="1"/>
  <c r="S275" i="1" l="1"/>
  <c r="R275" i="1" l="1"/>
  <c r="R318" i="1" l="1"/>
  <c r="S318" i="1" l="1"/>
  <c r="S88" i="1" l="1"/>
  <c r="R88" i="1" l="1"/>
  <c r="R206" i="1" l="1"/>
  <c r="S173" i="1" l="1"/>
  <c r="AH561" i="2"/>
  <c r="AA173" i="1"/>
  <c r="X173" i="1"/>
  <c r="R173" i="1" l="1"/>
  <c r="W306" i="1"/>
  <c r="AI727" i="2"/>
  <c r="S306" i="1"/>
  <c r="W173" i="1"/>
  <c r="AI561" i="2" l="1"/>
  <c r="AJ561" i="2" s="1"/>
  <c r="AA306" i="1"/>
  <c r="AH727" i="2"/>
  <c r="AJ727" i="2" s="1"/>
  <c r="R306" i="1" l="1"/>
  <c r="S283" i="1"/>
  <c r="X306" i="1" l="1"/>
  <c r="R283" i="1"/>
  <c r="R233" i="1" l="1"/>
  <c r="R209" i="1" l="1"/>
  <c r="S209" i="1"/>
  <c r="AH700" i="2" l="1"/>
  <c r="R311" i="1" l="1"/>
  <c r="S311" i="1"/>
  <c r="AA203" i="1"/>
  <c r="AA201" i="1" s="1"/>
  <c r="AE461" i="2" l="1"/>
  <c r="AE460" i="2" s="1"/>
  <c r="AE459" i="2" s="1"/>
  <c r="AE453" i="2" s="1"/>
  <c r="AE452" i="2" s="1"/>
  <c r="AD461" i="2"/>
  <c r="AD460" i="2" s="1"/>
  <c r="AD459" i="2" s="1"/>
  <c r="AD453" i="2" s="1"/>
  <c r="AF461" i="2"/>
  <c r="AG461" i="2"/>
  <c r="AG460" i="2" s="1"/>
  <c r="AG459" i="2" s="1"/>
  <c r="AG453" i="2" s="1"/>
  <c r="AG452" i="2" s="1"/>
  <c r="AH463" i="2" l="1"/>
  <c r="AH461" i="2" s="1"/>
  <c r="AH460" i="2" s="1"/>
  <c r="AH459" i="2" s="1"/>
  <c r="AH453" i="2" s="1"/>
  <c r="AI463" i="2"/>
  <c r="AI461" i="2" l="1"/>
  <c r="AJ463" i="2"/>
  <c r="AJ461" i="2" s="1"/>
  <c r="R286" i="1" l="1"/>
  <c r="AI700" i="2"/>
  <c r="AJ700" i="2" s="1"/>
  <c r="W286" i="1"/>
  <c r="AD608" i="2" l="1"/>
  <c r="AD607" i="2" s="1"/>
  <c r="AH654" i="2"/>
  <c r="S203" i="1"/>
  <c r="S241" i="1"/>
  <c r="AH688" i="2"/>
  <c r="X241" i="1"/>
  <c r="W203" i="1"/>
  <c r="AI610" i="2" l="1"/>
  <c r="AI608" i="2" s="1"/>
  <c r="AI607" i="2" s="1"/>
  <c r="AF608" i="2"/>
  <c r="AF607" i="2" s="1"/>
  <c r="AH610" i="2"/>
  <c r="AH608" i="2" l="1"/>
  <c r="AH607" i="2" s="1"/>
  <c r="AJ610" i="2"/>
  <c r="AJ608" i="2" s="1"/>
  <c r="AJ607" i="2" s="1"/>
  <c r="R203" i="1"/>
  <c r="X203" i="1" l="1"/>
  <c r="X201" i="1" s="1"/>
  <c r="R241" i="1"/>
  <c r="S276" i="1"/>
  <c r="W241" i="1" l="1"/>
  <c r="AI654" i="2"/>
  <c r="AJ654" i="2" s="1"/>
  <c r="AA241" i="1" l="1"/>
  <c r="R244" i="1"/>
  <c r="S244" i="1"/>
  <c r="R278" i="1" l="1"/>
  <c r="AI688" i="2" l="1"/>
  <c r="AJ688" i="2" s="1"/>
  <c r="W278" i="1"/>
  <c r="R276" i="1"/>
  <c r="S302" i="1" l="1"/>
  <c r="R302" i="1" l="1"/>
  <c r="S91" i="1" l="1"/>
  <c r="R91" i="1" l="1"/>
  <c r="S296" i="1" l="1"/>
  <c r="R296" i="1" l="1"/>
  <c r="R359" i="1" l="1"/>
  <c r="R349" i="1" s="1"/>
  <c r="R365" i="1" s="1"/>
  <c r="R368" i="1" s="1"/>
  <c r="S359" i="1"/>
  <c r="S349" i="1" s="1"/>
  <c r="S365" i="1" s="1"/>
  <c r="S368" i="1" s="1"/>
  <c r="R292" i="1" l="1"/>
  <c r="R229" i="1" l="1"/>
  <c r="AH671" i="2"/>
  <c r="AJ671" i="2" s="1"/>
  <c r="AH678" i="2"/>
  <c r="AI640" i="2"/>
  <c r="AJ640" i="2" s="1"/>
  <c r="W229" i="1"/>
  <c r="R268" i="1" l="1"/>
  <c r="AF521" i="2"/>
  <c r="AE521" i="2"/>
  <c r="S292" i="1" l="1"/>
  <c r="R272" i="1"/>
  <c r="AI678" i="2" l="1"/>
  <c r="AJ678" i="2" s="1"/>
  <c r="W272" i="1"/>
  <c r="AD521" i="2"/>
  <c r="AH523" i="2" l="1"/>
  <c r="AH521" i="2" l="1"/>
  <c r="AG521" i="2" l="1"/>
  <c r="X60" i="1"/>
  <c r="AD518" i="2"/>
  <c r="AD517" i="2" s="1"/>
  <c r="AD516" i="2" s="1"/>
  <c r="AF518" i="2"/>
  <c r="AF517" i="2" s="1"/>
  <c r="AF516" i="2" s="1"/>
  <c r="AI523" i="2" l="1"/>
  <c r="AJ523" i="2" s="1"/>
  <c r="AJ521" i="2" s="1"/>
  <c r="AI521" i="2" l="1"/>
  <c r="W60" i="1"/>
  <c r="AI483" i="2"/>
  <c r="AA60" i="1"/>
  <c r="AD475" i="2"/>
  <c r="AD469" i="2" s="1"/>
  <c r="AD452" i="2" s="1"/>
  <c r="AH483" i="2" l="1"/>
  <c r="AH475" i="2" s="1"/>
  <c r="AH469" i="2" s="1"/>
  <c r="AH452" i="2" s="1"/>
  <c r="R60" i="1"/>
  <c r="AJ483" i="2" l="1"/>
  <c r="AE518" i="2"/>
  <c r="AE517" i="2" s="1"/>
  <c r="AE516" i="2" s="1"/>
  <c r="AE510" i="2" s="1"/>
  <c r="AE485" i="2" s="1"/>
  <c r="AH520" i="2"/>
  <c r="AH518" i="2" l="1"/>
  <c r="AH517" i="2" s="1"/>
  <c r="AH516" i="2" s="1"/>
  <c r="S60" i="1"/>
  <c r="R225" i="1" l="1"/>
  <c r="W225" i="1"/>
  <c r="AF634" i="2" l="1"/>
  <c r="AI636" i="2"/>
  <c r="AG518" i="2"/>
  <c r="AG517" i="2" s="1"/>
  <c r="AG516" i="2" s="1"/>
  <c r="AG510" i="2" s="1"/>
  <c r="AG485" i="2" s="1"/>
  <c r="AI520" i="2" l="1"/>
  <c r="AI634" i="2"/>
  <c r="AJ636" i="2"/>
  <c r="AJ634" i="2" s="1"/>
  <c r="AI518" i="2" l="1"/>
  <c r="AI517" i="2" s="1"/>
  <c r="AI516" i="2" s="1"/>
  <c r="AJ520" i="2"/>
  <c r="AJ518" i="2" s="1"/>
  <c r="AJ517" i="2" s="1"/>
  <c r="AJ516" i="2" s="1"/>
  <c r="R281" i="1"/>
  <c r="S288" i="1" l="1"/>
  <c r="AH702" i="2"/>
  <c r="AI702" i="2"/>
  <c r="W288" i="1"/>
  <c r="AJ702" i="2" l="1"/>
  <c r="R288" i="1" l="1"/>
  <c r="S192" i="1"/>
  <c r="AA192" i="1" l="1"/>
  <c r="X288" i="1"/>
  <c r="R192" i="1"/>
  <c r="AH592" i="2" l="1"/>
  <c r="AA288" i="1"/>
  <c r="X192" i="1" l="1"/>
  <c r="AI592" i="2" l="1"/>
  <c r="W192" i="1"/>
  <c r="AJ592" i="2" l="1"/>
  <c r="R287" i="1" l="1"/>
  <c r="S287" i="1"/>
  <c r="AH694" i="2" l="1"/>
  <c r="AI694" i="2"/>
  <c r="W282" i="1"/>
  <c r="AJ694" i="2" l="1"/>
  <c r="R282" i="1" l="1"/>
  <c r="S314" i="1"/>
  <c r="AD665" i="2" l="1"/>
  <c r="AD664" i="2" s="1"/>
  <c r="R314" i="1"/>
  <c r="AH669" i="2" l="1"/>
  <c r="AH665" i="2" l="1"/>
  <c r="AH664" i="2" s="1"/>
  <c r="AJ669" i="2"/>
  <c r="AJ665" i="2" s="1"/>
  <c r="R266" i="1" l="1"/>
  <c r="X307" i="1" l="1"/>
  <c r="S307" i="1" l="1"/>
  <c r="AH728" i="2" l="1"/>
  <c r="R307" i="1"/>
  <c r="AG577" i="2"/>
  <c r="AG568" i="2" s="1"/>
  <c r="AI728" i="2" l="1"/>
  <c r="AJ728" i="2" s="1"/>
  <c r="W307" i="1"/>
  <c r="AD577" i="2"/>
  <c r="AD568" i="2" s="1"/>
  <c r="AF577" i="2" l="1"/>
  <c r="AF568" i="2" s="1"/>
  <c r="AI579" i="2"/>
  <c r="AI577" i="2" s="1"/>
  <c r="AI568" i="2" s="1"/>
  <c r="AA307" i="1" l="1"/>
  <c r="R72" i="1" l="1"/>
  <c r="AE577" i="2" l="1"/>
  <c r="AE568" i="2" s="1"/>
  <c r="AH579" i="2"/>
  <c r="AH577" i="2" l="1"/>
  <c r="AH568" i="2" s="1"/>
  <c r="AJ579" i="2"/>
  <c r="AJ577" i="2" s="1"/>
  <c r="AJ568" i="2" s="1"/>
  <c r="AG558" i="2"/>
  <c r="AG557" i="2" s="1"/>
  <c r="AG553" i="2" s="1"/>
  <c r="AG552" i="2" s="1"/>
  <c r="R289" i="1" l="1"/>
  <c r="S72" i="1"/>
  <c r="AE558" i="2" l="1"/>
  <c r="AE557" i="2" s="1"/>
  <c r="AE553" i="2" s="1"/>
  <c r="AE552" i="2" s="1"/>
  <c r="AH704" i="2" l="1"/>
  <c r="AJ704" i="2" s="1"/>
  <c r="AF558" i="2" l="1"/>
  <c r="AF557" i="2" s="1"/>
  <c r="AI560" i="2"/>
  <c r="AI558" i="2" s="1"/>
  <c r="AI557" i="2" s="1"/>
  <c r="R211" i="1"/>
  <c r="S211" i="1"/>
  <c r="AD558" i="2"/>
  <c r="AD557" i="2" s="1"/>
  <c r="AD553" i="2" s="1"/>
  <c r="AD552" i="2" s="1"/>
  <c r="AH560" i="2" l="1"/>
  <c r="AH558" i="2" s="1"/>
  <c r="AH557" i="2" s="1"/>
  <c r="AH553" i="2" s="1"/>
  <c r="AH552" i="2" s="1"/>
  <c r="AJ560" i="2" l="1"/>
  <c r="AJ558" i="2" s="1"/>
  <c r="AJ557" i="2" s="1"/>
  <c r="R77" i="1" l="1"/>
  <c r="S321" i="1"/>
  <c r="R321" i="1" l="1"/>
  <c r="R304" i="1" l="1"/>
  <c r="R55" i="1" l="1"/>
  <c r="AI738" i="2"/>
  <c r="AJ738" i="2" s="1"/>
  <c r="W313" i="1"/>
  <c r="R313" i="1" l="1"/>
  <c r="R300" i="1" l="1"/>
  <c r="AI603" i="2" l="1"/>
  <c r="AH603" i="2" l="1"/>
  <c r="AJ603" i="2" l="1"/>
  <c r="R308" i="1"/>
  <c r="S298" i="1" l="1"/>
  <c r="R298" i="1" l="1"/>
  <c r="S56" i="1" l="1"/>
  <c r="AI410" i="2"/>
  <c r="AJ410" i="2" s="1"/>
  <c r="R271" i="1" l="1"/>
  <c r="AI677" i="2"/>
  <c r="AJ677" i="2" s="1"/>
  <c r="W271" i="1"/>
  <c r="R56" i="1" l="1"/>
  <c r="R232" i="1" l="1"/>
  <c r="W232" i="1"/>
  <c r="AF641" i="2" l="1"/>
  <c r="AF633" i="2" s="1"/>
  <c r="AI644" i="2"/>
  <c r="AJ644" i="2" l="1"/>
  <c r="AJ641" i="2" s="1"/>
  <c r="AJ633" i="2" s="1"/>
  <c r="AI641" i="2"/>
  <c r="AI633" i="2" s="1"/>
  <c r="AF601" i="2"/>
  <c r="AE601" i="2"/>
  <c r="AE584" i="2" s="1"/>
  <c r="AE583" i="2" s="1"/>
  <c r="S299" i="1"/>
  <c r="AD601" i="2"/>
  <c r="AG601" i="2"/>
  <c r="AG584" i="2" s="1"/>
  <c r="AG583" i="2" s="1"/>
  <c r="AH604" i="2" l="1"/>
  <c r="AH601" i="2" s="1"/>
  <c r="AI604" i="2"/>
  <c r="AI601" i="2" s="1"/>
  <c r="AJ604" i="2" l="1"/>
  <c r="AJ601" i="2" s="1"/>
  <c r="R299" i="1" l="1"/>
  <c r="AD820" i="2" l="1"/>
  <c r="AD794" i="2" s="1"/>
  <c r="AA295" i="1"/>
  <c r="AA293" i="1" s="1"/>
  <c r="AE820" i="2"/>
  <c r="AE794" i="2" s="1"/>
  <c r="AG820" i="2"/>
  <c r="AG794" i="2" s="1"/>
  <c r="AF820" i="2"/>
  <c r="AF794" i="2" s="1"/>
  <c r="AG793" i="2" l="1"/>
  <c r="AE793" i="2"/>
  <c r="AF793" i="2"/>
  <c r="AD793" i="2"/>
  <c r="AH824" i="2"/>
  <c r="AI824" i="2"/>
  <c r="AI820" i="2" s="1"/>
  <c r="AI794" i="2" s="1"/>
  <c r="AI793" i="2" l="1"/>
  <c r="AH820" i="2"/>
  <c r="AH794" i="2" s="1"/>
  <c r="AJ824" i="2"/>
  <c r="AJ820" i="2" s="1"/>
  <c r="AJ794" i="2" s="1"/>
  <c r="AH793" i="2" l="1"/>
  <c r="AJ793" i="2"/>
  <c r="X295" i="1"/>
  <c r="X293" i="1" s="1"/>
  <c r="AD709" i="2"/>
  <c r="AD708" i="2" s="1"/>
  <c r="AD663" i="2" s="1"/>
  <c r="R295" i="1"/>
  <c r="W295" i="1"/>
  <c r="W293" i="1" s="1"/>
  <c r="AI711" i="2" l="1"/>
  <c r="AI709" i="2" s="1"/>
  <c r="AF709" i="2"/>
  <c r="AH711" i="2"/>
  <c r="S295" i="1"/>
  <c r="S280" i="1"/>
  <c r="AH709" i="2" l="1"/>
  <c r="AH708" i="2" s="1"/>
  <c r="AH663" i="2" s="1"/>
  <c r="AJ711" i="2"/>
  <c r="AJ709" i="2" s="1"/>
  <c r="AH690" i="2" l="1"/>
  <c r="AI690" i="2"/>
  <c r="W280" i="1"/>
  <c r="W262" i="1" s="1"/>
  <c r="W328" i="1" s="1"/>
  <c r="W331" i="1" s="1"/>
  <c r="AJ690" i="2" l="1"/>
  <c r="R280" i="1" l="1"/>
  <c r="AD649" i="2"/>
  <c r="AD648" i="2" s="1"/>
  <c r="AD632" i="2" s="1"/>
  <c r="X280" i="1"/>
  <c r="X262" i="1" s="1"/>
  <c r="X328" i="1" s="1"/>
  <c r="X331" i="1" s="1"/>
  <c r="S239" i="1"/>
  <c r="W239" i="1"/>
  <c r="R239" i="1"/>
  <c r="AA239" i="1"/>
  <c r="X239" i="1"/>
  <c r="AA280" i="1"/>
  <c r="AA262" i="1" s="1"/>
  <c r="AA328" i="1" s="1"/>
  <c r="AA331" i="1" s="1"/>
  <c r="AH652" i="2" l="1"/>
  <c r="AH649" i="2" s="1"/>
  <c r="AH648" i="2" s="1"/>
  <c r="AH632" i="2" s="1"/>
  <c r="AI652" i="2"/>
  <c r="AI649" i="2" s="1"/>
  <c r="AI648" i="2" s="1"/>
  <c r="AI632" i="2" s="1"/>
  <c r="AF649" i="2"/>
  <c r="AF648" i="2" s="1"/>
  <c r="AF632" i="2" s="1"/>
  <c r="AJ652" i="2" l="1"/>
  <c r="AJ649" i="2" s="1"/>
  <c r="AJ648" i="2" s="1"/>
  <c r="AJ632" i="2" s="1"/>
  <c r="AD597" i="2" l="1"/>
  <c r="AD588" i="2" s="1"/>
  <c r="AD584" i="2" s="1"/>
  <c r="AD583" i="2" s="1"/>
  <c r="AA198" i="1"/>
  <c r="AA188" i="1" s="1"/>
  <c r="AA218" i="1" s="1"/>
  <c r="AA221" i="1" s="1"/>
  <c r="S198" i="1"/>
  <c r="S188" i="1" s="1"/>
  <c r="X198" i="1"/>
  <c r="X188" i="1" s="1"/>
  <c r="X218" i="1" s="1"/>
  <c r="X221" i="1" s="1"/>
  <c r="AH599" i="2" l="1"/>
  <c r="AH597" i="2" s="1"/>
  <c r="AH588" i="2" s="1"/>
  <c r="AH584" i="2" s="1"/>
  <c r="AH583" i="2" s="1"/>
  <c r="AA82" i="1"/>
  <c r="W198" i="1"/>
  <c r="AI599" i="2"/>
  <c r="S52" i="1"/>
  <c r="R198" i="1"/>
  <c r="AJ599" i="2" l="1"/>
  <c r="R52" i="1" l="1"/>
  <c r="S82" i="1" l="1"/>
  <c r="AD512" i="2"/>
  <c r="W82" i="1"/>
  <c r="AH514" i="2" l="1"/>
  <c r="AI514" i="2"/>
  <c r="AI512" i="2" s="1"/>
  <c r="AF512" i="2"/>
  <c r="R82" i="1"/>
  <c r="AH512" i="2" l="1"/>
  <c r="AJ514" i="2"/>
  <c r="AJ512" i="2" s="1"/>
  <c r="X82" i="1"/>
  <c r="S92" i="1"/>
  <c r="R92" i="1" l="1"/>
  <c r="S303" i="1" l="1"/>
  <c r="R303" i="1" l="1"/>
  <c r="S69" i="1"/>
  <c r="R78" i="1" l="1"/>
  <c r="R69" i="1" l="1"/>
  <c r="R66" i="1" s="1"/>
  <c r="S78" i="1"/>
  <c r="S66" i="1" s="1"/>
  <c r="S319" i="1"/>
  <c r="R319" i="1" l="1"/>
  <c r="S205" i="1" l="1"/>
  <c r="S201" i="1" s="1"/>
  <c r="S218" i="1" s="1"/>
  <c r="S221" i="1" s="1"/>
  <c r="R205" i="1" l="1"/>
  <c r="R201" i="1" s="1"/>
  <c r="R277" i="1" l="1"/>
  <c r="R170" i="1" l="1"/>
  <c r="R230" i="1" l="1"/>
  <c r="S315" i="1"/>
  <c r="R315" i="1" l="1"/>
  <c r="R323" i="1" l="1"/>
  <c r="R293" i="1" s="1"/>
  <c r="S323" i="1"/>
  <c r="S293" i="1" s="1"/>
  <c r="R86" i="1" l="1"/>
  <c r="S59" i="1" l="1"/>
  <c r="R175" i="1" l="1"/>
  <c r="AI598" i="2"/>
  <c r="W175" i="1"/>
  <c r="AH1480" i="2" l="1"/>
  <c r="AI597" i="2"/>
  <c r="AI588" i="2" s="1"/>
  <c r="AI584" i="2" s="1"/>
  <c r="AI583" i="2" s="1"/>
  <c r="AJ598" i="2"/>
  <c r="AJ597" i="2" s="1"/>
  <c r="AJ588" i="2" s="1"/>
  <c r="AJ584" i="2" s="1"/>
  <c r="AJ583" i="2" s="1"/>
  <c r="AF597" i="2"/>
  <c r="AF588" i="2" s="1"/>
  <c r="AF584" i="2" s="1"/>
  <c r="AF583" i="2" s="1"/>
  <c r="AI567" i="2"/>
  <c r="AF553" i="2"/>
  <c r="AF552" i="2" s="1"/>
  <c r="AH1478" i="2" l="1"/>
  <c r="AH1489" i="2"/>
  <c r="AJ567" i="2"/>
  <c r="AJ553" i="2" s="1"/>
  <c r="AJ552" i="2" s="1"/>
  <c r="AI553" i="2"/>
  <c r="AI552" i="2" s="1"/>
  <c r="W197" i="1"/>
  <c r="R197" i="1"/>
  <c r="R188" i="1" s="1"/>
  <c r="R218" i="1" s="1"/>
  <c r="R221" i="1" s="1"/>
  <c r="S248" i="1"/>
  <c r="AH1483" i="2" l="1"/>
  <c r="AH1487" i="2"/>
  <c r="AH1474" i="2"/>
  <c r="AH79" i="2"/>
  <c r="AH104" i="2"/>
  <c r="AD126" i="2"/>
  <c r="AH1498" i="2" l="1"/>
  <c r="AD1507" i="2"/>
  <c r="AH1296" i="2"/>
  <c r="AH121" i="2"/>
  <c r="AH102" i="2"/>
  <c r="AH126" i="2"/>
  <c r="AD124" i="2"/>
  <c r="AD136" i="2"/>
  <c r="AD140" i="2"/>
  <c r="AH114" i="2"/>
  <c r="AD110" i="2"/>
  <c r="R248" i="1"/>
  <c r="AH1513" i="2" l="1"/>
  <c r="AD1505" i="2"/>
  <c r="AH1496" i="2"/>
  <c r="AH1507" i="2"/>
  <c r="AH1294" i="2"/>
  <c r="AD1300" i="2"/>
  <c r="AD1298" i="2"/>
  <c r="AD1305" i="2"/>
  <c r="AD1309" i="2"/>
  <c r="AD1316" i="2"/>
  <c r="AD1455" i="2"/>
  <c r="AH14" i="2"/>
  <c r="AD20" i="2"/>
  <c r="AD18" i="2"/>
  <c r="AD25" i="2"/>
  <c r="AD29" i="2"/>
  <c r="AD36" i="2"/>
  <c r="AH110" i="2"/>
  <c r="AH124" i="2"/>
  <c r="AH136" i="2"/>
  <c r="AH140" i="2"/>
  <c r="AH1505" i="2" l="1"/>
  <c r="AH1492" i="2"/>
  <c r="AD1501" i="2"/>
  <c r="AH1300" i="2"/>
  <c r="AH1298" i="2"/>
  <c r="AH1305" i="2"/>
  <c r="AH1309" i="2"/>
  <c r="AH1316" i="2"/>
  <c r="AD1464" i="2"/>
  <c r="AH16" i="2"/>
  <c r="AD1458" i="2"/>
  <c r="AD1456" i="2" s="1"/>
  <c r="AD1457" i="2" s="1"/>
  <c r="AH1455" i="2"/>
  <c r="AH20" i="2"/>
  <c r="AH18" i="2"/>
  <c r="AH25" i="2"/>
  <c r="AH29" i="2"/>
  <c r="AH36" i="2"/>
  <c r="AH1501" i="2" l="1"/>
  <c r="AD1515" i="2"/>
  <c r="AH1514" i="2"/>
  <c r="AH1464" i="2"/>
  <c r="AH1458" i="2"/>
  <c r="AH1456" i="2" s="1"/>
  <c r="AH1457" i="2" s="1"/>
  <c r="AD1461" i="2"/>
  <c r="AH1515" i="2" l="1"/>
  <c r="AD1462" i="2"/>
  <c r="AD1468" i="2" s="1"/>
  <c r="AD1469" i="2" s="1"/>
  <c r="AD1470" i="2"/>
  <c r="AD1471" i="2" s="1"/>
  <c r="AH1461" i="2"/>
  <c r="AH1470" i="2" l="1"/>
  <c r="AH1471" i="2" s="1"/>
  <c r="AH1462" i="2"/>
  <c r="AH1468" i="2" s="1"/>
  <c r="AH1469" i="2" s="1"/>
  <c r="S240" i="1" l="1"/>
  <c r="R240" i="1" l="1"/>
  <c r="R279" i="1" l="1"/>
  <c r="R262" i="1" s="1"/>
  <c r="R328" i="1" s="1"/>
  <c r="R331" i="1" s="1"/>
  <c r="S279" i="1"/>
  <c r="S262" i="1" s="1"/>
  <c r="S328" i="1" s="1"/>
  <c r="S331" i="1" s="1"/>
  <c r="AA83" i="1"/>
  <c r="AA80" i="1" s="1"/>
  <c r="AA98" i="1" s="1"/>
  <c r="AA101" i="1" s="1"/>
  <c r="X83" i="1" l="1"/>
  <c r="X80" i="1" s="1"/>
  <c r="X98" i="1" s="1"/>
  <c r="X101" i="1" s="1"/>
  <c r="W83" i="1" l="1"/>
  <c r="R83" i="1"/>
  <c r="R80" i="1" s="1"/>
  <c r="R98" i="1" s="1"/>
  <c r="R101" i="1" s="1"/>
  <c r="AD511" i="2"/>
  <c r="AD510" i="2" s="1"/>
  <c r="AD485" i="2" s="1"/>
  <c r="AH515" i="2" l="1"/>
  <c r="AI515" i="2"/>
  <c r="AI511" i="2" s="1"/>
  <c r="AI510" i="2" s="1"/>
  <c r="AI485" i="2" s="1"/>
  <c r="AF511" i="2"/>
  <c r="AF510" i="2" s="1"/>
  <c r="AF485" i="2" s="1"/>
  <c r="S83" i="1"/>
  <c r="S80" i="1" s="1"/>
  <c r="S98" i="1" s="1"/>
  <c r="S101" i="1" s="1"/>
  <c r="AH511" i="2" l="1"/>
  <c r="AH510" i="2" s="1"/>
  <c r="AH485" i="2" s="1"/>
  <c r="AJ515" i="2"/>
  <c r="AJ511" i="2" s="1"/>
  <c r="AJ510" i="2" s="1"/>
  <c r="AJ485" i="2" s="1"/>
  <c r="W212" i="1" l="1"/>
  <c r="W201" i="1" s="1"/>
  <c r="AF105" i="2"/>
  <c r="AI105" i="2" l="1"/>
  <c r="AF127" i="2"/>
  <c r="AI127" i="2" l="1"/>
  <c r="AJ105" i="2"/>
  <c r="AJ127" i="2" s="1"/>
  <c r="AF155" i="2" l="1"/>
  <c r="AF1520" i="2" l="1"/>
  <c r="AI1520" i="2" s="1"/>
  <c r="AJ1520" i="2" s="1"/>
  <c r="AF1529" i="2"/>
  <c r="AI1529" i="2" s="1"/>
  <c r="AJ1529" i="2" s="1"/>
  <c r="AF1519" i="2" l="1"/>
  <c r="AI1519" i="2" s="1"/>
  <c r="AJ1519" i="2" s="1"/>
  <c r="AF1538" i="2"/>
  <c r="AI155" i="2"/>
  <c r="AF1547" i="2" l="1"/>
  <c r="AI1538" i="2"/>
  <c r="AJ155" i="2"/>
  <c r="AI1547" i="2" l="1"/>
  <c r="AJ1538" i="2"/>
  <c r="AJ1547" i="2" s="1"/>
  <c r="AF119" i="2" l="1"/>
  <c r="AI119" i="2" s="1"/>
  <c r="AJ119" i="2" s="1"/>
  <c r="W174" i="1" l="1"/>
  <c r="AI465" i="2"/>
  <c r="AF464" i="2" l="1"/>
  <c r="AF460" i="2" s="1"/>
  <c r="AF459" i="2" s="1"/>
  <c r="AF453" i="2" s="1"/>
  <c r="AJ465" i="2"/>
  <c r="AJ464" i="2" s="1"/>
  <c r="AJ460" i="2" s="1"/>
  <c r="AJ459" i="2" s="1"/>
  <c r="AJ453" i="2" s="1"/>
  <c r="AI464" i="2"/>
  <c r="AI460" i="2" s="1"/>
  <c r="AI459" i="2" s="1"/>
  <c r="AI453" i="2" s="1"/>
  <c r="W51" i="1" l="1"/>
  <c r="AF687" i="2" l="1"/>
  <c r="AF217" i="2" l="1"/>
  <c r="AI217" i="2" s="1"/>
  <c r="AJ217" i="2" s="1"/>
  <c r="AI687" i="2"/>
  <c r="AF685" i="2"/>
  <c r="AJ687" i="2" l="1"/>
  <c r="AJ685" i="2" s="1"/>
  <c r="AI685" i="2"/>
  <c r="W122" i="1" l="1"/>
  <c r="AF860" i="2"/>
  <c r="AF361" i="2" l="1"/>
  <c r="AI361" i="2" s="1"/>
  <c r="AJ361" i="2" s="1"/>
  <c r="AI860" i="2"/>
  <c r="AJ860" i="2" l="1"/>
  <c r="W85" i="1" l="1"/>
  <c r="AF719" i="2" l="1"/>
  <c r="AF717" i="2" l="1"/>
  <c r="AI719" i="2"/>
  <c r="AF737" i="2" l="1"/>
  <c r="AI717" i="2"/>
  <c r="AJ719" i="2"/>
  <c r="AJ717" i="2" s="1"/>
  <c r="AI737" i="2" l="1"/>
  <c r="AF735" i="2"/>
  <c r="AF861" i="2"/>
  <c r="AI861" i="2" l="1"/>
  <c r="AI735" i="2"/>
  <c r="AJ737" i="2"/>
  <c r="AJ735" i="2" s="1"/>
  <c r="AJ861" i="2" l="1"/>
  <c r="AF863" i="2"/>
  <c r="AI863" i="2" s="1"/>
  <c r="AJ863" i="2" s="1"/>
  <c r="AF118" i="2" l="1"/>
  <c r="AI118" i="2" l="1"/>
  <c r="AJ118" i="2" s="1"/>
  <c r="W117" i="1" l="1"/>
  <c r="AF355" i="2" l="1"/>
  <c r="AF374" i="2" l="1"/>
  <c r="AI355" i="2"/>
  <c r="W58" i="1"/>
  <c r="AI374" i="2" l="1"/>
  <c r="AJ355" i="2"/>
  <c r="AJ374" i="2" l="1"/>
  <c r="AF222" i="2" l="1"/>
  <c r="AI222" i="2" l="1"/>
  <c r="AJ222" i="2" s="1"/>
  <c r="AF1572" i="2" l="1"/>
  <c r="AI1572" i="2" s="1"/>
  <c r="AJ1572" i="2" s="1"/>
  <c r="AF1565" i="2" l="1"/>
  <c r="AI1565" i="2" s="1"/>
  <c r="AJ1565" i="2" s="1"/>
  <c r="AF1580" i="2" l="1"/>
  <c r="AF1587" i="2" l="1"/>
  <c r="AI1580" i="2"/>
  <c r="W181" i="1"/>
  <c r="AF157" i="2" l="1"/>
  <c r="AI157" i="2" s="1"/>
  <c r="AJ157" i="2" s="1"/>
  <c r="AI1587" i="2"/>
  <c r="AJ1580" i="2"/>
  <c r="AJ1587" i="2" s="1"/>
  <c r="AI390" i="2"/>
  <c r="AI389" i="2" s="1"/>
  <c r="AF1525" i="2" l="1"/>
  <c r="AI1525" i="2" s="1"/>
  <c r="AJ1525" i="2" s="1"/>
  <c r="AJ390" i="2"/>
  <c r="AJ389" i="2" s="1"/>
  <c r="AF699" i="2"/>
  <c r="AI699" i="2" l="1"/>
  <c r="AF697" i="2"/>
  <c r="AF215" i="2"/>
  <c r="AI697" i="2" l="1"/>
  <c r="AJ699" i="2"/>
  <c r="AJ697" i="2" s="1"/>
  <c r="AI215" i="2" l="1"/>
  <c r="AF246" i="2"/>
  <c r="AF846" i="2" l="1"/>
  <c r="AI846" i="2" s="1"/>
  <c r="AJ846" i="2" s="1"/>
  <c r="AI246" i="2"/>
  <c r="AJ215" i="2"/>
  <c r="AJ246" i="2" s="1"/>
  <c r="AF841" i="2" l="1"/>
  <c r="AI841" i="2" s="1"/>
  <c r="AJ841" i="2" s="1"/>
  <c r="AF1306" i="2"/>
  <c r="AI1306" i="2" s="1"/>
  <c r="AJ1306" i="2" s="1"/>
  <c r="AF26" i="2" l="1"/>
  <c r="AF120" i="2"/>
  <c r="AI120" i="2" l="1"/>
  <c r="AJ120" i="2" s="1"/>
  <c r="AI26" i="2"/>
  <c r="AF62" i="2"/>
  <c r="AF67" i="2" s="1"/>
  <c r="AI62" i="2" l="1"/>
  <c r="AI67" i="2" s="1"/>
  <c r="AJ26" i="2"/>
  <c r="AJ62" i="2" s="1"/>
  <c r="W28" i="1"/>
  <c r="AJ67" i="2" l="1"/>
  <c r="AF1477" i="2" l="1"/>
  <c r="AI1477" i="2" s="1"/>
  <c r="AJ1477" i="2" s="1"/>
  <c r="AF731" i="2"/>
  <c r="AF264" i="2" l="1"/>
  <c r="AI731" i="2"/>
  <c r="AF729" i="2"/>
  <c r="W71" i="1" l="1"/>
  <c r="W66" i="1" s="1"/>
  <c r="AI729" i="2"/>
  <c r="AJ731" i="2"/>
  <c r="AJ729" i="2" s="1"/>
  <c r="AI264" i="2" l="1"/>
  <c r="AJ264" i="2" l="1"/>
  <c r="AF747" i="2"/>
  <c r="AI747" i="2" s="1"/>
  <c r="AJ747" i="2" s="1"/>
  <c r="AF211" i="2" l="1"/>
  <c r="AI211" i="2" l="1"/>
  <c r="AF242" i="2"/>
  <c r="AI242" i="2" l="1"/>
  <c r="AJ211" i="2"/>
  <c r="AJ242" i="2" s="1"/>
  <c r="AF267" i="2"/>
  <c r="AF703" i="2"/>
  <c r="AI703" i="2" s="1"/>
  <c r="AJ703" i="2" s="1"/>
  <c r="AF1530" i="2" l="1"/>
  <c r="AI1530" i="2" s="1"/>
  <c r="AJ1530" i="2" s="1"/>
  <c r="AF253" i="2"/>
  <c r="AI267" i="2"/>
  <c r="AF182" i="2"/>
  <c r="AF1528" i="2" l="1"/>
  <c r="AI1528" i="2" s="1"/>
  <c r="AJ1528" i="2" s="1"/>
  <c r="AF1539" i="2"/>
  <c r="AI253" i="2"/>
  <c r="AJ267" i="2"/>
  <c r="AJ253" i="2" s="1"/>
  <c r="AF165" i="2"/>
  <c r="AF1537" i="2" l="1"/>
  <c r="AF1548" i="2"/>
  <c r="AI1539" i="2"/>
  <c r="W118" i="1"/>
  <c r="AF178" i="2"/>
  <c r="AI182" i="2"/>
  <c r="AF858" i="2"/>
  <c r="AI858" i="2" s="1"/>
  <c r="AJ858" i="2" s="1"/>
  <c r="AI1548" i="2" l="1"/>
  <c r="AJ1539" i="2"/>
  <c r="AJ1548" i="2" s="1"/>
  <c r="AF1546" i="2"/>
  <c r="AI1537" i="2"/>
  <c r="AF359" i="2"/>
  <c r="AI165" i="2"/>
  <c r="AI178" i="2"/>
  <c r="AJ182" i="2"/>
  <c r="AI481" i="2"/>
  <c r="AI1546" i="2" l="1"/>
  <c r="AJ1537" i="2"/>
  <c r="AJ1546" i="2" s="1"/>
  <c r="AJ165" i="2"/>
  <c r="AI359" i="2"/>
  <c r="AF480" i="2"/>
  <c r="AF476" i="2" s="1"/>
  <c r="AF475" i="2" s="1"/>
  <c r="AF469" i="2" s="1"/>
  <c r="AF452" i="2" s="1"/>
  <c r="AJ178" i="2"/>
  <c r="AJ481" i="2"/>
  <c r="AJ480" i="2" s="1"/>
  <c r="AJ476" i="2" s="1"/>
  <c r="AJ475" i="2" s="1"/>
  <c r="AJ469" i="2" s="1"/>
  <c r="AJ452" i="2" s="1"/>
  <c r="AI480" i="2"/>
  <c r="AI476" i="2" s="1"/>
  <c r="AI475" i="2" s="1"/>
  <c r="AI469" i="2" s="1"/>
  <c r="AI452" i="2" s="1"/>
  <c r="AJ359" i="2" l="1"/>
  <c r="W59" i="1"/>
  <c r="AF219" i="2" l="1"/>
  <c r="AF1480" i="2" l="1"/>
  <c r="AI1480" i="2" s="1"/>
  <c r="AJ1480" i="2" s="1"/>
  <c r="AI219" i="2" l="1"/>
  <c r="AF250" i="2"/>
  <c r="AJ219" i="2" l="1"/>
  <c r="AJ250" i="2" s="1"/>
  <c r="AI250" i="2"/>
  <c r="W191" i="1"/>
  <c r="AF420" i="2" l="1"/>
  <c r="AI420" i="2" l="1"/>
  <c r="AJ420" i="2" l="1"/>
  <c r="W179" i="1" l="1"/>
  <c r="AF1524" i="2" l="1"/>
  <c r="AI1524" i="2" s="1"/>
  <c r="AJ1524" i="2" s="1"/>
  <c r="AF1568" i="2" l="1"/>
  <c r="AI1568" i="2" s="1"/>
  <c r="AJ1568" i="2" s="1"/>
  <c r="W84" i="1" l="1"/>
  <c r="W80" i="1" s="1"/>
  <c r="W98" i="1" s="1"/>
  <c r="W101" i="1" s="1"/>
  <c r="AF213" i="2" l="1"/>
  <c r="AF1489" i="2" l="1"/>
  <c r="AI1489" i="2" s="1"/>
  <c r="AJ1489" i="2" s="1"/>
  <c r="AF129" i="2"/>
  <c r="AF1498" i="2" l="1"/>
  <c r="AI213" i="2"/>
  <c r="AF244" i="2"/>
  <c r="AF862" i="2"/>
  <c r="AF1507" i="2" l="1"/>
  <c r="AI1498" i="2"/>
  <c r="AI862" i="2"/>
  <c r="AF859" i="2"/>
  <c r="AI244" i="2"/>
  <c r="AJ213" i="2"/>
  <c r="AJ244" i="2" s="1"/>
  <c r="AI129" i="2"/>
  <c r="AI1507" i="2" l="1"/>
  <c r="AJ1498" i="2"/>
  <c r="AJ1507" i="2" s="1"/>
  <c r="AF1591" i="2"/>
  <c r="AI1591" i="2" s="1"/>
  <c r="AJ1591" i="2" s="1"/>
  <c r="AF1592" i="2"/>
  <c r="AI1592" i="2" s="1"/>
  <c r="AJ1592" i="2" s="1"/>
  <c r="AJ862" i="2"/>
  <c r="AJ859" i="2" s="1"/>
  <c r="AI859" i="2"/>
  <c r="AJ129" i="2"/>
  <c r="AF103" i="2" l="1"/>
  <c r="AF1476" i="2" l="1"/>
  <c r="AI1476" i="2" s="1"/>
  <c r="AJ1476" i="2" s="1"/>
  <c r="W50" i="1"/>
  <c r="AF1475" i="2" l="1"/>
  <c r="AI1475" i="2" s="1"/>
  <c r="AJ1475" i="2" s="1"/>
  <c r="AI103" i="2"/>
  <c r="AF1479" i="2" l="1"/>
  <c r="AI1479" i="2" s="1"/>
  <c r="AJ1479" i="2" s="1"/>
  <c r="AF104" i="2"/>
  <c r="AJ103" i="2"/>
  <c r="AF1497" i="2" l="1"/>
  <c r="AF1488" i="2"/>
  <c r="AI1488" i="2" s="1"/>
  <c r="AJ1488" i="2" s="1"/>
  <c r="AF1487" i="2"/>
  <c r="AI1487" i="2" s="1"/>
  <c r="AJ1487" i="2" s="1"/>
  <c r="AF1485" i="2"/>
  <c r="AI1485" i="2" s="1"/>
  <c r="AJ1485" i="2" s="1"/>
  <c r="AF1478" i="2"/>
  <c r="AI1478" i="2" s="1"/>
  <c r="AJ1478" i="2" s="1"/>
  <c r="AF114" i="2"/>
  <c r="AF1494" i="2" l="1"/>
  <c r="AF1506" i="2"/>
  <c r="AI1497" i="2"/>
  <c r="AF102" i="2"/>
  <c r="AI104" i="2"/>
  <c r="AF126" i="2"/>
  <c r="AF693" i="2"/>
  <c r="AI114" i="2"/>
  <c r="AJ114" i="2" s="1"/>
  <c r="AF1496" i="2" l="1"/>
  <c r="AI1506" i="2"/>
  <c r="AJ1497" i="2"/>
  <c r="AJ1506" i="2" s="1"/>
  <c r="AF1503" i="2"/>
  <c r="AI1494" i="2"/>
  <c r="AF121" i="2"/>
  <c r="AI121" i="2" s="1"/>
  <c r="AJ121" i="2" s="1"/>
  <c r="AJ104" i="2"/>
  <c r="AI126" i="2"/>
  <c r="AI102" i="2"/>
  <c r="AI693" i="2"/>
  <c r="AF691" i="2"/>
  <c r="AF265" i="2"/>
  <c r="AI1503" i="2" l="1"/>
  <c r="AJ1494" i="2"/>
  <c r="AJ1503" i="2" s="1"/>
  <c r="AF1505" i="2"/>
  <c r="AI1496" i="2"/>
  <c r="AJ693" i="2"/>
  <c r="AJ691" i="2" s="1"/>
  <c r="AI691" i="2"/>
  <c r="AJ126" i="2"/>
  <c r="AJ102" i="2"/>
  <c r="AF681" i="2"/>
  <c r="AI1505" i="2" l="1"/>
  <c r="AJ1496" i="2"/>
  <c r="AJ1505" i="2" s="1"/>
  <c r="AI681" i="2"/>
  <c r="AF679" i="2"/>
  <c r="AF251" i="2"/>
  <c r="AI265" i="2"/>
  <c r="AI251" i="2" l="1"/>
  <c r="AJ265" i="2"/>
  <c r="AJ251" i="2" s="1"/>
  <c r="AI679" i="2"/>
  <c r="AJ681" i="2"/>
  <c r="AJ679" i="2" s="1"/>
  <c r="AF1564" i="2" l="1"/>
  <c r="AI1564" i="2" s="1"/>
  <c r="AJ1564" i="2" s="1"/>
  <c r="AF1571" i="2"/>
  <c r="AI1571" i="2" s="1"/>
  <c r="AJ1571" i="2" s="1"/>
  <c r="AF221" i="2"/>
  <c r="AF1579" i="2" l="1"/>
  <c r="AF1570" i="2"/>
  <c r="AI1570" i="2" s="1"/>
  <c r="AJ1570" i="2" s="1"/>
  <c r="AF1563" i="2"/>
  <c r="AI1563" i="2" s="1"/>
  <c r="AJ1563" i="2" s="1"/>
  <c r="AF216" i="2"/>
  <c r="AI221" i="2"/>
  <c r="AJ221" i="2" s="1"/>
  <c r="AF1578" i="2" l="1"/>
  <c r="AF1586" i="2"/>
  <c r="AI1579" i="2"/>
  <c r="AI216" i="2"/>
  <c r="AJ216" i="2" s="1"/>
  <c r="AI1586" i="2" l="1"/>
  <c r="AJ1579" i="2"/>
  <c r="AJ1586" i="2" s="1"/>
  <c r="AF1585" i="2"/>
  <c r="AI1578" i="2"/>
  <c r="AF184" i="2"/>
  <c r="W199" i="1"/>
  <c r="W188" i="1" s="1"/>
  <c r="W218" i="1" s="1"/>
  <c r="W221" i="1" s="1"/>
  <c r="AI1585" i="2" l="1"/>
  <c r="AJ1578" i="2"/>
  <c r="AJ1585" i="2" s="1"/>
  <c r="AF174" i="2" l="1"/>
  <c r="AI174" i="2" s="1"/>
  <c r="AJ174" i="2" s="1"/>
  <c r="AF1295" i="2"/>
  <c r="AI1295" i="2" s="1"/>
  <c r="AJ1295" i="2" s="1"/>
  <c r="AF180" i="2"/>
  <c r="AI184" i="2"/>
  <c r="AF1534" i="2" l="1"/>
  <c r="AI1534" i="2" s="1"/>
  <c r="AJ1534" i="2" s="1"/>
  <c r="AF15" i="2"/>
  <c r="AI15" i="2" s="1"/>
  <c r="AJ15" i="2" s="1"/>
  <c r="AI180" i="2"/>
  <c r="AJ184" i="2"/>
  <c r="AJ180" i="2" s="1"/>
  <c r="AF1543" i="2" l="1"/>
  <c r="AF845" i="2"/>
  <c r="AF1552" i="2" l="1"/>
  <c r="AI1543" i="2"/>
  <c r="AF840" i="2"/>
  <c r="AF835" i="2"/>
  <c r="AI835" i="2" s="1"/>
  <c r="AJ835" i="2" s="1"/>
  <c r="AI845" i="2"/>
  <c r="AF172" i="2"/>
  <c r="AI1552" i="2" l="1"/>
  <c r="AJ1543" i="2"/>
  <c r="AJ1552" i="2" s="1"/>
  <c r="AF58" i="2"/>
  <c r="AI58" i="2" s="1"/>
  <c r="AJ58" i="2" s="1"/>
  <c r="AJ845" i="2"/>
  <c r="AI840" i="2"/>
  <c r="AI172" i="2"/>
  <c r="AJ172" i="2" s="1"/>
  <c r="AF57" i="2" l="1"/>
  <c r="AI57" i="2" s="1"/>
  <c r="AJ57" i="2" s="1"/>
  <c r="AJ840" i="2"/>
  <c r="AF158" i="2" l="1"/>
  <c r="AF1526" i="2" l="1"/>
  <c r="AI1526" i="2" s="1"/>
  <c r="AJ1526" i="2" s="1"/>
  <c r="AF175" i="2"/>
  <c r="AI175" i="2" s="1"/>
  <c r="AJ175" i="2" s="1"/>
  <c r="AF1535" i="2"/>
  <c r="AI1535" i="2" s="1"/>
  <c r="AJ1535" i="2" s="1"/>
  <c r="AI158" i="2"/>
  <c r="AF181" i="2"/>
  <c r="AI181" i="2" l="1"/>
  <c r="AJ158" i="2"/>
  <c r="AJ181" i="2" s="1"/>
  <c r="AF171" i="2"/>
  <c r="AF1544" i="2" l="1"/>
  <c r="AI171" i="2"/>
  <c r="AJ171" i="2" s="1"/>
  <c r="AF145" i="2" l="1"/>
  <c r="AF1553" i="2"/>
  <c r="AI1544" i="2"/>
  <c r="W107" i="1"/>
  <c r="W113" i="1" s="1"/>
  <c r="W114" i="1" l="1"/>
  <c r="AF150" i="2"/>
  <c r="AF151" i="2" s="1"/>
  <c r="AI145" i="2"/>
  <c r="AI1553" i="2"/>
  <c r="AJ1544" i="2"/>
  <c r="AJ1553" i="2" s="1"/>
  <c r="AI150" i="2" l="1"/>
  <c r="AI151" i="2" s="1"/>
  <c r="AJ145" i="2"/>
  <c r="AJ150" i="2" s="1"/>
  <c r="AJ151" i="2" s="1"/>
  <c r="AF330" i="2"/>
  <c r="AF325" i="2" l="1"/>
  <c r="AI330" i="2"/>
  <c r="AJ330" i="2" s="1"/>
  <c r="AF386" i="2" l="1"/>
  <c r="AF316" i="2"/>
  <c r="AF310" i="2"/>
  <c r="AI325" i="2"/>
  <c r="AF378" i="2" l="1"/>
  <c r="AI316" i="2"/>
  <c r="AI310" i="2"/>
  <c r="AJ325" i="2"/>
  <c r="AI386" i="2"/>
  <c r="AF311" i="2"/>
  <c r="AF335" i="2"/>
  <c r="AF112" i="2"/>
  <c r="AI378" i="2" l="1"/>
  <c r="AF1486" i="2"/>
  <c r="AI1486" i="2" s="1"/>
  <c r="AJ1486" i="2" s="1"/>
  <c r="AF339" i="2"/>
  <c r="AF340" i="2" s="1"/>
  <c r="AF336" i="2"/>
  <c r="AJ386" i="2"/>
  <c r="AI311" i="2"/>
  <c r="AI335" i="2"/>
  <c r="AI112" i="2"/>
  <c r="AJ112" i="2" s="1"/>
  <c r="AF128" i="2"/>
  <c r="AJ316" i="2"/>
  <c r="AJ310" i="2"/>
  <c r="AJ378" i="2" l="1"/>
  <c r="AF1484" i="2"/>
  <c r="AI1484" i="2" s="1"/>
  <c r="AJ1484" i="2" s="1"/>
  <c r="AF1495" i="2"/>
  <c r="AF113" i="2"/>
  <c r="AI113" i="2" s="1"/>
  <c r="AJ113" i="2" s="1"/>
  <c r="AJ335" i="2"/>
  <c r="AJ311" i="2"/>
  <c r="AI339" i="2"/>
  <c r="AI340" i="2" s="1"/>
  <c r="AI336" i="2"/>
  <c r="AF1493" i="2" l="1"/>
  <c r="AF1504" i="2"/>
  <c r="AI1495" i="2"/>
  <c r="AF123" i="2"/>
  <c r="AF111" i="2"/>
  <c r="AI111" i="2" s="1"/>
  <c r="AF125" i="2"/>
  <c r="AI128" i="2"/>
  <c r="AJ336" i="2"/>
  <c r="AJ339" i="2"/>
  <c r="AJ340" i="2" s="1"/>
  <c r="AI1504" i="2" l="1"/>
  <c r="AJ1495" i="2"/>
  <c r="AJ1504" i="2" s="1"/>
  <c r="AF1502" i="2"/>
  <c r="AI1493" i="2"/>
  <c r="AF81" i="2"/>
  <c r="AI125" i="2"/>
  <c r="AI123" i="2"/>
  <c r="AJ128" i="2"/>
  <c r="AF124" i="2"/>
  <c r="AF135" i="2"/>
  <c r="AF743" i="2"/>
  <c r="AJ111" i="2"/>
  <c r="AI1502" i="2" l="1"/>
  <c r="AJ1493" i="2"/>
  <c r="AJ1502" i="2" s="1"/>
  <c r="AI81" i="2"/>
  <c r="AF86" i="2"/>
  <c r="AF266" i="2"/>
  <c r="AJ123" i="2"/>
  <c r="AJ125" i="2"/>
  <c r="AI135" i="2"/>
  <c r="AI124" i="2"/>
  <c r="AI743" i="2"/>
  <c r="AF741" i="2"/>
  <c r="AF139" i="2"/>
  <c r="AF140" i="2" s="1"/>
  <c r="AF136" i="2"/>
  <c r="AF856" i="2" l="1"/>
  <c r="AF836" i="2"/>
  <c r="AI836" i="2" s="1"/>
  <c r="AJ836" i="2" s="1"/>
  <c r="AI86" i="2"/>
  <c r="AJ81" i="2"/>
  <c r="AJ86" i="2" s="1"/>
  <c r="AI741" i="2"/>
  <c r="AJ743" i="2"/>
  <c r="AJ741" i="2" s="1"/>
  <c r="AI139" i="2"/>
  <c r="AI140" i="2" s="1"/>
  <c r="AI136" i="2"/>
  <c r="AJ124" i="2"/>
  <c r="AJ135" i="2"/>
  <c r="AF1554" i="2" l="1"/>
  <c r="AI1554" i="2" s="1"/>
  <c r="AJ1554" i="2" s="1"/>
  <c r="AF1555" i="2"/>
  <c r="AI1555" i="2" s="1"/>
  <c r="AJ1555" i="2" s="1"/>
  <c r="AF854" i="2"/>
  <c r="AI856" i="2"/>
  <c r="AJ136" i="2"/>
  <c r="AJ139" i="2"/>
  <c r="AJ140" i="2" s="1"/>
  <c r="AI266" i="2"/>
  <c r="AF252" i="2"/>
  <c r="AF847" i="2" l="1"/>
  <c r="AJ856" i="2"/>
  <c r="AJ854" i="2" s="1"/>
  <c r="AI854" i="2"/>
  <c r="AI252" i="2"/>
  <c r="AJ266" i="2"/>
  <c r="AJ252" i="2" s="1"/>
  <c r="AF842" i="2" l="1"/>
  <c r="AF837" i="2"/>
  <c r="AI837" i="2" s="1"/>
  <c r="AJ837" i="2" s="1"/>
  <c r="AI847" i="2"/>
  <c r="AF122" i="2" l="1"/>
  <c r="AJ847" i="2"/>
  <c r="AI842" i="2"/>
  <c r="AF1491" i="2" l="1"/>
  <c r="AI1491" i="2" s="1"/>
  <c r="AJ1491" i="2" s="1"/>
  <c r="AJ842" i="2"/>
  <c r="AI122" i="2"/>
  <c r="AF110" i="2"/>
  <c r="AF1500" i="2" l="1"/>
  <c r="AJ122" i="2"/>
  <c r="AJ110" i="2" s="1"/>
  <c r="AI110" i="2"/>
  <c r="AF388" i="2"/>
  <c r="AF380" i="2" l="1"/>
  <c r="AF385" i="2"/>
  <c r="AF408" i="2" s="1"/>
  <c r="AF1509" i="2"/>
  <c r="AI1500" i="2"/>
  <c r="AI1509" i="2" l="1"/>
  <c r="AJ1500" i="2"/>
  <c r="AJ1509" i="2" s="1"/>
  <c r="AI388" i="2"/>
  <c r="AF170" i="2"/>
  <c r="AI380" i="2" l="1"/>
  <c r="AI385" i="2"/>
  <c r="AI408" i="2" s="1"/>
  <c r="AF1533" i="2"/>
  <c r="AI1533" i="2" s="1"/>
  <c r="AJ1533" i="2" s="1"/>
  <c r="AI170" i="2"/>
  <c r="AJ170" i="2" s="1"/>
  <c r="AF183" i="2"/>
  <c r="AJ388" i="2"/>
  <c r="AJ380" i="2" l="1"/>
  <c r="AJ385" i="2"/>
  <c r="AJ408" i="2" s="1"/>
  <c r="AF1542" i="2"/>
  <c r="W172" i="1"/>
  <c r="AF176" i="2"/>
  <c r="AF1551" i="2" l="1"/>
  <c r="AI1542" i="2"/>
  <c r="AF156" i="2"/>
  <c r="AI183" i="2"/>
  <c r="AI1551" i="2" l="1"/>
  <c r="AJ1542" i="2"/>
  <c r="AJ1551" i="2" s="1"/>
  <c r="AF1523" i="2"/>
  <c r="AI1523" i="2" s="1"/>
  <c r="AJ1523" i="2" s="1"/>
  <c r="AF1532" i="2"/>
  <c r="AI1532" i="2" s="1"/>
  <c r="AJ1532" i="2" s="1"/>
  <c r="AF848" i="2"/>
  <c r="AJ183" i="2"/>
  <c r="AI176" i="2"/>
  <c r="AF190" i="2"/>
  <c r="AF166" i="2"/>
  <c r="AF154" i="2"/>
  <c r="AF1541" i="2" l="1"/>
  <c r="AF1531" i="2"/>
  <c r="AI1531" i="2" s="1"/>
  <c r="AJ1531" i="2" s="1"/>
  <c r="AF1527" i="2"/>
  <c r="AI1527" i="2" s="1"/>
  <c r="AJ1527" i="2" s="1"/>
  <c r="AF1522" i="2"/>
  <c r="AI1522" i="2" s="1"/>
  <c r="AJ1522" i="2" s="1"/>
  <c r="AI848" i="2"/>
  <c r="AF844" i="2"/>
  <c r="AF843" i="2"/>
  <c r="AF838" i="2"/>
  <c r="AI838" i="2" s="1"/>
  <c r="AJ838" i="2" s="1"/>
  <c r="AF194" i="2"/>
  <c r="AI190" i="2"/>
  <c r="AJ176" i="2"/>
  <c r="AI156" i="2"/>
  <c r="AF177" i="2"/>
  <c r="AF179" i="2"/>
  <c r="AF173" i="2"/>
  <c r="AF212" i="2"/>
  <c r="AF1238" i="2" l="1"/>
  <c r="AI1238" i="2" s="1"/>
  <c r="AJ1238" i="2" s="1"/>
  <c r="AF1511" i="2"/>
  <c r="AI1511" i="2" s="1"/>
  <c r="AJ1511" i="2" s="1"/>
  <c r="AF1518" i="2"/>
  <c r="AI1518" i="2" s="1"/>
  <c r="AJ1518" i="2" s="1"/>
  <c r="AF1550" i="2"/>
  <c r="AI1541" i="2"/>
  <c r="AF1540" i="2"/>
  <c r="AI843" i="2"/>
  <c r="AF839" i="2"/>
  <c r="AJ848" i="2"/>
  <c r="AJ844" i="2" s="1"/>
  <c r="AI844" i="2"/>
  <c r="AI166" i="2"/>
  <c r="AF164" i="2"/>
  <c r="AF195" i="2"/>
  <c r="AI173" i="2"/>
  <c r="AJ173" i="2" s="1"/>
  <c r="AI194" i="2"/>
  <c r="AJ190" i="2"/>
  <c r="AF834" i="2"/>
  <c r="AF1465" i="2" s="1"/>
  <c r="AF1463" i="2" s="1"/>
  <c r="AJ156" i="2"/>
  <c r="AI154" i="2"/>
  <c r="AI177" i="2" s="1"/>
  <c r="AI179" i="2"/>
  <c r="AF191" i="2"/>
  <c r="AF1237" i="2" l="1"/>
  <c r="AI1237" i="2" s="1"/>
  <c r="AJ1237" i="2" s="1"/>
  <c r="AI1550" i="2"/>
  <c r="AJ1541" i="2"/>
  <c r="AJ1550" i="2" s="1"/>
  <c r="AF1549" i="2"/>
  <c r="AI1540" i="2"/>
  <c r="AF1510" i="2"/>
  <c r="AI1510" i="2" s="1"/>
  <c r="AJ1510" i="2" s="1"/>
  <c r="AF1557" i="2"/>
  <c r="AI1557" i="2" s="1"/>
  <c r="AJ1557" i="2" s="1"/>
  <c r="AF1536" i="2"/>
  <c r="AJ843" i="2"/>
  <c r="AJ839" i="2" s="1"/>
  <c r="AI839" i="2"/>
  <c r="AI195" i="2"/>
  <c r="AF243" i="2"/>
  <c r="AI212" i="2"/>
  <c r="AJ154" i="2"/>
  <c r="AJ177" i="2" s="1"/>
  <c r="AJ179" i="2"/>
  <c r="AJ834" i="2"/>
  <c r="AJ1465" i="2" s="1"/>
  <c r="AJ1463" i="2" s="1"/>
  <c r="AI834" i="2"/>
  <c r="AI1465" i="2" s="1"/>
  <c r="AI1463" i="2" s="1"/>
  <c r="AI191" i="2"/>
  <c r="AJ166" i="2"/>
  <c r="AJ164" i="2" s="1"/>
  <c r="AI164" i="2"/>
  <c r="AJ194" i="2"/>
  <c r="AF422" i="2"/>
  <c r="AF1558" i="2" l="1"/>
  <c r="AI1549" i="2"/>
  <c r="AJ1540" i="2"/>
  <c r="AJ1549" i="2" s="1"/>
  <c r="AF1545" i="2"/>
  <c r="AI1536" i="2"/>
  <c r="AJ191" i="2"/>
  <c r="AJ195" i="2"/>
  <c r="AI243" i="2"/>
  <c r="AJ212" i="2"/>
  <c r="AJ243" i="2" s="1"/>
  <c r="AI1545" i="2" l="1"/>
  <c r="AJ1536" i="2"/>
  <c r="AJ1545" i="2" s="1"/>
  <c r="AF1559" i="2"/>
  <c r="AI1558" i="2"/>
  <c r="AF446" i="2"/>
  <c r="AI422" i="2"/>
  <c r="AF418" i="2"/>
  <c r="AF419" i="2" s="1"/>
  <c r="AF210" i="2"/>
  <c r="AI1559" i="2" l="1"/>
  <c r="AJ1558" i="2"/>
  <c r="AJ1559" i="2" s="1"/>
  <c r="AJ422" i="2"/>
  <c r="AJ418" i="2" s="1"/>
  <c r="AJ419" i="2" s="1"/>
  <c r="AI418" i="2"/>
  <c r="AI419" i="2" s="1"/>
  <c r="AF427" i="2"/>
  <c r="AF209" i="2"/>
  <c r="AF444" i="2" l="1"/>
  <c r="AI446" i="2"/>
  <c r="AI210" i="2"/>
  <c r="AF241" i="2"/>
  <c r="W119" i="1" l="1"/>
  <c r="AI444" i="2"/>
  <c r="AJ446" i="2"/>
  <c r="AF425" i="2"/>
  <c r="AF443" i="2"/>
  <c r="AF341" i="2" s="1"/>
  <c r="AF439" i="2"/>
  <c r="AF278" i="2" s="1"/>
  <c r="AI427" i="2"/>
  <c r="AF431" i="2"/>
  <c r="AF90" i="2" s="1"/>
  <c r="AF435" i="2"/>
  <c r="AF196" i="2" s="1"/>
  <c r="AF447" i="2"/>
  <c r="AF413" i="2" s="1"/>
  <c r="AF240" i="2"/>
  <c r="AI209" i="2"/>
  <c r="AF208" i="2"/>
  <c r="AI241" i="2"/>
  <c r="AJ210" i="2"/>
  <c r="AJ241" i="2" s="1"/>
  <c r="AF356" i="2" l="1"/>
  <c r="AF354" i="2" s="1"/>
  <c r="AI208" i="2"/>
  <c r="AI240" i="2"/>
  <c r="AJ209" i="2"/>
  <c r="AI425" i="2"/>
  <c r="AI443" i="2"/>
  <c r="AI341" i="2" s="1"/>
  <c r="AI439" i="2"/>
  <c r="AI278" i="2" s="1"/>
  <c r="AI431" i="2"/>
  <c r="AI90" i="2" s="1"/>
  <c r="AI435" i="2"/>
  <c r="AI196" i="2" s="1"/>
  <c r="AJ427" i="2"/>
  <c r="AJ447" i="2" s="1"/>
  <c r="AJ413" i="2" s="1"/>
  <c r="AI447" i="2"/>
  <c r="AI413" i="2" s="1"/>
  <c r="AJ444" i="2"/>
  <c r="AI356" i="2" l="1"/>
  <c r="AI354" i="2" s="1"/>
  <c r="AJ425" i="2"/>
  <c r="AJ431" i="2"/>
  <c r="AJ90" i="2" s="1"/>
  <c r="AJ443" i="2"/>
  <c r="AJ341" i="2" s="1"/>
  <c r="AJ435" i="2"/>
  <c r="AJ196" i="2" s="1"/>
  <c r="AJ439" i="2"/>
  <c r="AJ278" i="2" s="1"/>
  <c r="AJ208" i="2"/>
  <c r="AJ240" i="2"/>
  <c r="AF1567" i="2" l="1"/>
  <c r="AI1567" i="2" s="1"/>
  <c r="AJ1567" i="2" s="1"/>
  <c r="AJ356" i="2"/>
  <c r="AJ354" i="2" s="1"/>
  <c r="AF1566" i="2" l="1"/>
  <c r="AI1566" i="2" s="1"/>
  <c r="AJ1566" i="2" s="1"/>
  <c r="AF1562" i="2"/>
  <c r="AI1562" i="2" s="1"/>
  <c r="AJ1562" i="2" s="1"/>
  <c r="AF725" i="2"/>
  <c r="AF263" i="2" l="1"/>
  <c r="AI725" i="2"/>
  <c r="AF723" i="2"/>
  <c r="AF716" i="2" s="1"/>
  <c r="AF708" i="2" s="1"/>
  <c r="AF1575" i="2" l="1"/>
  <c r="AI1575" i="2" s="1"/>
  <c r="AJ1575" i="2" s="1"/>
  <c r="AI723" i="2"/>
  <c r="AI716" i="2" s="1"/>
  <c r="AI708" i="2" s="1"/>
  <c r="AJ725" i="2"/>
  <c r="AJ723" i="2" s="1"/>
  <c r="AJ716" i="2" s="1"/>
  <c r="AJ708" i="2" s="1"/>
  <c r="AF1583" i="2" l="1"/>
  <c r="AF383" i="2"/>
  <c r="AF381" i="2" s="1"/>
  <c r="AF407" i="2" s="1"/>
  <c r="AF249" i="2"/>
  <c r="AI263" i="2"/>
  <c r="AF373" i="2" l="1"/>
  <c r="AF371" i="2"/>
  <c r="AF1590" i="2"/>
  <c r="AI1583" i="2"/>
  <c r="AF375" i="2"/>
  <c r="AI383" i="2"/>
  <c r="AI381" i="2" s="1"/>
  <c r="AI407" i="2" s="1"/>
  <c r="AF675" i="2"/>
  <c r="AI249" i="2"/>
  <c r="AJ263" i="2"/>
  <c r="AJ249" i="2" s="1"/>
  <c r="AI373" i="2" l="1"/>
  <c r="AI371" i="2"/>
  <c r="AI1590" i="2"/>
  <c r="AJ1583" i="2"/>
  <c r="AJ1590" i="2" s="1"/>
  <c r="AI375" i="2"/>
  <c r="AF673" i="2"/>
  <c r="AF672" i="2" s="1"/>
  <c r="AF664" i="2" s="1"/>
  <c r="AF663" i="2" s="1"/>
  <c r="AI675" i="2"/>
  <c r="AF405" i="2"/>
  <c r="AF262" i="2"/>
  <c r="AJ383" i="2"/>
  <c r="AJ381" i="2" s="1"/>
  <c r="AJ407" i="2" s="1"/>
  <c r="AF143" i="2" l="1"/>
  <c r="AI143" i="2" s="1"/>
  <c r="AJ143" i="2" s="1"/>
  <c r="AF79" i="2"/>
  <c r="AI79" i="2" s="1"/>
  <c r="AJ79" i="2" s="1"/>
  <c r="AJ373" i="2"/>
  <c r="AJ371" i="2"/>
  <c r="AF1574" i="2"/>
  <c r="AI1574" i="2" s="1"/>
  <c r="AJ1574" i="2" s="1"/>
  <c r="AJ375" i="2"/>
  <c r="W104" i="1"/>
  <c r="AF358" i="2"/>
  <c r="AF377" i="2" s="1"/>
  <c r="AF261" i="2"/>
  <c r="AF411" i="2"/>
  <c r="AI405" i="2"/>
  <c r="AI673" i="2"/>
  <c r="AI672" i="2" s="1"/>
  <c r="AI664" i="2" s="1"/>
  <c r="AI663" i="2" s="1"/>
  <c r="AJ675" i="2"/>
  <c r="AJ673" i="2" s="1"/>
  <c r="AJ672" i="2" s="1"/>
  <c r="AJ664" i="2" s="1"/>
  <c r="AJ663" i="2" s="1"/>
  <c r="AF1490" i="2" l="1"/>
  <c r="AI1490" i="2" s="1"/>
  <c r="AJ1490" i="2" s="1"/>
  <c r="AF1483" i="2"/>
  <c r="AI1483" i="2" s="1"/>
  <c r="AJ1483" i="2" s="1"/>
  <c r="AF1481" i="2"/>
  <c r="AI1481" i="2" s="1"/>
  <c r="AJ1481" i="2" s="1"/>
  <c r="AF353" i="2"/>
  <c r="AF372" i="2" s="1"/>
  <c r="AF1582" i="2"/>
  <c r="AF1573" i="2"/>
  <c r="AI1573" i="2" s="1"/>
  <c r="AJ1573" i="2" s="1"/>
  <c r="AF248" i="2"/>
  <c r="AI262" i="2"/>
  <c r="AI411" i="2"/>
  <c r="AJ405" i="2"/>
  <c r="AF1474" i="2" l="1"/>
  <c r="AI1474" i="2" s="1"/>
  <c r="AJ1474" i="2" s="1"/>
  <c r="AF1499" i="2"/>
  <c r="AF1589" i="2"/>
  <c r="AI1582" i="2"/>
  <c r="AF1569" i="2"/>
  <c r="AI1569" i="2" s="1"/>
  <c r="AJ1569" i="2" s="1"/>
  <c r="AF1581" i="2"/>
  <c r="AF247" i="2"/>
  <c r="AF238" i="2"/>
  <c r="AI261" i="2"/>
  <c r="AI248" i="2"/>
  <c r="AJ262" i="2"/>
  <c r="AJ248" i="2" s="1"/>
  <c r="AJ411" i="2"/>
  <c r="AI358" i="2"/>
  <c r="AI377" i="2" s="1"/>
  <c r="AF1508" i="2" l="1"/>
  <c r="AI1499" i="2"/>
  <c r="AF1492" i="2"/>
  <c r="AF1513" i="2"/>
  <c r="AI1513" i="2" s="1"/>
  <c r="AJ1513" i="2" s="1"/>
  <c r="AI353" i="2"/>
  <c r="AI372" i="2" s="1"/>
  <c r="AF1594" i="2"/>
  <c r="AI1594" i="2" s="1"/>
  <c r="AJ1594" i="2" s="1"/>
  <c r="AF1577" i="2"/>
  <c r="AF1588" i="2"/>
  <c r="AI1581" i="2"/>
  <c r="AI1589" i="2"/>
  <c r="AJ1582" i="2"/>
  <c r="AJ1589" i="2" s="1"/>
  <c r="AF1297" i="2"/>
  <c r="AF17" i="2"/>
  <c r="AF14" i="2"/>
  <c r="AJ358" i="2"/>
  <c r="AJ377" i="2" s="1"/>
  <c r="AI247" i="2"/>
  <c r="AI238" i="2"/>
  <c r="AJ261" i="2"/>
  <c r="AF24" i="2"/>
  <c r="AF272" i="2"/>
  <c r="AF239" i="2"/>
  <c r="AF406" i="2"/>
  <c r="AF412" i="2"/>
  <c r="AF1296" i="2" l="1"/>
  <c r="AI1296" i="2" s="1"/>
  <c r="AJ1296" i="2" s="1"/>
  <c r="AF1514" i="2"/>
  <c r="AF1501" i="2"/>
  <c r="AI1492" i="2"/>
  <c r="AI1508" i="2"/>
  <c r="AJ1499" i="2"/>
  <c r="AJ1508" i="2" s="1"/>
  <c r="AF1294" i="2"/>
  <c r="AI1294" i="2" s="1"/>
  <c r="AJ353" i="2"/>
  <c r="AJ372" i="2" s="1"/>
  <c r="AI1588" i="2"/>
  <c r="AJ1581" i="2"/>
  <c r="AJ1588" i="2" s="1"/>
  <c r="AF1595" i="2"/>
  <c r="AF16" i="2"/>
  <c r="AF1584" i="2"/>
  <c r="AI1577" i="2"/>
  <c r="AF1304" i="2"/>
  <c r="AI1297" i="2"/>
  <c r="AF276" i="2"/>
  <c r="AF277" i="2" s="1"/>
  <c r="AF273" i="2"/>
  <c r="AF28" i="2"/>
  <c r="AI406" i="2"/>
  <c r="AI412" i="2"/>
  <c r="AF1455" i="2"/>
  <c r="AF20" i="2"/>
  <c r="AI14" i="2"/>
  <c r="AJ247" i="2"/>
  <c r="AJ238" i="2"/>
  <c r="AF18" i="2"/>
  <c r="AI17" i="2"/>
  <c r="AI239" i="2"/>
  <c r="AI272" i="2"/>
  <c r="AF1298" i="2" l="1"/>
  <c r="AF1300" i="2"/>
  <c r="AI1501" i="2"/>
  <c r="AJ1492" i="2"/>
  <c r="AJ1501" i="2" s="1"/>
  <c r="AF1515" i="2"/>
  <c r="AI1514" i="2"/>
  <c r="AI1584" i="2"/>
  <c r="AJ1577" i="2"/>
  <c r="AJ1584" i="2" s="1"/>
  <c r="AF1596" i="2"/>
  <c r="AI1595" i="2"/>
  <c r="AF1305" i="2"/>
  <c r="AI1304" i="2"/>
  <c r="AI1298" i="2"/>
  <c r="AJ1297" i="2"/>
  <c r="AI1300" i="2"/>
  <c r="AJ1294" i="2"/>
  <c r="AJ1300" i="2" s="1"/>
  <c r="AF1308" i="2"/>
  <c r="AF1464" i="2"/>
  <c r="AJ406" i="2"/>
  <c r="AJ412" i="2"/>
  <c r="AI18" i="2"/>
  <c r="AJ17" i="2"/>
  <c r="AF1458" i="2"/>
  <c r="AF1456" i="2" s="1"/>
  <c r="AF1457" i="2" s="1"/>
  <c r="AI16" i="2"/>
  <c r="AF25" i="2"/>
  <c r="AI24" i="2"/>
  <c r="AI1455" i="2"/>
  <c r="AI20" i="2"/>
  <c r="AJ14" i="2"/>
  <c r="AF33" i="2"/>
  <c r="AI276" i="2"/>
  <c r="AI277" i="2" s="1"/>
  <c r="AI273" i="2"/>
  <c r="AJ239" i="2"/>
  <c r="AJ272" i="2"/>
  <c r="AI1515" i="2" l="1"/>
  <c r="AJ1514" i="2"/>
  <c r="AJ1515" i="2" s="1"/>
  <c r="AI1596" i="2"/>
  <c r="AJ1595" i="2"/>
  <c r="AJ1596" i="2" s="1"/>
  <c r="AJ1298" i="2"/>
  <c r="AF1309" i="2"/>
  <c r="AI1308" i="2"/>
  <c r="AI1305" i="2"/>
  <c r="AJ1304" i="2"/>
  <c r="AJ1305" i="2" s="1"/>
  <c r="AF1313" i="2"/>
  <c r="AI1313" i="2" s="1"/>
  <c r="AJ1313" i="2" s="1"/>
  <c r="AJ1455" i="2"/>
  <c r="AJ20" i="2"/>
  <c r="AF1461" i="2"/>
  <c r="AI25" i="2"/>
  <c r="AJ24" i="2"/>
  <c r="AJ25" i="2" s="1"/>
  <c r="AJ18" i="2"/>
  <c r="AJ273" i="2"/>
  <c r="AJ276" i="2"/>
  <c r="AJ277" i="2" s="1"/>
  <c r="AI1464" i="2"/>
  <c r="AF29" i="2"/>
  <c r="AI28" i="2"/>
  <c r="AF35" i="2"/>
  <c r="AI33" i="2"/>
  <c r="AJ33" i="2" s="1"/>
  <c r="AI1458" i="2"/>
  <c r="AI1456" i="2" s="1"/>
  <c r="AI1457" i="2" s="1"/>
  <c r="AJ16" i="2"/>
  <c r="AJ1458" i="2" s="1"/>
  <c r="AJ1456" i="2" s="1"/>
  <c r="AI1309" i="2" l="1"/>
  <c r="AJ1308" i="2"/>
  <c r="AJ1309" i="2" s="1"/>
  <c r="AF1315" i="2"/>
  <c r="AJ1457" i="2"/>
  <c r="AI1461" i="2"/>
  <c r="AF1470" i="2"/>
  <c r="AF1471" i="2" s="1"/>
  <c r="AF1462" i="2"/>
  <c r="AF1468" i="2" s="1"/>
  <c r="AF1469" i="2" s="1"/>
  <c r="AI29" i="2"/>
  <c r="AJ28" i="2"/>
  <c r="AJ29" i="2" s="1"/>
  <c r="AJ1461" i="2"/>
  <c r="AJ1464" i="2"/>
  <c r="AF1316" i="2" l="1"/>
  <c r="AI1315" i="2"/>
  <c r="AF36" i="2"/>
  <c r="AI35" i="2"/>
  <c r="AI1462" i="2"/>
  <c r="AI1468" i="2" s="1"/>
  <c r="AI1469" i="2" s="1"/>
  <c r="AI1470" i="2"/>
  <c r="AI1471" i="2" s="1"/>
  <c r="AJ1470" i="2"/>
  <c r="AJ1471" i="2" s="1"/>
  <c r="AJ1462" i="2"/>
  <c r="AJ1468" i="2" s="1"/>
  <c r="AJ1469" i="2" s="1"/>
  <c r="AI1316" i="2" l="1"/>
  <c r="AJ1315" i="2"/>
  <c r="AJ1316" i="2" s="1"/>
  <c r="AI36" i="2"/>
  <c r="AJ35" i="2"/>
  <c r="AJ36" i="2" s="1"/>
  <c r="Q160" i="1" l="1"/>
  <c r="Q163" i="1" s="1"/>
  <c r="R160" i="1"/>
  <c r="R163" i="1" s="1"/>
  <c r="V160" i="1"/>
  <c r="V163" i="1" s="1"/>
  <c r="Z160" i="1"/>
  <c r="Z163" i="1" s="1"/>
  <c r="X160" i="1"/>
  <c r="X163" i="1" s="1"/>
  <c r="U160" i="1"/>
  <c r="U163" i="1" s="1"/>
  <c r="W160" i="1"/>
  <c r="W163" i="1" s="1"/>
  <c r="S160" i="1"/>
  <c r="S163" i="1" s="1"/>
  <c r="AA160" i="1"/>
  <c r="AA163" i="1" s="1"/>
  <c r="AB160" i="1"/>
  <c r="AB163" i="1" s="1"/>
  <c r="Y160" i="1"/>
  <c r="Y163" i="1" s="1"/>
  <c r="T160" i="1"/>
  <c r="T163" i="1" s="1"/>
</calcChain>
</file>

<file path=xl/sharedStrings.xml><?xml version="1.0" encoding="utf-8"?>
<sst xmlns="http://schemas.openxmlformats.org/spreadsheetml/2006/main" count="15469" uniqueCount="1666">
  <si>
    <t>May</t>
  </si>
  <si>
    <t>Other Financial Income</t>
  </si>
  <si>
    <t>Non-Product</t>
  </si>
  <si>
    <t>Non-Channel</t>
  </si>
  <si>
    <t>Non-HW/NH</t>
  </si>
  <si>
    <t>Non-Segment</t>
  </si>
  <si>
    <t>Other Financial Expenses</t>
  </si>
  <si>
    <t>GE_None</t>
  </si>
  <si>
    <t>Taxes and Others</t>
  </si>
  <si>
    <t>Net Sales</t>
  </si>
  <si>
    <t>Operating Profit</t>
  </si>
  <si>
    <t>Others</t>
  </si>
  <si>
    <t>IMS</t>
  </si>
  <si>
    <t>MCS</t>
  </si>
  <si>
    <t>Selling Expenses</t>
  </si>
  <si>
    <t>Adverting Expenses</t>
  </si>
  <si>
    <t>Logistics Expense</t>
  </si>
  <si>
    <t>Variable Wages &amp; Salaries</t>
  </si>
  <si>
    <t>Fixed Wages &amp; Salaries</t>
  </si>
  <si>
    <t>Retirement Benefit Cost</t>
  </si>
  <si>
    <t>Repair and Maintenance</t>
  </si>
  <si>
    <t>Rent Expenses</t>
  </si>
  <si>
    <t>Other Expenses.</t>
  </si>
  <si>
    <t>Other Non-Operating Income</t>
  </si>
  <si>
    <t>Other Non-Operating Expenses</t>
  </si>
  <si>
    <t>Other Variable Expenses</t>
  </si>
  <si>
    <t>Other Wages &amp; Salaries</t>
  </si>
  <si>
    <t>Other Fixed Expenses</t>
  </si>
  <si>
    <t>OFFICE A3</t>
  </si>
  <si>
    <t>KMI (Direct)</t>
  </si>
  <si>
    <t>Hardware</t>
  </si>
  <si>
    <t>GP(2)</t>
  </si>
  <si>
    <t>KMI (Indirect)</t>
  </si>
  <si>
    <t>Aftermarket(NH)</t>
  </si>
  <si>
    <t>OFFICE A4</t>
  </si>
  <si>
    <t>3rd Party (Direct)</t>
  </si>
  <si>
    <t>3rd Party(Indirect)</t>
  </si>
  <si>
    <t>Outside Segment</t>
  </si>
  <si>
    <t>For analysis</t>
  </si>
  <si>
    <t>Gross Sales</t>
  </si>
  <si>
    <t>Rent income from Property, Plant and Equipment</t>
  </si>
  <si>
    <t>Commissions and Fees Income</t>
  </si>
  <si>
    <t>Gains on Sales of Asset</t>
  </si>
  <si>
    <t>Impairment Loss</t>
  </si>
  <si>
    <t>SG&amp;A Total</t>
  </si>
  <si>
    <t>GP</t>
  </si>
  <si>
    <t>BCP</t>
  </si>
  <si>
    <t>ITS</t>
  </si>
  <si>
    <t>Traveling Expenses</t>
  </si>
  <si>
    <t>Depreciation &amp; Amortization</t>
  </si>
  <si>
    <t>Service Charges and Fees</t>
  </si>
  <si>
    <t>Losses on Sales of Asset, Disposal of Asset</t>
  </si>
  <si>
    <t>Office(A3+A4)</t>
  </si>
  <si>
    <t>PP</t>
  </si>
  <si>
    <t>IP</t>
  </si>
  <si>
    <t>KM-1</t>
  </si>
  <si>
    <t>MS</t>
  </si>
  <si>
    <t>Procurement</t>
  </si>
  <si>
    <t>Production</t>
  </si>
  <si>
    <t>On Demand Printing</t>
  </si>
  <si>
    <t>HeadCount</t>
  </si>
  <si>
    <t>Department Total</t>
  </si>
  <si>
    <t>Sales Total</t>
  </si>
  <si>
    <t>Direct Sales Rep.</t>
  </si>
  <si>
    <t>Direct Sales Engineers</t>
  </si>
  <si>
    <t>Dealer(Indirect) Sales Rep.</t>
  </si>
  <si>
    <t>Sales Admin</t>
  </si>
  <si>
    <t>Onsite Engineer</t>
  </si>
  <si>
    <t>Remote Engineer</t>
  </si>
  <si>
    <t>Technical Support</t>
  </si>
  <si>
    <t>Dealer(Indirect) Support</t>
  </si>
  <si>
    <t>Service Admin</t>
  </si>
  <si>
    <t>Marketing dept.</t>
  </si>
  <si>
    <t>Administration Total</t>
  </si>
  <si>
    <t>IT</t>
  </si>
  <si>
    <t>Finance</t>
  </si>
  <si>
    <t>HR</t>
  </si>
  <si>
    <t>Training (Academy)</t>
  </si>
  <si>
    <t>Admin Others</t>
  </si>
  <si>
    <t>Administration</t>
  </si>
  <si>
    <t>Warehouse</t>
  </si>
  <si>
    <t>Workshop</t>
  </si>
  <si>
    <t>Inventories Total</t>
  </si>
  <si>
    <t>Product Total</t>
  </si>
  <si>
    <t>Inventories from 3rd Party</t>
  </si>
  <si>
    <t>Solution</t>
  </si>
  <si>
    <t>Services Total</t>
  </si>
  <si>
    <t>Logistics Dept Total</t>
  </si>
  <si>
    <t>ITS(All)</t>
  </si>
  <si>
    <t>Variable Expenses Total</t>
  </si>
  <si>
    <t>Wages &amp; Salaries Total</t>
  </si>
  <si>
    <t>Fixed Expenses Total</t>
  </si>
  <si>
    <t>Restructuring Expense</t>
  </si>
  <si>
    <t>1-2.SGA Expenses Details</t>
  </si>
  <si>
    <t>1-1. P/L Statement</t>
  </si>
  <si>
    <t>Non-hard</t>
  </si>
  <si>
    <t>Wages &amp; Salaries</t>
  </si>
  <si>
    <t>SGA Expenses</t>
  </si>
  <si>
    <t>(1) Office</t>
  </si>
  <si>
    <t>(0) Total</t>
  </si>
  <si>
    <t>2nd H</t>
  </si>
  <si>
    <t>1st H</t>
  </si>
  <si>
    <t>Q4</t>
  </si>
  <si>
    <t>Q3</t>
  </si>
  <si>
    <t>Q2</t>
  </si>
  <si>
    <t>Q1</t>
  </si>
  <si>
    <t>Cost of Sales</t>
  </si>
  <si>
    <t>Mar</t>
  </si>
  <si>
    <t>Feb</t>
  </si>
  <si>
    <t>Jan</t>
  </si>
  <si>
    <t>Dec</t>
  </si>
  <si>
    <t>Nov</t>
  </si>
  <si>
    <t>Oct</t>
  </si>
  <si>
    <t>Sep</t>
  </si>
  <si>
    <t>Aug</t>
  </si>
  <si>
    <t>Jul</t>
  </si>
  <si>
    <t>Jun</t>
  </si>
  <si>
    <t>Purchased from BT cons. companies</t>
    <phoneticPr fontId="109"/>
  </si>
  <si>
    <t>Yr.</t>
  </si>
  <si>
    <t>Information Technology</t>
  </si>
  <si>
    <t>Administration/Others</t>
  </si>
  <si>
    <t>Dealer(Indirect) support</t>
  </si>
  <si>
    <t>Technical support</t>
  </si>
  <si>
    <t>Dealer(Indirect) sales rep.</t>
  </si>
  <si>
    <t>Direct sales engineers</t>
  </si>
  <si>
    <t>Direct sales rep.</t>
  </si>
  <si>
    <t>Sales Total</t>
    <phoneticPr fontId="109"/>
  </si>
  <si>
    <t>Total</t>
    <phoneticPr fontId="5"/>
  </si>
  <si>
    <t>BT Consolidated Sales</t>
  </si>
  <si>
    <t>BT Consolidated Sales</t>
    <phoneticPr fontId="109"/>
  </si>
  <si>
    <t>(0) Total</t>
    <phoneticPr fontId="109"/>
  </si>
  <si>
    <t>Others</t>
    <phoneticPr fontId="109"/>
  </si>
  <si>
    <t>MGI</t>
    <phoneticPr fontId="109"/>
  </si>
  <si>
    <t>Hardware</t>
    <phoneticPr fontId="109"/>
  </si>
  <si>
    <t>Gross Profit</t>
  </si>
  <si>
    <t>(%)</t>
  </si>
  <si>
    <t>Business Contribution Profit</t>
  </si>
  <si>
    <t>Hard</t>
  </si>
  <si>
    <t xml:space="preserve">Other income </t>
    <phoneticPr fontId="5"/>
  </si>
  <si>
    <t>Gains on Sales of Asset</t>
    <phoneticPr fontId="5"/>
  </si>
  <si>
    <t>Commissions and Fees Income</t>
    <phoneticPr fontId="5"/>
  </si>
  <si>
    <t>Personnel Costs Total</t>
  </si>
  <si>
    <t>Fixed Expenses</t>
  </si>
  <si>
    <t>Variable Expenses</t>
  </si>
  <si>
    <t>Profit before Taxes</t>
  </si>
  <si>
    <t xml:space="preserve"> Input fields</t>
  </si>
  <si>
    <t>3rd Party</t>
  </si>
  <si>
    <t>BUS</t>
  </si>
  <si>
    <t>Others(3rd Party)</t>
    <phoneticPr fontId="109"/>
  </si>
  <si>
    <t>Incidental Cost</t>
    <phoneticPr fontId="5"/>
  </si>
  <si>
    <t>Supplies</t>
  </si>
  <si>
    <t>Option</t>
  </si>
  <si>
    <t>Machine</t>
  </si>
  <si>
    <t>Other Expenses</t>
    <phoneticPr fontId="109"/>
  </si>
  <si>
    <t>Allocation method</t>
  </si>
  <si>
    <t>EFI VUTEk</t>
  </si>
  <si>
    <t>Label Printer related businesses</t>
  </si>
  <si>
    <t>Marketing solution services such as; Marketing planning, Customer insight, Creative, Planning, Data, and Technology</t>
  </si>
  <si>
    <t>Marketing production services such as; Onsite studio, Central creative production agency, Pre-Media, Asset creation, and Marketing technology</t>
  </si>
  <si>
    <t>EX)Color Care, Page Pro NDPS, Print Shop</t>
  </si>
  <si>
    <t>Color Management/Variable Data Printing/Print Automation/Make Ready/Web to print</t>
  </si>
  <si>
    <t>Application S/W, Application S/W related H/W, S/W Licensees related to PP</t>
  </si>
  <si>
    <t>Non-Contract service for Office products classified by item code. Including Office products installation fees (Including contracted MIFs)</t>
  </si>
  <si>
    <t>Click business for Office products classified by item code or allocated for Office(A3/A4). Minimum commitment and over volume included. (KMJ: Kit contract included)</t>
  </si>
  <si>
    <t>KMJ</t>
  </si>
  <si>
    <t>Input</t>
    <phoneticPr fontId="5"/>
  </si>
  <si>
    <t>GE_None</t>
    <phoneticPr fontId="5"/>
  </si>
  <si>
    <t>Before Recovery</t>
    <phoneticPr fontId="5"/>
  </si>
  <si>
    <t>(Unit:1000LC)</t>
    <phoneticPr fontId="109"/>
  </si>
  <si>
    <t>1-1. P/L Statement</t>
    <phoneticPr fontId="109"/>
  </si>
  <si>
    <t>Variable Expenses</t>
    <phoneticPr fontId="109"/>
  </si>
  <si>
    <t>Wages &amp; Salaries</t>
    <phoneticPr fontId="109"/>
  </si>
  <si>
    <t>Fixed Expenses</t>
    <phoneticPr fontId="109"/>
  </si>
  <si>
    <t>Business Contribution Profit</t>
    <phoneticPr fontId="109"/>
  </si>
  <si>
    <t>Other Income</t>
    <phoneticPr fontId="109"/>
  </si>
  <si>
    <t>Other Expenses</t>
    <phoneticPr fontId="109"/>
  </si>
  <si>
    <t>Operating Profit</t>
    <phoneticPr fontId="109"/>
  </si>
  <si>
    <t>Financial Income (Expenses), net</t>
    <phoneticPr fontId="109"/>
  </si>
  <si>
    <t>Financial Income</t>
    <phoneticPr fontId="109"/>
  </si>
  <si>
    <t>Financial Expenses</t>
    <phoneticPr fontId="109"/>
  </si>
  <si>
    <t>Tax Expenses &amp; Others</t>
    <phoneticPr fontId="109"/>
  </si>
  <si>
    <t>Net Profit</t>
    <phoneticPr fontId="109"/>
  </si>
  <si>
    <t>Selling Expenses</t>
    <phoneticPr fontId="5"/>
  </si>
  <si>
    <t>Adverting Expenses</t>
    <phoneticPr fontId="5"/>
  </si>
  <si>
    <t>Logistics Expense</t>
    <phoneticPr fontId="5"/>
  </si>
  <si>
    <t>Variable Wages &amp; Salaries</t>
    <phoneticPr fontId="5"/>
  </si>
  <si>
    <t>Fixed Wages &amp; Salaries</t>
    <phoneticPr fontId="5"/>
  </si>
  <si>
    <t>Retirement Benefit Cost</t>
    <phoneticPr fontId="5"/>
  </si>
  <si>
    <t xml:space="preserve">Traveling Expenses </t>
    <phoneticPr fontId="5"/>
  </si>
  <si>
    <t xml:space="preserve">Depreciation &amp; Amortization </t>
    <phoneticPr fontId="5"/>
  </si>
  <si>
    <t>Repair and Maintenance</t>
    <phoneticPr fontId="5"/>
  </si>
  <si>
    <t>Rent Expenses</t>
    <phoneticPr fontId="5"/>
  </si>
  <si>
    <t>Other Expenses</t>
    <phoneticPr fontId="5"/>
  </si>
  <si>
    <t>Rent income from Property, Plant and Equipment</t>
    <phoneticPr fontId="5"/>
  </si>
  <si>
    <t>Other Expense</t>
    <phoneticPr fontId="5"/>
  </si>
  <si>
    <t xml:space="preserve">Losses on Sales of Asset, Disposal of Asset </t>
    <phoneticPr fontId="5"/>
  </si>
  <si>
    <t>Impairment Loss</t>
    <phoneticPr fontId="5"/>
  </si>
  <si>
    <t>Other Expense</t>
    <phoneticPr fontId="5"/>
  </si>
  <si>
    <t>(%)</t>
    <phoneticPr fontId="109"/>
  </si>
  <si>
    <t>Variable Expenses</t>
    <phoneticPr fontId="109"/>
  </si>
  <si>
    <t>Wages &amp; Salaries</t>
    <phoneticPr fontId="109"/>
  </si>
  <si>
    <t>Fixed Expenses</t>
    <phoneticPr fontId="109"/>
  </si>
  <si>
    <t>Other Income</t>
    <phoneticPr fontId="109"/>
  </si>
  <si>
    <t>Other Expenses</t>
    <phoneticPr fontId="109"/>
  </si>
  <si>
    <t>Operating Profit</t>
    <phoneticPr fontId="109"/>
  </si>
  <si>
    <t>Others</t>
    <phoneticPr fontId="109"/>
  </si>
  <si>
    <t>Procurement</t>
    <phoneticPr fontId="109"/>
  </si>
  <si>
    <t>Production</t>
    <phoneticPr fontId="109"/>
  </si>
  <si>
    <t>Solution</t>
    <phoneticPr fontId="109"/>
  </si>
  <si>
    <t>Label Printer</t>
    <phoneticPr fontId="109"/>
  </si>
  <si>
    <t>EFI/LF</t>
    <phoneticPr fontId="109"/>
  </si>
  <si>
    <t>Net Sales</t>
    <phoneticPr fontId="109"/>
  </si>
  <si>
    <t>Direct</t>
    <phoneticPr fontId="109"/>
  </si>
  <si>
    <t>Hard</t>
    <phoneticPr fontId="109"/>
  </si>
  <si>
    <t>KMI</t>
    <phoneticPr fontId="109"/>
  </si>
  <si>
    <t>Office A3</t>
    <phoneticPr fontId="109"/>
  </si>
  <si>
    <t>Office A4</t>
    <phoneticPr fontId="109"/>
  </si>
  <si>
    <t>3rd Party</t>
    <phoneticPr fontId="109"/>
  </si>
  <si>
    <t>Non-hard</t>
    <phoneticPr fontId="109"/>
  </si>
  <si>
    <t>Copy Click (Kit)</t>
    <phoneticPr fontId="109"/>
  </si>
  <si>
    <t>Non Contract</t>
    <phoneticPr fontId="109"/>
  </si>
  <si>
    <t>Indirect</t>
    <phoneticPr fontId="109"/>
  </si>
  <si>
    <t>Consumables</t>
    <phoneticPr fontId="109"/>
  </si>
  <si>
    <t>Parts</t>
    <phoneticPr fontId="109"/>
  </si>
  <si>
    <t>Gross Profit</t>
    <phoneticPr fontId="109"/>
  </si>
  <si>
    <t>Field Service Cost (-)</t>
    <phoneticPr fontId="109"/>
  </si>
  <si>
    <t>Software</t>
    <phoneticPr fontId="109"/>
  </si>
  <si>
    <t>Professional Service</t>
    <phoneticPr fontId="109"/>
  </si>
  <si>
    <t>(0) Total</t>
    <phoneticPr fontId="109"/>
  </si>
  <si>
    <t>1. Headcount Details</t>
    <phoneticPr fontId="109"/>
  </si>
  <si>
    <t>Service Total</t>
    <phoneticPr fontId="109"/>
  </si>
  <si>
    <t>Administration Total</t>
    <phoneticPr fontId="109"/>
  </si>
  <si>
    <t>Logistics Total</t>
    <phoneticPr fontId="109"/>
  </si>
  <si>
    <t>Logistics Total</t>
    <phoneticPr fontId="109"/>
  </si>
  <si>
    <t>Sales Total</t>
    <phoneticPr fontId="109"/>
  </si>
  <si>
    <t>Service Total</t>
    <phoneticPr fontId="109"/>
  </si>
  <si>
    <t>Administration Total</t>
    <phoneticPr fontId="109"/>
  </si>
  <si>
    <t>(0) Total Inventories</t>
    <phoneticPr fontId="109"/>
  </si>
  <si>
    <t>3rd Party</t>
    <phoneticPr fontId="109"/>
  </si>
  <si>
    <t>3rd Party</t>
    <phoneticPr fontId="109"/>
  </si>
  <si>
    <t>Purchased from BT cons. companies</t>
    <phoneticPr fontId="109"/>
  </si>
  <si>
    <t>K_EUR</t>
    <phoneticPr fontId="5"/>
  </si>
  <si>
    <t>K_RMB</t>
    <phoneticPr fontId="5"/>
  </si>
  <si>
    <t>K_EUR12</t>
    <phoneticPr fontId="5"/>
  </si>
  <si>
    <t>MGI</t>
    <phoneticPr fontId="5"/>
  </si>
  <si>
    <t>K_AUD</t>
    <phoneticPr fontId="5"/>
  </si>
  <si>
    <t>BEAU</t>
  </si>
  <si>
    <t>K_KRW</t>
    <phoneticPr fontId="5"/>
  </si>
  <si>
    <t>BPKR</t>
  </si>
  <si>
    <t>BKK</t>
  </si>
  <si>
    <t>K_BRL</t>
    <phoneticPr fontId="5"/>
  </si>
  <si>
    <t>BBR</t>
  </si>
  <si>
    <t>BAU</t>
  </si>
  <si>
    <t>K_HKD</t>
    <phoneticPr fontId="5"/>
  </si>
  <si>
    <t>BHK</t>
  </si>
  <si>
    <t>BCN</t>
  </si>
  <si>
    <t>K_INR</t>
    <phoneticPr fontId="5"/>
  </si>
  <si>
    <t>BIN</t>
  </si>
  <si>
    <t>K_USD</t>
    <phoneticPr fontId="5"/>
  </si>
  <si>
    <t>BME</t>
  </si>
  <si>
    <t>K_THB</t>
    <phoneticPr fontId="5"/>
  </si>
  <si>
    <t>BTH</t>
  </si>
  <si>
    <t>K_MYR</t>
    <phoneticPr fontId="5"/>
  </si>
  <si>
    <t>BMY</t>
  </si>
  <si>
    <t>BSA</t>
  </si>
  <si>
    <t>BEU-Cons</t>
    <phoneticPr fontId="5"/>
  </si>
  <si>
    <t>BEU</t>
    <phoneticPr fontId="60"/>
  </si>
  <si>
    <t>BCHUS</t>
  </si>
  <si>
    <t>K_JPY</t>
    <phoneticPr fontId="5"/>
  </si>
  <si>
    <t>BEJ</t>
  </si>
  <si>
    <t>BKJ</t>
  </si>
  <si>
    <t>Currency</t>
    <phoneticPr fontId="5"/>
  </si>
  <si>
    <t>for Others</t>
    <phoneticPr fontId="5"/>
  </si>
  <si>
    <t>for BBR</t>
    <phoneticPr fontId="5"/>
  </si>
  <si>
    <t>Initial period of fiscal year</t>
    <phoneticPr fontId="5"/>
  </si>
  <si>
    <t>Office Solution</t>
  </si>
  <si>
    <t>Marketing Total</t>
    <phoneticPr fontId="109"/>
  </si>
  <si>
    <t>(%)</t>
    <phoneticPr fontId="109"/>
  </si>
  <si>
    <t>Variable Expenses</t>
    <phoneticPr fontId="109"/>
  </si>
  <si>
    <t>Business Contribution Profit</t>
    <phoneticPr fontId="109"/>
  </si>
  <si>
    <t>Financial Income</t>
  </si>
  <si>
    <t>Financial Expenses</t>
  </si>
  <si>
    <t>Financial Expenses</t>
    <phoneticPr fontId="109"/>
  </si>
  <si>
    <t>Tax Expenses &amp; Others</t>
    <phoneticPr fontId="109"/>
  </si>
  <si>
    <t>Net Profit</t>
    <phoneticPr fontId="109"/>
  </si>
  <si>
    <t>Net Profit</t>
  </si>
  <si>
    <t>(0) Total</t>
    <phoneticPr fontId="109"/>
  </si>
  <si>
    <t>Sales Total</t>
    <phoneticPr fontId="109"/>
  </si>
  <si>
    <t>Service Total</t>
    <phoneticPr fontId="109"/>
  </si>
  <si>
    <t>Administration Total</t>
    <phoneticPr fontId="109"/>
  </si>
  <si>
    <t>Logistics Total</t>
    <phoneticPr fontId="109"/>
  </si>
  <si>
    <t>(%)</t>
    <phoneticPr fontId="109"/>
  </si>
  <si>
    <t>Textile Printer</t>
    <phoneticPr fontId="109"/>
  </si>
  <si>
    <t>Textile Printer</t>
    <phoneticPr fontId="109"/>
  </si>
  <si>
    <t>Non-hard</t>
    <phoneticPr fontId="109"/>
  </si>
  <si>
    <t>KMJ's special products only.</t>
  </si>
  <si>
    <t>Semi-Full-Time/Part-Time Employees /Contractors</t>
    <phoneticPr fontId="5"/>
  </si>
  <si>
    <t>Marketing Total</t>
    <phoneticPr fontId="109"/>
  </si>
  <si>
    <t>Hard</t>
    <phoneticPr fontId="5"/>
  </si>
  <si>
    <t>KMI</t>
    <phoneticPr fontId="5"/>
  </si>
  <si>
    <t>MGI</t>
    <phoneticPr fontId="109"/>
  </si>
  <si>
    <t>EFI/LF</t>
    <phoneticPr fontId="109"/>
  </si>
  <si>
    <t xml:space="preserve">Service Charges and Fees </t>
    <phoneticPr fontId="5"/>
  </si>
  <si>
    <t xml:space="preserve">Restructuring Expense </t>
    <phoneticPr fontId="5"/>
  </si>
  <si>
    <t>Hard &amp; Solution</t>
    <phoneticPr fontId="5"/>
  </si>
  <si>
    <t>Hard &amp; Solution</t>
    <phoneticPr fontId="109"/>
  </si>
  <si>
    <t>Non-hard</t>
    <phoneticPr fontId="5"/>
  </si>
  <si>
    <t>Non-hard</t>
    <phoneticPr fontId="109"/>
  </si>
  <si>
    <t>For KMJ Only</t>
    <phoneticPr fontId="5"/>
  </si>
  <si>
    <t>&lt;Direct&gt; Field Service Cost (-)</t>
    <phoneticPr fontId="109"/>
  </si>
  <si>
    <t>&lt;Indirect&gt; Field Service Cost (-)</t>
    <phoneticPr fontId="109"/>
  </si>
  <si>
    <r>
      <t>Included in SG&amp;</t>
    </r>
    <r>
      <rPr>
        <sz val="11"/>
        <rFont val="Arial"/>
        <family val="2"/>
      </rPr>
      <t>A (Wages &amp; Salaries</t>
    </r>
    <r>
      <rPr>
        <sz val="11"/>
        <rFont val="ＭＳ Ｐゴシック"/>
        <family val="3"/>
        <charset val="128"/>
      </rPr>
      <t>）</t>
    </r>
    <phoneticPr fontId="5"/>
  </si>
  <si>
    <t>Non-RR</t>
  </si>
  <si>
    <t>Purchase for South Africa</t>
  </si>
  <si>
    <t>Purchase for Oli</t>
  </si>
  <si>
    <t>①Supplier = BT</t>
  </si>
  <si>
    <t>KM1(IP)</t>
  </si>
  <si>
    <t>Label Printer(IP)</t>
  </si>
  <si>
    <t>MGI(IP)</t>
  </si>
  <si>
    <t>EFI/LF(IP)</t>
  </si>
  <si>
    <t>Textile Printer(IP)</t>
  </si>
  <si>
    <t>Others(IP)</t>
  </si>
  <si>
    <t>Non-Currency</t>
  </si>
  <si>
    <t>Business Development</t>
  </si>
  <si>
    <t>Channel Marketing</t>
  </si>
  <si>
    <t>Product Marketing</t>
  </si>
  <si>
    <t>Marketing Communication / Others</t>
  </si>
  <si>
    <t>Semi/Part/Contractors</t>
  </si>
  <si>
    <t>Full-Time Employees / Temporary Transfer from Other Company</t>
  </si>
  <si>
    <t>Full-Time Employees / Temporary Transfer from Other Company</t>
    <phoneticPr fontId="109"/>
  </si>
  <si>
    <t>Service Total</t>
  </si>
  <si>
    <t>Marketing Total</t>
  </si>
  <si>
    <t>Logistics Total</t>
  </si>
  <si>
    <t>Semi-Full-Time/Part-Time Employees /Contractors</t>
    <phoneticPr fontId="5"/>
  </si>
  <si>
    <t>Marketing</t>
  </si>
  <si>
    <t>Hard</t>
    <phoneticPr fontId="109"/>
  </si>
  <si>
    <t>KMI</t>
    <phoneticPr fontId="109"/>
  </si>
  <si>
    <t>3rd Party</t>
    <phoneticPr fontId="109"/>
  </si>
  <si>
    <t>Non-hard</t>
    <phoneticPr fontId="109"/>
  </si>
  <si>
    <t>Consumables</t>
    <phoneticPr fontId="109"/>
  </si>
  <si>
    <t>Parts</t>
    <phoneticPr fontId="109"/>
  </si>
  <si>
    <t>Solution</t>
    <phoneticPr fontId="109"/>
  </si>
  <si>
    <t>Hardware</t>
    <phoneticPr fontId="109"/>
  </si>
  <si>
    <t>Software</t>
    <phoneticPr fontId="109"/>
  </si>
  <si>
    <t>Professional Service</t>
    <phoneticPr fontId="109"/>
  </si>
  <si>
    <t>Others</t>
    <phoneticPr fontId="109"/>
  </si>
  <si>
    <t>Hard</t>
    <phoneticPr fontId="109"/>
  </si>
  <si>
    <t>KMI</t>
    <phoneticPr fontId="109"/>
  </si>
  <si>
    <t>3rd Party</t>
    <phoneticPr fontId="109"/>
  </si>
  <si>
    <t>Non-hard</t>
    <phoneticPr fontId="109"/>
  </si>
  <si>
    <t>Copy Click (Kit)</t>
    <phoneticPr fontId="109"/>
  </si>
  <si>
    <t>Non Contract</t>
    <phoneticPr fontId="109"/>
  </si>
  <si>
    <t>Office A3</t>
    <phoneticPr fontId="109"/>
  </si>
  <si>
    <t>Office A4</t>
    <phoneticPr fontId="109"/>
  </si>
  <si>
    <t>Hard</t>
    <phoneticPr fontId="109"/>
  </si>
  <si>
    <t>KMI</t>
    <phoneticPr fontId="109"/>
  </si>
  <si>
    <t>Office A3</t>
    <phoneticPr fontId="109"/>
  </si>
  <si>
    <t>Office A4</t>
    <phoneticPr fontId="109"/>
  </si>
  <si>
    <t>3rd Party</t>
    <phoneticPr fontId="109"/>
  </si>
  <si>
    <t>Non-hard</t>
    <phoneticPr fontId="109"/>
  </si>
  <si>
    <t>Copy Click (Kit)</t>
    <phoneticPr fontId="109"/>
  </si>
  <si>
    <t>Non Contract</t>
    <phoneticPr fontId="109"/>
  </si>
  <si>
    <t>Others</t>
    <phoneticPr fontId="109"/>
  </si>
  <si>
    <t>Label Printer</t>
    <phoneticPr fontId="109"/>
  </si>
  <si>
    <t>Field Service Cost (-)</t>
    <phoneticPr fontId="109"/>
  </si>
  <si>
    <t>Textile Printer</t>
    <phoneticPr fontId="109"/>
  </si>
  <si>
    <t>Field Service Cost (-)</t>
    <phoneticPr fontId="109"/>
  </si>
  <si>
    <t>Field Service Cost (-)</t>
    <phoneticPr fontId="109"/>
  </si>
  <si>
    <t>Label Printer</t>
    <phoneticPr fontId="109"/>
  </si>
  <si>
    <t>MGI</t>
    <phoneticPr fontId="109"/>
  </si>
  <si>
    <t>EFI/LF</t>
    <phoneticPr fontId="109"/>
  </si>
  <si>
    <t>Textile Printer</t>
    <phoneticPr fontId="109"/>
  </si>
  <si>
    <t>Field Service Cost</t>
    <phoneticPr fontId="5"/>
  </si>
  <si>
    <t>Service Desk Cost</t>
    <phoneticPr fontId="5"/>
  </si>
  <si>
    <t>Full-Time Employees / Temporary Transfer from Other Company</t>
    <phoneticPr fontId="109"/>
  </si>
  <si>
    <t>Charge by annual sales ratio allocation bases to BU. Allocation% should be same for  each month in FY18</t>
  </si>
  <si>
    <t>BVN</t>
    <phoneticPr fontId="5"/>
  </si>
  <si>
    <t>K_VND</t>
    <phoneticPr fontId="5"/>
  </si>
  <si>
    <t>Personnel Costs(Service)</t>
    <phoneticPr fontId="109"/>
  </si>
  <si>
    <t>Traveling Expenses(Service)</t>
    <phoneticPr fontId="109"/>
  </si>
  <si>
    <t xml:space="preserve">Label Printer </t>
    <phoneticPr fontId="5"/>
  </si>
  <si>
    <t>MGI</t>
    <phoneticPr fontId="5"/>
  </si>
  <si>
    <t>EFI/LF</t>
    <phoneticPr fontId="5"/>
  </si>
  <si>
    <t>Textile Printer</t>
    <phoneticPr fontId="5"/>
  </si>
  <si>
    <t>Label Printer</t>
    <phoneticPr fontId="5"/>
  </si>
  <si>
    <t>Textile Printer</t>
    <phoneticPr fontId="5"/>
  </si>
  <si>
    <t>Other Fixed Costs(Service)</t>
    <phoneticPr fontId="109"/>
  </si>
  <si>
    <t>&lt;Indirect&gt; Service Desk Cost (-)</t>
    <phoneticPr fontId="109"/>
  </si>
  <si>
    <t>Included in COGS [Personnel Costs(Service)]</t>
    <phoneticPr fontId="109"/>
  </si>
  <si>
    <t>Included in COGS [Traveling Expenses(Service)]</t>
    <phoneticPr fontId="109"/>
  </si>
  <si>
    <t>Included in COGS [Other Fixed Costs(Service)]</t>
    <phoneticPr fontId="109"/>
  </si>
  <si>
    <t>Personnel Costs(Service)</t>
  </si>
  <si>
    <t>Personnel Costs(Service)</t>
    <phoneticPr fontId="109"/>
  </si>
  <si>
    <t>Other Fixed Costs(Service)</t>
  </si>
  <si>
    <t>(0) Total</t>
    <phoneticPr fontId="109"/>
  </si>
  <si>
    <t>2-1. P/L Statement by BU</t>
    <phoneticPr fontId="109"/>
  </si>
  <si>
    <t xml:space="preserve">3. Headcount </t>
    <phoneticPr fontId="109"/>
  </si>
  <si>
    <t>3-1. Headcount Details</t>
    <phoneticPr fontId="109"/>
  </si>
  <si>
    <t>3-2. Headcount by BU</t>
    <phoneticPr fontId="109"/>
  </si>
  <si>
    <t>4. B/S (1) - Inventories</t>
    <phoneticPr fontId="109"/>
  </si>
  <si>
    <t>(1) Office</t>
    <phoneticPr fontId="5"/>
  </si>
  <si>
    <t>RR</t>
    <phoneticPr fontId="5"/>
  </si>
  <si>
    <t>Non-RR</t>
    <phoneticPr fontId="5"/>
  </si>
  <si>
    <t>Others</t>
    <phoneticPr fontId="5"/>
  </si>
  <si>
    <t>BT Support/Discount</t>
    <phoneticPr fontId="5"/>
  </si>
  <si>
    <t>Parts</t>
    <phoneticPr fontId="5"/>
  </si>
  <si>
    <t>Others(KM1,EFI/LF,Textile,others)</t>
    <phoneticPr fontId="5"/>
  </si>
  <si>
    <t>RR Purchase</t>
    <phoneticPr fontId="109"/>
  </si>
  <si>
    <t>(for BEU)</t>
    <phoneticPr fontId="109"/>
  </si>
  <si>
    <t>(for BEU)</t>
    <phoneticPr fontId="5"/>
  </si>
  <si>
    <t>Purchase for Aurora</t>
    <phoneticPr fontId="109"/>
  </si>
  <si>
    <t>(for BCN)</t>
    <phoneticPr fontId="109"/>
  </si>
  <si>
    <t>Purchase for Murata</t>
    <phoneticPr fontId="109"/>
  </si>
  <si>
    <t>(for KMJ)</t>
    <phoneticPr fontId="109"/>
  </si>
  <si>
    <t>(for KMJ/BEU/BCN)</t>
    <phoneticPr fontId="5"/>
  </si>
  <si>
    <t>CHK--&gt;</t>
    <phoneticPr fontId="109"/>
  </si>
  <si>
    <t>OUT Total</t>
    <phoneticPr fontId="5"/>
  </si>
  <si>
    <t>balance CHK--&gt;</t>
    <phoneticPr fontId="109"/>
  </si>
  <si>
    <t>Apr</t>
    <phoneticPr fontId="5"/>
  </si>
  <si>
    <t>IP(All)</t>
  </si>
  <si>
    <t>Personnel Costs(Service)</t>
    <phoneticPr fontId="109"/>
  </si>
  <si>
    <t>Traveling Expenses(Service)</t>
    <phoneticPr fontId="109"/>
  </si>
  <si>
    <t>Other Fixed Costs(Service)</t>
    <phoneticPr fontId="109"/>
  </si>
  <si>
    <t>FieldSC_Personnel Costs</t>
  </si>
  <si>
    <t>FieldSC_Traveling Expenses</t>
  </si>
  <si>
    <t>FieldSC_Depreciation &amp; Amortization</t>
  </si>
  <si>
    <t>FieldSC_Other Fixed Costs</t>
  </si>
  <si>
    <t>ServiceDC_Personnel Costs</t>
  </si>
  <si>
    <t>ServiceDC_Other Fixed Costs</t>
  </si>
  <si>
    <t>IP</t>
    <phoneticPr fontId="5"/>
  </si>
  <si>
    <t>MS</t>
    <phoneticPr fontId="5"/>
  </si>
  <si>
    <t>Office</t>
    <phoneticPr fontId="5"/>
  </si>
  <si>
    <t>PP</t>
    <phoneticPr fontId="5"/>
  </si>
  <si>
    <t>Segment(Hyp)</t>
    <phoneticPr fontId="5"/>
  </si>
  <si>
    <t>Actual</t>
    <phoneticPr fontId="5"/>
  </si>
  <si>
    <t>Fixed Cost in COGS</t>
    <phoneticPr fontId="109"/>
  </si>
  <si>
    <t>②Other BT-Gr Suppliers (BSF/BCUS)</t>
  </si>
  <si>
    <t>③Other BT-Gr Suppliers (MGI)</t>
  </si>
  <si>
    <r>
      <t>Total Purchase amount (</t>
    </r>
    <r>
      <rPr>
        <b/>
        <sz val="11"/>
        <rFont val="ＭＳ Ｐゴシック"/>
        <family val="3"/>
        <charset val="128"/>
      </rPr>
      <t>①</t>
    </r>
    <r>
      <rPr>
        <b/>
        <sz val="11"/>
        <rFont val="Arial"/>
        <family val="2"/>
      </rPr>
      <t>+</t>
    </r>
    <r>
      <rPr>
        <b/>
        <sz val="11"/>
        <rFont val="ＭＳ Ｐゴシック"/>
        <family val="3"/>
        <charset val="128"/>
      </rPr>
      <t>②</t>
    </r>
    <r>
      <rPr>
        <b/>
        <sz val="11"/>
        <rFont val="Arial"/>
        <family val="2"/>
      </rPr>
      <t>+</t>
    </r>
    <r>
      <rPr>
        <b/>
        <sz val="11"/>
        <rFont val="ＭＳ Ｐゴシック"/>
        <family val="3"/>
        <charset val="128"/>
      </rPr>
      <t>③</t>
    </r>
    <r>
      <rPr>
        <b/>
        <sz val="11"/>
        <rFont val="Arial"/>
        <family val="2"/>
      </rPr>
      <t>+</t>
    </r>
    <r>
      <rPr>
        <b/>
        <sz val="11"/>
        <rFont val="ＭＳ Ｐゴシック"/>
        <family val="3"/>
        <charset val="128"/>
      </rPr>
      <t>④</t>
    </r>
    <r>
      <rPr>
        <b/>
        <sz val="11"/>
        <rFont val="Arial"/>
        <family val="2"/>
      </rPr>
      <t>)</t>
    </r>
    <phoneticPr fontId="5"/>
  </si>
  <si>
    <r>
      <t>①</t>
    </r>
    <r>
      <rPr>
        <b/>
        <sz val="11"/>
        <rFont val="Arial"/>
        <family val="2"/>
      </rPr>
      <t>Supplier = BT</t>
    </r>
  </si>
  <si>
    <r>
      <rPr>
        <b/>
        <sz val="11"/>
        <rFont val="ＭＳ Ｐゴシック"/>
        <family val="3"/>
        <charset val="128"/>
      </rPr>
      <t>④</t>
    </r>
    <r>
      <rPr>
        <b/>
        <sz val="11"/>
        <rFont val="Arial"/>
        <family val="2"/>
      </rPr>
      <t>Other (3rd Party</t>
    </r>
    <r>
      <rPr>
        <b/>
        <sz val="11"/>
        <rFont val="ＭＳ Ｐゴシック"/>
        <family val="3"/>
        <charset val="128"/>
      </rPr>
      <t>）</t>
    </r>
    <r>
      <rPr>
        <b/>
        <sz val="11"/>
        <rFont val="Arial"/>
        <family val="2"/>
      </rPr>
      <t xml:space="preserve"> Suppliers</t>
    </r>
    <phoneticPr fontId="5"/>
  </si>
  <si>
    <t>IN Total</t>
    <phoneticPr fontId="5"/>
  </si>
  <si>
    <t>Inventories from BT(exc.MGI)</t>
  </si>
  <si>
    <t>MarketingTotal</t>
    <phoneticPr fontId="109"/>
  </si>
  <si>
    <r>
      <t>Purchased from BT cons. companies</t>
    </r>
    <r>
      <rPr>
        <sz val="11"/>
        <color rgb="FFFF0000"/>
        <rFont val="Arial"/>
        <family val="2"/>
      </rPr>
      <t xml:space="preserve"> &lt;exclude MGI&gt;</t>
    </r>
    <phoneticPr fontId="109"/>
  </si>
  <si>
    <r>
      <t>Purchased from</t>
    </r>
    <r>
      <rPr>
        <sz val="11"/>
        <color rgb="FFFF0000"/>
        <rFont val="Arial"/>
        <family val="2"/>
      </rPr>
      <t xml:space="preserve"> MGI</t>
    </r>
    <r>
      <rPr>
        <sz val="11"/>
        <rFont val="Arial"/>
        <family val="2"/>
      </rPr>
      <t xml:space="preserve"> (BT-Gr)</t>
    </r>
    <phoneticPr fontId="109"/>
  </si>
  <si>
    <r>
      <t>Purchased from BT cons. companies</t>
    </r>
    <r>
      <rPr>
        <sz val="11"/>
        <color rgb="FFFF0000"/>
        <rFont val="Arial"/>
        <family val="2"/>
      </rPr>
      <t xml:space="preserve"> &lt;exclude MGI&gt;</t>
    </r>
    <phoneticPr fontId="109"/>
  </si>
  <si>
    <r>
      <t>Purchased from</t>
    </r>
    <r>
      <rPr>
        <sz val="11"/>
        <color rgb="FFFF0000"/>
        <rFont val="Arial"/>
        <family val="2"/>
      </rPr>
      <t xml:space="preserve"> MGI</t>
    </r>
    <r>
      <rPr>
        <sz val="11"/>
        <rFont val="Arial"/>
        <family val="2"/>
      </rPr>
      <t xml:space="preserve"> (BT-Gr)</t>
    </r>
    <phoneticPr fontId="109"/>
  </si>
  <si>
    <t>BSA-Cons</t>
    <phoneticPr fontId="5"/>
  </si>
  <si>
    <t>From BT-Gr (Include BSF/BCUS/MGI)</t>
  </si>
  <si>
    <t>4-1. Inventories</t>
    <phoneticPr fontId="109"/>
  </si>
  <si>
    <t>Inventory at the beginning</t>
  </si>
  <si>
    <t>Purchase</t>
  </si>
  <si>
    <t>Loss &amp; Disposal of Inventories</t>
  </si>
  <si>
    <t>Inventory at the end</t>
  </si>
  <si>
    <t>Same Segment</t>
  </si>
  <si>
    <t>Inter Segment</t>
  </si>
  <si>
    <t>Outside</t>
  </si>
  <si>
    <t>&lt; free input                            &gt;</t>
    <phoneticPr fontId="5"/>
  </si>
  <si>
    <t>Others</t>
    <phoneticPr fontId="5"/>
  </si>
  <si>
    <t>New</t>
    <phoneticPr fontId="109"/>
  </si>
  <si>
    <t>Material Cost(Toner, Parts, Consumable)</t>
  </si>
  <si>
    <t>Direct</t>
    <phoneticPr fontId="109"/>
  </si>
  <si>
    <t>Indirect</t>
    <phoneticPr fontId="109"/>
  </si>
  <si>
    <t>Others</t>
    <phoneticPr fontId="109"/>
  </si>
  <si>
    <t>Cost of Sales</t>
    <phoneticPr fontId="5"/>
  </si>
  <si>
    <t>Depreciation &amp; Amortization</t>
    <phoneticPr fontId="109"/>
  </si>
  <si>
    <t>Included in COGS [Other Fixed Costs(Service)]</t>
    <phoneticPr fontId="109"/>
  </si>
  <si>
    <t>Included in COGS [Other Fixed Costs(Service)]</t>
    <phoneticPr fontId="109"/>
  </si>
  <si>
    <t>&lt;Direct&gt;Field Service Cost (-)</t>
    <phoneticPr fontId="109"/>
  </si>
  <si>
    <t>&lt;Direct&gt;Service Desk Cost (-)</t>
    <phoneticPr fontId="109"/>
  </si>
  <si>
    <t>&lt;Indirect&gt;Field Service Cost (-)</t>
    <phoneticPr fontId="109"/>
  </si>
  <si>
    <t>&lt;Indirect&gt;Service Desk Cost (-)</t>
    <phoneticPr fontId="109"/>
  </si>
  <si>
    <t>&lt;Direct&gt; Service Desk Cost (-)</t>
    <phoneticPr fontId="109"/>
  </si>
  <si>
    <t>&lt;Direct&gt; Service Desk Cost (-)</t>
    <phoneticPr fontId="5"/>
  </si>
  <si>
    <t>&lt;Indirect&gt; Service Desk Cost (-)</t>
    <phoneticPr fontId="5"/>
  </si>
  <si>
    <t>(1) BIC</t>
    <phoneticPr fontId="5"/>
  </si>
  <si>
    <t>(1) BIC</t>
    <phoneticPr fontId="5"/>
  </si>
  <si>
    <t>BT Support</t>
    <phoneticPr fontId="5"/>
  </si>
  <si>
    <t xml:space="preserve">Not include Incidental Cost </t>
    <phoneticPr fontId="5"/>
  </si>
  <si>
    <t>except BT Support (HW, NH)</t>
    <phoneticPr fontId="5"/>
  </si>
  <si>
    <t>(2) PP</t>
    <phoneticPr fontId="109"/>
  </si>
  <si>
    <t>(3) IP</t>
    <phoneticPr fontId="109"/>
  </si>
  <si>
    <t>(4) MS (Marketing Service)</t>
    <phoneticPr fontId="109"/>
  </si>
  <si>
    <t>(2) PP</t>
    <phoneticPr fontId="109"/>
  </si>
  <si>
    <t>(2) PP</t>
    <phoneticPr fontId="109"/>
  </si>
  <si>
    <t>(4) MS</t>
    <phoneticPr fontId="109"/>
  </si>
  <si>
    <t>(3) IP</t>
    <phoneticPr fontId="109"/>
  </si>
  <si>
    <t>(4) MS (Marketing Service)</t>
    <phoneticPr fontId="109"/>
  </si>
  <si>
    <t>(2) PP</t>
    <phoneticPr fontId="109"/>
  </si>
  <si>
    <t>Remote technician, 1st and 2nd level call agent, catch &amp; dispatch</t>
  </si>
  <si>
    <t>Product specialists, Problem manager</t>
  </si>
  <si>
    <t>District/Regional Service Managers, other</t>
  </si>
  <si>
    <t>This fields require the cost related to Toner, Parts and Consumables used during the service for products in field.</t>
  </si>
  <si>
    <t xml:space="preserve">Please enter both total of the following: </t>
  </si>
  <si>
    <t xml:space="preserve">  Cost of goods that engineer use at customers</t>
  </si>
  <si>
    <t xml:space="preserve">  Cost of goods that sent directly to customers</t>
  </si>
  <si>
    <t>Please enter by each business unit and by direct / indirect.</t>
  </si>
  <si>
    <t>Material Cost</t>
  </si>
  <si>
    <t>1-3.Total Personnel Costs</t>
    <phoneticPr fontId="5"/>
  </si>
  <si>
    <t>1-4.Break-down of Other Income, Other Expense</t>
    <phoneticPr fontId="5"/>
  </si>
  <si>
    <t>Transfer from Inventory</t>
    <phoneticPr fontId="5"/>
  </si>
  <si>
    <t>SG&amp;A</t>
    <phoneticPr fontId="5"/>
  </si>
  <si>
    <r>
      <t>Total BT-Gr Purchase amount</t>
    </r>
    <r>
      <rPr>
        <b/>
        <sz val="11"/>
        <color theme="1"/>
        <rFont val="Calibri"/>
        <family val="2"/>
        <charset val="128"/>
        <scheme val="minor"/>
      </rPr>
      <t>（①</t>
    </r>
    <r>
      <rPr>
        <b/>
        <sz val="11"/>
        <rFont val="Arial"/>
        <family val="2"/>
      </rPr>
      <t>+</t>
    </r>
    <r>
      <rPr>
        <b/>
        <sz val="11"/>
        <color theme="1"/>
        <rFont val="Calibri"/>
        <family val="2"/>
        <charset val="128"/>
        <scheme val="minor"/>
      </rPr>
      <t>②</t>
    </r>
    <r>
      <rPr>
        <b/>
        <sz val="11"/>
        <color theme="1"/>
        <rFont val="Calibri"/>
        <family val="2"/>
        <scheme val="minor"/>
      </rPr>
      <t>+③</t>
    </r>
    <r>
      <rPr>
        <b/>
        <sz val="11"/>
        <color theme="1"/>
        <rFont val="Calibri"/>
        <family val="2"/>
        <charset val="128"/>
        <scheme val="minor"/>
      </rPr>
      <t>）</t>
    </r>
    <phoneticPr fontId="109"/>
  </si>
  <si>
    <t>Other Income</t>
  </si>
  <si>
    <t>ALL</t>
    <phoneticPr fontId="5"/>
  </si>
  <si>
    <t>Net Sales</t>
    <phoneticPr fontId="5"/>
  </si>
  <si>
    <t>HeadCount</t>
    <phoneticPr fontId="5"/>
  </si>
  <si>
    <t>Employees</t>
    <phoneticPr fontId="5"/>
  </si>
  <si>
    <t>Inventories</t>
    <phoneticPr fontId="5"/>
  </si>
  <si>
    <t>from 3rd Party</t>
    <phoneticPr fontId="5"/>
  </si>
  <si>
    <t>Non-Hard</t>
    <phoneticPr fontId="5"/>
  </si>
  <si>
    <t>PL</t>
    <phoneticPr fontId="5"/>
  </si>
  <si>
    <t>from BT</t>
    <phoneticPr fontId="5"/>
  </si>
  <si>
    <t>分類</t>
    <rPh sb="0" eb="2">
      <t>ブンルイ</t>
    </rPh>
    <phoneticPr fontId="137"/>
  </si>
  <si>
    <t>SBU</t>
  </si>
  <si>
    <t>明細</t>
    <rPh sb="0" eb="2">
      <t>メイサイ</t>
    </rPh>
    <phoneticPr fontId="137"/>
  </si>
  <si>
    <t>科目分類</t>
    <rPh sb="0" eb="2">
      <t>カモク</t>
    </rPh>
    <rPh sb="2" eb="4">
      <t>ブンルイ</t>
    </rPh>
    <phoneticPr fontId="137"/>
  </si>
  <si>
    <t>A</t>
  </si>
  <si>
    <t>B</t>
  </si>
  <si>
    <t>C</t>
  </si>
  <si>
    <t>D</t>
  </si>
  <si>
    <t>会社</t>
    <rPh sb="0" eb="2">
      <t>カイシャ</t>
    </rPh>
    <phoneticPr fontId="0"/>
  </si>
  <si>
    <t>通貨</t>
    <rPh sb="0" eb="2">
      <t>ツウカ</t>
    </rPh>
    <phoneticPr fontId="0"/>
  </si>
  <si>
    <t>Non-Hard</t>
  </si>
  <si>
    <t>Included in COGS [Depreciation &amp; Amortization]</t>
    <phoneticPr fontId="109"/>
  </si>
  <si>
    <t>Investment</t>
  </si>
  <si>
    <t>New Channel Acquisition</t>
  </si>
  <si>
    <t>Rental Machinery</t>
  </si>
  <si>
    <t>(Formula: Gross Profit / Net Sales)</t>
    <phoneticPr fontId="109"/>
  </si>
  <si>
    <t>(Includes Sales to BT-Gr. Companies)</t>
  </si>
  <si>
    <t>(Includes Sales to BT-Gr. Companies)</t>
    <phoneticPr fontId="109"/>
  </si>
  <si>
    <t>(Excludes Sales to BT-Gr. Companies)</t>
  </si>
  <si>
    <t>(Excludes Sales to BT-Gr. Companies)</t>
    <phoneticPr fontId="109"/>
  </si>
  <si>
    <t>&lt;Direct&gt;Depreciation &amp; Amortization (-)</t>
    <phoneticPr fontId="109"/>
  </si>
  <si>
    <t>&lt;Indirect&gt;Depreciation &amp; Amortization (-)</t>
    <phoneticPr fontId="109"/>
  </si>
  <si>
    <t>&lt;Direct&gt;Depreciation &amp; Amortization (-)</t>
    <phoneticPr fontId="109"/>
  </si>
  <si>
    <t>&lt;Indirect&gt;Depreciation &amp; Amortization (-)</t>
    <phoneticPr fontId="109"/>
  </si>
  <si>
    <t>&lt;Direct&gt; Depreciation &amp; Amortization (-)</t>
    <phoneticPr fontId="109"/>
  </si>
  <si>
    <t>&lt;Indirect&gt; Depreciation &amp; Amortization (-)</t>
    <phoneticPr fontId="109"/>
  </si>
  <si>
    <t>1. P/L (1) - Overview</t>
    <phoneticPr fontId="109"/>
  </si>
  <si>
    <r>
      <t xml:space="preserve">Included in COGS </t>
    </r>
    <r>
      <rPr>
        <sz val="11"/>
        <rFont val="ＭＳ Ｐゴシック"/>
        <family val="3"/>
        <charset val="128"/>
      </rPr>
      <t>（</t>
    </r>
    <r>
      <rPr>
        <sz val="11"/>
        <rFont val="Arial"/>
        <family val="2"/>
      </rPr>
      <t>Field Service cost /Service Desk Cost</t>
    </r>
    <r>
      <rPr>
        <sz val="11"/>
        <rFont val="ＭＳ Ｐゴシック"/>
        <family val="3"/>
        <charset val="128"/>
      </rPr>
      <t>）</t>
    </r>
    <phoneticPr fontId="5"/>
  </si>
  <si>
    <t>Material Cost(Toner, Parts, Consumable)</t>
    <phoneticPr fontId="109"/>
  </si>
  <si>
    <t>Common fields for all BU</t>
    <phoneticPr fontId="5"/>
  </si>
  <si>
    <t>Wages &amp; Salaries, Travel expenses, Communication fee for Onsite Engineers</t>
    <phoneticPr fontId="5"/>
  </si>
  <si>
    <t>included in COGS</t>
    <phoneticPr fontId="5"/>
  </si>
  <si>
    <t>Wages &amp; Salaries, Communication fee for Remote Engineers</t>
    <phoneticPr fontId="5"/>
  </si>
  <si>
    <t>Headcount</t>
    <phoneticPr fontId="5"/>
  </si>
  <si>
    <t>Items</t>
    <phoneticPr fontId="5"/>
  </si>
  <si>
    <t>Dedicated employee</t>
    <phoneticPr fontId="5"/>
  </si>
  <si>
    <t>Common function employee</t>
    <phoneticPr fontId="5"/>
  </si>
  <si>
    <t>Direct chargeable cost</t>
    <phoneticPr fontId="5"/>
  </si>
  <si>
    <t>Service Headcount Definition</t>
    <phoneticPr fontId="5"/>
  </si>
  <si>
    <t>Definition</t>
    <phoneticPr fontId="5"/>
  </si>
  <si>
    <t xml:space="preserve">  Service Total</t>
    <phoneticPr fontId="109"/>
  </si>
  <si>
    <t xml:space="preserve"> -</t>
    <phoneticPr fontId="5"/>
  </si>
  <si>
    <t>Technicians who visit customers and maintain machines.</t>
    <phoneticPr fontId="5"/>
  </si>
  <si>
    <t>Included in COGS [Depreciation &amp; Amortization]</t>
    <phoneticPr fontId="109"/>
  </si>
  <si>
    <t>Hard (%)</t>
    <phoneticPr fontId="109"/>
  </si>
  <si>
    <t>Non-hard (%)</t>
    <phoneticPr fontId="109"/>
  </si>
  <si>
    <t>Others (%)</t>
    <phoneticPr fontId="109"/>
  </si>
  <si>
    <t>Solution</t>
    <phoneticPr fontId="109"/>
  </si>
  <si>
    <t>Solution (%)</t>
    <phoneticPr fontId="109"/>
  </si>
  <si>
    <t>(%)</t>
    <phoneticPr fontId="109"/>
  </si>
  <si>
    <t>Hard &amp; Solution (%)</t>
    <phoneticPr fontId="109"/>
  </si>
  <si>
    <t>Label Printer (%)</t>
    <phoneticPr fontId="109"/>
  </si>
  <si>
    <t>MGI (%)</t>
    <phoneticPr fontId="109"/>
  </si>
  <si>
    <t>EFI/LF (%)</t>
    <phoneticPr fontId="109"/>
  </si>
  <si>
    <t>Textile Printer (%)</t>
    <phoneticPr fontId="109"/>
  </si>
  <si>
    <t>Others (%)</t>
    <phoneticPr fontId="109"/>
  </si>
  <si>
    <t>Non-hard (%)</t>
    <phoneticPr fontId="109"/>
  </si>
  <si>
    <t>Procurement (%)</t>
    <phoneticPr fontId="109"/>
  </si>
  <si>
    <t>Production (%)</t>
    <phoneticPr fontId="109"/>
  </si>
  <si>
    <t>On Demand Printing (%)</t>
    <phoneticPr fontId="109"/>
  </si>
  <si>
    <t>(%)</t>
    <phoneticPr fontId="109"/>
  </si>
  <si>
    <t>Other Income</t>
    <phoneticPr fontId="109"/>
  </si>
  <si>
    <t>Operating Profit</t>
    <phoneticPr fontId="109"/>
  </si>
  <si>
    <t>Fixed Expenses</t>
    <phoneticPr fontId="109"/>
  </si>
  <si>
    <t>Variable Expenses</t>
    <phoneticPr fontId="109"/>
  </si>
  <si>
    <t>Wages &amp; Salaries</t>
    <phoneticPr fontId="109"/>
  </si>
  <si>
    <t>Other Expenses</t>
    <phoneticPr fontId="109"/>
  </si>
  <si>
    <t>Operating Profit</t>
    <phoneticPr fontId="109"/>
  </si>
  <si>
    <t>Office &lt;OUT&gt;</t>
    <phoneticPr fontId="5"/>
  </si>
  <si>
    <t>PP &lt;OUT&gt;</t>
    <phoneticPr fontId="5"/>
  </si>
  <si>
    <t>Others &lt;OUT&gt;</t>
    <phoneticPr fontId="5"/>
  </si>
  <si>
    <t>Others of Others</t>
    <phoneticPr fontId="5"/>
  </si>
  <si>
    <t>difference check.</t>
    <phoneticPr fontId="5"/>
  </si>
  <si>
    <t>OUT check by BU</t>
    <phoneticPr fontId="5"/>
  </si>
  <si>
    <t>Input fields, but not affect PL</t>
    <phoneticPr fontId="109"/>
  </si>
  <si>
    <t xml:space="preserve">Classification </t>
    <phoneticPr fontId="5"/>
  </si>
  <si>
    <t>Classified by item code (by products)</t>
    <phoneticPr fontId="5"/>
  </si>
  <si>
    <t>Purchased from KMI</t>
    <phoneticPr fontId="5"/>
  </si>
  <si>
    <t>Purchased from Other Vendors</t>
    <phoneticPr fontId="5"/>
  </si>
  <si>
    <t>(2) PP</t>
    <phoneticPr fontId="5"/>
  </si>
  <si>
    <t>Classified by items code (by products)</t>
    <phoneticPr fontId="5"/>
  </si>
  <si>
    <t>Other</t>
    <phoneticPr fontId="5"/>
  </si>
  <si>
    <t>KIP,EPSON,WF</t>
    <phoneticPr fontId="5"/>
  </si>
  <si>
    <t>KMJ's special products only.</t>
    <phoneticPr fontId="5"/>
  </si>
  <si>
    <t>(3) IP</t>
    <phoneticPr fontId="5"/>
  </si>
  <si>
    <t>IJ-PP Textile Printer</t>
    <phoneticPr fontId="5"/>
  </si>
  <si>
    <t>(4) MS (Marketing Service)</t>
    <phoneticPr fontId="5"/>
  </si>
  <si>
    <t xml:space="preserve">Marketing procurement services such as; Marketing printing, POS, Direct mail, PPOS, Merchandise, and Packaging </t>
    <phoneticPr fontId="5"/>
  </si>
  <si>
    <t>Full-Time Employees
/ Temporary Transfer from Other Company</t>
    <phoneticPr fontId="5"/>
  </si>
  <si>
    <t>Headcount allocation bases by SBU</t>
    <phoneticPr fontId="5"/>
  </si>
  <si>
    <t>Direct charge to SBU</t>
    <phoneticPr fontId="5"/>
  </si>
  <si>
    <t>Non-dedicated (concurrent post) employee</t>
    <phoneticPr fontId="5"/>
  </si>
  <si>
    <t>Charge  to main SBU</t>
    <phoneticPr fontId="5"/>
  </si>
  <si>
    <t>Common function</t>
    <phoneticPr fontId="5"/>
  </si>
  <si>
    <t>Non-dedicated employee</t>
    <phoneticPr fontId="5"/>
  </si>
  <si>
    <t>Non-direct chargeable cost</t>
    <phoneticPr fontId="5"/>
  </si>
  <si>
    <t>Remote Engineer</t>
    <phoneticPr fontId="5"/>
  </si>
  <si>
    <t>Refer to Definition</t>
  </si>
  <si>
    <t>Accounts(Hyp)</t>
    <phoneticPr fontId="5"/>
  </si>
  <si>
    <t>SBU(Hyp)</t>
    <phoneticPr fontId="5"/>
  </si>
  <si>
    <t>Channel(Hyp)</t>
    <phoneticPr fontId="5"/>
  </si>
  <si>
    <t>HW,NH(Hyp)</t>
    <phoneticPr fontId="5"/>
  </si>
  <si>
    <t>PL</t>
    <phoneticPr fontId="5"/>
  </si>
  <si>
    <t>Other Financial</t>
    <phoneticPr fontId="5"/>
  </si>
  <si>
    <t>ALL</t>
    <phoneticPr fontId="5"/>
  </si>
  <si>
    <t>Other Financial</t>
    <phoneticPr fontId="5"/>
  </si>
  <si>
    <t>ALL</t>
    <phoneticPr fontId="5"/>
  </si>
  <si>
    <t>Taxes and Others</t>
    <phoneticPr fontId="5"/>
  </si>
  <si>
    <t>Analysis</t>
    <phoneticPr fontId="5"/>
  </si>
  <si>
    <t>SG&amp;A</t>
    <phoneticPr fontId="5"/>
  </si>
  <si>
    <t>Analysis</t>
    <phoneticPr fontId="5"/>
  </si>
  <si>
    <t>SG&amp;A</t>
    <phoneticPr fontId="5"/>
  </si>
  <si>
    <t>Analysis</t>
    <phoneticPr fontId="5"/>
  </si>
  <si>
    <t>Other Income</t>
    <phoneticPr fontId="5"/>
  </si>
  <si>
    <t>Other Expenses</t>
    <phoneticPr fontId="5"/>
  </si>
  <si>
    <t>Other Expenses</t>
    <phoneticPr fontId="5"/>
  </si>
  <si>
    <t>PL</t>
    <phoneticPr fontId="5"/>
  </si>
  <si>
    <t>Hard</t>
    <phoneticPr fontId="5"/>
  </si>
  <si>
    <t>Office</t>
    <phoneticPr fontId="5"/>
  </si>
  <si>
    <t>Non-Hard</t>
    <phoneticPr fontId="5"/>
  </si>
  <si>
    <t>Non-Hard</t>
    <phoneticPr fontId="5"/>
  </si>
  <si>
    <t>PL</t>
    <phoneticPr fontId="5"/>
  </si>
  <si>
    <t>Office</t>
    <phoneticPr fontId="5"/>
  </si>
  <si>
    <t>Office</t>
    <phoneticPr fontId="5"/>
  </si>
  <si>
    <t>PL</t>
    <phoneticPr fontId="5"/>
  </si>
  <si>
    <t>Others</t>
    <phoneticPr fontId="5"/>
  </si>
  <si>
    <t>Office</t>
    <phoneticPr fontId="5"/>
  </si>
  <si>
    <t>Non-Hard</t>
    <phoneticPr fontId="5"/>
  </si>
  <si>
    <t>Others</t>
    <phoneticPr fontId="5"/>
  </si>
  <si>
    <t>IMS</t>
    <phoneticPr fontId="5"/>
  </si>
  <si>
    <t>ALL</t>
    <phoneticPr fontId="5"/>
  </si>
  <si>
    <t>SG&amp;A</t>
    <phoneticPr fontId="5"/>
  </si>
  <si>
    <t>Other Expenses</t>
    <phoneticPr fontId="5"/>
  </si>
  <si>
    <t>Net Sales</t>
    <phoneticPr fontId="5"/>
  </si>
  <si>
    <t>PP</t>
    <phoneticPr fontId="5"/>
  </si>
  <si>
    <t>PP</t>
    <phoneticPr fontId="5"/>
  </si>
  <si>
    <t>PP</t>
    <phoneticPr fontId="5"/>
  </si>
  <si>
    <t>Non-Hard</t>
    <phoneticPr fontId="5"/>
  </si>
  <si>
    <t>Others</t>
    <phoneticPr fontId="5"/>
  </si>
  <si>
    <t>PP</t>
    <phoneticPr fontId="5"/>
  </si>
  <si>
    <t>IP</t>
    <phoneticPr fontId="5"/>
  </si>
  <si>
    <t>Hard</t>
    <phoneticPr fontId="5"/>
  </si>
  <si>
    <t>Hard</t>
    <phoneticPr fontId="5"/>
  </si>
  <si>
    <t>IP</t>
    <phoneticPr fontId="5"/>
  </si>
  <si>
    <t>IP</t>
    <phoneticPr fontId="5"/>
  </si>
  <si>
    <t>IP</t>
    <phoneticPr fontId="5"/>
  </si>
  <si>
    <t>PL</t>
    <phoneticPr fontId="5"/>
  </si>
  <si>
    <t>Non-Hard</t>
    <phoneticPr fontId="5"/>
  </si>
  <si>
    <t>IP</t>
    <phoneticPr fontId="5"/>
  </si>
  <si>
    <t>SG&amp;A</t>
    <phoneticPr fontId="5"/>
  </si>
  <si>
    <t>MS</t>
    <phoneticPr fontId="5"/>
  </si>
  <si>
    <t>MS</t>
    <phoneticPr fontId="5"/>
  </si>
  <si>
    <t>HeadCount</t>
    <phoneticPr fontId="5"/>
  </si>
  <si>
    <t>HeadCount</t>
    <phoneticPr fontId="5"/>
  </si>
  <si>
    <t>Employees</t>
    <phoneticPr fontId="5"/>
  </si>
  <si>
    <t>Office</t>
    <phoneticPr fontId="5"/>
  </si>
  <si>
    <t>Employees</t>
    <phoneticPr fontId="5"/>
  </si>
  <si>
    <t>Inventories</t>
    <phoneticPr fontId="5"/>
  </si>
  <si>
    <t>Inventories</t>
    <phoneticPr fontId="5"/>
  </si>
  <si>
    <t>from 3rd Party</t>
    <phoneticPr fontId="5"/>
  </si>
  <si>
    <t>from BT(MGI)</t>
    <phoneticPr fontId="5"/>
  </si>
  <si>
    <t>Inventories from BT(MGI)</t>
    <phoneticPr fontId="5"/>
  </si>
  <si>
    <t>Investment</t>
    <phoneticPr fontId="5"/>
  </si>
  <si>
    <t>Office</t>
  </si>
  <si>
    <t>Consolidated Sales</t>
    <phoneticPr fontId="5"/>
  </si>
  <si>
    <t>(Excludes Sales to KM-Gr. Companies)</t>
  </si>
  <si>
    <t>Consolidated Sales</t>
  </si>
  <si>
    <t>MPM</t>
    <phoneticPr fontId="109"/>
  </si>
  <si>
    <t>ODP</t>
    <phoneticPr fontId="109"/>
  </si>
  <si>
    <t>Marketing Service</t>
  </si>
  <si>
    <t>Digital Solution</t>
  </si>
  <si>
    <t>ODP New Business</t>
  </si>
  <si>
    <t>MPM(%)</t>
    <phoneticPr fontId="109"/>
  </si>
  <si>
    <t>ODP(%)</t>
    <phoneticPr fontId="109"/>
  </si>
  <si>
    <t>Marketing Service (%)</t>
    <phoneticPr fontId="109"/>
  </si>
  <si>
    <t>Digital Solution (%)</t>
    <phoneticPr fontId="109"/>
  </si>
  <si>
    <t>ODP New Business (%)</t>
    <phoneticPr fontId="109"/>
  </si>
  <si>
    <t>SG&amp;A2</t>
  </si>
  <si>
    <t>SG&amp;A2</t>
    <phoneticPr fontId="5"/>
  </si>
  <si>
    <t>WPH #1</t>
  </si>
  <si>
    <t>GP(2)</t>
    <phoneticPr fontId="5"/>
  </si>
  <si>
    <t>BCP</t>
    <phoneticPr fontId="5"/>
  </si>
  <si>
    <t>ALL</t>
  </si>
  <si>
    <t>SG&amp;A Total</t>
    <phoneticPr fontId="5"/>
  </si>
  <si>
    <t>PL</t>
  </si>
  <si>
    <t>Operating Profit</t>
    <phoneticPr fontId="5"/>
  </si>
  <si>
    <t>Non-Channel</t>
    <phoneticPr fontId="5"/>
  </si>
  <si>
    <t>Production</t>
    <phoneticPr fontId="5"/>
  </si>
  <si>
    <t>MS-MPM</t>
    <phoneticPr fontId="5"/>
  </si>
  <si>
    <t>MS-ODP</t>
    <phoneticPr fontId="5"/>
  </si>
  <si>
    <t>Others(IP)</t>
    <phoneticPr fontId="5"/>
  </si>
  <si>
    <t>ITS(All)</t>
    <phoneticPr fontId="5"/>
  </si>
  <si>
    <t>Office(A3+A4)</t>
    <phoneticPr fontId="5"/>
  </si>
  <si>
    <t>Capital Investment</t>
    <phoneticPr fontId="5"/>
  </si>
  <si>
    <t>Capital Investment</t>
  </si>
  <si>
    <t>IT Software</t>
  </si>
  <si>
    <t>IT Software</t>
    <phoneticPr fontId="5"/>
  </si>
  <si>
    <t>IT Hardware/Others</t>
  </si>
  <si>
    <t>IT Hardware/Others</t>
    <phoneticPr fontId="5"/>
  </si>
  <si>
    <t>Office Move/Renovation</t>
  </si>
  <si>
    <t>Office Move/Renovation</t>
    <phoneticPr fontId="5"/>
  </si>
  <si>
    <t>Office Fixtures</t>
  </si>
  <si>
    <t>Office Fixtures</t>
    <phoneticPr fontId="5"/>
  </si>
  <si>
    <t>Showroom related</t>
  </si>
  <si>
    <t>Showroom related</t>
    <phoneticPr fontId="5"/>
  </si>
  <si>
    <t>Capital Others</t>
  </si>
  <si>
    <t>Capital Others</t>
    <phoneticPr fontId="5"/>
  </si>
  <si>
    <t>KMJS</t>
    <phoneticPr fontId="5"/>
  </si>
  <si>
    <t>Offer a single bundled and fixed rate Invoice (not only traditional MFP hardware and service, but also unlimited value added KM services such as ECM, MIT etc. for the future)</t>
    <phoneticPr fontId="5"/>
  </si>
  <si>
    <t>HW(One Rate)</t>
  </si>
  <si>
    <t>NH(One Rate)</t>
  </si>
  <si>
    <t>One Rate</t>
    <phoneticPr fontId="5"/>
  </si>
  <si>
    <t>5-1. One Rate  (included in Office/ITS)</t>
    <phoneticPr fontId="109"/>
  </si>
  <si>
    <t>5-2. Free to Fee  (included in Office/ITS)</t>
    <phoneticPr fontId="109"/>
  </si>
  <si>
    <t>(Unit)</t>
    <phoneticPr fontId="109"/>
  </si>
  <si>
    <r>
      <t>Unit Sales</t>
    </r>
    <r>
      <rPr>
        <sz val="11"/>
        <rFont val="Arial"/>
        <family val="2"/>
      </rPr>
      <t xml:space="preserve"> (One Rate)</t>
    </r>
    <phoneticPr fontId="109"/>
  </si>
  <si>
    <r>
      <t>Net Sales</t>
    </r>
    <r>
      <rPr>
        <sz val="11"/>
        <rFont val="Arial"/>
        <family val="2"/>
      </rPr>
      <t xml:space="preserve"> (One Rate)</t>
    </r>
    <phoneticPr fontId="109"/>
  </si>
  <si>
    <r>
      <t xml:space="preserve">Net Sales </t>
    </r>
    <r>
      <rPr>
        <sz val="11"/>
        <rFont val="Arial"/>
        <family val="2"/>
      </rPr>
      <t>(Free to Fee)</t>
    </r>
    <phoneticPr fontId="109"/>
  </si>
  <si>
    <t>Financial Position</t>
    <phoneticPr fontId="5"/>
  </si>
  <si>
    <t>Account Receivable</t>
  </si>
  <si>
    <t>Outside Segment</t>
    <phoneticPr fontId="5"/>
  </si>
  <si>
    <t>FP</t>
    <phoneticPr fontId="5"/>
  </si>
  <si>
    <t>Account Receivable</t>
    <phoneticPr fontId="5"/>
  </si>
  <si>
    <t>not yet Overdue</t>
  </si>
  <si>
    <t>Overdue(1-30 days)</t>
    <phoneticPr fontId="5"/>
  </si>
  <si>
    <t>Overdue(31-90 days)</t>
    <phoneticPr fontId="5"/>
  </si>
  <si>
    <t>Overdue(91-180 days)</t>
    <phoneticPr fontId="5"/>
  </si>
  <si>
    <t>Overdue(over 180 days)</t>
    <phoneticPr fontId="5"/>
  </si>
  <si>
    <t>Overdue(Allowance)</t>
    <phoneticPr fontId="5"/>
  </si>
  <si>
    <t>Accounts Payable</t>
  </si>
  <si>
    <t>Borrowings</t>
  </si>
  <si>
    <t>Borrowings</t>
    <phoneticPr fontId="5"/>
  </si>
  <si>
    <t>Account Receivable(Segment)</t>
    <phoneticPr fontId="5"/>
  </si>
  <si>
    <t>Account Receivable(Overdue)</t>
    <phoneticPr fontId="5"/>
  </si>
  <si>
    <t>SG&amp;A ALL</t>
    <phoneticPr fontId="5"/>
  </si>
  <si>
    <t>Other Income/Expenses</t>
    <phoneticPr fontId="5"/>
  </si>
  <si>
    <t>Unit Sales</t>
    <phoneticPr fontId="5"/>
  </si>
  <si>
    <t>Free to Fee</t>
    <phoneticPr fontId="5"/>
  </si>
  <si>
    <t>Net Sales(One Rate)</t>
    <phoneticPr fontId="5"/>
  </si>
  <si>
    <t>Net Sales(Free to Fee)</t>
    <phoneticPr fontId="5"/>
  </si>
  <si>
    <t>Unit Sales(One Rate)</t>
    <phoneticPr fontId="5"/>
  </si>
  <si>
    <t>5. One Rate / Free to Fee</t>
    <phoneticPr fontId="109"/>
  </si>
  <si>
    <t>Invoice Fee</t>
  </si>
  <si>
    <t>Old MIF Fee</t>
  </si>
  <si>
    <t>Scan Fee</t>
  </si>
  <si>
    <t>Counter Estimation Fee</t>
  </si>
  <si>
    <t>Invoice / Administration fee to handle/generate invoice(both Paper based and Electric based included)</t>
    <phoneticPr fontId="5"/>
  </si>
  <si>
    <t>IMACD Services</t>
  </si>
  <si>
    <r>
      <rPr>
        <sz val="12"/>
        <color rgb="FF0000FF"/>
        <rFont val="ＭＳ Ｐゴシック"/>
        <family val="3"/>
        <charset val="128"/>
      </rPr>
      <t>★</t>
    </r>
    <phoneticPr fontId="5"/>
  </si>
  <si>
    <t>Training</t>
  </si>
  <si>
    <t>End user training on the operation of devices, workflow, and software associated with a solution</t>
  </si>
  <si>
    <t>price per year for units older than X years - cover cost of older parts and increased service</t>
    <phoneticPr fontId="5"/>
  </si>
  <si>
    <t>price per month to scan, incl XXXX scan / month</t>
    <phoneticPr fontId="5"/>
  </si>
  <si>
    <t>Install, Move, Add, Change or Dispose work for any HW, SW or Service</t>
    <phoneticPr fontId="5"/>
  </si>
  <si>
    <t>Initiatives to secure revenue by firmly charging services that were previously offered free of charge except for click charge.
Service items may vary depending on the region. Please refer to the examples as below:</t>
    <phoneticPr fontId="5"/>
  </si>
  <si>
    <t>Refer to Definition</t>
    <phoneticPr fontId="109"/>
  </si>
  <si>
    <t>MPM</t>
    <phoneticPr fontId="5"/>
  </si>
  <si>
    <t>ODP</t>
    <phoneticPr fontId="5"/>
  </si>
  <si>
    <r>
      <t>For Kinko's (BKK BKJ)
Original printing business such as Copy &amp; Print, Business card,  etc</t>
    </r>
    <r>
      <rPr>
        <sz val="11"/>
        <color theme="1"/>
        <rFont val="ＭＳ ゴシック"/>
        <family val="2"/>
        <charset val="128"/>
      </rPr>
      <t>　（</t>
    </r>
    <r>
      <rPr>
        <sz val="11"/>
        <color theme="1"/>
        <rFont val="Arial"/>
        <family val="2"/>
      </rPr>
      <t>All Business except below 3 categories</t>
    </r>
    <r>
      <rPr>
        <sz val="11"/>
        <color theme="1"/>
        <rFont val="ＭＳ ゴシック"/>
        <family val="2"/>
        <charset val="128"/>
      </rPr>
      <t>）</t>
    </r>
    <phoneticPr fontId="5"/>
  </si>
  <si>
    <t>For Kinko's (BKK BKJ)
Sign &amp; Graphic(Display) exclude Ondemand MPM</t>
    <phoneticPr fontId="5"/>
  </si>
  <si>
    <t>For Kinko's (BKK BKJ)
ODP New Business such as TSUKURU</t>
    <phoneticPr fontId="5"/>
  </si>
  <si>
    <t>24 hours / 7 days service ,etc.</t>
    <phoneticPr fontId="5"/>
  </si>
  <si>
    <t>Fee if customer who do not have CSRC is not sending us counters</t>
    <phoneticPr fontId="5"/>
  </si>
  <si>
    <t>For Kinko's (BKK BKJ)
Ondemand MPM(POSM), WiL, Kinko's commerce, Mobotix, C3-Value, etc.</t>
  </si>
  <si>
    <t>Office Solution</t>
    <phoneticPr fontId="109"/>
  </si>
  <si>
    <t>IMS</t>
    <phoneticPr fontId="109"/>
  </si>
  <si>
    <t>MCS</t>
    <phoneticPr fontId="109"/>
  </si>
  <si>
    <t>OP</t>
    <phoneticPr fontId="109"/>
  </si>
  <si>
    <t>vs OP</t>
    <phoneticPr fontId="109"/>
  </si>
  <si>
    <t>single month</t>
    <phoneticPr fontId="109"/>
  </si>
  <si>
    <t>Quarter (QTD)</t>
    <phoneticPr fontId="109"/>
  </si>
  <si>
    <t>Annual Year (YTD)</t>
    <phoneticPr fontId="109"/>
  </si>
  <si>
    <t>Prev</t>
    <phoneticPr fontId="109"/>
  </si>
  <si>
    <t>Result</t>
    <phoneticPr fontId="109"/>
  </si>
  <si>
    <t>Select period (1-12)</t>
    <phoneticPr fontId="109"/>
  </si>
  <si>
    <t>'OP'!</t>
    <phoneticPr fontId="109"/>
  </si>
  <si>
    <t>'Previous'!</t>
    <phoneticPr fontId="109"/>
  </si>
  <si>
    <t>Period</t>
    <phoneticPr fontId="5"/>
  </si>
  <si>
    <t>OP</t>
    <phoneticPr fontId="5"/>
  </si>
  <si>
    <t>Previous</t>
    <phoneticPr fontId="5"/>
  </si>
  <si>
    <t>single month</t>
    <phoneticPr fontId="5"/>
  </si>
  <si>
    <t>Quarter</t>
    <phoneticPr fontId="5"/>
  </si>
  <si>
    <t>Annual Year</t>
    <phoneticPr fontId="5"/>
  </si>
  <si>
    <t>S</t>
  </si>
  <si>
    <t>V</t>
  </si>
  <si>
    <t>Result</t>
    <phoneticPr fontId="5"/>
  </si>
  <si>
    <t>Y</t>
  </si>
  <si>
    <t>1</t>
    <phoneticPr fontId="5"/>
  </si>
  <si>
    <t>2</t>
    <phoneticPr fontId="5"/>
  </si>
  <si>
    <t>3</t>
    <phoneticPr fontId="5"/>
  </si>
  <si>
    <t>4</t>
    <phoneticPr fontId="5"/>
  </si>
  <si>
    <t>5</t>
    <phoneticPr fontId="5"/>
  </si>
  <si>
    <t>6</t>
    <phoneticPr fontId="5"/>
  </si>
  <si>
    <t>7</t>
    <phoneticPr fontId="5"/>
  </si>
  <si>
    <t>8</t>
    <phoneticPr fontId="5"/>
  </si>
  <si>
    <t>9</t>
    <phoneticPr fontId="5"/>
  </si>
  <si>
    <t>10</t>
    <phoneticPr fontId="5"/>
  </si>
  <si>
    <t>11</t>
    <phoneticPr fontId="5"/>
  </si>
  <si>
    <t>12</t>
    <phoneticPr fontId="5"/>
  </si>
  <si>
    <t>Period-Start</t>
    <phoneticPr fontId="5"/>
  </si>
  <si>
    <t>Period-End</t>
    <phoneticPr fontId="5"/>
  </si>
  <si>
    <t>%</t>
    <phoneticPr fontId="109"/>
  </si>
  <si>
    <t>ex. Apr -&gt;1, Feb -&gt;2 ,,,Mar -&gt;12  *BBR: Jan -&gt;1, Feb -&gt;2 ,,,Dec -&gt;12</t>
    <phoneticPr fontId="109"/>
  </si>
  <si>
    <t>Total</t>
    <phoneticPr fontId="109"/>
  </si>
  <si>
    <t>Depreciation &amp; Amortization  included in COCS</t>
    <phoneticPr fontId="109"/>
  </si>
  <si>
    <t>Depreciation &amp; Amortization  included in SGA</t>
    <phoneticPr fontId="109"/>
  </si>
  <si>
    <t>Same Segment</t>
    <phoneticPr fontId="109"/>
  </si>
  <si>
    <t>Inter Segment &amp; Outside</t>
    <phoneticPr fontId="109"/>
  </si>
  <si>
    <t>Product Name</t>
  </si>
  <si>
    <t>Codename</t>
  </si>
  <si>
    <t>Ac Jet KM-1</t>
  </si>
  <si>
    <t>Ac Jet KM-1e</t>
  </si>
  <si>
    <t>KM-2</t>
  </si>
  <si>
    <t>bh PRESS C71cf/AccurioLabel 190</t>
    <phoneticPr fontId="109"/>
  </si>
  <si>
    <t>Degas R2R</t>
  </si>
  <si>
    <t>Accurio Label 230</t>
  </si>
  <si>
    <t>Degas-e MLK R2R</t>
  </si>
  <si>
    <t>Meteor Unlimited Color</t>
  </si>
  <si>
    <t>MUC</t>
  </si>
  <si>
    <t>JETvarnish 3DS</t>
  </si>
  <si>
    <t>JV3DS</t>
  </si>
  <si>
    <t>JETvarnish 3D Evolution52</t>
  </si>
  <si>
    <t>JV3D Evo52</t>
  </si>
  <si>
    <t>JETvarnish 3D Evolution64</t>
  </si>
  <si>
    <t>JV3D Evo64</t>
  </si>
  <si>
    <t>JETvarnish 3D Evolution75</t>
  </si>
  <si>
    <t>JV3D Evo75</t>
  </si>
  <si>
    <t>JETvarnish 3DW</t>
  </si>
  <si>
    <t>JV3DW</t>
  </si>
  <si>
    <t>JETvarnish 3D</t>
  </si>
  <si>
    <t>JV3D</t>
  </si>
  <si>
    <t>JETvarnish 3DL</t>
  </si>
  <si>
    <t>JV3DL</t>
  </si>
  <si>
    <t>H1625LED</t>
  </si>
  <si>
    <t>AccurioWide 200</t>
  </si>
  <si>
    <t>Agfa WF200(BUS)</t>
  </si>
  <si>
    <t>AccurioWide 160</t>
  </si>
  <si>
    <t>Agfa WF160(BUS)</t>
  </si>
  <si>
    <t>Textile Printer</t>
  </si>
  <si>
    <t xml:space="preserve">Nassenger PRO 120 </t>
  </si>
  <si>
    <t>LIBRA2</t>
  </si>
  <si>
    <t>Nassenger PRO 1000</t>
  </si>
  <si>
    <t>TP-9</t>
  </si>
  <si>
    <t>Nassenger 10</t>
  </si>
  <si>
    <t>TP-10</t>
  </si>
  <si>
    <t>Nassenger 8</t>
  </si>
  <si>
    <t>LIBRA3</t>
  </si>
  <si>
    <t>Nassenger SP-1</t>
  </si>
  <si>
    <t>STP</t>
  </si>
  <si>
    <t>dummy</t>
    <phoneticPr fontId="109"/>
  </si>
  <si>
    <t>Variable Cost</t>
    <phoneticPr fontId="109"/>
  </si>
  <si>
    <t>Marginal Profit</t>
    <phoneticPr fontId="109"/>
  </si>
  <si>
    <t>Fixed Cost</t>
    <phoneticPr fontId="109"/>
  </si>
  <si>
    <t>BCP</t>
    <phoneticPr fontId="109"/>
  </si>
  <si>
    <t>COGS (ex. field service cost/ Service desk cost)</t>
    <phoneticPr fontId="109"/>
  </si>
  <si>
    <t>COGS (material cost)</t>
    <phoneticPr fontId="109"/>
  </si>
  <si>
    <t>Wages &amp; Salaries (SG&amp;A - variable)</t>
    <phoneticPr fontId="109"/>
  </si>
  <si>
    <t>Wages &amp; Salaries (SG&amp;A - fixed)</t>
    <phoneticPr fontId="109"/>
  </si>
  <si>
    <t>SG&amp;A variable (ex.Selling expenses/ Advertising expenses)</t>
    <phoneticPr fontId="109"/>
  </si>
  <si>
    <t>SG&amp;A fixed (ex.SG&amp;A Fixed expenses)</t>
    <phoneticPr fontId="109"/>
  </si>
  <si>
    <t>A</t>
    <phoneticPr fontId="109"/>
  </si>
  <si>
    <t>B</t>
    <phoneticPr fontId="109"/>
  </si>
  <si>
    <t>C = A - B</t>
    <phoneticPr fontId="109"/>
  </si>
  <si>
    <t>D = C / A</t>
    <phoneticPr fontId="109"/>
  </si>
  <si>
    <t>E</t>
    <phoneticPr fontId="109"/>
  </si>
  <si>
    <t>F = E / D</t>
    <phoneticPr fontId="109"/>
  </si>
  <si>
    <t>Break-even Point Net Sales</t>
    <phoneticPr fontId="109"/>
  </si>
  <si>
    <t>G = F / A</t>
    <phoneticPr fontId="109"/>
  </si>
  <si>
    <t>H = C - D</t>
    <phoneticPr fontId="109"/>
  </si>
  <si>
    <t>Please copy&amp;paste "OP" sheet and "Previous" sheet as they are</t>
    <phoneticPr fontId="109"/>
  </si>
  <si>
    <t>SG&amp;A: Directly assigned</t>
  </si>
  <si>
    <t>SG&amp;A: Allocation</t>
    <phoneticPr fontId="109"/>
  </si>
  <si>
    <t>Cost Allocation Ratio [Allocation to Office] (%)</t>
    <phoneticPr fontId="109"/>
  </si>
  <si>
    <t>RF</t>
    <phoneticPr fontId="109"/>
  </si>
  <si>
    <t>Allocation cost in total SGA (%)</t>
    <phoneticPr fontId="109"/>
  </si>
  <si>
    <t>Cost Allocation Ratio [Allocation to PP] (%)</t>
    <phoneticPr fontId="109"/>
  </si>
  <si>
    <t>Cost Allocation Ratio [Allocation to IP] (%)</t>
    <phoneticPr fontId="109"/>
  </si>
  <si>
    <t>Cost Allocation Ratio [Allocation to MS] (%)</t>
    <phoneticPr fontId="109"/>
  </si>
  <si>
    <t>(1) Office</t>
    <phoneticPr fontId="109"/>
  </si>
  <si>
    <t>(0) Total</t>
    <phoneticPr fontId="109"/>
  </si>
  <si>
    <t>Directly assigned</t>
  </si>
  <si>
    <t>Allocation cost</t>
    <phoneticPr fontId="109"/>
  </si>
  <si>
    <t>Allocation rate to Office (%)</t>
    <phoneticPr fontId="109"/>
  </si>
  <si>
    <t>2-2. SG&amp;A: Allocation by BU</t>
    <phoneticPr fontId="109"/>
  </si>
  <si>
    <t>2-3. Sales/GP Details by BU</t>
    <phoneticPr fontId="109"/>
  </si>
  <si>
    <t>Sales</t>
  </si>
  <si>
    <t>Pre-sales / Consultant</t>
  </si>
  <si>
    <t>Marketing / Business Development</t>
  </si>
  <si>
    <t>Admin / Others</t>
  </si>
  <si>
    <t>one shot product (HW/SW License)</t>
  </si>
  <si>
    <t>recurring product (SaaS/Cloud)</t>
  </si>
  <si>
    <t>one shot professional service</t>
  </si>
  <si>
    <t>recurring professional service</t>
  </si>
  <si>
    <t>This is the same as Stravis definition.</t>
    <phoneticPr fontId="5"/>
  </si>
  <si>
    <t>SG&amp;A account definition</t>
    <phoneticPr fontId="5"/>
  </si>
  <si>
    <t>Selling Expenses / Advertising Expenses / Logistics Expenses</t>
    <phoneticPr fontId="5"/>
  </si>
  <si>
    <r>
      <rPr>
        <u/>
        <sz val="11"/>
        <rFont val="Arial"/>
        <family val="2"/>
      </rPr>
      <t>Fixed W&amp;S</t>
    </r>
    <r>
      <rPr>
        <sz val="11"/>
        <rFont val="Arial"/>
        <family val="2"/>
      </rPr>
      <t xml:space="preserve">: Wages and Salaries / Outsourcing Expenses / Accrued Vacation Pay, and so on.
</t>
    </r>
    <r>
      <rPr>
        <u/>
        <sz val="11"/>
        <rFont val="Arial"/>
        <family val="2"/>
      </rPr>
      <t>Variable W&amp;S</t>
    </r>
    <r>
      <rPr>
        <sz val="11"/>
        <rFont val="Arial"/>
        <family val="2"/>
      </rPr>
      <t>: Profit-sharing Bonus</t>
    </r>
    <phoneticPr fontId="5"/>
  </si>
  <si>
    <t>Depreciation &amp; Amortization / Travel Expenses / Service Charges and Fees / Rent Expenses, and so on.</t>
    <phoneticPr fontId="5"/>
  </si>
  <si>
    <t>Q</t>
  </si>
  <si>
    <t>R</t>
  </si>
  <si>
    <t>T</t>
  </si>
  <si>
    <t>U</t>
  </si>
  <si>
    <t>W</t>
  </si>
  <si>
    <t>X</t>
  </si>
  <si>
    <t>Z</t>
  </si>
  <si>
    <t>AA</t>
  </si>
  <si>
    <t>WPH #1</t>
    <phoneticPr fontId="109"/>
  </si>
  <si>
    <t>BPS / WPH #3</t>
  </si>
  <si>
    <t>(5) DW-DX</t>
    <phoneticPr fontId="109"/>
  </si>
  <si>
    <t>BPS / WPH #3</t>
    <phoneticPr fontId="109"/>
  </si>
  <si>
    <t>IMS (%)</t>
    <phoneticPr fontId="109"/>
  </si>
  <si>
    <t>MCS (%)</t>
    <phoneticPr fontId="109"/>
  </si>
  <si>
    <t>DW-DX</t>
    <phoneticPr fontId="5"/>
  </si>
  <si>
    <t>(5) DW-DX</t>
    <phoneticPr fontId="5"/>
  </si>
  <si>
    <t>(5) DWDX</t>
    <phoneticPr fontId="5"/>
  </si>
  <si>
    <t>product category</t>
  </si>
  <si>
    <t>Chgd</t>
    <phoneticPr fontId="109"/>
  </si>
  <si>
    <t>Chg</t>
  </si>
  <si>
    <t>SG&amp;A: Allocation rate to DW-DX (%)</t>
    <phoneticPr fontId="109"/>
  </si>
  <si>
    <t>Direct sales engineers (Pre-sales/Consultant)</t>
    <phoneticPr fontId="109"/>
  </si>
  <si>
    <t>Remote Engineer (Help Desk, Customer support)</t>
    <phoneticPr fontId="109"/>
  </si>
  <si>
    <t>6. Rolling forecast only</t>
  </si>
  <si>
    <t>6-1. Depreciation &amp; Amortization</t>
  </si>
  <si>
    <t>6-2. Notes and Accounts Receivable-Trade</t>
  </si>
  <si>
    <t>6-3. Notes and Accounts Payable-Trade</t>
  </si>
  <si>
    <t>6-4. IP Unit</t>
  </si>
  <si>
    <t>FY2021</t>
    <phoneticPr fontId="5"/>
  </si>
  <si>
    <t>4-2. IP Inventories by product</t>
  </si>
  <si>
    <t>from BT</t>
    <phoneticPr fontId="146"/>
  </si>
  <si>
    <t>Label</t>
    <phoneticPr fontId="146"/>
  </si>
  <si>
    <t>MGI</t>
    <phoneticPr fontId="146"/>
  </si>
  <si>
    <t>Others</t>
    <phoneticPr fontId="146"/>
  </si>
  <si>
    <t>from 3rd Party</t>
    <phoneticPr fontId="146"/>
  </si>
  <si>
    <t>Allocation rate to PP (%)</t>
    <phoneticPr fontId="109"/>
  </si>
  <si>
    <t>Allocation rate to IP (%)</t>
    <phoneticPr fontId="109"/>
  </si>
  <si>
    <t>Allocation rate to MS (%)</t>
    <phoneticPr fontId="109"/>
  </si>
  <si>
    <t>Allocation rate to DW-DX (%)</t>
    <phoneticPr fontId="109"/>
  </si>
  <si>
    <t>BNZL</t>
    <phoneticPr fontId="5"/>
  </si>
  <si>
    <t>K_NZD</t>
    <phoneticPr fontId="5"/>
  </si>
  <si>
    <t>2-4. Fixed Cost in COGS(Cost of Goods Sales) by BU</t>
    <phoneticPr fontId="109"/>
  </si>
  <si>
    <t>DW-DX</t>
  </si>
  <si>
    <t>AB</t>
  </si>
  <si>
    <t>DX)Sales</t>
    <phoneticPr fontId="5"/>
  </si>
  <si>
    <t>DX)Pre-sales / Consultant</t>
    <phoneticPr fontId="5"/>
  </si>
  <si>
    <t>DX)Marketing / Business Development</t>
    <phoneticPr fontId="5"/>
  </si>
  <si>
    <t>DX)Admin / Others</t>
    <phoneticPr fontId="5"/>
  </si>
  <si>
    <t>Government support</t>
    <phoneticPr fontId="5"/>
  </si>
  <si>
    <t>Expense for layoff benefit</t>
    <phoneticPr fontId="109"/>
  </si>
  <si>
    <t>(2) IIS (Imaging-IoT Solution)</t>
    <phoneticPr fontId="5"/>
  </si>
  <si>
    <t>*Mobotix and DM have been merged into IIS</t>
    <phoneticPr fontId="5"/>
  </si>
  <si>
    <t>Skip</t>
    <phoneticPr fontId="5"/>
  </si>
  <si>
    <t>BDSG</t>
    <phoneticPr fontId="5"/>
  </si>
  <si>
    <t>BAU-Cons</t>
    <phoneticPr fontId="5"/>
  </si>
  <si>
    <t>Direct</t>
    <phoneticPr fontId="5"/>
  </si>
  <si>
    <t>MX</t>
    <phoneticPr fontId="5"/>
  </si>
  <si>
    <t>Product</t>
    <phoneticPr fontId="5"/>
  </si>
  <si>
    <t>Camera Device</t>
    <phoneticPr fontId="5"/>
  </si>
  <si>
    <t>Others</t>
    <phoneticPr fontId="5"/>
  </si>
  <si>
    <t>Non-hard</t>
    <phoneticPr fontId="5"/>
  </si>
  <si>
    <t>SW/Apps</t>
    <phoneticPr fontId="5"/>
  </si>
  <si>
    <t>Service</t>
    <phoneticPr fontId="5"/>
  </si>
  <si>
    <t>Onetime</t>
    <phoneticPr fontId="5"/>
  </si>
  <si>
    <t>Recurring</t>
    <phoneticPr fontId="5"/>
  </si>
  <si>
    <t>Indirect</t>
    <phoneticPr fontId="5"/>
  </si>
  <si>
    <t>DM</t>
    <phoneticPr fontId="5"/>
  </si>
  <si>
    <t>Gas</t>
    <phoneticPr fontId="5"/>
  </si>
  <si>
    <t>Hardware/device, such as thermal camera, outdoor camera, gas-monitoring camera,etc. and other optional devices</t>
  </si>
  <si>
    <t>Software, application</t>
  </si>
  <si>
    <t>Onetime-offer services, such as installtion, solution proposal, maintenance and inspection services</t>
    <phoneticPr fontId="5"/>
  </si>
  <si>
    <t>Recurring type of services, such as AI, data service, etc. with monthly/quarterly  billing contract</t>
    <phoneticPr fontId="5"/>
  </si>
  <si>
    <t>vs OP / vs FY21</t>
    <phoneticPr fontId="109"/>
  </si>
  <si>
    <t>FY21</t>
    <phoneticPr fontId="109"/>
  </si>
  <si>
    <t>vs FY21</t>
    <phoneticPr fontId="109"/>
  </si>
  <si>
    <t>Total</t>
    <phoneticPr fontId="146"/>
  </si>
  <si>
    <t>Purchased from BT cons. companies</t>
  </si>
  <si>
    <t>KM-1/KM-1e</t>
  </si>
  <si>
    <t>KM-1/KM-1e (%)</t>
  </si>
  <si>
    <r>
      <t>3D Printers,</t>
    </r>
    <r>
      <rPr>
        <sz val="11"/>
        <color rgb="FFFF0000"/>
        <rFont val="Arial"/>
        <family val="2"/>
      </rPr>
      <t>Motioncutter</t>
    </r>
    <r>
      <rPr>
        <sz val="11"/>
        <color theme="1"/>
        <rFont val="Arial"/>
        <family val="2"/>
      </rPr>
      <t>,Other local equipment</t>
    </r>
    <rPh sb="0" eb="46">
      <t>ヒョウキツイキ</t>
    </rPh>
    <phoneticPr fontId="5"/>
  </si>
  <si>
    <r>
      <t>KM-1/</t>
    </r>
    <r>
      <rPr>
        <sz val="11"/>
        <color rgb="FFFF0000"/>
        <rFont val="Arial"/>
        <family val="2"/>
      </rPr>
      <t>KM-1e</t>
    </r>
    <r>
      <rPr>
        <sz val="11"/>
        <color theme="1"/>
        <rFont val="Arial"/>
        <family val="2"/>
      </rPr>
      <t xml:space="preserve"> related businesses</t>
    </r>
    <phoneticPr fontId="5"/>
  </si>
  <si>
    <r>
      <t>KM-1/</t>
    </r>
    <r>
      <rPr>
        <sz val="11"/>
        <color rgb="FFFF0000"/>
        <rFont val="Arial"/>
        <family val="2"/>
      </rPr>
      <t>KM-1e</t>
    </r>
    <phoneticPr fontId="5"/>
  </si>
  <si>
    <r>
      <t>MGI related businesses (Meteor/iFoil/</t>
    </r>
    <r>
      <rPr>
        <sz val="11"/>
        <color rgb="FFFF0000"/>
        <rFont val="Arial"/>
        <family val="2"/>
      </rPr>
      <t>Corona/Alphajet and others</t>
    </r>
    <r>
      <rPr>
        <sz val="11"/>
        <color theme="1"/>
        <rFont val="Arial"/>
        <family val="2"/>
      </rPr>
      <t>)</t>
    </r>
    <phoneticPr fontId="5"/>
  </si>
  <si>
    <t>Prev</t>
  </si>
  <si>
    <t>OP</t>
  </si>
  <si>
    <t>FY2021 Monthly Actual ver1.0</t>
  </si>
  <si>
    <t>(Unit:1000LC)</t>
  </si>
  <si>
    <t>RF</t>
  </si>
  <si>
    <t>Input fields, but not affect PL</t>
  </si>
  <si>
    <t>1. P/L (1) - Overview</t>
  </si>
  <si>
    <t>Other Expenses</t>
  </si>
  <si>
    <t>Financial Income (Expenses), net</t>
  </si>
  <si>
    <t>Tax Expenses &amp; Others</t>
  </si>
  <si>
    <t xml:space="preserve">Traveling Expenses </t>
  </si>
  <si>
    <t xml:space="preserve">Depreciation &amp; Amortization </t>
  </si>
  <si>
    <t xml:space="preserve">Service Charges and Fees </t>
  </si>
  <si>
    <t>1-3.Total Personnel Costs</t>
  </si>
  <si>
    <t>Included in COGS （Field Service cost /Service Desk Cost）</t>
  </si>
  <si>
    <t>Included in SG&amp;A (Wages &amp; Salaries）</t>
  </si>
  <si>
    <t>1-4.Break-down of Other Income, Other Expense</t>
  </si>
  <si>
    <t xml:space="preserve">Other income </t>
  </si>
  <si>
    <t>New</t>
  </si>
  <si>
    <t>Government support</t>
  </si>
  <si>
    <t>Other Expense</t>
  </si>
  <si>
    <t xml:space="preserve">Losses on Sales of Asset, Disposal of Asset </t>
  </si>
  <si>
    <t xml:space="preserve">Restructuring Expense </t>
  </si>
  <si>
    <t>Expense for layoff benefit</t>
  </si>
  <si>
    <t>2. P/L(2)- Overview by BU</t>
  </si>
  <si>
    <t>2-1. P/L Statement by BU</t>
  </si>
  <si>
    <t>KMI</t>
  </si>
  <si>
    <t>Direct</t>
  </si>
  <si>
    <t>Indirect</t>
  </si>
  <si>
    <t>Field Service Cost</t>
  </si>
  <si>
    <t>Service Desk Cost</t>
  </si>
  <si>
    <t>For KMJ Only</t>
  </si>
  <si>
    <t>(Formula: Gross Profit / Net Sales)</t>
  </si>
  <si>
    <t>Hard (%)</t>
  </si>
  <si>
    <t>Non-hard (%)</t>
  </si>
  <si>
    <t>Others (%)</t>
  </si>
  <si>
    <t>Cost Allocation Ratio [Allocation to Office] (%)</t>
  </si>
  <si>
    <t>Mov</t>
  </si>
  <si>
    <t>SG&amp;A: Allocation</t>
  </si>
  <si>
    <t>Allocation cost in total SGA (%)</t>
  </si>
  <si>
    <t>(2) PP</t>
  </si>
  <si>
    <t>Solution (%)</t>
  </si>
  <si>
    <t>Cost Allocation Ratio [Allocation to PP] (%)</t>
  </si>
  <si>
    <t>(3) IP</t>
  </si>
  <si>
    <t>Hard &amp; Solution</t>
  </si>
  <si>
    <t>Label Printer</t>
  </si>
  <si>
    <t>MGI</t>
  </si>
  <si>
    <t>EFI/LF</t>
  </si>
  <si>
    <t>Hard &amp; Solution (%)</t>
  </si>
  <si>
    <t>KM-1 (%)</t>
  </si>
  <si>
    <t>Label Printer (%)</t>
  </si>
  <si>
    <t>MGI (%)</t>
  </si>
  <si>
    <t>EFI/LF (%)</t>
  </si>
  <si>
    <t>Textile Printer (%)</t>
  </si>
  <si>
    <t>Cost Allocation Ratio [Allocation to IP] (%)</t>
  </si>
  <si>
    <t>(4) MS (Marketing Service)</t>
  </si>
  <si>
    <t>MPM</t>
  </si>
  <si>
    <t>ODP</t>
  </si>
  <si>
    <t>MPM(%)</t>
  </si>
  <si>
    <t>Procurement (%)</t>
  </si>
  <si>
    <t>Production (%)</t>
  </si>
  <si>
    <t>ODP(%)</t>
  </si>
  <si>
    <t>On Demand Printing (%)</t>
  </si>
  <si>
    <t>Marketing Service (%)</t>
  </si>
  <si>
    <t>Digital Solution (%)</t>
  </si>
  <si>
    <t>ODP New Business (%)</t>
  </si>
  <si>
    <t>Fixed Cost in COGS</t>
  </si>
  <si>
    <t>Cost Allocation Ratio [Allocation to MS] (%)</t>
  </si>
  <si>
    <t>(5) DW-DX</t>
  </si>
  <si>
    <t>IMS (%)</t>
  </si>
  <si>
    <t>WPH #1 (%)</t>
  </si>
  <si>
    <t>MCS (%)</t>
  </si>
  <si>
    <t>BPS / WPH #3 (%)</t>
  </si>
  <si>
    <t>Office Solution (%)</t>
  </si>
  <si>
    <t>SG&amp;A: Allocation rate to DW-DX (%)</t>
  </si>
  <si>
    <t>2-2. SG&amp;A: Allocation by BU</t>
  </si>
  <si>
    <t>Allocation cost</t>
  </si>
  <si>
    <t>Allocation rate to Office (%)</t>
  </si>
  <si>
    <t>Allocation rate to PP (%)</t>
  </si>
  <si>
    <t>Allocation rate to IP (%)</t>
  </si>
  <si>
    <t>(4) MS</t>
  </si>
  <si>
    <t>Allocation rate to MS (%)</t>
  </si>
  <si>
    <t>Allocation rate to DW-DX (%)</t>
  </si>
  <si>
    <t>2-3. Sales/GP Details by BU</t>
  </si>
  <si>
    <t>Office A3</t>
  </si>
  <si>
    <t>Office A4</t>
  </si>
  <si>
    <t>Copy Click (Kit)</t>
  </si>
  <si>
    <t>Non Contract</t>
  </si>
  <si>
    <t>Consumables</t>
  </si>
  <si>
    <t>Parts</t>
  </si>
  <si>
    <t>&lt;Direct&gt;Field Service Cost (-)</t>
  </si>
  <si>
    <t>Traveling Expenses(Service)</t>
  </si>
  <si>
    <t>&lt;Direct&gt;Service Desk Cost (-)</t>
  </si>
  <si>
    <t>&lt;Direct&gt;Depreciation &amp; Amortization (-)</t>
  </si>
  <si>
    <t>&lt;Indirect&gt;Field Service Cost (-)</t>
  </si>
  <si>
    <t>&lt;Indirect&gt;Service Desk Cost (-)</t>
  </si>
  <si>
    <t>&lt;Indirect&gt;Depreciation &amp; Amortization (-)</t>
  </si>
  <si>
    <t>Software</t>
  </si>
  <si>
    <t>Professional Service</t>
  </si>
  <si>
    <t>&lt;Direct&gt; Field Service Cost (-)</t>
  </si>
  <si>
    <t>&lt;Direct&gt; Service Desk Cost (-)</t>
  </si>
  <si>
    <t>&lt;Indirect&gt; Field Service Cost (-)</t>
  </si>
  <si>
    <t>&lt;Indirect&gt; Service Desk Cost (-)</t>
  </si>
  <si>
    <t>KM1</t>
  </si>
  <si>
    <t>Field Service Cost (-)</t>
  </si>
  <si>
    <t xml:space="preserve">Label Printer </t>
  </si>
  <si>
    <t>&lt;Direct&gt; Depreciation &amp; Amortization (-)</t>
  </si>
  <si>
    <t>&lt;Indirect&gt; Depreciation &amp; Amortization (-)</t>
  </si>
  <si>
    <t>2-4. Fixed Cost in COGS(Cost of Goods Sales) by BU</t>
  </si>
  <si>
    <t>Included in COGS [Personnel Costs(Service)]</t>
  </si>
  <si>
    <t>Included in COGS [Traveling Expenses(Service)]</t>
  </si>
  <si>
    <t>Included in COGS [Other Fixed Costs(Service)]</t>
  </si>
  <si>
    <t>Included in COGS [Depreciation &amp; Amortization]</t>
  </si>
  <si>
    <t xml:space="preserve">3. Headcount </t>
  </si>
  <si>
    <t>3-1. Headcount Details</t>
  </si>
  <si>
    <t>Semi-Full-Time/Part-Time Employees /Contractors</t>
  </si>
  <si>
    <t>3-2. Headcount by BU</t>
  </si>
  <si>
    <t>Direct sales engineers (Pre-sales/Consultant)</t>
  </si>
  <si>
    <t>Remote Engineer (Help Desk, Customer support)</t>
  </si>
  <si>
    <t>4. B/S (1) - Inventories</t>
  </si>
  <si>
    <t>4-1. Inventories</t>
  </si>
  <si>
    <t>(0) Total Inventories</t>
  </si>
  <si>
    <t>Purchased from BT cons. companies &lt;exclude MGI&gt;</t>
  </si>
  <si>
    <t>Purchased from MGI (BT-Gr)</t>
  </si>
  <si>
    <t>from BT</t>
  </si>
  <si>
    <t>Label</t>
  </si>
  <si>
    <t>from 3rd Party</t>
  </si>
  <si>
    <t>5. One Rate / Free to Fee</t>
  </si>
  <si>
    <t>5-1. One Rate  (included in Office/ITS)</t>
  </si>
  <si>
    <t>Unit Sales (One Rate)</t>
  </si>
  <si>
    <t>(Unit)</t>
  </si>
  <si>
    <t>Net Sales (One Rate)</t>
  </si>
  <si>
    <t>5-2. Free to Fee  (included in Office/ITS)</t>
  </si>
  <si>
    <t>Net Sales (Free to Fee)</t>
  </si>
  <si>
    <t>dummy</t>
  </si>
  <si>
    <t>Total</t>
  </si>
  <si>
    <t>Depreciation &amp; Amortization  included in COCS</t>
  </si>
  <si>
    <t>Depreciation &amp; Amortization  included in SGA</t>
  </si>
  <si>
    <t>Inter Segment &amp; Outside</t>
  </si>
  <si>
    <t>bh PRESS C71cf/AccurioLabel 190</t>
  </si>
  <si>
    <t>7. Reference</t>
  </si>
  <si>
    <t>8-1. Digital Workplace Business HQ (Office+DWDX)</t>
  </si>
  <si>
    <t>8-2. Professional Print Business HQ (PP+IP)</t>
  </si>
  <si>
    <t>9. Variable Costing Income Statement</t>
  </si>
  <si>
    <t>Variable Cost</t>
  </si>
  <si>
    <t>COGS (material cost)</t>
  </si>
  <si>
    <t>Wages &amp; Salaries (SG&amp;A - variable)</t>
  </si>
  <si>
    <t>SG&amp;A variable (ex.Selling expenses/ Advertising expenses)</t>
  </si>
  <si>
    <t>Marginal Profit</t>
  </si>
  <si>
    <t>C = A - B</t>
  </si>
  <si>
    <t>D = C / A</t>
  </si>
  <si>
    <t>Fixed Cost</t>
  </si>
  <si>
    <t>E</t>
  </si>
  <si>
    <t>COGS (ex. field service cost/ Service desk cost)</t>
  </si>
  <si>
    <t>Wages &amp; Salaries (SG&amp;A - fixed)</t>
  </si>
  <si>
    <t>SG&amp;A fixed (ex.SG&amp;A Fixed expenses)</t>
  </si>
  <si>
    <t>Break-even Point Net Sales</t>
  </si>
  <si>
    <t>F = E / D</t>
  </si>
  <si>
    <t>G = F / A</t>
  </si>
  <si>
    <t>H = C - D</t>
  </si>
  <si>
    <t>KMPT</t>
    <phoneticPr fontId="5"/>
  </si>
  <si>
    <t>BPS</t>
  </si>
  <si>
    <t>BPS</t>
    <phoneticPr fontId="109"/>
  </si>
  <si>
    <t>ICW-IT (%)</t>
    <phoneticPr fontId="109"/>
  </si>
  <si>
    <t>BPS (%)</t>
    <phoneticPr fontId="109"/>
  </si>
  <si>
    <t>ICW-WK (%)</t>
    <phoneticPr fontId="109"/>
  </si>
  <si>
    <t>ICW-P (%)</t>
    <phoneticPr fontId="109"/>
  </si>
  <si>
    <r>
      <t xml:space="preserve">ICW-IT (WPH,BNDK, DevOps) </t>
    </r>
    <r>
      <rPr>
        <i/>
        <sz val="9"/>
        <rFont val="Arial"/>
        <family val="2"/>
      </rPr>
      <t>*OLD: WPH#1</t>
    </r>
    <phoneticPr fontId="109"/>
  </si>
  <si>
    <r>
      <t xml:space="preserve">ICW-P (New DevOps) </t>
    </r>
    <r>
      <rPr>
        <i/>
        <sz val="9"/>
        <rFont val="Arial"/>
        <family val="2"/>
      </rPr>
      <t>*New</t>
    </r>
    <phoneticPr fontId="109"/>
  </si>
  <si>
    <r>
      <t>KM-1</t>
    </r>
    <r>
      <rPr>
        <sz val="11"/>
        <color rgb="FFFF0000"/>
        <rFont val="Arial"/>
        <family val="2"/>
      </rPr>
      <t>/KM-1e</t>
    </r>
    <phoneticPr fontId="109"/>
  </si>
  <si>
    <t>FY22 new topic</t>
    <phoneticPr fontId="5"/>
  </si>
  <si>
    <t>1. DW-DX changes in service line</t>
    <phoneticPr fontId="5"/>
  </si>
  <si>
    <t>FY21</t>
    <phoneticPr fontId="5"/>
  </si>
  <si>
    <t>N/A</t>
    <phoneticPr fontId="5"/>
  </si>
  <si>
    <t>FY22</t>
    <phoneticPr fontId="5"/>
  </si>
  <si>
    <t>SG&amp;A allocation bases by BU</t>
    <phoneticPr fontId="5"/>
  </si>
  <si>
    <t>Charge directly to each BU</t>
    <phoneticPr fontId="5"/>
  </si>
  <si>
    <t>Allocate according to each annual sales ratio of Original Plan. Allocation% should be same for each month of the year</t>
  </si>
  <si>
    <t>One time product sales including software and hardware, such as PC, server, perpetual SW license and its maintenance.
Please note that If license renewal cycle is longer than a year, it is considered as One-shot.
The following global products fall into this category; Dispatcher Phoenix, ScanTrip, Dispatcher Paragon, YSoft SafeQ, Dispatcher Suite, bizhub SECURE Notifier, Shield Guard at one-time payment, Personalize at one-time payment</t>
    <phoneticPr fontId="5"/>
  </si>
  <si>
    <t>Recurring type of product sales, such as SaaS or PaaS. Payment cycle may vary.
The following global products fall into this category; Dispatcher Paragon Cloud, Workplace Go, Shield Guard at subscription, Personalize at subscription, bizhub Evolution, Dispatcher Phoenix Cloud SaaS (service name is TBD)</t>
    <phoneticPr fontId="5"/>
  </si>
  <si>
    <t>One time professional services such as consultation, implementation or training. One shot DPO falls into this category.
Please note that if the contract renewal cycle is longer than a year, it is considered as One-shot.</t>
    <phoneticPr fontId="5"/>
  </si>
  <si>
    <t>Recurring type of professional services, such as Managed IT Service, resource fulfillment, DPO with cyclic billing, or cloud hosting service.
Please note that if the contract renewal cycle is less than a year, such as monthly or quarterly, it is considered as Recurring.</t>
  </si>
  <si>
    <t>ICW-IT(WPH #1, BNDK, DevOps)</t>
    <phoneticPr fontId="5"/>
  </si>
  <si>
    <t>BPS</t>
    <phoneticPr fontId="5"/>
  </si>
  <si>
    <t>ICW-WK (KMJ #3, JP Local Gov't, US HC IT, FORXAI Secure Access)+ DevOps</t>
    <phoneticPr fontId="5"/>
  </si>
  <si>
    <t>ICW-P(New DevOps)</t>
    <phoneticPr fontId="5"/>
  </si>
  <si>
    <t>ICW-P</t>
  </si>
  <si>
    <t>IP address advertizement</t>
  </si>
  <si>
    <t>ICW-WK</t>
  </si>
  <si>
    <t>Secure Passwordless Service (SPS)</t>
  </si>
  <si>
    <t>Service Line</t>
  </si>
  <si>
    <t>Theme</t>
  </si>
  <si>
    <t>ICW IT</t>
  </si>
  <si>
    <t>DXP</t>
  </si>
  <si>
    <t>SWS</t>
  </si>
  <si>
    <t>One-stop Svcs &amp; Business Tools with KM Premier Svc</t>
  </si>
  <si>
    <t>CDM</t>
  </si>
  <si>
    <t>Digital US</t>
  </si>
  <si>
    <t>Company Navigator</t>
  </si>
  <si>
    <t>AIRe Link</t>
  </si>
  <si>
    <t>TOMOLINKS (Solution for Education)</t>
  </si>
  <si>
    <t>Work style reform visualization</t>
  </si>
  <si>
    <t xml:space="preserve">MELON/KOTOBAL </t>
  </si>
  <si>
    <t>COCOMITE</t>
  </si>
  <si>
    <t>WPH HC</t>
  </si>
  <si>
    <t>genARate</t>
  </si>
  <si>
    <t>RoboSense</t>
  </si>
  <si>
    <t>CoboVox &amp; RoboPen (Robotics)</t>
  </si>
  <si>
    <t>AMH Portfolio (Autonomous material handling)</t>
  </si>
  <si>
    <t>SWO Portfolio (smart workflow optimization</t>
  </si>
  <si>
    <t>QoL Back Office (Nursing)</t>
  </si>
  <si>
    <t>Local Munincipal solutions (自治体DX推進-自治体DXPF 支援)</t>
  </si>
  <si>
    <t>K-Plex DM solution (KMJ K-Plex社 文書管理システム 支援)</t>
  </si>
  <si>
    <t>Underlined</t>
    <phoneticPr fontId="5"/>
  </si>
  <si>
    <t>: Changed name</t>
    <phoneticPr fontId="5"/>
  </si>
  <si>
    <t>Blue text</t>
    <phoneticPr fontId="5"/>
  </si>
  <si>
    <t>: Changed</t>
    <phoneticPr fontId="5"/>
  </si>
  <si>
    <t>Red text</t>
    <phoneticPr fontId="5"/>
  </si>
  <si>
    <t>: Newly added</t>
    <phoneticPr fontId="5"/>
  </si>
  <si>
    <r>
      <rPr>
        <u/>
        <sz val="11"/>
        <rFont val="Arial"/>
        <family val="2"/>
      </rPr>
      <t>ICW-IT</t>
    </r>
    <r>
      <rPr>
        <sz val="11"/>
        <rFont val="Arial"/>
        <family val="2"/>
      </rPr>
      <t xml:space="preserve"> (WPH, </t>
    </r>
    <r>
      <rPr>
        <sz val="11"/>
        <color rgb="FF0000FF"/>
        <rFont val="Arial"/>
        <family val="2"/>
      </rPr>
      <t xml:space="preserve">BNDK, </t>
    </r>
    <r>
      <rPr>
        <sz val="11"/>
        <color rgb="FFFF0000"/>
        <rFont val="Arial"/>
        <family val="2"/>
      </rPr>
      <t>DevOps*)</t>
    </r>
    <phoneticPr fontId="109"/>
  </si>
  <si>
    <t>ICW-P (New DevOps*)</t>
    <phoneticPr fontId="109"/>
  </si>
  <si>
    <r>
      <t>DW-DX sales categories for each Dev.Ops themes</t>
    </r>
    <r>
      <rPr>
        <b/>
        <sz val="12"/>
        <color theme="1"/>
        <rFont val="ＭＳ ゴシック"/>
        <family val="3"/>
        <charset val="128"/>
      </rPr>
      <t>（テーマのサービスライン分け）</t>
    </r>
    <rPh sb="58" eb="59">
      <t>ワ</t>
    </rPh>
    <phoneticPr fontId="5"/>
  </si>
  <si>
    <t>* DevOps : Please see below for details which DevOps theme will be categorized in which service line</t>
    <phoneticPr fontId="5"/>
  </si>
  <si>
    <r>
      <rPr>
        <u/>
        <sz val="11"/>
        <rFont val="Arial"/>
        <family val="2"/>
      </rPr>
      <t xml:space="preserve">ICW-WK
</t>
    </r>
    <r>
      <rPr>
        <sz val="11"/>
        <rFont val="Arial"/>
        <family val="2"/>
      </rPr>
      <t xml:space="preserve"> - Japanese Gov't DX business, 
 - KMJ: Digital Marketing &amp; Office design,
 - BUS: </t>
    </r>
    <r>
      <rPr>
        <sz val="11"/>
        <color rgb="FFFF0000"/>
        <rFont val="Arial"/>
        <family val="2"/>
      </rPr>
      <t>HC IT, FORXAI Secure Access) + DevOps*</t>
    </r>
    <phoneticPr fontId="109"/>
  </si>
  <si>
    <t>Separate BPS and WPH #3. Add new DevOps themes in each category.</t>
    <phoneticPr fontId="5"/>
  </si>
  <si>
    <t>Other Income, Other Expense definition</t>
    <phoneticPr fontId="5"/>
  </si>
  <si>
    <r>
      <t xml:space="preserve">Revenues earned from renting property, plant and equipment. Revenue is recognized evenly over the contract term. 
</t>
    </r>
    <r>
      <rPr>
        <sz val="11"/>
        <color theme="3"/>
        <rFont val="游ゴシック"/>
        <family val="3"/>
        <charset val="128"/>
      </rPr>
      <t>貸与等固定資産の賃貸から発生する収益。賃貸契約期間にわたり均等に期間収益とする。</t>
    </r>
    <phoneticPr fontId="5"/>
  </si>
  <si>
    <r>
      <t xml:space="preserve">Commissions and fees income from miscellaneous sources other than the company's main line of business. Examples are administrative fees, commissions from vending machines, and other facilities.
</t>
    </r>
    <r>
      <rPr>
        <sz val="11"/>
        <color theme="3"/>
        <rFont val="游ゴシック"/>
        <family val="3"/>
        <charset val="128"/>
      </rPr>
      <t>本業外活動からの手数料収入。証明書作成の事務手数料、自動販売機等の販売手数料、公衆電話の設置手数料等。</t>
    </r>
    <phoneticPr fontId="5"/>
  </si>
  <si>
    <r>
      <t xml:space="preserve">Difference of sales price over book value of property, plant, equipment and intangible assets at the time of sales.
</t>
    </r>
    <r>
      <rPr>
        <sz val="11"/>
        <color theme="3"/>
        <rFont val="Yu Gothic Medium"/>
        <family val="3"/>
        <charset val="128"/>
      </rPr>
      <t>有形・無形固定資産の売却時に発生する売却額と簿価の差益。</t>
    </r>
    <rPh sb="119" eb="121">
      <t>ムケイ</t>
    </rPh>
    <phoneticPr fontId="5"/>
  </si>
  <si>
    <r>
      <t xml:space="preserve">Difference of sales price over book value of property, plant, equipment and intangible assets at the time of sales.
</t>
    </r>
    <r>
      <rPr>
        <sz val="11"/>
        <color theme="3"/>
        <rFont val="Yu Gothic Medium"/>
        <family val="3"/>
        <charset val="128"/>
      </rPr>
      <t>有形・無形固定資産の売却時に発生する売却額と簿価の差損。</t>
    </r>
    <rPh sb="119" eb="121">
      <t>ムケイ</t>
    </rPh>
    <rPh sb="142" eb="143">
      <t>ソン</t>
    </rPh>
    <phoneticPr fontId="5"/>
  </si>
  <si>
    <r>
      <t xml:space="preserve">When the book value of property, plant, equipment and intangible assets exceeds the collectible amount, the difference is recognized as an impairment loss for the reporting period. &lt;IAS 36.59&gt;
</t>
    </r>
    <r>
      <rPr>
        <sz val="11"/>
        <color theme="3"/>
        <rFont val="Yu Gothic Medium"/>
        <family val="3"/>
        <charset val="128"/>
      </rPr>
      <t>有形・無形固定資産の回収可能価額が簿価を下回っている場合にその差額を減損損失として当期の純損益に認識する。（</t>
    </r>
    <r>
      <rPr>
        <sz val="11"/>
        <color theme="3"/>
        <rFont val="Arial"/>
        <family val="3"/>
      </rPr>
      <t>IAS 36.59</t>
    </r>
    <r>
      <rPr>
        <sz val="11"/>
        <color theme="3"/>
        <rFont val="Yu Gothic Medium"/>
        <family val="3"/>
        <charset val="128"/>
      </rPr>
      <t>）</t>
    </r>
    <rPh sb="196" eb="198">
      <t>ムケイ</t>
    </rPh>
    <phoneticPr fontId="5"/>
  </si>
  <si>
    <r>
      <t xml:space="preserve">Government compensation program for COVID-19
</t>
    </r>
    <r>
      <rPr>
        <sz val="11"/>
        <color theme="3"/>
        <rFont val="Arial"/>
        <family val="3"/>
      </rPr>
      <t>COVID-19</t>
    </r>
    <r>
      <rPr>
        <sz val="11"/>
        <color theme="3"/>
        <rFont val="ＭＳ Ｐゴシック"/>
        <family val="3"/>
        <charset val="128"/>
      </rPr>
      <t>に関連する</t>
    </r>
    <r>
      <rPr>
        <sz val="11"/>
        <color theme="3"/>
        <rFont val="Yu Gothic Medium"/>
        <family val="3"/>
        <charset val="128"/>
      </rPr>
      <t>政府助成金</t>
    </r>
    <rPh sb="54" eb="56">
      <t>カンレン</t>
    </rPh>
    <rPh sb="58" eb="60">
      <t>セイフ</t>
    </rPh>
    <rPh sb="60" eb="63">
      <t>ジョセイキン</t>
    </rPh>
    <phoneticPr fontId="5"/>
  </si>
  <si>
    <r>
      <t xml:space="preserve">Difference of sales price over book value of property, plant, equipment and intangible assets at the time of sales.
</t>
    </r>
    <r>
      <rPr>
        <sz val="11"/>
        <color theme="3"/>
        <rFont val="Yu Gothic Medium"/>
        <family val="3"/>
        <charset val="128"/>
      </rPr>
      <t>事業構造改革費用</t>
    </r>
    <rPh sb="116" eb="118">
      <t>ジギョウ</t>
    </rPh>
    <rPh sb="118" eb="120">
      <t>コウゾウ</t>
    </rPh>
    <rPh sb="120" eb="122">
      <t>カイカク</t>
    </rPh>
    <rPh sb="122" eb="124">
      <t>ヒヨウ</t>
    </rPh>
    <phoneticPr fontId="5"/>
  </si>
  <si>
    <r>
      <t xml:space="preserve">Normal retirement cost different from structural reform.
</t>
    </r>
    <r>
      <rPr>
        <sz val="11"/>
        <color theme="3"/>
        <rFont val="Yu Gothic Medium"/>
        <family val="3"/>
        <charset val="128"/>
      </rPr>
      <t>通常発生する退職者に対する費用。会社が戦略的に実施する事業構造改革とは分ける</t>
    </r>
    <rPh sb="57" eb="59">
      <t>ツウジョウ</t>
    </rPh>
    <rPh sb="59" eb="61">
      <t>ハッセイ</t>
    </rPh>
    <rPh sb="63" eb="66">
      <t>タイショクシャ</t>
    </rPh>
    <rPh sb="67" eb="68">
      <t>タイ</t>
    </rPh>
    <rPh sb="70" eb="72">
      <t>ヒヨウ</t>
    </rPh>
    <rPh sb="73" eb="75">
      <t>カイシャ</t>
    </rPh>
    <rPh sb="76" eb="79">
      <t>センリャクテキ</t>
    </rPh>
    <rPh sb="80" eb="82">
      <t>ジッシ</t>
    </rPh>
    <rPh sb="84" eb="86">
      <t>ジギョウ</t>
    </rPh>
    <rPh sb="86" eb="88">
      <t>コウゾウ</t>
    </rPh>
    <rPh sb="88" eb="90">
      <t>カイカク</t>
    </rPh>
    <rPh sb="92" eb="93">
      <t>ワ</t>
    </rPh>
    <phoneticPr fontId="5"/>
  </si>
  <si>
    <r>
      <t>BPS that improves customer’s business critical processes</t>
    </r>
    <r>
      <rPr>
        <sz val="11"/>
        <color theme="1"/>
        <rFont val="ＭＳ Ｐゴシック"/>
        <family val="2"/>
        <charset val="128"/>
      </rPr>
      <t>、</t>
    </r>
    <r>
      <rPr>
        <sz val="11"/>
        <color theme="1"/>
        <rFont val="Arial"/>
        <family val="2"/>
      </rPr>
      <t xml:space="preserve">EX) ERP, CRM, BI, etc.
</t>
    </r>
    <r>
      <rPr>
        <sz val="11"/>
        <color theme="3"/>
        <rFont val="Yu Gothic Medium"/>
        <family val="3"/>
        <charset val="128"/>
      </rPr>
      <t>顧客の業務プロセスを改善するソフトウェア・ソリューションを提供する。</t>
    </r>
    <phoneticPr fontId="5"/>
  </si>
  <si>
    <t xml:space="preserve">Include "Full-Time Employees" and "Temporary Transfer from Other Company"
1) Please enter the number of employees whose personnel cost is borne by your company. 
2) Please do NOT include "Transferred To Other Company" in "Full-Time."
3) Please do NOT include directors, employees on long-term leave, employees who resigned on the end of the period.
4) Those who are re-employed by consolidated company upon resigning the original company on the end of the period should be counted as employees at original company.  </t>
    <phoneticPr fontId="5"/>
  </si>
  <si>
    <r>
      <rPr>
        <sz val="10"/>
        <color theme="3"/>
        <rFont val="Yu Gothic Medium"/>
        <family val="3"/>
        <charset val="128"/>
      </rPr>
      <t>正従業員、他社からの受入出向者が対象。入力上の注意点は以下の通り
1）正従業員、他社からの受入出向者には、貴社で人件費を負担している人員数のみを入力してください。
2）正従業員には他社への出向者は含めないでください。
3）役員、長期休職者、期末日退職者（定年、自己都合、会社都合等）は除いて記入してください。
4)期末日付転籍退職者（連結会社へ転籍するものに限る）については、転籍元で正従業員として記入してください。</t>
    </r>
    <rPh sb="16" eb="18">
      <t>タイショウ</t>
    </rPh>
    <rPh sb="19" eb="21">
      <t>ニュウリョク</t>
    </rPh>
    <rPh sb="21" eb="22">
      <t>ジョウ</t>
    </rPh>
    <rPh sb="23" eb="26">
      <t>チュウイテン</t>
    </rPh>
    <rPh sb="27" eb="29">
      <t>イカ</t>
    </rPh>
    <rPh sb="30" eb="31">
      <t>トオ</t>
    </rPh>
    <phoneticPr fontId="5"/>
  </si>
  <si>
    <r>
      <t>Include "Semi-Full-Time/Part-Time Employees" and "Contractors"</t>
    </r>
    <r>
      <rPr>
        <sz val="11"/>
        <rFont val="ＭＳ Ｐゴシック"/>
        <family val="2"/>
        <charset val="128"/>
      </rPr>
      <t>　　　</t>
    </r>
    <r>
      <rPr>
        <sz val="11"/>
        <color theme="3"/>
        <rFont val="Yu Gothic Medium"/>
        <family val="3"/>
        <charset val="128"/>
      </rPr>
      <t>準社員、派遣・請負が対象</t>
    </r>
    <rPh sb="75" eb="77">
      <t>タイショウ</t>
    </rPh>
    <phoneticPr fontId="5"/>
  </si>
  <si>
    <t>ICW-IT</t>
  </si>
  <si>
    <t>ICW-IT</t>
    <phoneticPr fontId="5"/>
  </si>
  <si>
    <t>ICW-WK</t>
    <phoneticPr fontId="5"/>
  </si>
  <si>
    <t>ICW-P</t>
    <phoneticPr fontId="5"/>
  </si>
  <si>
    <t>"Preconditions" sheet,</t>
    <phoneticPr fontId="5"/>
  </si>
  <si>
    <t>Improvement amount of service cost by Shift-Left</t>
    <phoneticPr fontId="5"/>
  </si>
  <si>
    <t>2-5. Property, Plant and Equipment</t>
    <phoneticPr fontId="5"/>
  </si>
  <si>
    <t>2-6. Intangible Assets</t>
    <phoneticPr fontId="5"/>
  </si>
  <si>
    <t>"FP,CF" sheet,</t>
    <phoneticPr fontId="5"/>
  </si>
  <si>
    <t>FY22</t>
    <phoneticPr fontId="217"/>
  </si>
  <si>
    <t>New Customer *</t>
    <phoneticPr fontId="217"/>
  </si>
  <si>
    <t>Sales</t>
    <phoneticPr fontId="217"/>
  </si>
  <si>
    <t>Office</t>
    <phoneticPr fontId="217"/>
  </si>
  <si>
    <t>HW</t>
    <phoneticPr fontId="217"/>
  </si>
  <si>
    <t>NH</t>
    <phoneticPr fontId="217"/>
  </si>
  <si>
    <t>DW-DX</t>
    <phoneticPr fontId="217"/>
  </si>
  <si>
    <t>Total</t>
    <phoneticPr fontId="217"/>
  </si>
  <si>
    <t>GP</t>
    <phoneticPr fontId="217"/>
  </si>
  <si>
    <t>Existing Customer **</t>
    <phoneticPr fontId="217"/>
  </si>
  <si>
    <t>Number of Purchase Account</t>
    <phoneticPr fontId="217"/>
  </si>
  <si>
    <t>S.G.&amp;A. Expenses</t>
  </si>
  <si>
    <t>Q2</t>
    <phoneticPr fontId="5"/>
  </si>
  <si>
    <t>Q3</t>
    <phoneticPr fontId="5"/>
  </si>
  <si>
    <t>Q4</t>
    <phoneticPr fontId="5"/>
  </si>
  <si>
    <r>
      <t xml:space="preserve">ICW-WK </t>
    </r>
    <r>
      <rPr>
        <sz val="9"/>
        <rFont val="Arial"/>
        <family val="2"/>
      </rPr>
      <t>(JP Gov't DX biz, KMJ #3, BUS HC IT, FORXAI Secure Access)</t>
    </r>
    <phoneticPr fontId="109"/>
  </si>
  <si>
    <t>KM-1/KM-1e</t>
    <phoneticPr fontId="109"/>
  </si>
  <si>
    <t>KMJ/BEU Stand Alone/BCN ONLY</t>
    <phoneticPr fontId="109"/>
  </si>
  <si>
    <t>KMJ/BUS/BEU Stand Alone/BCN/BSA-Cons/BAU/BIN ONLY</t>
    <phoneticPr fontId="109"/>
  </si>
  <si>
    <t>IP, DW-DX, Others</t>
    <phoneticPr fontId="5"/>
  </si>
  <si>
    <t>Moved</t>
    <phoneticPr fontId="109"/>
  </si>
  <si>
    <t>Actual</t>
    <phoneticPr fontId="146"/>
  </si>
  <si>
    <r>
      <t>KMJ/BUS/BEU Stand Alone/BAU/BCN/BHK/BSA/BME/BIN/BBR</t>
    </r>
    <r>
      <rPr>
        <b/>
        <sz val="11"/>
        <rFont val="Calibri"/>
        <family val="2"/>
        <charset val="128"/>
        <scheme val="minor"/>
      </rPr>
      <t>　</t>
    </r>
    <r>
      <rPr>
        <b/>
        <sz val="11"/>
        <rFont val="Arial"/>
        <family val="2"/>
      </rPr>
      <t>ONLY</t>
    </r>
    <phoneticPr fontId="109"/>
  </si>
  <si>
    <t>6. Purchase</t>
    <phoneticPr fontId="109"/>
  </si>
  <si>
    <t>6-1. Detail of Purchase</t>
    <phoneticPr fontId="109"/>
  </si>
  <si>
    <t>6-2. Additional Purchase information</t>
    <phoneticPr fontId="109"/>
  </si>
  <si>
    <t>6-3. Inventory Analysis</t>
    <phoneticPr fontId="109"/>
  </si>
  <si>
    <t xml:space="preserve"> by EC business.</t>
    <phoneticPr fontId="109"/>
  </si>
  <si>
    <t>*</t>
    <phoneticPr fontId="109"/>
  </si>
  <si>
    <t>**</t>
  </si>
  <si>
    <t xml:space="preserve">Those are existing </t>
    <phoneticPr fontId="109"/>
  </si>
  <si>
    <t xml:space="preserve">customers by </t>
    <phoneticPr fontId="109"/>
  </si>
  <si>
    <t>organic transaction.</t>
    <phoneticPr fontId="109"/>
  </si>
  <si>
    <t>7. CX2</t>
    <phoneticPr fontId="109"/>
  </si>
  <si>
    <t>BUS ONLY</t>
    <phoneticPr fontId="109"/>
  </si>
  <si>
    <t>TTL</t>
    <phoneticPr fontId="146"/>
  </si>
  <si>
    <t>Office</t>
    <phoneticPr fontId="146"/>
  </si>
  <si>
    <t>PP</t>
    <phoneticPr fontId="146"/>
  </si>
  <si>
    <t>DW-DX</t>
    <phoneticPr fontId="146"/>
  </si>
  <si>
    <t>IP</t>
    <phoneticPr fontId="146"/>
  </si>
  <si>
    <t>*temporary requests</t>
    <phoneticPr fontId="109"/>
  </si>
  <si>
    <t>8. Rolling forecast only</t>
  </si>
  <si>
    <t>8. Rolling forecast only</t>
    <phoneticPr fontId="109"/>
  </si>
  <si>
    <t>8-1. Depreciation &amp; Amortization</t>
    <phoneticPr fontId="109"/>
  </si>
  <si>
    <t>8-2. Notes and Accounts Receivable-Trade</t>
    <phoneticPr fontId="109"/>
  </si>
  <si>
    <t>8-3. Notes and Accounts Payable-Trade</t>
    <phoneticPr fontId="109"/>
  </si>
  <si>
    <t>8-4. IP Unit</t>
    <phoneticPr fontId="109"/>
  </si>
  <si>
    <t>2. P/L (2) - Overview by BU</t>
    <phoneticPr fontId="109"/>
  </si>
  <si>
    <t>2. P/L (2) - Overview by BU</t>
    <phoneticPr fontId="5"/>
  </si>
  <si>
    <t>3. Headcount</t>
    <phoneticPr fontId="5"/>
  </si>
  <si>
    <t>4. Inventories</t>
    <phoneticPr fontId="5"/>
  </si>
  <si>
    <t>5. One Rate</t>
    <phoneticPr fontId="5"/>
  </si>
  <si>
    <t>6. Purchase</t>
    <phoneticPr fontId="5"/>
  </si>
  <si>
    <t>7. CX2</t>
    <phoneticPr fontId="5"/>
  </si>
  <si>
    <t>1. Investment</t>
  </si>
  <si>
    <t>Y</t>
    <phoneticPr fontId="146"/>
  </si>
  <si>
    <t>N</t>
    <phoneticPr fontId="146"/>
  </si>
  <si>
    <t>Forecast</t>
    <phoneticPr fontId="146"/>
  </si>
  <si>
    <t>2. Financial position</t>
    <phoneticPr fontId="5"/>
  </si>
  <si>
    <t>3. FP related information</t>
    <phoneticPr fontId="5"/>
  </si>
  <si>
    <t>4. Cash Flow  (Automatic Calculation)</t>
    <phoneticPr fontId="5"/>
  </si>
  <si>
    <t>Plan</t>
    <phoneticPr fontId="146"/>
  </si>
  <si>
    <t>　・・・</t>
    <phoneticPr fontId="146"/>
  </si>
  <si>
    <t>Moved from another sheet</t>
    <phoneticPr fontId="146"/>
  </si>
  <si>
    <t>"PL" sheet</t>
    <phoneticPr fontId="5"/>
  </si>
  <si>
    <t>"FP" sheet</t>
    <phoneticPr fontId="146"/>
  </si>
  <si>
    <t>(0) Total Inventories includes other Segment</t>
    <phoneticPr fontId="109"/>
  </si>
  <si>
    <t>Purchased from KM group</t>
  </si>
  <si>
    <t>(6) BIC</t>
    <phoneticPr fontId="109"/>
  </si>
  <si>
    <t>(7) IIS (Imaging-IoT Solution)</t>
    <phoneticPr fontId="109"/>
  </si>
  <si>
    <t>Purchased from KM group companies &lt;exclude HMX&gt;</t>
  </si>
  <si>
    <t>Purchased from HMX</t>
    <phoneticPr fontId="109"/>
  </si>
  <si>
    <t>1. Contents</t>
  </si>
  <si>
    <t>2. Submission</t>
    <phoneticPr fontId="146"/>
  </si>
  <si>
    <t>BT_Sales_Planning01@gcp.konicaminolta.com</t>
    <phoneticPr fontId="146"/>
  </si>
  <si>
    <t xml:space="preserve">Members at your organization </t>
    <phoneticPr fontId="146"/>
  </si>
  <si>
    <t>Persons concerned in KMI</t>
    <phoneticPr fontId="146"/>
  </si>
  <si>
    <t>Those are newly acquired</t>
    <phoneticPr fontId="109"/>
  </si>
  <si>
    <t>8-5. Open Orders amount of sales orders</t>
  </si>
  <si>
    <t>8-5. Open Orders amount of sales orders</t>
    <phoneticPr fontId="109"/>
  </si>
  <si>
    <r>
      <t xml:space="preserve">(1)-1 Office: </t>
    </r>
    <r>
      <rPr>
        <b/>
        <sz val="11"/>
        <color rgb="FFFF0000"/>
        <rFont val="Arial"/>
        <family val="2"/>
      </rPr>
      <t>Excluding "Office Solution"</t>
    </r>
    <phoneticPr fontId="109"/>
  </si>
  <si>
    <r>
      <t xml:space="preserve">(1)-2 </t>
    </r>
    <r>
      <rPr>
        <b/>
        <sz val="11"/>
        <color rgb="FFFF0000"/>
        <rFont val="Arial"/>
        <family val="2"/>
      </rPr>
      <t>"Office Solution" only</t>
    </r>
    <phoneticPr fontId="109"/>
  </si>
  <si>
    <t>New</t>
    <phoneticPr fontId="109"/>
  </si>
  <si>
    <t>1. Upload to Anaplan from Excel</t>
    <phoneticPr fontId="146"/>
  </si>
  <si>
    <t>1-1</t>
    <phoneticPr fontId="146"/>
  </si>
  <si>
    <t>Sign In to Anaplan</t>
    <phoneticPr fontId="146"/>
  </si>
  <si>
    <t>Select your company and refresh data</t>
    <phoneticPr fontId="146"/>
  </si>
  <si>
    <t>Input data</t>
    <phoneticPr fontId="146"/>
  </si>
  <si>
    <t>Formulas are possible, but please do not refer to formulas from other excel files</t>
    <phoneticPr fontId="146"/>
  </si>
  <si>
    <t>Open BT-Package file</t>
    <phoneticPr fontId="146"/>
  </si>
  <si>
    <t>Command in "Anaplan" tab in Excel file</t>
    <phoneticPr fontId="146"/>
  </si>
  <si>
    <t>-</t>
    <phoneticPr fontId="146"/>
  </si>
  <si>
    <t>Sign In</t>
    <phoneticPr fontId="146"/>
  </si>
  <si>
    <t>Refresh</t>
    <phoneticPr fontId="146"/>
  </si>
  <si>
    <t>Send and Refresh -&gt; Submit</t>
    <phoneticPr fontId="146"/>
  </si>
  <si>
    <t>Upload by Excel sheet</t>
    <phoneticPr fontId="146"/>
  </si>
  <si>
    <t>Upload</t>
  </si>
  <si>
    <t>Upload</t>
    <phoneticPr fontId="146"/>
  </si>
  <si>
    <t>Once</t>
    <phoneticPr fontId="146"/>
  </si>
  <si>
    <t>Twice</t>
    <phoneticPr fontId="146"/>
  </si>
  <si>
    <t>2. Change status in Anaplan(Web)</t>
    <phoneticPr fontId="146"/>
  </si>
  <si>
    <t>2-1</t>
    <phoneticPr fontId="146"/>
  </si>
  <si>
    <t>Logon to Anaplan</t>
    <phoneticPr fontId="146"/>
  </si>
  <si>
    <t>Command in Anaplan(Web)</t>
    <phoneticPr fontId="146"/>
  </si>
  <si>
    <t>https://sdp.anaplan.com/frontdoor/saml/konicasaml</t>
    <phoneticPr fontId="146"/>
  </si>
  <si>
    <t>Open the menu</t>
    <phoneticPr fontId="146"/>
  </si>
  <si>
    <t>PL sheet</t>
    <phoneticPr fontId="146"/>
  </si>
  <si>
    <t>FP sheet</t>
    <phoneticPr fontId="146"/>
  </si>
  <si>
    <t xml:space="preserve">Model "BT Globan Management" -&gt;"AC1 - Sales Company Actual Top" -&gt; </t>
    <phoneticPr fontId="146"/>
  </si>
  <si>
    <t xml:space="preserve">Model "BT Globan Management" -&gt;"RF1 - Sales Company RF Top" -&gt; </t>
    <phoneticPr fontId="146"/>
  </si>
  <si>
    <t>Anaplan menu</t>
    <phoneticPr fontId="146"/>
  </si>
  <si>
    <t>Check the value in "Summary Report"</t>
    <phoneticPr fontId="146"/>
  </si>
  <si>
    <t>refer to below</t>
    <phoneticPr fontId="146"/>
  </si>
  <si>
    <t>Import data from Excel Add-in</t>
    <phoneticPr fontId="146"/>
  </si>
  <si>
    <t>"Status Management" Tab</t>
    <phoneticPr fontId="146"/>
  </si>
  <si>
    <t>"0. No Entered"</t>
    <phoneticPr fontId="146"/>
  </si>
  <si>
    <t>"1. During Input"</t>
    <phoneticPr fontId="146"/>
  </si>
  <si>
    <t>"2. Submitted"</t>
    <phoneticPr fontId="146"/>
  </si>
  <si>
    <t>Before processing</t>
    <phoneticPr fontId="146"/>
  </si>
  <si>
    <t>Uploading is possible</t>
    <phoneticPr fontId="146"/>
  </si>
  <si>
    <t>Uploading is not possible. If Changes are needed, change the status to "1. During Input"</t>
    <phoneticPr fontId="146"/>
  </si>
  <si>
    <t>Change status to "2. Submitted"</t>
    <phoneticPr fontId="146"/>
  </si>
  <si>
    <t>KMI BT Sales Company Division</t>
    <phoneticPr fontId="146"/>
  </si>
  <si>
    <t>3. Send e-mail</t>
    <phoneticPr fontId="146"/>
  </si>
  <si>
    <t>Attached file: BT-package file</t>
    <phoneticPr fontId="146"/>
  </si>
  <si>
    <t>Breakdown of SG&amp;A: ICW</t>
    <phoneticPr fontId="109"/>
  </si>
  <si>
    <t>Breakdown of SG&amp;A: ITS (except ICW)</t>
    <phoneticPr fontId="109"/>
  </si>
  <si>
    <t>New</t>
    <phoneticPr fontId="109"/>
  </si>
  <si>
    <t>DW-DX SG&amp;A breakdown</t>
    <phoneticPr fontId="5"/>
  </si>
  <si>
    <t>Breakdown of SG&amp;A: ICW or ITS</t>
    <phoneticPr fontId="5"/>
  </si>
  <si>
    <t>9-1. P/L: BT + BIC +IIS</t>
    <phoneticPr fontId="109"/>
  </si>
  <si>
    <t>9-2. P/L Statement by BU</t>
    <phoneticPr fontId="109"/>
  </si>
  <si>
    <t>9-3. Headcount : includes BIC, IIS(Mobotix and DM)</t>
    <phoneticPr fontId="109"/>
  </si>
  <si>
    <t>(0) Total : BT + BIC +IIS</t>
    <phoneticPr fontId="109"/>
  </si>
  <si>
    <t>9-4. Inventories: BT + BIC +IIS</t>
    <phoneticPr fontId="109"/>
  </si>
  <si>
    <t>10. Reference</t>
    <phoneticPr fontId="109"/>
  </si>
  <si>
    <t>9. Other segments: BIC, IIS(Mobotix and DM)</t>
    <phoneticPr fontId="109"/>
  </si>
  <si>
    <t>9. Other segments: BIC, IIS(Mobotix and DM)</t>
    <phoneticPr fontId="146"/>
  </si>
  <si>
    <t>Please note that Rolling forecast requires to upload "PL" sheet &amp; "FP" sheet respectively!!</t>
    <phoneticPr fontId="146"/>
  </si>
  <si>
    <t>TO:</t>
    <phoneticPr fontId="146"/>
  </si>
  <si>
    <t>*Excel files are used as a backup in case of system failure. If the system operates stably and the operation is stable, they may not be attached in the future.</t>
    <phoneticPr fontId="146"/>
  </si>
  <si>
    <t>If there is directly chargeable cost* (i.e. dedicated ICW sales or marketing expenses, promotion costs for ICW etc.), please assign the direct cost first. Then allocate rest of the DW-DX SG&amp;A amount according to the revenue amount ratio.</t>
    <phoneticPr fontId="5"/>
  </si>
  <si>
    <t>(Excludes Sales to IIS Business Unit)</t>
    <phoneticPr fontId="109"/>
  </si>
  <si>
    <t>*Allocation is acceptable</t>
    <phoneticPr fontId="109"/>
  </si>
  <si>
    <t>Instruction for FY22 BT Package</t>
    <phoneticPr fontId="146"/>
  </si>
  <si>
    <t>Uploading to Anaplan will change from FY22. The simple guide is as follows, but please refer to the separate manual for the detailed operation.</t>
    <phoneticPr fontId="146"/>
  </si>
  <si>
    <t>Import data for Actual from Excel Add-in</t>
    <phoneticPr fontId="146"/>
  </si>
  <si>
    <t>(1) Office TTL</t>
    <phoneticPr fontId="109"/>
  </si>
  <si>
    <t>(1)-2. Office Solution</t>
  </si>
  <si>
    <r>
      <t xml:space="preserve">(1)-1. Office </t>
    </r>
    <r>
      <rPr>
        <b/>
        <sz val="11"/>
        <color rgb="FFFF0000"/>
        <rFont val="ＭＳ Ｐゴシック"/>
        <family val="3"/>
        <charset val="128"/>
      </rPr>
      <t>※</t>
    </r>
    <r>
      <rPr>
        <b/>
        <sz val="11"/>
        <color rgb="FFFF0000"/>
        <rFont val="Arial"/>
        <family val="2"/>
      </rPr>
      <t>Excluding Office Solution</t>
    </r>
    <phoneticPr fontId="109"/>
  </si>
  <si>
    <t>Operation Profit</t>
    <phoneticPr fontId="109"/>
  </si>
  <si>
    <t>Office Solution</t>
    <phoneticPr fontId="5"/>
  </si>
  <si>
    <t>Other Income</t>
    <phoneticPr fontId="5"/>
  </si>
  <si>
    <t>HW</t>
    <phoneticPr fontId="109"/>
  </si>
  <si>
    <t>NH</t>
    <phoneticPr fontId="109"/>
  </si>
  <si>
    <t>Variable cost (Material Cost + SG&amp;A variable)</t>
    <phoneticPr fontId="109"/>
  </si>
  <si>
    <t>Others (inc. SG&amp;A variable)</t>
    <phoneticPr fontId="109"/>
  </si>
  <si>
    <t>Marginal Profit %</t>
    <phoneticPr fontId="109"/>
  </si>
  <si>
    <t>COGs</t>
    <phoneticPr fontId="109"/>
  </si>
  <si>
    <t>SG&amp;A</t>
    <phoneticPr fontId="109"/>
  </si>
  <si>
    <t>SG&amp;A variable</t>
    <phoneticPr fontId="109"/>
  </si>
  <si>
    <t>(1)-2 "Office Solution" only</t>
    <phoneticPr fontId="5"/>
  </si>
  <si>
    <t>(1)-1 Office: Excluding "Office Solution"</t>
    <phoneticPr fontId="5"/>
  </si>
  <si>
    <t>ITS</t>
    <phoneticPr fontId="109"/>
  </si>
  <si>
    <t>ICW</t>
    <phoneticPr fontId="109"/>
  </si>
  <si>
    <t>New</t>
    <phoneticPr fontId="109"/>
  </si>
  <si>
    <t>ITS (%)</t>
    <phoneticPr fontId="109"/>
  </si>
  <si>
    <t>ICW (%)</t>
    <phoneticPr fontId="109"/>
  </si>
  <si>
    <t>BCP: ITS</t>
    <phoneticPr fontId="109"/>
  </si>
  <si>
    <t>BCP: ICW</t>
    <phoneticPr fontId="109"/>
  </si>
  <si>
    <t>3. Investment input level change: By BU -&gt; By Segment (BT or Others)</t>
    <phoneticPr fontId="5"/>
  </si>
  <si>
    <t>2. Two categories will be added in DW-DX (ITS/ICW)</t>
    <phoneticPr fontId="5"/>
  </si>
  <si>
    <t>(1)-2 "Office Solution" only</t>
    <phoneticPr fontId="109"/>
  </si>
  <si>
    <t>*one shot/recurring: please follow the definition of DW-DX</t>
    <phoneticPr fontId="109"/>
  </si>
  <si>
    <t>Office Solution</t>
    <phoneticPr fontId="109"/>
  </si>
  <si>
    <r>
      <rPr>
        <sz val="11"/>
        <color rgb="FF0066FF"/>
        <rFont val="Arial"/>
        <family val="2"/>
      </rPr>
      <t xml:space="preserve">"Office Solutions" to include: "Software" (both On-Prem &amp; Cloud), related "Hardware" peripheral devices, and related "Services" </t>
    </r>
    <r>
      <rPr>
        <u/>
        <sz val="11"/>
        <color rgb="FF0066FF"/>
        <rFont val="Arial"/>
        <family val="2"/>
      </rPr>
      <t>to be sold with/for MFP to add values to MFP</t>
    </r>
    <r>
      <rPr>
        <sz val="11"/>
        <color rgb="FF0066FF"/>
        <rFont val="Arial"/>
        <family val="2"/>
      </rPr>
      <t>.  They are for example (but not limited to): &lt;SOFTWARE&gt; Print Management Solutions &amp; licenses such as Dispatcher Paragon, Paragon Cloud and other 3rd party solutions, Scan/Capture Solutions such as Dispatcher Phoenix/Suite and other 3rd party solutions, and also MFP Security Management Solutions such as buzhub Secure, ShieldGuard etc. &lt;HARDWARE&gt; ID Card Authentication devices, edge devices for Paragon Cloud etc. &lt;SERVICES&gt; Professional Services chargebale for consutation and deployment related to those applicable "Office Solutions" and for/through OPS services. These are only key own branded/IP examples and other local/regional relevant solutions &amp; services to be also included here.
MFP</t>
    </r>
    <r>
      <rPr>
        <sz val="11"/>
        <color rgb="FF0066FF"/>
        <rFont val="ＭＳ Ｐゴシック"/>
        <family val="2"/>
        <charset val="128"/>
      </rPr>
      <t>に付加価値を与える一連のソフトウェア(オンプレ・クラウド)・周辺ハードウェア・関連サービス売上。例えば、Dispatcher Paragon/Paragon Cloudを代表とする印刷管理ソリューション、MFPと連携するScanソリューション、MFPセキュリティ管理機能を提供するbizhub SecureやShieldGuard他。周辺ハードウェアについては印刷管理ソリューションと連携するIDカード認証装置やParagon Cloud用エッジデバイス他。関連サービスについては上記各種関連ソリューションに関連して発生するコンサルテーションや導入費用他、OPSコンサルテーション含む。</t>
    </r>
    <rPh sb="974" eb="976">
      <t>レンケイ</t>
    </rPh>
    <rPh sb="1087" eb="1088">
      <t>ヨウ</t>
    </rPh>
    <rPh sb="1158" eb="1159">
      <t>フク</t>
    </rPh>
    <phoneticPr fontId="5"/>
  </si>
  <si>
    <t>10-1. Variable Costing Income Statement</t>
    <phoneticPr fontId="109"/>
  </si>
  <si>
    <r>
      <t xml:space="preserve">IMS that provides IT infrastructure and its management. (Cloud services included)
EX) Procurement, SW liceces(e.g. M365), Consulting/Project/Managed Service,  Helpdesk service, IaaS(Infrastructure as a service) 
</t>
    </r>
    <r>
      <rPr>
        <sz val="11"/>
        <rFont val="Yu Gothic Medium"/>
        <family val="3"/>
        <charset val="128"/>
      </rPr>
      <t>ITインフラ構築とそれらを管理するサービス提供。クラウドサービス含む。</t>
    </r>
    <phoneticPr fontId="5"/>
  </si>
  <si>
    <r>
      <t xml:space="preserve">"ICW-IT" that provides WPH (HW and SW), BNDK business, New DevOps. 
EX) WPH, Consulting/Project/Hybrid Cloud (Cloud MSP, Data Management(BNDK)) ,New product(Please refer in below)
</t>
    </r>
    <r>
      <rPr>
        <sz val="11"/>
        <rFont val="Yu Gothic Medium"/>
        <family val="3"/>
        <charset val="128"/>
      </rPr>
      <t>WPH(ハードウェア、ソフトウェア)、BNDK、新規DevOps商材</t>
    </r>
    <phoneticPr fontId="5"/>
  </si>
  <si>
    <r>
      <t>"ICW-Wk" that provides efficiency and automation of customers' workflows by utilizing data by go into specific customers deeply. This includes SaaS product and Robotics.  
EX) Digital Marketing</t>
    </r>
    <r>
      <rPr>
        <sz val="11"/>
        <rFont val="ＭＳ Ｐゴシック"/>
        <family val="2"/>
        <charset val="128"/>
      </rPr>
      <t>・</t>
    </r>
    <r>
      <rPr>
        <sz val="11"/>
        <rFont val="Arial"/>
        <family val="2"/>
      </rPr>
      <t xml:space="preserve">Right-Sizing solution(KMJ), JP Government DX business, US HC-IT (WPH-HC, Revenue Cycle Management (RCM), VBC), FORXAI Secure Access, KMJ WPH Apps, SenrigaN, etc.  New product(Please refer below)
</t>
    </r>
    <r>
      <rPr>
        <sz val="11"/>
        <rFont val="Yu Gothic Medium"/>
        <family val="3"/>
        <charset val="128"/>
      </rPr>
      <t>特定顧客向けに深く入り込み、データ活用し顧客業務フローの効率化・自動化の提供。その為のSaaS商材やRoboticsも含む。</t>
    </r>
    <phoneticPr fontId="5"/>
  </si>
  <si>
    <r>
      <t>"ICW-P" that provides SaaS products which is analyzing the human behavior and knowledge with digital technologies and provides solutions to solve problems.
EX) MELON/ KOTOBAL, COCOMITE</t>
    </r>
    <r>
      <rPr>
        <sz val="11"/>
        <rFont val="ＭＳ Ｐゴシック"/>
        <family val="2"/>
        <charset val="128"/>
      </rPr>
      <t>、</t>
    </r>
    <r>
      <rPr>
        <sz val="11"/>
        <rFont val="Arial"/>
        <family val="2"/>
      </rPr>
      <t>AIReLink</t>
    </r>
    <r>
      <rPr>
        <sz val="11"/>
        <rFont val="ＭＳ Ｐゴシック"/>
        <family val="2"/>
        <charset val="128"/>
      </rPr>
      <t>、</t>
    </r>
    <r>
      <rPr>
        <sz val="11"/>
        <rFont val="Arial"/>
        <family val="2"/>
      </rPr>
      <t>Tomolinks</t>
    </r>
    <r>
      <rPr>
        <sz val="11"/>
        <rFont val="ＭＳ Ｐゴシック"/>
        <family val="2"/>
        <charset val="128"/>
      </rPr>
      <t>、</t>
    </r>
    <r>
      <rPr>
        <sz val="11"/>
        <rFont val="Arial"/>
        <family val="2"/>
      </rPr>
      <t>KMJ AIsee</t>
    </r>
    <r>
      <rPr>
        <sz val="11"/>
        <rFont val="ＭＳ Ｐゴシック"/>
        <family val="2"/>
        <charset val="128"/>
      </rPr>
      <t>、</t>
    </r>
    <r>
      <rPr>
        <sz val="11"/>
        <rFont val="Arial"/>
        <family val="2"/>
      </rPr>
      <t xml:space="preserve">Congnitive Hub, etc. Other product(Please refer in below)
</t>
    </r>
    <r>
      <rPr>
        <sz val="11"/>
        <rFont val="Yu Gothic Medium"/>
        <family val="3"/>
        <charset val="128"/>
      </rPr>
      <t>「ヒトや知見」をデジタル技術で結び付け創造性向上や困りごと解決を支援する主にSaaS商材。</t>
    </r>
    <phoneticPr fontId="5"/>
  </si>
  <si>
    <r>
      <t xml:space="preserve">MCS that supports distributing and managing information and contents. This category includes ECM, Document Management, </t>
    </r>
    <r>
      <rPr>
        <strike/>
        <sz val="11"/>
        <color rgb="FF0066FF"/>
        <rFont val="Arial"/>
        <family val="2"/>
      </rPr>
      <t>Scan &amp; Capture,</t>
    </r>
    <r>
      <rPr>
        <sz val="11"/>
        <color theme="1"/>
        <rFont val="Arial"/>
        <family val="2"/>
      </rPr>
      <t xml:space="preserve"> DPO (Document Process Outsourcing).
</t>
    </r>
    <r>
      <rPr>
        <strike/>
        <sz val="11"/>
        <color rgb="FF0066FF"/>
        <rFont val="Arial"/>
        <family val="2"/>
      </rPr>
      <t xml:space="preserve">EX) SharePoint, Square 9, OnBase, Dispatcher Phoenix, Open Bee Scan, eCopy, Document Navigator, Komi Doc/Scan, Autostore, </t>
    </r>
    <r>
      <rPr>
        <strike/>
        <sz val="11"/>
        <color rgb="FF0066FF"/>
        <rFont val="Meiryo UI"/>
        <family val="2"/>
        <charset val="128"/>
      </rPr>
      <t>仕分け名人</t>
    </r>
    <r>
      <rPr>
        <strike/>
        <sz val="11"/>
        <color rgb="FF0066FF"/>
        <rFont val="Arial"/>
        <family val="2"/>
      </rPr>
      <t xml:space="preserve">, Bill One, </t>
    </r>
    <r>
      <rPr>
        <strike/>
        <sz val="11"/>
        <color rgb="FF0066FF"/>
        <rFont val="Meiryo UI"/>
        <family val="2"/>
        <charset val="128"/>
      </rPr>
      <t>楽楽明細</t>
    </r>
    <r>
      <rPr>
        <strike/>
        <sz val="11"/>
        <color rgb="FF0066FF"/>
        <rFont val="Arial"/>
        <family val="2"/>
      </rPr>
      <t xml:space="preserve"> (KMJ) etc.</t>
    </r>
    <r>
      <rPr>
        <sz val="11"/>
        <color theme="1"/>
        <rFont val="Arial"/>
        <family val="2"/>
      </rPr>
      <t xml:space="preserve">
</t>
    </r>
    <r>
      <rPr>
        <sz val="11"/>
        <color theme="3"/>
        <rFont val="Yu Gothic Medium"/>
        <family val="3"/>
        <charset val="128"/>
      </rPr>
      <t>情報やコンテンツの配信・管理をサポートするソフトウェア・サービスを提供する。MCSにはECM、ドキュメント管理、</t>
    </r>
    <r>
      <rPr>
        <strike/>
        <sz val="11"/>
        <color rgb="FF0066FF"/>
        <rFont val="Yu Gothic Medium"/>
        <family val="3"/>
        <charset val="128"/>
      </rPr>
      <t>スキャンとキャプチャ</t>
    </r>
    <r>
      <rPr>
        <sz val="11"/>
        <color theme="3"/>
        <rFont val="Yu Gothic Medium"/>
        <family val="3"/>
        <charset val="128"/>
      </rPr>
      <t>(DPO)が含まれている。</t>
    </r>
    <phoneticPr fontId="5"/>
  </si>
  <si>
    <t>** If #1 &amp; #2 below are unsuccessful, skip #1 &amp; #2 and proceed to #3 **</t>
    <phoneticPr fontId="146"/>
  </si>
  <si>
    <t>FY2022 Actual ver1.0</t>
    <phoneticPr fontId="109"/>
  </si>
  <si>
    <t>R1</t>
  </si>
  <si>
    <t>Q1</t>
    <phoneticPr fontId="109"/>
  </si>
  <si>
    <t>ICW IT(office)</t>
    <phoneticPr fontId="5"/>
  </si>
  <si>
    <t>ICW IT</t>
    <phoneticPr fontId="5"/>
  </si>
  <si>
    <t>Revenue cycle mgmt</t>
    <phoneticPr fontId="5"/>
  </si>
  <si>
    <t>BIC themes</t>
    <phoneticPr fontId="5"/>
  </si>
  <si>
    <t>BIC</t>
    <phoneticPr fontId="5"/>
  </si>
  <si>
    <t xml:space="preserve">FORXAI Secure Access </t>
    <phoneticPr fontId="5"/>
  </si>
  <si>
    <t>Value-based care</t>
    <phoneticPr fontId="5"/>
  </si>
  <si>
    <t>SenrigaN (Non-destructive solution for bridge)</t>
    <phoneticPr fontId="5"/>
  </si>
  <si>
    <t>1-2</t>
    <phoneticPr fontId="146"/>
  </si>
  <si>
    <t>2-0</t>
    <phoneticPr fontId="146"/>
  </si>
  <si>
    <r>
      <t xml:space="preserve">URL for SSO User: </t>
    </r>
    <r>
      <rPr>
        <sz val="10"/>
        <rFont val="Arial"/>
        <family val="2"/>
      </rPr>
      <t>[E-mail address domain is “@konicaminolta.com”]</t>
    </r>
    <phoneticPr fontId="146"/>
  </si>
  <si>
    <t>*If the jump from the URL fails, enter it directly in your browser</t>
    <phoneticPr fontId="146"/>
  </si>
  <si>
    <r>
      <t xml:space="preserve">URL for Password User: </t>
    </r>
    <r>
      <rPr>
        <sz val="10"/>
        <rFont val="Arial"/>
        <family val="2"/>
      </rPr>
      <t>[E-mail address domain other than “@konicaminolta.com”]</t>
    </r>
    <phoneticPr fontId="146"/>
  </si>
  <si>
    <t>https://us1a.app.anaplan.com/frontdoor</t>
    <phoneticPr fontId="146"/>
  </si>
  <si>
    <t>2-2</t>
    <phoneticPr fontId="146"/>
  </si>
  <si>
    <t>2-3</t>
    <phoneticPr fontId="146"/>
  </si>
  <si>
    <t>XXXX</t>
    <phoneticPr fontId="146"/>
  </si>
  <si>
    <t>XXXX</t>
  </si>
  <si>
    <t>Due date of FY22 submission</t>
    <phoneticPr fontId="146"/>
  </si>
  <si>
    <r>
      <t xml:space="preserve">Due date of </t>
    </r>
    <r>
      <rPr>
        <b/>
        <u/>
        <sz val="14"/>
        <color theme="4"/>
        <rFont val="Arial"/>
        <family val="2"/>
      </rPr>
      <t>Unit Report</t>
    </r>
    <phoneticPr fontId="146"/>
  </si>
  <si>
    <r>
      <t xml:space="preserve">Due date of </t>
    </r>
    <r>
      <rPr>
        <b/>
        <u/>
        <sz val="14"/>
        <color theme="4"/>
        <rFont val="Arial"/>
        <family val="2"/>
      </rPr>
      <t>BT-Package</t>
    </r>
    <phoneticPr fontId="146"/>
  </si>
  <si>
    <r>
      <t xml:space="preserve">Due date of </t>
    </r>
    <r>
      <rPr>
        <b/>
        <u/>
        <sz val="14"/>
        <color theme="4"/>
        <rFont val="Arial"/>
        <family val="2"/>
      </rPr>
      <t>CEO Report</t>
    </r>
    <phoneticPr fontId="146"/>
  </si>
  <si>
    <t>Reference: Stravis-Link</t>
    <phoneticPr fontId="146"/>
  </si>
  <si>
    <t>[BUS/BEU/KMJ/BCN/BHK/BSA/BAU/BIN]</t>
    <phoneticPr fontId="146"/>
  </si>
  <si>
    <t>Reporting Period</t>
    <phoneticPr fontId="5"/>
  </si>
  <si>
    <r>
      <rPr>
        <sz val="11"/>
        <rFont val="Arial"/>
        <family val="2"/>
      </rPr>
      <t xml:space="preserve">Due date of </t>
    </r>
    <r>
      <rPr>
        <b/>
        <sz val="11"/>
        <rFont val="Arial"/>
        <family val="2"/>
      </rPr>
      <t>Unit Report</t>
    </r>
    <phoneticPr fontId="5"/>
  </si>
  <si>
    <r>
      <rPr>
        <sz val="11"/>
        <rFont val="Arial"/>
        <family val="2"/>
      </rPr>
      <t xml:space="preserve">Due date of </t>
    </r>
    <r>
      <rPr>
        <b/>
        <sz val="11"/>
        <rFont val="Arial"/>
        <family val="2"/>
      </rPr>
      <t>BT-Package</t>
    </r>
    <phoneticPr fontId="146"/>
  </si>
  <si>
    <r>
      <rPr>
        <sz val="11"/>
        <rFont val="Arial"/>
        <family val="2"/>
      </rPr>
      <t xml:space="preserve">Due date of </t>
    </r>
    <r>
      <rPr>
        <b/>
        <sz val="11"/>
        <rFont val="Arial"/>
        <family val="2"/>
      </rPr>
      <t>CEO Report</t>
    </r>
    <phoneticPr fontId="146"/>
  </si>
  <si>
    <t>Due date of Stravis-Link</t>
    <phoneticPr fontId="146"/>
  </si>
  <si>
    <t>1st Month</t>
    <phoneticPr fontId="146"/>
  </si>
  <si>
    <t>April, 2022</t>
  </si>
  <si>
    <t>May 5, 2022
(Japan: May 10, 2022)</t>
    <phoneticPr fontId="146"/>
  </si>
  <si>
    <t>May 9, 2022
(Japan: May 11, 2022)</t>
    <phoneticPr fontId="146"/>
  </si>
  <si>
    <t>May 13, 2022
(Japan: May 16, 2022)</t>
    <phoneticPr fontId="146"/>
  </si>
  <si>
    <t>May 9, 2022
(Japan: May 11, 2022)</t>
    <phoneticPr fontId="5"/>
  </si>
  <si>
    <t>2nd Month</t>
  </si>
  <si>
    <t>May, 2022</t>
  </si>
  <si>
    <t>3rd Month</t>
  </si>
  <si>
    <t>Jun, 2022</t>
  </si>
  <si>
    <t>July 6, 2022
(US: July 7, 2022)</t>
    <phoneticPr fontId="146"/>
  </si>
  <si>
    <t>July 13, 2022
(US: July 14, 2022)</t>
    <phoneticPr fontId="146"/>
  </si>
  <si>
    <t>4th Month</t>
  </si>
  <si>
    <t>July, 2022</t>
  </si>
  <si>
    <t>August 8, 2022
(Japan: August 10, 2022)</t>
    <phoneticPr fontId="146"/>
  </si>
  <si>
    <t>August 12, 2022
(Japan: August 16, 2022)</t>
    <phoneticPr fontId="146"/>
  </si>
  <si>
    <t>August 8, 2022
(Japan: August 10, 2022)</t>
    <phoneticPr fontId="5"/>
  </si>
  <si>
    <t>5th Month</t>
  </si>
  <si>
    <t>August, 2022</t>
  </si>
  <si>
    <t>September 6, 2022
(US: September 7, 2022)</t>
    <phoneticPr fontId="146"/>
  </si>
  <si>
    <t>September 7, 2022
(US: September 8, 2022)</t>
    <phoneticPr fontId="146"/>
  </si>
  <si>
    <t>September 12, 2022
(US: September 13, 2022)</t>
    <phoneticPr fontId="146"/>
  </si>
  <si>
    <t>September 7, 2022
(US: September 8, 2022)</t>
    <phoneticPr fontId="5"/>
  </si>
  <si>
    <t>6th Month</t>
  </si>
  <si>
    <t>September, 2022</t>
  </si>
  <si>
    <t>October 10, 2022
(Japan: October 11, 2022)</t>
    <phoneticPr fontId="146"/>
  </si>
  <si>
    <t>October 13, 2022
(US: October 14, 2022)</t>
    <phoneticPr fontId="146"/>
  </si>
  <si>
    <t>October 10, 2022
(Japan: October 11, 2022)</t>
    <phoneticPr fontId="5"/>
  </si>
  <si>
    <t>7th Month</t>
  </si>
  <si>
    <t>October, 2022</t>
  </si>
  <si>
    <t>November 4, 2022
(Japan: November 7, 2022)</t>
    <phoneticPr fontId="146"/>
  </si>
  <si>
    <t>November 7, 2022
(Japan: November 8, 2022)</t>
    <phoneticPr fontId="146"/>
  </si>
  <si>
    <t>November 10, 2022
(US: November 11, 2022)</t>
    <phoneticPr fontId="146"/>
  </si>
  <si>
    <t>November 7, 2022
(Japan: November 8, 2022)</t>
    <phoneticPr fontId="5"/>
  </si>
  <si>
    <t>8th Month</t>
  </si>
  <si>
    <t>November, 2022</t>
  </si>
  <si>
    <t>9th Month</t>
  </si>
  <si>
    <t>December, 2022</t>
  </si>
  <si>
    <t>January 5, 2023
(Japan: January 10, 2023)</t>
    <phoneticPr fontId="109"/>
  </si>
  <si>
    <t>January 10, 2023
(Japan: January 11, 2023)</t>
    <phoneticPr fontId="109"/>
  </si>
  <si>
    <t>January 10, 2023
(Japan: January 11, 2023)</t>
    <phoneticPr fontId="5"/>
  </si>
  <si>
    <t>10th Month</t>
  </si>
  <si>
    <t>January, 2023</t>
    <phoneticPr fontId="146"/>
  </si>
  <si>
    <t>11th Month</t>
  </si>
  <si>
    <t>February, 2023</t>
    <phoneticPr fontId="146"/>
  </si>
  <si>
    <t>12th Month</t>
  </si>
  <si>
    <t>March, 2023</t>
    <phoneticPr fontId="146"/>
  </si>
  <si>
    <t>TBD</t>
    <phoneticPr fontId="146"/>
  </si>
  <si>
    <t xml:space="preserve">[BBR Only] </t>
  </si>
  <si>
    <r>
      <rPr>
        <sz val="10"/>
        <rFont val="Arial"/>
        <family val="2"/>
      </rPr>
      <t xml:space="preserve">Due date of </t>
    </r>
    <r>
      <rPr>
        <b/>
        <sz val="10"/>
        <rFont val="Arial"/>
        <family val="2"/>
      </rPr>
      <t>Unit Report</t>
    </r>
    <phoneticPr fontId="5"/>
  </si>
  <si>
    <r>
      <rPr>
        <sz val="10"/>
        <rFont val="Arial"/>
        <family val="2"/>
      </rPr>
      <t xml:space="preserve">Due date of </t>
    </r>
    <r>
      <rPr>
        <b/>
        <sz val="10"/>
        <rFont val="Arial"/>
        <family val="2"/>
      </rPr>
      <t>BT-Package</t>
    </r>
    <phoneticPr fontId="146"/>
  </si>
  <si>
    <t>1st Month</t>
  </si>
  <si>
    <t>Apr, 2022</t>
  </si>
  <si>
    <t>Jul, 2022</t>
  </si>
  <si>
    <t>Aug, 2022</t>
  </si>
  <si>
    <t>Sep, 2022</t>
  </si>
  <si>
    <t>Oct, 2022</t>
  </si>
  <si>
    <t>Nov, 2022</t>
  </si>
  <si>
    <t>Dec, 2022</t>
  </si>
  <si>
    <t>Jan, 2023</t>
    <phoneticPr fontId="146"/>
  </si>
  <si>
    <t>Feb, 2023</t>
    <phoneticPr fontId="146"/>
  </si>
  <si>
    <t>Mar, 2023</t>
    <phoneticPr fontId="146"/>
  </si>
  <si>
    <t>FY2022 Original Plan ver2.2</t>
  </si>
  <si>
    <t>2. P/L (2) - Overview by BU</t>
  </si>
  <si>
    <t>Moved</t>
  </si>
  <si>
    <t>(1)-1 Office: Excluding "Office Solution"</t>
  </si>
  <si>
    <t>(1)-2 "Office Solution" only</t>
  </si>
  <si>
    <t>*Allocation is acceptable</t>
  </si>
  <si>
    <t>Operation Profit</t>
  </si>
  <si>
    <t>ICW</t>
  </si>
  <si>
    <t>ICW-IT (WPH,BNDK, DevOps) *OLD: WPH#1</t>
  </si>
  <si>
    <t>ICW-WK (JP Gov't DX biz, KMJ #3, BUS HC IT, FORXAI Secure Access)</t>
  </si>
  <si>
    <t>ICW-P (New DevOps) *New</t>
  </si>
  <si>
    <t>ITS (%)</t>
  </si>
  <si>
    <t>BPS (%)</t>
  </si>
  <si>
    <t>ICW (%)</t>
  </si>
  <si>
    <t>ICW-IT (%)</t>
  </si>
  <si>
    <t>ICW-WK (%)</t>
  </si>
  <si>
    <t>ICW-P (%)</t>
  </si>
  <si>
    <t>Breakdown of SG&amp;A: ICW</t>
  </si>
  <si>
    <t>Breakdown of SG&amp;A: ITS (except ICW)</t>
  </si>
  <si>
    <t>BCP: ITS</t>
  </si>
  <si>
    <t>BCP: ICW</t>
  </si>
  <si>
    <t>*one shot/recurring: please follow the definition of DW-DX</t>
  </si>
  <si>
    <t>(1) Office TTL</t>
  </si>
  <si>
    <t>(1)-1. Office ※Excluding Office Solution</t>
  </si>
  <si>
    <t>6. Purchase</t>
  </si>
  <si>
    <t>6-1. Detail of Purchase</t>
  </si>
  <si>
    <t xml:space="preserve">Not include Incidental Cost </t>
  </si>
  <si>
    <t>KMJ/BUS/BEU Stand Alone/BAU/BCN/BHK/BSA/BME/BIN/BBR　ONLY</t>
  </si>
  <si>
    <t>Total Purchase amount (①+②+③+④)</t>
  </si>
  <si>
    <t>Total BT-Gr Purchase amount（①+②+③）</t>
  </si>
  <si>
    <t>RR</t>
  </si>
  <si>
    <t>BT Support/Discount</t>
  </si>
  <si>
    <t>Others(KM1,EFI/LF,Textile,others)</t>
  </si>
  <si>
    <t>④Other (3rd Party） Suppliers</t>
  </si>
  <si>
    <t>6-2. Additional Purchase information</t>
  </si>
  <si>
    <t>KMJ/BEU Stand Alone/BCN ONLY</t>
  </si>
  <si>
    <t>RR Purchase</t>
  </si>
  <si>
    <t>(for BEU)</t>
  </si>
  <si>
    <t>Purchase for Aurora</t>
  </si>
  <si>
    <t>(for BCN)</t>
  </si>
  <si>
    <t>Purchase for Murata</t>
  </si>
  <si>
    <t>(for KMJ)</t>
  </si>
  <si>
    <t>(for KMJ/BEU/BCN)</t>
  </si>
  <si>
    <t>CHK--&gt;</t>
  </si>
  <si>
    <t>OK</t>
  </si>
  <si>
    <t>6-3. Inventory Analysis</t>
  </si>
  <si>
    <t>KMJ/BUS/BEU Stand Alone/BCN/BSA-Cons/BAU/BIN ONLY</t>
  </si>
  <si>
    <t>IN Total</t>
  </si>
  <si>
    <t>Others(3rd Party)</t>
  </si>
  <si>
    <t>Incidental Cost</t>
  </si>
  <si>
    <t>&lt; free input                            &gt;</t>
  </si>
  <si>
    <t>OUT Total</t>
  </si>
  <si>
    <t>Transfer from Inventory</t>
  </si>
  <si>
    <t>except BT Support (HW, NH)</t>
  </si>
  <si>
    <t>BT Support</t>
  </si>
  <si>
    <t>IP, DW-DX, Others</t>
  </si>
  <si>
    <t>balance CHK--&gt;</t>
  </si>
  <si>
    <t>OUT check by BU</t>
  </si>
  <si>
    <t>Office &lt;OUT&gt;</t>
  </si>
  <si>
    <t>PP &lt;OUT&gt;</t>
  </si>
  <si>
    <t>Others &lt;OUT&gt;</t>
  </si>
  <si>
    <t>Others of Others</t>
  </si>
  <si>
    <t>difference check.</t>
  </si>
  <si>
    <t>7. CX2</t>
  </si>
  <si>
    <t>BUS ONLY</t>
  </si>
  <si>
    <t>Apr</t>
  </si>
  <si>
    <t>FY22</t>
  </si>
  <si>
    <t>New Customer *</t>
  </si>
  <si>
    <t>Number of Purchase Account</t>
  </si>
  <si>
    <t>HW</t>
  </si>
  <si>
    <t>*</t>
  </si>
  <si>
    <t>NH</t>
  </si>
  <si>
    <t>Those are newly acquired</t>
  </si>
  <si>
    <t xml:space="preserve"> by EC business.</t>
  </si>
  <si>
    <t>Existing Customer **</t>
  </si>
  <si>
    <t xml:space="preserve">Those are existing </t>
  </si>
  <si>
    <t xml:space="preserve">customers by </t>
  </si>
  <si>
    <t>organic transaction.</t>
  </si>
  <si>
    <t>8-1. Depreciation &amp; Amortization</t>
  </si>
  <si>
    <t>8-2. Notes and Accounts Receivable-Trade</t>
  </si>
  <si>
    <t>8-3. Notes and Accounts Payable-Trade</t>
  </si>
  <si>
    <t>8-4. IP Unit</t>
  </si>
  <si>
    <t>*temporary requests</t>
  </si>
  <si>
    <t>Apr/E</t>
  </si>
  <si>
    <t>May/E</t>
  </si>
  <si>
    <t>Jun/E</t>
  </si>
  <si>
    <t>Jul/E</t>
  </si>
  <si>
    <t>Aug/E</t>
  </si>
  <si>
    <t>Sep/E</t>
  </si>
  <si>
    <t>Oct/E</t>
  </si>
  <si>
    <t>Nov/E</t>
  </si>
  <si>
    <t>Dec/E</t>
  </si>
  <si>
    <t>Jan/E</t>
  </si>
  <si>
    <t>Feb/E</t>
  </si>
  <si>
    <t>Mar/E</t>
  </si>
  <si>
    <t>TTL</t>
  </si>
  <si>
    <t>9. Other segments: BIC, IIS(Mobotix and DM)</t>
  </si>
  <si>
    <t>9-1. P/L: BT + BIC +IIS</t>
  </si>
  <si>
    <t>9-2. P/L Statement by BU</t>
  </si>
  <si>
    <t>(1) BIC</t>
  </si>
  <si>
    <t>(2) IIS (Imaging-IoT Solution)</t>
  </si>
  <si>
    <t>*Mobotix and DM have been merged into IIS</t>
  </si>
  <si>
    <t>MX</t>
  </si>
  <si>
    <t>Product</t>
  </si>
  <si>
    <t>Camera Device</t>
  </si>
  <si>
    <t>SW/Apps</t>
  </si>
  <si>
    <t>Service</t>
  </si>
  <si>
    <t>Onetime</t>
  </si>
  <si>
    <t>Recurring</t>
  </si>
  <si>
    <t>DM</t>
  </si>
  <si>
    <t>Gas</t>
  </si>
  <si>
    <t>(Excludes Sales to IIS Business Unit)</t>
  </si>
  <si>
    <t>9-3. Headcount : includes BIC, IIS(Mobotix and DM)</t>
  </si>
  <si>
    <t>(0) Total : BT + BIC +IIS</t>
  </si>
  <si>
    <t>MarketingTotal</t>
  </si>
  <si>
    <t>1. Headcount Details</t>
  </si>
  <si>
    <t>9-4. Inventories: BT + BIC +IIS</t>
  </si>
  <si>
    <t>(0) Total Inventories includes other Segment</t>
  </si>
  <si>
    <t>(6) BIC</t>
  </si>
  <si>
    <t>(7) IIS (Imaging-IoT Solution)</t>
  </si>
  <si>
    <t>Purchased from HMX</t>
  </si>
  <si>
    <t>10. Reference</t>
  </si>
  <si>
    <t>10-1. Variable Costing Income Statement</t>
  </si>
  <si>
    <t>Variable cost (Material Cost + SG&amp;A variable)</t>
  </si>
  <si>
    <t>Others (inc. SG&amp;A variable)</t>
  </si>
  <si>
    <t>Marginal Profit %</t>
  </si>
  <si>
    <t/>
  </si>
  <si>
    <t>COGs</t>
  </si>
  <si>
    <t>SG&amp;A</t>
  </si>
  <si>
    <t>SG&amp;A variable</t>
  </si>
  <si>
    <t>AC</t>
    <phoneticPr fontId="5"/>
  </si>
  <si>
    <t>R</t>
    <phoneticPr fontId="5"/>
  </si>
  <si>
    <t>U</t>
    <phoneticPr fontId="5"/>
  </si>
  <si>
    <t>X</t>
    <phoneticPr fontId="5"/>
  </si>
  <si>
    <t>AA</t>
    <phoneticPr fontId="5"/>
  </si>
  <si>
    <t>K_SGD</t>
    <phoneticPr fontId="5"/>
  </si>
  <si>
    <t>12</t>
    <phoneticPr fontId="109"/>
  </si>
  <si>
    <t>When using Excel Add-in, please reduce the number of Excel workbooks opened at the same time.</t>
    <phoneticPr fontId="109"/>
  </si>
  <si>
    <t xml:space="preserve"> </t>
  </si>
  <si>
    <t>K_INR</t>
  </si>
  <si>
    <t>BT Global Management</t>
  </si>
  <si>
    <t>data - Plan &amp; Actual Pkg : Monthly</t>
  </si>
  <si>
    <t>for FY22 PL Actual Excel Input</t>
  </si>
  <si>
    <t>Sales Company - BIN</t>
  </si>
  <si>
    <t>Scenario : 01-2 - Actual</t>
  </si>
  <si>
    <t>2022/05/10 15:33:48</t>
  </si>
  <si>
    <t>Last Refresh: 11-05-2022 12:09:15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</si>
</sst>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5">
    <numFmt numFmtId="164" formatCode="_(* #,##0_);_(* \(#,##0\);_(* &quot;-&quot;_);_(@_)"/>
    <numFmt numFmtId="165" formatCode="_(* #,##0.00_);_(* \(#,##0.00\);_(* &quot;-&quot;??_);_(@_)"/>
    <numFmt numFmtId="166" formatCode="&quot;¥&quot;#,##0.00;[Red]&quot;¥&quot;\-#,##0.00"/>
    <numFmt numFmtId="167" formatCode="_ &quot;¥&quot;* #,##0_ ;_ &quot;¥&quot;* \-#,##0_ ;_ &quot;¥&quot;* &quot;-&quot;_ ;_ @_ "/>
    <numFmt numFmtId="168" formatCode="_ &quot;¥&quot;* #,##0.00_ ;_ &quot;¥&quot;* \-#,##0.00_ ;_ &quot;¥&quot;* &quot;-&quot;??_ ;_ @_ "/>
    <numFmt numFmtId="169" formatCode="0.00000"/>
    <numFmt numFmtId="170" formatCode="_-* #,##0_-;\-* #,##0_-;_-* &quot;-&quot;_-;_-@_-"/>
    <numFmt numFmtId="171" formatCode="_(* #,##0.0_);_(* \(#,##0.0\);_(* &quot;-&quot;??_);_(@_)"/>
    <numFmt numFmtId="172" formatCode="&quot;$&quot;#,##0;\-&quot;$&quot;#,##0"/>
    <numFmt numFmtId="173" formatCode="_-* #,##0\ _z_3_-;\-* #,##0\ _z_3_-;_-* &quot;-&quot;\ _z_3_-;_-@_-"/>
    <numFmt numFmtId="174" formatCode="_-* #,##0.00\ _z_ł_-;\-* #,##0.00\ _z_ł_-;_-* &quot;-&quot;??\ _z_ł_-;_-@_-"/>
    <numFmt numFmtId="175" formatCode="_(&quot;$&quot;* #,##0.00_);_(&quot;$&quot;* \(#,##0.00\);_(&quot;$&quot;* &quot;-&quot;??_);_(@_)"/>
    <numFmt numFmtId="176" formatCode="#,##0.0_);\(#,##0.0\);;\ \ @"/>
    <numFmt numFmtId="177" formatCode="#,##0_);\(#,##0\);\-_)"/>
    <numFmt numFmtId="178" formatCode="_ &quot;$&quot;\ * #,##0_ ;_ &quot;$&quot;\ * \-#,##0_ ;_ &quot;$&quot;\ * &quot;-&quot;_ ;_ @_ "/>
    <numFmt numFmtId="179" formatCode="#,##0.00,,_-;[Red]\(#,##0.00,,\)"/>
    <numFmt numFmtId="180" formatCode="#,##0.00,,_-;[Red]\(#,##0.00,,\);"/>
    <numFmt numFmtId="181" formatCode="&quot;$&quot;#,##0_);[Red]\(&quot;$&quot;#,##0\)"/>
    <numFmt numFmtId="182" formatCode="&quot;$&quot;#,##0.00_);[Red]\(&quot;$&quot;#,##0.00\)"/>
    <numFmt numFmtId="183" formatCode="0.000000E+00"/>
    <numFmt numFmtId="184" formatCode="0.00_);[Red]\(0.00\)"/>
    <numFmt numFmtId="185" formatCode="0%;[Red]\-0%"/>
    <numFmt numFmtId="186" formatCode="_(&quot;£&quot;* #,##0_);_(&quot;£&quot;* \(#,##0\);_(&quot;£&quot;* &quot;-&quot;_);_(@_)"/>
    <numFmt numFmtId="187" formatCode="_(&quot;£&quot;* #,##0.00_);_(&quot;£&quot;* \(#,##0.00\);_(&quot;£&quot;* &quot;-&quot;??_);_(@_)"/>
    <numFmt numFmtId="188" formatCode="_-* #,##0\ &quot;z3&quot;_-;\-* #,##0\ &quot;z3&quot;_-;_-* &quot;-&quot;\ &quot;z3&quot;_-;_-@_-"/>
    <numFmt numFmtId="189" formatCode="_-* #,##0.00\ &quot;z3&quot;_-;\-* #,##0.00\ &quot;z3&quot;_-;_-* &quot;-&quot;??\ &quot;z3&quot;_-;_-@_-"/>
    <numFmt numFmtId="190" formatCode=";;;"/>
    <numFmt numFmtId="191" formatCode="#,##0,"/>
    <numFmt numFmtId="192" formatCode="0.00%;[Red]\-0.00%;&quot;－&quot;"/>
    <numFmt numFmtId="193" formatCode="_-&quot;$&quot;* #,##0_-;\-&quot;$&quot;* #,##0_-;_-&quot;$&quot;* &quot;-&quot;_-;_-@_-"/>
    <numFmt numFmtId="194" formatCode="_-&quot;$&quot;* #,##0.00_-;\-&quot;$&quot;* #,##0.00_-;_-&quot;$&quot;* &quot;-&quot;??_-;_-@_-"/>
    <numFmt numFmtId="195" formatCode="0.0%"/>
    <numFmt numFmtId="196" formatCode="General_)"/>
    <numFmt numFmtId="197" formatCode="#,##0.0_);[Red]\(#,##0.0\)"/>
    <numFmt numFmtId="198" formatCode="#,##0_ ;[Red]\-#,##0\ "/>
    <numFmt numFmtId="199" formatCode="[$-409]mmm;@"/>
    <numFmt numFmtId="200" formatCode="0.0"/>
    <numFmt numFmtId="201" formatCode="#,##0.000;[Red]\-#,##0.000"/>
    <numFmt numFmtId="202" formatCode="0_);[Red]\(0\)"/>
    <numFmt numFmtId="203" formatCode="0_ ;[Red]\-0\ "/>
    <numFmt numFmtId="204" formatCode="\+#,##0;[Red]\-#,##0"/>
    <numFmt numFmtId="205" formatCode="#,##0.0;[Red]\-#,##0.0"/>
    <numFmt numFmtId="206" formatCode="[$-409]mmmm\ d\,\ yyyy;@"/>
    <numFmt numFmtId="207" formatCode="#,##0_);[Red]\(#,##0\)"/>
    <numFmt numFmtId="208" formatCode="_(* #,##0_);_(* \(#,##0\);_(* &quot;-&quot;??_);_(@_)"/>
  </numFmts>
  <fonts count="243">
    <font>
      <sz val="11"/>
      <color theme="1"/>
      <name val="Calibri"/>
      <family val="2"/>
      <charset val="128"/>
      <scheme val="minor"/>
    </font>
    <font>
      <sz val="11"/>
      <color theme="1"/>
      <name val="Calibri"/>
      <family val="2"/>
      <scheme val="minor"/>
    </font>
    <font>
      <sz val="11"/>
      <color theme="1"/>
      <name val="Calibri"/>
      <family val="2"/>
      <scheme val="minor"/>
    </font>
    <font>
      <sz val="10"/>
      <color theme="1"/>
      <name val="Meiryo UI"/>
      <family val="2"/>
      <charset val="128"/>
    </font>
    <font>
      <sz val="10"/>
      <color theme="1"/>
      <name val="Meiryo UI"/>
      <family val="2"/>
      <charset val="128"/>
    </font>
    <font>
      <sz val="6"/>
      <name val="Calibri"/>
      <family val="2"/>
      <charset val="128"/>
      <scheme val="minor"/>
    </font>
    <font>
      <sz val="10"/>
      <name val="Times New Roman"/>
      <family val="1"/>
    </font>
    <font>
      <sz val="10"/>
      <name val="Arial"/>
      <family val="2"/>
    </font>
    <font>
      <sz val="10"/>
      <name val="Helv"/>
      <family val="2"/>
    </font>
    <font>
      <sz val="10"/>
      <color indexed="8"/>
      <name val="Arial"/>
      <family val="2"/>
    </font>
    <font>
      <sz val="12"/>
      <name val="Times New Roman"/>
      <family val="1"/>
    </font>
    <font>
      <sz val="10"/>
      <name val="MS Sans Serif"/>
      <family val="2"/>
    </font>
    <font>
      <sz val="11"/>
      <color indexed="8"/>
      <name val="Calibri"/>
      <family val="2"/>
    </font>
    <font>
      <sz val="11"/>
      <color theme="1"/>
      <name val="Calibri"/>
      <family val="3"/>
      <charset val="128"/>
      <scheme val="minor"/>
    </font>
    <font>
      <sz val="11"/>
      <color indexed="8"/>
      <name val="ＭＳ Ｐゴシック"/>
      <family val="3"/>
      <charset val="128"/>
    </font>
    <font>
      <sz val="12"/>
      <color indexed="8"/>
      <name val="新細明體"/>
      <family val="1"/>
    </font>
    <font>
      <sz val="11"/>
      <color indexed="9"/>
      <name val="Calibri"/>
      <family val="2"/>
    </font>
    <font>
      <sz val="11"/>
      <color indexed="9"/>
      <name val="ＭＳ Ｐゴシック"/>
      <family val="3"/>
      <charset val="128"/>
    </font>
    <font>
      <sz val="12"/>
      <color indexed="9"/>
      <name val="新細明體"/>
      <family val="1"/>
    </font>
    <font>
      <sz val="11"/>
      <color indexed="20"/>
      <name val="Calibri"/>
      <family val="2"/>
    </font>
    <font>
      <sz val="11"/>
      <name val="ＭＳ Ｐ明朝"/>
      <family val="1"/>
      <charset val="128"/>
    </font>
    <font>
      <b/>
      <sz val="11"/>
      <color indexed="52"/>
      <name val="Calibri"/>
      <family val="2"/>
    </font>
    <font>
      <b/>
      <sz val="11"/>
      <color indexed="9"/>
      <name val="Calibri"/>
      <family val="2"/>
    </font>
    <font>
      <b/>
      <sz val="8"/>
      <name val="Arial"/>
      <family val="2"/>
    </font>
    <font>
      <sz val="10"/>
      <name val="Courier New"/>
      <family val="3"/>
    </font>
    <font>
      <sz val="10"/>
      <name val="BERNHARD"/>
      <family val="2"/>
    </font>
    <font>
      <sz val="10"/>
      <color indexed="12"/>
      <name val="Arial"/>
      <family val="2"/>
    </font>
    <font>
      <i/>
      <sz val="10"/>
      <name val="Arial"/>
      <family val="2"/>
    </font>
    <font>
      <sz val="8"/>
      <name val="Arial"/>
      <family val="2"/>
    </font>
    <font>
      <sz val="1"/>
      <color indexed="8"/>
      <name val="Courier"/>
      <family val="3"/>
    </font>
    <font>
      <sz val="10"/>
      <name val="Arial CE"/>
      <family val="2"/>
      <charset val="238"/>
    </font>
    <font>
      <b/>
      <sz val="11"/>
      <color indexed="8"/>
      <name val="Calibri"/>
      <family val="2"/>
    </font>
    <font>
      <b/>
      <sz val="1"/>
      <color indexed="8"/>
      <name val="Courier"/>
      <family val="3"/>
    </font>
    <font>
      <u/>
      <sz val="9"/>
      <name val="Geneva"/>
      <family val="2"/>
    </font>
    <font>
      <i/>
      <sz val="11"/>
      <color indexed="23"/>
      <name val="Calibri"/>
      <family val="2"/>
    </font>
    <font>
      <sz val="11"/>
      <color indexed="17"/>
      <name val="Calibri"/>
      <family val="2"/>
    </font>
    <font>
      <b/>
      <sz val="12"/>
      <name val="Arial"/>
      <family val="2"/>
    </font>
    <font>
      <b/>
      <sz val="15"/>
      <color indexed="56"/>
      <name val="Calibri"/>
      <family val="2"/>
    </font>
    <font>
      <b/>
      <sz val="13"/>
      <color indexed="56"/>
      <name val="Calibri"/>
      <family val="2"/>
    </font>
    <font>
      <b/>
      <sz val="11"/>
      <color indexed="56"/>
      <name val="Calibri"/>
      <family val="2"/>
    </font>
    <font>
      <sz val="10"/>
      <color indexed="37"/>
      <name val="Courier New"/>
      <family val="3"/>
    </font>
    <font>
      <sz val="10"/>
      <name val="Courier"/>
      <family val="3"/>
    </font>
    <font>
      <sz val="11"/>
      <color indexed="62"/>
      <name val="Calibri"/>
      <family val="2"/>
    </font>
    <font>
      <sz val="11"/>
      <color indexed="52"/>
      <name val="Calibri"/>
      <family val="2"/>
    </font>
    <font>
      <sz val="11"/>
      <color indexed="60"/>
      <name val="Calibri"/>
      <family val="2"/>
    </font>
    <font>
      <sz val="7"/>
      <name val="Small Fonts"/>
      <family val="2"/>
    </font>
    <font>
      <sz val="14"/>
      <name val="Terminal"/>
      <family val="3"/>
      <charset val="255"/>
    </font>
    <font>
      <sz val="11"/>
      <name val="明朝"/>
      <family val="3"/>
      <charset val="128"/>
    </font>
    <font>
      <sz val="10"/>
      <name val="Arial MT"/>
      <family val="2"/>
    </font>
    <font>
      <b/>
      <sz val="11"/>
      <color indexed="63"/>
      <name val="Calibri"/>
      <family val="2"/>
    </font>
    <font>
      <b/>
      <sz val="10"/>
      <color indexed="8"/>
      <name val="Arial"/>
      <family val="2"/>
    </font>
    <font>
      <b/>
      <sz val="18"/>
      <color indexed="62"/>
      <name val="Cambria"/>
      <family val="1"/>
    </font>
    <font>
      <sz val="11"/>
      <name val="–¾’©"/>
      <family val="3"/>
      <charset val="128"/>
    </font>
    <font>
      <b/>
      <sz val="11"/>
      <name val="Helv"/>
      <family val="2"/>
    </font>
    <font>
      <b/>
      <u/>
      <sz val="14"/>
      <color indexed="16"/>
      <name val="ＭＳ Ｐゴシック"/>
      <family val="3"/>
      <charset val="128"/>
    </font>
    <font>
      <b/>
      <sz val="18"/>
      <color indexed="56"/>
      <name val="Cambria"/>
      <family val="1"/>
    </font>
    <font>
      <sz val="11"/>
      <color indexed="10"/>
      <name val="Calibri"/>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color theme="1"/>
      <name val="ＭＳ ゴシック"/>
      <family val="3"/>
      <charset val="128"/>
    </font>
    <font>
      <sz val="11"/>
      <name val="ＭＳ ゴシック"/>
      <family val="3"/>
      <charset val="128"/>
    </font>
    <font>
      <u/>
      <sz val="11"/>
      <color theme="10"/>
      <name val="ＭＳ Ｐゴシック"/>
      <family val="3"/>
      <charset val="128"/>
    </font>
    <font>
      <sz val="11"/>
      <color indexed="52"/>
      <name val="ＭＳ Ｐゴシック"/>
      <family val="3"/>
      <charset val="128"/>
    </font>
    <font>
      <sz val="11"/>
      <color indexed="20"/>
      <name val="ＭＳ Ｐゴシック"/>
      <family val="3"/>
      <charset val="128"/>
    </font>
    <font>
      <sz val="12"/>
      <name val="宋体"/>
      <family val="3"/>
      <charset val="128"/>
    </font>
    <font>
      <sz val="12"/>
      <name val="新細明體"/>
      <family val="1"/>
    </font>
    <font>
      <sz val="12"/>
      <name val="ＭＳ ゴシック"/>
      <family val="3"/>
      <charset val="128"/>
    </font>
    <font>
      <b/>
      <sz val="11"/>
      <color indexed="52"/>
      <name val="ＭＳ Ｐゴシック"/>
      <family val="3"/>
      <charset val="128"/>
    </font>
    <font>
      <b/>
      <sz val="12"/>
      <color indexed="52"/>
      <name val="新細明體"/>
      <family val="1"/>
    </font>
    <font>
      <sz val="11"/>
      <color indexed="10"/>
      <name val="ＭＳ Ｐゴシック"/>
      <family val="3"/>
      <charset val="128"/>
    </font>
    <font>
      <sz val="12"/>
      <color indexed="10"/>
      <name val="新細明體"/>
      <family val="1"/>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sz val="12"/>
      <color indexed="17"/>
      <name val="新細明體"/>
      <family val="1"/>
    </font>
    <font>
      <b/>
      <sz val="12"/>
      <color indexed="8"/>
      <name val="新細明體"/>
      <family val="1"/>
    </font>
    <font>
      <b/>
      <sz val="11"/>
      <color indexed="8"/>
      <name val="ＭＳ Ｐゴシック"/>
      <family val="3"/>
      <charset val="128"/>
    </font>
    <font>
      <b/>
      <sz val="11"/>
      <color indexed="63"/>
      <name val="ＭＳ Ｐゴシック"/>
      <family val="3"/>
      <charset val="128"/>
    </font>
    <font>
      <sz val="12"/>
      <name val="Helv"/>
      <family val="2"/>
    </font>
    <font>
      <i/>
      <sz val="11"/>
      <color indexed="23"/>
      <name val="ＭＳ Ｐゴシック"/>
      <family val="3"/>
      <charset val="128"/>
    </font>
    <font>
      <sz val="12"/>
      <color indexed="60"/>
      <name val="新細明體"/>
      <family val="1"/>
    </font>
    <font>
      <u/>
      <sz val="12"/>
      <color indexed="12"/>
      <name val="新細明體"/>
      <family val="1"/>
    </font>
    <font>
      <sz val="11"/>
      <color indexed="62"/>
      <name val="ＭＳ Ｐゴシック"/>
      <family val="3"/>
      <charset val="128"/>
    </font>
    <font>
      <sz val="11"/>
      <color theme="1"/>
      <name val="ＭＳ Ｐゴシック"/>
      <family val="3"/>
      <charset val="128"/>
    </font>
    <font>
      <sz val="10"/>
      <color theme="1"/>
      <name val="Meiryo UI"/>
      <family val="3"/>
      <charset val="128"/>
    </font>
    <font>
      <sz val="12"/>
      <name val="ＭＳ Ｐゴシック"/>
      <family val="3"/>
      <charset val="128"/>
    </font>
    <font>
      <sz val="10"/>
      <name val="ＭＳ Ｐゴシック"/>
      <family val="3"/>
      <charset val="128"/>
    </font>
    <font>
      <b/>
      <sz val="18"/>
      <color indexed="56"/>
      <name val="新細明體"/>
      <family val="1"/>
    </font>
    <font>
      <b/>
      <sz val="15"/>
      <color indexed="56"/>
      <name val="新細明體"/>
      <family val="1"/>
    </font>
    <font>
      <b/>
      <sz val="13"/>
      <color indexed="56"/>
      <name val="新細明體"/>
      <family val="1"/>
    </font>
    <font>
      <b/>
      <sz val="11"/>
      <color indexed="56"/>
      <name val="新細明體"/>
      <family val="1"/>
    </font>
    <font>
      <sz val="14"/>
      <name val="ＭＳ ・団"/>
      <family val="1"/>
      <charset val="128"/>
    </font>
    <font>
      <sz val="14"/>
      <name val="ＭＳ 明朝"/>
      <family val="1"/>
      <charset val="128"/>
    </font>
    <font>
      <b/>
      <sz val="12"/>
      <color indexed="63"/>
      <name val="新細明體"/>
      <family val="1"/>
    </font>
    <font>
      <sz val="12"/>
      <color indexed="62"/>
      <name val="新細明體"/>
      <family val="1"/>
    </font>
    <font>
      <sz val="11"/>
      <color indexed="17"/>
      <name val="ＭＳ Ｐゴシック"/>
      <family val="3"/>
      <charset val="128"/>
    </font>
    <font>
      <sz val="12"/>
      <color indexed="52"/>
      <name val="新細明體"/>
      <family val="1"/>
    </font>
    <font>
      <sz val="12"/>
      <color indexed="20"/>
      <name val="新細明體"/>
      <family val="1"/>
    </font>
    <font>
      <b/>
      <sz val="12"/>
      <color indexed="9"/>
      <name val="新細明體"/>
      <family val="1"/>
    </font>
    <font>
      <u/>
      <sz val="12"/>
      <color indexed="36"/>
      <name val="新細明體"/>
      <family val="1"/>
    </font>
    <font>
      <i/>
      <sz val="12"/>
      <color indexed="23"/>
      <name val="新細明體"/>
      <family val="1"/>
    </font>
    <font>
      <sz val="11"/>
      <color theme="1"/>
      <name val="Calibri"/>
      <family val="2"/>
      <charset val="128"/>
      <scheme val="minor"/>
    </font>
    <font>
      <sz val="11"/>
      <name val="Arial"/>
      <family val="2"/>
    </font>
    <font>
      <b/>
      <sz val="11"/>
      <name val="Arial"/>
      <family val="2"/>
    </font>
    <font>
      <b/>
      <sz val="11"/>
      <color theme="0"/>
      <name val="Arial"/>
      <family val="2"/>
    </font>
    <font>
      <sz val="11"/>
      <color theme="0"/>
      <name val="Arial"/>
      <family val="2"/>
    </font>
    <font>
      <sz val="6"/>
      <name val="ＭＳ Ｐゴシック"/>
      <family val="3"/>
      <charset val="128"/>
    </font>
    <font>
      <b/>
      <sz val="14"/>
      <name val="Arial"/>
      <family val="2"/>
    </font>
    <font>
      <sz val="11"/>
      <color theme="1"/>
      <name val="Arial"/>
      <family val="2"/>
    </font>
    <font>
      <b/>
      <sz val="20"/>
      <name val="Arial"/>
      <family val="2"/>
    </font>
    <font>
      <i/>
      <sz val="11"/>
      <name val="Arial"/>
      <family val="2"/>
    </font>
    <font>
      <sz val="11"/>
      <color rgb="FFFF0000"/>
      <name val="Arial"/>
      <family val="2"/>
    </font>
    <font>
      <b/>
      <i/>
      <sz val="11"/>
      <color theme="9" tint="-0.249977111117893"/>
      <name val="Arial"/>
      <family val="2"/>
    </font>
    <font>
      <i/>
      <sz val="11"/>
      <color theme="9" tint="-0.249977111117893"/>
      <name val="Arial"/>
      <family val="2"/>
    </font>
    <font>
      <u/>
      <sz val="11"/>
      <color theme="10"/>
      <name val="Arial"/>
      <family val="2"/>
    </font>
    <font>
      <b/>
      <sz val="14"/>
      <color rgb="FFFF0000"/>
      <name val="Arial"/>
      <family val="2"/>
    </font>
    <font>
      <b/>
      <u/>
      <sz val="14"/>
      <color theme="10"/>
      <name val="Arial"/>
      <family val="2"/>
    </font>
    <font>
      <b/>
      <sz val="16"/>
      <name val="Arial"/>
      <family val="2"/>
    </font>
    <font>
      <b/>
      <u/>
      <sz val="16"/>
      <name val="Arial"/>
      <family val="2"/>
    </font>
    <font>
      <sz val="11"/>
      <color indexed="10"/>
      <name val="Arial"/>
      <family val="2"/>
    </font>
    <font>
      <b/>
      <sz val="11"/>
      <color rgb="FFFF0000"/>
      <name val="Arial"/>
      <family val="2"/>
    </font>
    <font>
      <b/>
      <u/>
      <sz val="16"/>
      <color theme="1"/>
      <name val="Arial"/>
      <family val="2"/>
    </font>
    <font>
      <sz val="11"/>
      <color theme="1"/>
      <name val="Calibri"/>
      <family val="2"/>
      <scheme val="minor"/>
    </font>
    <font>
      <sz val="11"/>
      <color rgb="FF000000"/>
      <name val="Meiryo UI"/>
      <family val="3"/>
      <charset val="128"/>
    </font>
    <font>
      <sz val="11"/>
      <color theme="1"/>
      <name val="Meiryo UI"/>
      <family val="3"/>
      <charset val="128"/>
    </font>
    <font>
      <sz val="10"/>
      <color theme="1"/>
      <name val="Arial"/>
      <family val="2"/>
    </font>
    <font>
      <u/>
      <sz val="10"/>
      <color theme="1"/>
      <name val="Arial"/>
      <family val="2"/>
    </font>
    <font>
      <sz val="10"/>
      <color rgb="FF000000"/>
      <name val="Meiryo UI"/>
      <family val="3"/>
      <charset val="128"/>
    </font>
    <font>
      <sz val="11"/>
      <name val="Meiryo UI"/>
      <family val="3"/>
      <charset val="128"/>
    </font>
    <font>
      <sz val="10"/>
      <name val="Meiryo UI"/>
      <family val="3"/>
      <charset val="128"/>
    </font>
    <font>
      <strike/>
      <sz val="11"/>
      <color rgb="FFFF0000"/>
      <name val="Arial"/>
      <family val="2"/>
    </font>
    <font>
      <sz val="9"/>
      <name val="Arial"/>
      <family val="2"/>
    </font>
    <font>
      <sz val="8"/>
      <color theme="1"/>
      <name val="Arial"/>
      <family val="2"/>
    </font>
    <font>
      <sz val="8"/>
      <color theme="0"/>
      <name val="Arial"/>
      <family val="2"/>
    </font>
    <font>
      <sz val="11"/>
      <color theme="1" tint="0.34998626667073579"/>
      <name val="Meiryo UI"/>
      <family val="3"/>
      <charset val="128"/>
    </font>
    <font>
      <sz val="11"/>
      <color rgb="FFFF0000"/>
      <name val="Meiryo UI"/>
      <family val="3"/>
      <charset val="128"/>
    </font>
    <font>
      <sz val="10"/>
      <color rgb="FFFF0000"/>
      <name val="Meiryo UI"/>
      <family val="3"/>
      <charset val="128"/>
    </font>
    <font>
      <b/>
      <sz val="11"/>
      <name val="ＭＳ Ｐゴシック"/>
      <family val="3"/>
      <charset val="128"/>
    </font>
    <font>
      <b/>
      <sz val="11"/>
      <color theme="1"/>
      <name val="Calibri"/>
      <family val="2"/>
      <charset val="128"/>
      <scheme val="minor"/>
    </font>
    <font>
      <b/>
      <sz val="11"/>
      <color theme="1"/>
      <name val="Calibri"/>
      <family val="2"/>
      <scheme val="minor"/>
    </font>
    <font>
      <b/>
      <sz val="11"/>
      <name val="Arial"/>
      <family val="3"/>
      <charset val="128"/>
    </font>
    <font>
      <b/>
      <u/>
      <sz val="14"/>
      <color theme="1"/>
      <name val="Arial"/>
      <family val="2"/>
    </font>
    <font>
      <sz val="14"/>
      <color theme="1"/>
      <name val="Arial"/>
      <family val="2"/>
    </font>
    <font>
      <sz val="6"/>
      <name val="Meiryo UI"/>
      <family val="2"/>
      <charset val="128"/>
    </font>
    <font>
      <b/>
      <sz val="11"/>
      <color theme="9" tint="-0.499984740745262"/>
      <name val="Arial"/>
      <family val="2"/>
    </font>
    <font>
      <b/>
      <sz val="11"/>
      <color rgb="FFFF0000"/>
      <name val="ＭＳ Ｐゴシック"/>
      <family val="3"/>
      <charset val="128"/>
    </font>
    <font>
      <sz val="8"/>
      <color rgb="FFFF0000"/>
      <name val="Arial"/>
      <family val="2"/>
    </font>
    <font>
      <b/>
      <sz val="11"/>
      <name val="Meiryo UI"/>
      <family val="3"/>
      <charset val="128"/>
    </font>
    <font>
      <i/>
      <sz val="11"/>
      <color theme="1" tint="0.499984740745262"/>
      <name val="Arial"/>
      <family val="2"/>
    </font>
    <font>
      <i/>
      <sz val="11"/>
      <color theme="1" tint="0.34998626667073579"/>
      <name val="Arial"/>
      <family val="2"/>
    </font>
    <font>
      <sz val="10"/>
      <color theme="1" tint="0.34998626667073579"/>
      <name val="Meiryo UI"/>
      <family val="3"/>
      <charset val="128"/>
    </font>
    <font>
      <b/>
      <sz val="10"/>
      <color theme="1"/>
      <name val="Meiryo UI"/>
      <family val="3"/>
      <charset val="128"/>
    </font>
    <font>
      <b/>
      <sz val="11"/>
      <color theme="1"/>
      <name val="Meiryo UI"/>
      <family val="3"/>
      <charset val="128"/>
    </font>
    <font>
      <sz val="11"/>
      <color theme="8"/>
      <name val="Arial"/>
      <family val="2"/>
    </font>
    <font>
      <sz val="11"/>
      <color theme="9" tint="-0.499984740745262"/>
      <name val="Arial"/>
      <family val="2"/>
    </font>
    <font>
      <i/>
      <sz val="11"/>
      <color theme="9" tint="-0.499984740745262"/>
      <name val="Arial"/>
      <family val="2"/>
    </font>
    <font>
      <b/>
      <i/>
      <sz val="11"/>
      <color theme="9" tint="-0.499984740745262"/>
      <name val="Arial"/>
      <family val="2"/>
    </font>
    <font>
      <i/>
      <strike/>
      <sz val="11"/>
      <color theme="9" tint="-0.499984740745262"/>
      <name val="Arial"/>
      <family val="2"/>
    </font>
    <font>
      <i/>
      <sz val="11"/>
      <color theme="1" tint="0.249977111117893"/>
      <name val="Arial"/>
      <family val="2"/>
    </font>
    <font>
      <sz val="11"/>
      <color theme="1" tint="0.499984740745262"/>
      <name val="Arial"/>
      <family val="2"/>
    </font>
    <font>
      <i/>
      <sz val="11"/>
      <color rgb="FFFF0000"/>
      <name val="Arial"/>
      <family val="2"/>
    </font>
    <font>
      <sz val="11"/>
      <color theme="1" tint="0.499984740745262"/>
      <name val="ＭＳ Ｐゴシック"/>
      <family val="3"/>
      <charset val="128"/>
    </font>
    <font>
      <b/>
      <sz val="11"/>
      <color theme="1" tint="0.499984740745262"/>
      <name val="ＭＳ Ｐゴシック"/>
      <family val="3"/>
      <charset val="128"/>
    </font>
    <font>
      <b/>
      <sz val="11"/>
      <color theme="1" tint="0.499984740745262"/>
      <name val="Arial"/>
      <family val="2"/>
    </font>
    <font>
      <sz val="14"/>
      <color theme="8"/>
      <name val="Arial"/>
      <family val="2"/>
    </font>
    <font>
      <b/>
      <sz val="10"/>
      <color theme="1"/>
      <name val="Arial"/>
      <family val="2"/>
    </font>
    <font>
      <b/>
      <sz val="11"/>
      <color rgb="FF000000"/>
      <name val="Meiryo UI"/>
      <family val="3"/>
      <charset val="128"/>
    </font>
    <font>
      <b/>
      <sz val="10"/>
      <name val="Meiryo UI"/>
      <family val="3"/>
      <charset val="128"/>
    </font>
    <font>
      <sz val="9"/>
      <color theme="0"/>
      <name val="Arial"/>
      <family val="2"/>
    </font>
    <font>
      <sz val="12"/>
      <color rgb="FF0000FF"/>
      <name val="ＭＳ Ｐゴシック"/>
      <family val="3"/>
      <charset val="128"/>
    </font>
    <font>
      <sz val="11"/>
      <color rgb="FF0000FF"/>
      <name val="Arial"/>
      <family val="2"/>
    </font>
    <font>
      <b/>
      <sz val="12"/>
      <color rgb="FF0000FF"/>
      <name val="Arial"/>
      <family val="2"/>
    </font>
    <font>
      <sz val="12"/>
      <color rgb="FF0000FF"/>
      <name val="Arial"/>
      <family val="2"/>
    </font>
    <font>
      <sz val="11"/>
      <color theme="1"/>
      <name val="ＭＳ ゴシック"/>
      <family val="2"/>
      <charset val="128"/>
    </font>
    <font>
      <sz val="9"/>
      <color theme="5" tint="-0.499984740745262"/>
      <name val="Arial"/>
      <family val="2"/>
    </font>
    <font>
      <u/>
      <sz val="11"/>
      <name val="Arial"/>
      <family val="2"/>
    </font>
    <font>
      <b/>
      <i/>
      <sz val="16"/>
      <color theme="0"/>
      <name val="Arial"/>
      <family val="2"/>
    </font>
    <font>
      <i/>
      <sz val="11"/>
      <color theme="0"/>
      <name val="Arial"/>
      <family val="2"/>
    </font>
    <font>
      <sz val="8"/>
      <color theme="1" tint="0.34998626667073579"/>
      <name val="Arial"/>
      <family val="2"/>
    </font>
    <font>
      <sz val="11"/>
      <color theme="1" tint="0.34998626667073579"/>
      <name val="Arial"/>
      <family val="2"/>
    </font>
    <font>
      <b/>
      <i/>
      <sz val="11"/>
      <color theme="0" tint="-0.499984740745262"/>
      <name val="Arial"/>
      <family val="2"/>
    </font>
    <font>
      <i/>
      <sz val="11"/>
      <color theme="0" tint="-0.499984740745262"/>
      <name val="Arial"/>
      <family val="2"/>
    </font>
    <font>
      <sz val="11"/>
      <color theme="5" tint="-0.499984740745262"/>
      <name val="Arial"/>
      <family val="2"/>
    </font>
    <font>
      <b/>
      <sz val="11"/>
      <color theme="5" tint="-0.499984740745262"/>
      <name val="Arial"/>
      <family val="2"/>
    </font>
    <font>
      <b/>
      <sz val="11"/>
      <color theme="1" tint="0.34998626667073579"/>
      <name val="Arial"/>
      <family val="2"/>
    </font>
    <font>
      <sz val="9"/>
      <color theme="9" tint="-0.499984740745262"/>
      <name val="Arial"/>
      <family val="2"/>
    </font>
    <font>
      <i/>
      <sz val="10"/>
      <color theme="9" tint="-0.499984740745262"/>
      <name val="Arial"/>
      <family val="2"/>
    </font>
    <font>
      <b/>
      <u/>
      <sz val="14"/>
      <name val="Arial"/>
      <family val="2"/>
    </font>
    <font>
      <b/>
      <sz val="11"/>
      <color theme="1"/>
      <name val="Arial"/>
      <family val="2"/>
    </font>
    <font>
      <b/>
      <i/>
      <sz val="11"/>
      <color theme="1"/>
      <name val="Arial"/>
      <family val="2"/>
    </font>
    <font>
      <sz val="9"/>
      <color theme="1" tint="0.34998626667073579"/>
      <name val="Arial"/>
      <family val="2"/>
    </font>
    <font>
      <b/>
      <sz val="14"/>
      <color theme="1" tint="0.34998626667073579"/>
      <name val="Arial"/>
      <family val="2"/>
    </font>
    <font>
      <b/>
      <sz val="12"/>
      <color theme="1" tint="0.34998626667073579"/>
      <name val="Arial"/>
      <family val="2"/>
    </font>
    <font>
      <b/>
      <sz val="10"/>
      <color theme="1" tint="0.34998626667073579"/>
      <name val="Arial"/>
      <family val="2"/>
    </font>
    <font>
      <sz val="11"/>
      <color theme="1" tint="0.34998626667073579"/>
      <name val="宋体"/>
      <family val="3"/>
      <charset val="134"/>
    </font>
    <font>
      <b/>
      <sz val="10"/>
      <name val="Arial"/>
      <family val="2"/>
    </font>
    <font>
      <i/>
      <sz val="9"/>
      <color theme="0"/>
      <name val="Arial"/>
      <family val="2"/>
    </font>
    <font>
      <b/>
      <i/>
      <sz val="11"/>
      <color theme="0"/>
      <name val="Arial"/>
      <family val="2"/>
    </font>
    <font>
      <i/>
      <sz val="9"/>
      <name val="Arial"/>
      <family val="2"/>
    </font>
    <font>
      <b/>
      <i/>
      <sz val="11"/>
      <name val="Arial"/>
      <family val="2"/>
    </font>
    <font>
      <b/>
      <sz val="11"/>
      <name val="ＭＳ Ｐゴシック"/>
      <family val="2"/>
      <charset val="128"/>
    </font>
    <font>
      <b/>
      <sz val="9"/>
      <color theme="5" tint="-0.499984740745262"/>
      <name val="Arial"/>
      <family val="2"/>
    </font>
    <font>
      <sz val="11"/>
      <color theme="1"/>
      <name val="ＭＳ Ｐゴシック"/>
      <family val="2"/>
      <charset val="128"/>
    </font>
    <font>
      <sz val="11"/>
      <color rgb="FFFF0000"/>
      <name val="ＭＳ Ｐゴシック"/>
      <family val="2"/>
      <charset val="128"/>
    </font>
    <font>
      <b/>
      <sz val="12"/>
      <color theme="1"/>
      <name val="Arial"/>
      <family val="2"/>
    </font>
    <font>
      <b/>
      <sz val="12"/>
      <color theme="1"/>
      <name val="ＭＳ ゴシック"/>
      <family val="3"/>
      <charset val="128"/>
    </font>
    <font>
      <sz val="11"/>
      <name val="ＭＳ Ｐゴシック"/>
      <family val="2"/>
      <charset val="128"/>
    </font>
    <font>
      <sz val="11"/>
      <color theme="3"/>
      <name val="游ゴシック"/>
      <family val="3"/>
      <charset val="128"/>
    </font>
    <font>
      <sz val="11"/>
      <color theme="3"/>
      <name val="ＭＳ Ｐゴシック"/>
      <family val="3"/>
      <charset val="128"/>
    </font>
    <font>
      <sz val="11"/>
      <color theme="3"/>
      <name val="Yu Gothic Medium"/>
      <family val="3"/>
      <charset val="128"/>
    </font>
    <font>
      <sz val="11"/>
      <color theme="3"/>
      <name val="Arial"/>
      <family val="3"/>
    </font>
    <font>
      <sz val="10"/>
      <color theme="3"/>
      <name val="Yu Gothic Medium"/>
      <family val="2"/>
      <charset val="128"/>
    </font>
    <font>
      <sz val="10"/>
      <color theme="3"/>
      <name val="Yu Gothic Medium"/>
      <family val="3"/>
      <charset val="128"/>
    </font>
    <font>
      <sz val="10"/>
      <color theme="1"/>
      <name val="Arial"/>
      <family val="2"/>
      <charset val="128"/>
    </font>
    <font>
      <sz val="6"/>
      <name val="Arial"/>
      <family val="2"/>
      <charset val="128"/>
    </font>
    <font>
      <i/>
      <sz val="8"/>
      <name val="Arial"/>
      <family val="2"/>
    </font>
    <font>
      <b/>
      <sz val="11"/>
      <name val="Calibri"/>
      <family val="2"/>
      <charset val="128"/>
      <scheme val="minor"/>
    </font>
    <font>
      <sz val="10"/>
      <color rgb="FF0000FF"/>
      <name val="Arial"/>
      <family val="2"/>
    </font>
    <font>
      <sz val="10"/>
      <color theme="1"/>
      <name val="ＭＳ Ｐゴシック"/>
      <family val="2"/>
      <charset val="128"/>
    </font>
    <font>
      <i/>
      <sz val="9"/>
      <color theme="0"/>
      <name val="Calibri"/>
      <family val="3"/>
      <charset val="128"/>
      <scheme val="minor"/>
    </font>
    <font>
      <b/>
      <sz val="12"/>
      <color theme="8" tint="-0.249977111117893"/>
      <name val="Arial"/>
      <family val="2"/>
    </font>
    <font>
      <b/>
      <sz val="16"/>
      <color theme="1"/>
      <name val="Arial"/>
      <family val="2"/>
    </font>
    <font>
      <u/>
      <sz val="11"/>
      <color theme="10"/>
      <name val="Calibri"/>
      <family val="2"/>
      <charset val="128"/>
      <scheme val="minor"/>
    </font>
    <font>
      <b/>
      <i/>
      <sz val="11"/>
      <color theme="1" tint="0.34998626667073579"/>
      <name val="Arial"/>
      <family val="2"/>
    </font>
    <font>
      <b/>
      <sz val="10"/>
      <color rgb="FFFF0000"/>
      <name val="Arial"/>
      <family val="2"/>
    </font>
    <font>
      <b/>
      <u/>
      <sz val="10"/>
      <color rgb="FF0000FF"/>
      <name val="Arial"/>
      <family val="2"/>
    </font>
    <font>
      <i/>
      <sz val="8"/>
      <color theme="0"/>
      <name val="Arial"/>
      <family val="2"/>
    </font>
    <font>
      <sz val="11"/>
      <color rgb="FF0066FF"/>
      <name val="Arial"/>
      <family val="2"/>
    </font>
    <font>
      <u/>
      <sz val="11"/>
      <color rgb="FF0066FF"/>
      <name val="Arial"/>
      <family val="2"/>
    </font>
    <font>
      <sz val="11"/>
      <color rgb="FF0066FF"/>
      <name val="ＭＳ Ｐゴシック"/>
      <family val="2"/>
      <charset val="128"/>
    </font>
    <font>
      <sz val="11"/>
      <name val="Yu Gothic Medium"/>
      <family val="3"/>
      <charset val="128"/>
    </font>
    <font>
      <strike/>
      <sz val="11"/>
      <color rgb="FF0066FF"/>
      <name val="Arial"/>
      <family val="2"/>
    </font>
    <font>
      <strike/>
      <sz val="11"/>
      <color rgb="FF0066FF"/>
      <name val="Meiryo UI"/>
      <family val="2"/>
      <charset val="128"/>
    </font>
    <font>
      <strike/>
      <sz val="11"/>
      <color rgb="FF0066FF"/>
      <name val="Yu Gothic Medium"/>
      <family val="3"/>
      <charset val="128"/>
    </font>
    <font>
      <sz val="11"/>
      <color indexed="12"/>
      <name val="Calibri"/>
      <family val="2"/>
    </font>
    <font>
      <sz val="11"/>
      <color theme="0"/>
      <name val="Calibri"/>
      <family val="2"/>
    </font>
    <font>
      <sz val="9"/>
      <color theme="1"/>
      <name val="Arial"/>
      <family val="2"/>
    </font>
    <font>
      <b/>
      <u/>
      <sz val="14"/>
      <color theme="4"/>
      <name val="Arial"/>
      <family val="2"/>
    </font>
    <font>
      <sz val="14"/>
      <name val="Arial"/>
      <family val="2"/>
    </font>
    <font>
      <b/>
      <i/>
      <sz val="12"/>
      <color rgb="FFFF0000"/>
      <name val="Arial"/>
      <family val="2"/>
    </font>
  </fonts>
  <fills count="9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10"/>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57"/>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53"/>
      </patternFill>
    </fill>
    <fill>
      <patternFill patternType="solid">
        <fgColor indexed="26"/>
        <bgColor indexed="26"/>
      </patternFill>
    </fill>
    <fill>
      <patternFill patternType="solid">
        <fgColor indexed="47"/>
        <bgColor indexed="47"/>
      </patternFill>
    </fill>
    <fill>
      <patternFill patternType="solid">
        <fgColor indexed="22"/>
      </patternFill>
    </fill>
    <fill>
      <patternFill patternType="solid">
        <fgColor indexed="55"/>
      </patternFill>
    </fill>
    <fill>
      <patternFill patternType="solid">
        <fgColor indexed="9"/>
        <bgColor indexed="64"/>
      </pattern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22"/>
        <bgColor indexed="64"/>
      </patternFill>
    </fill>
    <fill>
      <patternFill patternType="solid">
        <fgColor indexed="43"/>
        <bgColor indexed="64"/>
      </patternFill>
    </fill>
    <fill>
      <patternFill patternType="solid">
        <fgColor indexed="43"/>
      </patternFill>
    </fill>
    <fill>
      <patternFill patternType="solid">
        <fgColor indexed="9"/>
      </patternFill>
    </fill>
    <fill>
      <patternFill patternType="solid">
        <fgColor indexed="26"/>
      </patternFill>
    </fill>
    <fill>
      <patternFill patternType="solid">
        <fgColor indexed="41"/>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1"/>
        <bgColor indexed="64"/>
      </patternFill>
    </fill>
    <fill>
      <patternFill patternType="solid">
        <fgColor indexed="47"/>
        <bgColor indexed="64"/>
      </patternFill>
    </fill>
    <fill>
      <patternFill patternType="solid">
        <fgColor indexed="50"/>
        <bgColor indexed="64"/>
      </patternFill>
    </fill>
    <fill>
      <patternFill patternType="solid">
        <fgColor indexed="57"/>
        <bgColor indexed="64"/>
      </patternFill>
    </fill>
    <fill>
      <patternFill patternType="solid">
        <fgColor indexed="21"/>
        <bgColor indexed="64"/>
      </patternFill>
    </fill>
    <fill>
      <patternFill patternType="lightUp">
        <fgColor indexed="48"/>
        <bgColor indexed="44"/>
      </patternFill>
    </fill>
    <fill>
      <patternFill patternType="solid">
        <fgColor indexed="54"/>
        <bgColor indexed="64"/>
      </patternFill>
    </fill>
    <fill>
      <patternFill patternType="solid">
        <fgColor indexed="44"/>
        <bgColor indexed="64"/>
      </patternFill>
    </fill>
    <fill>
      <patternFill patternType="solid">
        <fgColor indexed="54"/>
      </patternFill>
    </fill>
    <fill>
      <patternFill patternType="solid">
        <fgColor indexed="23"/>
      </patternFill>
    </fill>
    <fill>
      <patternFill patternType="solid">
        <fgColor indexed="40"/>
      </patternFill>
    </fill>
    <fill>
      <patternFill patternType="solid">
        <fgColor indexed="41"/>
        <bgColor indexed="64"/>
      </patternFill>
    </fill>
    <fill>
      <patternFill patternType="solid">
        <fgColor indexed="40"/>
        <bgColor indexed="64"/>
      </patternFill>
    </fill>
    <fill>
      <patternFill patternType="solid">
        <fgColor rgb="FFBEDAFF"/>
        <bgColor indexed="64"/>
      </patternFill>
    </fill>
    <fill>
      <patternFill patternType="solid">
        <fgColor rgb="FFFFFFDC"/>
        <bgColor indexed="64"/>
      </patternFill>
    </fill>
    <fill>
      <patternFill patternType="solid">
        <fgColor rgb="FFD6D6D6"/>
        <bgColor indexed="64"/>
      </patternFill>
    </fill>
    <fill>
      <patternFill patternType="solid">
        <fgColor theme="0"/>
        <bgColor indexed="64"/>
      </patternFill>
    </fill>
    <fill>
      <patternFill patternType="solid">
        <fgColor rgb="FFFFFFCC"/>
        <bgColor indexed="64"/>
      </patternFill>
    </fill>
    <fill>
      <patternFill patternType="solid">
        <fgColor rgb="FFFFFF99"/>
        <bgColor indexed="64"/>
      </patternFill>
    </fill>
    <fill>
      <patternFill patternType="solid">
        <fgColor rgb="FFFFCC99"/>
        <bgColor indexed="64"/>
      </patternFill>
    </fill>
    <fill>
      <patternFill patternType="solid">
        <fgColor theme="4" tint="0.79998168889431442"/>
        <bgColor indexed="64"/>
      </patternFill>
    </fill>
    <fill>
      <patternFill patternType="solid">
        <fgColor indexed="46"/>
        <bgColor indexed="64"/>
      </patternFill>
    </fill>
    <fill>
      <patternFill patternType="solid">
        <fgColor rgb="FFCCFFFF"/>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CCECFF"/>
        <bgColor indexed="64"/>
      </patternFill>
    </fill>
    <fill>
      <patternFill patternType="solid">
        <fgColor rgb="FFFFFF00"/>
        <bgColor indexed="64"/>
      </patternFill>
    </fill>
    <fill>
      <patternFill patternType="solid">
        <fgColor indexed="13"/>
        <bgColor indexed="64"/>
      </patternFill>
    </fill>
    <fill>
      <patternFill patternType="solid">
        <fgColor rgb="FFFCF1AE"/>
        <bgColor indexed="64"/>
      </patternFill>
    </fill>
    <fill>
      <patternFill patternType="solid">
        <fgColor theme="0" tint="-4.9989318521683403E-2"/>
        <bgColor indexed="64"/>
      </patternFill>
    </fill>
    <fill>
      <patternFill patternType="solid">
        <fgColor rgb="FFCC99FF"/>
        <bgColor indexed="64"/>
      </patternFill>
    </fill>
    <fill>
      <patternFill patternType="solid">
        <fgColor rgb="FF99CCFF"/>
        <bgColor indexed="64"/>
      </patternFill>
    </fill>
    <fill>
      <patternFill patternType="solid">
        <fgColor rgb="FFFFCCFF"/>
        <bgColor indexed="64"/>
      </patternFill>
    </fill>
    <fill>
      <patternFill patternType="solid">
        <fgColor theme="8"/>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2"/>
        <bgColor indexed="64"/>
      </patternFill>
    </fill>
    <fill>
      <patternFill patternType="solid">
        <fgColor theme="7"/>
        <bgColor indexed="64"/>
      </patternFill>
    </fill>
    <fill>
      <patternFill patternType="solid">
        <fgColor theme="2" tint="-9.9978637043366805E-2"/>
        <bgColor indexed="64"/>
      </patternFill>
    </fill>
    <fill>
      <patternFill patternType="solid">
        <fgColor rgb="FFFCCEFE"/>
        <bgColor indexed="64"/>
      </patternFill>
    </fill>
    <fill>
      <patternFill patternType="solid">
        <fgColor rgb="FFFF0000"/>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FC000"/>
        <bgColor indexed="64"/>
      </patternFill>
    </fill>
    <fill>
      <patternFill patternType="solid">
        <fgColor theme="7" tint="0.79998168889431442"/>
        <bgColor indexed="64"/>
      </patternFill>
    </fill>
    <fill>
      <patternFill patternType="solid">
        <fgColor theme="9"/>
        <bgColor indexed="64"/>
      </patternFill>
    </fill>
  </fills>
  <borders count="134">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thin">
        <color rgb="FFC0C0C0"/>
      </left>
      <right style="thin">
        <color rgb="FFC0C0C0"/>
      </right>
      <top style="thin">
        <color rgb="FFC0C0C0"/>
      </top>
      <bottom style="thin">
        <color rgb="FFC0C0C0"/>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top style="thin">
        <color auto="1"/>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auto="1"/>
      </right>
      <top style="thin">
        <color auto="1"/>
      </top>
      <bottom/>
      <diagonal/>
    </border>
    <border>
      <left/>
      <right/>
      <top style="thin">
        <color auto="1"/>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auto="1"/>
      </top>
      <bottom style="hair">
        <color indexed="64"/>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auto="1"/>
      </left>
      <right style="thin">
        <color indexed="64"/>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indexed="64"/>
      </top>
      <bottom style="hair">
        <color indexed="64"/>
      </bottom>
      <diagonal/>
    </border>
    <border>
      <left/>
      <right/>
      <top style="hair">
        <color auto="1"/>
      </top>
      <bottom style="hair">
        <color auto="1"/>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right/>
      <top style="hair">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thin">
        <color indexed="64"/>
      </left>
      <right/>
      <top style="hair">
        <color indexed="64"/>
      </top>
      <bottom/>
      <diagonal/>
    </border>
    <border>
      <left style="thin">
        <color indexed="23"/>
      </left>
      <right style="thin">
        <color indexed="23"/>
      </right>
      <top style="thin">
        <color indexed="23"/>
      </top>
      <bottom style="thin">
        <color indexed="23"/>
      </bottom>
      <diagonal/>
    </border>
    <border>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right style="thin">
        <color rgb="FFC0C0C0"/>
      </right>
      <top/>
      <bottom/>
      <diagonal/>
    </border>
    <border>
      <left/>
      <right/>
      <top style="thin">
        <color rgb="FFC0C0C0"/>
      </top>
      <bottom style="thin">
        <color rgb="FFC0C0C0"/>
      </bottom>
      <diagonal/>
    </border>
    <border>
      <left/>
      <right/>
      <top style="thin">
        <color rgb="FFC0C0C0"/>
      </top>
      <bottom/>
      <diagonal/>
    </border>
    <border>
      <left style="thin">
        <color auto="1"/>
      </left>
      <right/>
      <top style="thin">
        <color auto="1"/>
      </top>
      <bottom/>
      <diagonal/>
    </border>
    <border>
      <left/>
      <right/>
      <top style="thin">
        <color indexed="64"/>
      </top>
      <bottom/>
      <diagonal/>
    </border>
    <border>
      <left style="hair">
        <color auto="1"/>
      </left>
      <right/>
      <top/>
      <bottom style="hair">
        <color indexed="64"/>
      </bottom>
      <diagonal/>
    </border>
    <border>
      <left style="hair">
        <color auto="1"/>
      </left>
      <right/>
      <top/>
      <bottom/>
      <diagonal/>
    </border>
    <border>
      <left/>
      <right/>
      <top style="thin">
        <color auto="1"/>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auto="1"/>
      </left>
      <right/>
      <top style="thin">
        <color auto="1"/>
      </top>
      <bottom style="hair">
        <color auto="1"/>
      </bottom>
      <diagonal/>
    </border>
    <border>
      <left/>
      <right style="thin">
        <color indexed="64"/>
      </right>
      <top style="thin">
        <color auto="1"/>
      </top>
      <bottom style="hair">
        <color auto="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auto="1"/>
      </left>
      <right/>
      <top style="hair">
        <color indexed="64"/>
      </top>
      <bottom/>
      <diagonal/>
    </border>
    <border>
      <left style="thin">
        <color indexed="64"/>
      </left>
      <right style="hair">
        <color indexed="64"/>
      </right>
      <top style="thin">
        <color indexed="64"/>
      </top>
      <bottom style="thin">
        <color indexed="64"/>
      </bottom>
      <diagonal/>
    </border>
    <border>
      <left/>
      <right/>
      <top style="thin">
        <color indexed="64"/>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style="hair">
        <color auto="1"/>
      </left>
      <right style="thin">
        <color indexed="64"/>
      </right>
      <top style="hair">
        <color auto="1"/>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diagonal/>
    </border>
    <border>
      <left style="thin">
        <color auto="1"/>
      </left>
      <right style="hair">
        <color auto="1"/>
      </right>
      <top style="thin">
        <color auto="1"/>
      </top>
      <bottom/>
      <diagonal/>
    </border>
    <border>
      <left style="hair">
        <color auto="1"/>
      </left>
      <right/>
      <top style="thin">
        <color auto="1"/>
      </top>
      <bottom/>
      <diagonal/>
    </border>
    <border>
      <left style="hair">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auto="1"/>
      </left>
      <right style="hair">
        <color auto="1"/>
      </right>
      <top style="thin">
        <color auto="1"/>
      </top>
      <bottom/>
      <diagonal/>
    </border>
    <border>
      <left style="thin">
        <color indexed="23"/>
      </left>
      <right style="thin">
        <color indexed="23"/>
      </right>
      <top style="thin">
        <color indexed="23"/>
      </top>
      <bottom style="thin">
        <color indexed="23"/>
      </bottom>
      <diagonal/>
    </border>
    <border>
      <left style="hair">
        <color auto="1"/>
      </left>
      <right/>
      <top style="thin">
        <color auto="1"/>
      </top>
      <bottom/>
      <diagonal/>
    </border>
    <border>
      <left style="hair">
        <color auto="1"/>
      </left>
      <right/>
      <top style="thin">
        <color auto="1"/>
      </top>
      <bottom/>
      <diagonal/>
    </border>
  </borders>
  <cellStyleXfs count="687">
    <xf numFmtId="0" fontId="0" fillId="0" borderId="0">
      <alignment vertical="center"/>
    </xf>
    <xf numFmtId="0" fontId="6" fillId="0" borderId="0" applyNumberFormat="0" applyFill="0" applyBorder="0" applyAlignment="0" applyProtection="0"/>
    <xf numFmtId="0" fontId="7" fillId="0" borderId="0"/>
    <xf numFmtId="0" fontId="7" fillId="0" borderId="0"/>
    <xf numFmtId="0" fontId="7" fillId="0" borderId="0"/>
    <xf numFmtId="0" fontId="7" fillId="0" borderId="0"/>
    <xf numFmtId="0" fontId="8" fillId="0" borderId="0"/>
    <xf numFmtId="0" fontId="9" fillId="0" borderId="0">
      <alignment vertical="top"/>
    </xf>
    <xf numFmtId="0" fontId="8" fillId="0" borderId="0"/>
    <xf numFmtId="0" fontId="8" fillId="0" borderId="0"/>
    <xf numFmtId="0" fontId="8" fillId="0" borderId="0"/>
    <xf numFmtId="0" fontId="8" fillId="0" borderId="0"/>
    <xf numFmtId="0" fontId="10"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 fillId="0" borderId="0"/>
    <xf numFmtId="0" fontId="8" fillId="0" borderId="0"/>
    <xf numFmtId="3" fontId="7" fillId="0" borderId="1">
      <alignment horizontal="right" vertical="center"/>
      <protection hidden="1"/>
    </xf>
    <xf numFmtId="0" fontId="9" fillId="0" borderId="0">
      <alignment vertical="top"/>
    </xf>
    <xf numFmtId="0" fontId="8" fillId="0" borderId="0"/>
    <xf numFmtId="0" fontId="9" fillId="0" borderId="0">
      <alignment vertical="top"/>
    </xf>
    <xf numFmtId="0" fontId="9" fillId="0" borderId="0">
      <alignment vertical="top"/>
    </xf>
    <xf numFmtId="0" fontId="7" fillId="0" borderId="0"/>
    <xf numFmtId="0" fontId="7" fillId="0" borderId="0"/>
    <xf numFmtId="0" fontId="7" fillId="0" borderId="0"/>
    <xf numFmtId="0" fontId="7" fillId="0" borderId="0"/>
    <xf numFmtId="1" fontId="11" fillId="0" borderId="0"/>
    <xf numFmtId="1" fontId="11" fillId="0" borderId="0"/>
    <xf numFmtId="1" fontId="11" fillId="0" borderId="0"/>
    <xf numFmtId="1" fontId="11" fillId="0" borderId="0"/>
    <xf numFmtId="0" fontId="12" fillId="2"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5"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3" borderId="0" applyNumberFormat="0" applyBorder="0" applyAlignment="0" applyProtection="0">
      <alignment vertical="center"/>
    </xf>
    <xf numFmtId="0" fontId="17" fillId="14" borderId="0" applyNumberFormat="0" applyBorder="0" applyAlignment="0" applyProtection="0">
      <alignment vertical="center"/>
    </xf>
    <xf numFmtId="0" fontId="17" fillId="15"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6"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6" fillId="19" borderId="0" applyNumberFormat="0" applyBorder="0" applyAlignment="0" applyProtection="0"/>
    <xf numFmtId="0" fontId="16" fillId="20"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6" fillId="23" borderId="0" applyNumberFormat="0" applyBorder="0" applyAlignment="0" applyProtection="0"/>
    <xf numFmtId="0" fontId="16" fillId="24" borderId="0" applyNumberFormat="0" applyBorder="0" applyAlignment="0" applyProtection="0"/>
    <xf numFmtId="0" fontId="12" fillId="25" borderId="0" applyNumberFormat="0" applyBorder="0" applyAlignment="0" applyProtection="0"/>
    <xf numFmtId="0" fontId="12" fillId="26" borderId="0" applyNumberFormat="0" applyBorder="0" applyAlignment="0" applyProtection="0"/>
    <xf numFmtId="0" fontId="16" fillId="27" borderId="0" applyNumberFormat="0" applyBorder="0" applyAlignment="0" applyProtection="0"/>
    <xf numFmtId="0" fontId="16" fillId="1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6" fillId="27" borderId="0" applyNumberFormat="0" applyBorder="0" applyAlignment="0" applyProtection="0"/>
    <xf numFmtId="0" fontId="16" fillId="14"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6" fillId="18" borderId="0" applyNumberFormat="0" applyBorder="0" applyAlignment="0" applyProtection="0"/>
    <xf numFmtId="0" fontId="16" fillId="28" borderId="0" applyNumberFormat="0" applyBorder="0" applyAlignment="0" applyProtection="0"/>
    <xf numFmtId="0" fontId="12" fillId="29" borderId="0" applyNumberFormat="0" applyBorder="0" applyAlignment="0" applyProtection="0"/>
    <xf numFmtId="0" fontId="12" fillId="22" borderId="0" applyNumberFormat="0" applyBorder="0" applyAlignment="0" applyProtection="0"/>
    <xf numFmtId="0" fontId="16" fillId="30" borderId="0" applyNumberFormat="0" applyBorder="0" applyAlignment="0" applyProtection="0"/>
    <xf numFmtId="0" fontId="19" fillId="3" borderId="0" applyNumberFormat="0" applyBorder="0" applyAlignment="0" applyProtection="0"/>
    <xf numFmtId="0" fontId="9" fillId="0" borderId="0" applyFill="0" applyBorder="0" applyAlignment="0"/>
    <xf numFmtId="169" fontId="20" fillId="0" borderId="0" applyFill="0" applyBorder="0" applyAlignment="0"/>
    <xf numFmtId="0" fontId="21" fillId="31" borderId="2" applyNumberFormat="0" applyAlignment="0" applyProtection="0"/>
    <xf numFmtId="0" fontId="22" fillId="32" borderId="3" applyNumberFormat="0" applyAlignment="0" applyProtection="0"/>
    <xf numFmtId="0" fontId="23" fillId="0" borderId="4">
      <alignment horizontal="center"/>
    </xf>
    <xf numFmtId="171" fontId="24" fillId="0" borderId="0"/>
    <xf numFmtId="3" fontId="7" fillId="0" borderId="0" applyFont="0" applyFill="0" applyBorder="0" applyAlignment="0" applyProtection="0"/>
    <xf numFmtId="0" fontId="25" fillId="0" borderId="0"/>
    <xf numFmtId="0" fontId="8" fillId="0" borderId="0"/>
    <xf numFmtId="0" fontId="8" fillId="0" borderId="0"/>
    <xf numFmtId="0" fontId="8" fillId="0" borderId="0"/>
    <xf numFmtId="0" fontId="25" fillId="0" borderId="0"/>
    <xf numFmtId="0" fontId="8" fillId="0" borderId="0"/>
    <xf numFmtId="0" fontId="8" fillId="0" borderId="0"/>
    <xf numFmtId="0" fontId="8" fillId="0" borderId="0"/>
    <xf numFmtId="172" fontId="7"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34" borderId="1" applyNumberFormat="0" applyAlignment="0">
      <protection locked="0"/>
    </xf>
    <xf numFmtId="0" fontId="7" fillId="0" borderId="0" applyFont="0" applyFill="0" applyBorder="0" applyAlignment="0" applyProtection="0"/>
    <xf numFmtId="0" fontId="8" fillId="0" borderId="0"/>
    <xf numFmtId="164" fontId="7" fillId="0" borderId="0" applyFont="0" applyFill="0" applyBorder="0" applyAlignment="0" applyProtection="0"/>
    <xf numFmtId="165" fontId="7" fillId="0" borderId="0" applyFont="0" applyFill="0" applyBorder="0" applyAlignment="0" applyProtection="0"/>
    <xf numFmtId="0" fontId="29" fillId="0" borderId="0">
      <protection locked="0"/>
    </xf>
    <xf numFmtId="0" fontId="11" fillId="0" borderId="0" applyNumberFormat="0" applyFont="0" applyFill="0">
      <alignment horizontal="left"/>
    </xf>
    <xf numFmtId="173" fontId="7" fillId="0" borderId="0" applyFont="0" applyFill="0" applyBorder="0" applyAlignment="0" applyProtection="0"/>
    <xf numFmtId="174" fontId="30" fillId="0" borderId="0" applyFont="0" applyFill="0" applyBorder="0" applyAlignment="0" applyProtection="0"/>
    <xf numFmtId="0" fontId="31" fillId="35" borderId="0" applyNumberFormat="0" applyBorder="0" applyAlignment="0" applyProtection="0"/>
    <xf numFmtId="0" fontId="31" fillId="36" borderId="0" applyNumberFormat="0" applyBorder="0" applyAlignment="0" applyProtection="0"/>
    <xf numFmtId="0" fontId="31" fillId="37" borderId="0" applyNumberFormat="0" applyBorder="0" applyAlignment="0" applyProtection="0"/>
    <xf numFmtId="0" fontId="32" fillId="0" borderId="0">
      <protection locked="0"/>
    </xf>
    <xf numFmtId="0" fontId="32" fillId="0" borderId="0">
      <protection locked="0"/>
    </xf>
    <xf numFmtId="17" fontId="33" fillId="0" borderId="5"/>
    <xf numFmtId="17" fontId="33" fillId="0" borderId="5"/>
    <xf numFmtId="0" fontId="7" fillId="0" borderId="0" applyFont="0" applyFill="0" applyBorder="0" applyAlignment="0" applyProtection="0"/>
    <xf numFmtId="0" fontId="34" fillId="0" borderId="0" applyNumberFormat="0" applyFill="0" applyBorder="0" applyAlignment="0" applyProtection="0"/>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0" fontId="29" fillId="0" borderId="0">
      <protection locked="0"/>
    </xf>
    <xf numFmtId="2" fontId="7" fillId="0" borderId="0" applyFont="0" applyFill="0" applyBorder="0" applyAlignment="0" applyProtection="0"/>
    <xf numFmtId="0" fontId="8" fillId="0" borderId="0"/>
    <xf numFmtId="0" fontId="35" fillId="4" borderId="0" applyNumberFormat="0" applyBorder="0" applyAlignment="0" applyProtection="0"/>
    <xf numFmtId="38" fontId="28" fillId="38" borderId="0" applyNumberFormat="0" applyBorder="0" applyAlignment="0" applyProtection="0"/>
    <xf numFmtId="0" fontId="36" fillId="0" borderId="6" applyNumberFormat="0" applyAlignment="0" applyProtection="0">
      <alignment horizontal="left" vertical="center"/>
    </xf>
    <xf numFmtId="0" fontId="36" fillId="0" borderId="7">
      <alignment horizontal="left" vertical="center"/>
    </xf>
    <xf numFmtId="0" fontId="37" fillId="0" borderId="8" applyNumberFormat="0" applyFill="0" applyAlignment="0" applyProtection="0"/>
    <xf numFmtId="0" fontId="38" fillId="0" borderId="9" applyNumberFormat="0" applyFill="0" applyAlignment="0" applyProtection="0"/>
    <xf numFmtId="0" fontId="39" fillId="0" borderId="10" applyNumberFormat="0" applyFill="0" applyAlignment="0" applyProtection="0"/>
    <xf numFmtId="0" fontId="39" fillId="0" borderId="0" applyNumberFormat="0" applyFill="0" applyBorder="0" applyAlignment="0" applyProtection="0"/>
    <xf numFmtId="175" fontId="40" fillId="0" borderId="0"/>
    <xf numFmtId="0" fontId="41" fillId="0" borderId="0"/>
    <xf numFmtId="176" fontId="7" fillId="0" borderId="0" applyFont="0" applyFill="0" applyBorder="0" applyAlignment="0" applyProtection="0"/>
    <xf numFmtId="0" fontId="42" fillId="7" borderId="2" applyNumberFormat="0" applyAlignment="0" applyProtection="0"/>
    <xf numFmtId="10" fontId="28" fillId="34" borderId="1" applyNumberFormat="0" applyBorder="0" applyAlignment="0" applyProtection="0"/>
    <xf numFmtId="177" fontId="26" fillId="39" borderId="11" applyNumberFormat="0" applyBorder="0" applyAlignment="0">
      <protection locked="0"/>
    </xf>
    <xf numFmtId="49" fontId="6" fillId="0" borderId="0"/>
    <xf numFmtId="0" fontId="43" fillId="0" borderId="12" applyNumberFormat="0" applyFill="0" applyAlignment="0" applyProtection="0"/>
    <xf numFmtId="164" fontId="7" fillId="0" borderId="0" applyFont="0" applyFill="0" applyBorder="0" applyAlignment="0" applyProtection="0"/>
    <xf numFmtId="165" fontId="7" fillId="0" borderId="0" applyFont="0" applyFill="0" applyBorder="0" applyAlignment="0" applyProtection="0"/>
    <xf numFmtId="38" fontId="11" fillId="0" borderId="0" applyFont="0" applyFill="0" applyBorder="0" applyAlignment="0" applyProtection="0"/>
    <xf numFmtId="40" fontId="11" fillId="0" borderId="0" applyFont="0" applyFill="0" applyBorder="0" applyAlignment="0" applyProtection="0"/>
    <xf numFmtId="178" fontId="7" fillId="0" borderId="0" applyFont="0" applyFill="0" applyBorder="0" applyAlignment="0" applyProtection="0"/>
    <xf numFmtId="175" fontId="7" fillId="0" borderId="0" applyFont="0" applyFill="0" applyBorder="0" applyAlignment="0" applyProtection="0"/>
    <xf numFmtId="0" fontId="29" fillId="0" borderId="0">
      <protection locked="0"/>
    </xf>
    <xf numFmtId="179" fontId="28" fillId="0" borderId="0" applyFont="0" applyFill="0" applyBorder="0" applyProtection="0">
      <alignment horizontal="right"/>
    </xf>
    <xf numFmtId="180" fontId="28" fillId="0" borderId="1" applyFont="0" applyFill="0" applyBorder="0" applyProtection="0">
      <alignment horizontal="right"/>
    </xf>
    <xf numFmtId="181" fontId="11" fillId="0" borderId="0" applyFont="0" applyFill="0" applyBorder="0" applyAlignment="0" applyProtection="0"/>
    <xf numFmtId="182" fontId="11" fillId="0" borderId="0" applyFont="0" applyFill="0" applyBorder="0" applyAlignment="0" applyProtection="0"/>
    <xf numFmtId="0" fontId="44" fillId="40" borderId="0" applyNumberFormat="0" applyBorder="0" applyAlignment="0" applyProtection="0"/>
    <xf numFmtId="37" fontId="45" fillId="0" borderId="0"/>
    <xf numFmtId="0" fontId="41" fillId="0" borderId="0"/>
    <xf numFmtId="183" fontId="46" fillId="0" borderId="0"/>
    <xf numFmtId="184" fontId="47" fillId="0" borderId="0"/>
    <xf numFmtId="0" fontId="48" fillId="41" borderId="0"/>
    <xf numFmtId="0" fontId="7" fillId="0" borderId="0"/>
    <xf numFmtId="0" fontId="7" fillId="42" borderId="13" applyNumberFormat="0" applyFont="0" applyAlignment="0" applyProtection="0"/>
    <xf numFmtId="0" fontId="49" fillId="31" borderId="14" applyNumberFormat="0" applyAlignment="0" applyProtection="0"/>
    <xf numFmtId="0" fontId="8" fillId="0" borderId="0"/>
    <xf numFmtId="0" fontId="8" fillId="0" borderId="0"/>
    <xf numFmtId="185" fontId="10" fillId="0" borderId="0" applyFont="0" applyFill="0" applyBorder="0" applyAlignment="0" applyProtection="0"/>
    <xf numFmtId="10" fontId="7" fillId="0" borderId="0" applyFont="0" applyFill="0" applyBorder="0" applyAlignment="0" applyProtection="0"/>
    <xf numFmtId="0" fontId="11" fillId="0" borderId="0" applyNumberFormat="0" applyFont="0" applyFill="0" applyBorder="0" applyAlignment="0" applyProtection="0">
      <alignment horizontal="left"/>
    </xf>
    <xf numFmtId="15" fontId="11" fillId="0" borderId="0" applyFont="0" applyFill="0" applyBorder="0" applyAlignment="0" applyProtection="0"/>
    <xf numFmtId="4" fontId="11" fillId="0" borderId="0" applyFont="0" applyFill="0" applyBorder="0" applyAlignment="0" applyProtection="0"/>
    <xf numFmtId="0" fontId="7" fillId="0" borderId="15">
      <alignment horizontal="center"/>
    </xf>
    <xf numFmtId="38" fontId="7" fillId="0" borderId="0"/>
    <xf numFmtId="4" fontId="50" fillId="8" borderId="16" applyNumberFormat="0" applyProtection="0">
      <alignment vertical="center"/>
    </xf>
    <xf numFmtId="4" fontId="7" fillId="39" borderId="16" applyNumberFormat="0" applyProtection="0">
      <alignment vertical="center"/>
    </xf>
    <xf numFmtId="4" fontId="50" fillId="8" borderId="16" applyNumberFormat="0" applyProtection="0">
      <alignment horizontal="left" vertical="center" indent="1"/>
    </xf>
    <xf numFmtId="0" fontId="50" fillId="40" borderId="16" applyNumberFormat="0" applyProtection="0">
      <alignment horizontal="left" vertical="top" indent="1"/>
    </xf>
    <xf numFmtId="4" fontId="50" fillId="43" borderId="16" applyNumberFormat="0" applyProtection="0">
      <alignment horizontal="left" vertical="center" indent="1"/>
    </xf>
    <xf numFmtId="4" fontId="7" fillId="44" borderId="16" applyNumberFormat="0" applyProtection="0">
      <alignment horizontal="right" vertical="center"/>
    </xf>
    <xf numFmtId="4" fontId="7" fillId="45" borderId="16" applyNumberFormat="0" applyProtection="0">
      <alignment horizontal="right" vertical="center"/>
    </xf>
    <xf numFmtId="4" fontId="7" fillId="46" borderId="16" applyNumberFormat="0" applyProtection="0">
      <alignment horizontal="right" vertical="center"/>
    </xf>
    <xf numFmtId="4" fontId="7" fillId="47" borderId="16" applyNumberFormat="0" applyProtection="0">
      <alignment horizontal="right" vertical="center"/>
    </xf>
    <xf numFmtId="4" fontId="7" fillId="48" borderId="16" applyNumberFormat="0" applyProtection="0">
      <alignment horizontal="right" vertical="center"/>
    </xf>
    <xf numFmtId="4" fontId="7" fillId="49" borderId="16" applyNumberFormat="0" applyProtection="0">
      <alignment horizontal="right" vertical="center"/>
    </xf>
    <xf numFmtId="4" fontId="7" fillId="50" borderId="16" applyNumberFormat="0" applyProtection="0">
      <alignment horizontal="right" vertical="center"/>
    </xf>
    <xf numFmtId="4" fontId="9" fillId="51" borderId="16" applyNumberFormat="0" applyProtection="0">
      <alignment horizontal="right" vertical="center"/>
    </xf>
    <xf numFmtId="4" fontId="7" fillId="52" borderId="16" applyNumberFormat="0" applyProtection="0">
      <alignment horizontal="right" vertical="center"/>
    </xf>
    <xf numFmtId="4" fontId="50" fillId="53" borderId="16" applyNumberFormat="0" applyProtection="0">
      <alignment horizontal="left" vertical="center" indent="1"/>
    </xf>
    <xf numFmtId="4" fontId="50" fillId="41" borderId="16" applyNumberFormat="0" applyProtection="0">
      <alignment horizontal="left" vertical="center" indent="1"/>
    </xf>
    <xf numFmtId="4" fontId="7" fillId="54" borderId="0" applyNumberFormat="0" applyProtection="0">
      <alignment horizontal="left" vertical="center" indent="1"/>
    </xf>
    <xf numFmtId="4" fontId="7" fillId="55" borderId="16" applyNumberFormat="0" applyProtection="0">
      <alignment horizontal="right" vertical="center"/>
    </xf>
    <xf numFmtId="4" fontId="7" fillId="0" borderId="0" applyNumberFormat="0" applyProtection="0">
      <alignment horizontal="left" vertical="center" indent="1"/>
    </xf>
    <xf numFmtId="4" fontId="7" fillId="0" borderId="0" applyNumberFormat="0" applyProtection="0">
      <alignment horizontal="left" vertical="center" indent="1"/>
    </xf>
    <xf numFmtId="0" fontId="28" fillId="31" borderId="17" applyNumberFormat="0" applyProtection="0">
      <alignment horizontal="left" vertical="center" indent="1"/>
    </xf>
    <xf numFmtId="0" fontId="7" fillId="56" borderId="16" applyNumberFormat="0" applyProtection="0">
      <alignment horizontal="left" vertical="top" indent="1"/>
    </xf>
    <xf numFmtId="0" fontId="28" fillId="57" borderId="17" applyNumberFormat="0" applyProtection="0">
      <alignment horizontal="left" vertical="center" indent="1"/>
    </xf>
    <xf numFmtId="0" fontId="7" fillId="58" borderId="16" applyNumberFormat="0" applyProtection="0">
      <alignment horizontal="left" vertical="top" indent="1"/>
    </xf>
    <xf numFmtId="0" fontId="7" fillId="8" borderId="16" applyNumberFormat="0" applyProtection="0">
      <alignment horizontal="left" vertical="center" indent="1"/>
    </xf>
    <xf numFmtId="0" fontId="7" fillId="8" borderId="16" applyNumberFormat="0" applyProtection="0">
      <alignment horizontal="left" vertical="top" indent="1"/>
    </xf>
    <xf numFmtId="0" fontId="7" fillId="43" borderId="16" applyNumberFormat="0" applyProtection="0">
      <alignment horizontal="left" vertical="center" indent="1"/>
    </xf>
    <xf numFmtId="0" fontId="7" fillId="43" borderId="16" applyNumberFormat="0" applyProtection="0">
      <alignment horizontal="left" vertical="top" indent="1"/>
    </xf>
    <xf numFmtId="0" fontId="7" fillId="41" borderId="1" applyNumberFormat="0">
      <protection locked="0"/>
    </xf>
    <xf numFmtId="4" fontId="7" fillId="59" borderId="16" applyNumberFormat="0" applyProtection="0">
      <alignment vertical="center"/>
    </xf>
    <xf numFmtId="4" fontId="7" fillId="59" borderId="16" applyNumberFormat="0" applyProtection="0">
      <alignment vertical="center"/>
    </xf>
    <xf numFmtId="4" fontId="7" fillId="55" borderId="18" applyNumberFormat="0" applyProtection="0">
      <alignment horizontal="left" vertical="center" indent="1"/>
    </xf>
    <xf numFmtId="0" fontId="9" fillId="42" borderId="16" applyNumberFormat="0" applyProtection="0">
      <alignment horizontal="left" vertical="top" indent="1"/>
    </xf>
    <xf numFmtId="4" fontId="9" fillId="41" borderId="16" applyNumberFormat="0" applyProtection="0">
      <alignment horizontal="right" vertical="center"/>
    </xf>
    <xf numFmtId="4" fontId="7" fillId="59" borderId="16" applyNumberFormat="0" applyProtection="0">
      <alignment horizontal="right" vertical="center"/>
    </xf>
    <xf numFmtId="4" fontId="50" fillId="43" borderId="16" applyNumberFormat="0" applyProtection="0">
      <alignment horizontal="left" vertical="top" wrapText="1"/>
    </xf>
    <xf numFmtId="0" fontId="9" fillId="58" borderId="16" applyNumberFormat="0" applyProtection="0">
      <alignment horizontal="left" vertical="top" indent="1"/>
    </xf>
    <xf numFmtId="4" fontId="7" fillId="60" borderId="18" applyNumberFormat="0" applyProtection="0">
      <alignment horizontal="left" vertical="center" indent="1"/>
    </xf>
    <xf numFmtId="4" fontId="7" fillId="59" borderId="16" applyNumberFormat="0" applyProtection="0">
      <alignment horizontal="right" vertical="center"/>
    </xf>
    <xf numFmtId="165" fontId="7" fillId="0" borderId="0" applyFont="0" applyFill="0" applyBorder="0" applyAlignment="0" applyProtection="0"/>
    <xf numFmtId="0" fontId="51" fillId="0" borderId="0" applyNumberFormat="0" applyFill="0" applyBorder="0" applyAlignment="0" applyProtection="0"/>
    <xf numFmtId="0" fontId="52" fillId="0" borderId="0"/>
    <xf numFmtId="0" fontId="53" fillId="0" borderId="0"/>
    <xf numFmtId="0" fontId="54" fillId="0" borderId="0" applyNumberFormat="0" applyFill="0" applyBorder="0"/>
    <xf numFmtId="0" fontId="7" fillId="0" borderId="0">
      <alignment horizontal="left" vertical="top" wrapText="1"/>
    </xf>
    <xf numFmtId="0" fontId="55" fillId="0" borderId="0" applyNumberFormat="0" applyFill="0" applyBorder="0" applyAlignment="0" applyProtection="0"/>
    <xf numFmtId="0" fontId="31" fillId="0" borderId="19" applyNumberFormat="0" applyFill="0" applyAlignment="0" applyProtection="0"/>
    <xf numFmtId="186" fontId="7" fillId="0" borderId="0" applyFont="0" applyFill="0" applyBorder="0" applyAlignment="0" applyProtection="0"/>
    <xf numFmtId="187" fontId="7" fillId="0" borderId="0" applyFont="0" applyFill="0" applyBorder="0" applyAlignment="0" applyProtection="0"/>
    <xf numFmtId="188" fontId="7" fillId="0" borderId="0" applyFont="0" applyFill="0" applyBorder="0" applyAlignment="0" applyProtection="0"/>
    <xf numFmtId="189" fontId="7" fillId="0" borderId="0" applyFont="0" applyFill="0" applyBorder="0" applyAlignment="0" applyProtection="0"/>
    <xf numFmtId="0" fontId="56" fillId="0" borderId="0" applyNumberFormat="0" applyFill="0" applyBorder="0" applyAlignment="0" applyProtection="0"/>
    <xf numFmtId="0" fontId="17" fillId="16" borderId="0" applyNumberFormat="0" applyBorder="0" applyAlignment="0" applyProtection="0">
      <alignment vertical="center"/>
    </xf>
    <xf numFmtId="0" fontId="17" fillId="20" borderId="0" applyNumberFormat="0" applyBorder="0" applyAlignment="0" applyProtection="0">
      <alignment vertical="center"/>
    </xf>
    <xf numFmtId="0" fontId="17" fillId="24" borderId="0" applyNumberFormat="0" applyBorder="0" applyAlignment="0" applyProtection="0">
      <alignment vertical="center"/>
    </xf>
    <xf numFmtId="0" fontId="17" fillId="13" borderId="0" applyNumberFormat="0" applyBorder="0" applyAlignment="0" applyProtection="0">
      <alignment vertical="center"/>
    </xf>
    <xf numFmtId="0" fontId="17" fillId="14" borderId="0" applyNumberFormat="0" applyBorder="0" applyAlignment="0" applyProtection="0">
      <alignment vertical="center"/>
    </xf>
    <xf numFmtId="0" fontId="17" fillId="28" borderId="0" applyNumberFormat="0" applyBorder="0" applyAlignment="0" applyProtection="0">
      <alignment vertical="center"/>
    </xf>
    <xf numFmtId="0" fontId="8" fillId="0" borderId="0"/>
    <xf numFmtId="0" fontId="9" fillId="0" borderId="0">
      <alignment vertical="top"/>
    </xf>
    <xf numFmtId="0" fontId="57" fillId="0" borderId="0" applyNumberFormat="0" applyFill="0" applyBorder="0" applyAlignment="0" applyProtection="0">
      <alignment vertical="center"/>
    </xf>
    <xf numFmtId="0" fontId="58" fillId="32" borderId="3" applyNumberFormat="0" applyAlignment="0" applyProtection="0">
      <alignment vertical="center"/>
    </xf>
    <xf numFmtId="0" fontId="59" fillId="40" borderId="0" applyNumberFormat="0" applyBorder="0" applyAlignment="0" applyProtection="0">
      <alignment vertical="center"/>
    </xf>
    <xf numFmtId="9" fontId="60" fillId="0" borderId="0" applyFont="0" applyFill="0" applyBorder="0" applyAlignment="0" applyProtection="0">
      <alignment vertical="center"/>
    </xf>
    <xf numFmtId="9" fontId="7" fillId="0" borderId="0" applyFont="0" applyFill="0" applyBorder="0" applyAlignment="0" applyProtection="0"/>
    <xf numFmtId="190" fontId="7" fillId="0" borderId="0" applyFont="0" applyFill="0" applyBorder="0" applyAlignment="0" applyProtection="0"/>
    <xf numFmtId="191" fontId="7" fillId="0" borderId="0" applyFont="0" applyFill="0" applyBorder="0" applyAlignment="0" applyProtection="0"/>
    <xf numFmtId="9" fontId="61" fillId="0" borderId="0" applyFont="0" applyFill="0" applyBorder="0" applyAlignment="0" applyProtection="0">
      <alignment vertical="center"/>
    </xf>
    <xf numFmtId="192" fontId="62" fillId="0" borderId="0" applyFont="0" applyFill="0" applyBorder="0" applyAlignment="0" applyProtection="0"/>
    <xf numFmtId="0" fontId="63" fillId="0" borderId="0" applyNumberFormat="0" applyFill="0" applyBorder="0" applyAlignment="0" applyProtection="0">
      <alignment vertical="center"/>
    </xf>
    <xf numFmtId="0" fontId="60" fillId="42" borderId="13" applyNumberFormat="0" applyFont="0" applyAlignment="0" applyProtection="0">
      <alignment vertical="center"/>
    </xf>
    <xf numFmtId="0" fontId="64" fillId="0" borderId="12" applyNumberFormat="0" applyFill="0" applyAlignment="0" applyProtection="0">
      <alignment vertical="center"/>
    </xf>
    <xf numFmtId="0" fontId="65" fillId="3" borderId="0" applyNumberFormat="0" applyBorder="0" applyAlignment="0" applyProtection="0">
      <alignment vertical="center"/>
    </xf>
    <xf numFmtId="0" fontId="66" fillId="0" borderId="0"/>
    <xf numFmtId="193" fontId="67" fillId="0" borderId="0" applyFont="0" applyFill="0" applyBorder="0" applyAlignment="0" applyProtection="0"/>
    <xf numFmtId="194" fontId="67" fillId="0" borderId="0" applyFont="0" applyFill="0" applyBorder="0" applyAlignment="0" applyProtection="0"/>
    <xf numFmtId="0" fontId="68" fillId="0" borderId="20" applyNumberFormat="0" applyBorder="0">
      <alignment vertical="center"/>
    </xf>
    <xf numFmtId="0" fontId="69" fillId="31" borderId="2" applyNumberFormat="0" applyAlignment="0" applyProtection="0">
      <alignment vertical="center"/>
    </xf>
    <xf numFmtId="0" fontId="70" fillId="31" borderId="2" applyNumberFormat="0" applyAlignment="0" applyProtection="0">
      <alignment vertical="center"/>
    </xf>
    <xf numFmtId="0" fontId="70" fillId="31" borderId="2" applyNumberFormat="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38" fontId="60" fillId="0" borderId="0" applyFont="0" applyFill="0" applyBorder="0" applyAlignment="0" applyProtection="0">
      <alignment vertical="center"/>
    </xf>
    <xf numFmtId="195" fontId="7" fillId="0" borderId="0" applyFont="0" applyFill="0" applyBorder="0" applyAlignment="0" applyProtection="0"/>
    <xf numFmtId="181" fontId="7" fillId="0" borderId="0" applyFont="0" applyFill="0" applyBorder="0" applyAlignment="0" applyProtection="0"/>
    <xf numFmtId="38" fontId="14" fillId="0" borderId="0" applyFont="0" applyFill="0" applyBorder="0" applyAlignment="0" applyProtection="0">
      <alignment vertical="center"/>
    </xf>
    <xf numFmtId="38" fontId="60" fillId="0" borderId="0" applyFont="0" applyFill="0" applyBorder="0" applyAlignment="0" applyProtection="0">
      <alignment vertical="center"/>
    </xf>
    <xf numFmtId="38" fontId="60" fillId="0" borderId="0" applyFont="0" applyFill="0" applyBorder="0" applyAlignment="0" applyProtection="0">
      <alignment vertical="center"/>
    </xf>
    <xf numFmtId="38" fontId="60" fillId="0" borderId="0" applyFont="0" applyFill="0" applyBorder="0" applyAlignment="0" applyProtection="0">
      <alignment vertical="center"/>
    </xf>
    <xf numFmtId="38" fontId="60" fillId="0" borderId="0" applyFont="0" applyFill="0" applyBorder="0" applyAlignment="0" applyProtection="0">
      <alignment vertical="center"/>
    </xf>
    <xf numFmtId="0" fontId="73" fillId="0" borderId="8" applyNumberFormat="0" applyFill="0" applyAlignment="0" applyProtection="0">
      <alignment vertical="center"/>
    </xf>
    <xf numFmtId="0" fontId="74" fillId="0" borderId="9" applyNumberFormat="0" applyFill="0" applyAlignment="0" applyProtection="0">
      <alignment vertical="center"/>
    </xf>
    <xf numFmtId="0" fontId="75" fillId="0" borderId="10" applyNumberFormat="0" applyFill="0" applyAlignment="0" applyProtection="0">
      <alignment vertical="center"/>
    </xf>
    <xf numFmtId="0" fontId="75" fillId="0" borderId="0" applyNumberFormat="0" applyFill="0" applyBorder="0" applyAlignment="0" applyProtection="0">
      <alignment vertical="center"/>
    </xf>
    <xf numFmtId="0" fontId="76" fillId="0" borderId="0" applyFill="0" applyBorder="0" applyProtection="0"/>
    <xf numFmtId="0" fontId="77" fillId="4" borderId="0" applyNumberFormat="0" applyBorder="0" applyAlignment="0" applyProtection="0">
      <alignment vertical="center"/>
    </xf>
    <xf numFmtId="0" fontId="77" fillId="4" borderId="0" applyNumberFormat="0" applyBorder="0" applyAlignment="0" applyProtection="0">
      <alignment vertical="center"/>
    </xf>
    <xf numFmtId="0" fontId="78" fillId="0" borderId="19" applyNumberFormat="0" applyFill="0" applyAlignment="0" applyProtection="0">
      <alignment vertical="center"/>
    </xf>
    <xf numFmtId="0" fontId="78" fillId="0" borderId="19" applyNumberFormat="0" applyFill="0" applyAlignment="0" applyProtection="0">
      <alignment vertical="center"/>
    </xf>
    <xf numFmtId="0" fontId="79" fillId="0" borderId="19" applyNumberFormat="0" applyFill="0" applyAlignment="0" applyProtection="0">
      <alignment vertical="center"/>
    </xf>
    <xf numFmtId="0" fontId="80" fillId="31" borderId="14" applyNumberFormat="0" applyAlignment="0" applyProtection="0">
      <alignment vertical="center"/>
    </xf>
    <xf numFmtId="196" fontId="81" fillId="0" borderId="0"/>
    <xf numFmtId="0" fontId="82" fillId="0" borderId="0" applyNumberFormat="0" applyFill="0" applyBorder="0" applyAlignment="0" applyProtection="0">
      <alignment vertical="center"/>
    </xf>
    <xf numFmtId="164" fontId="66" fillId="0" borderId="0" applyFont="0" applyFill="0" applyBorder="0" applyAlignment="0" applyProtection="0"/>
    <xf numFmtId="165" fontId="66" fillId="0" borderId="0" applyFont="0" applyFill="0" applyBorder="0" applyAlignment="0" applyProtection="0"/>
    <xf numFmtId="170" fontId="67" fillId="0" borderId="0" applyFont="0" applyFill="0" applyBorder="0" applyAlignment="0" applyProtection="0"/>
    <xf numFmtId="165" fontId="66" fillId="0" borderId="0" applyFont="0" applyFill="0" applyBorder="0" applyAlignment="0" applyProtection="0">
      <alignment vertical="center"/>
    </xf>
    <xf numFmtId="0" fontId="83" fillId="40" borderId="0" applyNumberFormat="0" applyBorder="0" applyAlignment="0" applyProtection="0">
      <alignment vertical="center"/>
    </xf>
    <xf numFmtId="0" fontId="83" fillId="40" borderId="0" applyNumberFormat="0" applyBorder="0" applyAlignment="0" applyProtection="0">
      <alignment vertical="center"/>
    </xf>
    <xf numFmtId="0" fontId="84" fillId="0" borderId="0" applyNumberFormat="0" applyFill="0" applyBorder="0" applyAlignment="0" applyProtection="0">
      <alignment vertical="top"/>
      <protection locked="0"/>
    </xf>
    <xf numFmtId="166" fontId="13" fillId="0" borderId="0" applyFont="0" applyFill="0" applyBorder="0" applyAlignment="0" applyProtection="0">
      <alignment vertical="center"/>
    </xf>
    <xf numFmtId="0" fontId="85" fillId="7" borderId="2" applyNumberFormat="0" applyAlignment="0" applyProtection="0">
      <alignment vertical="center"/>
    </xf>
    <xf numFmtId="0" fontId="60" fillId="42" borderId="13" applyNumberFormat="0" applyFont="0" applyAlignment="0" applyProtection="0">
      <alignment vertical="center"/>
    </xf>
    <xf numFmtId="0" fontId="86" fillId="0" borderId="0">
      <alignment vertical="center"/>
    </xf>
    <xf numFmtId="0" fontId="13" fillId="0" borderId="0">
      <alignment vertical="center"/>
    </xf>
    <xf numFmtId="0" fontId="13" fillId="0" borderId="0">
      <alignment vertical="center"/>
    </xf>
    <xf numFmtId="0" fontId="60" fillId="0" borderId="0">
      <alignment vertical="center"/>
    </xf>
    <xf numFmtId="0" fontId="60" fillId="0" borderId="0"/>
    <xf numFmtId="0" fontId="60" fillId="0" borderId="0">
      <alignment vertical="center"/>
    </xf>
    <xf numFmtId="38" fontId="7" fillId="0" borderId="0"/>
    <xf numFmtId="0" fontId="7" fillId="0" borderId="0"/>
    <xf numFmtId="0" fontId="60" fillId="0" borderId="0"/>
    <xf numFmtId="0" fontId="60" fillId="0" borderId="0">
      <alignment vertical="center"/>
    </xf>
    <xf numFmtId="0" fontId="13" fillId="0" borderId="0">
      <alignment vertical="center"/>
    </xf>
    <xf numFmtId="0" fontId="60" fillId="0" borderId="0">
      <alignment vertical="center"/>
    </xf>
    <xf numFmtId="0" fontId="87" fillId="0" borderId="0">
      <alignment vertical="center"/>
    </xf>
    <xf numFmtId="0" fontId="60" fillId="0" borderId="0"/>
    <xf numFmtId="0" fontId="88" fillId="0" borderId="0">
      <alignment vertical="center"/>
    </xf>
    <xf numFmtId="0" fontId="88" fillId="0" borderId="0">
      <alignment vertical="center"/>
    </xf>
    <xf numFmtId="0" fontId="13" fillId="0" borderId="0">
      <alignment vertical="center"/>
    </xf>
    <xf numFmtId="0" fontId="89" fillId="0" borderId="0"/>
    <xf numFmtId="0" fontId="13" fillId="0" borderId="0"/>
    <xf numFmtId="0" fontId="13" fillId="0" borderId="0">
      <alignment vertical="center"/>
    </xf>
    <xf numFmtId="0" fontId="61" fillId="0" borderId="0">
      <alignment vertical="center"/>
    </xf>
    <xf numFmtId="0" fontId="61" fillId="0" borderId="0">
      <alignment vertical="center"/>
    </xf>
    <xf numFmtId="0" fontId="60" fillId="0" borderId="0">
      <alignment vertical="center"/>
    </xf>
    <xf numFmtId="0" fontId="60" fillId="0" borderId="0">
      <alignment horizontal="left" vertical="center"/>
    </xf>
    <xf numFmtId="0" fontId="90" fillId="0" borderId="0" applyNumberFormat="0" applyFill="0" applyBorder="0" applyAlignment="0" applyProtection="0">
      <alignment vertical="center"/>
    </xf>
    <xf numFmtId="0" fontId="91" fillId="0" borderId="8" applyNumberFormat="0" applyFill="0" applyAlignment="0" applyProtection="0">
      <alignment vertical="center"/>
    </xf>
    <xf numFmtId="0" fontId="91" fillId="0" borderId="8" applyNumberFormat="0" applyFill="0" applyAlignment="0" applyProtection="0">
      <alignment vertical="center"/>
    </xf>
    <xf numFmtId="0" fontId="92" fillId="0" borderId="9" applyNumberFormat="0" applyFill="0" applyAlignment="0" applyProtection="0">
      <alignment vertical="center"/>
    </xf>
    <xf numFmtId="0" fontId="92" fillId="0" borderId="9" applyNumberFormat="0" applyFill="0" applyAlignment="0" applyProtection="0">
      <alignment vertical="center"/>
    </xf>
    <xf numFmtId="0" fontId="93" fillId="0" borderId="10" applyNumberFormat="0" applyFill="0" applyAlignment="0" applyProtection="0">
      <alignment vertical="center"/>
    </xf>
    <xf numFmtId="0" fontId="93" fillId="0" borderId="10" applyNumberFormat="0" applyFill="0" applyAlignment="0" applyProtection="0">
      <alignment vertical="center"/>
    </xf>
    <xf numFmtId="0" fontId="93" fillId="0" borderId="0" applyNumberFormat="0" applyFill="0" applyBorder="0" applyAlignment="0" applyProtection="0">
      <alignment vertical="center"/>
    </xf>
    <xf numFmtId="0" fontId="93"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94" fillId="0" borderId="0"/>
    <xf numFmtId="0" fontId="95" fillId="0" borderId="0"/>
    <xf numFmtId="0" fontId="96" fillId="31" borderId="14" applyNumberFormat="0" applyAlignment="0" applyProtection="0">
      <alignment vertical="center"/>
    </xf>
    <xf numFmtId="0" fontId="96" fillId="31" borderId="14" applyNumberFormat="0" applyAlignment="0" applyProtection="0">
      <alignment vertical="center"/>
    </xf>
    <xf numFmtId="0" fontId="97" fillId="7" borderId="2" applyNumberFormat="0" applyAlignment="0" applyProtection="0">
      <alignment vertical="center"/>
    </xf>
    <xf numFmtId="0" fontId="97" fillId="7" borderId="2" applyNumberFormat="0" applyAlignment="0" applyProtection="0">
      <alignment vertical="center"/>
    </xf>
    <xf numFmtId="0" fontId="98" fillId="4" borderId="0" applyNumberFormat="0" applyBorder="0" applyAlignment="0" applyProtection="0">
      <alignment vertical="center"/>
    </xf>
    <xf numFmtId="0" fontId="99" fillId="0" borderId="12" applyNumberFormat="0" applyFill="0" applyAlignment="0" applyProtection="0">
      <alignment vertical="center"/>
    </xf>
    <xf numFmtId="0" fontId="99" fillId="0" borderId="12" applyNumberFormat="0" applyFill="0" applyAlignment="0" applyProtection="0">
      <alignment vertical="center"/>
    </xf>
    <xf numFmtId="0" fontId="100" fillId="3" borderId="0" applyNumberFormat="0" applyBorder="0" applyAlignment="0" applyProtection="0">
      <alignment vertical="center"/>
    </xf>
    <xf numFmtId="0" fontId="100" fillId="3" borderId="0" applyNumberFormat="0" applyBorder="0" applyAlignment="0" applyProtection="0">
      <alignment vertical="center"/>
    </xf>
    <xf numFmtId="0" fontId="101" fillId="32" borderId="3" applyNumberFormat="0" applyAlignment="0" applyProtection="0">
      <alignment vertical="center"/>
    </xf>
    <xf numFmtId="0" fontId="101" fillId="32" borderId="3" applyNumberFormat="0" applyAlignment="0" applyProtection="0">
      <alignment vertical="center"/>
    </xf>
    <xf numFmtId="0" fontId="102" fillId="0" borderId="0" applyNumberFormat="0" applyFill="0" applyBorder="0" applyAlignment="0" applyProtection="0">
      <alignment vertical="top"/>
      <protection locked="0"/>
    </xf>
    <xf numFmtId="0" fontId="103" fillId="0" borderId="0" applyNumberFormat="0" applyFill="0" applyBorder="0" applyAlignment="0" applyProtection="0">
      <alignment vertical="center"/>
    </xf>
    <xf numFmtId="0" fontId="103" fillId="0" borderId="0" applyNumberFormat="0" applyFill="0" applyBorder="0" applyAlignment="0" applyProtection="0">
      <alignment vertical="center"/>
    </xf>
    <xf numFmtId="167" fontId="66" fillId="0" borderId="0" applyFont="0" applyFill="0" applyBorder="0" applyAlignment="0" applyProtection="0"/>
    <xf numFmtId="168" fontId="66" fillId="0" borderId="0" applyFont="0" applyFill="0" applyBorder="0" applyAlignment="0" applyProtection="0"/>
    <xf numFmtId="0" fontId="9" fillId="0" borderId="0">
      <alignment vertical="top"/>
    </xf>
    <xf numFmtId="190" fontId="7" fillId="0" borderId="0" applyFont="0" applyFill="0" applyBorder="0" applyAlignment="0" applyProtection="0"/>
    <xf numFmtId="38" fontId="7" fillId="0" borderId="0"/>
    <xf numFmtId="0" fontId="60" fillId="0" borderId="0"/>
    <xf numFmtId="0" fontId="60" fillId="0" borderId="0"/>
    <xf numFmtId="0" fontId="89" fillId="0" borderId="0"/>
    <xf numFmtId="0" fontId="13" fillId="0" borderId="0">
      <alignment vertical="center"/>
    </xf>
    <xf numFmtId="0" fontId="13" fillId="0" borderId="0">
      <alignment vertical="center"/>
    </xf>
    <xf numFmtId="40" fontId="104" fillId="0" borderId="0" applyFont="0" applyFill="0" applyBorder="0" applyAlignment="0" applyProtection="0">
      <alignment vertical="center"/>
    </xf>
    <xf numFmtId="38" fontId="104" fillId="0" borderId="0" applyFont="0" applyFill="0" applyBorder="0" applyAlignment="0" applyProtection="0">
      <alignment vertical="center"/>
    </xf>
    <xf numFmtId="9" fontId="104" fillId="0" borderId="0" applyFont="0" applyFill="0" applyBorder="0" applyAlignment="0" applyProtection="0">
      <alignment vertical="center"/>
    </xf>
    <xf numFmtId="0" fontId="105" fillId="0" borderId="0"/>
    <xf numFmtId="0" fontId="60" fillId="0" borderId="0"/>
    <xf numFmtId="0" fontId="105" fillId="0" borderId="0"/>
    <xf numFmtId="170" fontId="105" fillId="0" borderId="0" applyFont="0" applyFill="0" applyBorder="0" applyAlignment="0" applyProtection="0"/>
    <xf numFmtId="0" fontId="60" fillId="0" borderId="0"/>
    <xf numFmtId="0" fontId="125" fillId="0" borderId="0"/>
    <xf numFmtId="0" fontId="21" fillId="31" borderId="56" applyNumberFormat="0" applyAlignment="0" applyProtection="0"/>
    <xf numFmtId="17" fontId="33" fillId="0" borderId="57"/>
    <xf numFmtId="17" fontId="33" fillId="0" borderId="57"/>
    <xf numFmtId="0" fontId="42" fillId="7" borderId="56" applyNumberFormat="0" applyAlignment="0" applyProtection="0"/>
    <xf numFmtId="0" fontId="7" fillId="42" borderId="58" applyNumberFormat="0" applyFont="0" applyAlignment="0" applyProtection="0"/>
    <xf numFmtId="0" fontId="49" fillId="31" borderId="59" applyNumberFormat="0" applyAlignment="0" applyProtection="0"/>
    <xf numFmtId="4" fontId="50" fillId="8" borderId="60" applyNumberFormat="0" applyProtection="0">
      <alignment vertical="center"/>
    </xf>
    <xf numFmtId="4" fontId="7" fillId="39" borderId="60" applyNumberFormat="0" applyProtection="0">
      <alignment vertical="center"/>
    </xf>
    <xf numFmtId="4" fontId="50" fillId="8" borderId="60" applyNumberFormat="0" applyProtection="0">
      <alignment horizontal="left" vertical="center" indent="1"/>
    </xf>
    <xf numFmtId="0" fontId="50" fillId="40" borderId="60" applyNumberFormat="0" applyProtection="0">
      <alignment horizontal="left" vertical="top" indent="1"/>
    </xf>
    <xf numFmtId="4" fontId="50" fillId="43" borderId="60" applyNumberFormat="0" applyProtection="0">
      <alignment horizontal="left" vertical="center" indent="1"/>
    </xf>
    <xf numFmtId="4" fontId="7" fillId="44" borderId="60" applyNumberFormat="0" applyProtection="0">
      <alignment horizontal="right" vertical="center"/>
    </xf>
    <xf numFmtId="4" fontId="7" fillId="45" borderId="60" applyNumberFormat="0" applyProtection="0">
      <alignment horizontal="right" vertical="center"/>
    </xf>
    <xf numFmtId="4" fontId="7" fillId="46" borderId="60" applyNumberFormat="0" applyProtection="0">
      <alignment horizontal="right" vertical="center"/>
    </xf>
    <xf numFmtId="4" fontId="7" fillId="47" borderId="60" applyNumberFormat="0" applyProtection="0">
      <alignment horizontal="right" vertical="center"/>
    </xf>
    <xf numFmtId="4" fontId="7" fillId="48" borderId="60" applyNumberFormat="0" applyProtection="0">
      <alignment horizontal="right" vertical="center"/>
    </xf>
    <xf numFmtId="4" fontId="7" fillId="49" borderId="60" applyNumberFormat="0" applyProtection="0">
      <alignment horizontal="right" vertical="center"/>
    </xf>
    <xf numFmtId="4" fontId="7" fillId="50" borderId="60" applyNumberFormat="0" applyProtection="0">
      <alignment horizontal="right" vertical="center"/>
    </xf>
    <xf numFmtId="4" fontId="9" fillId="51" borderId="60" applyNumberFormat="0" applyProtection="0">
      <alignment horizontal="right" vertical="center"/>
    </xf>
    <xf numFmtId="4" fontId="7" fillId="52" borderId="60" applyNumberFormat="0" applyProtection="0">
      <alignment horizontal="right" vertical="center"/>
    </xf>
    <xf numFmtId="4" fontId="50" fillId="53" borderId="60" applyNumberFormat="0" applyProtection="0">
      <alignment horizontal="left" vertical="center" indent="1"/>
    </xf>
    <xf numFmtId="4" fontId="50" fillId="41" borderId="60" applyNumberFormat="0" applyProtection="0">
      <alignment horizontal="left" vertical="center" indent="1"/>
    </xf>
    <xf numFmtId="4" fontId="7" fillId="55" borderId="60" applyNumberFormat="0" applyProtection="0">
      <alignment horizontal="right" vertical="center"/>
    </xf>
    <xf numFmtId="0" fontId="28" fillId="31" borderId="61" applyNumberFormat="0" applyProtection="0">
      <alignment horizontal="left" vertical="center" indent="1"/>
    </xf>
    <xf numFmtId="0" fontId="7" fillId="56" borderId="60" applyNumberFormat="0" applyProtection="0">
      <alignment horizontal="left" vertical="top" indent="1"/>
    </xf>
    <xf numFmtId="0" fontId="28" fillId="57" borderId="61" applyNumberFormat="0" applyProtection="0">
      <alignment horizontal="left" vertical="center" indent="1"/>
    </xf>
    <xf numFmtId="0" fontId="7" fillId="58" borderId="60" applyNumberFormat="0" applyProtection="0">
      <alignment horizontal="left" vertical="top" indent="1"/>
    </xf>
    <xf numFmtId="0" fontId="7" fillId="8" borderId="60" applyNumberFormat="0" applyProtection="0">
      <alignment horizontal="left" vertical="center" indent="1"/>
    </xf>
    <xf numFmtId="0" fontId="7" fillId="8" borderId="60" applyNumberFormat="0" applyProtection="0">
      <alignment horizontal="left" vertical="top" indent="1"/>
    </xf>
    <xf numFmtId="0" fontId="7" fillId="43" borderId="60" applyNumberFormat="0" applyProtection="0">
      <alignment horizontal="left" vertical="center" indent="1"/>
    </xf>
    <xf numFmtId="0" fontId="7" fillId="43" borderId="60" applyNumberFormat="0" applyProtection="0">
      <alignment horizontal="left" vertical="top" indent="1"/>
    </xf>
    <xf numFmtId="4" fontId="7" fillId="59" borderId="60" applyNumberFormat="0" applyProtection="0">
      <alignment vertical="center"/>
    </xf>
    <xf numFmtId="4" fontId="7" fillId="59" borderId="60" applyNumberFormat="0" applyProtection="0">
      <alignment vertical="center"/>
    </xf>
    <xf numFmtId="4" fontId="7" fillId="55" borderId="62" applyNumberFormat="0" applyProtection="0">
      <alignment horizontal="left" vertical="center" indent="1"/>
    </xf>
    <xf numFmtId="0" fontId="9" fillId="42" borderId="60" applyNumberFormat="0" applyProtection="0">
      <alignment horizontal="left" vertical="top" indent="1"/>
    </xf>
    <xf numFmtId="4" fontId="9" fillId="41" borderId="60" applyNumberFormat="0" applyProtection="0">
      <alignment horizontal="right" vertical="center"/>
    </xf>
    <xf numFmtId="4" fontId="7" fillId="59" borderId="60" applyNumberFormat="0" applyProtection="0">
      <alignment horizontal="right" vertical="center"/>
    </xf>
    <xf numFmtId="4" fontId="50" fillId="43" borderId="60" applyNumberFormat="0" applyProtection="0">
      <alignment horizontal="left" vertical="top" wrapText="1"/>
    </xf>
    <xf numFmtId="0" fontId="9" fillId="58" borderId="60" applyNumberFormat="0" applyProtection="0">
      <alignment horizontal="left" vertical="top" indent="1"/>
    </xf>
    <xf numFmtId="4" fontId="7" fillId="60" borderId="62" applyNumberFormat="0" applyProtection="0">
      <alignment horizontal="left" vertical="center" indent="1"/>
    </xf>
    <xf numFmtId="4" fontId="7" fillId="59" borderId="60" applyNumberFormat="0" applyProtection="0">
      <alignment horizontal="right" vertical="center"/>
    </xf>
    <xf numFmtId="0" fontId="31" fillId="0" borderId="63" applyNumberFormat="0" applyFill="0" applyAlignment="0" applyProtection="0"/>
    <xf numFmtId="0" fontId="60" fillId="42" borderId="58" applyNumberFormat="0" applyFont="0" applyAlignment="0" applyProtection="0">
      <alignment vertical="center"/>
    </xf>
    <xf numFmtId="0" fontId="68" fillId="0" borderId="64" applyNumberFormat="0" applyBorder="0">
      <alignment vertical="center"/>
    </xf>
    <xf numFmtId="0" fontId="69" fillId="31" borderId="56" applyNumberFormat="0" applyAlignment="0" applyProtection="0">
      <alignment vertical="center"/>
    </xf>
    <xf numFmtId="0" fontId="70" fillId="31" borderId="56" applyNumberFormat="0" applyAlignment="0" applyProtection="0">
      <alignment vertical="center"/>
    </xf>
    <xf numFmtId="0" fontId="70" fillId="31" borderId="56" applyNumberFormat="0" applyAlignment="0" applyProtection="0">
      <alignment vertical="center"/>
    </xf>
    <xf numFmtId="0" fontId="78" fillId="0" borderId="63" applyNumberFormat="0" applyFill="0" applyAlignment="0" applyProtection="0">
      <alignment vertical="center"/>
    </xf>
    <xf numFmtId="0" fontId="78" fillId="0" borderId="63" applyNumberFormat="0" applyFill="0" applyAlignment="0" applyProtection="0">
      <alignment vertical="center"/>
    </xf>
    <xf numFmtId="0" fontId="79" fillId="0" borderId="63" applyNumberFormat="0" applyFill="0" applyAlignment="0" applyProtection="0">
      <alignment vertical="center"/>
    </xf>
    <xf numFmtId="0" fontId="80" fillId="31" borderId="59" applyNumberFormat="0" applyAlignment="0" applyProtection="0">
      <alignment vertical="center"/>
    </xf>
    <xf numFmtId="166" fontId="13" fillId="0" borderId="0" applyFont="0" applyFill="0" applyBorder="0" applyAlignment="0" applyProtection="0">
      <alignment vertical="center"/>
    </xf>
    <xf numFmtId="0" fontId="85" fillId="7" borderId="56" applyNumberFormat="0" applyAlignment="0" applyProtection="0">
      <alignment vertical="center"/>
    </xf>
    <xf numFmtId="0" fontId="60" fillId="42" borderId="58" applyNumberFormat="0" applyFont="0" applyAlignment="0" applyProtection="0">
      <alignment vertical="center"/>
    </xf>
    <xf numFmtId="0" fontId="96" fillId="31" borderId="59" applyNumberFormat="0" applyAlignment="0" applyProtection="0">
      <alignment vertical="center"/>
    </xf>
    <xf numFmtId="0" fontId="96" fillId="31" borderId="59" applyNumberFormat="0" applyAlignment="0" applyProtection="0">
      <alignment vertical="center"/>
    </xf>
    <xf numFmtId="0" fontId="97" fillId="7" borderId="56" applyNumberFormat="0" applyAlignment="0" applyProtection="0">
      <alignment vertical="center"/>
    </xf>
    <xf numFmtId="0" fontId="97" fillId="7" borderId="56" applyNumberFormat="0" applyAlignment="0" applyProtection="0">
      <alignment vertical="center"/>
    </xf>
    <xf numFmtId="0" fontId="28" fillId="0" borderId="0"/>
    <xf numFmtId="40" fontId="28" fillId="0" borderId="0" applyFont="0" applyFill="0" applyBorder="0" applyAlignment="0" applyProtection="0">
      <alignment vertical="center"/>
    </xf>
    <xf numFmtId="0" fontId="7" fillId="0" borderId="0"/>
    <xf numFmtId="0" fontId="7" fillId="0" borderId="0"/>
    <xf numFmtId="38" fontId="104" fillId="0" borderId="0" applyFont="0" applyFill="0" applyBorder="0" applyAlignment="0" applyProtection="0">
      <alignment vertical="center"/>
    </xf>
    <xf numFmtId="0" fontId="216" fillId="0" borderId="0">
      <alignment vertical="center"/>
    </xf>
    <xf numFmtId="0" fontId="4" fillId="0" borderId="0">
      <alignment vertical="center"/>
    </xf>
    <xf numFmtId="38" fontId="3" fillId="0" borderId="0" applyFont="0" applyFill="0" applyBorder="0" applyAlignment="0" applyProtection="0">
      <alignment vertical="center"/>
    </xf>
    <xf numFmtId="0" fontId="225" fillId="0" borderId="0" applyNumberFormat="0" applyFill="0" applyBorder="0" applyAlignment="0" applyProtection="0">
      <alignment vertical="center"/>
    </xf>
    <xf numFmtId="0" fontId="97" fillId="7" borderId="115" applyNumberFormat="0" applyAlignment="0" applyProtection="0">
      <alignment vertical="center"/>
    </xf>
    <xf numFmtId="0" fontId="97" fillId="7" borderId="115" applyNumberFormat="0" applyAlignment="0" applyProtection="0">
      <alignment vertical="center"/>
    </xf>
    <xf numFmtId="0" fontId="96" fillId="31" borderId="118" applyNumberFormat="0" applyAlignment="0" applyProtection="0">
      <alignment vertical="center"/>
    </xf>
    <xf numFmtId="0" fontId="96" fillId="31" borderId="118" applyNumberFormat="0" applyAlignment="0" applyProtection="0">
      <alignment vertical="center"/>
    </xf>
    <xf numFmtId="3" fontId="7" fillId="0" borderId="101">
      <alignment horizontal="right" vertical="center"/>
      <protection hidden="1"/>
    </xf>
    <xf numFmtId="0" fontId="60" fillId="42" borderId="117" applyNumberFormat="0" applyFont="0" applyAlignment="0" applyProtection="0">
      <alignment vertical="center"/>
    </xf>
    <xf numFmtId="0" fontId="85" fillId="7" borderId="115" applyNumberFormat="0" applyAlignment="0" applyProtection="0">
      <alignment vertical="center"/>
    </xf>
    <xf numFmtId="0" fontId="80" fillId="31" borderId="118" applyNumberFormat="0" applyAlignment="0" applyProtection="0">
      <alignment vertical="center"/>
    </xf>
    <xf numFmtId="0" fontId="79" fillId="0" borderId="122" applyNumberFormat="0" applyFill="0" applyAlignment="0" applyProtection="0">
      <alignment vertical="center"/>
    </xf>
    <xf numFmtId="0" fontId="78" fillId="0" borderId="122" applyNumberFormat="0" applyFill="0" applyAlignment="0" applyProtection="0">
      <alignment vertical="center"/>
    </xf>
    <xf numFmtId="0" fontId="78" fillId="0" borderId="122" applyNumberFormat="0" applyFill="0" applyAlignment="0" applyProtection="0">
      <alignment vertical="center"/>
    </xf>
    <xf numFmtId="0" fontId="70" fillId="31" borderId="115" applyNumberFormat="0" applyAlignment="0" applyProtection="0">
      <alignment vertical="center"/>
    </xf>
    <xf numFmtId="0" fontId="70" fillId="31" borderId="115" applyNumberFormat="0" applyAlignment="0" applyProtection="0">
      <alignment vertical="center"/>
    </xf>
    <xf numFmtId="0" fontId="69" fillId="31" borderId="115" applyNumberFormat="0" applyAlignment="0" applyProtection="0">
      <alignment vertical="center"/>
    </xf>
    <xf numFmtId="0" fontId="68" fillId="0" borderId="123" applyNumberFormat="0" applyBorder="0">
      <alignment vertical="center"/>
    </xf>
    <xf numFmtId="0" fontId="60" fillId="42" borderId="117" applyNumberFormat="0" applyFont="0" applyAlignment="0" applyProtection="0">
      <alignment vertical="center"/>
    </xf>
    <xf numFmtId="0" fontId="21" fillId="31" borderId="102" applyNumberFormat="0" applyAlignment="0" applyProtection="0"/>
    <xf numFmtId="4" fontId="7" fillId="59" borderId="119" applyNumberFormat="0" applyProtection="0">
      <alignment horizontal="right" vertical="center"/>
    </xf>
    <xf numFmtId="4" fontId="7" fillId="60" borderId="121" applyNumberFormat="0" applyProtection="0">
      <alignment horizontal="left" vertical="center" indent="1"/>
    </xf>
    <xf numFmtId="0" fontId="9" fillId="58" borderId="119" applyNumberFormat="0" applyProtection="0">
      <alignment horizontal="left" vertical="top" indent="1"/>
    </xf>
    <xf numFmtId="4" fontId="50" fillId="43" borderId="119" applyNumberFormat="0" applyProtection="0">
      <alignment horizontal="left" vertical="top" wrapText="1"/>
    </xf>
    <xf numFmtId="4" fontId="7" fillId="59" borderId="119" applyNumberFormat="0" applyProtection="0">
      <alignment horizontal="right" vertical="center"/>
    </xf>
    <xf numFmtId="4" fontId="9" fillId="41" borderId="119" applyNumberFormat="0" applyProtection="0">
      <alignment horizontal="right" vertical="center"/>
    </xf>
    <xf numFmtId="0" fontId="9" fillId="42" borderId="119" applyNumberFormat="0" applyProtection="0">
      <alignment horizontal="left" vertical="top" indent="1"/>
    </xf>
    <xf numFmtId="4" fontId="7" fillId="55" borderId="121" applyNumberFormat="0" applyProtection="0">
      <alignment horizontal="left" vertical="center" indent="1"/>
    </xf>
    <xf numFmtId="4" fontId="7" fillId="59" borderId="119" applyNumberFormat="0" applyProtection="0">
      <alignment vertical="center"/>
    </xf>
    <xf numFmtId="4" fontId="7" fillId="59" borderId="119" applyNumberFormat="0" applyProtection="0">
      <alignment vertical="center"/>
    </xf>
    <xf numFmtId="0" fontId="28" fillId="34" borderId="101" applyNumberFormat="0" applyAlignment="0">
      <protection locked="0"/>
    </xf>
    <xf numFmtId="0" fontId="7" fillId="43" borderId="119" applyNumberFormat="0" applyProtection="0">
      <alignment horizontal="left" vertical="top" indent="1"/>
    </xf>
    <xf numFmtId="0" fontId="7" fillId="43" borderId="119" applyNumberFormat="0" applyProtection="0">
      <alignment horizontal="left" vertical="center" indent="1"/>
    </xf>
    <xf numFmtId="0" fontId="7" fillId="8" borderId="119" applyNumberFormat="0" applyProtection="0">
      <alignment horizontal="left" vertical="top" indent="1"/>
    </xf>
    <xf numFmtId="0" fontId="7" fillId="8" borderId="119" applyNumberFormat="0" applyProtection="0">
      <alignment horizontal="left" vertical="center" indent="1"/>
    </xf>
    <xf numFmtId="0" fontId="7" fillId="58" borderId="119" applyNumberFormat="0" applyProtection="0">
      <alignment horizontal="left" vertical="top" indent="1"/>
    </xf>
    <xf numFmtId="0" fontId="28" fillId="57" borderId="120" applyNumberFormat="0" applyProtection="0">
      <alignment horizontal="left" vertical="center" indent="1"/>
    </xf>
    <xf numFmtId="0" fontId="7" fillId="56" borderId="119" applyNumberFormat="0" applyProtection="0">
      <alignment horizontal="left" vertical="top" indent="1"/>
    </xf>
    <xf numFmtId="0" fontId="28" fillId="31" borderId="120" applyNumberFormat="0" applyProtection="0">
      <alignment horizontal="left" vertical="center" indent="1"/>
    </xf>
    <xf numFmtId="4" fontId="7" fillId="55" borderId="119" applyNumberFormat="0" applyProtection="0">
      <alignment horizontal="right" vertical="center"/>
    </xf>
    <xf numFmtId="17" fontId="33" fillId="0" borderId="104"/>
    <xf numFmtId="17" fontId="33" fillId="0" borderId="104"/>
    <xf numFmtId="4" fontId="50" fillId="53" borderId="119" applyNumberFormat="0" applyProtection="0">
      <alignment horizontal="left" vertical="center" indent="1"/>
    </xf>
    <xf numFmtId="4" fontId="7" fillId="52" borderId="119" applyNumberFormat="0" applyProtection="0">
      <alignment horizontal="right" vertical="center"/>
    </xf>
    <xf numFmtId="4" fontId="9" fillId="51" borderId="119" applyNumberFormat="0" applyProtection="0">
      <alignment horizontal="right" vertical="center"/>
    </xf>
    <xf numFmtId="4" fontId="7" fillId="50" borderId="119" applyNumberFormat="0" applyProtection="0">
      <alignment horizontal="right" vertical="center"/>
    </xf>
    <xf numFmtId="4" fontId="7" fillId="49" borderId="119" applyNumberFormat="0" applyProtection="0">
      <alignment horizontal="right" vertical="center"/>
    </xf>
    <xf numFmtId="4" fontId="7" fillId="48" borderId="119" applyNumberFormat="0" applyProtection="0">
      <alignment horizontal="right" vertical="center"/>
    </xf>
    <xf numFmtId="4" fontId="7" fillId="47" borderId="119" applyNumberFormat="0" applyProtection="0">
      <alignment horizontal="right" vertical="center"/>
    </xf>
    <xf numFmtId="4" fontId="7" fillId="46" borderId="119" applyNumberFormat="0" applyProtection="0">
      <alignment horizontal="right" vertical="center"/>
    </xf>
    <xf numFmtId="4" fontId="7" fillId="45" borderId="119" applyNumberFormat="0" applyProtection="0">
      <alignment horizontal="right" vertical="center"/>
    </xf>
    <xf numFmtId="4" fontId="7" fillId="44" borderId="119" applyNumberFormat="0" applyProtection="0">
      <alignment horizontal="right" vertical="center"/>
    </xf>
    <xf numFmtId="4" fontId="50" fillId="43" borderId="119" applyNumberFormat="0" applyProtection="0">
      <alignment horizontal="left" vertical="center" indent="1"/>
    </xf>
    <xf numFmtId="0" fontId="50" fillId="40" borderId="119" applyNumberFormat="0" applyProtection="0">
      <alignment horizontal="left" vertical="top" indent="1"/>
    </xf>
    <xf numFmtId="4" fontId="50" fillId="8" borderId="119" applyNumberFormat="0" applyProtection="0">
      <alignment horizontal="left" vertical="center" indent="1"/>
    </xf>
    <xf numFmtId="4" fontId="7" fillId="39" borderId="119" applyNumberFormat="0" applyProtection="0">
      <alignment vertical="center"/>
    </xf>
    <xf numFmtId="4" fontId="50" fillId="8" borderId="119" applyNumberFormat="0" applyProtection="0">
      <alignment vertical="center"/>
    </xf>
    <xf numFmtId="0" fontId="36" fillId="0" borderId="105">
      <alignment horizontal="left" vertical="center"/>
    </xf>
    <xf numFmtId="0" fontId="42" fillId="7" borderId="102" applyNumberFormat="0" applyAlignment="0" applyProtection="0"/>
    <xf numFmtId="10" fontId="28" fillId="34" borderId="101" applyNumberFormat="0" applyBorder="0" applyAlignment="0" applyProtection="0"/>
    <xf numFmtId="0" fontId="49" fillId="31" borderId="118" applyNumberFormat="0" applyAlignment="0" applyProtection="0"/>
    <xf numFmtId="0" fontId="7" fillId="42" borderId="117" applyNumberFormat="0" applyFont="0" applyAlignment="0" applyProtection="0"/>
    <xf numFmtId="180" fontId="28" fillId="0" borderId="101" applyFont="0" applyFill="0" applyBorder="0" applyProtection="0">
      <alignment horizontal="right"/>
    </xf>
    <xf numFmtId="0" fontId="7" fillId="42" borderId="106" applyNumberFormat="0" applyFont="0" applyAlignment="0" applyProtection="0"/>
    <xf numFmtId="0" fontId="49" fillId="31" borderId="107" applyNumberFormat="0" applyAlignment="0" applyProtection="0"/>
    <xf numFmtId="0" fontId="42" fillId="7" borderId="115" applyNumberFormat="0" applyAlignment="0" applyProtection="0"/>
    <xf numFmtId="4" fontId="50" fillId="8" borderId="108" applyNumberFormat="0" applyProtection="0">
      <alignment vertical="center"/>
    </xf>
    <xf numFmtId="4" fontId="7" fillId="39" borderId="108" applyNumberFormat="0" applyProtection="0">
      <alignment vertical="center"/>
    </xf>
    <xf numFmtId="4" fontId="50" fillId="8" borderId="108" applyNumberFormat="0" applyProtection="0">
      <alignment horizontal="left" vertical="center" indent="1"/>
    </xf>
    <xf numFmtId="0" fontId="50" fillId="40" borderId="108" applyNumberFormat="0" applyProtection="0">
      <alignment horizontal="left" vertical="top" indent="1"/>
    </xf>
    <xf numFmtId="4" fontId="50" fillId="43" borderId="108" applyNumberFormat="0" applyProtection="0">
      <alignment horizontal="left" vertical="center" indent="1"/>
    </xf>
    <xf numFmtId="4" fontId="7" fillId="44" borderId="108" applyNumberFormat="0" applyProtection="0">
      <alignment horizontal="right" vertical="center"/>
    </xf>
    <xf numFmtId="4" fontId="7" fillId="45" borderId="108" applyNumberFormat="0" applyProtection="0">
      <alignment horizontal="right" vertical="center"/>
    </xf>
    <xf numFmtId="4" fontId="7" fillId="46" borderId="108" applyNumberFormat="0" applyProtection="0">
      <alignment horizontal="right" vertical="center"/>
    </xf>
    <xf numFmtId="4" fontId="7" fillId="47" borderId="108" applyNumberFormat="0" applyProtection="0">
      <alignment horizontal="right" vertical="center"/>
    </xf>
    <xf numFmtId="4" fontId="7" fillId="48" borderId="108" applyNumberFormat="0" applyProtection="0">
      <alignment horizontal="right" vertical="center"/>
    </xf>
    <xf numFmtId="4" fontId="7" fillId="49" borderId="108" applyNumberFormat="0" applyProtection="0">
      <alignment horizontal="right" vertical="center"/>
    </xf>
    <xf numFmtId="4" fontId="7" fillId="50" borderId="108" applyNumberFormat="0" applyProtection="0">
      <alignment horizontal="right" vertical="center"/>
    </xf>
    <xf numFmtId="4" fontId="9" fillId="51" borderId="108" applyNumberFormat="0" applyProtection="0">
      <alignment horizontal="right" vertical="center"/>
    </xf>
    <xf numFmtId="4" fontId="7" fillId="52" borderId="108" applyNumberFormat="0" applyProtection="0">
      <alignment horizontal="right" vertical="center"/>
    </xf>
    <xf numFmtId="4" fontId="50" fillId="53" borderId="108" applyNumberFormat="0" applyProtection="0">
      <alignment horizontal="left" vertical="center" indent="1"/>
    </xf>
    <xf numFmtId="4" fontId="50" fillId="41" borderId="108" applyNumberFormat="0" applyProtection="0">
      <alignment horizontal="left" vertical="center" indent="1"/>
    </xf>
    <xf numFmtId="4" fontId="7" fillId="55" borderId="108" applyNumberFormat="0" applyProtection="0">
      <alignment horizontal="right" vertical="center"/>
    </xf>
    <xf numFmtId="0" fontId="28" fillId="31" borderId="109" applyNumberFormat="0" applyProtection="0">
      <alignment horizontal="left" vertical="center" indent="1"/>
    </xf>
    <xf numFmtId="0" fontId="7" fillId="56" borderId="108" applyNumberFormat="0" applyProtection="0">
      <alignment horizontal="left" vertical="top" indent="1"/>
    </xf>
    <xf numFmtId="0" fontId="28" fillId="57" borderId="109" applyNumberFormat="0" applyProtection="0">
      <alignment horizontal="left" vertical="center" indent="1"/>
    </xf>
    <xf numFmtId="0" fontId="7" fillId="58" borderId="108" applyNumberFormat="0" applyProtection="0">
      <alignment horizontal="left" vertical="top" indent="1"/>
    </xf>
    <xf numFmtId="0" fontId="7" fillId="8" borderId="108" applyNumberFormat="0" applyProtection="0">
      <alignment horizontal="left" vertical="center" indent="1"/>
    </xf>
    <xf numFmtId="0" fontId="7" fillId="8" borderId="108" applyNumberFormat="0" applyProtection="0">
      <alignment horizontal="left" vertical="top" indent="1"/>
    </xf>
    <xf numFmtId="0" fontId="7" fillId="43" borderId="108" applyNumberFormat="0" applyProtection="0">
      <alignment horizontal="left" vertical="center" indent="1"/>
    </xf>
    <xf numFmtId="0" fontId="7" fillId="43" borderId="108" applyNumberFormat="0" applyProtection="0">
      <alignment horizontal="left" vertical="top" indent="1"/>
    </xf>
    <xf numFmtId="0" fontId="7" fillId="41" borderId="101" applyNumberFormat="0">
      <protection locked="0"/>
    </xf>
    <xf numFmtId="4" fontId="7" fillId="59" borderId="108" applyNumberFormat="0" applyProtection="0">
      <alignment vertical="center"/>
    </xf>
    <xf numFmtId="4" fontId="7" fillId="59" borderId="108" applyNumberFormat="0" applyProtection="0">
      <alignment vertical="center"/>
    </xf>
    <xf numFmtId="4" fontId="7" fillId="55" borderId="110" applyNumberFormat="0" applyProtection="0">
      <alignment horizontal="left" vertical="center" indent="1"/>
    </xf>
    <xf numFmtId="0" fontId="9" fillId="42" borderId="108" applyNumberFormat="0" applyProtection="0">
      <alignment horizontal="left" vertical="top" indent="1"/>
    </xf>
    <xf numFmtId="4" fontId="9" fillId="41" borderId="108" applyNumberFormat="0" applyProtection="0">
      <alignment horizontal="right" vertical="center"/>
    </xf>
    <xf numFmtId="4" fontId="7" fillId="59" borderId="108" applyNumberFormat="0" applyProtection="0">
      <alignment horizontal="right" vertical="center"/>
    </xf>
    <xf numFmtId="4" fontId="50" fillId="43" borderId="108" applyNumberFormat="0" applyProtection="0">
      <alignment horizontal="left" vertical="top" wrapText="1"/>
    </xf>
    <xf numFmtId="0" fontId="9" fillId="58" borderId="108" applyNumberFormat="0" applyProtection="0">
      <alignment horizontal="left" vertical="top" indent="1"/>
    </xf>
    <xf numFmtId="4" fontId="7" fillId="60" borderId="110" applyNumberFormat="0" applyProtection="0">
      <alignment horizontal="left" vertical="center" indent="1"/>
    </xf>
    <xf numFmtId="4" fontId="7" fillId="59" borderId="108" applyNumberFormat="0" applyProtection="0">
      <alignment horizontal="right" vertical="center"/>
    </xf>
    <xf numFmtId="0" fontId="31" fillId="0" borderId="111" applyNumberFormat="0" applyFill="0" applyAlignment="0" applyProtection="0"/>
    <xf numFmtId="0" fontId="21" fillId="31" borderId="115" applyNumberFormat="0" applyAlignment="0" applyProtection="0"/>
    <xf numFmtId="0" fontId="60" fillId="42" borderId="106" applyNumberFormat="0" applyFont="0" applyAlignment="0" applyProtection="0">
      <alignment vertical="center"/>
    </xf>
    <xf numFmtId="0" fontId="68" fillId="0" borderId="112" applyNumberFormat="0" applyBorder="0">
      <alignment vertical="center"/>
    </xf>
    <xf numFmtId="0" fontId="69" fillId="31" borderId="102" applyNumberFormat="0" applyAlignment="0" applyProtection="0">
      <alignment vertical="center"/>
    </xf>
    <xf numFmtId="0" fontId="70" fillId="31" borderId="102" applyNumberFormat="0" applyAlignment="0" applyProtection="0">
      <alignment vertical="center"/>
    </xf>
    <xf numFmtId="0" fontId="70" fillId="31" borderId="102" applyNumberFormat="0" applyAlignment="0" applyProtection="0">
      <alignment vertical="center"/>
    </xf>
    <xf numFmtId="0" fontId="78" fillId="0" borderId="111" applyNumberFormat="0" applyFill="0" applyAlignment="0" applyProtection="0">
      <alignment vertical="center"/>
    </xf>
    <xf numFmtId="0" fontId="78" fillId="0" borderId="111" applyNumberFormat="0" applyFill="0" applyAlignment="0" applyProtection="0">
      <alignment vertical="center"/>
    </xf>
    <xf numFmtId="0" fontId="79" fillId="0" borderId="111" applyNumberFormat="0" applyFill="0" applyAlignment="0" applyProtection="0">
      <alignment vertical="center"/>
    </xf>
    <xf numFmtId="0" fontId="80" fillId="31" borderId="107" applyNumberFormat="0" applyAlignment="0" applyProtection="0">
      <alignment vertical="center"/>
    </xf>
    <xf numFmtId="166" fontId="13" fillId="0" borderId="0" applyFont="0" applyFill="0" applyBorder="0" applyAlignment="0" applyProtection="0">
      <alignment vertical="center"/>
    </xf>
    <xf numFmtId="0" fontId="85" fillId="7" borderId="102" applyNumberFormat="0" applyAlignment="0" applyProtection="0">
      <alignment vertical="center"/>
    </xf>
    <xf numFmtId="0" fontId="60" fillId="42" borderId="106" applyNumberFormat="0" applyFont="0" applyAlignment="0" applyProtection="0">
      <alignment vertical="center"/>
    </xf>
    <xf numFmtId="0" fontId="96" fillId="31" borderId="107" applyNumberFormat="0" applyAlignment="0" applyProtection="0">
      <alignment vertical="center"/>
    </xf>
    <xf numFmtId="0" fontId="96" fillId="31" borderId="107" applyNumberFormat="0" applyAlignment="0" applyProtection="0">
      <alignment vertical="center"/>
    </xf>
    <xf numFmtId="0" fontId="97" fillId="7" borderId="102" applyNumberFormat="0" applyAlignment="0" applyProtection="0">
      <alignment vertical="center"/>
    </xf>
    <xf numFmtId="0" fontId="97" fillId="7" borderId="102" applyNumberFormat="0" applyAlignment="0" applyProtection="0">
      <alignment vertical="center"/>
    </xf>
    <xf numFmtId="0" fontId="2" fillId="0" borderId="0"/>
    <xf numFmtId="0" fontId="31" fillId="0" borderId="122" applyNumberFormat="0" applyFill="0" applyAlignment="0" applyProtection="0"/>
    <xf numFmtId="4" fontId="50" fillId="41" borderId="119" applyNumberFormat="0" applyProtection="0">
      <alignment horizontal="left" vertical="center" indent="1"/>
    </xf>
    <xf numFmtId="17" fontId="33" fillId="0" borderId="116"/>
    <xf numFmtId="17" fontId="33" fillId="0" borderId="116"/>
    <xf numFmtId="0" fontId="68" fillId="0" borderId="72" applyNumberFormat="0" applyBorder="0">
      <alignment vertical="center"/>
    </xf>
    <xf numFmtId="166" fontId="13" fillId="0" borderId="0" applyFont="0" applyFill="0" applyBorder="0" applyAlignment="0" applyProtection="0">
      <alignment vertical="center"/>
    </xf>
    <xf numFmtId="0" fontId="3" fillId="0" borderId="0">
      <alignment vertical="center"/>
    </xf>
    <xf numFmtId="0" fontId="68" fillId="0" borderId="123" applyNumberFormat="0" applyBorder="0">
      <alignment vertical="center"/>
    </xf>
    <xf numFmtId="3" fontId="7" fillId="0" borderId="124">
      <alignment horizontal="right" vertical="center"/>
      <protection hidden="1"/>
    </xf>
    <xf numFmtId="0" fontId="28" fillId="34" borderId="124" applyNumberFormat="0" applyAlignment="0">
      <protection locked="0"/>
    </xf>
    <xf numFmtId="0" fontId="42" fillId="7" borderId="115" applyNumberFormat="0" applyAlignment="0" applyProtection="0"/>
    <xf numFmtId="10" fontId="28" fillId="34" borderId="124" applyNumberFormat="0" applyBorder="0" applyAlignment="0" applyProtection="0"/>
    <xf numFmtId="180" fontId="28" fillId="0" borderId="124" applyFont="0" applyFill="0" applyBorder="0" applyProtection="0">
      <alignment horizontal="right"/>
    </xf>
    <xf numFmtId="0" fontId="7" fillId="41" borderId="124" applyNumberFormat="0">
      <protection locked="0"/>
    </xf>
    <xf numFmtId="0" fontId="1" fillId="0" borderId="0"/>
    <xf numFmtId="3" fontId="7" fillId="0" borderId="124">
      <alignment horizontal="right" vertical="center"/>
      <protection hidden="1"/>
    </xf>
    <xf numFmtId="0" fontId="21" fillId="31" borderId="131" applyNumberFormat="0" applyAlignment="0" applyProtection="0"/>
    <xf numFmtId="0" fontId="28" fillId="34" borderId="124" applyNumberFormat="0" applyAlignment="0">
      <protection locked="0"/>
    </xf>
    <xf numFmtId="17" fontId="33" fillId="0" borderId="29"/>
    <xf numFmtId="17" fontId="33" fillId="0" borderId="29"/>
    <xf numFmtId="0" fontId="42" fillId="7" borderId="131" applyNumberFormat="0" applyAlignment="0" applyProtection="0"/>
    <xf numFmtId="10" fontId="28" fillId="34" borderId="124" applyNumberFormat="0" applyBorder="0" applyAlignment="0" applyProtection="0"/>
    <xf numFmtId="180" fontId="28" fillId="0" borderId="124" applyFont="0" applyFill="0" applyBorder="0" applyProtection="0">
      <alignment horizontal="right"/>
    </xf>
    <xf numFmtId="0" fontId="7" fillId="42" borderId="117" applyNumberFormat="0" applyFont="0" applyAlignment="0" applyProtection="0"/>
    <xf numFmtId="0" fontId="49" fillId="31" borderId="118" applyNumberFormat="0" applyAlignment="0" applyProtection="0"/>
    <xf numFmtId="4" fontId="50" fillId="8" borderId="119" applyNumberFormat="0" applyProtection="0">
      <alignment vertical="center"/>
    </xf>
    <xf numFmtId="4" fontId="7" fillId="39" borderId="119" applyNumberFormat="0" applyProtection="0">
      <alignment vertical="center"/>
    </xf>
    <xf numFmtId="4" fontId="50" fillId="8" borderId="119" applyNumberFormat="0" applyProtection="0">
      <alignment horizontal="left" vertical="center" indent="1"/>
    </xf>
    <xf numFmtId="0" fontId="50" fillId="40" borderId="119" applyNumberFormat="0" applyProtection="0">
      <alignment horizontal="left" vertical="top" indent="1"/>
    </xf>
    <xf numFmtId="4" fontId="50" fillId="43" borderId="119" applyNumberFormat="0" applyProtection="0">
      <alignment horizontal="left" vertical="center" indent="1"/>
    </xf>
    <xf numFmtId="4" fontId="7" fillId="44" borderId="119" applyNumberFormat="0" applyProtection="0">
      <alignment horizontal="right" vertical="center"/>
    </xf>
    <xf numFmtId="4" fontId="7" fillId="45" borderId="119" applyNumberFormat="0" applyProtection="0">
      <alignment horizontal="right" vertical="center"/>
    </xf>
    <xf numFmtId="4" fontId="7" fillId="46" borderId="119" applyNumberFormat="0" applyProtection="0">
      <alignment horizontal="right" vertical="center"/>
    </xf>
    <xf numFmtId="4" fontId="7" fillId="47" borderId="119" applyNumberFormat="0" applyProtection="0">
      <alignment horizontal="right" vertical="center"/>
    </xf>
    <xf numFmtId="4" fontId="7" fillId="48" borderId="119" applyNumberFormat="0" applyProtection="0">
      <alignment horizontal="right" vertical="center"/>
    </xf>
    <xf numFmtId="4" fontId="7" fillId="49" borderId="119" applyNumberFormat="0" applyProtection="0">
      <alignment horizontal="right" vertical="center"/>
    </xf>
    <xf numFmtId="4" fontId="7" fillId="50" borderId="119" applyNumberFormat="0" applyProtection="0">
      <alignment horizontal="right" vertical="center"/>
    </xf>
    <xf numFmtId="4" fontId="9" fillId="51" borderId="119" applyNumberFormat="0" applyProtection="0">
      <alignment horizontal="right" vertical="center"/>
    </xf>
    <xf numFmtId="4" fontId="7" fillId="52" borderId="119" applyNumberFormat="0" applyProtection="0">
      <alignment horizontal="right" vertical="center"/>
    </xf>
    <xf numFmtId="4" fontId="50" fillId="53" borderId="119" applyNumberFormat="0" applyProtection="0">
      <alignment horizontal="left" vertical="center" indent="1"/>
    </xf>
    <xf numFmtId="4" fontId="50" fillId="41" borderId="119" applyNumberFormat="0" applyProtection="0">
      <alignment horizontal="left" vertical="center" indent="1"/>
    </xf>
    <xf numFmtId="4" fontId="7" fillId="55" borderId="119" applyNumberFormat="0" applyProtection="0">
      <alignment horizontal="right" vertical="center"/>
    </xf>
    <xf numFmtId="0" fontId="28" fillId="31" borderId="120" applyNumberFormat="0" applyProtection="0">
      <alignment horizontal="left" vertical="center" indent="1"/>
    </xf>
    <xf numFmtId="0" fontId="7" fillId="56" borderId="119" applyNumberFormat="0" applyProtection="0">
      <alignment horizontal="left" vertical="top" indent="1"/>
    </xf>
    <xf numFmtId="0" fontId="28" fillId="57" borderId="120" applyNumberFormat="0" applyProtection="0">
      <alignment horizontal="left" vertical="center" indent="1"/>
    </xf>
    <xf numFmtId="0" fontId="7" fillId="58" borderId="119" applyNumberFormat="0" applyProtection="0">
      <alignment horizontal="left" vertical="top" indent="1"/>
    </xf>
    <xf numFmtId="0" fontId="7" fillId="8" borderId="119" applyNumberFormat="0" applyProtection="0">
      <alignment horizontal="left" vertical="center" indent="1"/>
    </xf>
    <xf numFmtId="0" fontId="7" fillId="8" borderId="119" applyNumberFormat="0" applyProtection="0">
      <alignment horizontal="left" vertical="top" indent="1"/>
    </xf>
    <xf numFmtId="0" fontId="7" fillId="43" borderId="119" applyNumberFormat="0" applyProtection="0">
      <alignment horizontal="left" vertical="center" indent="1"/>
    </xf>
    <xf numFmtId="0" fontId="7" fillId="43" borderId="119" applyNumberFormat="0" applyProtection="0">
      <alignment horizontal="left" vertical="top" indent="1"/>
    </xf>
    <xf numFmtId="0" fontId="7" fillId="41" borderId="124" applyNumberFormat="0">
      <protection locked="0"/>
    </xf>
    <xf numFmtId="4" fontId="7" fillId="59" borderId="119" applyNumberFormat="0" applyProtection="0">
      <alignment vertical="center"/>
    </xf>
    <xf numFmtId="4" fontId="7" fillId="59" borderId="119" applyNumberFormat="0" applyProtection="0">
      <alignment vertical="center"/>
    </xf>
    <xf numFmtId="4" fontId="7" fillId="55" borderId="121" applyNumberFormat="0" applyProtection="0">
      <alignment horizontal="left" vertical="center" indent="1"/>
    </xf>
    <xf numFmtId="0" fontId="9" fillId="42" borderId="119" applyNumberFormat="0" applyProtection="0">
      <alignment horizontal="left" vertical="top" indent="1"/>
    </xf>
    <xf numFmtId="4" fontId="9" fillId="41" borderId="119" applyNumberFormat="0" applyProtection="0">
      <alignment horizontal="right" vertical="center"/>
    </xf>
    <xf numFmtId="4" fontId="7" fillId="59" borderId="119" applyNumberFormat="0" applyProtection="0">
      <alignment horizontal="right" vertical="center"/>
    </xf>
    <xf numFmtId="4" fontId="50" fillId="43" borderId="119" applyNumberFormat="0" applyProtection="0">
      <alignment horizontal="left" vertical="top" wrapText="1"/>
    </xf>
    <xf numFmtId="0" fontId="9" fillId="58" borderId="119" applyNumberFormat="0" applyProtection="0">
      <alignment horizontal="left" vertical="top" indent="1"/>
    </xf>
    <xf numFmtId="4" fontId="7" fillId="60" borderId="121" applyNumberFormat="0" applyProtection="0">
      <alignment horizontal="left" vertical="center" indent="1"/>
    </xf>
    <xf numFmtId="4" fontId="7" fillId="59" borderId="119" applyNumberFormat="0" applyProtection="0">
      <alignment horizontal="right" vertical="center"/>
    </xf>
    <xf numFmtId="0" fontId="31" fillId="0" borderId="122" applyNumberFormat="0" applyFill="0" applyAlignment="0" applyProtection="0"/>
    <xf numFmtId="0" fontId="60" fillId="42" borderId="117" applyNumberFormat="0" applyFont="0" applyAlignment="0" applyProtection="0">
      <alignment vertical="center"/>
    </xf>
    <xf numFmtId="0" fontId="68" fillId="0" borderId="123" applyNumberFormat="0" applyBorder="0">
      <alignment vertical="center"/>
    </xf>
    <xf numFmtId="0" fontId="69" fillId="31" borderId="131" applyNumberFormat="0" applyAlignment="0" applyProtection="0">
      <alignment vertical="center"/>
    </xf>
    <xf numFmtId="0" fontId="70" fillId="31" borderId="131" applyNumberFormat="0" applyAlignment="0" applyProtection="0">
      <alignment vertical="center"/>
    </xf>
    <xf numFmtId="0" fontId="70" fillId="31" borderId="131" applyNumberFormat="0" applyAlignment="0" applyProtection="0">
      <alignment vertical="center"/>
    </xf>
    <xf numFmtId="0" fontId="78" fillId="0" borderId="122" applyNumberFormat="0" applyFill="0" applyAlignment="0" applyProtection="0">
      <alignment vertical="center"/>
    </xf>
    <xf numFmtId="0" fontId="78" fillId="0" borderId="122" applyNumberFormat="0" applyFill="0" applyAlignment="0" applyProtection="0">
      <alignment vertical="center"/>
    </xf>
    <xf numFmtId="0" fontId="79" fillId="0" borderId="122" applyNumberFormat="0" applyFill="0" applyAlignment="0" applyProtection="0">
      <alignment vertical="center"/>
    </xf>
    <xf numFmtId="0" fontId="80" fillId="31" borderId="118" applyNumberFormat="0" applyAlignment="0" applyProtection="0">
      <alignment vertical="center"/>
    </xf>
    <xf numFmtId="0" fontId="85" fillId="7" borderId="131" applyNumberFormat="0" applyAlignment="0" applyProtection="0">
      <alignment vertical="center"/>
    </xf>
    <xf numFmtId="0" fontId="60" fillId="42" borderId="117" applyNumberFormat="0" applyFont="0" applyAlignment="0" applyProtection="0">
      <alignment vertical="center"/>
    </xf>
    <xf numFmtId="0" fontId="96" fillId="31" borderId="118" applyNumberFormat="0" applyAlignment="0" applyProtection="0">
      <alignment vertical="center"/>
    </xf>
    <xf numFmtId="0" fontId="96" fillId="31" borderId="118" applyNumberFormat="0" applyAlignment="0" applyProtection="0">
      <alignment vertical="center"/>
    </xf>
    <xf numFmtId="0" fontId="97" fillId="7" borderId="131" applyNumberFormat="0" applyAlignment="0" applyProtection="0">
      <alignment vertical="center"/>
    </xf>
    <xf numFmtId="0" fontId="97" fillId="7" borderId="131" applyNumberFormat="0" applyAlignment="0" applyProtection="0">
      <alignment vertical="center"/>
    </xf>
    <xf numFmtId="0" fontId="1" fillId="0" borderId="0"/>
    <xf numFmtId="0" fontId="68" fillId="0" borderId="123" applyNumberFormat="0" applyBorder="0">
      <alignment vertical="center"/>
    </xf>
  </cellStyleXfs>
  <cellXfs count="2840">
    <xf numFmtId="0" fontId="0" fillId="0" borderId="0" xfId="0">
      <alignment vertical="center"/>
    </xf>
    <xf numFmtId="197" fontId="105" fillId="64" borderId="0" xfId="345" applyNumberFormat="1" applyFont="1" applyFill="1">
      <alignment vertical="center"/>
    </xf>
    <xf numFmtId="198" fontId="105" fillId="0" borderId="23" xfId="349" applyNumberFormat="1" applyFont="1" applyBorder="1" applyAlignment="1">
      <alignment vertical="center"/>
    </xf>
    <xf numFmtId="198" fontId="106" fillId="0" borderId="23" xfId="349" applyNumberFormat="1" applyFont="1" applyBorder="1" applyAlignment="1">
      <alignment vertical="center"/>
    </xf>
    <xf numFmtId="198" fontId="105" fillId="0" borderId="0" xfId="349" applyNumberFormat="1" applyFont="1" applyAlignment="1">
      <alignment vertical="center"/>
    </xf>
    <xf numFmtId="198" fontId="106" fillId="0" borderId="0" xfId="349" applyNumberFormat="1" applyFont="1" applyAlignment="1">
      <alignment vertical="center"/>
    </xf>
    <xf numFmtId="198" fontId="106" fillId="66" borderId="11" xfId="349" applyNumberFormat="1" applyFont="1" applyFill="1" applyBorder="1" applyAlignment="1">
      <alignment vertical="center"/>
    </xf>
    <xf numFmtId="198" fontId="106" fillId="67" borderId="11" xfId="349" applyNumberFormat="1" applyFont="1" applyFill="1" applyBorder="1" applyAlignment="1">
      <alignment vertical="center"/>
    </xf>
    <xf numFmtId="198" fontId="106" fillId="70" borderId="11" xfId="349" applyNumberFormat="1" applyFont="1" applyFill="1" applyBorder="1" applyAlignment="1">
      <alignment vertical="center"/>
    </xf>
    <xf numFmtId="0" fontId="105" fillId="64" borderId="0" xfId="345" applyFont="1" applyFill="1">
      <alignment vertical="center"/>
    </xf>
    <xf numFmtId="0" fontId="106" fillId="64" borderId="0" xfId="345" applyFont="1" applyFill="1">
      <alignment vertical="center"/>
    </xf>
    <xf numFmtId="38" fontId="105" fillId="0" borderId="22" xfId="415" applyFont="1" applyBorder="1" applyAlignment="1" applyProtection="1">
      <alignment vertical="center"/>
    </xf>
    <xf numFmtId="0" fontId="105" fillId="64" borderId="23" xfId="345" applyFont="1" applyFill="1" applyBorder="1">
      <alignment vertical="center"/>
    </xf>
    <xf numFmtId="38" fontId="105" fillId="0" borderId="25" xfId="415" applyFont="1" applyBorder="1" applyAlignment="1" applyProtection="1">
      <alignment vertical="center"/>
    </xf>
    <xf numFmtId="0" fontId="106" fillId="0" borderId="0" xfId="349" applyFont="1"/>
    <xf numFmtId="0" fontId="106" fillId="69" borderId="25" xfId="349" applyFont="1" applyFill="1" applyBorder="1"/>
    <xf numFmtId="0" fontId="106" fillId="69" borderId="26" xfId="349" applyFont="1" applyFill="1" applyBorder="1"/>
    <xf numFmtId="38" fontId="105" fillId="64" borderId="22" xfId="415" applyFont="1" applyFill="1" applyBorder="1">
      <alignment vertical="center"/>
    </xf>
    <xf numFmtId="0" fontId="106" fillId="64" borderId="23" xfId="345" applyFont="1" applyFill="1" applyBorder="1">
      <alignment vertical="center"/>
    </xf>
    <xf numFmtId="38" fontId="105" fillId="64" borderId="25" xfId="415" applyFont="1" applyFill="1" applyBorder="1">
      <alignment vertical="center"/>
    </xf>
    <xf numFmtId="38" fontId="105" fillId="64" borderId="1" xfId="415" applyFont="1" applyFill="1" applyBorder="1">
      <alignment vertical="center"/>
    </xf>
    <xf numFmtId="0" fontId="106" fillId="64" borderId="7" xfId="345" applyFont="1" applyFill="1" applyBorder="1">
      <alignment vertical="center"/>
    </xf>
    <xf numFmtId="0" fontId="105" fillId="64" borderId="7" xfId="345" applyFont="1" applyFill="1" applyBorder="1">
      <alignment vertical="center"/>
    </xf>
    <xf numFmtId="0" fontId="105" fillId="0" borderId="7" xfId="345" applyFont="1" applyBorder="1">
      <alignment vertical="center"/>
    </xf>
    <xf numFmtId="0" fontId="106" fillId="0" borderId="0" xfId="345" applyFont="1">
      <alignment vertical="center"/>
    </xf>
    <xf numFmtId="0" fontId="111" fillId="0" borderId="0" xfId="0" applyFont="1">
      <alignment vertical="center"/>
    </xf>
    <xf numFmtId="0" fontId="105" fillId="64" borderId="1" xfId="345" applyFont="1" applyFill="1" applyBorder="1" applyAlignment="1">
      <alignment horizontal="center" vertical="center"/>
    </xf>
    <xf numFmtId="198" fontId="105" fillId="0" borderId="31" xfId="349" applyNumberFormat="1" applyFont="1" applyBorder="1" applyAlignment="1">
      <alignment vertical="center"/>
    </xf>
    <xf numFmtId="198" fontId="106" fillId="0" borderId="24" xfId="349" applyNumberFormat="1" applyFont="1" applyBorder="1" applyAlignment="1">
      <alignment vertical="center"/>
    </xf>
    <xf numFmtId="198" fontId="105" fillId="0" borderId="32" xfId="349" applyNumberFormat="1" applyFont="1" applyBorder="1" applyAlignment="1">
      <alignment vertical="center"/>
    </xf>
    <xf numFmtId="198" fontId="106" fillId="0" borderId="11" xfId="349" applyNumberFormat="1" applyFont="1" applyBorder="1" applyAlignment="1">
      <alignment vertical="center"/>
    </xf>
    <xf numFmtId="0" fontId="105" fillId="0" borderId="0" xfId="349" applyFont="1"/>
    <xf numFmtId="0" fontId="106" fillId="0" borderId="11" xfId="349" applyFont="1" applyBorder="1"/>
    <xf numFmtId="38" fontId="105" fillId="64" borderId="1" xfId="415" applyFont="1" applyFill="1" applyBorder="1" applyAlignment="1" applyProtection="1">
      <alignment horizontal="right" vertical="center"/>
    </xf>
    <xf numFmtId="198" fontId="105" fillId="0" borderId="7" xfId="349" applyNumberFormat="1" applyFont="1" applyBorder="1" applyAlignment="1">
      <alignment vertical="center"/>
    </xf>
    <xf numFmtId="198" fontId="106" fillId="0" borderId="7" xfId="349" applyNumberFormat="1" applyFont="1" applyBorder="1" applyAlignment="1">
      <alignment vertical="center"/>
    </xf>
    <xf numFmtId="198" fontId="105" fillId="0" borderId="30" xfId="349" applyNumberFormat="1" applyFont="1" applyBorder="1" applyAlignment="1">
      <alignment vertical="center"/>
    </xf>
    <xf numFmtId="198" fontId="106" fillId="0" borderId="30" xfId="349" applyNumberFormat="1" applyFont="1" applyBorder="1" applyAlignment="1">
      <alignment vertical="center"/>
    </xf>
    <xf numFmtId="0" fontId="7" fillId="64" borderId="0" xfId="349" applyFill="1"/>
    <xf numFmtId="198" fontId="106" fillId="64" borderId="0" xfId="349" applyNumberFormat="1" applyFont="1" applyFill="1" applyAlignment="1">
      <alignment vertical="center"/>
    </xf>
    <xf numFmtId="198" fontId="105" fillId="64" borderId="0" xfId="349" applyNumberFormat="1" applyFont="1" applyFill="1" applyAlignment="1">
      <alignment vertical="center"/>
    </xf>
    <xf numFmtId="38" fontId="105" fillId="64" borderId="25" xfId="415" applyFont="1" applyFill="1" applyBorder="1" applyAlignment="1" applyProtection="1">
      <alignment vertical="center"/>
    </xf>
    <xf numFmtId="38" fontId="105" fillId="64" borderId="22" xfId="415" applyFont="1" applyFill="1" applyBorder="1" applyAlignment="1" applyProtection="1">
      <alignment vertical="center"/>
      <protection locked="0"/>
    </xf>
    <xf numFmtId="198" fontId="105" fillId="0" borderId="23" xfId="349" applyNumberFormat="1" applyFont="1" applyBorder="1" applyAlignment="1" applyProtection="1">
      <alignment vertical="center"/>
      <protection locked="0"/>
    </xf>
    <xf numFmtId="38" fontId="105" fillId="64" borderId="25" xfId="415" applyFont="1" applyFill="1" applyBorder="1" applyAlignment="1" applyProtection="1">
      <alignment vertical="center"/>
      <protection locked="0"/>
    </xf>
    <xf numFmtId="198" fontId="105" fillId="0" borderId="0" xfId="349" applyNumberFormat="1" applyFont="1" applyAlignment="1" applyProtection="1">
      <alignment vertical="center"/>
      <protection locked="0"/>
    </xf>
    <xf numFmtId="38" fontId="105" fillId="64" borderId="33" xfId="415" applyFont="1" applyFill="1" applyBorder="1" applyAlignment="1" applyProtection="1">
      <alignment vertical="center"/>
    </xf>
    <xf numFmtId="198" fontId="105" fillId="0" borderId="34" xfId="349" applyNumberFormat="1" applyFont="1" applyBorder="1" applyAlignment="1">
      <alignment vertical="center"/>
    </xf>
    <xf numFmtId="198" fontId="106" fillId="0" borderId="34" xfId="349" applyNumberFormat="1" applyFont="1" applyBorder="1" applyAlignment="1">
      <alignment vertical="center"/>
    </xf>
    <xf numFmtId="38" fontId="105" fillId="64" borderId="35" xfId="415" applyFont="1" applyFill="1" applyBorder="1" applyAlignment="1" applyProtection="1">
      <alignment vertical="center"/>
    </xf>
    <xf numFmtId="198" fontId="105" fillId="0" borderId="36" xfId="349" applyNumberFormat="1" applyFont="1" applyBorder="1" applyAlignment="1">
      <alignment vertical="center"/>
    </xf>
    <xf numFmtId="198" fontId="105" fillId="0" borderId="37" xfId="349" applyNumberFormat="1" applyFont="1" applyBorder="1" applyAlignment="1">
      <alignment vertical="center"/>
    </xf>
    <xf numFmtId="198" fontId="106" fillId="0" borderId="37" xfId="349" applyNumberFormat="1" applyFont="1" applyBorder="1" applyAlignment="1">
      <alignment vertical="center"/>
    </xf>
    <xf numFmtId="198" fontId="106" fillId="0" borderId="38" xfId="349" applyNumberFormat="1" applyFont="1" applyBorder="1" applyAlignment="1">
      <alignment vertical="center"/>
    </xf>
    <xf numFmtId="38" fontId="105" fillId="64" borderId="4" xfId="415" applyFont="1" applyFill="1" applyBorder="1" applyAlignment="1" applyProtection="1">
      <alignment vertical="center"/>
      <protection locked="0"/>
    </xf>
    <xf numFmtId="198" fontId="105" fillId="0" borderId="29" xfId="349" applyNumberFormat="1" applyFont="1" applyBorder="1" applyAlignment="1">
      <alignment vertical="center"/>
    </xf>
    <xf numFmtId="198" fontId="105" fillId="64" borderId="30" xfId="349" applyNumberFormat="1" applyFont="1" applyFill="1" applyBorder="1" applyAlignment="1">
      <alignment vertical="center"/>
    </xf>
    <xf numFmtId="198" fontId="106" fillId="64" borderId="30" xfId="349" applyNumberFormat="1" applyFont="1" applyFill="1" applyBorder="1" applyAlignment="1">
      <alignment vertical="center"/>
    </xf>
    <xf numFmtId="198" fontId="106" fillId="64" borderId="26" xfId="349" applyNumberFormat="1" applyFont="1" applyFill="1" applyBorder="1" applyAlignment="1">
      <alignment vertical="center"/>
    </xf>
    <xf numFmtId="198" fontId="112" fillId="64" borderId="0" xfId="349" applyNumberFormat="1" applyFont="1" applyFill="1" applyAlignment="1">
      <alignment vertical="center"/>
    </xf>
    <xf numFmtId="198" fontId="110" fillId="64" borderId="0" xfId="349" applyNumberFormat="1" applyFont="1" applyFill="1" applyAlignment="1">
      <alignment vertical="center"/>
    </xf>
    <xf numFmtId="198" fontId="105" fillId="64" borderId="11" xfId="349" applyNumberFormat="1" applyFont="1" applyFill="1" applyBorder="1" applyAlignment="1">
      <alignment vertical="center"/>
    </xf>
    <xf numFmtId="38" fontId="105" fillId="64" borderId="4" xfId="415" applyFont="1" applyFill="1" applyBorder="1" applyAlignment="1" applyProtection="1">
      <alignment vertical="center"/>
    </xf>
    <xf numFmtId="38" fontId="105" fillId="64" borderId="25" xfId="415" applyFont="1" applyFill="1" applyBorder="1" applyAlignment="1">
      <alignment vertical="center"/>
    </xf>
    <xf numFmtId="38" fontId="105" fillId="64" borderId="42" xfId="415" applyFont="1" applyFill="1" applyBorder="1">
      <alignment vertical="center"/>
    </xf>
    <xf numFmtId="38" fontId="105" fillId="64" borderId="4" xfId="415" applyFont="1" applyFill="1" applyBorder="1">
      <alignment vertical="center"/>
    </xf>
    <xf numFmtId="38" fontId="105" fillId="64" borderId="22" xfId="415" applyFont="1" applyFill="1" applyBorder="1" applyAlignment="1" applyProtection="1">
      <alignment vertical="center"/>
    </xf>
    <xf numFmtId="198" fontId="114" fillId="64" borderId="0" xfId="349" applyNumberFormat="1" applyFont="1" applyFill="1" applyAlignment="1">
      <alignment vertical="center"/>
    </xf>
    <xf numFmtId="0" fontId="106" fillId="72" borderId="23" xfId="345" applyFont="1" applyFill="1" applyBorder="1">
      <alignment vertical="center"/>
    </xf>
    <xf numFmtId="0" fontId="106" fillId="72" borderId="0" xfId="345" applyFont="1" applyFill="1">
      <alignment vertical="center"/>
    </xf>
    <xf numFmtId="38" fontId="105" fillId="0" borderId="1" xfId="415" applyFont="1" applyFill="1" applyBorder="1">
      <alignment vertical="center"/>
    </xf>
    <xf numFmtId="0" fontId="105" fillId="64" borderId="30" xfId="345" applyFont="1" applyFill="1" applyBorder="1">
      <alignment vertical="center"/>
    </xf>
    <xf numFmtId="0" fontId="105" fillId="72" borderId="0" xfId="345" applyFont="1" applyFill="1">
      <alignment vertical="center"/>
    </xf>
    <xf numFmtId="0" fontId="106" fillId="73" borderId="23" xfId="345" applyFont="1" applyFill="1" applyBorder="1">
      <alignment vertical="center"/>
    </xf>
    <xf numFmtId="0" fontId="106" fillId="73" borderId="0" xfId="345" applyFont="1" applyFill="1">
      <alignment vertical="center"/>
    </xf>
    <xf numFmtId="0" fontId="105" fillId="0" borderId="0" xfId="345" applyFont="1">
      <alignment vertical="center"/>
    </xf>
    <xf numFmtId="0" fontId="105" fillId="67" borderId="23" xfId="345" applyFont="1" applyFill="1" applyBorder="1">
      <alignment vertical="center"/>
    </xf>
    <xf numFmtId="0" fontId="106" fillId="67" borderId="24" xfId="345" applyFont="1" applyFill="1" applyBorder="1">
      <alignment vertical="center"/>
    </xf>
    <xf numFmtId="0" fontId="105" fillId="67" borderId="0" xfId="345" applyFont="1" applyFill="1">
      <alignment vertical="center"/>
    </xf>
    <xf numFmtId="0" fontId="106" fillId="67" borderId="11" xfId="345" applyFont="1" applyFill="1" applyBorder="1">
      <alignment vertical="center"/>
    </xf>
    <xf numFmtId="38" fontId="105" fillId="72" borderId="4" xfId="415" applyFont="1" applyFill="1" applyBorder="1">
      <alignment vertical="center"/>
    </xf>
    <xf numFmtId="0" fontId="105" fillId="72" borderId="30" xfId="345" applyFont="1" applyFill="1" applyBorder="1">
      <alignment vertical="center"/>
    </xf>
    <xf numFmtId="0" fontId="106" fillId="72" borderId="30" xfId="345" applyFont="1" applyFill="1" applyBorder="1">
      <alignment vertical="center"/>
    </xf>
    <xf numFmtId="0" fontId="105" fillId="67" borderId="30" xfId="345" applyFont="1" applyFill="1" applyBorder="1">
      <alignment vertical="center"/>
    </xf>
    <xf numFmtId="0" fontId="106" fillId="67" borderId="26" xfId="345" applyFont="1" applyFill="1" applyBorder="1">
      <alignment vertical="center"/>
    </xf>
    <xf numFmtId="0" fontId="105" fillId="64" borderId="31" xfId="345" applyFont="1" applyFill="1" applyBorder="1">
      <alignment vertical="center"/>
    </xf>
    <xf numFmtId="0" fontId="105" fillId="64" borderId="32" xfId="345" applyFont="1" applyFill="1" applyBorder="1">
      <alignment vertical="center"/>
    </xf>
    <xf numFmtId="197" fontId="105" fillId="0" borderId="0" xfId="415" applyNumberFormat="1" applyFont="1" applyFill="1" applyBorder="1" applyAlignment="1" applyProtection="1">
      <alignment vertical="center"/>
    </xf>
    <xf numFmtId="0" fontId="114" fillId="64" borderId="31" xfId="345" applyFont="1" applyFill="1" applyBorder="1">
      <alignment vertical="center"/>
    </xf>
    <xf numFmtId="38" fontId="105" fillId="0" borderId="32" xfId="415" applyFont="1" applyBorder="1" applyAlignment="1" applyProtection="1">
      <alignment vertical="center"/>
    </xf>
    <xf numFmtId="9" fontId="115" fillId="0" borderId="32" xfId="416" applyFont="1" applyFill="1" applyBorder="1" applyAlignment="1" applyProtection="1">
      <alignment vertical="center"/>
    </xf>
    <xf numFmtId="198" fontId="106" fillId="0" borderId="32" xfId="349" applyNumberFormat="1" applyFont="1" applyBorder="1" applyAlignment="1">
      <alignment vertical="center"/>
    </xf>
    <xf numFmtId="38" fontId="105" fillId="64" borderId="31" xfId="415" applyFont="1" applyFill="1" applyBorder="1" applyAlignment="1" applyProtection="1">
      <alignment vertical="center"/>
    </xf>
    <xf numFmtId="0" fontId="106" fillId="64" borderId="0" xfId="349" applyFont="1" applyFill="1"/>
    <xf numFmtId="0" fontId="111" fillId="0" borderId="23" xfId="0" applyFont="1" applyBorder="1">
      <alignment vertical="center"/>
    </xf>
    <xf numFmtId="0" fontId="105" fillId="69" borderId="23" xfId="349" applyFont="1" applyFill="1" applyBorder="1"/>
    <xf numFmtId="0" fontId="106" fillId="69" borderId="24" xfId="349" applyFont="1" applyFill="1" applyBorder="1"/>
    <xf numFmtId="0" fontId="105" fillId="69" borderId="0" xfId="349" applyFont="1" applyFill="1"/>
    <xf numFmtId="0" fontId="106" fillId="69" borderId="11" xfId="349" applyFont="1" applyFill="1" applyBorder="1"/>
    <xf numFmtId="38" fontId="105" fillId="64" borderId="31" xfId="415" applyFont="1" applyFill="1" applyBorder="1">
      <alignment vertical="center"/>
    </xf>
    <xf numFmtId="38" fontId="105" fillId="64" borderId="32" xfId="415" applyFont="1" applyFill="1" applyBorder="1">
      <alignment vertical="center"/>
    </xf>
    <xf numFmtId="38" fontId="106" fillId="69" borderId="29" xfId="415" applyFont="1" applyFill="1" applyBorder="1" applyAlignment="1"/>
    <xf numFmtId="0" fontId="105" fillId="69" borderId="30" xfId="349" applyFont="1" applyFill="1" applyBorder="1"/>
    <xf numFmtId="0" fontId="105" fillId="70" borderId="23" xfId="345" applyFont="1" applyFill="1" applyBorder="1">
      <alignment vertical="center"/>
    </xf>
    <xf numFmtId="0" fontId="106" fillId="70" borderId="24" xfId="345" applyFont="1" applyFill="1" applyBorder="1">
      <alignment vertical="center"/>
    </xf>
    <xf numFmtId="0" fontId="105" fillId="70" borderId="0" xfId="345" applyFont="1" applyFill="1">
      <alignment vertical="center"/>
    </xf>
    <xf numFmtId="0" fontId="106" fillId="70" borderId="11" xfId="345" applyFont="1" applyFill="1" applyBorder="1">
      <alignment vertical="center"/>
    </xf>
    <xf numFmtId="38" fontId="105" fillId="0" borderId="25" xfId="415" applyFont="1" applyFill="1" applyBorder="1">
      <alignment vertical="center"/>
    </xf>
    <xf numFmtId="38" fontId="105" fillId="0" borderId="46" xfId="415" applyFont="1" applyFill="1" applyBorder="1">
      <alignment vertical="center"/>
    </xf>
    <xf numFmtId="38" fontId="105" fillId="64" borderId="46" xfId="415" applyFont="1" applyFill="1" applyBorder="1">
      <alignment vertical="center"/>
    </xf>
    <xf numFmtId="0" fontId="105" fillId="64" borderId="47" xfId="345" applyFont="1" applyFill="1" applyBorder="1">
      <alignment vertical="center"/>
    </xf>
    <xf numFmtId="0" fontId="105" fillId="64" borderId="48" xfId="345" applyFont="1" applyFill="1" applyBorder="1">
      <alignment vertical="center"/>
    </xf>
    <xf numFmtId="38" fontId="106" fillId="72" borderId="29" xfId="345" applyNumberFormat="1" applyFont="1" applyFill="1" applyBorder="1">
      <alignment vertical="center"/>
    </xf>
    <xf numFmtId="38" fontId="105" fillId="0" borderId="22" xfId="415" applyFont="1" applyFill="1" applyBorder="1">
      <alignment vertical="center"/>
    </xf>
    <xf numFmtId="0" fontId="105" fillId="70" borderId="30" xfId="345" applyFont="1" applyFill="1" applyBorder="1">
      <alignment vertical="center"/>
    </xf>
    <xf numFmtId="0" fontId="106" fillId="70" borderId="26" xfId="345" applyFont="1" applyFill="1" applyBorder="1">
      <alignment vertical="center"/>
    </xf>
    <xf numFmtId="38" fontId="106" fillId="70" borderId="29" xfId="345" applyNumberFormat="1" applyFont="1" applyFill="1" applyBorder="1">
      <alignment vertical="center"/>
    </xf>
    <xf numFmtId="198" fontId="105" fillId="64" borderId="29" xfId="349" applyNumberFormat="1" applyFont="1" applyFill="1" applyBorder="1" applyAlignment="1">
      <alignment vertical="center"/>
    </xf>
    <xf numFmtId="198" fontId="105" fillId="64" borderId="31" xfId="349" applyNumberFormat="1" applyFont="1" applyFill="1" applyBorder="1" applyAlignment="1">
      <alignment vertical="center"/>
    </xf>
    <xf numFmtId="198" fontId="105" fillId="64" borderId="23" xfId="349" applyNumberFormat="1" applyFont="1" applyFill="1" applyBorder="1" applyAlignment="1">
      <alignment vertical="center"/>
    </xf>
    <xf numFmtId="198" fontId="106" fillId="64" borderId="23" xfId="349" applyNumberFormat="1" applyFont="1" applyFill="1" applyBorder="1" applyAlignment="1">
      <alignment vertical="center"/>
    </xf>
    <xf numFmtId="198" fontId="106" fillId="64" borderId="24" xfId="349" applyNumberFormat="1" applyFont="1" applyFill="1" applyBorder="1" applyAlignment="1">
      <alignment vertical="center"/>
    </xf>
    <xf numFmtId="38" fontId="105" fillId="64" borderId="29" xfId="415" applyFont="1" applyFill="1" applyBorder="1" applyAlignment="1" applyProtection="1">
      <alignment vertical="center"/>
    </xf>
    <xf numFmtId="198" fontId="105" fillId="64" borderId="48" xfId="349" applyNumberFormat="1" applyFont="1" applyFill="1" applyBorder="1" applyAlignment="1">
      <alignment vertical="center"/>
    </xf>
    <xf numFmtId="9" fontId="116" fillId="0" borderId="31" xfId="416" applyFont="1" applyBorder="1" applyAlignment="1" applyProtection="1">
      <alignment vertical="center"/>
    </xf>
    <xf numFmtId="38" fontId="106" fillId="66" borderId="29" xfId="415" applyFont="1" applyFill="1" applyBorder="1" applyAlignment="1" applyProtection="1">
      <alignment vertical="center"/>
    </xf>
    <xf numFmtId="198" fontId="106" fillId="66" borderId="30" xfId="349" applyNumberFormat="1" applyFont="1" applyFill="1" applyBorder="1" applyAlignment="1">
      <alignment vertical="center"/>
    </xf>
    <xf numFmtId="198" fontId="105" fillId="66" borderId="30" xfId="349" applyNumberFormat="1" applyFont="1" applyFill="1" applyBorder="1" applyAlignment="1">
      <alignment vertical="center"/>
    </xf>
    <xf numFmtId="198" fontId="106" fillId="66" borderId="26" xfId="349" applyNumberFormat="1" applyFont="1" applyFill="1" applyBorder="1" applyAlignment="1">
      <alignment vertical="center"/>
    </xf>
    <xf numFmtId="38" fontId="106" fillId="49" borderId="29" xfId="415" applyFont="1" applyFill="1" applyBorder="1" applyAlignment="1" applyProtection="1">
      <alignment vertical="center"/>
    </xf>
    <xf numFmtId="198" fontId="106" fillId="49" borderId="30" xfId="349" applyNumberFormat="1" applyFont="1" applyFill="1" applyBorder="1" applyAlignment="1">
      <alignment vertical="center"/>
    </xf>
    <xf numFmtId="198" fontId="105" fillId="49" borderId="30" xfId="349" applyNumberFormat="1" applyFont="1" applyFill="1" applyBorder="1" applyAlignment="1">
      <alignment vertical="center"/>
    </xf>
    <xf numFmtId="198" fontId="106" fillId="49" borderId="26" xfId="349" applyNumberFormat="1" applyFont="1" applyFill="1" applyBorder="1" applyAlignment="1">
      <alignment vertical="center"/>
    </xf>
    <xf numFmtId="195" fontId="113" fillId="64" borderId="0" xfId="292" applyNumberFormat="1" applyFont="1" applyFill="1" applyBorder="1" applyAlignment="1">
      <alignment vertical="center"/>
    </xf>
    <xf numFmtId="38" fontId="105" fillId="0" borderId="36" xfId="415" applyFont="1" applyBorder="1" applyAlignment="1" applyProtection="1">
      <alignment vertical="center"/>
    </xf>
    <xf numFmtId="38" fontId="105" fillId="0" borderId="32" xfId="415" applyFont="1" applyFill="1" applyBorder="1" applyAlignment="1" applyProtection="1">
      <alignment vertical="center"/>
    </xf>
    <xf numFmtId="38" fontId="106" fillId="69" borderId="29" xfId="415" applyFont="1" applyFill="1" applyBorder="1" applyAlignment="1" applyProtection="1">
      <alignment vertical="center"/>
    </xf>
    <xf numFmtId="38" fontId="106" fillId="59" borderId="29" xfId="415" applyFont="1" applyFill="1" applyBorder="1" applyAlignment="1" applyProtection="1">
      <alignment vertical="center"/>
    </xf>
    <xf numFmtId="198" fontId="106" fillId="59" borderId="30" xfId="349" applyNumberFormat="1" applyFont="1" applyFill="1" applyBorder="1" applyAlignment="1">
      <alignment vertical="center"/>
    </xf>
    <xf numFmtId="198" fontId="105" fillId="59" borderId="30" xfId="349" applyNumberFormat="1" applyFont="1" applyFill="1" applyBorder="1" applyAlignment="1">
      <alignment vertical="center"/>
    </xf>
    <xf numFmtId="198" fontId="106" fillId="59" borderId="26" xfId="349" applyNumberFormat="1" applyFont="1" applyFill="1" applyBorder="1" applyAlignment="1">
      <alignment vertical="center"/>
    </xf>
    <xf numFmtId="38" fontId="105" fillId="64" borderId="31" xfId="415" applyFont="1" applyFill="1" applyBorder="1" applyAlignment="1">
      <alignment horizontal="right" vertical="center"/>
    </xf>
    <xf numFmtId="38" fontId="105" fillId="64" borderId="22" xfId="415" applyFont="1" applyFill="1" applyBorder="1" applyAlignment="1">
      <alignment horizontal="right" vertical="center"/>
    </xf>
    <xf numFmtId="0" fontId="106" fillId="64" borderId="24" xfId="345" applyFont="1" applyFill="1" applyBorder="1">
      <alignment vertical="center"/>
    </xf>
    <xf numFmtId="38" fontId="105" fillId="64" borderId="32" xfId="415" applyFont="1" applyFill="1" applyBorder="1" applyAlignment="1">
      <alignment horizontal="right" vertical="center"/>
    </xf>
    <xf numFmtId="38" fontId="105" fillId="64" borderId="25" xfId="415" applyFont="1" applyFill="1" applyBorder="1" applyAlignment="1">
      <alignment horizontal="right" vertical="center"/>
    </xf>
    <xf numFmtId="0" fontId="106" fillId="64" borderId="11" xfId="345" applyFont="1" applyFill="1" applyBorder="1">
      <alignment vertical="center"/>
    </xf>
    <xf numFmtId="38" fontId="105" fillId="64" borderId="27" xfId="415" applyFont="1" applyFill="1" applyBorder="1" applyAlignment="1">
      <alignment horizontal="right" vertical="center"/>
    </xf>
    <xf numFmtId="38" fontId="105" fillId="64" borderId="1" xfId="415" applyFont="1" applyFill="1" applyBorder="1" applyAlignment="1">
      <alignment horizontal="right" vertical="center"/>
    </xf>
    <xf numFmtId="0" fontId="105" fillId="64" borderId="28" xfId="345" applyFont="1" applyFill="1" applyBorder="1">
      <alignment vertical="center"/>
    </xf>
    <xf numFmtId="198" fontId="105" fillId="64" borderId="23" xfId="417" applyNumberFormat="1" applyFill="1" applyBorder="1" applyAlignment="1">
      <alignment vertical="center"/>
    </xf>
    <xf numFmtId="198" fontId="105" fillId="64" borderId="24" xfId="417" applyNumberFormat="1" applyFill="1" applyBorder="1" applyAlignment="1">
      <alignment vertical="center"/>
    </xf>
    <xf numFmtId="198" fontId="105" fillId="64" borderId="0" xfId="417" applyNumberFormat="1" applyFill="1" applyAlignment="1">
      <alignment vertical="center"/>
    </xf>
    <xf numFmtId="198" fontId="105" fillId="64" borderId="11" xfId="417" applyNumberFormat="1" applyFill="1" applyBorder="1" applyAlignment="1">
      <alignment vertical="center"/>
    </xf>
    <xf numFmtId="198" fontId="105" fillId="64" borderId="7" xfId="417" applyNumberFormat="1" applyFill="1" applyBorder="1" applyAlignment="1">
      <alignment vertical="center"/>
    </xf>
    <xf numFmtId="40" fontId="105" fillId="64" borderId="23" xfId="414" applyFont="1" applyFill="1" applyBorder="1" applyAlignment="1" applyProtection="1">
      <alignment horizontal="left"/>
    </xf>
    <xf numFmtId="40" fontId="105" fillId="64" borderId="24" xfId="414" applyFont="1" applyFill="1" applyBorder="1" applyAlignment="1" applyProtection="1">
      <alignment horizontal="left"/>
    </xf>
    <xf numFmtId="38" fontId="105" fillId="0" borderId="4" xfId="415" applyFont="1" applyFill="1" applyBorder="1" applyAlignment="1">
      <alignment horizontal="right" vertical="center"/>
    </xf>
    <xf numFmtId="0" fontId="106" fillId="64" borderId="30" xfId="345" applyFont="1" applyFill="1" applyBorder="1">
      <alignment vertical="center"/>
    </xf>
    <xf numFmtId="40" fontId="105" fillId="64" borderId="30" xfId="414" applyFont="1" applyFill="1" applyBorder="1" applyAlignment="1" applyProtection="1">
      <alignment horizontal="left"/>
    </xf>
    <xf numFmtId="40" fontId="105" fillId="64" borderId="11" xfId="414" applyFont="1" applyFill="1" applyBorder="1" applyAlignment="1" applyProtection="1">
      <alignment horizontal="left"/>
    </xf>
    <xf numFmtId="40" fontId="105" fillId="64" borderId="7" xfId="414" applyFont="1" applyFill="1" applyBorder="1" applyAlignment="1" applyProtection="1">
      <alignment horizontal="distributed"/>
    </xf>
    <xf numFmtId="40" fontId="105" fillId="64" borderId="28" xfId="414" applyFont="1" applyFill="1" applyBorder="1" applyAlignment="1" applyProtection="1">
      <alignment horizontal="left"/>
    </xf>
    <xf numFmtId="197" fontId="117" fillId="64" borderId="0" xfId="297" applyNumberFormat="1" applyFont="1" applyFill="1" applyBorder="1" applyAlignment="1">
      <alignment horizontal="right" vertical="center"/>
    </xf>
    <xf numFmtId="198" fontId="105" fillId="64" borderId="28" xfId="349" applyNumberFormat="1" applyFont="1" applyFill="1" applyBorder="1" applyAlignment="1">
      <alignment vertical="center"/>
    </xf>
    <xf numFmtId="0" fontId="7" fillId="0" borderId="28" xfId="0" applyFont="1" applyBorder="1" applyAlignment="1"/>
    <xf numFmtId="38" fontId="106" fillId="74" borderId="27" xfId="415" applyFont="1" applyFill="1" applyBorder="1" applyAlignment="1" applyProtection="1">
      <alignment vertical="center"/>
    </xf>
    <xf numFmtId="38" fontId="106" fillId="74" borderId="7" xfId="415" applyFont="1" applyFill="1" applyBorder="1" applyAlignment="1" applyProtection="1">
      <alignment vertical="center"/>
    </xf>
    <xf numFmtId="38" fontId="105" fillId="74" borderId="28" xfId="415" applyFont="1" applyFill="1" applyBorder="1" applyAlignment="1" applyProtection="1">
      <alignment vertical="center"/>
    </xf>
    <xf numFmtId="38" fontId="105" fillId="74" borderId="1" xfId="415" applyFont="1" applyFill="1" applyBorder="1" applyAlignment="1" applyProtection="1">
      <alignment vertical="center"/>
    </xf>
    <xf numFmtId="38" fontId="106" fillId="74" borderId="1" xfId="415" applyFont="1" applyFill="1" applyBorder="1" applyAlignment="1" applyProtection="1">
      <alignment vertical="center"/>
    </xf>
    <xf numFmtId="198" fontId="106" fillId="64" borderId="31" xfId="349" applyNumberFormat="1" applyFont="1" applyFill="1" applyBorder="1" applyAlignment="1">
      <alignment vertical="center"/>
    </xf>
    <xf numFmtId="38" fontId="106" fillId="74" borderId="28" xfId="415" applyFont="1" applyFill="1" applyBorder="1" applyAlignment="1" applyProtection="1">
      <alignment vertical="center"/>
    </xf>
    <xf numFmtId="38" fontId="105" fillId="64" borderId="4" xfId="415" applyFont="1" applyFill="1" applyBorder="1" applyAlignment="1">
      <alignment vertical="center"/>
    </xf>
    <xf numFmtId="198" fontId="105" fillId="64" borderId="32" xfId="349" applyNumberFormat="1" applyFont="1" applyFill="1" applyBorder="1" applyAlignment="1">
      <alignment vertical="center"/>
    </xf>
    <xf numFmtId="198" fontId="106" fillId="64" borderId="11" xfId="349" applyNumberFormat="1" applyFont="1" applyFill="1" applyBorder="1" applyAlignment="1">
      <alignment vertical="center"/>
    </xf>
    <xf numFmtId="38" fontId="105" fillId="64" borderId="46" xfId="415" applyFont="1" applyFill="1" applyBorder="1" applyAlignment="1" applyProtection="1">
      <alignment vertical="center"/>
      <protection locked="0"/>
    </xf>
    <xf numFmtId="198" fontId="105" fillId="64" borderId="47" xfId="349" applyNumberFormat="1" applyFont="1" applyFill="1" applyBorder="1" applyAlignment="1">
      <alignment vertical="center"/>
    </xf>
    <xf numFmtId="198" fontId="106" fillId="64" borderId="48" xfId="349" applyNumberFormat="1" applyFont="1" applyFill="1" applyBorder="1" applyAlignment="1">
      <alignment vertical="center"/>
    </xf>
    <xf numFmtId="198" fontId="106" fillId="64" borderId="32" xfId="349" applyNumberFormat="1" applyFont="1" applyFill="1" applyBorder="1" applyAlignment="1">
      <alignment vertical="center"/>
    </xf>
    <xf numFmtId="38" fontId="106" fillId="74" borderId="4" xfId="415" applyFont="1" applyFill="1" applyBorder="1" applyAlignment="1" applyProtection="1">
      <alignment vertical="center"/>
    </xf>
    <xf numFmtId="38" fontId="106" fillId="74" borderId="29" xfId="415" applyFont="1" applyFill="1" applyBorder="1" applyAlignment="1" applyProtection="1">
      <alignment vertical="center"/>
    </xf>
    <xf numFmtId="38" fontId="106" fillId="74" borderId="30" xfId="415" applyFont="1" applyFill="1" applyBorder="1" applyAlignment="1" applyProtection="1">
      <alignment vertical="center"/>
    </xf>
    <xf numFmtId="38" fontId="106" fillId="74" borderId="26" xfId="415" applyFont="1" applyFill="1" applyBorder="1" applyAlignment="1" applyProtection="1">
      <alignment vertical="center"/>
    </xf>
    <xf numFmtId="38" fontId="105" fillId="64" borderId="22" xfId="415" applyFont="1" applyFill="1" applyBorder="1" applyAlignment="1">
      <alignment vertical="center"/>
    </xf>
    <xf numFmtId="198" fontId="106" fillId="64" borderId="47" xfId="349" applyNumberFormat="1" applyFont="1" applyFill="1" applyBorder="1" applyAlignment="1">
      <alignment vertical="center"/>
    </xf>
    <xf numFmtId="0" fontId="105" fillId="64" borderId="0" xfId="345" applyFont="1" applyFill="1" applyAlignment="1">
      <alignment horizontal="center" vertical="center"/>
    </xf>
    <xf numFmtId="0" fontId="118" fillId="64" borderId="0" xfId="345" applyFont="1" applyFill="1">
      <alignment vertical="center"/>
    </xf>
    <xf numFmtId="170" fontId="105" fillId="0" borderId="0" xfId="420" applyFont="1" applyFill="1" applyBorder="1" applyAlignment="1">
      <alignment horizontal="centerContinuous" vertical="center"/>
    </xf>
    <xf numFmtId="198" fontId="106" fillId="64" borderId="0" xfId="349" applyNumberFormat="1" applyFont="1" applyFill="1" applyAlignment="1" applyProtection="1">
      <alignment vertical="center"/>
      <protection locked="0"/>
    </xf>
    <xf numFmtId="0" fontId="105" fillId="64" borderId="0" xfId="345" applyFont="1" applyFill="1" applyAlignment="1">
      <alignment horizontal="right" vertical="center"/>
    </xf>
    <xf numFmtId="49" fontId="105" fillId="64" borderId="0" xfId="345" applyNumberFormat="1" applyFont="1" applyFill="1">
      <alignment vertical="center"/>
    </xf>
    <xf numFmtId="170" fontId="105" fillId="65" borderId="1" xfId="420" applyFont="1" applyFill="1" applyBorder="1" applyAlignment="1">
      <alignment horizontal="centerContinuous" vertical="center"/>
    </xf>
    <xf numFmtId="49" fontId="106" fillId="64" borderId="0" xfId="345" applyNumberFormat="1" applyFont="1" applyFill="1">
      <alignment vertical="center"/>
    </xf>
    <xf numFmtId="198" fontId="105" fillId="64" borderId="24" xfId="418" applyNumberFormat="1" applyFont="1" applyFill="1" applyBorder="1" applyAlignment="1">
      <alignment vertical="center"/>
    </xf>
    <xf numFmtId="198" fontId="105" fillId="64" borderId="11" xfId="418" applyNumberFormat="1" applyFont="1" applyFill="1" applyBorder="1" applyAlignment="1">
      <alignment vertical="center"/>
    </xf>
    <xf numFmtId="198" fontId="105" fillId="64" borderId="0" xfId="419" applyNumberFormat="1" applyFill="1" applyAlignment="1">
      <alignment vertical="center"/>
    </xf>
    <xf numFmtId="0" fontId="60" fillId="0" borderId="0" xfId="421"/>
    <xf numFmtId="0" fontId="60" fillId="64" borderId="0" xfId="421" applyFill="1"/>
    <xf numFmtId="0" fontId="108" fillId="0" borderId="0" xfId="345" applyFont="1" applyAlignment="1">
      <alignment horizontal="center" vertical="center"/>
    </xf>
    <xf numFmtId="0" fontId="122" fillId="64" borderId="0" xfId="345" applyFont="1" applyFill="1" applyAlignment="1">
      <alignment horizontal="right" vertical="center"/>
    </xf>
    <xf numFmtId="38" fontId="108" fillId="0" borderId="0" xfId="311" applyFont="1" applyFill="1" applyBorder="1" applyAlignment="1"/>
    <xf numFmtId="38" fontId="108" fillId="0" borderId="0" xfId="345" applyNumberFormat="1" applyFont="1">
      <alignment vertical="center"/>
    </xf>
    <xf numFmtId="198" fontId="105" fillId="33" borderId="23" xfId="311" applyNumberFormat="1" applyFont="1" applyFill="1" applyBorder="1" applyAlignment="1"/>
    <xf numFmtId="0" fontId="105" fillId="75" borderId="0" xfId="345" applyFont="1" applyFill="1">
      <alignment vertical="center"/>
    </xf>
    <xf numFmtId="0" fontId="60" fillId="75" borderId="0" xfId="421" applyFill="1"/>
    <xf numFmtId="0" fontId="105" fillId="76" borderId="0" xfId="345" applyFont="1" applyFill="1" applyAlignment="1"/>
    <xf numFmtId="0" fontId="111" fillId="0" borderId="31" xfId="0" applyFont="1" applyBorder="1">
      <alignment vertical="center"/>
    </xf>
    <xf numFmtId="0" fontId="111" fillId="0" borderId="24" xfId="0" applyFont="1" applyBorder="1">
      <alignment vertical="center"/>
    </xf>
    <xf numFmtId="0" fontId="111" fillId="0" borderId="11" xfId="0" applyFont="1" applyBorder="1">
      <alignment vertical="center"/>
    </xf>
    <xf numFmtId="0" fontId="111" fillId="0" borderId="32" xfId="0" applyFont="1" applyBorder="1">
      <alignment vertical="center"/>
    </xf>
    <xf numFmtId="0" fontId="124" fillId="64" borderId="0" xfId="0" applyFont="1" applyFill="1">
      <alignment vertical="center"/>
    </xf>
    <xf numFmtId="0" fontId="105" fillId="64" borderId="11" xfId="345" applyFont="1" applyFill="1" applyBorder="1">
      <alignment vertical="center"/>
    </xf>
    <xf numFmtId="0" fontId="105" fillId="67" borderId="11" xfId="345" applyFont="1" applyFill="1" applyBorder="1">
      <alignment vertical="center"/>
    </xf>
    <xf numFmtId="0" fontId="105" fillId="67" borderId="25" xfId="345" applyFont="1" applyFill="1" applyBorder="1">
      <alignment vertical="center"/>
    </xf>
    <xf numFmtId="0" fontId="105" fillId="64" borderId="24" xfId="345" applyFont="1" applyFill="1" applyBorder="1">
      <alignment vertical="center"/>
    </xf>
    <xf numFmtId="0" fontId="126" fillId="61" borderId="21" xfId="0" applyFont="1" applyFill="1" applyBorder="1" applyProtection="1">
      <alignment vertical="center"/>
      <protection locked="0"/>
    </xf>
    <xf numFmtId="49" fontId="126" fillId="61" borderId="21" xfId="0" applyNumberFormat="1" applyFont="1" applyFill="1" applyBorder="1" applyAlignment="1" applyProtection="1">
      <alignment vertical="top"/>
      <protection locked="0"/>
    </xf>
    <xf numFmtId="0" fontId="127" fillId="0" borderId="0" xfId="0" applyFont="1">
      <alignment vertical="center"/>
    </xf>
    <xf numFmtId="49" fontId="126" fillId="61" borderId="21" xfId="0" applyNumberFormat="1" applyFont="1" applyFill="1" applyBorder="1" applyProtection="1">
      <alignment vertical="center"/>
      <protection locked="0"/>
    </xf>
    <xf numFmtId="49" fontId="126" fillId="61" borderId="21" xfId="0" applyNumberFormat="1" applyFont="1" applyFill="1" applyBorder="1" applyAlignment="1" applyProtection="1">
      <alignment horizontal="left" vertical="center" indent="1"/>
      <protection locked="0"/>
    </xf>
    <xf numFmtId="3" fontId="126" fillId="77" borderId="21" xfId="0" applyNumberFormat="1" applyFont="1" applyFill="1" applyBorder="1" applyProtection="1">
      <alignment vertical="center"/>
      <protection locked="0"/>
    </xf>
    <xf numFmtId="3" fontId="126" fillId="62" borderId="21" xfId="0" applyNumberFormat="1" applyFont="1" applyFill="1" applyBorder="1" applyProtection="1">
      <alignment vertical="center"/>
      <protection locked="0"/>
    </xf>
    <xf numFmtId="3" fontId="126" fillId="63" borderId="21" xfId="0" applyNumberFormat="1" applyFont="1" applyFill="1" applyBorder="1" applyProtection="1">
      <alignment vertical="center"/>
      <protection locked="0"/>
    </xf>
    <xf numFmtId="49" fontId="126" fillId="61" borderId="21" xfId="0" applyNumberFormat="1" applyFont="1" applyFill="1" applyBorder="1" applyAlignment="1" applyProtection="1">
      <alignment horizontal="left" vertical="center" indent="2"/>
      <protection locked="0"/>
    </xf>
    <xf numFmtId="170" fontId="105" fillId="75" borderId="1" xfId="420" applyFont="1" applyFill="1" applyBorder="1" applyAlignment="1" applyProtection="1">
      <alignment horizontal="centerContinuous" vertical="center"/>
      <protection locked="0"/>
    </xf>
    <xf numFmtId="0" fontId="105" fillId="64" borderId="11" xfId="0" applyFont="1" applyFill="1" applyBorder="1">
      <alignment vertical="center"/>
    </xf>
    <xf numFmtId="0" fontId="128" fillId="0" borderId="0" xfId="0" applyFont="1">
      <alignment vertical="center"/>
    </xf>
    <xf numFmtId="0" fontId="129" fillId="0" borderId="0" xfId="0" applyFont="1">
      <alignment vertical="center"/>
    </xf>
    <xf numFmtId="14" fontId="128" fillId="0" borderId="0" xfId="0" applyNumberFormat="1" applyFont="1">
      <alignment vertical="center"/>
    </xf>
    <xf numFmtId="0" fontId="130" fillId="61" borderId="21" xfId="0" applyFont="1" applyFill="1" applyBorder="1" applyProtection="1">
      <alignment vertical="center"/>
      <protection locked="0"/>
    </xf>
    <xf numFmtId="49" fontId="130" fillId="61" borderId="21" xfId="0" applyNumberFormat="1" applyFont="1" applyFill="1" applyBorder="1" applyAlignment="1" applyProtection="1">
      <alignment horizontal="left" vertical="center" indent="1"/>
      <protection locked="0"/>
    </xf>
    <xf numFmtId="49" fontId="130" fillId="61" borderId="21" xfId="0" applyNumberFormat="1" applyFont="1" applyFill="1" applyBorder="1" applyProtection="1">
      <alignment vertical="center"/>
      <protection locked="0"/>
    </xf>
    <xf numFmtId="49" fontId="130" fillId="61" borderId="21" xfId="0" applyNumberFormat="1" applyFont="1" applyFill="1" applyBorder="1" applyAlignment="1" applyProtection="1">
      <alignment horizontal="left" vertical="center" indent="3"/>
      <protection locked="0"/>
    </xf>
    <xf numFmtId="49" fontId="130" fillId="61" borderId="21" xfId="0" applyNumberFormat="1" applyFont="1" applyFill="1" applyBorder="1" applyAlignment="1" applyProtection="1">
      <alignment horizontal="left" vertical="center" indent="2"/>
      <protection locked="0"/>
    </xf>
    <xf numFmtId="0" fontId="87" fillId="0" borderId="0" xfId="0" applyFont="1">
      <alignment vertical="center"/>
    </xf>
    <xf numFmtId="49" fontId="131" fillId="61" borderId="21" xfId="0" applyNumberFormat="1" applyFont="1" applyFill="1" applyBorder="1" applyProtection="1">
      <alignment vertical="center"/>
      <protection locked="0"/>
    </xf>
    <xf numFmtId="49" fontId="132" fillId="61" borderId="21" xfId="0" applyNumberFormat="1" applyFont="1" applyFill="1" applyBorder="1" applyAlignment="1" applyProtection="1">
      <alignment horizontal="left" vertical="center" indent="1"/>
      <protection locked="0"/>
    </xf>
    <xf numFmtId="49" fontId="132" fillId="61" borderId="21" xfId="0" applyNumberFormat="1" applyFont="1" applyFill="1" applyBorder="1" applyProtection="1">
      <alignment vertical="center"/>
      <protection locked="0"/>
    </xf>
    <xf numFmtId="0" fontId="131" fillId="0" borderId="0" xfId="0" applyFont="1">
      <alignment vertical="center"/>
    </xf>
    <xf numFmtId="0" fontId="105" fillId="64" borderId="0" xfId="0" applyFont="1" applyFill="1">
      <alignment vertical="center"/>
    </xf>
    <xf numFmtId="170" fontId="105" fillId="64" borderId="0" xfId="420" applyFont="1" applyFill="1" applyBorder="1" applyAlignment="1">
      <alignment horizontal="centerContinuous" vertical="center"/>
    </xf>
    <xf numFmtId="38" fontId="121" fillId="64" borderId="0" xfId="311" applyFont="1" applyFill="1" applyAlignment="1">
      <alignment vertical="center"/>
    </xf>
    <xf numFmtId="0" fontId="126" fillId="0" borderId="0" xfId="413" applyFont="1" applyAlignment="1" applyProtection="1">
      <alignment horizontal="left" vertical="center"/>
      <protection locked="0"/>
    </xf>
    <xf numFmtId="0" fontId="126" fillId="0" borderId="0" xfId="0" applyFont="1" applyProtection="1">
      <alignment vertical="center"/>
      <protection locked="0"/>
    </xf>
    <xf numFmtId="0" fontId="126" fillId="0" borderId="69" xfId="0" applyFont="1" applyBorder="1" applyProtection="1">
      <alignment vertical="center"/>
      <protection locked="0"/>
    </xf>
    <xf numFmtId="0" fontId="126" fillId="0" borderId="0" xfId="413" applyFont="1" applyProtection="1">
      <alignment vertical="center"/>
      <protection locked="0"/>
    </xf>
    <xf numFmtId="0" fontId="126" fillId="0" borderId="69" xfId="413" applyFont="1" applyBorder="1" applyProtection="1">
      <alignment vertical="center"/>
      <protection locked="0"/>
    </xf>
    <xf numFmtId="0" fontId="126" fillId="0" borderId="0" xfId="413" applyFont="1" applyAlignment="1" applyProtection="1">
      <alignment horizontal="left" vertical="center" indent="1"/>
      <protection locked="0"/>
    </xf>
    <xf numFmtId="0" fontId="126" fillId="0" borderId="69" xfId="413" applyFont="1" applyBorder="1" applyAlignment="1" applyProtection="1">
      <alignment horizontal="left" vertical="center" indent="1"/>
      <protection locked="0"/>
    </xf>
    <xf numFmtId="0" fontId="126" fillId="0" borderId="69" xfId="413" applyFont="1" applyBorder="1" applyAlignment="1" applyProtection="1">
      <alignment horizontal="left" vertical="center"/>
      <protection locked="0"/>
    </xf>
    <xf numFmtId="0" fontId="131" fillId="0" borderId="0" xfId="0" applyFont="1" applyProtection="1">
      <alignment vertical="center"/>
      <protection locked="0"/>
    </xf>
    <xf numFmtId="0" fontId="131" fillId="0" borderId="69" xfId="0" applyFont="1" applyBorder="1" applyProtection="1">
      <alignment vertical="center"/>
      <protection locked="0"/>
    </xf>
    <xf numFmtId="0" fontId="126" fillId="0" borderId="70" xfId="0" applyFont="1" applyBorder="1" applyProtection="1">
      <alignment vertical="center"/>
      <protection locked="0"/>
    </xf>
    <xf numFmtId="0" fontId="130" fillId="0" borderId="70" xfId="0" applyFont="1" applyBorder="1" applyProtection="1">
      <alignment vertical="center"/>
      <protection locked="0"/>
    </xf>
    <xf numFmtId="0" fontId="126" fillId="0" borderId="71" xfId="0" applyFont="1" applyBorder="1" applyProtection="1">
      <alignment vertical="center"/>
      <protection locked="0"/>
    </xf>
    <xf numFmtId="0" fontId="130" fillId="0" borderId="71" xfId="0" applyFont="1" applyBorder="1" applyProtection="1">
      <alignment vertical="center"/>
      <protection locked="0"/>
    </xf>
    <xf numFmtId="0" fontId="107" fillId="64" borderId="0" xfId="349" applyFont="1" applyFill="1" applyAlignment="1">
      <alignment shrinkToFit="1"/>
    </xf>
    <xf numFmtId="198" fontId="106" fillId="64" borderId="72" xfId="349" applyNumberFormat="1" applyFont="1" applyFill="1" applyBorder="1" applyAlignment="1">
      <alignment vertical="center"/>
    </xf>
    <xf numFmtId="38" fontId="106" fillId="74" borderId="72" xfId="415" applyFont="1" applyFill="1" applyBorder="1" applyAlignment="1" applyProtection="1">
      <alignment vertical="center"/>
    </xf>
    <xf numFmtId="198" fontId="107" fillId="64" borderId="24" xfId="349" applyNumberFormat="1" applyFont="1" applyFill="1" applyBorder="1" applyAlignment="1">
      <alignment vertical="center"/>
    </xf>
    <xf numFmtId="9" fontId="116" fillId="64" borderId="22" xfId="416" applyFont="1" applyFill="1" applyBorder="1" applyAlignment="1" applyProtection="1">
      <alignment vertical="center"/>
    </xf>
    <xf numFmtId="198" fontId="107" fillId="64" borderId="11" xfId="349" applyNumberFormat="1" applyFont="1" applyFill="1" applyBorder="1" applyAlignment="1">
      <alignment vertical="center"/>
    </xf>
    <xf numFmtId="9" fontId="116" fillId="64" borderId="35" xfId="416" applyFont="1" applyFill="1" applyBorder="1" applyAlignment="1" applyProtection="1">
      <alignment vertical="center"/>
    </xf>
    <xf numFmtId="38" fontId="105" fillId="64" borderId="46" xfId="415" applyFont="1" applyFill="1" applyBorder="1" applyAlignment="1" applyProtection="1">
      <alignment vertical="center"/>
    </xf>
    <xf numFmtId="9" fontId="116" fillId="64" borderId="25" xfId="416" applyFont="1" applyFill="1" applyBorder="1" applyAlignment="1" applyProtection="1">
      <alignment vertical="center"/>
    </xf>
    <xf numFmtId="198" fontId="107" fillId="64" borderId="0" xfId="349" applyNumberFormat="1" applyFont="1" applyFill="1" applyAlignment="1">
      <alignment vertical="center" shrinkToFit="1"/>
    </xf>
    <xf numFmtId="198" fontId="107" fillId="64" borderId="11" xfId="349" applyNumberFormat="1" applyFont="1" applyFill="1" applyBorder="1" applyAlignment="1">
      <alignment vertical="center" shrinkToFit="1"/>
    </xf>
    <xf numFmtId="9" fontId="113" fillId="64" borderId="22" xfId="416" applyFont="1" applyFill="1" applyBorder="1" applyAlignment="1" applyProtection="1">
      <alignment vertical="center"/>
    </xf>
    <xf numFmtId="0" fontId="107" fillId="64" borderId="0" xfId="345" applyFont="1" applyFill="1" applyAlignment="1">
      <alignment vertical="center" shrinkToFit="1"/>
    </xf>
    <xf numFmtId="38" fontId="63" fillId="64" borderId="0" xfId="415" applyFont="1" applyFill="1" applyBorder="1" applyAlignment="1" applyProtection="1">
      <alignment horizontal="right" vertical="center"/>
    </xf>
    <xf numFmtId="198" fontId="107" fillId="0" borderId="0" xfId="349" applyNumberFormat="1" applyFont="1" applyAlignment="1">
      <alignment vertical="center" shrinkToFit="1"/>
    </xf>
    <xf numFmtId="198" fontId="106" fillId="0" borderId="72" xfId="349" applyNumberFormat="1" applyFont="1" applyBorder="1" applyAlignment="1">
      <alignment vertical="center"/>
    </xf>
    <xf numFmtId="0" fontId="105" fillId="64" borderId="0" xfId="345" applyFont="1" applyFill="1" applyAlignment="1">
      <alignment vertical="center" shrinkToFit="1"/>
    </xf>
    <xf numFmtId="0" fontId="105" fillId="67" borderId="24" xfId="345" applyFont="1" applyFill="1" applyBorder="1">
      <alignment vertical="center"/>
    </xf>
    <xf numFmtId="198" fontId="105" fillId="0" borderId="0" xfId="419" applyNumberFormat="1" applyAlignment="1">
      <alignment vertical="center"/>
    </xf>
    <xf numFmtId="0" fontId="105" fillId="0" borderId="23" xfId="345" applyFont="1" applyBorder="1">
      <alignment vertical="center"/>
    </xf>
    <xf numFmtId="198" fontId="105" fillId="78" borderId="0" xfId="349" applyNumberFormat="1" applyFont="1" applyFill="1" applyAlignment="1">
      <alignment vertical="center"/>
    </xf>
    <xf numFmtId="0" fontId="105" fillId="78" borderId="0" xfId="345" applyFont="1" applyFill="1">
      <alignment vertical="center"/>
    </xf>
    <xf numFmtId="38" fontId="105" fillId="78" borderId="32" xfId="415" applyFont="1" applyFill="1" applyBorder="1" applyAlignment="1" applyProtection="1">
      <alignment vertical="center"/>
    </xf>
    <xf numFmtId="0" fontId="106" fillId="70" borderId="0" xfId="345" applyFont="1" applyFill="1">
      <alignment vertical="center"/>
    </xf>
    <xf numFmtId="0" fontId="106" fillId="70" borderId="23" xfId="345" applyFont="1" applyFill="1" applyBorder="1">
      <alignment vertical="center"/>
    </xf>
    <xf numFmtId="198" fontId="114" fillId="0" borderId="0" xfId="419" applyNumberFormat="1" applyFont="1" applyAlignment="1">
      <alignment vertical="center"/>
    </xf>
    <xf numFmtId="200" fontId="111" fillId="0" borderId="0" xfId="0" applyNumberFormat="1" applyFont="1">
      <alignment vertical="center"/>
    </xf>
    <xf numFmtId="38" fontId="105" fillId="0" borderId="36" xfId="415" applyFont="1" applyFill="1" applyBorder="1" applyAlignment="1" applyProtection="1">
      <alignment vertical="center"/>
    </xf>
    <xf numFmtId="38" fontId="105" fillId="0" borderId="31" xfId="415" applyFont="1" applyFill="1" applyBorder="1" applyAlignment="1" applyProtection="1">
      <alignment vertical="center"/>
    </xf>
    <xf numFmtId="0" fontId="105" fillId="0" borderId="30" xfId="345" applyFont="1" applyBorder="1">
      <alignment vertical="center"/>
    </xf>
    <xf numFmtId="197" fontId="117" fillId="0" borderId="0" xfId="297" applyNumberFormat="1" applyFont="1" applyFill="1" applyBorder="1" applyAlignment="1">
      <alignment horizontal="right" vertical="center"/>
    </xf>
    <xf numFmtId="198" fontId="105" fillId="64" borderId="28" xfId="418" applyNumberFormat="1" applyFont="1" applyFill="1" applyBorder="1" applyAlignment="1">
      <alignment vertical="center"/>
    </xf>
    <xf numFmtId="198" fontId="105" fillId="64" borderId="0" xfId="418" applyNumberFormat="1" applyFont="1" applyFill="1" applyAlignment="1">
      <alignment vertical="center"/>
    </xf>
    <xf numFmtId="0" fontId="114" fillId="64" borderId="0" xfId="345" applyFont="1" applyFill="1" applyAlignment="1">
      <alignment horizontal="center" vertical="center"/>
    </xf>
    <xf numFmtId="0" fontId="117" fillId="64" borderId="0" xfId="297" applyFont="1" applyFill="1">
      <alignment vertical="center"/>
    </xf>
    <xf numFmtId="197" fontId="117" fillId="64" borderId="0" xfId="297" applyNumberFormat="1" applyFont="1" applyFill="1" applyAlignment="1">
      <alignment horizontal="right" vertical="center"/>
    </xf>
    <xf numFmtId="0" fontId="105" fillId="0" borderId="11" xfId="345" applyFont="1" applyBorder="1">
      <alignment vertical="center"/>
    </xf>
    <xf numFmtId="0" fontId="105" fillId="33" borderId="23" xfId="345" applyFont="1" applyFill="1" applyBorder="1">
      <alignment vertical="center"/>
    </xf>
    <xf numFmtId="0" fontId="105" fillId="0" borderId="11" xfId="481" applyFont="1" applyBorder="1" applyAlignment="1">
      <alignment vertical="center"/>
    </xf>
    <xf numFmtId="0" fontId="105" fillId="0" borderId="24" xfId="481" applyFont="1" applyBorder="1" applyAlignment="1">
      <alignment vertical="center"/>
    </xf>
    <xf numFmtId="0" fontId="105" fillId="0" borderId="23" xfId="481" applyFont="1" applyBorder="1" applyAlignment="1">
      <alignment vertical="center"/>
    </xf>
    <xf numFmtId="0" fontId="114" fillId="64" borderId="23" xfId="345" applyFont="1" applyFill="1" applyBorder="1">
      <alignment vertical="center"/>
    </xf>
    <xf numFmtId="0" fontId="114" fillId="64" borderId="0" xfId="345" applyFont="1" applyFill="1">
      <alignment vertical="center"/>
    </xf>
    <xf numFmtId="0" fontId="114" fillId="64" borderId="23" xfId="345" applyFont="1" applyFill="1" applyBorder="1" applyAlignment="1">
      <alignment vertical="center" shrinkToFit="1"/>
    </xf>
    <xf numFmtId="0" fontId="114" fillId="0" borderId="0" xfId="345" applyFont="1">
      <alignment vertical="center"/>
    </xf>
    <xf numFmtId="0" fontId="114" fillId="0" borderId="23" xfId="345" applyFont="1" applyBorder="1">
      <alignment vertical="center"/>
    </xf>
    <xf numFmtId="0" fontId="105" fillId="64" borderId="79" xfId="345" applyFont="1" applyFill="1" applyBorder="1">
      <alignment vertical="center"/>
    </xf>
    <xf numFmtId="0" fontId="105" fillId="64" borderId="85" xfId="345" applyFont="1" applyFill="1" applyBorder="1">
      <alignment vertical="center"/>
    </xf>
    <xf numFmtId="0" fontId="105" fillId="64" borderId="77" xfId="345" applyFont="1" applyFill="1" applyBorder="1">
      <alignment vertical="center"/>
    </xf>
    <xf numFmtId="0" fontId="105" fillId="0" borderId="79" xfId="345" applyFont="1" applyBorder="1">
      <alignment vertical="center"/>
    </xf>
    <xf numFmtId="0" fontId="105" fillId="67" borderId="73" xfId="345" applyFont="1" applyFill="1" applyBorder="1">
      <alignment vertical="center"/>
    </xf>
    <xf numFmtId="0" fontId="134" fillId="64" borderId="0" xfId="421" applyFont="1" applyFill="1"/>
    <xf numFmtId="0" fontId="135" fillId="64" borderId="0" xfId="421" applyFont="1" applyFill="1" applyAlignment="1">
      <alignment horizontal="right"/>
    </xf>
    <xf numFmtId="0" fontId="28" fillId="64" borderId="0" xfId="421" applyFont="1" applyFill="1"/>
    <xf numFmtId="38" fontId="121" fillId="64" borderId="0" xfId="311" applyFont="1" applyFill="1" applyBorder="1" applyAlignment="1">
      <alignment vertical="center"/>
    </xf>
    <xf numFmtId="49" fontId="119" fillId="64" borderId="0" xfId="297" applyNumberFormat="1" applyFont="1" applyFill="1" applyBorder="1">
      <alignment vertical="center"/>
    </xf>
    <xf numFmtId="0" fontId="110" fillId="64" borderId="0" xfId="349" applyFont="1" applyFill="1"/>
    <xf numFmtId="198" fontId="110" fillId="0" borderId="0" xfId="349" applyNumberFormat="1" applyFont="1" applyAlignment="1">
      <alignment vertical="center"/>
    </xf>
    <xf numFmtId="198" fontId="36" fillId="0" borderId="0" xfId="349" applyNumberFormat="1" applyFont="1" applyAlignment="1">
      <alignment vertical="center"/>
    </xf>
    <xf numFmtId="0" fontId="108" fillId="0" borderId="0" xfId="345" applyFont="1" applyAlignment="1">
      <alignment vertical="center" shrinkToFit="1"/>
    </xf>
    <xf numFmtId="0" fontId="114" fillId="0" borderId="73" xfId="345" applyFont="1" applyBorder="1">
      <alignment vertical="center"/>
    </xf>
    <xf numFmtId="198" fontId="106" fillId="0" borderId="77" xfId="349" applyNumberFormat="1" applyFont="1" applyBorder="1" applyAlignment="1">
      <alignment vertical="center"/>
    </xf>
    <xf numFmtId="198" fontId="105" fillId="0" borderId="79" xfId="349" applyNumberFormat="1" applyFont="1" applyBorder="1" applyAlignment="1">
      <alignment vertical="center"/>
    </xf>
    <xf numFmtId="198" fontId="106" fillId="0" borderId="79" xfId="349" applyNumberFormat="1" applyFont="1" applyBorder="1" applyAlignment="1">
      <alignment vertical="center"/>
    </xf>
    <xf numFmtId="198" fontId="105" fillId="0" borderId="85" xfId="349" applyNumberFormat="1" applyFont="1" applyBorder="1" applyAlignment="1">
      <alignment vertical="center"/>
    </xf>
    <xf numFmtId="38" fontId="105" fillId="64" borderId="78" xfId="415" applyFont="1" applyFill="1" applyBorder="1" applyAlignment="1" applyProtection="1">
      <alignment vertical="center"/>
    </xf>
    <xf numFmtId="198" fontId="105" fillId="0" borderId="76" xfId="349" applyNumberFormat="1" applyFont="1" applyBorder="1" applyAlignment="1">
      <alignment vertical="center"/>
    </xf>
    <xf numFmtId="198" fontId="106" fillId="0" borderId="76" xfId="349" applyNumberFormat="1" applyFont="1" applyBorder="1" applyAlignment="1">
      <alignment vertical="center"/>
    </xf>
    <xf numFmtId="38" fontId="105" fillId="64" borderId="83" xfId="415" applyFont="1" applyFill="1" applyBorder="1" applyAlignment="1" applyProtection="1">
      <alignment vertical="center"/>
    </xf>
    <xf numFmtId="198" fontId="106" fillId="66" borderId="72" xfId="349" applyNumberFormat="1" applyFont="1" applyFill="1" applyBorder="1" applyAlignment="1">
      <alignment vertical="center"/>
    </xf>
    <xf numFmtId="198" fontId="105" fillId="66" borderId="73" xfId="349" applyNumberFormat="1" applyFont="1" applyFill="1" applyBorder="1" applyAlignment="1">
      <alignment vertical="center"/>
    </xf>
    <xf numFmtId="198" fontId="106" fillId="66" borderId="73" xfId="349" applyNumberFormat="1" applyFont="1" applyFill="1" applyBorder="1" applyAlignment="1">
      <alignment vertical="center"/>
    </xf>
    <xf numFmtId="0" fontId="7" fillId="66" borderId="11" xfId="349" applyFill="1" applyBorder="1"/>
    <xf numFmtId="0" fontId="7" fillId="66" borderId="24" xfId="349" applyFill="1" applyBorder="1"/>
    <xf numFmtId="0" fontId="7" fillId="67" borderId="11" xfId="349" applyFill="1" applyBorder="1"/>
    <xf numFmtId="0" fontId="7" fillId="67" borderId="24" xfId="349" applyFill="1" applyBorder="1"/>
    <xf numFmtId="0" fontId="7" fillId="79" borderId="11" xfId="349" applyFill="1" applyBorder="1"/>
    <xf numFmtId="0" fontId="7" fillId="79" borderId="24" xfId="349" applyFill="1" applyBorder="1"/>
    <xf numFmtId="0" fontId="7" fillId="70" borderId="11" xfId="349" applyFill="1" applyBorder="1"/>
    <xf numFmtId="0" fontId="7" fillId="70" borderId="24" xfId="349" applyFill="1" applyBorder="1"/>
    <xf numFmtId="38" fontId="106" fillId="55" borderId="29" xfId="415" applyFont="1" applyFill="1" applyBorder="1" applyAlignment="1" applyProtection="1">
      <alignment vertical="center"/>
    </xf>
    <xf numFmtId="0" fontId="7" fillId="80" borderId="11" xfId="349" applyFill="1" applyBorder="1"/>
    <xf numFmtId="0" fontId="7" fillId="80" borderId="24" xfId="349" applyFill="1" applyBorder="1"/>
    <xf numFmtId="38" fontId="106" fillId="0" borderId="0" xfId="415" applyFont="1" applyFill="1" applyBorder="1" applyAlignment="1" applyProtection="1">
      <alignment vertical="center"/>
    </xf>
    <xf numFmtId="38" fontId="106" fillId="0" borderId="0" xfId="415" applyFont="1" applyFill="1" applyAlignment="1" applyProtection="1">
      <alignment vertical="center"/>
    </xf>
    <xf numFmtId="38" fontId="106" fillId="59" borderId="72" xfId="415" applyFont="1" applyFill="1" applyBorder="1" applyAlignment="1" applyProtection="1">
      <alignment vertical="center"/>
    </xf>
    <xf numFmtId="38" fontId="105" fillId="59" borderId="73" xfId="415" applyFont="1" applyFill="1" applyBorder="1" applyAlignment="1" applyProtection="1">
      <alignment vertical="center"/>
    </xf>
    <xf numFmtId="38" fontId="106" fillId="59" borderId="73" xfId="415" applyFont="1" applyFill="1" applyBorder="1" applyAlignment="1" applyProtection="1">
      <alignment vertical="center"/>
    </xf>
    <xf numFmtId="38" fontId="7" fillId="64" borderId="0" xfId="415" applyFont="1" applyFill="1" applyAlignment="1"/>
    <xf numFmtId="38" fontId="106" fillId="80" borderId="72" xfId="415" applyFont="1" applyFill="1" applyBorder="1" applyAlignment="1" applyProtection="1">
      <alignment vertical="center"/>
    </xf>
    <xf numFmtId="38" fontId="105" fillId="55" borderId="73" xfId="415" applyFont="1" applyFill="1" applyBorder="1" applyAlignment="1" applyProtection="1">
      <alignment vertical="center"/>
    </xf>
    <xf numFmtId="38" fontId="106" fillId="55" borderId="73" xfId="415" applyFont="1" applyFill="1" applyBorder="1" applyAlignment="1" applyProtection="1">
      <alignment vertical="center"/>
    </xf>
    <xf numFmtId="38" fontId="106" fillId="79" borderId="72" xfId="415" applyFont="1" applyFill="1" applyBorder="1" applyAlignment="1" applyProtection="1">
      <alignment vertical="center"/>
    </xf>
    <xf numFmtId="38" fontId="105" fillId="69" borderId="73" xfId="415" applyFont="1" applyFill="1" applyBorder="1" applyAlignment="1" applyProtection="1">
      <alignment vertical="center"/>
    </xf>
    <xf numFmtId="38" fontId="106" fillId="69" borderId="73" xfId="415" applyFont="1" applyFill="1" applyBorder="1" applyAlignment="1" applyProtection="1">
      <alignment vertical="center"/>
    </xf>
    <xf numFmtId="38" fontId="106" fillId="49" borderId="72" xfId="415" applyFont="1" applyFill="1" applyBorder="1" applyAlignment="1" applyProtection="1">
      <alignment vertical="center"/>
    </xf>
    <xf numFmtId="38" fontId="105" fillId="49" borderId="73" xfId="415" applyFont="1" applyFill="1" applyBorder="1" applyAlignment="1" applyProtection="1">
      <alignment vertical="center"/>
    </xf>
    <xf numFmtId="38" fontId="106" fillId="49" borderId="73" xfId="415" applyFont="1" applyFill="1" applyBorder="1" applyAlignment="1" applyProtection="1">
      <alignment vertical="center"/>
    </xf>
    <xf numFmtId="0" fontId="106" fillId="67" borderId="73" xfId="345" applyFont="1" applyFill="1" applyBorder="1">
      <alignment vertical="center"/>
    </xf>
    <xf numFmtId="38" fontId="105" fillId="67" borderId="86" xfId="415" applyFont="1" applyFill="1" applyBorder="1">
      <alignment vertical="center"/>
    </xf>
    <xf numFmtId="0" fontId="105" fillId="73" borderId="0" xfId="345" applyFont="1" applyFill="1">
      <alignment vertical="center"/>
    </xf>
    <xf numFmtId="0" fontId="105" fillId="73" borderId="32" xfId="345" applyFont="1" applyFill="1" applyBorder="1">
      <alignment vertical="center"/>
    </xf>
    <xf numFmtId="38" fontId="105" fillId="73" borderId="25" xfId="415" applyFont="1" applyFill="1" applyBorder="1">
      <alignment vertical="center"/>
    </xf>
    <xf numFmtId="0" fontId="105" fillId="64" borderId="82" xfId="345" applyFont="1" applyFill="1" applyBorder="1">
      <alignment vertical="center"/>
    </xf>
    <xf numFmtId="38" fontId="105" fillId="64" borderId="83" xfId="415" applyFont="1" applyFill="1" applyBorder="1">
      <alignment vertical="center"/>
    </xf>
    <xf numFmtId="0" fontId="105" fillId="64" borderId="76" xfId="345" applyFont="1" applyFill="1" applyBorder="1">
      <alignment vertical="center"/>
    </xf>
    <xf numFmtId="0" fontId="105" fillId="64" borderId="37" xfId="345" applyFont="1" applyFill="1" applyBorder="1">
      <alignment vertical="center"/>
    </xf>
    <xf numFmtId="0" fontId="105" fillId="64" borderId="36" xfId="345" applyFont="1" applyFill="1" applyBorder="1">
      <alignment vertical="center"/>
    </xf>
    <xf numFmtId="38" fontId="105" fillId="64" borderId="35" xfId="415" applyFont="1" applyFill="1" applyBorder="1">
      <alignment vertical="center"/>
    </xf>
    <xf numFmtId="0" fontId="105" fillId="64" borderId="40" xfId="345" applyFont="1" applyFill="1" applyBorder="1">
      <alignment vertical="center"/>
    </xf>
    <xf numFmtId="0" fontId="105" fillId="64" borderId="39" xfId="345" applyFont="1" applyFill="1" applyBorder="1">
      <alignment vertical="center"/>
    </xf>
    <xf numFmtId="38" fontId="105" fillId="64" borderId="84" xfId="415" applyFont="1" applyFill="1" applyBorder="1">
      <alignment vertical="center"/>
    </xf>
    <xf numFmtId="0" fontId="105" fillId="64" borderId="44" xfId="345" applyFont="1" applyFill="1" applyBorder="1">
      <alignment vertical="center"/>
    </xf>
    <xf numFmtId="0" fontId="114" fillId="64" borderId="76" xfId="345" applyFont="1" applyFill="1" applyBorder="1">
      <alignment vertical="center"/>
    </xf>
    <xf numFmtId="0" fontId="114" fillId="64" borderId="48" xfId="345" applyFont="1" applyFill="1" applyBorder="1">
      <alignment vertical="center"/>
    </xf>
    <xf numFmtId="0" fontId="114" fillId="64" borderId="48" xfId="345" applyFont="1" applyFill="1" applyBorder="1" applyAlignment="1">
      <alignment vertical="center" shrinkToFit="1"/>
    </xf>
    <xf numFmtId="0" fontId="114" fillId="0" borderId="76" xfId="345" applyFont="1" applyBorder="1">
      <alignment vertical="center"/>
    </xf>
    <xf numFmtId="198" fontId="105" fillId="0" borderId="48" xfId="349" applyNumberFormat="1" applyFont="1" applyBorder="1" applyAlignment="1">
      <alignment vertical="center"/>
    </xf>
    <xf numFmtId="38" fontId="105" fillId="64" borderId="82" xfId="415" applyFont="1" applyFill="1" applyBorder="1">
      <alignment vertical="center"/>
    </xf>
    <xf numFmtId="38" fontId="105" fillId="64" borderId="47" xfId="415" applyFont="1" applyFill="1" applyBorder="1">
      <alignment vertical="center"/>
    </xf>
    <xf numFmtId="0" fontId="105" fillId="0" borderId="48" xfId="345" applyFont="1" applyBorder="1">
      <alignment vertical="center"/>
    </xf>
    <xf numFmtId="38" fontId="105" fillId="0" borderId="35" xfId="415" applyFont="1" applyFill="1" applyBorder="1">
      <alignment vertical="center"/>
    </xf>
    <xf numFmtId="38" fontId="105" fillId="0" borderId="84" xfId="415" applyFont="1" applyFill="1" applyBorder="1">
      <alignment vertical="center"/>
    </xf>
    <xf numFmtId="0" fontId="114" fillId="64" borderId="82" xfId="345" applyFont="1" applyFill="1" applyBorder="1">
      <alignment vertical="center"/>
    </xf>
    <xf numFmtId="38" fontId="105" fillId="0" borderId="83" xfId="415" applyFont="1" applyFill="1" applyBorder="1">
      <alignment vertical="center"/>
    </xf>
    <xf numFmtId="0" fontId="114" fillId="64" borderId="47" xfId="345" applyFont="1" applyFill="1" applyBorder="1">
      <alignment vertical="center"/>
    </xf>
    <xf numFmtId="0" fontId="114" fillId="64" borderId="37" xfId="345" applyFont="1" applyFill="1" applyBorder="1">
      <alignment vertical="center"/>
    </xf>
    <xf numFmtId="0" fontId="114" fillId="64" borderId="36" xfId="345" applyFont="1" applyFill="1" applyBorder="1">
      <alignment vertical="center"/>
    </xf>
    <xf numFmtId="38" fontId="105" fillId="0" borderId="42" xfId="415" applyFont="1" applyFill="1" applyBorder="1">
      <alignment vertical="center"/>
    </xf>
    <xf numFmtId="0" fontId="106" fillId="72" borderId="73" xfId="345" applyFont="1" applyFill="1" applyBorder="1">
      <alignment vertical="center"/>
    </xf>
    <xf numFmtId="198" fontId="105" fillId="72" borderId="48" xfId="349" applyNumberFormat="1" applyFont="1" applyFill="1" applyBorder="1" applyAlignment="1">
      <alignment vertical="center"/>
    </xf>
    <xf numFmtId="38" fontId="105" fillId="72" borderId="47" xfId="415" applyFont="1" applyFill="1" applyBorder="1" applyAlignment="1" applyProtection="1">
      <alignment vertical="center"/>
    </xf>
    <xf numFmtId="198" fontId="105" fillId="72" borderId="0" xfId="349" applyNumberFormat="1" applyFont="1" applyFill="1" applyAlignment="1">
      <alignment vertical="center"/>
    </xf>
    <xf numFmtId="38" fontId="105" fillId="72" borderId="32" xfId="415" applyFont="1" applyFill="1" applyBorder="1" applyAlignment="1" applyProtection="1">
      <alignment vertical="center"/>
    </xf>
    <xf numFmtId="0" fontId="105" fillId="0" borderId="37" xfId="345" applyFont="1" applyBorder="1">
      <alignment vertical="center"/>
    </xf>
    <xf numFmtId="0" fontId="105" fillId="72" borderId="73" xfId="345" applyFont="1" applyFill="1" applyBorder="1">
      <alignment vertical="center"/>
    </xf>
    <xf numFmtId="38" fontId="105" fillId="72" borderId="86" xfId="415" applyFont="1" applyFill="1" applyBorder="1">
      <alignment vertical="center"/>
    </xf>
    <xf numFmtId="0" fontId="105" fillId="0" borderId="45" xfId="345" applyFont="1" applyBorder="1">
      <alignment vertical="center"/>
    </xf>
    <xf numFmtId="0" fontId="114" fillId="0" borderId="45" xfId="345" applyFont="1" applyBorder="1">
      <alignment vertical="center"/>
    </xf>
    <xf numFmtId="0" fontId="114" fillId="0" borderId="48" xfId="345" applyFont="1" applyBorder="1">
      <alignment vertical="center"/>
    </xf>
    <xf numFmtId="38" fontId="105" fillId="64" borderId="78" xfId="415" applyFont="1" applyFill="1" applyBorder="1">
      <alignment vertical="center"/>
    </xf>
    <xf numFmtId="198" fontId="105" fillId="0" borderId="23" xfId="311" applyNumberFormat="1" applyFont="1" applyFill="1" applyBorder="1" applyAlignment="1"/>
    <xf numFmtId="0" fontId="137" fillId="0" borderId="0" xfId="0" applyFont="1">
      <alignment vertical="center"/>
    </xf>
    <xf numFmtId="0" fontId="114" fillId="64" borderId="32" xfId="345" applyFont="1" applyFill="1" applyBorder="1">
      <alignment vertical="center"/>
    </xf>
    <xf numFmtId="0" fontId="106" fillId="70" borderId="73" xfId="345" applyFont="1" applyFill="1" applyBorder="1">
      <alignment vertical="center"/>
    </xf>
    <xf numFmtId="0" fontId="105" fillId="70" borderId="73" xfId="345" applyFont="1" applyFill="1" applyBorder="1">
      <alignment vertical="center"/>
    </xf>
    <xf numFmtId="38" fontId="106" fillId="73" borderId="32" xfId="345" applyNumberFormat="1" applyFont="1" applyFill="1" applyBorder="1">
      <alignment vertical="center"/>
    </xf>
    <xf numFmtId="38" fontId="106" fillId="70" borderId="29" xfId="415" applyFont="1" applyFill="1" applyBorder="1">
      <alignment vertical="center"/>
    </xf>
    <xf numFmtId="0" fontId="106" fillId="69" borderId="73" xfId="349" applyFont="1" applyFill="1" applyBorder="1"/>
    <xf numFmtId="38" fontId="106" fillId="69" borderId="86" xfId="415" applyFont="1" applyFill="1" applyBorder="1" applyAlignment="1"/>
    <xf numFmtId="38" fontId="105" fillId="73" borderId="32" xfId="415" applyFont="1" applyFill="1" applyBorder="1">
      <alignment vertical="center"/>
    </xf>
    <xf numFmtId="38" fontId="105" fillId="64" borderId="36" xfId="415" applyFont="1" applyFill="1" applyBorder="1">
      <alignment vertical="center"/>
    </xf>
    <xf numFmtId="0" fontId="106" fillId="69" borderId="72" xfId="349" applyFont="1" applyFill="1" applyBorder="1"/>
    <xf numFmtId="38" fontId="105" fillId="66" borderId="86" xfId="415" applyFont="1" applyFill="1" applyBorder="1" applyAlignment="1" applyProtection="1">
      <alignment vertical="center"/>
    </xf>
    <xf numFmtId="198" fontId="106" fillId="67" borderId="73" xfId="349" applyNumberFormat="1" applyFont="1" applyFill="1" applyBorder="1" applyAlignment="1">
      <alignment vertical="center"/>
    </xf>
    <xf numFmtId="198" fontId="105" fillId="67" borderId="73" xfId="349" applyNumberFormat="1" applyFont="1" applyFill="1" applyBorder="1" applyAlignment="1">
      <alignment vertical="center"/>
    </xf>
    <xf numFmtId="38" fontId="105" fillId="67" borderId="86" xfId="415" applyFont="1" applyFill="1" applyBorder="1" applyAlignment="1" applyProtection="1">
      <alignment vertical="center"/>
    </xf>
    <xf numFmtId="198" fontId="106" fillId="70" borderId="73" xfId="349" applyNumberFormat="1" applyFont="1" applyFill="1" applyBorder="1" applyAlignment="1">
      <alignment vertical="center"/>
    </xf>
    <xf numFmtId="198" fontId="105" fillId="70" borderId="73" xfId="349" applyNumberFormat="1" applyFont="1" applyFill="1" applyBorder="1" applyAlignment="1">
      <alignment vertical="center"/>
    </xf>
    <xf numFmtId="38" fontId="105" fillId="70" borderId="86" xfId="415" applyFont="1" applyFill="1" applyBorder="1" applyAlignment="1" applyProtection="1">
      <alignment vertical="center"/>
    </xf>
    <xf numFmtId="0" fontId="105" fillId="69" borderId="73" xfId="349" applyFont="1" applyFill="1" applyBorder="1"/>
    <xf numFmtId="198" fontId="105" fillId="64" borderId="73" xfId="349" applyNumberFormat="1" applyFont="1" applyFill="1" applyBorder="1" applyAlignment="1">
      <alignment vertical="center"/>
    </xf>
    <xf numFmtId="198" fontId="106" fillId="64" borderId="73" xfId="349" applyNumberFormat="1" applyFont="1" applyFill="1" applyBorder="1" applyAlignment="1">
      <alignment vertical="center"/>
    </xf>
    <xf numFmtId="198" fontId="106" fillId="69" borderId="72" xfId="349" applyNumberFormat="1" applyFont="1" applyFill="1" applyBorder="1" applyAlignment="1">
      <alignment vertical="center"/>
    </xf>
    <xf numFmtId="198" fontId="105" fillId="69" borderId="73" xfId="349" applyNumberFormat="1" applyFont="1" applyFill="1" applyBorder="1" applyAlignment="1">
      <alignment vertical="center"/>
    </xf>
    <xf numFmtId="198" fontId="106" fillId="69" borderId="73" xfId="349" applyNumberFormat="1" applyFont="1" applyFill="1" applyBorder="1" applyAlignment="1">
      <alignment vertical="center"/>
    </xf>
    <xf numFmtId="0" fontId="136" fillId="64" borderId="0" xfId="345" applyFont="1" applyFill="1">
      <alignment vertical="center"/>
    </xf>
    <xf numFmtId="0" fontId="105" fillId="79" borderId="30" xfId="349" applyFont="1" applyFill="1" applyBorder="1"/>
    <xf numFmtId="0" fontId="106" fillId="79" borderId="73" xfId="349" applyFont="1" applyFill="1" applyBorder="1"/>
    <xf numFmtId="38" fontId="106" fillId="79" borderId="86" xfId="415" applyFont="1" applyFill="1" applyBorder="1" applyAlignment="1"/>
    <xf numFmtId="0" fontId="106" fillId="66" borderId="26" xfId="349" applyFont="1" applyFill="1" applyBorder="1"/>
    <xf numFmtId="0" fontId="105" fillId="66" borderId="30" xfId="349" applyFont="1" applyFill="1" applyBorder="1"/>
    <xf numFmtId="0" fontId="106" fillId="66" borderId="73" xfId="349" applyFont="1" applyFill="1" applyBorder="1"/>
    <xf numFmtId="0" fontId="106" fillId="67" borderId="26" xfId="349" applyFont="1" applyFill="1" applyBorder="1"/>
    <xf numFmtId="0" fontId="105" fillId="67" borderId="30" xfId="349" applyFont="1" applyFill="1" applyBorder="1"/>
    <xf numFmtId="0" fontId="106" fillId="67" borderId="73" xfId="349" applyFont="1" applyFill="1" applyBorder="1"/>
    <xf numFmtId="38" fontId="106" fillId="67" borderId="86" xfId="415" applyFont="1" applyFill="1" applyBorder="1" applyAlignment="1"/>
    <xf numFmtId="38" fontId="106" fillId="66" borderId="86" xfId="415" applyFont="1" applyFill="1" applyBorder="1" applyAlignment="1"/>
    <xf numFmtId="0" fontId="106" fillId="0" borderId="77" xfId="349" applyFont="1" applyBorder="1"/>
    <xf numFmtId="0" fontId="105" fillId="0" borderId="79" xfId="349" applyFont="1" applyBorder="1"/>
    <xf numFmtId="0" fontId="106" fillId="0" borderId="79" xfId="349" applyFont="1" applyBorder="1"/>
    <xf numFmtId="38" fontId="106" fillId="0" borderId="78" xfId="415" applyFont="1" applyFill="1" applyBorder="1" applyAlignment="1"/>
    <xf numFmtId="0" fontId="106" fillId="81" borderId="26" xfId="349" applyFont="1" applyFill="1" applyBorder="1"/>
    <xf numFmtId="0" fontId="105" fillId="81" borderId="30" xfId="349" applyFont="1" applyFill="1" applyBorder="1"/>
    <xf numFmtId="0" fontId="106" fillId="81" borderId="73" xfId="349" applyFont="1" applyFill="1" applyBorder="1"/>
    <xf numFmtId="38" fontId="106" fillId="81" borderId="86" xfId="415" applyFont="1" applyFill="1" applyBorder="1" applyAlignment="1"/>
    <xf numFmtId="198" fontId="106" fillId="81" borderId="26" xfId="349" applyNumberFormat="1" applyFont="1" applyFill="1" applyBorder="1" applyAlignment="1">
      <alignment vertical="center"/>
    </xf>
    <xf numFmtId="198" fontId="105" fillId="81" borderId="30" xfId="349" applyNumberFormat="1" applyFont="1" applyFill="1" applyBorder="1" applyAlignment="1">
      <alignment vertical="center"/>
    </xf>
    <xf numFmtId="198" fontId="106" fillId="81" borderId="11" xfId="349" applyNumberFormat="1" applyFont="1" applyFill="1" applyBorder="1" applyAlignment="1">
      <alignment vertical="center"/>
    </xf>
    <xf numFmtId="198" fontId="105" fillId="81" borderId="0" xfId="349" applyNumberFormat="1" applyFont="1" applyFill="1" applyAlignment="1">
      <alignment vertical="center"/>
    </xf>
    <xf numFmtId="198" fontId="106" fillId="81" borderId="24" xfId="349" applyNumberFormat="1" applyFont="1" applyFill="1" applyBorder="1" applyAlignment="1">
      <alignment vertical="center"/>
    </xf>
    <xf numFmtId="198" fontId="105" fillId="81" borderId="23" xfId="349" applyNumberFormat="1" applyFont="1" applyFill="1" applyBorder="1" applyAlignment="1">
      <alignment vertical="center"/>
    </xf>
    <xf numFmtId="198" fontId="106" fillId="81" borderId="73" xfId="349" applyNumberFormat="1" applyFont="1" applyFill="1" applyBorder="1" applyAlignment="1">
      <alignment vertical="center"/>
    </xf>
    <xf numFmtId="198" fontId="105" fillId="81" borderId="73" xfId="349" applyNumberFormat="1" applyFont="1" applyFill="1" applyBorder="1" applyAlignment="1">
      <alignment vertical="center"/>
    </xf>
    <xf numFmtId="38" fontId="105" fillId="81" borderId="86" xfId="415" applyFont="1" applyFill="1" applyBorder="1" applyAlignment="1" applyProtection="1">
      <alignment vertical="center"/>
    </xf>
    <xf numFmtId="38" fontId="106" fillId="81" borderId="72" xfId="415" applyFont="1" applyFill="1" applyBorder="1" applyAlignment="1" applyProtection="1">
      <alignment vertical="center"/>
    </xf>
    <xf numFmtId="38" fontId="105" fillId="81" borderId="73" xfId="415" applyFont="1" applyFill="1" applyBorder="1" applyAlignment="1" applyProtection="1">
      <alignment vertical="center"/>
    </xf>
    <xf numFmtId="38" fontId="106" fillId="81" borderId="73" xfId="415" applyFont="1" applyFill="1" applyBorder="1" applyAlignment="1" applyProtection="1">
      <alignment vertical="center"/>
    </xf>
    <xf numFmtId="38" fontId="106" fillId="81" borderId="29" xfId="415" applyFont="1" applyFill="1" applyBorder="1" applyAlignment="1" applyProtection="1">
      <alignment vertical="center"/>
    </xf>
    <xf numFmtId="0" fontId="7" fillId="81" borderId="11" xfId="349" applyFill="1" applyBorder="1"/>
    <xf numFmtId="0" fontId="7" fillId="81" borderId="24" xfId="349" applyFill="1" applyBorder="1"/>
    <xf numFmtId="198" fontId="106" fillId="81" borderId="72" xfId="349" applyNumberFormat="1" applyFont="1" applyFill="1" applyBorder="1" applyAlignment="1">
      <alignment vertical="center"/>
    </xf>
    <xf numFmtId="0" fontId="106" fillId="0" borderId="24" xfId="349" applyFont="1" applyBorder="1"/>
    <xf numFmtId="0" fontId="36" fillId="64" borderId="0" xfId="349" applyFont="1" applyFill="1"/>
    <xf numFmtId="0" fontId="36" fillId="64" borderId="0" xfId="345" applyFont="1" applyFill="1">
      <alignment vertical="center"/>
    </xf>
    <xf numFmtId="198" fontId="36" fillId="64" borderId="0" xfId="417" applyNumberFormat="1" applyFont="1" applyFill="1" applyAlignment="1">
      <alignment vertical="center"/>
    </xf>
    <xf numFmtId="0" fontId="111" fillId="0" borderId="22" xfId="0" applyFont="1" applyBorder="1" applyAlignment="1">
      <alignment vertical="center" wrapText="1"/>
    </xf>
    <xf numFmtId="38" fontId="105" fillId="64" borderId="79" xfId="311" applyFont="1" applyFill="1" applyBorder="1" applyAlignment="1" applyProtection="1">
      <protection locked="0"/>
    </xf>
    <xf numFmtId="38" fontId="105" fillId="0" borderId="79" xfId="311" applyFont="1" applyFill="1" applyBorder="1" applyAlignment="1"/>
    <xf numFmtId="38" fontId="105" fillId="0" borderId="79" xfId="311" applyFont="1" applyFill="1" applyBorder="1" applyAlignment="1" applyProtection="1">
      <protection locked="0"/>
    </xf>
    <xf numFmtId="38" fontId="105" fillId="64" borderId="79" xfId="311" applyFont="1" applyFill="1" applyBorder="1" applyAlignment="1"/>
    <xf numFmtId="49" fontId="130" fillId="61" borderId="21" xfId="0" applyNumberFormat="1" applyFont="1" applyFill="1" applyBorder="1" applyAlignment="1" applyProtection="1">
      <alignment horizontal="left" vertical="center"/>
      <protection locked="0"/>
    </xf>
    <xf numFmtId="49" fontId="126" fillId="0" borderId="70" xfId="0" applyNumberFormat="1" applyFont="1" applyBorder="1" applyProtection="1">
      <alignment vertical="center"/>
      <protection locked="0"/>
    </xf>
    <xf numFmtId="49" fontId="130" fillId="0" borderId="70" xfId="0" applyNumberFormat="1" applyFont="1" applyBorder="1" applyAlignment="1" applyProtection="1">
      <alignment horizontal="left" vertical="center" indent="3"/>
      <protection locked="0"/>
    </xf>
    <xf numFmtId="49" fontId="130" fillId="0" borderId="70" xfId="0" applyNumberFormat="1" applyFont="1" applyBorder="1" applyProtection="1">
      <alignment vertical="center"/>
      <protection locked="0"/>
    </xf>
    <xf numFmtId="49" fontId="132" fillId="61" borderId="21" xfId="0" applyNumberFormat="1" applyFont="1" applyFill="1" applyBorder="1" applyAlignment="1" applyProtection="1">
      <alignment horizontal="left" vertical="center"/>
      <protection locked="0"/>
    </xf>
    <xf numFmtId="49" fontId="130" fillId="0" borderId="70" xfId="0" applyNumberFormat="1" applyFont="1" applyBorder="1" applyAlignment="1" applyProtection="1">
      <alignment horizontal="left" vertical="center" indent="2"/>
      <protection locked="0"/>
    </xf>
    <xf numFmtId="49" fontId="138" fillId="61" borderId="21" xfId="0" applyNumberFormat="1" applyFont="1" applyFill="1" applyBorder="1" applyAlignment="1" applyProtection="1">
      <alignment horizontal="left" vertical="center" indent="1"/>
      <protection locked="0"/>
    </xf>
    <xf numFmtId="0" fontId="138" fillId="0" borderId="0" xfId="0" applyFont="1">
      <alignment vertical="center"/>
    </xf>
    <xf numFmtId="0" fontId="138" fillId="0" borderId="0" xfId="0" applyFont="1" applyProtection="1">
      <alignment vertical="center"/>
      <protection locked="0"/>
    </xf>
    <xf numFmtId="0" fontId="138" fillId="0" borderId="69" xfId="0" applyFont="1" applyBorder="1" applyProtection="1">
      <alignment vertical="center"/>
      <protection locked="0"/>
    </xf>
    <xf numFmtId="49" fontId="139" fillId="61" borderId="21" xfId="0" applyNumberFormat="1" applyFont="1" applyFill="1" applyBorder="1" applyAlignment="1" applyProtection="1">
      <alignment horizontal="left" vertical="center" indent="3"/>
      <protection locked="0"/>
    </xf>
    <xf numFmtId="49" fontId="139" fillId="61" borderId="21" xfId="0" applyNumberFormat="1" applyFont="1" applyFill="1" applyBorder="1" applyAlignment="1" applyProtection="1">
      <alignment horizontal="left" vertical="center" indent="1"/>
      <protection locked="0"/>
    </xf>
    <xf numFmtId="49" fontId="139" fillId="61" borderId="21" xfId="0" applyNumberFormat="1" applyFont="1" applyFill="1" applyBorder="1" applyAlignment="1" applyProtection="1">
      <alignment horizontal="left" vertical="center"/>
      <protection locked="0"/>
    </xf>
    <xf numFmtId="49" fontId="139" fillId="61" borderId="21" xfId="0" applyNumberFormat="1" applyFont="1" applyFill="1" applyBorder="1" applyProtection="1">
      <alignment vertical="center"/>
      <protection locked="0"/>
    </xf>
    <xf numFmtId="0" fontId="138" fillId="61" borderId="21" xfId="0" applyFont="1" applyFill="1" applyBorder="1" applyProtection="1">
      <alignment vertical="center"/>
      <protection locked="0"/>
    </xf>
    <xf numFmtId="3" fontId="138" fillId="62" borderId="21" xfId="0" applyNumberFormat="1" applyFont="1" applyFill="1" applyBorder="1" applyProtection="1">
      <alignment vertical="center"/>
      <protection locked="0"/>
    </xf>
    <xf numFmtId="38" fontId="105" fillId="69" borderId="86" xfId="415" applyFont="1" applyFill="1" applyBorder="1" applyAlignment="1"/>
    <xf numFmtId="0" fontId="105" fillId="0" borderId="23" xfId="0" applyFont="1" applyBorder="1">
      <alignment vertical="center"/>
    </xf>
    <xf numFmtId="0" fontId="105" fillId="0" borderId="24" xfId="0" applyFont="1" applyBorder="1">
      <alignment vertical="center"/>
    </xf>
    <xf numFmtId="0" fontId="105" fillId="0" borderId="89" xfId="481" applyFont="1" applyBorder="1" applyAlignment="1">
      <alignment vertical="center"/>
    </xf>
    <xf numFmtId="0" fontId="105" fillId="59" borderId="89" xfId="345" applyFont="1" applyFill="1" applyBorder="1">
      <alignment vertical="center"/>
    </xf>
    <xf numFmtId="0" fontId="105" fillId="59" borderId="0" xfId="345" applyFont="1" applyFill="1">
      <alignment vertical="center"/>
    </xf>
    <xf numFmtId="0" fontId="105" fillId="59" borderId="23" xfId="345" applyFont="1" applyFill="1" applyBorder="1">
      <alignment vertical="center"/>
    </xf>
    <xf numFmtId="38" fontId="105" fillId="64" borderId="85" xfId="311" applyFont="1" applyFill="1" applyBorder="1" applyAlignment="1" applyProtection="1">
      <protection locked="0"/>
    </xf>
    <xf numFmtId="0" fontId="105" fillId="0" borderId="0" xfId="481" applyFont="1" applyAlignment="1">
      <alignment vertical="center"/>
    </xf>
    <xf numFmtId="38" fontId="105" fillId="0" borderId="85" xfId="311" applyFont="1" applyFill="1" applyBorder="1" applyAlignment="1" applyProtection="1">
      <protection locked="0"/>
    </xf>
    <xf numFmtId="38" fontId="105" fillId="0" borderId="87" xfId="311" applyFont="1" applyFill="1" applyBorder="1" applyAlignment="1"/>
    <xf numFmtId="38" fontId="105" fillId="0" borderId="45" xfId="311" applyFont="1" applyFill="1" applyBorder="1" applyAlignment="1">
      <alignment horizontal="left"/>
    </xf>
    <xf numFmtId="38" fontId="105" fillId="0" borderId="87" xfId="311" applyFont="1" applyFill="1" applyBorder="1" applyAlignment="1">
      <alignment horizontal="left"/>
    </xf>
    <xf numFmtId="38" fontId="105" fillId="0" borderId="75" xfId="311" applyFont="1" applyFill="1" applyBorder="1" applyAlignment="1">
      <alignment horizontal="left"/>
    </xf>
    <xf numFmtId="38" fontId="105" fillId="0" borderId="74" xfId="311" applyFont="1" applyFill="1" applyBorder="1" applyAlignment="1">
      <alignment horizontal="left"/>
    </xf>
    <xf numFmtId="38" fontId="105" fillId="0" borderId="51" xfId="311" applyFont="1" applyFill="1" applyBorder="1" applyAlignment="1">
      <alignment horizontal="left"/>
    </xf>
    <xf numFmtId="0" fontId="28" fillId="0" borderId="0" xfId="421" applyFont="1"/>
    <xf numFmtId="38" fontId="105" fillId="70" borderId="89" xfId="311" applyFont="1" applyFill="1" applyBorder="1" applyAlignment="1"/>
    <xf numFmtId="38" fontId="105" fillId="70" borderId="89" xfId="311" applyFont="1" applyFill="1" applyBorder="1" applyAlignment="1" applyProtection="1">
      <protection locked="0"/>
    </xf>
    <xf numFmtId="38" fontId="105" fillId="70" borderId="11" xfId="311" applyFont="1" applyFill="1" applyBorder="1" applyAlignment="1">
      <alignment horizontal="right"/>
    </xf>
    <xf numFmtId="38" fontId="106" fillId="70" borderId="11" xfId="311" applyFont="1" applyFill="1" applyBorder="1" applyAlignment="1">
      <alignment horizontal="left" vertical="center"/>
    </xf>
    <xf numFmtId="38" fontId="105" fillId="70" borderId="11" xfId="311" applyFont="1" applyFill="1" applyBorder="1" applyAlignment="1">
      <alignment horizontal="left" vertical="center"/>
    </xf>
    <xf numFmtId="38" fontId="105" fillId="80" borderId="11" xfId="311" applyFont="1" applyFill="1" applyBorder="1" applyAlignment="1">
      <alignment horizontal="right"/>
    </xf>
    <xf numFmtId="38" fontId="106" fillId="80" borderId="11" xfId="311" applyFont="1" applyFill="1" applyBorder="1" applyAlignment="1">
      <alignment horizontal="left" vertical="center"/>
    </xf>
    <xf numFmtId="38" fontId="105" fillId="80" borderId="11" xfId="311" applyFont="1" applyFill="1" applyBorder="1" applyAlignment="1">
      <alignment horizontal="left" vertical="center"/>
    </xf>
    <xf numFmtId="38" fontId="105" fillId="80" borderId="24" xfId="311" applyFont="1" applyFill="1" applyBorder="1" applyAlignment="1">
      <alignment horizontal="left" vertical="center"/>
    </xf>
    <xf numFmtId="38" fontId="105" fillId="80" borderId="89" xfId="311" applyFont="1" applyFill="1" applyBorder="1" applyAlignment="1"/>
    <xf numFmtId="38" fontId="105" fillId="80" borderId="89" xfId="311" applyFont="1" applyFill="1" applyBorder="1" applyAlignment="1" applyProtection="1">
      <protection locked="0"/>
    </xf>
    <xf numFmtId="38" fontId="105" fillId="70" borderId="24" xfId="311" applyFont="1" applyFill="1" applyBorder="1" applyAlignment="1">
      <alignment horizontal="right"/>
    </xf>
    <xf numFmtId="38" fontId="106" fillId="80" borderId="89" xfId="311" applyFont="1" applyFill="1" applyBorder="1" applyAlignment="1">
      <alignment horizontal="left" vertical="center"/>
    </xf>
    <xf numFmtId="38" fontId="106" fillId="80" borderId="11" xfId="311" applyFont="1" applyFill="1" applyBorder="1" applyAlignment="1">
      <alignment horizontal="right"/>
    </xf>
    <xf numFmtId="38" fontId="106" fillId="64" borderId="77" xfId="311" applyFont="1" applyFill="1" applyBorder="1" applyAlignment="1" applyProtection="1">
      <protection locked="0"/>
    </xf>
    <xf numFmtId="38" fontId="106" fillId="0" borderId="77" xfId="311" applyFont="1" applyFill="1" applyBorder="1" applyAlignment="1"/>
    <xf numFmtId="38" fontId="143" fillId="64" borderId="77" xfId="311" applyFont="1" applyFill="1" applyBorder="1" applyAlignment="1">
      <alignment horizontal="left" vertical="center"/>
    </xf>
    <xf numFmtId="38" fontId="140" fillId="68" borderId="77" xfId="311" applyFont="1" applyFill="1" applyBorder="1" applyAlignment="1"/>
    <xf numFmtId="38" fontId="105" fillId="68" borderId="67" xfId="311" applyFont="1" applyFill="1" applyBorder="1" applyAlignment="1">
      <alignment horizontal="left" indent="1"/>
    </xf>
    <xf numFmtId="38" fontId="105" fillId="68" borderId="52" xfId="311" applyFont="1" applyFill="1" applyBorder="1" applyAlignment="1">
      <alignment horizontal="left" indent="1"/>
    </xf>
    <xf numFmtId="38" fontId="105" fillId="68" borderId="24" xfId="311" applyFont="1" applyFill="1" applyBorder="1" applyAlignment="1">
      <alignment horizontal="left" indent="1"/>
    </xf>
    <xf numFmtId="38" fontId="105" fillId="68" borderId="79" xfId="311" applyFont="1" applyFill="1" applyBorder="1" applyAlignment="1"/>
    <xf numFmtId="38" fontId="105" fillId="68" borderId="23" xfId="311" applyFont="1" applyFill="1" applyBorder="1" applyAlignment="1"/>
    <xf numFmtId="38" fontId="105" fillId="68" borderId="76" xfId="311" applyFont="1" applyFill="1" applyBorder="1" applyAlignment="1">
      <alignment vertical="center"/>
    </xf>
    <xf numFmtId="38" fontId="106" fillId="68" borderId="76" xfId="311" applyFont="1" applyFill="1" applyBorder="1" applyAlignment="1" applyProtection="1">
      <protection locked="0"/>
    </xf>
    <xf numFmtId="38" fontId="105" fillId="68" borderId="76" xfId="311" applyFont="1" applyFill="1" applyBorder="1" applyAlignment="1"/>
    <xf numFmtId="38" fontId="105" fillId="68" borderId="23" xfId="311" applyFont="1" applyFill="1" applyBorder="1" applyAlignment="1">
      <alignment horizontal="left"/>
    </xf>
    <xf numFmtId="38" fontId="105" fillId="68" borderId="23" xfId="311" applyFont="1" applyFill="1" applyBorder="1" applyAlignment="1">
      <alignment horizontal="right"/>
    </xf>
    <xf numFmtId="38" fontId="105" fillId="68" borderId="79" xfId="311" applyFont="1" applyFill="1" applyBorder="1" applyAlignment="1" applyProtection="1">
      <protection locked="0"/>
    </xf>
    <xf numFmtId="0" fontId="105" fillId="0" borderId="48" xfId="481" applyFont="1" applyBorder="1" applyAlignment="1">
      <alignment vertical="center"/>
    </xf>
    <xf numFmtId="0" fontId="105" fillId="0" borderId="37" xfId="481" applyFont="1" applyBorder="1" applyAlignment="1">
      <alignment vertical="center"/>
    </xf>
    <xf numFmtId="0" fontId="105" fillId="0" borderId="92" xfId="481" applyFont="1" applyBorder="1" applyAlignment="1">
      <alignment vertical="center"/>
    </xf>
    <xf numFmtId="0" fontId="105" fillId="0" borderId="87" xfId="481" applyFont="1" applyBorder="1" applyAlignment="1">
      <alignment vertical="center"/>
    </xf>
    <xf numFmtId="0" fontId="105" fillId="0" borderId="74" xfId="481" applyFont="1" applyBorder="1" applyAlignment="1">
      <alignment vertical="center"/>
    </xf>
    <xf numFmtId="0" fontId="105" fillId="0" borderId="75" xfId="481" applyFont="1" applyBorder="1" applyAlignment="1">
      <alignment vertical="center"/>
    </xf>
    <xf numFmtId="0" fontId="105" fillId="0" borderId="95" xfId="481" applyFont="1" applyBorder="1" applyAlignment="1">
      <alignment vertical="center"/>
    </xf>
    <xf numFmtId="0" fontId="105" fillId="0" borderId="51" xfId="481" applyFont="1" applyBorder="1" applyAlignment="1">
      <alignment vertical="center"/>
    </xf>
    <xf numFmtId="198" fontId="105" fillId="59" borderId="89" xfId="345" applyNumberFormat="1" applyFont="1" applyFill="1" applyBorder="1">
      <alignment vertical="center"/>
    </xf>
    <xf numFmtId="0" fontId="111" fillId="64" borderId="0" xfId="0" applyFont="1" applyFill="1">
      <alignment vertical="center"/>
    </xf>
    <xf numFmtId="0" fontId="111" fillId="0" borderId="0" xfId="0" applyFont="1" applyAlignment="1">
      <alignment vertical="center" wrapText="1"/>
    </xf>
    <xf numFmtId="0" fontId="144" fillId="64" borderId="0" xfId="0" applyFont="1" applyFill="1">
      <alignment vertical="center"/>
    </xf>
    <xf numFmtId="0" fontId="145" fillId="0" borderId="0" xfId="0" applyFont="1">
      <alignment vertical="center"/>
    </xf>
    <xf numFmtId="0" fontId="145" fillId="64" borderId="0" xfId="0" applyFont="1" applyFill="1">
      <alignment vertical="center"/>
    </xf>
    <xf numFmtId="0" fontId="105" fillId="0" borderId="29" xfId="349" applyFont="1" applyBorder="1" applyAlignment="1">
      <alignment vertical="center"/>
    </xf>
    <xf numFmtId="0" fontId="105" fillId="0" borderId="32" xfId="349" applyFont="1" applyBorder="1" applyAlignment="1">
      <alignment vertical="center"/>
    </xf>
    <xf numFmtId="0" fontId="105" fillId="0" borderId="36" xfId="349" applyFont="1" applyBorder="1" applyAlignment="1">
      <alignment vertical="center"/>
    </xf>
    <xf numFmtId="0" fontId="106" fillId="0" borderId="0" xfId="349" applyFont="1" applyAlignment="1">
      <alignment vertical="center"/>
    </xf>
    <xf numFmtId="0" fontId="105" fillId="0" borderId="30" xfId="349" applyFont="1" applyBorder="1" applyAlignment="1">
      <alignment vertical="center"/>
    </xf>
    <xf numFmtId="0" fontId="106" fillId="0" borderId="30" xfId="349" applyFont="1" applyBorder="1" applyAlignment="1">
      <alignment vertical="center"/>
    </xf>
    <xf numFmtId="0" fontId="105" fillId="0" borderId="0" xfId="349" applyFont="1" applyAlignment="1">
      <alignment vertical="center"/>
    </xf>
    <xf numFmtId="0" fontId="105" fillId="0" borderId="37" xfId="349" applyFont="1" applyBorder="1" applyAlignment="1">
      <alignment vertical="center"/>
    </xf>
    <xf numFmtId="0" fontId="106" fillId="0" borderId="37" xfId="349" applyFont="1" applyBorder="1" applyAlignment="1">
      <alignment vertical="center"/>
    </xf>
    <xf numFmtId="0" fontId="111" fillId="0" borderId="26" xfId="0" applyFont="1" applyBorder="1">
      <alignment vertical="center"/>
    </xf>
    <xf numFmtId="0" fontId="111" fillId="0" borderId="89" xfId="0" applyFont="1" applyBorder="1">
      <alignment vertical="center"/>
    </xf>
    <xf numFmtId="198" fontId="105" fillId="64" borderId="89" xfId="349" applyNumberFormat="1" applyFont="1" applyFill="1" applyBorder="1" applyAlignment="1">
      <alignment vertical="center"/>
    </xf>
    <xf numFmtId="198" fontId="105" fillId="0" borderId="26" xfId="349" applyNumberFormat="1" applyFont="1" applyBorder="1" applyAlignment="1">
      <alignment vertical="center"/>
    </xf>
    <xf numFmtId="0" fontId="105" fillId="0" borderId="89" xfId="0" applyFont="1" applyBorder="1">
      <alignment vertical="center"/>
    </xf>
    <xf numFmtId="0" fontId="105" fillId="0" borderId="22" xfId="0" applyFont="1" applyBorder="1" applyAlignment="1">
      <alignment vertical="center" wrapText="1"/>
    </xf>
    <xf numFmtId="38" fontId="121" fillId="0" borderId="0" xfId="311" applyFont="1" applyFill="1" applyAlignment="1">
      <alignment vertical="center"/>
    </xf>
    <xf numFmtId="49" fontId="106" fillId="0" borderId="0" xfId="345" applyNumberFormat="1" applyFont="1">
      <alignment vertical="center"/>
    </xf>
    <xf numFmtId="198" fontId="112" fillId="0" borderId="0" xfId="349" applyNumberFormat="1" applyFont="1" applyAlignment="1">
      <alignment vertical="center"/>
    </xf>
    <xf numFmtId="0" fontId="7" fillId="0" borderId="0" xfId="349"/>
    <xf numFmtId="0" fontId="123" fillId="0" borderId="0" xfId="345" applyFont="1" applyAlignment="1">
      <alignment vertical="center" shrinkToFit="1"/>
    </xf>
    <xf numFmtId="0" fontId="105" fillId="73" borderId="89" xfId="345" applyFont="1" applyFill="1" applyBorder="1">
      <alignment vertical="center"/>
    </xf>
    <xf numFmtId="0" fontId="105" fillId="73" borderId="23" xfId="345" applyFont="1" applyFill="1" applyBorder="1">
      <alignment vertical="center"/>
    </xf>
    <xf numFmtId="0" fontId="106" fillId="80" borderId="72" xfId="345" applyFont="1" applyFill="1" applyBorder="1">
      <alignment vertical="center"/>
    </xf>
    <xf numFmtId="0" fontId="105" fillId="33" borderId="0" xfId="345" applyFont="1" applyFill="1">
      <alignment vertical="center"/>
    </xf>
    <xf numFmtId="198" fontId="105" fillId="33" borderId="0" xfId="311" applyNumberFormat="1" applyFont="1" applyFill="1" applyBorder="1" applyAlignment="1"/>
    <xf numFmtId="198" fontId="105" fillId="73" borderId="89" xfId="311" applyNumberFormat="1" applyFont="1" applyFill="1" applyBorder="1" applyAlignment="1"/>
    <xf numFmtId="198" fontId="105" fillId="0" borderId="0" xfId="311" applyNumberFormat="1" applyFont="1" applyFill="1" applyBorder="1" applyAlignment="1"/>
    <xf numFmtId="0" fontId="105" fillId="80" borderId="89" xfId="345" applyFont="1" applyFill="1" applyBorder="1">
      <alignment vertical="center"/>
    </xf>
    <xf numFmtId="198" fontId="105" fillId="80" borderId="89" xfId="345" applyNumberFormat="1" applyFont="1" applyFill="1" applyBorder="1">
      <alignment vertical="center"/>
    </xf>
    <xf numFmtId="198" fontId="105" fillId="59" borderId="0" xfId="311" applyNumberFormat="1" applyFont="1" applyFill="1" applyBorder="1" applyAlignment="1"/>
    <xf numFmtId="0" fontId="105" fillId="80" borderId="11" xfId="345" applyFont="1" applyFill="1" applyBorder="1">
      <alignment vertical="center"/>
    </xf>
    <xf numFmtId="0" fontId="105" fillId="80" borderId="24" xfId="345" applyFont="1" applyFill="1" applyBorder="1">
      <alignment vertical="center"/>
    </xf>
    <xf numFmtId="198" fontId="105" fillId="73" borderId="0" xfId="311" applyNumberFormat="1" applyFont="1" applyFill="1" applyBorder="1" applyAlignment="1"/>
    <xf numFmtId="0" fontId="105" fillId="0" borderId="0" xfId="0" applyFont="1">
      <alignment vertical="center"/>
    </xf>
    <xf numFmtId="0" fontId="114" fillId="64" borderId="0" xfId="0" applyFont="1" applyFill="1">
      <alignment vertical="center"/>
    </xf>
    <xf numFmtId="170" fontId="105" fillId="65" borderId="78" xfId="420" applyFont="1" applyFill="1" applyBorder="1" applyAlignment="1">
      <alignment horizontal="centerContinuous" vertical="center"/>
    </xf>
    <xf numFmtId="0" fontId="106" fillId="69" borderId="89" xfId="349" applyFont="1" applyFill="1" applyBorder="1"/>
    <xf numFmtId="38" fontId="105" fillId="0" borderId="44" xfId="415" applyFont="1" applyBorder="1" applyAlignment="1" applyProtection="1">
      <alignment vertical="center"/>
    </xf>
    <xf numFmtId="0" fontId="114" fillId="64" borderId="85" xfId="345" applyFont="1" applyFill="1" applyBorder="1">
      <alignment vertical="center"/>
    </xf>
    <xf numFmtId="0" fontId="114" fillId="64" borderId="79" xfId="345" applyFont="1" applyFill="1" applyBorder="1">
      <alignment vertical="center"/>
    </xf>
    <xf numFmtId="38" fontId="105" fillId="0" borderId="78" xfId="415" applyFont="1" applyFill="1" applyBorder="1">
      <alignment vertical="center"/>
    </xf>
    <xf numFmtId="0" fontId="149" fillId="64" borderId="0" xfId="421" applyFont="1" applyFill="1"/>
    <xf numFmtId="0" fontId="123" fillId="0" borderId="0" xfId="345" applyFont="1">
      <alignment vertical="center"/>
    </xf>
    <xf numFmtId="198" fontId="151" fillId="0" borderId="0" xfId="349" applyNumberFormat="1" applyFont="1" applyAlignment="1">
      <alignment vertical="center"/>
    </xf>
    <xf numFmtId="0" fontId="105" fillId="33" borderId="48" xfId="345" applyFont="1" applyFill="1" applyBorder="1">
      <alignment vertical="center"/>
    </xf>
    <xf numFmtId="198" fontId="105" fillId="0" borderId="48" xfId="311" applyNumberFormat="1" applyFont="1" applyFill="1" applyBorder="1" applyAlignment="1"/>
    <xf numFmtId="0" fontId="105" fillId="33" borderId="37" xfId="345" applyFont="1" applyFill="1" applyBorder="1">
      <alignment vertical="center"/>
    </xf>
    <xf numFmtId="198" fontId="105" fillId="0" borderId="37" xfId="311" applyNumberFormat="1" applyFont="1" applyFill="1" applyBorder="1" applyAlignment="1"/>
    <xf numFmtId="198" fontId="105" fillId="0" borderId="23" xfId="345" applyNumberFormat="1" applyFont="1" applyBorder="1">
      <alignment vertical="center"/>
    </xf>
    <xf numFmtId="0" fontId="105" fillId="0" borderId="0" xfId="0" applyFont="1" applyAlignment="1">
      <alignment vertical="center" wrapText="1"/>
    </xf>
    <xf numFmtId="0" fontId="105" fillId="0" borderId="25" xfId="0" applyFont="1" applyBorder="1" applyAlignment="1">
      <alignment vertical="center" wrapText="1"/>
    </xf>
    <xf numFmtId="0" fontId="105" fillId="64" borderId="26" xfId="345" applyFont="1" applyFill="1" applyBorder="1">
      <alignment vertical="center"/>
    </xf>
    <xf numFmtId="0" fontId="105" fillId="64" borderId="89" xfId="345" applyFont="1" applyFill="1" applyBorder="1">
      <alignment vertical="center"/>
    </xf>
    <xf numFmtId="0" fontId="114" fillId="0" borderId="0" xfId="0" applyFont="1">
      <alignment vertical="center"/>
    </xf>
    <xf numFmtId="0" fontId="127" fillId="78" borderId="0" xfId="0" applyFont="1" applyFill="1">
      <alignment vertical="center"/>
    </xf>
    <xf numFmtId="0" fontId="130" fillId="0" borderId="0" xfId="413" applyFont="1" applyProtection="1">
      <alignment vertical="center"/>
      <protection locked="0"/>
    </xf>
    <xf numFmtId="0" fontId="130" fillId="0" borderId="69" xfId="0" applyFont="1" applyBorder="1" applyProtection="1">
      <alignment vertical="center"/>
      <protection locked="0"/>
    </xf>
    <xf numFmtId="0" fontId="126" fillId="78" borderId="0" xfId="0" applyFont="1" applyFill="1" applyProtection="1">
      <alignment vertical="center"/>
      <protection locked="0"/>
    </xf>
    <xf numFmtId="0" fontId="87" fillId="78" borderId="0" xfId="0" applyFont="1" applyFill="1">
      <alignment vertical="center"/>
    </xf>
    <xf numFmtId="0" fontId="153" fillId="0" borderId="0" xfId="0" applyFont="1">
      <alignment vertical="center"/>
    </xf>
    <xf numFmtId="198" fontId="105" fillId="81" borderId="89" xfId="349" applyNumberFormat="1" applyFont="1" applyFill="1" applyBorder="1" applyAlignment="1">
      <alignment vertical="center"/>
    </xf>
    <xf numFmtId="198" fontId="152" fillId="59" borderId="30" xfId="349" applyNumberFormat="1" applyFont="1" applyFill="1" applyBorder="1" applyAlignment="1">
      <alignment vertical="center"/>
    </xf>
    <xf numFmtId="198" fontId="152" fillId="49" borderId="30" xfId="349" applyNumberFormat="1" applyFont="1" applyFill="1" applyBorder="1" applyAlignment="1">
      <alignment vertical="center"/>
    </xf>
    <xf numFmtId="198" fontId="152" fillId="81" borderId="73" xfId="349" applyNumberFormat="1" applyFont="1" applyFill="1" applyBorder="1" applyAlignment="1">
      <alignment vertical="center"/>
    </xf>
    <xf numFmtId="198" fontId="152" fillId="66" borderId="73" xfId="349" applyNumberFormat="1" applyFont="1" applyFill="1" applyBorder="1" applyAlignment="1">
      <alignment vertical="center"/>
    </xf>
    <xf numFmtId="170" fontId="105" fillId="71" borderId="1" xfId="420" applyFont="1" applyFill="1" applyBorder="1" applyAlignment="1">
      <alignment horizontal="center" vertical="center"/>
    </xf>
    <xf numFmtId="0" fontId="105" fillId="72" borderId="89" xfId="345" applyFont="1" applyFill="1" applyBorder="1">
      <alignment vertical="center"/>
    </xf>
    <xf numFmtId="38" fontId="105" fillId="72" borderId="5" xfId="415" applyFont="1" applyFill="1" applyBorder="1">
      <alignment vertical="center"/>
    </xf>
    <xf numFmtId="0" fontId="105" fillId="67" borderId="89" xfId="345" applyFont="1" applyFill="1" applyBorder="1">
      <alignment vertical="center"/>
    </xf>
    <xf numFmtId="198" fontId="105" fillId="0" borderId="11" xfId="349" applyNumberFormat="1" applyFont="1" applyBorder="1" applyAlignment="1">
      <alignment vertical="center"/>
    </xf>
    <xf numFmtId="0" fontId="113" fillId="64" borderId="23" xfId="345" applyFont="1" applyFill="1" applyBorder="1">
      <alignment vertical="center"/>
    </xf>
    <xf numFmtId="0" fontId="156" fillId="0" borderId="0" xfId="0" applyFont="1">
      <alignment vertical="center"/>
    </xf>
    <xf numFmtId="198" fontId="147" fillId="0" borderId="0" xfId="349" applyNumberFormat="1" applyFont="1" applyAlignment="1">
      <alignment vertical="center"/>
    </xf>
    <xf numFmtId="198" fontId="147" fillId="0" borderId="11" xfId="349" applyNumberFormat="1" applyFont="1" applyBorder="1" applyAlignment="1">
      <alignment vertical="center"/>
    </xf>
    <xf numFmtId="198" fontId="158" fillId="0" borderId="0" xfId="349" applyNumberFormat="1" applyFont="1" applyAlignment="1">
      <alignment vertical="center"/>
    </xf>
    <xf numFmtId="0" fontId="157" fillId="64" borderId="0" xfId="345" applyFont="1" applyFill="1">
      <alignment vertical="center"/>
    </xf>
    <xf numFmtId="198" fontId="157" fillId="0" borderId="0" xfId="349" applyNumberFormat="1" applyFont="1" applyAlignment="1">
      <alignment vertical="center"/>
    </xf>
    <xf numFmtId="9" fontId="158" fillId="0" borderId="32" xfId="416" applyFont="1" applyBorder="1" applyAlignment="1" applyProtection="1">
      <alignment vertical="center"/>
    </xf>
    <xf numFmtId="9" fontId="159" fillId="0" borderId="32" xfId="416" applyFont="1" applyFill="1" applyBorder="1" applyAlignment="1" applyProtection="1">
      <alignment vertical="center"/>
    </xf>
    <xf numFmtId="9" fontId="158" fillId="0" borderId="32" xfId="416" applyFont="1" applyFill="1" applyBorder="1" applyAlignment="1" applyProtection="1">
      <alignment vertical="center"/>
    </xf>
    <xf numFmtId="198" fontId="159" fillId="0" borderId="0" xfId="349" applyNumberFormat="1" applyFont="1" applyAlignment="1">
      <alignment vertical="center"/>
    </xf>
    <xf numFmtId="198" fontId="159" fillId="0" borderId="11" xfId="349" applyNumberFormat="1" applyFont="1" applyBorder="1" applyAlignment="1">
      <alignment vertical="center"/>
    </xf>
    <xf numFmtId="198" fontId="158" fillId="72" borderId="48" xfId="349" applyNumberFormat="1" applyFont="1" applyFill="1" applyBorder="1" applyAlignment="1">
      <alignment vertical="center"/>
    </xf>
    <xf numFmtId="0" fontId="158" fillId="0" borderId="0" xfId="345" applyFont="1">
      <alignment vertical="center"/>
    </xf>
    <xf numFmtId="198" fontId="158" fillId="0" borderId="37" xfId="349" applyNumberFormat="1" applyFont="1" applyBorder="1" applyAlignment="1">
      <alignment vertical="center"/>
    </xf>
    <xf numFmtId="198" fontId="158" fillId="0" borderId="23" xfId="349" applyNumberFormat="1" applyFont="1" applyBorder="1" applyAlignment="1">
      <alignment vertical="center"/>
    </xf>
    <xf numFmtId="198" fontId="159" fillId="0" borderId="23" xfId="349" applyNumberFormat="1" applyFont="1" applyBorder="1" applyAlignment="1">
      <alignment vertical="center"/>
    </xf>
    <xf numFmtId="9" fontId="159" fillId="64" borderId="25" xfId="416" applyFont="1" applyFill="1" applyBorder="1" applyAlignment="1" applyProtection="1">
      <alignment vertical="center"/>
    </xf>
    <xf numFmtId="9" fontId="158" fillId="72" borderId="47" xfId="416" applyFont="1" applyFill="1" applyBorder="1" applyAlignment="1" applyProtection="1">
      <alignment vertical="center"/>
    </xf>
    <xf numFmtId="9" fontId="158" fillId="0" borderId="36" xfId="416" applyFont="1" applyFill="1" applyBorder="1" applyAlignment="1" applyProtection="1">
      <alignment vertical="center"/>
    </xf>
    <xf numFmtId="9" fontId="158" fillId="0" borderId="31" xfId="416" applyFont="1" applyFill="1" applyBorder="1" applyAlignment="1" applyProtection="1">
      <alignment vertical="center"/>
    </xf>
    <xf numFmtId="0" fontId="161" fillId="69" borderId="73" xfId="349" applyFont="1" applyFill="1" applyBorder="1"/>
    <xf numFmtId="198" fontId="106" fillId="64" borderId="89" xfId="349" applyNumberFormat="1" applyFont="1" applyFill="1" applyBorder="1" applyAlignment="1">
      <alignment vertical="center"/>
    </xf>
    <xf numFmtId="198" fontId="105" fillId="64" borderId="5" xfId="349" applyNumberFormat="1" applyFont="1" applyFill="1" applyBorder="1" applyAlignment="1">
      <alignment vertical="center"/>
    </xf>
    <xf numFmtId="0" fontId="105" fillId="64" borderId="0" xfId="421" applyFont="1" applyFill="1"/>
    <xf numFmtId="0" fontId="105" fillId="0" borderId="0" xfId="421" applyFont="1"/>
    <xf numFmtId="0" fontId="163" fillId="64" borderId="0" xfId="421" applyFont="1" applyFill="1"/>
    <xf numFmtId="0" fontId="163" fillId="0" borderId="0" xfId="421" applyFont="1"/>
    <xf numFmtId="0" fontId="164" fillId="64" borderId="0" xfId="421" applyFont="1" applyFill="1"/>
    <xf numFmtId="0" fontId="165" fillId="64" borderId="0" xfId="421" applyFont="1" applyFill="1"/>
    <xf numFmtId="0" fontId="164" fillId="0" borderId="0" xfId="421" applyFont="1"/>
    <xf numFmtId="0" fontId="162" fillId="64" borderId="89" xfId="421" applyFont="1" applyFill="1" applyBorder="1"/>
    <xf numFmtId="0" fontId="162" fillId="0" borderId="0" xfId="421" applyFont="1"/>
    <xf numFmtId="0" fontId="162" fillId="64" borderId="11" xfId="421" applyFont="1" applyFill="1" applyBorder="1"/>
    <xf numFmtId="0" fontId="162" fillId="64" borderId="0" xfId="421" applyFont="1" applyFill="1"/>
    <xf numFmtId="0" fontId="162" fillId="0" borderId="11" xfId="421" applyFont="1" applyBorder="1"/>
    <xf numFmtId="0" fontId="162" fillId="0" borderId="23" xfId="421" applyFont="1" applyBorder="1"/>
    <xf numFmtId="0" fontId="162" fillId="0" borderId="23" xfId="345" applyFont="1" applyBorder="1">
      <alignment vertical="center"/>
    </xf>
    <xf numFmtId="0" fontId="162" fillId="64" borderId="23" xfId="421" applyFont="1" applyFill="1" applyBorder="1"/>
    <xf numFmtId="0" fontId="166" fillId="0" borderId="77" xfId="345" applyFont="1" applyBorder="1">
      <alignment vertical="center"/>
    </xf>
    <xf numFmtId="0" fontId="162" fillId="64" borderId="79" xfId="421" applyFont="1" applyFill="1" applyBorder="1"/>
    <xf numFmtId="0" fontId="167" fillId="64" borderId="0" xfId="0" applyFont="1" applyFill="1">
      <alignment vertical="center"/>
    </xf>
    <xf numFmtId="0" fontId="156" fillId="64" borderId="0" xfId="0" applyFont="1" applyFill="1">
      <alignment vertical="center"/>
    </xf>
    <xf numFmtId="38" fontId="106" fillId="55" borderId="89" xfId="415" applyFont="1" applyFill="1" applyBorder="1" applyAlignment="1" applyProtection="1">
      <alignment vertical="center"/>
    </xf>
    <xf numFmtId="38" fontId="106" fillId="55" borderId="5" xfId="415" applyFont="1" applyFill="1" applyBorder="1" applyAlignment="1" applyProtection="1">
      <alignment vertical="center"/>
    </xf>
    <xf numFmtId="0" fontId="111" fillId="0" borderId="0" xfId="0" applyFont="1" applyAlignment="1">
      <alignment vertical="top"/>
    </xf>
    <xf numFmtId="38" fontId="106" fillId="80" borderId="72" xfId="311" applyFont="1" applyFill="1" applyBorder="1" applyAlignment="1">
      <alignment horizontal="left" vertical="center"/>
    </xf>
    <xf numFmtId="38" fontId="106" fillId="70" borderId="72" xfId="311" applyFont="1" applyFill="1" applyBorder="1" applyAlignment="1"/>
    <xf numFmtId="38" fontId="105" fillId="70" borderId="5" xfId="311" applyFont="1" applyFill="1" applyBorder="1" applyAlignment="1" applyProtection="1">
      <protection locked="0"/>
    </xf>
    <xf numFmtId="38" fontId="105" fillId="68" borderId="72" xfId="311" applyFont="1" applyFill="1" applyBorder="1" applyAlignment="1">
      <alignment horizontal="left" vertical="center" indent="1"/>
    </xf>
    <xf numFmtId="38" fontId="105" fillId="0" borderId="51" xfId="311" applyFont="1" applyFill="1" applyBorder="1" applyAlignment="1"/>
    <xf numFmtId="38" fontId="7" fillId="0" borderId="51" xfId="311" applyFont="1" applyFill="1" applyBorder="1" applyAlignment="1"/>
    <xf numFmtId="0" fontId="105" fillId="0" borderId="72" xfId="481" applyFont="1" applyBorder="1" applyAlignment="1">
      <alignment vertical="center"/>
    </xf>
    <xf numFmtId="0" fontId="162" fillId="64" borderId="72" xfId="421" applyFont="1" applyFill="1" applyBorder="1"/>
    <xf numFmtId="38" fontId="106" fillId="74" borderId="77" xfId="415" applyFont="1" applyFill="1" applyBorder="1" applyAlignment="1" applyProtection="1">
      <alignment vertical="center"/>
    </xf>
    <xf numFmtId="38" fontId="106" fillId="74" borderId="79" xfId="415" applyFont="1" applyFill="1" applyBorder="1" applyAlignment="1" applyProtection="1">
      <alignment vertical="center"/>
    </xf>
    <xf numFmtId="38" fontId="152" fillId="74" borderId="79" xfId="415" applyFont="1" applyFill="1" applyBorder="1" applyAlignment="1" applyProtection="1">
      <alignment vertical="center"/>
    </xf>
    <xf numFmtId="38" fontId="106" fillId="74" borderId="85" xfId="415" applyFont="1" applyFill="1" applyBorder="1" applyAlignment="1" applyProtection="1">
      <alignment vertical="center"/>
    </xf>
    <xf numFmtId="38" fontId="106" fillId="74" borderId="78" xfId="415" applyFont="1" applyFill="1" applyBorder="1" applyAlignment="1" applyProtection="1">
      <alignment vertical="center"/>
    </xf>
    <xf numFmtId="38" fontId="106" fillId="66" borderId="5" xfId="415" applyFont="1" applyFill="1" applyBorder="1" applyAlignment="1" applyProtection="1">
      <alignment vertical="center"/>
    </xf>
    <xf numFmtId="198" fontId="151" fillId="0" borderId="37" xfId="349" applyNumberFormat="1" applyFont="1" applyBorder="1" applyAlignment="1">
      <alignment vertical="center"/>
    </xf>
    <xf numFmtId="198" fontId="147" fillId="0" borderId="37" xfId="349" applyNumberFormat="1" applyFont="1" applyBorder="1" applyAlignment="1">
      <alignment vertical="center"/>
    </xf>
    <xf numFmtId="198" fontId="157" fillId="0" borderId="37" xfId="349" applyNumberFormat="1" applyFont="1" applyBorder="1" applyAlignment="1">
      <alignment vertical="center"/>
    </xf>
    <xf numFmtId="9" fontId="158" fillId="0" borderId="36" xfId="416" applyFont="1" applyBorder="1" applyAlignment="1" applyProtection="1">
      <alignment vertical="center"/>
    </xf>
    <xf numFmtId="38" fontId="106" fillId="69" borderId="5" xfId="415" applyFont="1" applyFill="1" applyBorder="1" applyAlignment="1"/>
    <xf numFmtId="0" fontId="106" fillId="69" borderId="22" xfId="349" applyFont="1" applyFill="1" applyBorder="1"/>
    <xf numFmtId="49" fontId="130" fillId="84" borderId="21" xfId="0" applyNumberFormat="1" applyFont="1" applyFill="1" applyBorder="1" applyAlignment="1" applyProtection="1">
      <alignment horizontal="left" vertical="center" indent="1"/>
      <protection locked="0"/>
    </xf>
    <xf numFmtId="49" fontId="126" fillId="84" borderId="21" xfId="0" applyNumberFormat="1" applyFont="1" applyFill="1" applyBorder="1" applyAlignment="1" applyProtection="1">
      <alignment horizontal="left" vertical="center" indent="2"/>
      <protection locked="0"/>
    </xf>
    <xf numFmtId="0" fontId="127" fillId="85" borderId="0" xfId="0" applyFont="1" applyFill="1">
      <alignment vertical="center"/>
    </xf>
    <xf numFmtId="0" fontId="87" fillId="85" borderId="0" xfId="0" applyFont="1" applyFill="1">
      <alignment vertical="center"/>
    </xf>
    <xf numFmtId="0" fontId="137" fillId="85" borderId="0" xfId="0" applyFont="1" applyFill="1">
      <alignment vertical="center"/>
    </xf>
    <xf numFmtId="0" fontId="126" fillId="85" borderId="0" xfId="413" applyFont="1" applyFill="1" applyProtection="1">
      <alignment vertical="center"/>
      <protection locked="0"/>
    </xf>
    <xf numFmtId="0" fontId="126" fillId="85" borderId="69" xfId="413" applyFont="1" applyFill="1" applyBorder="1" applyProtection="1">
      <alignment vertical="center"/>
      <protection locked="0"/>
    </xf>
    <xf numFmtId="49" fontId="169" fillId="85" borderId="21" xfId="0" applyNumberFormat="1" applyFont="1" applyFill="1" applyBorder="1" applyProtection="1">
      <alignment vertical="center"/>
      <protection locked="0"/>
    </xf>
    <xf numFmtId="49" fontId="130" fillId="85" borderId="21" xfId="0" applyNumberFormat="1" applyFont="1" applyFill="1" applyBorder="1" applyAlignment="1" applyProtection="1">
      <alignment horizontal="left" vertical="center" indent="3"/>
      <protection locked="0"/>
    </xf>
    <xf numFmtId="49" fontId="170" fillId="85" borderId="21" xfId="0" applyNumberFormat="1" applyFont="1" applyFill="1" applyBorder="1" applyAlignment="1" applyProtection="1">
      <alignment horizontal="left" vertical="center" indent="1"/>
      <protection locked="0"/>
    </xf>
    <xf numFmtId="49" fontId="132" fillId="85" borderId="21" xfId="0" applyNumberFormat="1" applyFont="1" applyFill="1" applyBorder="1" applyAlignment="1" applyProtection="1">
      <alignment horizontal="left" vertical="center"/>
      <protection locked="0"/>
    </xf>
    <xf numFmtId="49" fontId="132" fillId="85" borderId="21" xfId="0" applyNumberFormat="1" applyFont="1" applyFill="1" applyBorder="1" applyProtection="1">
      <alignment vertical="center"/>
      <protection locked="0"/>
    </xf>
    <xf numFmtId="0" fontId="126" fillId="85" borderId="21" xfId="0" applyFont="1" applyFill="1" applyBorder="1" applyProtection="1">
      <alignment vertical="center"/>
      <protection locked="0"/>
    </xf>
    <xf numFmtId="3" fontId="126" fillId="85" borderId="21" xfId="0" applyNumberFormat="1" applyFont="1" applyFill="1" applyBorder="1" applyProtection="1">
      <alignment vertical="center"/>
      <protection locked="0"/>
    </xf>
    <xf numFmtId="49" fontId="132" fillId="85" borderId="21" xfId="0" applyNumberFormat="1" applyFont="1" applyFill="1" applyBorder="1" applyAlignment="1" applyProtection="1">
      <alignment horizontal="left" vertical="center" indent="1"/>
      <protection locked="0"/>
    </xf>
    <xf numFmtId="0" fontId="138" fillId="85" borderId="0" xfId="0" applyFont="1" applyFill="1">
      <alignment vertical="center"/>
    </xf>
    <xf numFmtId="49" fontId="150" fillId="85" borderId="21" xfId="0" applyNumberFormat="1" applyFont="1" applyFill="1" applyBorder="1" applyProtection="1">
      <alignment vertical="center"/>
      <protection locked="0"/>
    </xf>
    <xf numFmtId="0" fontId="126" fillId="85" borderId="0" xfId="0" applyFont="1" applyFill="1" applyProtection="1">
      <alignment vertical="center"/>
      <protection locked="0"/>
    </xf>
    <xf numFmtId="0" fontId="126" fillId="85" borderId="69" xfId="0" applyFont="1" applyFill="1" applyBorder="1" applyProtection="1">
      <alignment vertical="center"/>
      <protection locked="0"/>
    </xf>
    <xf numFmtId="49" fontId="126" fillId="85" borderId="21" xfId="0" applyNumberFormat="1" applyFont="1" applyFill="1" applyBorder="1" applyProtection="1">
      <alignment vertical="center"/>
      <protection locked="0"/>
    </xf>
    <xf numFmtId="49" fontId="130" fillId="85" borderId="21" xfId="0" applyNumberFormat="1" applyFont="1" applyFill="1" applyBorder="1" applyProtection="1">
      <alignment vertical="center"/>
      <protection locked="0"/>
    </xf>
    <xf numFmtId="49" fontId="130" fillId="85" borderId="21" xfId="0" applyNumberFormat="1" applyFont="1" applyFill="1" applyBorder="1" applyAlignment="1" applyProtection="1">
      <alignment horizontal="left" vertical="center"/>
      <protection locked="0"/>
    </xf>
    <xf numFmtId="0" fontId="131" fillId="78" borderId="0" xfId="0" applyFont="1" applyFill="1">
      <alignment vertical="center"/>
    </xf>
    <xf numFmtId="0" fontId="132" fillId="78" borderId="0" xfId="0" applyFont="1" applyFill="1">
      <alignment vertical="center"/>
    </xf>
    <xf numFmtId="0" fontId="131" fillId="0" borderId="0" xfId="413" applyFont="1" applyProtection="1">
      <alignment vertical="center"/>
      <protection locked="0"/>
    </xf>
    <xf numFmtId="49" fontId="132" fillId="61" borderId="21" xfId="0" applyNumberFormat="1" applyFont="1" applyFill="1" applyBorder="1" applyAlignment="1" applyProtection="1">
      <alignment horizontal="left" vertical="center" indent="3"/>
      <protection locked="0"/>
    </xf>
    <xf numFmtId="0" fontId="131" fillId="61" borderId="21" xfId="0" applyFont="1" applyFill="1" applyBorder="1" applyProtection="1">
      <alignment vertical="center"/>
      <protection locked="0"/>
    </xf>
    <xf numFmtId="3" fontId="131" fillId="62" borderId="21" xfId="0" applyNumberFormat="1" applyFont="1" applyFill="1" applyBorder="1" applyProtection="1">
      <alignment vertical="center"/>
      <protection locked="0"/>
    </xf>
    <xf numFmtId="0" fontId="131" fillId="0" borderId="69" xfId="413" applyFont="1" applyBorder="1" applyProtection="1">
      <alignment vertical="center"/>
      <protection locked="0"/>
    </xf>
    <xf numFmtId="49" fontId="130" fillId="84" borderId="21" xfId="0" applyNumberFormat="1" applyFont="1" applyFill="1" applyBorder="1" applyAlignment="1" applyProtection="1">
      <alignment horizontal="left" vertical="center"/>
      <protection locked="0"/>
    </xf>
    <xf numFmtId="49" fontId="130" fillId="84" borderId="21" xfId="0" applyNumberFormat="1" applyFont="1" applyFill="1" applyBorder="1" applyAlignment="1" applyProtection="1">
      <alignment horizontal="left" vertical="center" indent="2"/>
      <protection locked="0"/>
    </xf>
    <xf numFmtId="0" fontId="127" fillId="86" borderId="0" xfId="0" applyFont="1" applyFill="1">
      <alignment vertical="center"/>
    </xf>
    <xf numFmtId="0" fontId="155" fillId="86" borderId="0" xfId="0" applyFont="1" applyFill="1">
      <alignment vertical="center"/>
    </xf>
    <xf numFmtId="0" fontId="137" fillId="86" borderId="0" xfId="0" applyFont="1" applyFill="1">
      <alignment vertical="center"/>
    </xf>
    <xf numFmtId="0" fontId="126" fillId="86" borderId="0" xfId="413" applyFont="1" applyFill="1" applyProtection="1">
      <alignment vertical="center"/>
      <protection locked="0"/>
    </xf>
    <xf numFmtId="49" fontId="169" fillId="86" borderId="21" xfId="0" applyNumberFormat="1" applyFont="1" applyFill="1" applyBorder="1" applyProtection="1">
      <alignment vertical="center"/>
      <protection locked="0"/>
    </xf>
    <xf numFmtId="3" fontId="126" fillId="86" borderId="21" xfId="0" applyNumberFormat="1" applyFont="1" applyFill="1" applyBorder="1" applyProtection="1">
      <alignment vertical="center"/>
      <protection locked="0"/>
    </xf>
    <xf numFmtId="0" fontId="126" fillId="86" borderId="0" xfId="0" applyFont="1" applyFill="1" applyProtection="1">
      <alignment vertical="center"/>
      <protection locked="0"/>
    </xf>
    <xf numFmtId="0" fontId="126" fillId="86" borderId="69" xfId="0" applyFont="1" applyFill="1" applyBorder="1" applyProtection="1">
      <alignment vertical="center"/>
      <protection locked="0"/>
    </xf>
    <xf numFmtId="49" fontId="130" fillId="86" borderId="21" xfId="0" applyNumberFormat="1" applyFont="1" applyFill="1" applyBorder="1" applyAlignment="1" applyProtection="1">
      <alignment horizontal="left" vertical="center" indent="3"/>
      <protection locked="0"/>
    </xf>
    <xf numFmtId="49" fontId="130" fillId="86" borderId="21" xfId="0" applyNumberFormat="1" applyFont="1" applyFill="1" applyBorder="1" applyProtection="1">
      <alignment vertical="center"/>
      <protection locked="0"/>
    </xf>
    <xf numFmtId="49" fontId="130" fillId="86" borderId="21" xfId="0" applyNumberFormat="1" applyFont="1" applyFill="1" applyBorder="1" applyAlignment="1" applyProtection="1">
      <alignment horizontal="left" vertical="center"/>
      <protection locked="0"/>
    </xf>
    <xf numFmtId="49" fontId="126" fillId="86" borderId="21" xfId="0" applyNumberFormat="1" applyFont="1" applyFill="1" applyBorder="1" applyProtection="1">
      <alignment vertical="center"/>
      <protection locked="0"/>
    </xf>
    <xf numFmtId="49" fontId="130" fillId="85" borderId="21" xfId="0" applyNumberFormat="1" applyFont="1" applyFill="1" applyBorder="1" applyAlignment="1" applyProtection="1">
      <alignment horizontal="left" vertical="center" indent="1"/>
      <protection locked="0"/>
    </xf>
    <xf numFmtId="0" fontId="126" fillId="86" borderId="70" xfId="0" applyFont="1" applyFill="1" applyBorder="1" applyProtection="1">
      <alignment vertical="center"/>
      <protection locked="0"/>
    </xf>
    <xf numFmtId="0" fontId="130" fillId="86" borderId="70" xfId="0" applyFont="1" applyFill="1" applyBorder="1" applyProtection="1">
      <alignment vertical="center"/>
      <protection locked="0"/>
    </xf>
    <xf numFmtId="0" fontId="127" fillId="73" borderId="0" xfId="0" applyFont="1" applyFill="1">
      <alignment vertical="center"/>
    </xf>
    <xf numFmtId="0" fontId="155" fillId="73" borderId="0" xfId="0" applyFont="1" applyFill="1">
      <alignment vertical="center"/>
    </xf>
    <xf numFmtId="0" fontId="154" fillId="73" borderId="0" xfId="0" applyFont="1" applyFill="1">
      <alignment vertical="center"/>
    </xf>
    <xf numFmtId="0" fontId="137" fillId="73" borderId="0" xfId="0" applyFont="1" applyFill="1">
      <alignment vertical="center"/>
    </xf>
    <xf numFmtId="0" fontId="126" fillId="73" borderId="0" xfId="413" applyFont="1" applyFill="1" applyProtection="1">
      <alignment vertical="center"/>
      <protection locked="0"/>
    </xf>
    <xf numFmtId="0" fontId="126" fillId="73" borderId="69" xfId="413" applyFont="1" applyFill="1" applyBorder="1" applyProtection="1">
      <alignment vertical="center"/>
      <protection locked="0"/>
    </xf>
    <xf numFmtId="49" fontId="169" fillId="73" borderId="21" xfId="0" applyNumberFormat="1" applyFont="1" applyFill="1" applyBorder="1" applyProtection="1">
      <alignment vertical="center"/>
      <protection locked="0"/>
    </xf>
    <xf numFmtId="49" fontId="130" fillId="73" borderId="21" xfId="0" applyNumberFormat="1" applyFont="1" applyFill="1" applyBorder="1" applyAlignment="1" applyProtection="1">
      <alignment horizontal="left" vertical="center" indent="2"/>
      <protection locked="0"/>
    </xf>
    <xf numFmtId="49" fontId="170" fillId="73" borderId="21" xfId="0" applyNumberFormat="1" applyFont="1" applyFill="1" applyBorder="1" applyAlignment="1" applyProtection="1">
      <alignment horizontal="left" vertical="center" indent="1"/>
      <protection locked="0"/>
    </xf>
    <xf numFmtId="49" fontId="132" fillId="73" borderId="21" xfId="0" applyNumberFormat="1" applyFont="1" applyFill="1" applyBorder="1" applyAlignment="1" applyProtection="1">
      <alignment horizontal="left" vertical="center"/>
      <protection locked="0"/>
    </xf>
    <xf numFmtId="49" fontId="132" fillId="73" borderId="21" xfId="0" applyNumberFormat="1" applyFont="1" applyFill="1" applyBorder="1" applyProtection="1">
      <alignment vertical="center"/>
      <protection locked="0"/>
    </xf>
    <xf numFmtId="0" fontId="126" fillId="73" borderId="21" xfId="0" applyFont="1" applyFill="1" applyBorder="1" applyProtection="1">
      <alignment vertical="center"/>
      <protection locked="0"/>
    </xf>
    <xf numFmtId="3" fontId="126" fillId="73" borderId="21" xfId="0" applyNumberFormat="1" applyFont="1" applyFill="1" applyBorder="1" applyProtection="1">
      <alignment vertical="center"/>
      <protection locked="0"/>
    </xf>
    <xf numFmtId="0" fontId="126" fillId="73" borderId="0" xfId="0" applyFont="1" applyFill="1" applyProtection="1">
      <alignment vertical="center"/>
      <protection locked="0"/>
    </xf>
    <xf numFmtId="0" fontId="126" fillId="73" borderId="69" xfId="0" applyFont="1" applyFill="1" applyBorder="1" applyProtection="1">
      <alignment vertical="center"/>
      <protection locked="0"/>
    </xf>
    <xf numFmtId="49" fontId="126" fillId="73" borderId="21" xfId="0" applyNumberFormat="1" applyFont="1" applyFill="1" applyBorder="1" applyProtection="1">
      <alignment vertical="center"/>
      <protection locked="0"/>
    </xf>
    <xf numFmtId="49" fontId="130" fillId="73" borderId="21" xfId="0" applyNumberFormat="1" applyFont="1" applyFill="1" applyBorder="1" applyAlignment="1" applyProtection="1">
      <alignment horizontal="left" vertical="center" indent="3"/>
      <protection locked="0"/>
    </xf>
    <xf numFmtId="49" fontId="130" fillId="73" borderId="21" xfId="0" applyNumberFormat="1" applyFont="1" applyFill="1" applyBorder="1" applyProtection="1">
      <alignment vertical="center"/>
      <protection locked="0"/>
    </xf>
    <xf numFmtId="49" fontId="130" fillId="73" borderId="21" xfId="0" applyNumberFormat="1" applyFont="1" applyFill="1" applyBorder="1" applyAlignment="1" applyProtection="1">
      <alignment horizontal="left" vertical="center"/>
      <protection locked="0"/>
    </xf>
    <xf numFmtId="49" fontId="130" fillId="73" borderId="21" xfId="0" applyNumberFormat="1" applyFont="1" applyFill="1" applyBorder="1" applyAlignment="1" applyProtection="1">
      <alignment horizontal="left" vertical="center" indent="1"/>
      <protection locked="0"/>
    </xf>
    <xf numFmtId="198" fontId="106" fillId="0" borderId="72" xfId="483" applyNumberFormat="1" applyFont="1" applyBorder="1" applyAlignment="1">
      <alignment vertical="center"/>
    </xf>
    <xf numFmtId="198" fontId="106" fillId="0" borderId="79" xfId="483" applyNumberFormat="1" applyFont="1" applyBorder="1" applyAlignment="1">
      <alignment vertical="center"/>
    </xf>
    <xf numFmtId="198" fontId="105" fillId="0" borderId="23" xfId="483" applyNumberFormat="1" applyFont="1" applyBorder="1" applyAlignment="1">
      <alignment vertical="center"/>
    </xf>
    <xf numFmtId="198" fontId="106" fillId="0" borderId="77" xfId="0" applyNumberFormat="1" applyFont="1" applyBorder="1">
      <alignment vertical="center"/>
    </xf>
    <xf numFmtId="198" fontId="106" fillId="0" borderId="79" xfId="0" applyNumberFormat="1" applyFont="1" applyBorder="1">
      <alignment vertical="center"/>
    </xf>
    <xf numFmtId="198" fontId="106" fillId="0" borderId="24" xfId="484" applyNumberFormat="1" applyFont="1" applyBorder="1" applyAlignment="1">
      <alignment vertical="center"/>
    </xf>
    <xf numFmtId="198" fontId="106" fillId="0" borderId="81" xfId="483" applyNumberFormat="1" applyFont="1" applyBorder="1" applyAlignment="1">
      <alignment vertical="center"/>
    </xf>
    <xf numFmtId="198" fontId="106" fillId="0" borderId="76" xfId="483" applyNumberFormat="1" applyFont="1" applyBorder="1" applyAlignment="1">
      <alignment vertical="center"/>
    </xf>
    <xf numFmtId="38" fontId="111" fillId="0" borderId="83" xfId="415" applyFont="1" applyBorder="1">
      <alignment vertical="center"/>
    </xf>
    <xf numFmtId="198" fontId="106" fillId="0" borderId="55" xfId="484" applyNumberFormat="1" applyFont="1" applyBorder="1" applyAlignment="1">
      <alignment vertical="center"/>
    </xf>
    <xf numFmtId="198" fontId="105" fillId="0" borderId="48" xfId="483" applyNumberFormat="1" applyFont="1" applyBorder="1" applyAlignment="1">
      <alignment vertical="center"/>
    </xf>
    <xf numFmtId="198" fontId="105" fillId="0" borderId="79" xfId="483" applyNumberFormat="1" applyFont="1" applyBorder="1" applyAlignment="1">
      <alignment vertical="center"/>
    </xf>
    <xf numFmtId="0" fontId="173" fillId="0" borderId="0" xfId="0" applyFont="1">
      <alignment vertical="center"/>
    </xf>
    <xf numFmtId="0" fontId="174" fillId="0" borderId="0" xfId="0" applyFont="1">
      <alignment vertical="center"/>
    </xf>
    <xf numFmtId="38" fontId="111" fillId="0" borderId="46" xfId="415" applyFont="1" applyBorder="1">
      <alignment vertical="center"/>
    </xf>
    <xf numFmtId="49" fontId="132" fillId="73" borderId="21" xfId="0" applyNumberFormat="1" applyFont="1" applyFill="1" applyBorder="1" applyAlignment="1" applyProtection="1">
      <alignment horizontal="left" vertical="center" indent="1"/>
      <protection locked="0"/>
    </xf>
    <xf numFmtId="38" fontId="111" fillId="0" borderId="78" xfId="415" applyFont="1" applyBorder="1">
      <alignment vertical="center"/>
    </xf>
    <xf numFmtId="38" fontId="111" fillId="0" borderId="22" xfId="415" applyFont="1" applyBorder="1">
      <alignment vertical="center"/>
    </xf>
    <xf numFmtId="198" fontId="105" fillId="0" borderId="72" xfId="349" applyNumberFormat="1" applyFont="1" applyBorder="1" applyAlignment="1">
      <alignment vertical="center"/>
    </xf>
    <xf numFmtId="0" fontId="105" fillId="0" borderId="76" xfId="0" applyFont="1" applyBorder="1">
      <alignment vertical="center"/>
    </xf>
    <xf numFmtId="0" fontId="111" fillId="0" borderId="42" xfId="0" applyFont="1" applyBorder="1">
      <alignment vertical="center"/>
    </xf>
    <xf numFmtId="0" fontId="111" fillId="0" borderId="84" xfId="0" applyFont="1" applyBorder="1">
      <alignment vertical="center"/>
    </xf>
    <xf numFmtId="0" fontId="175" fillId="0" borderId="0" xfId="0" applyFont="1" applyAlignment="1">
      <alignment horizontal="center" vertical="center"/>
    </xf>
    <xf numFmtId="0" fontId="105" fillId="0" borderId="83" xfId="0" applyFont="1" applyBorder="1" applyAlignment="1">
      <alignment vertical="top" wrapText="1"/>
    </xf>
    <xf numFmtId="0" fontId="151" fillId="64" borderId="0" xfId="345" applyFont="1" applyFill="1">
      <alignment vertical="center"/>
    </xf>
    <xf numFmtId="3" fontId="126" fillId="71" borderId="21" xfId="0" applyNumberFormat="1" applyFont="1" applyFill="1" applyBorder="1" applyProtection="1">
      <alignment vertical="center"/>
      <protection locked="0"/>
    </xf>
    <xf numFmtId="0" fontId="105" fillId="64" borderId="78" xfId="345" applyFont="1" applyFill="1" applyBorder="1" applyAlignment="1">
      <alignment horizontal="center" vertical="center"/>
    </xf>
    <xf numFmtId="38" fontId="106" fillId="74" borderId="77" xfId="485" applyFont="1" applyFill="1" applyBorder="1" applyAlignment="1" applyProtection="1">
      <alignment vertical="center"/>
    </xf>
    <xf numFmtId="38" fontId="106" fillId="74" borderId="79" xfId="485" applyFont="1" applyFill="1" applyBorder="1" applyAlignment="1" applyProtection="1">
      <alignment vertical="center"/>
    </xf>
    <xf numFmtId="38" fontId="106" fillId="74" borderId="85" xfId="485" applyFont="1" applyFill="1" applyBorder="1" applyAlignment="1" applyProtection="1">
      <alignment vertical="center"/>
    </xf>
    <xf numFmtId="38" fontId="106" fillId="74" borderId="78" xfId="485" applyFont="1" applyFill="1" applyBorder="1" applyAlignment="1" applyProtection="1">
      <alignment vertical="center"/>
    </xf>
    <xf numFmtId="38" fontId="106" fillId="74" borderId="72" xfId="485" applyFont="1" applyFill="1" applyBorder="1" applyAlignment="1" applyProtection="1">
      <alignment vertical="center"/>
    </xf>
    <xf numFmtId="38" fontId="106" fillId="74" borderId="89" xfId="485" applyFont="1" applyFill="1" applyBorder="1" applyAlignment="1" applyProtection="1">
      <alignment vertical="center"/>
    </xf>
    <xf numFmtId="38" fontId="105" fillId="74" borderId="78" xfId="485" applyFont="1" applyFill="1" applyBorder="1" applyAlignment="1" applyProtection="1">
      <alignment vertical="center"/>
    </xf>
    <xf numFmtId="38" fontId="105" fillId="74" borderId="77" xfId="485" applyFont="1" applyFill="1" applyBorder="1" applyAlignment="1" applyProtection="1">
      <alignment vertical="center"/>
    </xf>
    <xf numFmtId="0" fontId="106" fillId="64" borderId="79" xfId="345" applyFont="1" applyFill="1" applyBorder="1">
      <alignment vertical="center"/>
    </xf>
    <xf numFmtId="38" fontId="105" fillId="64" borderId="25" xfId="485" applyFont="1" applyFill="1" applyBorder="1">
      <alignment vertical="center"/>
    </xf>
    <xf numFmtId="40" fontId="105" fillId="64" borderId="77" xfId="414" applyFont="1" applyFill="1" applyBorder="1" applyAlignment="1" applyProtection="1">
      <alignment horizontal="left"/>
    </xf>
    <xf numFmtId="40" fontId="105" fillId="64" borderId="79" xfId="414" applyFont="1" applyFill="1" applyBorder="1" applyAlignment="1" applyProtection="1">
      <alignment horizontal="distributed"/>
    </xf>
    <xf numFmtId="40" fontId="105" fillId="64" borderId="89" xfId="414" applyFont="1" applyFill="1" applyBorder="1" applyAlignment="1" applyProtection="1">
      <alignment horizontal="left"/>
    </xf>
    <xf numFmtId="0" fontId="106" fillId="64" borderId="89" xfId="345" applyFont="1" applyFill="1" applyBorder="1">
      <alignment vertical="center"/>
    </xf>
    <xf numFmtId="198" fontId="105" fillId="59" borderId="89" xfId="349" applyNumberFormat="1" applyFont="1" applyFill="1" applyBorder="1" applyAlignment="1">
      <alignment vertical="center"/>
    </xf>
    <xf numFmtId="198" fontId="106" fillId="81" borderId="89" xfId="349" applyNumberFormat="1" applyFont="1" applyFill="1" applyBorder="1" applyAlignment="1">
      <alignment vertical="center"/>
    </xf>
    <xf numFmtId="0" fontId="105" fillId="69" borderId="89" xfId="349" applyFont="1" applyFill="1" applyBorder="1"/>
    <xf numFmtId="0" fontId="161" fillId="69" borderId="89" xfId="349" applyFont="1" applyFill="1" applyBorder="1"/>
    <xf numFmtId="0" fontId="106" fillId="70" borderId="72" xfId="345" applyFont="1" applyFill="1" applyBorder="1">
      <alignment vertical="center"/>
    </xf>
    <xf numFmtId="0" fontId="105" fillId="70" borderId="89" xfId="345" applyFont="1" applyFill="1" applyBorder="1">
      <alignment vertical="center"/>
    </xf>
    <xf numFmtId="0" fontId="106" fillId="70" borderId="89" xfId="345" applyFont="1" applyFill="1" applyBorder="1">
      <alignment vertical="center"/>
    </xf>
    <xf numFmtId="0" fontId="106" fillId="72" borderId="89" xfId="345" applyFont="1" applyFill="1" applyBorder="1">
      <alignment vertical="center"/>
    </xf>
    <xf numFmtId="0" fontId="106" fillId="67" borderId="72" xfId="345" applyFont="1" applyFill="1" applyBorder="1">
      <alignment vertical="center"/>
    </xf>
    <xf numFmtId="0" fontId="106" fillId="67" borderId="89" xfId="345" applyFont="1" applyFill="1" applyBorder="1">
      <alignment vertical="center"/>
    </xf>
    <xf numFmtId="38" fontId="105" fillId="0" borderId="22" xfId="485" applyFont="1" applyBorder="1" applyAlignment="1" applyProtection="1">
      <alignment vertical="center"/>
    </xf>
    <xf numFmtId="198" fontId="105" fillId="0" borderId="89" xfId="349" applyNumberFormat="1" applyFont="1" applyBorder="1" applyAlignment="1">
      <alignment vertical="center"/>
    </xf>
    <xf numFmtId="38" fontId="106" fillId="59" borderId="72" xfId="485" applyFont="1" applyFill="1" applyBorder="1" applyAlignment="1" applyProtection="1">
      <alignment vertical="center"/>
    </xf>
    <xf numFmtId="0" fontId="106" fillId="70" borderId="72" xfId="349" applyFont="1" applyFill="1" applyBorder="1"/>
    <xf numFmtId="0" fontId="105" fillId="70" borderId="89" xfId="349" applyFont="1" applyFill="1" applyBorder="1"/>
    <xf numFmtId="0" fontId="106" fillId="70" borderId="89" xfId="349" applyFont="1" applyFill="1" applyBorder="1"/>
    <xf numFmtId="0" fontId="106" fillId="67" borderId="72" xfId="349" applyFont="1" applyFill="1" applyBorder="1"/>
    <xf numFmtId="0" fontId="105" fillId="67" borderId="89" xfId="349" applyFont="1" applyFill="1" applyBorder="1"/>
    <xf numFmtId="0" fontId="106" fillId="67" borderId="89" xfId="349" applyFont="1" applyFill="1" applyBorder="1"/>
    <xf numFmtId="0" fontId="106" fillId="81" borderId="72" xfId="349" applyFont="1" applyFill="1" applyBorder="1"/>
    <xf numFmtId="0" fontId="105" fillId="81" borderId="89" xfId="349" applyFont="1" applyFill="1" applyBorder="1"/>
    <xf numFmtId="0" fontId="106" fillId="81" borderId="89" xfId="349" applyFont="1" applyFill="1" applyBorder="1"/>
    <xf numFmtId="0" fontId="106" fillId="66" borderId="72" xfId="349" applyFont="1" applyFill="1" applyBorder="1"/>
    <xf numFmtId="0" fontId="105" fillId="66" borderId="89" xfId="349" applyFont="1" applyFill="1" applyBorder="1"/>
    <xf numFmtId="0" fontId="106" fillId="66" borderId="89" xfId="349" applyFont="1" applyFill="1" applyBorder="1"/>
    <xf numFmtId="0" fontId="105" fillId="79" borderId="89" xfId="349" applyFont="1" applyFill="1" applyBorder="1"/>
    <xf numFmtId="0" fontId="106" fillId="79" borderId="89" xfId="349" applyFont="1" applyFill="1" applyBorder="1"/>
    <xf numFmtId="0" fontId="148" fillId="79" borderId="89" xfId="349" applyFont="1" applyFill="1" applyBorder="1" applyAlignment="1">
      <alignment horizontal="right"/>
    </xf>
    <xf numFmtId="38" fontId="106" fillId="0" borderId="0" xfId="485" applyFont="1" applyFill="1" applyBorder="1" applyAlignment="1" applyProtection="1">
      <alignment vertical="center"/>
    </xf>
    <xf numFmtId="38" fontId="106" fillId="0" borderId="0" xfId="485" applyFont="1" applyFill="1" applyAlignment="1" applyProtection="1">
      <alignment vertical="center"/>
    </xf>
    <xf numFmtId="38" fontId="106" fillId="80" borderId="72" xfId="485" applyFont="1" applyFill="1" applyBorder="1" applyAlignment="1" applyProtection="1">
      <alignment vertical="center"/>
    </xf>
    <xf numFmtId="38" fontId="105" fillId="55" borderId="89" xfId="485" applyFont="1" applyFill="1" applyBorder="1" applyAlignment="1" applyProtection="1">
      <alignment vertical="center"/>
    </xf>
    <xf numFmtId="38" fontId="106" fillId="55" borderId="89" xfId="485" applyFont="1" applyFill="1" applyBorder="1" applyAlignment="1" applyProtection="1">
      <alignment vertical="center"/>
    </xf>
    <xf numFmtId="38" fontId="7" fillId="64" borderId="0" xfId="485" applyFont="1" applyFill="1" applyAlignment="1"/>
    <xf numFmtId="38" fontId="105" fillId="59" borderId="89" xfId="485" applyFont="1" applyFill="1" applyBorder="1" applyAlignment="1" applyProtection="1">
      <alignment vertical="center"/>
    </xf>
    <xf numFmtId="38" fontId="106" fillId="59" borderId="89" xfId="485" applyFont="1" applyFill="1" applyBorder="1" applyAlignment="1" applyProtection="1">
      <alignment vertical="center"/>
    </xf>
    <xf numFmtId="38" fontId="106" fillId="49" borderId="72" xfId="485" applyFont="1" applyFill="1" applyBorder="1" applyAlignment="1" applyProtection="1">
      <alignment vertical="center"/>
    </xf>
    <xf numFmtId="38" fontId="105" fillId="49" borderId="89" xfId="485" applyFont="1" applyFill="1" applyBorder="1" applyAlignment="1" applyProtection="1">
      <alignment vertical="center"/>
    </xf>
    <xf numFmtId="38" fontId="106" fillId="49" borderId="89" xfId="485" applyFont="1" applyFill="1" applyBorder="1" applyAlignment="1" applyProtection="1">
      <alignment vertical="center"/>
    </xf>
    <xf numFmtId="38" fontId="106" fillId="81" borderId="72" xfId="485" applyFont="1" applyFill="1" applyBorder="1" applyAlignment="1" applyProtection="1">
      <alignment vertical="center"/>
    </xf>
    <xf numFmtId="38" fontId="105" fillId="81" borderId="89" xfId="485" applyFont="1" applyFill="1" applyBorder="1" applyAlignment="1" applyProtection="1">
      <alignment vertical="center"/>
    </xf>
    <xf numFmtId="38" fontId="106" fillId="81" borderId="89" xfId="485" applyFont="1" applyFill="1" applyBorder="1" applyAlignment="1" applyProtection="1">
      <alignment vertical="center"/>
    </xf>
    <xf numFmtId="198" fontId="105" fillId="66" borderId="89" xfId="349" applyNumberFormat="1" applyFont="1" applyFill="1" applyBorder="1" applyAlignment="1">
      <alignment vertical="center"/>
    </xf>
    <xf numFmtId="38" fontId="106" fillId="79" borderId="72" xfId="485" applyFont="1" applyFill="1" applyBorder="1" applyAlignment="1" applyProtection="1">
      <alignment vertical="center"/>
    </xf>
    <xf numFmtId="38" fontId="105" fillId="69" borderId="89" xfId="485" applyFont="1" applyFill="1" applyBorder="1" applyAlignment="1" applyProtection="1">
      <alignment vertical="center"/>
    </xf>
    <xf numFmtId="38" fontId="106" fillId="69" borderId="89" xfId="485" applyFont="1" applyFill="1" applyBorder="1" applyAlignment="1" applyProtection="1">
      <alignment vertical="center"/>
    </xf>
    <xf numFmtId="38" fontId="105" fillId="64" borderId="78" xfId="485" applyFont="1" applyFill="1" applyBorder="1" applyAlignment="1" applyProtection="1">
      <alignment horizontal="right" vertical="center"/>
    </xf>
    <xf numFmtId="38" fontId="105" fillId="0" borderId="25" xfId="485" applyFont="1" applyBorder="1" applyAlignment="1" applyProtection="1">
      <alignment vertical="center"/>
    </xf>
    <xf numFmtId="0" fontId="106" fillId="0" borderId="77" xfId="345" applyFont="1" applyBorder="1">
      <alignment vertical="center"/>
    </xf>
    <xf numFmtId="0" fontId="106" fillId="0" borderId="79" xfId="345" applyFont="1" applyBorder="1">
      <alignment vertical="center"/>
    </xf>
    <xf numFmtId="0" fontId="107" fillId="82" borderId="77" xfId="345" applyFont="1" applyFill="1" applyBorder="1" applyAlignment="1">
      <alignment horizontal="centerContinuous" vertical="center"/>
    </xf>
    <xf numFmtId="0" fontId="107" fillId="82" borderId="79" xfId="345" applyFont="1" applyFill="1" applyBorder="1" applyAlignment="1">
      <alignment horizontal="centerContinuous" vertical="center"/>
    </xf>
    <xf numFmtId="0" fontId="107" fillId="82" borderId="85" xfId="345" applyFont="1" applyFill="1" applyBorder="1" applyAlignment="1">
      <alignment horizontal="centerContinuous" vertical="center"/>
    </xf>
    <xf numFmtId="38" fontId="105" fillId="64" borderId="85" xfId="415" applyFont="1" applyFill="1" applyBorder="1" applyAlignment="1">
      <alignment horizontal="right" vertical="center"/>
    </xf>
    <xf numFmtId="0" fontId="128" fillId="84" borderId="77" xfId="0" applyFont="1" applyFill="1" applyBorder="1" applyAlignment="1">
      <alignment horizontal="centerContinuous" vertical="center"/>
    </xf>
    <xf numFmtId="0" fontId="128" fillId="84" borderId="85" xfId="0" applyFont="1" applyFill="1" applyBorder="1" applyAlignment="1">
      <alignment horizontal="centerContinuous" vertical="center"/>
    </xf>
    <xf numFmtId="0" fontId="128" fillId="84" borderId="79" xfId="0" applyFont="1" applyFill="1" applyBorder="1" applyAlignment="1">
      <alignment horizontal="centerContinuous" vertical="center"/>
    </xf>
    <xf numFmtId="0" fontId="128" fillId="84" borderId="72" xfId="0" applyFont="1" applyFill="1" applyBorder="1" applyAlignment="1">
      <alignment horizontal="centerContinuous" vertical="center"/>
    </xf>
    <xf numFmtId="0" fontId="128" fillId="84" borderId="5" xfId="0" applyFont="1" applyFill="1" applyBorder="1" applyAlignment="1">
      <alignment horizontal="centerContinuous" vertical="center"/>
    </xf>
    <xf numFmtId="0" fontId="129" fillId="84" borderId="78" xfId="0" applyFont="1" applyFill="1" applyBorder="1">
      <alignment vertical="center"/>
    </xf>
    <xf numFmtId="0" fontId="128" fillId="84" borderId="79" xfId="0" applyFont="1" applyFill="1" applyBorder="1" applyAlignment="1">
      <alignment horizontal="center" vertical="center"/>
    </xf>
    <xf numFmtId="0" fontId="128" fillId="84" borderId="85" xfId="0" applyFont="1" applyFill="1" applyBorder="1" applyAlignment="1">
      <alignment horizontal="center" vertical="center"/>
    </xf>
    <xf numFmtId="0" fontId="128" fillId="84" borderId="77" xfId="0" applyFont="1" applyFill="1" applyBorder="1" applyAlignment="1">
      <alignment horizontal="center" vertical="center"/>
    </xf>
    <xf numFmtId="0" fontId="168" fillId="0" borderId="0" xfId="0" applyFont="1">
      <alignment vertical="center"/>
    </xf>
    <xf numFmtId="49" fontId="128" fillId="84" borderId="25" xfId="0" applyNumberFormat="1" applyFont="1" applyFill="1" applyBorder="1" applyAlignment="1">
      <alignment horizontal="left" vertical="center"/>
    </xf>
    <xf numFmtId="49" fontId="128" fillId="84" borderId="22" xfId="0" applyNumberFormat="1" applyFont="1" applyFill="1" applyBorder="1" applyAlignment="1">
      <alignment horizontal="left" vertical="center"/>
    </xf>
    <xf numFmtId="0" fontId="128" fillId="84" borderId="0" xfId="0" applyFont="1" applyFill="1" applyAlignment="1">
      <alignment horizontal="center" vertical="center"/>
    </xf>
    <xf numFmtId="0" fontId="128" fillId="84" borderId="32" xfId="0" applyFont="1" applyFill="1" applyBorder="1" applyAlignment="1">
      <alignment horizontal="center" vertical="center"/>
    </xf>
    <xf numFmtId="0" fontId="128" fillId="84" borderId="23" xfId="0" applyFont="1" applyFill="1" applyBorder="1" applyAlignment="1">
      <alignment horizontal="center" vertical="center"/>
    </xf>
    <xf numFmtId="0" fontId="128" fillId="84" borderId="31" xfId="0" applyFont="1" applyFill="1" applyBorder="1" applyAlignment="1">
      <alignment horizontal="center" vertical="center"/>
    </xf>
    <xf numFmtId="0" fontId="128" fillId="84" borderId="11" xfId="0" applyFont="1" applyFill="1" applyBorder="1" applyAlignment="1">
      <alignment horizontal="center" vertical="center"/>
    </xf>
    <xf numFmtId="0" fontId="128" fillId="84" borderId="24" xfId="0" applyFont="1" applyFill="1" applyBorder="1" applyAlignment="1">
      <alignment horizontal="center" vertical="center"/>
    </xf>
    <xf numFmtId="38" fontId="105" fillId="0" borderId="42" xfId="415" applyFont="1" applyBorder="1" applyAlignment="1" applyProtection="1">
      <alignment vertical="center"/>
    </xf>
    <xf numFmtId="0" fontId="107" fillId="82" borderId="24" xfId="345" applyFont="1" applyFill="1" applyBorder="1" applyAlignment="1">
      <alignment horizontal="center" vertical="center"/>
    </xf>
    <xf numFmtId="0" fontId="107" fillId="82" borderId="23" xfId="345" applyFont="1" applyFill="1" applyBorder="1" applyAlignment="1">
      <alignment horizontal="center" vertical="center"/>
    </xf>
    <xf numFmtId="0" fontId="107" fillId="82" borderId="31" xfId="345" applyFont="1" applyFill="1" applyBorder="1" applyAlignment="1">
      <alignment horizontal="center" vertical="center"/>
    </xf>
    <xf numFmtId="9" fontId="158" fillId="64" borderId="22" xfId="416" applyFont="1" applyFill="1" applyBorder="1" applyAlignment="1" applyProtection="1">
      <alignment vertical="center"/>
    </xf>
    <xf numFmtId="9" fontId="158" fillId="64" borderId="35" xfId="416" applyFont="1" applyFill="1" applyBorder="1" applyAlignment="1" applyProtection="1">
      <alignment vertical="center"/>
    </xf>
    <xf numFmtId="9" fontId="158" fillId="64" borderId="25" xfId="416" applyFont="1" applyFill="1" applyBorder="1" applyAlignment="1" applyProtection="1">
      <alignment vertical="center"/>
    </xf>
    <xf numFmtId="9" fontId="158" fillId="0" borderId="31" xfId="416" applyFont="1" applyBorder="1" applyAlignment="1" applyProtection="1">
      <alignment vertical="center"/>
    </xf>
    <xf numFmtId="9" fontId="159" fillId="0" borderId="36" xfId="416" applyFont="1" applyFill="1" applyBorder="1" applyAlignment="1" applyProtection="1">
      <alignment vertical="center"/>
    </xf>
    <xf numFmtId="197" fontId="178" fillId="64" borderId="0" xfId="297" applyNumberFormat="1" applyFont="1" applyFill="1" applyBorder="1" applyAlignment="1">
      <alignment horizontal="right" vertical="center"/>
    </xf>
    <xf numFmtId="197" fontId="178" fillId="0" borderId="0" xfId="297" applyNumberFormat="1" applyFont="1" applyFill="1" applyBorder="1" applyAlignment="1">
      <alignment horizontal="right" vertical="center"/>
    </xf>
    <xf numFmtId="197" fontId="178" fillId="64" borderId="0" xfId="297" applyNumberFormat="1" applyFont="1" applyFill="1" applyAlignment="1">
      <alignment horizontal="right" vertical="center"/>
    </xf>
    <xf numFmtId="204" fontId="105" fillId="64" borderId="46" xfId="415" applyNumberFormat="1" applyFont="1" applyFill="1" applyBorder="1" applyAlignment="1" applyProtection="1">
      <alignment vertical="center"/>
      <protection locked="0"/>
    </xf>
    <xf numFmtId="204" fontId="105" fillId="64" borderId="25" xfId="415" applyNumberFormat="1" applyFont="1" applyFill="1" applyBorder="1" applyAlignment="1" applyProtection="1">
      <alignment vertical="center"/>
      <protection locked="0"/>
    </xf>
    <xf numFmtId="204" fontId="105" fillId="64" borderId="25" xfId="415" applyNumberFormat="1" applyFont="1" applyFill="1" applyBorder="1" applyAlignment="1">
      <alignment vertical="center"/>
    </xf>
    <xf numFmtId="204" fontId="105" fillId="64" borderId="22" xfId="415" applyNumberFormat="1" applyFont="1" applyFill="1" applyBorder="1" applyAlignment="1">
      <alignment vertical="center"/>
    </xf>
    <xf numFmtId="204" fontId="105" fillId="64" borderId="25" xfId="415" applyNumberFormat="1" applyFont="1" applyFill="1" applyBorder="1">
      <alignment vertical="center"/>
    </xf>
    <xf numFmtId="204" fontId="105" fillId="64" borderId="22" xfId="415" applyNumberFormat="1" applyFont="1" applyFill="1" applyBorder="1">
      <alignment vertical="center"/>
    </xf>
    <xf numFmtId="204" fontId="105" fillId="64" borderId="22" xfId="415" applyNumberFormat="1" applyFont="1" applyFill="1" applyBorder="1" applyAlignment="1">
      <alignment horizontal="right" vertical="center"/>
    </xf>
    <xf numFmtId="204" fontId="105" fillId="64" borderId="32" xfId="415" applyNumberFormat="1" applyFont="1" applyFill="1" applyBorder="1" applyAlignment="1">
      <alignment horizontal="right" vertical="center"/>
    </xf>
    <xf numFmtId="204" fontId="105" fillId="64" borderId="31" xfId="415" applyNumberFormat="1" applyFont="1" applyFill="1" applyBorder="1" applyAlignment="1">
      <alignment horizontal="right" vertical="center"/>
    </xf>
    <xf numFmtId="204" fontId="105" fillId="0" borderId="32" xfId="415" applyNumberFormat="1" applyFont="1" applyBorder="1" applyAlignment="1" applyProtection="1">
      <alignment vertical="center"/>
    </xf>
    <xf numFmtId="204" fontId="105" fillId="78" borderId="32" xfId="415" applyNumberFormat="1" applyFont="1" applyFill="1" applyBorder="1" applyAlignment="1" applyProtection="1">
      <alignment vertical="center"/>
    </xf>
    <xf numFmtId="204" fontId="105" fillId="0" borderId="44" xfId="415" applyNumberFormat="1" applyFont="1" applyBorder="1" applyAlignment="1" applyProtection="1">
      <alignment vertical="center"/>
    </xf>
    <xf numFmtId="204" fontId="105" fillId="0" borderId="36" xfId="415" applyNumberFormat="1" applyFont="1" applyBorder="1" applyAlignment="1" applyProtection="1">
      <alignment vertical="center"/>
    </xf>
    <xf numFmtId="204" fontId="105" fillId="64" borderId="31" xfId="415" applyNumberFormat="1" applyFont="1" applyFill="1" applyBorder="1" applyAlignment="1" applyProtection="1">
      <alignment vertical="center"/>
    </xf>
    <xf numFmtId="204" fontId="105" fillId="72" borderId="32" xfId="415" applyNumberFormat="1" applyFont="1" applyFill="1" applyBorder="1" applyAlignment="1" applyProtection="1">
      <alignment vertical="center"/>
    </xf>
    <xf numFmtId="204" fontId="105" fillId="0" borderId="32" xfId="415" applyNumberFormat="1" applyFont="1" applyFill="1" applyBorder="1" applyAlignment="1" applyProtection="1">
      <alignment vertical="center"/>
    </xf>
    <xf numFmtId="204" fontId="105" fillId="0" borderId="36" xfId="415" applyNumberFormat="1" applyFont="1" applyFill="1" applyBorder="1" applyAlignment="1" applyProtection="1">
      <alignment vertical="center"/>
    </xf>
    <xf numFmtId="204" fontId="105" fillId="72" borderId="47" xfId="415" applyNumberFormat="1" applyFont="1" applyFill="1" applyBorder="1" applyAlignment="1" applyProtection="1">
      <alignment vertical="center"/>
    </xf>
    <xf numFmtId="204" fontId="105" fillId="0" borderId="31" xfId="415" applyNumberFormat="1" applyFont="1" applyFill="1" applyBorder="1" applyAlignment="1" applyProtection="1">
      <alignment vertical="center"/>
    </xf>
    <xf numFmtId="204" fontId="106" fillId="73" borderId="32" xfId="345" applyNumberFormat="1" applyFont="1" applyFill="1" applyBorder="1">
      <alignment vertical="center"/>
    </xf>
    <xf numFmtId="204" fontId="105" fillId="64" borderId="35" xfId="415" applyNumberFormat="1" applyFont="1" applyFill="1" applyBorder="1">
      <alignment vertical="center"/>
    </xf>
    <xf numFmtId="204" fontId="105" fillId="64" borderId="46" xfId="415" applyNumberFormat="1" applyFont="1" applyFill="1" applyBorder="1">
      <alignment vertical="center"/>
    </xf>
    <xf numFmtId="204" fontId="105" fillId="0" borderId="46" xfId="415" applyNumberFormat="1" applyFont="1" applyFill="1" applyBorder="1">
      <alignment vertical="center"/>
    </xf>
    <xf numFmtId="204" fontId="105" fillId="0" borderId="35" xfId="415" applyNumberFormat="1" applyFont="1" applyFill="1" applyBorder="1">
      <alignment vertical="center"/>
    </xf>
    <xf numFmtId="204" fontId="105" fillId="0" borderId="84" xfId="415" applyNumberFormat="1" applyFont="1" applyFill="1" applyBorder="1">
      <alignment vertical="center"/>
    </xf>
    <xf numFmtId="204" fontId="105" fillId="0" borderId="83" xfId="415" applyNumberFormat="1" applyFont="1" applyFill="1" applyBorder="1">
      <alignment vertical="center"/>
    </xf>
    <xf numFmtId="204" fontId="105" fillId="0" borderId="42" xfId="415" applyNumberFormat="1" applyFont="1" applyFill="1" applyBorder="1">
      <alignment vertical="center"/>
    </xf>
    <xf numFmtId="204" fontId="105" fillId="0" borderId="25" xfId="415" applyNumberFormat="1" applyFont="1" applyFill="1" applyBorder="1">
      <alignment vertical="center"/>
    </xf>
    <xf numFmtId="204" fontId="105" fillId="0" borderId="22" xfId="415" applyNumberFormat="1" applyFont="1" applyFill="1" applyBorder="1">
      <alignment vertical="center"/>
    </xf>
    <xf numFmtId="204" fontId="105" fillId="73" borderId="25" xfId="415" applyNumberFormat="1" applyFont="1" applyFill="1" applyBorder="1">
      <alignment vertical="center"/>
    </xf>
    <xf numFmtId="204" fontId="105" fillId="64" borderId="83" xfId="415" applyNumberFormat="1" applyFont="1" applyFill="1" applyBorder="1">
      <alignment vertical="center"/>
    </xf>
    <xf numFmtId="204" fontId="105" fillId="64" borderId="42" xfId="415" applyNumberFormat="1" applyFont="1" applyFill="1" applyBorder="1">
      <alignment vertical="center"/>
    </xf>
    <xf numFmtId="204" fontId="105" fillId="64" borderId="84" xfId="415" applyNumberFormat="1" applyFont="1" applyFill="1" applyBorder="1">
      <alignment vertical="center"/>
    </xf>
    <xf numFmtId="204" fontId="105" fillId="64" borderId="47" xfId="415" applyNumberFormat="1" applyFont="1" applyFill="1" applyBorder="1">
      <alignment vertical="center"/>
    </xf>
    <xf numFmtId="204" fontId="105" fillId="64" borderId="31" xfId="415" applyNumberFormat="1" applyFont="1" applyFill="1" applyBorder="1">
      <alignment vertical="center"/>
    </xf>
    <xf numFmtId="204" fontId="105" fillId="64" borderId="32" xfId="415" applyNumberFormat="1" applyFont="1" applyFill="1" applyBorder="1">
      <alignment vertical="center"/>
    </xf>
    <xf numFmtId="204" fontId="105" fillId="0" borderId="25" xfId="415" applyNumberFormat="1" applyFont="1" applyBorder="1" applyAlignment="1" applyProtection="1">
      <alignment vertical="center"/>
    </xf>
    <xf numFmtId="204" fontId="105" fillId="0" borderId="22" xfId="415" applyNumberFormat="1" applyFont="1" applyBorder="1" applyAlignment="1" applyProtection="1">
      <alignment vertical="center"/>
    </xf>
    <xf numFmtId="204" fontId="105" fillId="73" borderId="32" xfId="415" applyNumberFormat="1" applyFont="1" applyFill="1" applyBorder="1">
      <alignment vertical="center"/>
    </xf>
    <xf numFmtId="204" fontId="105" fillId="64" borderId="82" xfId="415" applyNumberFormat="1" applyFont="1" applyFill="1" applyBorder="1">
      <alignment vertical="center"/>
    </xf>
    <xf numFmtId="204" fontId="105" fillId="64" borderId="36" xfId="415" applyNumberFormat="1" applyFont="1" applyFill="1" applyBorder="1">
      <alignment vertical="center"/>
    </xf>
    <xf numFmtId="204" fontId="105" fillId="64" borderId="25" xfId="415" applyNumberFormat="1" applyFont="1" applyFill="1" applyBorder="1" applyAlignment="1">
      <alignment horizontal="right" vertical="center"/>
    </xf>
    <xf numFmtId="204" fontId="105" fillId="64" borderId="35" xfId="415" applyNumberFormat="1" applyFont="1" applyFill="1" applyBorder="1" applyAlignment="1" applyProtection="1">
      <alignment vertical="center"/>
    </xf>
    <xf numFmtId="204" fontId="105" fillId="64" borderId="22" xfId="415" applyNumberFormat="1" applyFont="1" applyFill="1" applyBorder="1" applyAlignment="1" applyProtection="1">
      <alignment vertical="center"/>
      <protection locked="0"/>
    </xf>
    <xf numFmtId="204" fontId="105" fillId="64" borderId="83" xfId="415" applyNumberFormat="1" applyFont="1" applyFill="1" applyBorder="1" applyAlignment="1" applyProtection="1">
      <alignment vertical="center"/>
    </xf>
    <xf numFmtId="204" fontId="111" fillId="0" borderId="83" xfId="415" applyNumberFormat="1" applyFont="1" applyBorder="1">
      <alignment vertical="center"/>
    </xf>
    <xf numFmtId="204" fontId="111" fillId="0" borderId="46" xfId="415" applyNumberFormat="1" applyFont="1" applyBorder="1">
      <alignment vertical="center"/>
    </xf>
    <xf numFmtId="204" fontId="111" fillId="0" borderId="22" xfId="415" applyNumberFormat="1" applyFont="1" applyBorder="1">
      <alignment vertical="center"/>
    </xf>
    <xf numFmtId="195" fontId="158" fillId="64" borderId="22" xfId="416" applyNumberFormat="1" applyFont="1" applyFill="1" applyBorder="1" applyAlignment="1" applyProtection="1">
      <alignment vertical="center"/>
    </xf>
    <xf numFmtId="195" fontId="158" fillId="64" borderId="35" xfId="416" applyNumberFormat="1" applyFont="1" applyFill="1" applyBorder="1" applyAlignment="1" applyProtection="1">
      <alignment vertical="center"/>
    </xf>
    <xf numFmtId="195" fontId="105" fillId="64" borderId="46" xfId="416" applyNumberFormat="1" applyFont="1" applyFill="1" applyBorder="1" applyAlignment="1" applyProtection="1">
      <alignment vertical="center"/>
      <protection locked="0"/>
    </xf>
    <xf numFmtId="195" fontId="105" fillId="64" borderId="25" xfId="416" applyNumberFormat="1" applyFont="1" applyFill="1" applyBorder="1" applyAlignment="1" applyProtection="1">
      <alignment vertical="center"/>
      <protection locked="0"/>
    </xf>
    <xf numFmtId="195" fontId="158" fillId="64" borderId="25" xfId="416" applyNumberFormat="1" applyFont="1" applyFill="1" applyBorder="1" applyAlignment="1" applyProtection="1">
      <alignment vertical="center"/>
    </xf>
    <xf numFmtId="195" fontId="105" fillId="64" borderId="25" xfId="416" applyNumberFormat="1" applyFont="1" applyFill="1" applyBorder="1" applyAlignment="1">
      <alignment vertical="center"/>
    </xf>
    <xf numFmtId="195" fontId="105" fillId="64" borderId="22" xfId="416" applyNumberFormat="1" applyFont="1" applyFill="1" applyBorder="1" applyAlignment="1">
      <alignment vertical="center"/>
    </xf>
    <xf numFmtId="195" fontId="105" fillId="64" borderId="25" xfId="416" applyNumberFormat="1" applyFont="1" applyFill="1" applyBorder="1">
      <alignment vertical="center"/>
    </xf>
    <xf numFmtId="195" fontId="105" fillId="64" borderId="22" xfId="416" applyNumberFormat="1" applyFont="1" applyFill="1" applyBorder="1">
      <alignment vertical="center"/>
    </xf>
    <xf numFmtId="195" fontId="105" fillId="64" borderId="22" xfId="416" applyNumberFormat="1" applyFont="1" applyFill="1" applyBorder="1" applyAlignment="1">
      <alignment horizontal="right" vertical="center"/>
    </xf>
    <xf numFmtId="195" fontId="105" fillId="64" borderId="32" xfId="416" applyNumberFormat="1" applyFont="1" applyFill="1" applyBorder="1" applyAlignment="1">
      <alignment horizontal="right" vertical="center"/>
    </xf>
    <xf numFmtId="195" fontId="105" fillId="64" borderId="31" xfId="416" applyNumberFormat="1" applyFont="1" applyFill="1" applyBorder="1" applyAlignment="1">
      <alignment horizontal="right" vertical="center"/>
    </xf>
    <xf numFmtId="195" fontId="105" fillId="0" borderId="32" xfId="416" applyNumberFormat="1" applyFont="1" applyBorder="1" applyAlignment="1" applyProtection="1">
      <alignment vertical="center"/>
    </xf>
    <xf numFmtId="195" fontId="105" fillId="78" borderId="32" xfId="416" applyNumberFormat="1" applyFont="1" applyFill="1" applyBorder="1" applyAlignment="1" applyProtection="1">
      <alignment vertical="center"/>
    </xf>
    <xf numFmtId="195" fontId="105" fillId="0" borderId="44" xfId="416" applyNumberFormat="1" applyFont="1" applyBorder="1" applyAlignment="1" applyProtection="1">
      <alignment vertical="center"/>
    </xf>
    <xf numFmtId="195" fontId="105" fillId="0" borderId="36" xfId="416" applyNumberFormat="1" applyFont="1" applyBorder="1" applyAlignment="1" applyProtection="1">
      <alignment vertical="center"/>
    </xf>
    <xf numFmtId="195" fontId="159" fillId="64" borderId="25" xfId="416" applyNumberFormat="1" applyFont="1" applyFill="1" applyBorder="1" applyAlignment="1" applyProtection="1">
      <alignment vertical="center"/>
    </xf>
    <xf numFmtId="195" fontId="158" fillId="0" borderId="32" xfId="416" applyNumberFormat="1" applyFont="1" applyBorder="1" applyAlignment="1" applyProtection="1">
      <alignment vertical="center"/>
    </xf>
    <xf numFmtId="195" fontId="105" fillId="64" borderId="31" xfId="416" applyNumberFormat="1" applyFont="1" applyFill="1" applyBorder="1" applyAlignment="1" applyProtection="1">
      <alignment vertical="center"/>
    </xf>
    <xf numFmtId="195" fontId="159" fillId="0" borderId="32" xfId="416" applyNumberFormat="1" applyFont="1" applyFill="1" applyBorder="1" applyAlignment="1" applyProtection="1">
      <alignment vertical="center"/>
    </xf>
    <xf numFmtId="195" fontId="158" fillId="0" borderId="31" xfId="416" applyNumberFormat="1" applyFont="1" applyBorder="1" applyAlignment="1" applyProtection="1">
      <alignment vertical="center"/>
    </xf>
    <xf numFmtId="195" fontId="105" fillId="72" borderId="32" xfId="416" applyNumberFormat="1" applyFont="1" applyFill="1" applyBorder="1" applyAlignment="1" applyProtection="1">
      <alignment vertical="center"/>
    </xf>
    <xf numFmtId="195" fontId="105" fillId="0" borderId="32" xfId="416" applyNumberFormat="1" applyFont="1" applyFill="1" applyBorder="1" applyAlignment="1" applyProtection="1">
      <alignment vertical="center"/>
    </xf>
    <xf numFmtId="195" fontId="105" fillId="0" borderId="36" xfId="416" applyNumberFormat="1" applyFont="1" applyFill="1" applyBorder="1" applyAlignment="1" applyProtection="1">
      <alignment vertical="center"/>
    </xf>
    <xf numFmtId="195" fontId="105" fillId="72" borderId="47" xfId="416" applyNumberFormat="1" applyFont="1" applyFill="1" applyBorder="1" applyAlignment="1" applyProtection="1">
      <alignment vertical="center"/>
    </xf>
    <xf numFmtId="195" fontId="105" fillId="0" borderId="31" xfId="416" applyNumberFormat="1" applyFont="1" applyFill="1" applyBorder="1" applyAlignment="1" applyProtection="1">
      <alignment vertical="center"/>
    </xf>
    <xf numFmtId="195" fontId="158" fillId="72" borderId="47" xfId="416" applyNumberFormat="1" applyFont="1" applyFill="1" applyBorder="1" applyAlignment="1" applyProtection="1">
      <alignment vertical="center"/>
    </xf>
    <xf numFmtId="195" fontId="158" fillId="0" borderId="32" xfId="416" applyNumberFormat="1" applyFont="1" applyFill="1" applyBorder="1" applyAlignment="1" applyProtection="1">
      <alignment vertical="center"/>
    </xf>
    <xf numFmtId="195" fontId="158" fillId="0" borderId="36" xfId="416" applyNumberFormat="1" applyFont="1" applyFill="1" applyBorder="1" applyAlignment="1" applyProtection="1">
      <alignment vertical="center"/>
    </xf>
    <xf numFmtId="195" fontId="158" fillId="0" borderId="31" xfId="416" applyNumberFormat="1" applyFont="1" applyFill="1" applyBorder="1" applyAlignment="1" applyProtection="1">
      <alignment vertical="center"/>
    </xf>
    <xf numFmtId="195" fontId="159" fillId="0" borderId="36" xfId="416" applyNumberFormat="1" applyFont="1" applyFill="1" applyBorder="1" applyAlignment="1" applyProtection="1">
      <alignment vertical="center"/>
    </xf>
    <xf numFmtId="195" fontId="158" fillId="0" borderId="36" xfId="416" applyNumberFormat="1" applyFont="1" applyBorder="1" applyAlignment="1" applyProtection="1">
      <alignment vertical="center"/>
    </xf>
    <xf numFmtId="195" fontId="106" fillId="73" borderId="32" xfId="416" applyNumberFormat="1" applyFont="1" applyFill="1" applyBorder="1">
      <alignment vertical="center"/>
    </xf>
    <xf numFmtId="195" fontId="105" fillId="64" borderId="35" xfId="416" applyNumberFormat="1" applyFont="1" applyFill="1" applyBorder="1">
      <alignment vertical="center"/>
    </xf>
    <xf numFmtId="195" fontId="105" fillId="64" borderId="46" xfId="416" applyNumberFormat="1" applyFont="1" applyFill="1" applyBorder="1">
      <alignment vertical="center"/>
    </xf>
    <xf numFmtId="195" fontId="105" fillId="0" borderId="46" xfId="416" applyNumberFormat="1" applyFont="1" applyFill="1" applyBorder="1">
      <alignment vertical="center"/>
    </xf>
    <xf numFmtId="195" fontId="105" fillId="0" borderId="35" xfId="416" applyNumberFormat="1" applyFont="1" applyFill="1" applyBorder="1">
      <alignment vertical="center"/>
    </xf>
    <xf numFmtId="195" fontId="105" fillId="0" borderId="84" xfId="416" applyNumberFormat="1" applyFont="1" applyFill="1" applyBorder="1">
      <alignment vertical="center"/>
    </xf>
    <xf numFmtId="195" fontId="105" fillId="0" borderId="83" xfId="416" applyNumberFormat="1" applyFont="1" applyFill="1" applyBorder="1">
      <alignment vertical="center"/>
    </xf>
    <xf numFmtId="195" fontId="105" fillId="0" borderId="42" xfId="416" applyNumberFormat="1" applyFont="1" applyFill="1" applyBorder="1">
      <alignment vertical="center"/>
    </xf>
    <xf numFmtId="195" fontId="105" fillId="0" borderId="25" xfId="416" applyNumberFormat="1" applyFont="1" applyFill="1" applyBorder="1">
      <alignment vertical="center"/>
    </xf>
    <xf numFmtId="195" fontId="105" fillId="0" borderId="22" xfId="416" applyNumberFormat="1" applyFont="1" applyFill="1" applyBorder="1">
      <alignment vertical="center"/>
    </xf>
    <xf numFmtId="195" fontId="105" fillId="73" borderId="25" xfId="416" applyNumberFormat="1" applyFont="1" applyFill="1" applyBorder="1">
      <alignment vertical="center"/>
    </xf>
    <xf numFmtId="195" fontId="105" fillId="64" borderId="83" xfId="416" applyNumberFormat="1" applyFont="1" applyFill="1" applyBorder="1">
      <alignment vertical="center"/>
    </xf>
    <xf numFmtId="195" fontId="105" fillId="64" borderId="42" xfId="416" applyNumberFormat="1" applyFont="1" applyFill="1" applyBorder="1">
      <alignment vertical="center"/>
    </xf>
    <xf numFmtId="195" fontId="105" fillId="64" borderId="84" xfId="416" applyNumberFormat="1" applyFont="1" applyFill="1" applyBorder="1">
      <alignment vertical="center"/>
    </xf>
    <xf numFmtId="195" fontId="105" fillId="64" borderId="47" xfId="416" applyNumberFormat="1" applyFont="1" applyFill="1" applyBorder="1">
      <alignment vertical="center"/>
    </xf>
    <xf numFmtId="195" fontId="105" fillId="64" borderId="31" xfId="416" applyNumberFormat="1" applyFont="1" applyFill="1" applyBorder="1">
      <alignment vertical="center"/>
    </xf>
    <xf numFmtId="195" fontId="105" fillId="64" borderId="32" xfId="416" applyNumberFormat="1" applyFont="1" applyFill="1" applyBorder="1">
      <alignment vertical="center"/>
    </xf>
    <xf numFmtId="195" fontId="105" fillId="0" borderId="25" xfId="416" applyNumberFormat="1" applyFont="1" applyBorder="1" applyAlignment="1" applyProtection="1">
      <alignment vertical="center"/>
    </xf>
    <xf numFmtId="195" fontId="105" fillId="0" borderId="22" xfId="416" applyNumberFormat="1" applyFont="1" applyBorder="1" applyAlignment="1" applyProtection="1">
      <alignment vertical="center"/>
    </xf>
    <xf numFmtId="195" fontId="105" fillId="73" borderId="32" xfId="416" applyNumberFormat="1" applyFont="1" applyFill="1" applyBorder="1">
      <alignment vertical="center"/>
    </xf>
    <xf numFmtId="195" fontId="105" fillId="64" borderId="82" xfId="416" applyNumberFormat="1" applyFont="1" applyFill="1" applyBorder="1">
      <alignment vertical="center"/>
    </xf>
    <xf numFmtId="195" fontId="105" fillId="64" borderId="36" xfId="416" applyNumberFormat="1" applyFont="1" applyFill="1" applyBorder="1">
      <alignment vertical="center"/>
    </xf>
    <xf numFmtId="195" fontId="105" fillId="64" borderId="25" xfId="416" applyNumberFormat="1" applyFont="1" applyFill="1" applyBorder="1" applyAlignment="1">
      <alignment horizontal="right" vertical="center"/>
    </xf>
    <xf numFmtId="195" fontId="105" fillId="64" borderId="35" xfId="416" applyNumberFormat="1" applyFont="1" applyFill="1" applyBorder="1" applyAlignment="1" applyProtection="1">
      <alignment vertical="center"/>
    </xf>
    <xf numFmtId="195" fontId="105" fillId="64" borderId="22" xfId="416" applyNumberFormat="1" applyFont="1" applyFill="1" applyBorder="1" applyAlignment="1" applyProtection="1">
      <alignment vertical="center"/>
      <protection locked="0"/>
    </xf>
    <xf numFmtId="195" fontId="105" fillId="64" borderId="83" xfId="416" applyNumberFormat="1" applyFont="1" applyFill="1" applyBorder="1" applyAlignment="1" applyProtection="1">
      <alignment vertical="center"/>
    </xf>
    <xf numFmtId="195" fontId="111" fillId="0" borderId="83" xfId="416" applyNumberFormat="1" applyFont="1" applyBorder="1">
      <alignment vertical="center"/>
    </xf>
    <xf numFmtId="195" fontId="111" fillId="0" borderId="46" xfId="416" applyNumberFormat="1" applyFont="1" applyBorder="1">
      <alignment vertical="center"/>
    </xf>
    <xf numFmtId="195" fontId="111" fillId="0" borderId="22" xfId="416" applyNumberFormat="1" applyFont="1" applyBorder="1">
      <alignment vertical="center"/>
    </xf>
    <xf numFmtId="49" fontId="179" fillId="82" borderId="0" xfId="345" applyNumberFormat="1" applyFont="1" applyFill="1" applyAlignment="1">
      <alignment horizontal="centerContinuous" vertical="center"/>
    </xf>
    <xf numFmtId="49" fontId="180" fillId="82" borderId="0" xfId="345" applyNumberFormat="1" applyFont="1" applyFill="1" applyAlignment="1">
      <alignment horizontal="centerContinuous" vertical="center"/>
    </xf>
    <xf numFmtId="0" fontId="60" fillId="64" borderId="0" xfId="345" applyFill="1">
      <alignment vertical="center"/>
    </xf>
    <xf numFmtId="198" fontId="181" fillId="81" borderId="79" xfId="349" applyNumberFormat="1" applyFont="1" applyFill="1" applyBorder="1" applyAlignment="1">
      <alignment vertical="center"/>
    </xf>
    <xf numFmtId="198" fontId="182" fillId="81" borderId="79" xfId="349" applyNumberFormat="1" applyFont="1" applyFill="1" applyBorder="1" applyAlignment="1">
      <alignment vertical="center"/>
    </xf>
    <xf numFmtId="198" fontId="183" fillId="64" borderId="72" xfId="349" applyNumberFormat="1" applyFont="1" applyFill="1" applyBorder="1" applyAlignment="1">
      <alignment vertical="center"/>
    </xf>
    <xf numFmtId="198" fontId="184" fillId="64" borderId="89" xfId="349" applyNumberFormat="1" applyFont="1" applyFill="1" applyBorder="1" applyAlignment="1">
      <alignment vertical="center"/>
    </xf>
    <xf numFmtId="198" fontId="183" fillId="64" borderId="89" xfId="349" applyNumberFormat="1" applyFont="1" applyFill="1" applyBorder="1" applyAlignment="1">
      <alignment vertical="center"/>
    </xf>
    <xf numFmtId="198" fontId="184" fillId="64" borderId="57" xfId="349" applyNumberFormat="1" applyFont="1" applyFill="1" applyBorder="1" applyAlignment="1">
      <alignment vertical="center"/>
    </xf>
    <xf numFmtId="0" fontId="184" fillId="64" borderId="78" xfId="345" applyFont="1" applyFill="1" applyBorder="1" applyAlignment="1">
      <alignment horizontal="center" vertical="center"/>
    </xf>
    <xf numFmtId="0" fontId="177" fillId="85" borderId="0" xfId="345" applyFont="1" applyFill="1">
      <alignment vertical="center"/>
    </xf>
    <xf numFmtId="0" fontId="185" fillId="85" borderId="0" xfId="345" applyFont="1" applyFill="1">
      <alignment vertical="center"/>
    </xf>
    <xf numFmtId="0" fontId="186" fillId="85" borderId="0" xfId="345" applyFont="1" applyFill="1">
      <alignment vertical="center"/>
    </xf>
    <xf numFmtId="197" fontId="185" fillId="85" borderId="0" xfId="345" applyNumberFormat="1" applyFont="1" applyFill="1">
      <alignment vertical="center"/>
    </xf>
    <xf numFmtId="0" fontId="177" fillId="85" borderId="0" xfId="345" quotePrefix="1" applyFont="1" applyFill="1" applyAlignment="1">
      <alignment horizontal="center" vertical="center"/>
    </xf>
    <xf numFmtId="0" fontId="177" fillId="85" borderId="0" xfId="345" applyFont="1" applyFill="1" applyAlignment="1">
      <alignment horizontal="center" vertical="center"/>
    </xf>
    <xf numFmtId="0" fontId="177" fillId="85" borderId="0" xfId="345" applyFont="1" applyFill="1" applyAlignment="1">
      <alignment horizontal="center"/>
    </xf>
    <xf numFmtId="49" fontId="177" fillId="85" borderId="0" xfId="345" applyNumberFormat="1" applyFont="1" applyFill="1">
      <alignment vertical="center"/>
    </xf>
    <xf numFmtId="0" fontId="182" fillId="64" borderId="0" xfId="345" applyFont="1" applyFill="1">
      <alignment vertical="center"/>
    </xf>
    <xf numFmtId="0" fontId="187" fillId="64" borderId="0" xfId="345" applyFont="1" applyFill="1">
      <alignment vertical="center"/>
    </xf>
    <xf numFmtId="0" fontId="187" fillId="0" borderId="0" xfId="345" applyFont="1">
      <alignment vertical="center"/>
    </xf>
    <xf numFmtId="0" fontId="177" fillId="82" borderId="0" xfId="345" applyFont="1" applyFill="1">
      <alignment vertical="center"/>
    </xf>
    <xf numFmtId="0" fontId="182" fillId="0" borderId="0" xfId="345" applyFont="1">
      <alignment vertical="center"/>
    </xf>
    <xf numFmtId="38" fontId="187" fillId="0" borderId="11" xfId="415" applyFont="1" applyFill="1" applyBorder="1" applyAlignment="1" applyProtection="1">
      <alignment vertical="center"/>
    </xf>
    <xf numFmtId="38" fontId="187" fillId="0" borderId="0" xfId="415" applyFont="1" applyFill="1" applyBorder="1" applyAlignment="1" applyProtection="1">
      <alignment vertical="center"/>
    </xf>
    <xf numFmtId="38" fontId="187" fillId="0" borderId="32" xfId="415" applyFont="1" applyFill="1" applyBorder="1" applyAlignment="1" applyProtection="1">
      <alignment vertical="center"/>
    </xf>
    <xf numFmtId="38" fontId="182" fillId="0" borderId="25" xfId="415" applyFont="1" applyFill="1" applyBorder="1" applyAlignment="1" applyProtection="1">
      <alignment vertical="center"/>
    </xf>
    <xf numFmtId="38" fontId="187" fillId="0" borderId="25" xfId="415" applyFont="1" applyFill="1" applyBorder="1" applyAlignment="1" applyProtection="1">
      <alignment vertical="center"/>
    </xf>
    <xf numFmtId="204" fontId="187" fillId="0" borderId="25" xfId="415" applyNumberFormat="1" applyFont="1" applyFill="1" applyBorder="1" applyAlignment="1" applyProtection="1">
      <alignment vertical="center"/>
    </xf>
    <xf numFmtId="195" fontId="187" fillId="0" borderId="25" xfId="416" applyNumberFormat="1" applyFont="1" applyFill="1" applyBorder="1" applyAlignment="1" applyProtection="1">
      <alignment vertical="center"/>
    </xf>
    <xf numFmtId="38" fontId="187" fillId="0" borderId="24" xfId="415" applyFont="1" applyFill="1" applyBorder="1" applyAlignment="1" applyProtection="1">
      <alignment vertical="center"/>
    </xf>
    <xf numFmtId="38" fontId="187" fillId="0" borderId="23" xfId="415" applyFont="1" applyFill="1" applyBorder="1" applyAlignment="1" applyProtection="1">
      <alignment vertical="center"/>
    </xf>
    <xf numFmtId="38" fontId="182" fillId="0" borderId="22" xfId="415" applyFont="1" applyFill="1" applyBorder="1" applyAlignment="1" applyProtection="1">
      <alignment vertical="center"/>
    </xf>
    <xf numFmtId="38" fontId="187" fillId="74" borderId="11" xfId="415" applyFont="1" applyFill="1" applyBorder="1" applyAlignment="1" applyProtection="1">
      <alignment vertical="center"/>
    </xf>
    <xf numFmtId="38" fontId="187" fillId="74" borderId="0" xfId="415" applyFont="1" applyFill="1" applyBorder="1" applyAlignment="1" applyProtection="1">
      <alignment vertical="center"/>
    </xf>
    <xf numFmtId="38" fontId="187" fillId="74" borderId="25" xfId="415" applyFont="1" applyFill="1" applyBorder="1" applyAlignment="1" applyProtection="1">
      <alignment vertical="center"/>
    </xf>
    <xf numFmtId="204" fontId="187" fillId="74" borderId="25" xfId="415" applyNumberFormat="1" applyFont="1" applyFill="1" applyBorder="1" applyAlignment="1" applyProtection="1">
      <alignment vertical="center"/>
    </xf>
    <xf numFmtId="195" fontId="187" fillId="74" borderId="25" xfId="416" applyNumberFormat="1" applyFont="1" applyFill="1" applyBorder="1" applyAlignment="1" applyProtection="1">
      <alignment vertical="center"/>
    </xf>
    <xf numFmtId="38" fontId="187" fillId="0" borderId="72" xfId="415" applyFont="1" applyFill="1" applyBorder="1" applyAlignment="1" applyProtection="1">
      <alignment vertical="center"/>
    </xf>
    <xf numFmtId="38" fontId="187" fillId="0" borderId="89" xfId="415" applyFont="1" applyFill="1" applyBorder="1" applyAlignment="1" applyProtection="1">
      <alignment vertical="center"/>
    </xf>
    <xf numFmtId="38" fontId="187" fillId="0" borderId="86" xfId="415" applyFont="1" applyFill="1" applyBorder="1" applyAlignment="1" applyProtection="1">
      <alignment vertical="center"/>
    </xf>
    <xf numFmtId="38" fontId="182" fillId="0" borderId="11" xfId="415" applyFont="1" applyFill="1" applyBorder="1" applyAlignment="1" applyProtection="1">
      <alignment vertical="center"/>
    </xf>
    <xf numFmtId="198" fontId="182" fillId="64" borderId="0" xfId="349" applyNumberFormat="1" applyFont="1" applyFill="1" applyAlignment="1">
      <alignment vertical="center"/>
    </xf>
    <xf numFmtId="38" fontId="182" fillId="64" borderId="25" xfId="415" applyFont="1" applyFill="1" applyBorder="1" applyAlignment="1">
      <alignment vertical="center"/>
    </xf>
    <xf numFmtId="0" fontId="188" fillId="85" borderId="0" xfId="345" applyFont="1" applyFill="1">
      <alignment vertical="center"/>
    </xf>
    <xf numFmtId="0" fontId="147" fillId="0" borderId="0" xfId="345" applyFont="1">
      <alignment vertical="center"/>
    </xf>
    <xf numFmtId="38" fontId="159" fillId="0" borderId="11" xfId="415" applyFont="1" applyFill="1" applyBorder="1" applyAlignment="1" applyProtection="1">
      <alignment vertical="center"/>
    </xf>
    <xf numFmtId="38" fontId="158" fillId="0" borderId="37" xfId="415" applyFont="1" applyFill="1" applyBorder="1" applyAlignment="1" applyProtection="1">
      <alignment vertical="center"/>
    </xf>
    <xf numFmtId="38" fontId="159" fillId="0" borderId="37" xfId="415" applyFont="1" applyFill="1" applyBorder="1" applyAlignment="1" applyProtection="1">
      <alignment vertical="center"/>
    </xf>
    <xf numFmtId="195" fontId="189" fillId="0" borderId="36" xfId="416" applyNumberFormat="1" applyFont="1" applyFill="1" applyBorder="1" applyAlignment="1" applyProtection="1">
      <alignment vertical="center"/>
    </xf>
    <xf numFmtId="0" fontId="157" fillId="0" borderId="0" xfId="345" applyFont="1">
      <alignment vertical="center"/>
    </xf>
    <xf numFmtId="38" fontId="158" fillId="0" borderId="0" xfId="415" applyFont="1" applyFill="1" applyBorder="1" applyAlignment="1" applyProtection="1">
      <alignment vertical="center"/>
    </xf>
    <xf numFmtId="38" fontId="159" fillId="0" borderId="0" xfId="415" applyFont="1" applyFill="1" applyBorder="1" applyAlignment="1" applyProtection="1">
      <alignment vertical="center"/>
    </xf>
    <xf numFmtId="195" fontId="189" fillId="0" borderId="25" xfId="416" applyNumberFormat="1" applyFont="1" applyFill="1" applyBorder="1" applyAlignment="1" applyProtection="1">
      <alignment vertical="center"/>
    </xf>
    <xf numFmtId="195" fontId="189" fillId="0" borderId="35" xfId="416" applyNumberFormat="1" applyFont="1" applyFill="1" applyBorder="1" applyAlignment="1" applyProtection="1">
      <alignment vertical="center"/>
    </xf>
    <xf numFmtId="38" fontId="159" fillId="0" borderId="24" xfId="415" applyFont="1" applyFill="1" applyBorder="1" applyAlignment="1" applyProtection="1">
      <alignment vertical="center"/>
    </xf>
    <xf numFmtId="38" fontId="158" fillId="0" borderId="23" xfId="415" applyFont="1" applyFill="1" applyBorder="1" applyAlignment="1" applyProtection="1">
      <alignment vertical="center"/>
    </xf>
    <xf numFmtId="38" fontId="159" fillId="0" borderId="23" xfId="415" applyFont="1" applyFill="1" applyBorder="1" applyAlignment="1" applyProtection="1">
      <alignment vertical="center"/>
    </xf>
    <xf numFmtId="195" fontId="189" fillId="0" borderId="22" xfId="416" applyNumberFormat="1" applyFont="1" applyFill="1" applyBorder="1" applyAlignment="1" applyProtection="1">
      <alignment vertical="center"/>
    </xf>
    <xf numFmtId="195" fontId="182" fillId="0" borderId="25" xfId="416" applyNumberFormat="1" applyFont="1" applyFill="1" applyBorder="1" applyAlignment="1" applyProtection="1">
      <alignment vertical="center"/>
    </xf>
    <xf numFmtId="195" fontId="182" fillId="0" borderId="22" xfId="416" applyNumberFormat="1" applyFont="1" applyFill="1" applyBorder="1" applyAlignment="1" applyProtection="1">
      <alignment vertical="center"/>
    </xf>
    <xf numFmtId="204" fontId="182" fillId="0" borderId="25" xfId="415" applyNumberFormat="1" applyFont="1" applyFill="1" applyBorder="1" applyAlignment="1" applyProtection="1">
      <alignment vertical="center"/>
    </xf>
    <xf numFmtId="204" fontId="182" fillId="0" borderId="22" xfId="415" applyNumberFormat="1" applyFont="1" applyFill="1" applyBorder="1" applyAlignment="1" applyProtection="1">
      <alignment vertical="center"/>
    </xf>
    <xf numFmtId="38" fontId="191" fillId="0" borderId="57" xfId="415" applyFont="1" applyFill="1" applyBorder="1" applyAlignment="1" applyProtection="1">
      <alignment vertical="center"/>
    </xf>
    <xf numFmtId="38" fontId="191" fillId="0" borderId="32" xfId="415" applyFont="1" applyFill="1" applyBorder="1" applyAlignment="1" applyProtection="1">
      <alignment vertical="center"/>
    </xf>
    <xf numFmtId="38" fontId="192" fillId="0" borderId="36" xfId="415" applyFont="1" applyFill="1" applyBorder="1" applyAlignment="1" applyProtection="1">
      <alignment vertical="center"/>
    </xf>
    <xf numFmtId="38" fontId="191" fillId="0" borderId="31" xfId="415" applyFont="1" applyFill="1" applyBorder="1" applyAlignment="1" applyProtection="1">
      <alignment vertical="center"/>
    </xf>
    <xf numFmtId="38" fontId="191" fillId="74" borderId="32" xfId="415" applyFont="1" applyFill="1" applyBorder="1" applyAlignment="1" applyProtection="1">
      <alignment vertical="center"/>
    </xf>
    <xf numFmtId="38" fontId="192" fillId="0" borderId="31" xfId="415" applyFont="1" applyFill="1" applyBorder="1" applyAlignment="1" applyProtection="1">
      <alignment vertical="center"/>
    </xf>
    <xf numFmtId="38" fontId="106" fillId="74" borderId="57" xfId="485" applyFont="1" applyFill="1" applyBorder="1" applyAlignment="1" applyProtection="1">
      <alignment vertical="center"/>
    </xf>
    <xf numFmtId="38" fontId="106" fillId="59" borderId="57" xfId="485" applyFont="1" applyFill="1" applyBorder="1" applyAlignment="1" applyProtection="1">
      <alignment vertical="center"/>
    </xf>
    <xf numFmtId="38" fontId="106" fillId="49" borderId="57" xfId="485" applyFont="1" applyFill="1" applyBorder="1" applyAlignment="1" applyProtection="1">
      <alignment vertical="center"/>
    </xf>
    <xf numFmtId="38" fontId="106" fillId="81" borderId="57" xfId="485" applyFont="1" applyFill="1" applyBorder="1" applyAlignment="1" applyProtection="1">
      <alignment vertical="center"/>
    </xf>
    <xf numFmtId="0" fontId="106" fillId="69" borderId="57" xfId="349" applyFont="1" applyFill="1" applyBorder="1"/>
    <xf numFmtId="38" fontId="106" fillId="69" borderId="57" xfId="485" applyFont="1" applyFill="1" applyBorder="1" applyAlignment="1" applyProtection="1">
      <alignment vertical="center"/>
    </xf>
    <xf numFmtId="0" fontId="105" fillId="70" borderId="57" xfId="345" applyFont="1" applyFill="1" applyBorder="1">
      <alignment vertical="center"/>
    </xf>
    <xf numFmtId="0" fontId="106" fillId="72" borderId="57" xfId="345" applyFont="1" applyFill="1" applyBorder="1">
      <alignment vertical="center"/>
    </xf>
    <xf numFmtId="0" fontId="105" fillId="67" borderId="57" xfId="345" applyFont="1" applyFill="1" applyBorder="1">
      <alignment vertical="center"/>
    </xf>
    <xf numFmtId="0" fontId="193" fillId="85" borderId="0" xfId="345" applyFont="1" applyFill="1">
      <alignment vertical="center"/>
    </xf>
    <xf numFmtId="198" fontId="194" fillId="0" borderId="0" xfId="349" applyNumberFormat="1" applyFont="1" applyAlignment="1">
      <alignment vertical="center"/>
    </xf>
    <xf numFmtId="198" fontId="187" fillId="0" borderId="72" xfId="349" applyNumberFormat="1" applyFont="1" applyBorder="1" applyAlignment="1">
      <alignment vertical="center"/>
    </xf>
    <xf numFmtId="198" fontId="182" fillId="0" borderId="89" xfId="349" applyNumberFormat="1" applyFont="1" applyBorder="1" applyAlignment="1">
      <alignment vertical="center"/>
    </xf>
    <xf numFmtId="198" fontId="187" fillId="0" borderId="89" xfId="349" applyNumberFormat="1" applyFont="1" applyBorder="1" applyAlignment="1">
      <alignment vertical="center"/>
    </xf>
    <xf numFmtId="198" fontId="182" fillId="0" borderId="57" xfId="349" applyNumberFormat="1" applyFont="1" applyBorder="1" applyAlignment="1">
      <alignment vertical="center"/>
    </xf>
    <xf numFmtId="38" fontId="187" fillId="0" borderId="78" xfId="415" applyFont="1" applyBorder="1" applyAlignment="1" applyProtection="1">
      <alignment vertical="center"/>
    </xf>
    <xf numFmtId="0" fontId="187" fillId="64" borderId="11" xfId="345" applyFont="1" applyFill="1" applyBorder="1">
      <alignment vertical="center"/>
    </xf>
    <xf numFmtId="0" fontId="182" fillId="64" borderId="72" xfId="345" applyFont="1" applyFill="1" applyBorder="1">
      <alignment vertical="center"/>
    </xf>
    <xf numFmtId="0" fontId="187" fillId="64" borderId="89" xfId="345" applyFont="1" applyFill="1" applyBorder="1">
      <alignment vertical="center"/>
    </xf>
    <xf numFmtId="0" fontId="182" fillId="64" borderId="89" xfId="345" applyFont="1" applyFill="1" applyBorder="1">
      <alignment vertical="center"/>
    </xf>
    <xf numFmtId="0" fontId="182" fillId="64" borderId="57" xfId="345" applyFont="1" applyFill="1" applyBorder="1">
      <alignment vertical="center"/>
    </xf>
    <xf numFmtId="38" fontId="182" fillId="64" borderId="25" xfId="415" applyFont="1" applyFill="1" applyBorder="1" applyAlignment="1">
      <alignment horizontal="right" vertical="center"/>
    </xf>
    <xf numFmtId="0" fontId="187" fillId="64" borderId="24" xfId="345" applyFont="1" applyFill="1" applyBorder="1">
      <alignment vertical="center"/>
    </xf>
    <xf numFmtId="0" fontId="182" fillId="64" borderId="24" xfId="345" applyFont="1" applyFill="1" applyBorder="1">
      <alignment vertical="center"/>
    </xf>
    <xf numFmtId="0" fontId="187" fillId="64" borderId="23" xfId="345" applyFont="1" applyFill="1" applyBorder="1">
      <alignment vertical="center"/>
    </xf>
    <xf numFmtId="0" fontId="182" fillId="64" borderId="23" xfId="345" applyFont="1" applyFill="1" applyBorder="1">
      <alignment vertical="center"/>
    </xf>
    <xf numFmtId="0" fontId="182" fillId="64" borderId="31" xfId="345" applyFont="1" applyFill="1" applyBorder="1">
      <alignment vertical="center"/>
    </xf>
    <xf numFmtId="38" fontId="182" fillId="64" borderId="22" xfId="415" applyFont="1" applyFill="1" applyBorder="1" applyAlignment="1">
      <alignment horizontal="right" vertical="center"/>
    </xf>
    <xf numFmtId="198" fontId="195" fillId="0" borderId="0" xfId="349" applyNumberFormat="1" applyFont="1" applyAlignment="1">
      <alignment vertical="center"/>
    </xf>
    <xf numFmtId="198" fontId="187" fillId="0" borderId="0" xfId="349" applyNumberFormat="1" applyFont="1" applyAlignment="1">
      <alignment vertical="center"/>
    </xf>
    <xf numFmtId="198" fontId="182" fillId="0" borderId="0" xfId="349" applyNumberFormat="1" applyFont="1" applyAlignment="1">
      <alignment vertical="center"/>
    </xf>
    <xf numFmtId="205" fontId="182" fillId="64" borderId="0" xfId="345" applyNumberFormat="1" applyFont="1" applyFill="1">
      <alignment vertical="center"/>
    </xf>
    <xf numFmtId="198" fontId="187" fillId="0" borderId="86" xfId="349" applyNumberFormat="1" applyFont="1" applyBorder="1" applyAlignment="1">
      <alignment vertical="center"/>
    </xf>
    <xf numFmtId="198" fontId="187" fillId="0" borderId="77" xfId="349" applyNumberFormat="1" applyFont="1" applyBorder="1" applyAlignment="1">
      <alignment vertical="center"/>
    </xf>
    <xf numFmtId="198" fontId="182" fillId="0" borderId="79" xfId="349" applyNumberFormat="1" applyFont="1" applyBorder="1" applyAlignment="1">
      <alignment vertical="center"/>
    </xf>
    <xf numFmtId="198" fontId="187" fillId="0" borderId="79" xfId="349" applyNumberFormat="1" applyFont="1" applyBorder="1" applyAlignment="1">
      <alignment vertical="center"/>
    </xf>
    <xf numFmtId="38" fontId="182" fillId="64" borderId="78" xfId="415" applyFont="1" applyFill="1" applyBorder="1" applyAlignment="1" applyProtection="1">
      <alignment horizontal="right" vertical="center"/>
    </xf>
    <xf numFmtId="198" fontId="187" fillId="0" borderId="11" xfId="349" applyNumberFormat="1" applyFont="1" applyBorder="1" applyAlignment="1">
      <alignment vertical="center"/>
    </xf>
    <xf numFmtId="38" fontId="182" fillId="0" borderId="25" xfId="415" applyFont="1" applyBorder="1" applyAlignment="1" applyProtection="1">
      <alignment vertical="center"/>
    </xf>
    <xf numFmtId="198" fontId="187" fillId="0" borderId="22" xfId="349" applyNumberFormat="1" applyFont="1" applyBorder="1" applyAlignment="1">
      <alignment vertical="center"/>
    </xf>
    <xf numFmtId="198" fontId="187" fillId="0" borderId="24" xfId="349" applyNumberFormat="1" applyFont="1" applyBorder="1" applyAlignment="1">
      <alignment vertical="center"/>
    </xf>
    <xf numFmtId="198" fontId="182" fillId="0" borderId="23" xfId="349" applyNumberFormat="1" applyFont="1" applyBorder="1" applyAlignment="1">
      <alignment vertical="center"/>
    </xf>
    <xf numFmtId="198" fontId="187" fillId="0" borderId="23" xfId="349" applyNumberFormat="1" applyFont="1" applyBorder="1" applyAlignment="1">
      <alignment vertical="center"/>
    </xf>
    <xf numFmtId="38" fontId="182" fillId="0" borderId="22" xfId="415" applyFont="1" applyBorder="1" applyAlignment="1" applyProtection="1">
      <alignment vertical="center"/>
    </xf>
    <xf numFmtId="38" fontId="182" fillId="64" borderId="0" xfId="415" applyFont="1" applyFill="1" applyAlignment="1">
      <alignment vertical="center"/>
    </xf>
    <xf numFmtId="38" fontId="182" fillId="0" borderId="86" xfId="415" applyFont="1" applyBorder="1" applyAlignment="1" applyProtection="1">
      <alignment vertical="center"/>
    </xf>
    <xf numFmtId="198" fontId="187" fillId="81" borderId="72" xfId="349" applyNumberFormat="1" applyFont="1" applyFill="1" applyBorder="1" applyAlignment="1">
      <alignment vertical="center"/>
    </xf>
    <xf numFmtId="198" fontId="187" fillId="81" borderId="79" xfId="349" applyNumberFormat="1" applyFont="1" applyFill="1" applyBorder="1" applyAlignment="1">
      <alignment vertical="center"/>
    </xf>
    <xf numFmtId="199" fontId="187" fillId="81" borderId="78" xfId="349" applyNumberFormat="1" applyFont="1" applyFill="1" applyBorder="1" applyAlignment="1">
      <alignment horizontal="center" vertical="center"/>
    </xf>
    <xf numFmtId="198" fontId="187" fillId="81" borderId="11" xfId="349" applyNumberFormat="1" applyFont="1" applyFill="1" applyBorder="1" applyAlignment="1">
      <alignment vertical="center"/>
    </xf>
    <xf numFmtId="38" fontId="182" fillId="64" borderId="86" xfId="415" applyFont="1" applyFill="1" applyBorder="1" applyAlignment="1">
      <alignment vertical="center"/>
    </xf>
    <xf numFmtId="198" fontId="196" fillId="81" borderId="11" xfId="349" applyNumberFormat="1" applyFont="1" applyFill="1" applyBorder="1" applyAlignment="1">
      <alignment vertical="center"/>
    </xf>
    <xf numFmtId="0" fontId="182" fillId="64" borderId="37" xfId="345" applyFont="1" applyFill="1" applyBorder="1">
      <alignment vertical="center"/>
    </xf>
    <xf numFmtId="0" fontId="182" fillId="64" borderId="36" xfId="345" applyFont="1" applyFill="1" applyBorder="1">
      <alignment vertical="center"/>
    </xf>
    <xf numFmtId="38" fontId="182" fillId="64" borderId="35" xfId="415" applyFont="1" applyFill="1" applyBorder="1" applyAlignment="1">
      <alignment vertical="center"/>
    </xf>
    <xf numFmtId="0" fontId="187" fillId="64" borderId="48" xfId="345" applyFont="1" applyFill="1" applyBorder="1">
      <alignment vertical="center"/>
    </xf>
    <xf numFmtId="0" fontId="182" fillId="64" borderId="48" xfId="345" applyFont="1" applyFill="1" applyBorder="1">
      <alignment vertical="center"/>
    </xf>
    <xf numFmtId="0" fontId="193" fillId="64" borderId="48" xfId="345" applyFont="1" applyFill="1" applyBorder="1">
      <alignment vertical="center"/>
    </xf>
    <xf numFmtId="38" fontId="182" fillId="64" borderId="46" xfId="415" applyFont="1" applyFill="1" applyBorder="1" applyAlignment="1">
      <alignment vertical="center"/>
    </xf>
    <xf numFmtId="0" fontId="182" fillId="64" borderId="47" xfId="345" applyFont="1" applyFill="1" applyBorder="1">
      <alignment vertical="center"/>
    </xf>
    <xf numFmtId="0" fontId="182" fillId="64" borderId="32" xfId="345" applyFont="1" applyFill="1" applyBorder="1">
      <alignment vertical="center"/>
    </xf>
    <xf numFmtId="198" fontId="187" fillId="81" borderId="24" xfId="349" applyNumberFormat="1" applyFont="1" applyFill="1" applyBorder="1" applyAlignment="1">
      <alignment vertical="center"/>
    </xf>
    <xf numFmtId="0" fontId="182" fillId="64" borderId="40" xfId="345" applyFont="1" applyFill="1" applyBorder="1">
      <alignment vertical="center"/>
    </xf>
    <xf numFmtId="0" fontId="182" fillId="0" borderId="40" xfId="345" applyFont="1" applyBorder="1">
      <alignment vertical="center"/>
    </xf>
    <xf numFmtId="38" fontId="182" fillId="64" borderId="84" xfId="415" applyFont="1" applyFill="1" applyBorder="1" applyAlignment="1">
      <alignment vertical="center"/>
    </xf>
    <xf numFmtId="49" fontId="36" fillId="64" borderId="0" xfId="345" applyNumberFormat="1" applyFont="1" applyFill="1">
      <alignment vertical="center"/>
    </xf>
    <xf numFmtId="198" fontId="105" fillId="67" borderId="89" xfId="349" applyNumberFormat="1" applyFont="1" applyFill="1" applyBorder="1" applyAlignment="1">
      <alignment vertical="center"/>
    </xf>
    <xf numFmtId="198" fontId="106" fillId="0" borderId="89" xfId="349" applyNumberFormat="1" applyFont="1" applyBorder="1" applyAlignment="1">
      <alignment vertical="center"/>
    </xf>
    <xf numFmtId="38" fontId="105" fillId="64" borderId="83" xfId="415" applyFont="1" applyFill="1" applyBorder="1" applyAlignment="1">
      <alignment horizontal="right" vertical="center"/>
    </xf>
    <xf numFmtId="38" fontId="105" fillId="64" borderId="86" xfId="415" applyFont="1" applyFill="1" applyBorder="1" applyAlignment="1">
      <alignment horizontal="right" vertical="center"/>
    </xf>
    <xf numFmtId="195" fontId="189" fillId="64" borderId="35" xfId="416" applyNumberFormat="1" applyFont="1" applyFill="1" applyBorder="1" applyAlignment="1" applyProtection="1">
      <alignment vertical="center"/>
    </xf>
    <xf numFmtId="0" fontId="134" fillId="85" borderId="0" xfId="345" applyFont="1" applyFill="1">
      <alignment vertical="center"/>
    </xf>
    <xf numFmtId="0" fontId="136" fillId="82" borderId="0" xfId="345" applyFont="1" applyFill="1">
      <alignment vertical="center"/>
    </xf>
    <xf numFmtId="0" fontId="105" fillId="70" borderId="72" xfId="345" applyFont="1" applyFill="1" applyBorder="1">
      <alignment vertical="center"/>
    </xf>
    <xf numFmtId="0" fontId="105" fillId="0" borderId="24" xfId="345" applyFont="1" applyBorder="1">
      <alignment vertical="center"/>
    </xf>
    <xf numFmtId="0" fontId="148" fillId="79" borderId="57" xfId="349" applyFont="1" applyFill="1" applyBorder="1" applyAlignment="1">
      <alignment horizontal="right"/>
    </xf>
    <xf numFmtId="38" fontId="105" fillId="70" borderId="86" xfId="415" applyFont="1" applyFill="1" applyBorder="1" applyAlignment="1">
      <alignment horizontal="right" vertical="center"/>
    </xf>
    <xf numFmtId="38" fontId="105" fillId="67" borderId="86" xfId="415" applyFont="1" applyFill="1" applyBorder="1" applyAlignment="1">
      <alignment horizontal="right" vertical="center"/>
    </xf>
    <xf numFmtId="38" fontId="105" fillId="88" borderId="86" xfId="415" applyFont="1" applyFill="1" applyBorder="1">
      <alignment vertical="center"/>
    </xf>
    <xf numFmtId="38" fontId="105" fillId="88" borderId="86" xfId="415" applyFont="1" applyFill="1" applyBorder="1" applyAlignment="1">
      <alignment horizontal="right" vertical="center"/>
    </xf>
    <xf numFmtId="38" fontId="105" fillId="66" borderId="86" xfId="415" applyFont="1" applyFill="1" applyBorder="1" applyAlignment="1">
      <alignment horizontal="right" vertical="center"/>
    </xf>
    <xf numFmtId="38" fontId="105" fillId="79" borderId="57" xfId="415" applyFont="1" applyFill="1" applyBorder="1" applyAlignment="1" applyProtection="1">
      <alignment vertical="center"/>
    </xf>
    <xf numFmtId="0" fontId="105" fillId="67" borderId="72" xfId="349" applyFont="1" applyFill="1" applyBorder="1"/>
    <xf numFmtId="0" fontId="106" fillId="67" borderId="57" xfId="349" applyFont="1" applyFill="1" applyBorder="1"/>
    <xf numFmtId="0" fontId="105" fillId="81" borderId="72" xfId="349" applyFont="1" applyFill="1" applyBorder="1"/>
    <xf numFmtId="0" fontId="106" fillId="81" borderId="57" xfId="349" applyFont="1" applyFill="1" applyBorder="1"/>
    <xf numFmtId="0" fontId="105" fillId="66" borderId="72" xfId="349" applyFont="1" applyFill="1" applyBorder="1"/>
    <xf numFmtId="0" fontId="105" fillId="66" borderId="57" xfId="349" applyFont="1" applyFill="1" applyBorder="1"/>
    <xf numFmtId="38" fontId="106" fillId="0" borderId="78" xfId="415" applyFont="1" applyFill="1" applyBorder="1" applyAlignment="1">
      <alignment horizontal="right" vertical="center"/>
    </xf>
    <xf numFmtId="195" fontId="159" fillId="0" borderId="31" xfId="416" applyNumberFormat="1" applyFont="1" applyFill="1" applyBorder="1" applyAlignment="1" applyProtection="1">
      <alignment vertical="center"/>
    </xf>
    <xf numFmtId="198" fontId="105" fillId="64" borderId="87" xfId="349" applyNumberFormat="1" applyFont="1" applyFill="1" applyBorder="1" applyAlignment="1">
      <alignment vertical="center"/>
    </xf>
    <xf numFmtId="198" fontId="106" fillId="0" borderId="48" xfId="349" applyNumberFormat="1" applyFont="1" applyBorder="1" applyAlignment="1">
      <alignment vertical="center"/>
    </xf>
    <xf numFmtId="198" fontId="105" fillId="0" borderId="45" xfId="349" applyNumberFormat="1" applyFont="1" applyBorder="1" applyAlignment="1">
      <alignment vertical="center"/>
    </xf>
    <xf numFmtId="198" fontId="105" fillId="64" borderId="75" xfId="349" applyNumberFormat="1" applyFont="1" applyFill="1" applyBorder="1" applyAlignment="1">
      <alignment vertical="center"/>
    </xf>
    <xf numFmtId="198" fontId="105" fillId="64" borderId="74" xfId="349" applyNumberFormat="1" applyFont="1" applyFill="1" applyBorder="1" applyAlignment="1">
      <alignment vertical="center"/>
    </xf>
    <xf numFmtId="198" fontId="114" fillId="0" borderId="0" xfId="349" applyNumberFormat="1" applyFont="1" applyAlignment="1">
      <alignment vertical="center"/>
    </xf>
    <xf numFmtId="0" fontId="111" fillId="0" borderId="65" xfId="0" applyFont="1" applyBorder="1">
      <alignment vertical="center"/>
    </xf>
    <xf numFmtId="0" fontId="111" fillId="0" borderId="98" xfId="0" applyFont="1" applyBorder="1">
      <alignment vertical="center"/>
    </xf>
    <xf numFmtId="0" fontId="110" fillId="65" borderId="28" xfId="345" applyFont="1" applyFill="1" applyBorder="1">
      <alignment vertical="center"/>
    </xf>
    <xf numFmtId="0" fontId="110" fillId="65" borderId="7" xfId="345" applyFont="1" applyFill="1" applyBorder="1">
      <alignment vertical="center"/>
    </xf>
    <xf numFmtId="0" fontId="110" fillId="65" borderId="27" xfId="345" applyFont="1" applyFill="1" applyBorder="1">
      <alignment vertical="center"/>
    </xf>
    <xf numFmtId="38" fontId="120" fillId="64" borderId="0" xfId="415" applyFont="1" applyFill="1" applyBorder="1" applyAlignment="1" applyProtection="1">
      <alignment vertical="center"/>
      <protection locked="0"/>
    </xf>
    <xf numFmtId="197" fontId="105" fillId="64" borderId="0" xfId="349" applyNumberFormat="1" applyFont="1" applyFill="1" applyAlignment="1">
      <alignment vertical="center"/>
    </xf>
    <xf numFmtId="198" fontId="105" fillId="64" borderId="57" xfId="349" applyNumberFormat="1" applyFont="1" applyFill="1" applyBorder="1" applyAlignment="1">
      <alignment vertical="center"/>
    </xf>
    <xf numFmtId="199" fontId="106" fillId="64" borderId="78" xfId="349" applyNumberFormat="1" applyFont="1" applyFill="1" applyBorder="1" applyAlignment="1">
      <alignment horizontal="center" vertical="center"/>
    </xf>
    <xf numFmtId="0" fontId="7" fillId="0" borderId="77" xfId="0" applyFont="1" applyBorder="1" applyAlignment="1"/>
    <xf numFmtId="198" fontId="105" fillId="64" borderId="77" xfId="349" applyNumberFormat="1" applyFont="1" applyFill="1" applyBorder="1" applyAlignment="1">
      <alignment vertical="center"/>
    </xf>
    <xf numFmtId="198" fontId="105" fillId="64" borderId="77" xfId="418" applyNumberFormat="1" applyFont="1" applyFill="1" applyBorder="1" applyAlignment="1">
      <alignment vertical="center"/>
    </xf>
    <xf numFmtId="198" fontId="105" fillId="64" borderId="79" xfId="417" applyNumberFormat="1" applyFill="1" applyBorder="1" applyAlignment="1">
      <alignment vertical="center"/>
    </xf>
    <xf numFmtId="198" fontId="105" fillId="64" borderId="85" xfId="417" applyNumberFormat="1" applyFill="1" applyBorder="1" applyAlignment="1">
      <alignment vertical="center"/>
    </xf>
    <xf numFmtId="198" fontId="105" fillId="64" borderId="32" xfId="417" applyNumberFormat="1" applyFill="1" applyBorder="1" applyAlignment="1">
      <alignment vertical="center"/>
    </xf>
    <xf numFmtId="198" fontId="105" fillId="64" borderId="31" xfId="417" applyNumberFormat="1" applyFill="1" applyBorder="1" applyAlignment="1">
      <alignment vertical="center"/>
    </xf>
    <xf numFmtId="198" fontId="106" fillId="59" borderId="72" xfId="349" applyNumberFormat="1" applyFont="1" applyFill="1" applyBorder="1" applyAlignment="1">
      <alignment vertical="center"/>
    </xf>
    <xf numFmtId="198" fontId="106" fillId="59" borderId="89" xfId="349" applyNumberFormat="1" applyFont="1" applyFill="1" applyBorder="1" applyAlignment="1">
      <alignment vertical="center"/>
    </xf>
    <xf numFmtId="198" fontId="152" fillId="59" borderId="89" xfId="349" applyNumberFormat="1" applyFont="1" applyFill="1" applyBorder="1" applyAlignment="1">
      <alignment vertical="center"/>
    </xf>
    <xf numFmtId="198" fontId="106" fillId="59" borderId="57" xfId="349" applyNumberFormat="1" applyFont="1" applyFill="1" applyBorder="1" applyAlignment="1">
      <alignment vertical="center"/>
    </xf>
    <xf numFmtId="198" fontId="105" fillId="78" borderId="32" xfId="349" applyNumberFormat="1" applyFont="1" applyFill="1" applyBorder="1" applyAlignment="1">
      <alignment vertical="center"/>
    </xf>
    <xf numFmtId="198" fontId="105" fillId="0" borderId="44" xfId="349" applyNumberFormat="1" applyFont="1" applyBorder="1" applyAlignment="1">
      <alignment vertical="center"/>
    </xf>
    <xf numFmtId="198" fontId="147" fillId="0" borderId="32" xfId="349" applyNumberFormat="1" applyFont="1" applyBorder="1" applyAlignment="1">
      <alignment vertical="center"/>
    </xf>
    <xf numFmtId="198" fontId="157" fillId="0" borderId="32" xfId="349" applyNumberFormat="1" applyFont="1" applyBorder="1" applyAlignment="1">
      <alignment vertical="center"/>
    </xf>
    <xf numFmtId="198" fontId="105" fillId="59" borderId="57" xfId="349" applyNumberFormat="1" applyFont="1" applyFill="1" applyBorder="1" applyAlignment="1">
      <alignment vertical="center"/>
    </xf>
    <xf numFmtId="198" fontId="106" fillId="49" borderId="72" xfId="349" applyNumberFormat="1" applyFont="1" applyFill="1" applyBorder="1" applyAlignment="1">
      <alignment vertical="center"/>
    </xf>
    <xf numFmtId="198" fontId="105" fillId="49" borderId="89" xfId="349" applyNumberFormat="1" applyFont="1" applyFill="1" applyBorder="1" applyAlignment="1">
      <alignment vertical="center"/>
    </xf>
    <xf numFmtId="198" fontId="106" fillId="49" borderId="89" xfId="349" applyNumberFormat="1" applyFont="1" applyFill="1" applyBorder="1" applyAlignment="1">
      <alignment vertical="center"/>
    </xf>
    <xf numFmtId="198" fontId="152" fillId="49" borderId="89" xfId="349" applyNumberFormat="1" applyFont="1" applyFill="1" applyBorder="1" applyAlignment="1">
      <alignment vertical="center"/>
    </xf>
    <xf numFmtId="198" fontId="106" fillId="49" borderId="57" xfId="349" applyNumberFormat="1" applyFont="1" applyFill="1" applyBorder="1" applyAlignment="1">
      <alignment vertical="center"/>
    </xf>
    <xf numFmtId="198" fontId="152" fillId="81" borderId="89" xfId="349" applyNumberFormat="1" applyFont="1" applyFill="1" applyBorder="1" applyAlignment="1">
      <alignment vertical="center"/>
    </xf>
    <xf numFmtId="198" fontId="105" fillId="81" borderId="57" xfId="349" applyNumberFormat="1" applyFont="1" applyFill="1" applyBorder="1" applyAlignment="1">
      <alignment vertical="center"/>
    </xf>
    <xf numFmtId="198" fontId="105" fillId="72" borderId="32" xfId="349" applyNumberFormat="1" applyFont="1" applyFill="1" applyBorder="1" applyAlignment="1">
      <alignment vertical="center"/>
    </xf>
    <xf numFmtId="198" fontId="105" fillId="72" borderId="47" xfId="349" applyNumberFormat="1" applyFont="1" applyFill="1" applyBorder="1" applyAlignment="1">
      <alignment vertical="center"/>
    </xf>
    <xf numFmtId="198" fontId="133" fillId="0" borderId="32" xfId="349" applyNumberFormat="1" applyFont="1" applyBorder="1" applyAlignment="1">
      <alignment vertical="center"/>
    </xf>
    <xf numFmtId="198" fontId="158" fillId="72" borderId="47" xfId="349" applyNumberFormat="1" applyFont="1" applyFill="1" applyBorder="1" applyAlignment="1">
      <alignment vertical="center"/>
    </xf>
    <xf numFmtId="198" fontId="158" fillId="0" borderId="32" xfId="349" applyNumberFormat="1" applyFont="1" applyBorder="1" applyAlignment="1">
      <alignment vertical="center"/>
    </xf>
    <xf numFmtId="198" fontId="158" fillId="0" borderId="36" xfId="349" applyNumberFormat="1" applyFont="1" applyBorder="1" applyAlignment="1">
      <alignment vertical="center"/>
    </xf>
    <xf numFmtId="198" fontId="160" fillId="0" borderId="32" xfId="349" applyNumberFormat="1" applyFont="1" applyBorder="1" applyAlignment="1">
      <alignment vertical="center"/>
    </xf>
    <xf numFmtId="198" fontId="158" fillId="0" borderId="31" xfId="349" applyNumberFormat="1" applyFont="1" applyBorder="1" applyAlignment="1">
      <alignment vertical="center"/>
    </xf>
    <xf numFmtId="198" fontId="106" fillId="81" borderId="57" xfId="349" applyNumberFormat="1" applyFont="1" applyFill="1" applyBorder="1" applyAlignment="1">
      <alignment vertical="center"/>
    </xf>
    <xf numFmtId="198" fontId="106" fillId="66" borderId="89" xfId="349" applyNumberFormat="1" applyFont="1" applyFill="1" applyBorder="1" applyAlignment="1">
      <alignment vertical="center"/>
    </xf>
    <xf numFmtId="198" fontId="152" fillId="66" borderId="89" xfId="349" applyNumberFormat="1" applyFont="1" applyFill="1" applyBorder="1" applyAlignment="1">
      <alignment vertical="center"/>
    </xf>
    <xf numFmtId="198" fontId="105" fillId="66" borderId="57" xfId="349" applyNumberFormat="1" applyFont="1" applyFill="1" applyBorder="1" applyAlignment="1">
      <alignment vertical="center"/>
    </xf>
    <xf numFmtId="198" fontId="106" fillId="66" borderId="57" xfId="349" applyNumberFormat="1" applyFont="1" applyFill="1" applyBorder="1" applyAlignment="1">
      <alignment vertical="center"/>
    </xf>
    <xf numFmtId="198" fontId="105" fillId="65" borderId="32" xfId="349" applyNumberFormat="1" applyFont="1" applyFill="1" applyBorder="1" applyAlignment="1">
      <alignment vertical="center"/>
    </xf>
    <xf numFmtId="198" fontId="105" fillId="65" borderId="36" xfId="349" applyNumberFormat="1" applyFont="1" applyFill="1" applyBorder="1" applyAlignment="1">
      <alignment vertical="center"/>
    </xf>
    <xf numFmtId="198" fontId="106" fillId="0" borderId="36" xfId="349" applyNumberFormat="1" applyFont="1" applyBorder="1" applyAlignment="1">
      <alignment vertical="center"/>
    </xf>
    <xf numFmtId="198" fontId="157" fillId="0" borderId="36" xfId="349" applyNumberFormat="1" applyFont="1" applyBorder="1" applyAlignment="1">
      <alignment vertical="center"/>
    </xf>
    <xf numFmtId="198" fontId="105" fillId="64" borderId="37" xfId="349" applyNumberFormat="1" applyFont="1" applyFill="1" applyBorder="1" applyAlignment="1">
      <alignment vertical="center"/>
    </xf>
    <xf numFmtId="198" fontId="105" fillId="69" borderId="89" xfId="349" applyNumberFormat="1" applyFont="1" applyFill="1" applyBorder="1" applyAlignment="1">
      <alignment vertical="center"/>
    </xf>
    <xf numFmtId="198" fontId="106" fillId="69" borderId="89" xfId="349" applyNumberFormat="1" applyFont="1" applyFill="1" applyBorder="1" applyAlignment="1">
      <alignment vertical="center"/>
    </xf>
    <xf numFmtId="198" fontId="106" fillId="69" borderId="57" xfId="349" applyNumberFormat="1" applyFont="1" applyFill="1" applyBorder="1" applyAlignment="1">
      <alignment vertical="center"/>
    </xf>
    <xf numFmtId="0" fontId="105" fillId="0" borderId="89" xfId="345" applyFont="1" applyBorder="1">
      <alignment vertical="center"/>
    </xf>
    <xf numFmtId="0" fontId="114" fillId="0" borderId="89" xfId="345" applyFont="1" applyBorder="1">
      <alignment vertical="center"/>
    </xf>
    <xf numFmtId="0" fontId="105" fillId="0" borderId="85" xfId="345" applyFont="1" applyBorder="1">
      <alignment vertical="center"/>
    </xf>
    <xf numFmtId="0" fontId="105" fillId="0" borderId="76" xfId="345" applyFont="1" applyBorder="1">
      <alignment vertical="center"/>
    </xf>
    <xf numFmtId="0" fontId="105" fillId="0" borderId="32" xfId="345" applyFont="1" applyBorder="1">
      <alignment vertical="center"/>
    </xf>
    <xf numFmtId="198" fontId="105" fillId="0" borderId="82" xfId="349" applyNumberFormat="1" applyFont="1" applyBorder="1" applyAlignment="1">
      <alignment vertical="center"/>
    </xf>
    <xf numFmtId="198" fontId="105" fillId="0" borderId="32" xfId="349" applyNumberFormat="1" applyFont="1" applyBorder="1" applyAlignment="1" applyProtection="1">
      <alignment vertical="center"/>
      <protection locked="0"/>
    </xf>
    <xf numFmtId="198" fontId="105" fillId="0" borderId="31" xfId="349" applyNumberFormat="1" applyFont="1" applyBorder="1" applyAlignment="1" applyProtection="1">
      <alignment vertical="center"/>
      <protection locked="0"/>
    </xf>
    <xf numFmtId="198" fontId="106" fillId="70" borderId="89" xfId="349" applyNumberFormat="1" applyFont="1" applyFill="1" applyBorder="1" applyAlignment="1">
      <alignment vertical="center"/>
    </xf>
    <xf numFmtId="198" fontId="105" fillId="70" borderId="89" xfId="349" applyNumberFormat="1" applyFont="1" applyFill="1" applyBorder="1" applyAlignment="1">
      <alignment vertical="center"/>
    </xf>
    <xf numFmtId="198" fontId="105" fillId="70" borderId="57" xfId="349" applyNumberFormat="1" applyFont="1" applyFill="1" applyBorder="1" applyAlignment="1">
      <alignment vertical="center"/>
    </xf>
    <xf numFmtId="198" fontId="106" fillId="67" borderId="89" xfId="349" applyNumberFormat="1" applyFont="1" applyFill="1" applyBorder="1" applyAlignment="1">
      <alignment vertical="center"/>
    </xf>
    <xf numFmtId="198" fontId="105" fillId="67" borderId="57" xfId="349" applyNumberFormat="1" applyFont="1" applyFill="1" applyBorder="1" applyAlignment="1">
      <alignment vertical="center"/>
    </xf>
    <xf numFmtId="198" fontId="106" fillId="0" borderId="82" xfId="483" applyNumberFormat="1" applyFont="1" applyBorder="1" applyAlignment="1">
      <alignment vertical="center"/>
    </xf>
    <xf numFmtId="198" fontId="105" fillId="0" borderId="47" xfId="483" applyNumberFormat="1" applyFont="1" applyBorder="1" applyAlignment="1">
      <alignment vertical="center"/>
    </xf>
    <xf numFmtId="198" fontId="105" fillId="0" borderId="31" xfId="483" applyNumberFormat="1" applyFont="1" applyBorder="1" applyAlignment="1">
      <alignment vertical="center"/>
    </xf>
    <xf numFmtId="0" fontId="147" fillId="64" borderId="0" xfId="345" applyFont="1" applyFill="1">
      <alignment vertical="center"/>
    </xf>
    <xf numFmtId="198" fontId="159" fillId="64" borderId="24" xfId="349" applyNumberFormat="1" applyFont="1" applyFill="1" applyBorder="1" applyAlignment="1">
      <alignment vertical="center"/>
    </xf>
    <xf numFmtId="198" fontId="158" fillId="64" borderId="23" xfId="349" applyNumberFormat="1" applyFont="1" applyFill="1" applyBorder="1" applyAlignment="1">
      <alignment vertical="center"/>
    </xf>
    <xf numFmtId="198" fontId="159" fillId="64" borderId="23" xfId="349" applyNumberFormat="1" applyFont="1" applyFill="1" applyBorder="1" applyAlignment="1">
      <alignment vertical="center"/>
    </xf>
    <xf numFmtId="198" fontId="158" fillId="64" borderId="31" xfId="349" applyNumberFormat="1" applyFont="1" applyFill="1" applyBorder="1" applyAlignment="1">
      <alignment vertical="center"/>
    </xf>
    <xf numFmtId="198" fontId="159" fillId="64" borderId="11" xfId="349" applyNumberFormat="1" applyFont="1" applyFill="1" applyBorder="1" applyAlignment="1">
      <alignment vertical="center"/>
    </xf>
    <xf numFmtId="198" fontId="158" fillId="64" borderId="0" xfId="349" applyNumberFormat="1" applyFont="1" applyFill="1" applyAlignment="1">
      <alignment vertical="center"/>
    </xf>
    <xf numFmtId="198" fontId="159" fillId="64" borderId="0" xfId="349" applyNumberFormat="1" applyFont="1" applyFill="1" applyAlignment="1">
      <alignment vertical="center"/>
    </xf>
    <xf numFmtId="198" fontId="158" fillId="64" borderId="32" xfId="349" applyNumberFormat="1" applyFont="1" applyFill="1" applyBorder="1" applyAlignment="1">
      <alignment vertical="center"/>
    </xf>
    <xf numFmtId="198" fontId="187" fillId="64" borderId="11" xfId="349" applyNumberFormat="1" applyFont="1" applyFill="1" applyBorder="1" applyAlignment="1">
      <alignment vertical="center"/>
    </xf>
    <xf numFmtId="198" fontId="182" fillId="64" borderId="48" xfId="349" applyNumberFormat="1" applyFont="1" applyFill="1" applyBorder="1" applyAlignment="1">
      <alignment vertical="center"/>
    </xf>
    <xf numFmtId="198" fontId="187" fillId="64" borderId="48" xfId="349" applyNumberFormat="1" applyFont="1" applyFill="1" applyBorder="1" applyAlignment="1">
      <alignment vertical="center"/>
    </xf>
    <xf numFmtId="198" fontId="187" fillId="64" borderId="47" xfId="349" applyNumberFormat="1" applyFont="1" applyFill="1" applyBorder="1" applyAlignment="1">
      <alignment vertical="center"/>
    </xf>
    <xf numFmtId="198" fontId="187" fillId="64" borderId="0" xfId="349" applyNumberFormat="1" applyFont="1" applyFill="1" applyAlignment="1">
      <alignment vertical="center"/>
    </xf>
    <xf numFmtId="198" fontId="187" fillId="64" borderId="32" xfId="349" applyNumberFormat="1" applyFont="1" applyFill="1" applyBorder="1" applyAlignment="1">
      <alignment vertical="center"/>
    </xf>
    <xf numFmtId="198" fontId="182" fillId="64" borderId="32" xfId="349" applyNumberFormat="1" applyFont="1" applyFill="1" applyBorder="1" applyAlignment="1">
      <alignment vertical="center"/>
    </xf>
    <xf numFmtId="198" fontId="187" fillId="64" borderId="24" xfId="349" applyNumberFormat="1" applyFont="1" applyFill="1" applyBorder="1" applyAlignment="1">
      <alignment vertical="center"/>
    </xf>
    <xf numFmtId="198" fontId="182" fillId="64" borderId="23" xfId="349" applyNumberFormat="1" applyFont="1" applyFill="1" applyBorder="1" applyAlignment="1">
      <alignment vertical="center"/>
    </xf>
    <xf numFmtId="198" fontId="187" fillId="64" borderId="23" xfId="349" applyNumberFormat="1" applyFont="1" applyFill="1" applyBorder="1" applyAlignment="1">
      <alignment vertical="center"/>
    </xf>
    <xf numFmtId="198" fontId="182" fillId="64" borderId="31" xfId="349" applyNumberFormat="1" applyFont="1" applyFill="1" applyBorder="1" applyAlignment="1">
      <alignment vertical="center"/>
    </xf>
    <xf numFmtId="0" fontId="114" fillId="79" borderId="72" xfId="349" applyFont="1" applyFill="1" applyBorder="1"/>
    <xf numFmtId="198" fontId="163" fillId="0" borderId="0" xfId="349" applyNumberFormat="1" applyFont="1" applyAlignment="1">
      <alignment vertical="center"/>
    </xf>
    <xf numFmtId="0" fontId="123" fillId="69" borderId="72" xfId="349" applyFont="1" applyFill="1" applyBorder="1"/>
    <xf numFmtId="0" fontId="105" fillId="0" borderId="89" xfId="345" applyFont="1" applyBorder="1" applyAlignment="1">
      <alignment vertical="top"/>
    </xf>
    <xf numFmtId="0" fontId="105" fillId="0" borderId="0" xfId="345" applyFont="1" applyAlignment="1">
      <alignment vertical="top"/>
    </xf>
    <xf numFmtId="0" fontId="105" fillId="0" borderId="23" xfId="345" applyFont="1" applyBorder="1" applyAlignment="1">
      <alignment vertical="top"/>
    </xf>
    <xf numFmtId="0" fontId="105" fillId="83" borderId="0" xfId="345" applyFont="1" applyFill="1">
      <alignment vertical="center"/>
    </xf>
    <xf numFmtId="198" fontId="200" fillId="0" borderId="0" xfId="349" applyNumberFormat="1" applyFont="1" applyAlignment="1">
      <alignment vertical="center"/>
    </xf>
    <xf numFmtId="0" fontId="36" fillId="0" borderId="0" xfId="345" applyFont="1">
      <alignment vertical="center"/>
    </xf>
    <xf numFmtId="0" fontId="171" fillId="64" borderId="0" xfId="345" applyFont="1" applyFill="1">
      <alignment vertical="center"/>
    </xf>
    <xf numFmtId="0" fontId="171" fillId="0" borderId="0" xfId="345" applyFont="1">
      <alignment vertical="center"/>
    </xf>
    <xf numFmtId="198" fontId="105" fillId="0" borderId="0" xfId="349" applyNumberFormat="1" applyFont="1" applyAlignment="1">
      <alignment horizontal="left" vertical="center" indent="2"/>
    </xf>
    <xf numFmtId="198" fontId="105" fillId="0" borderId="0" xfId="349" applyNumberFormat="1" applyFont="1" applyAlignment="1">
      <alignment horizontal="left" vertical="center"/>
    </xf>
    <xf numFmtId="198" fontId="105" fillId="0" borderId="23" xfId="349" applyNumberFormat="1" applyFont="1" applyBorder="1" applyAlignment="1">
      <alignment horizontal="left" vertical="center"/>
    </xf>
    <xf numFmtId="204" fontId="105" fillId="0" borderId="25" xfId="415" applyNumberFormat="1" applyFont="1" applyFill="1" applyBorder="1" applyAlignment="1" applyProtection="1">
      <alignment vertical="center"/>
    </xf>
    <xf numFmtId="195" fontId="105" fillId="0" borderId="25" xfId="416" applyNumberFormat="1" applyFont="1" applyFill="1" applyBorder="1" applyAlignment="1" applyProtection="1">
      <alignment vertical="center"/>
    </xf>
    <xf numFmtId="204" fontId="105" fillId="0" borderId="22" xfId="415" applyNumberFormat="1" applyFont="1" applyFill="1" applyBorder="1" applyAlignment="1" applyProtection="1">
      <alignment vertical="center"/>
    </xf>
    <xf numFmtId="195" fontId="105" fillId="0" borderId="22" xfId="416" applyNumberFormat="1" applyFont="1" applyFill="1" applyBorder="1" applyAlignment="1" applyProtection="1">
      <alignment vertical="center"/>
    </xf>
    <xf numFmtId="204" fontId="105" fillId="0" borderId="35" xfId="415" applyNumberFormat="1" applyFont="1" applyFill="1" applyBorder="1" applyAlignment="1" applyProtection="1">
      <alignment vertical="center"/>
    </xf>
    <xf numFmtId="195" fontId="105" fillId="0" borderId="35" xfId="416" applyNumberFormat="1" applyFont="1" applyFill="1" applyBorder="1" applyAlignment="1" applyProtection="1">
      <alignment vertical="center"/>
    </xf>
    <xf numFmtId="49" fontId="199" fillId="64" borderId="0" xfId="345" applyNumberFormat="1" applyFont="1" applyFill="1">
      <alignment vertical="center"/>
    </xf>
    <xf numFmtId="0" fontId="199" fillId="64" borderId="0" xfId="345" applyFont="1" applyFill="1">
      <alignment vertical="center"/>
    </xf>
    <xf numFmtId="198" fontId="147" fillId="0" borderId="72" xfId="349" applyNumberFormat="1" applyFont="1" applyBorder="1" applyAlignment="1">
      <alignment vertical="center"/>
    </xf>
    <xf numFmtId="198" fontId="147" fillId="64" borderId="23" xfId="349" applyNumberFormat="1" applyFont="1" applyFill="1" applyBorder="1" applyAlignment="1">
      <alignment vertical="center"/>
    </xf>
    <xf numFmtId="195" fontId="159" fillId="0" borderId="86" xfId="416" applyNumberFormat="1" applyFont="1" applyFill="1" applyBorder="1" applyAlignment="1" applyProtection="1">
      <alignment vertical="center"/>
    </xf>
    <xf numFmtId="204" fontId="105" fillId="64" borderId="25" xfId="415" applyNumberFormat="1" applyFont="1" applyFill="1" applyBorder="1" applyAlignment="1" applyProtection="1">
      <alignment vertical="center"/>
    </xf>
    <xf numFmtId="195" fontId="105" fillId="64" borderId="25" xfId="416" applyNumberFormat="1" applyFont="1" applyFill="1" applyBorder="1" applyAlignment="1" applyProtection="1">
      <alignment vertical="center"/>
    </xf>
    <xf numFmtId="204" fontId="105" fillId="64" borderId="22" xfId="415" applyNumberFormat="1" applyFont="1" applyFill="1" applyBorder="1" applyAlignment="1" applyProtection="1">
      <alignment vertical="center"/>
    </xf>
    <xf numFmtId="195" fontId="105" fillId="64" borderId="22" xfId="416" applyNumberFormat="1" applyFont="1" applyFill="1" applyBorder="1" applyAlignment="1" applyProtection="1">
      <alignment vertical="center"/>
    </xf>
    <xf numFmtId="38" fontId="105" fillId="67" borderId="25" xfId="415" applyFont="1" applyFill="1" applyBorder="1" applyAlignment="1" applyProtection="1">
      <alignment vertical="center"/>
    </xf>
    <xf numFmtId="204" fontId="105" fillId="67" borderId="25" xfId="415" applyNumberFormat="1" applyFont="1" applyFill="1" applyBorder="1" applyAlignment="1" applyProtection="1">
      <alignment vertical="center"/>
    </xf>
    <xf numFmtId="195" fontId="105" fillId="67" borderId="25" xfId="416" applyNumberFormat="1" applyFont="1" applyFill="1" applyBorder="1" applyAlignment="1" applyProtection="1">
      <alignment vertical="center"/>
    </xf>
    <xf numFmtId="38" fontId="105" fillId="88" borderId="25" xfId="415" applyFont="1" applyFill="1" applyBorder="1" applyAlignment="1" applyProtection="1">
      <alignment vertical="center"/>
    </xf>
    <xf numFmtId="204" fontId="105" fillId="88" borderId="25" xfId="415" applyNumberFormat="1" applyFont="1" applyFill="1" applyBorder="1" applyAlignment="1" applyProtection="1">
      <alignment vertical="center"/>
    </xf>
    <xf numFmtId="195" fontId="105" fillId="88" borderId="25" xfId="416" applyNumberFormat="1" applyFont="1" applyFill="1" applyBorder="1" applyAlignment="1" applyProtection="1">
      <alignment vertical="center"/>
    </xf>
    <xf numFmtId="38" fontId="105" fillId="66" borderId="25" xfId="415" applyFont="1" applyFill="1" applyBorder="1" applyAlignment="1" applyProtection="1">
      <alignment vertical="center"/>
    </xf>
    <xf numFmtId="204" fontId="105" fillId="66" borderId="25" xfId="415" applyNumberFormat="1" applyFont="1" applyFill="1" applyBorder="1" applyAlignment="1" applyProtection="1">
      <alignment vertical="center"/>
    </xf>
    <xf numFmtId="195" fontId="105" fillId="66" borderId="25" xfId="416" applyNumberFormat="1" applyFont="1" applyFill="1" applyBorder="1" applyAlignment="1" applyProtection="1">
      <alignment vertical="center"/>
    </xf>
    <xf numFmtId="38" fontId="105" fillId="79" borderId="25" xfId="415" applyFont="1" applyFill="1" applyBorder="1" applyAlignment="1" applyProtection="1">
      <alignment vertical="center"/>
    </xf>
    <xf numFmtId="204" fontId="105" fillId="79" borderId="25" xfId="415" applyNumberFormat="1" applyFont="1" applyFill="1" applyBorder="1" applyAlignment="1" applyProtection="1">
      <alignment vertical="center"/>
    </xf>
    <xf numFmtId="195" fontId="105" fillId="79" borderId="25" xfId="416" applyNumberFormat="1" applyFont="1" applyFill="1" applyBorder="1" applyAlignment="1" applyProtection="1">
      <alignment vertical="center"/>
    </xf>
    <xf numFmtId="38" fontId="105" fillId="64" borderId="32" xfId="415" applyFont="1" applyFill="1" applyBorder="1" applyAlignment="1" applyProtection="1">
      <alignment vertical="center"/>
    </xf>
    <xf numFmtId="204" fontId="105" fillId="64" borderId="32" xfId="415" applyNumberFormat="1" applyFont="1" applyFill="1" applyBorder="1" applyAlignment="1" applyProtection="1">
      <alignment vertical="center"/>
    </xf>
    <xf numFmtId="195" fontId="105" fillId="64" borderId="32" xfId="416" applyNumberFormat="1" applyFont="1" applyFill="1" applyBorder="1" applyAlignment="1" applyProtection="1">
      <alignment vertical="center"/>
    </xf>
    <xf numFmtId="38" fontId="105" fillId="64" borderId="82" xfId="415" applyFont="1" applyFill="1" applyBorder="1" applyAlignment="1" applyProtection="1">
      <alignment vertical="center"/>
    </xf>
    <xf numFmtId="204" fontId="105" fillId="64" borderId="82" xfId="415" applyNumberFormat="1" applyFont="1" applyFill="1" applyBorder="1" applyAlignment="1" applyProtection="1">
      <alignment vertical="center"/>
    </xf>
    <xf numFmtId="195" fontId="105" fillId="64" borderId="82" xfId="416" applyNumberFormat="1" applyFont="1" applyFill="1" applyBorder="1" applyAlignment="1" applyProtection="1">
      <alignment vertical="center"/>
    </xf>
    <xf numFmtId="197" fontId="117" fillId="64" borderId="37" xfId="297" applyNumberFormat="1" applyFont="1" applyFill="1" applyBorder="1" applyAlignment="1">
      <alignment horizontal="right" vertical="center"/>
    </xf>
    <xf numFmtId="197" fontId="117" fillId="64" borderId="36" xfId="297" applyNumberFormat="1" applyFont="1" applyFill="1" applyBorder="1" applyAlignment="1">
      <alignment horizontal="right" vertical="center"/>
    </xf>
    <xf numFmtId="195" fontId="158" fillId="0" borderId="35" xfId="416" applyNumberFormat="1" applyFont="1" applyFill="1" applyBorder="1" applyAlignment="1" applyProtection="1">
      <alignment vertical="center"/>
    </xf>
    <xf numFmtId="49" fontId="203" fillId="75" borderId="78" xfId="345" applyNumberFormat="1" applyFont="1" applyFill="1" applyBorder="1" applyAlignment="1">
      <alignment horizontal="center" vertical="center"/>
    </xf>
    <xf numFmtId="38" fontId="120" fillId="64" borderId="0" xfId="485" applyFont="1" applyFill="1" applyBorder="1" applyAlignment="1" applyProtection="1">
      <alignment vertical="center"/>
      <protection locked="0"/>
    </xf>
    <xf numFmtId="198" fontId="123" fillId="0" borderId="0" xfId="349" applyNumberFormat="1" applyFont="1" applyAlignment="1">
      <alignment vertical="center"/>
    </xf>
    <xf numFmtId="170" fontId="105" fillId="75" borderId="78" xfId="420" applyFont="1" applyFill="1" applyBorder="1" applyAlignment="1" applyProtection="1">
      <alignment horizontal="centerContinuous" vertical="center"/>
      <protection locked="0"/>
    </xf>
    <xf numFmtId="0" fontId="110" fillId="65" borderId="77" xfId="345" applyFont="1" applyFill="1" applyBorder="1">
      <alignment vertical="center"/>
    </xf>
    <xf numFmtId="0" fontId="110" fillId="65" borderId="79" xfId="345" applyFont="1" applyFill="1" applyBorder="1">
      <alignment vertical="center"/>
    </xf>
    <xf numFmtId="0" fontId="110" fillId="65" borderId="85" xfId="345" applyFont="1" applyFill="1" applyBorder="1">
      <alignment vertical="center"/>
    </xf>
    <xf numFmtId="170" fontId="105" fillId="71" borderId="78" xfId="420" applyFont="1" applyFill="1" applyBorder="1" applyAlignment="1">
      <alignment horizontal="center" vertical="center"/>
    </xf>
    <xf numFmtId="0" fontId="199" fillId="89" borderId="0" xfId="345" applyFont="1" applyFill="1">
      <alignment vertical="center"/>
    </xf>
    <xf numFmtId="198" fontId="200" fillId="89" borderId="0" xfId="349" applyNumberFormat="1" applyFont="1" applyFill="1" applyAlignment="1">
      <alignment vertical="center"/>
    </xf>
    <xf numFmtId="198" fontId="201" fillId="83" borderId="0" xfId="349" applyNumberFormat="1" applyFont="1" applyFill="1" applyAlignment="1">
      <alignment vertical="center"/>
    </xf>
    <xf numFmtId="198" fontId="202" fillId="83" borderId="0" xfId="349" applyNumberFormat="1" applyFont="1" applyFill="1" applyAlignment="1">
      <alignment vertical="center"/>
    </xf>
    <xf numFmtId="0" fontId="201" fillId="83" borderId="0" xfId="345" applyFont="1" applyFill="1">
      <alignment vertical="center"/>
    </xf>
    <xf numFmtId="198" fontId="106" fillId="83" borderId="0" xfId="349" applyNumberFormat="1" applyFont="1" applyFill="1" applyAlignment="1">
      <alignment vertical="center"/>
    </xf>
    <xf numFmtId="198" fontId="107" fillId="89" borderId="0" xfId="349" applyNumberFormat="1" applyFont="1" applyFill="1" applyAlignment="1">
      <alignment vertical="center"/>
    </xf>
    <xf numFmtId="198" fontId="114" fillId="0" borderId="37" xfId="349" applyNumberFormat="1" applyFont="1" applyBorder="1" applyAlignment="1">
      <alignment vertical="center"/>
    </xf>
    <xf numFmtId="0" fontId="106" fillId="0" borderId="85" xfId="345" applyFont="1" applyBorder="1">
      <alignment vertical="center"/>
    </xf>
    <xf numFmtId="0" fontId="106" fillId="83" borderId="0" xfId="345" applyFont="1" applyFill="1">
      <alignment vertical="center"/>
    </xf>
    <xf numFmtId="0" fontId="114" fillId="64" borderId="89" xfId="345" applyFont="1" applyFill="1" applyBorder="1">
      <alignment vertical="center"/>
    </xf>
    <xf numFmtId="0" fontId="123" fillId="79" borderId="72" xfId="349" applyFont="1" applyFill="1" applyBorder="1"/>
    <xf numFmtId="198" fontId="114" fillId="0" borderId="0" xfId="349" applyNumberFormat="1" applyFont="1" applyAlignment="1" applyProtection="1">
      <alignment vertical="center"/>
      <protection locked="0"/>
    </xf>
    <xf numFmtId="0" fontId="200" fillId="89" borderId="0" xfId="345" applyFont="1" applyFill="1">
      <alignment vertical="center"/>
    </xf>
    <xf numFmtId="38" fontId="187" fillId="74" borderId="77" xfId="485" applyFont="1" applyFill="1" applyBorder="1" applyAlignment="1" applyProtection="1">
      <alignment vertical="center"/>
    </xf>
    <xf numFmtId="38" fontId="187" fillId="74" borderId="79" xfId="485" applyFont="1" applyFill="1" applyBorder="1" applyAlignment="1" applyProtection="1">
      <alignment vertical="center"/>
    </xf>
    <xf numFmtId="38" fontId="187" fillId="74" borderId="85" xfId="485" applyFont="1" applyFill="1" applyBorder="1" applyAlignment="1" applyProtection="1">
      <alignment vertical="center"/>
    </xf>
    <xf numFmtId="38" fontId="187" fillId="74" borderId="78" xfId="485" applyFont="1" applyFill="1" applyBorder="1" applyAlignment="1" applyProtection="1">
      <alignment vertical="center"/>
    </xf>
    <xf numFmtId="38" fontId="182" fillId="74" borderId="78" xfId="485" applyFont="1" applyFill="1" applyBorder="1" applyAlignment="1" applyProtection="1">
      <alignment vertical="center"/>
    </xf>
    <xf numFmtId="38" fontId="182" fillId="74" borderId="77" xfId="485" applyFont="1" applyFill="1" applyBorder="1" applyAlignment="1" applyProtection="1">
      <alignment vertical="center"/>
    </xf>
    <xf numFmtId="38" fontId="187" fillId="74" borderId="72" xfId="485" applyFont="1" applyFill="1" applyBorder="1" applyAlignment="1" applyProtection="1">
      <alignment vertical="center"/>
    </xf>
    <xf numFmtId="38" fontId="187" fillId="74" borderId="89" xfId="485" applyFont="1" applyFill="1" applyBorder="1" applyAlignment="1" applyProtection="1">
      <alignment vertical="center"/>
    </xf>
    <xf numFmtId="38" fontId="187" fillId="74" borderId="57" xfId="485" applyFont="1" applyFill="1" applyBorder="1" applyAlignment="1" applyProtection="1">
      <alignment vertical="center"/>
    </xf>
    <xf numFmtId="38" fontId="187" fillId="0" borderId="72" xfId="485" applyFont="1" applyFill="1" applyBorder="1" applyAlignment="1" applyProtection="1">
      <alignment vertical="center"/>
    </xf>
    <xf numFmtId="38" fontId="187" fillId="0" borderId="89" xfId="485" applyFont="1" applyFill="1" applyBorder="1" applyAlignment="1" applyProtection="1">
      <alignment vertical="center"/>
    </xf>
    <xf numFmtId="38" fontId="191" fillId="0" borderId="57" xfId="485" applyFont="1" applyFill="1" applyBorder="1" applyAlignment="1" applyProtection="1">
      <alignment vertical="center"/>
    </xf>
    <xf numFmtId="38" fontId="187" fillId="0" borderId="25" xfId="485" applyFont="1" applyFill="1" applyBorder="1" applyAlignment="1" applyProtection="1">
      <alignment vertical="center"/>
    </xf>
    <xf numFmtId="38" fontId="182" fillId="0" borderId="25" xfId="485" applyFont="1" applyFill="1" applyBorder="1" applyAlignment="1" applyProtection="1">
      <alignment vertical="center"/>
    </xf>
    <xf numFmtId="38" fontId="182" fillId="0" borderId="11" xfId="485" applyFont="1" applyFill="1" applyBorder="1" applyAlignment="1" applyProtection="1">
      <alignment vertical="center"/>
    </xf>
    <xf numFmtId="38" fontId="187" fillId="0" borderId="0" xfId="485" applyFont="1" applyFill="1" applyBorder="1" applyAlignment="1" applyProtection="1">
      <alignment vertical="center"/>
    </xf>
    <xf numFmtId="38" fontId="191" fillId="0" borderId="32" xfId="485" applyFont="1" applyFill="1" applyBorder="1" applyAlignment="1" applyProtection="1">
      <alignment vertical="center"/>
    </xf>
    <xf numFmtId="38" fontId="159" fillId="0" borderId="11" xfId="485" applyFont="1" applyFill="1" applyBorder="1" applyAlignment="1" applyProtection="1">
      <alignment vertical="center"/>
    </xf>
    <xf numFmtId="38" fontId="158" fillId="0" borderId="37" xfId="485" applyFont="1" applyFill="1" applyBorder="1" applyAlignment="1" applyProtection="1">
      <alignment vertical="center"/>
    </xf>
    <xf numFmtId="38" fontId="159" fillId="0" borderId="37" xfId="485" applyFont="1" applyFill="1" applyBorder="1" applyAlignment="1" applyProtection="1">
      <alignment vertical="center"/>
    </xf>
    <xf numFmtId="38" fontId="192" fillId="0" borderId="36" xfId="485" applyFont="1" applyFill="1" applyBorder="1" applyAlignment="1" applyProtection="1">
      <alignment vertical="center"/>
    </xf>
    <xf numFmtId="38" fontId="187" fillId="0" borderId="11" xfId="485" applyFont="1" applyFill="1" applyBorder="1" applyAlignment="1" applyProtection="1">
      <alignment vertical="center"/>
    </xf>
    <xf numFmtId="38" fontId="187" fillId="0" borderId="24" xfId="485" applyFont="1" applyFill="1" applyBorder="1" applyAlignment="1" applyProtection="1">
      <alignment vertical="center"/>
    </xf>
    <xf numFmtId="38" fontId="187" fillId="0" borderId="23" xfId="485" applyFont="1" applyFill="1" applyBorder="1" applyAlignment="1" applyProtection="1">
      <alignment vertical="center"/>
    </xf>
    <xf numFmtId="38" fontId="191" fillId="0" borderId="31" xfId="485" applyFont="1" applyFill="1" applyBorder="1" applyAlignment="1" applyProtection="1">
      <alignment vertical="center"/>
    </xf>
    <xf numFmtId="38" fontId="187" fillId="74" borderId="11" xfId="485" applyFont="1" applyFill="1" applyBorder="1" applyAlignment="1" applyProtection="1">
      <alignment vertical="center"/>
    </xf>
    <xf numFmtId="38" fontId="187" fillId="74" borderId="0" xfId="485" applyFont="1" applyFill="1" applyBorder="1" applyAlignment="1" applyProtection="1">
      <alignment vertical="center"/>
    </xf>
    <xf numFmtId="38" fontId="191" fillId="74" borderId="32" xfId="485" applyFont="1" applyFill="1" applyBorder="1" applyAlignment="1" applyProtection="1">
      <alignment vertical="center"/>
    </xf>
    <xf numFmtId="38" fontId="158" fillId="0" borderId="0" xfId="485" applyFont="1" applyFill="1" applyBorder="1" applyAlignment="1" applyProtection="1">
      <alignment vertical="center"/>
    </xf>
    <xf numFmtId="38" fontId="159" fillId="0" borderId="0" xfId="485" applyFont="1" applyFill="1" applyBorder="1" applyAlignment="1" applyProtection="1">
      <alignment vertical="center"/>
    </xf>
    <xf numFmtId="38" fontId="159" fillId="0" borderId="24" xfId="485" applyFont="1" applyFill="1" applyBorder="1" applyAlignment="1" applyProtection="1">
      <alignment vertical="center"/>
    </xf>
    <xf numFmtId="38" fontId="158" fillId="0" borderId="23" xfId="485" applyFont="1" applyFill="1" applyBorder="1" applyAlignment="1" applyProtection="1">
      <alignment vertical="center"/>
    </xf>
    <xf numFmtId="38" fontId="159" fillId="0" borderId="23" xfId="485" applyFont="1" applyFill="1" applyBorder="1" applyAlignment="1" applyProtection="1">
      <alignment vertical="center"/>
    </xf>
    <xf numFmtId="38" fontId="192" fillId="0" borderId="31" xfId="485" applyFont="1" applyFill="1" applyBorder="1" applyAlignment="1" applyProtection="1">
      <alignment vertical="center"/>
    </xf>
    <xf numFmtId="0" fontId="106" fillId="0" borderId="32" xfId="349" applyFont="1" applyBorder="1"/>
    <xf numFmtId="0" fontId="106" fillId="0" borderId="23" xfId="349" applyFont="1" applyBorder="1"/>
    <xf numFmtId="0" fontId="106" fillId="0" borderId="31" xfId="349" applyFont="1" applyBorder="1"/>
    <xf numFmtId="0" fontId="105" fillId="0" borderId="23" xfId="349" applyFont="1" applyBorder="1"/>
    <xf numFmtId="0" fontId="106" fillId="0" borderId="76" xfId="349" applyFont="1" applyBorder="1"/>
    <xf numFmtId="0" fontId="105" fillId="0" borderId="76" xfId="349" applyFont="1" applyBorder="1"/>
    <xf numFmtId="0" fontId="106" fillId="0" borderId="82" xfId="349" applyFont="1" applyBorder="1"/>
    <xf numFmtId="0" fontId="106" fillId="0" borderId="72" xfId="349" applyFont="1" applyBorder="1"/>
    <xf numFmtId="0" fontId="105" fillId="0" borderId="11" xfId="349" applyFont="1" applyBorder="1"/>
    <xf numFmtId="0" fontId="105" fillId="0" borderId="24" xfId="349" applyFont="1" applyBorder="1"/>
    <xf numFmtId="0" fontId="106" fillId="0" borderId="85" xfId="349" applyFont="1" applyBorder="1"/>
    <xf numFmtId="0" fontId="105" fillId="0" borderId="37" xfId="349" applyFont="1" applyBorder="1"/>
    <xf numFmtId="0" fontId="106" fillId="0" borderId="37" xfId="349" applyFont="1" applyBorder="1"/>
    <xf numFmtId="0" fontId="106" fillId="0" borderId="36" xfId="349" applyFont="1" applyBorder="1"/>
    <xf numFmtId="0" fontId="105" fillId="0" borderId="45" xfId="349" applyFont="1" applyBorder="1"/>
    <xf numFmtId="0" fontId="106" fillId="0" borderId="45" xfId="349" applyFont="1" applyBorder="1"/>
    <xf numFmtId="0" fontId="106" fillId="0" borderId="44" xfId="349" applyFont="1" applyBorder="1"/>
    <xf numFmtId="38" fontId="105" fillId="0" borderId="82" xfId="415" applyFont="1" applyFill="1" applyBorder="1" applyAlignment="1"/>
    <xf numFmtId="38" fontId="105" fillId="0" borderId="44" xfId="415" applyFont="1" applyFill="1" applyBorder="1" applyAlignment="1"/>
    <xf numFmtId="38" fontId="105" fillId="0" borderId="32" xfId="415" applyFont="1" applyFill="1" applyBorder="1" applyAlignment="1"/>
    <xf numFmtId="38" fontId="105" fillId="0" borderId="36" xfId="415" applyFont="1" applyFill="1" applyBorder="1" applyAlignment="1"/>
    <xf numFmtId="38" fontId="105" fillId="0" borderId="31" xfId="415" applyFont="1" applyFill="1" applyBorder="1" applyAlignment="1"/>
    <xf numFmtId="38" fontId="105" fillId="0" borderId="85" xfId="415" applyFont="1" applyFill="1" applyBorder="1" applyAlignment="1"/>
    <xf numFmtId="0" fontId="123" fillId="79" borderId="25" xfId="349" applyFont="1" applyFill="1" applyBorder="1"/>
    <xf numFmtId="0" fontId="123" fillId="79" borderId="22" xfId="349" applyFont="1" applyFill="1" applyBorder="1"/>
    <xf numFmtId="38" fontId="105" fillId="81" borderId="86" xfId="415" applyFont="1" applyFill="1" applyBorder="1">
      <alignment vertical="center"/>
    </xf>
    <xf numFmtId="0" fontId="106" fillId="71" borderId="25" xfId="349" applyFont="1" applyFill="1" applyBorder="1"/>
    <xf numFmtId="0" fontId="105" fillId="64" borderId="11" xfId="345" applyFont="1" applyFill="1" applyBorder="1" applyAlignment="1">
      <alignment vertical="top"/>
    </xf>
    <xf numFmtId="0" fontId="106" fillId="71" borderId="22" xfId="349" applyFont="1" applyFill="1" applyBorder="1"/>
    <xf numFmtId="0" fontId="105" fillId="64" borderId="24" xfId="345" applyFont="1" applyFill="1" applyBorder="1" applyAlignment="1">
      <alignment vertical="top"/>
    </xf>
    <xf numFmtId="0" fontId="28" fillId="83" borderId="0" xfId="345" applyFont="1" applyFill="1">
      <alignment vertical="center"/>
    </xf>
    <xf numFmtId="38" fontId="105" fillId="0" borderId="82" xfId="415" applyFont="1" applyFill="1" applyBorder="1" applyAlignment="1" applyProtection="1">
      <alignment vertical="center"/>
    </xf>
    <xf numFmtId="204" fontId="105" fillId="0" borderId="82" xfId="415" applyNumberFormat="1" applyFont="1" applyFill="1" applyBorder="1" applyAlignment="1" applyProtection="1">
      <alignment vertical="center"/>
    </xf>
    <xf numFmtId="195" fontId="105" fillId="0" borderId="82" xfId="416" applyNumberFormat="1" applyFont="1" applyFill="1" applyBorder="1" applyAlignment="1" applyProtection="1">
      <alignment vertical="center"/>
    </xf>
    <xf numFmtId="197" fontId="117" fillId="0" borderId="36" xfId="297" applyNumberFormat="1" applyFont="1" applyFill="1" applyBorder="1" applyAlignment="1">
      <alignment horizontal="right" vertical="center"/>
    </xf>
    <xf numFmtId="38" fontId="105" fillId="0" borderId="25" xfId="485" applyFont="1" applyFill="1" applyBorder="1" applyAlignment="1" applyProtection="1">
      <alignment vertical="center"/>
    </xf>
    <xf numFmtId="38" fontId="105" fillId="0" borderId="22" xfId="485" applyFont="1" applyFill="1" applyBorder="1" applyAlignment="1" applyProtection="1">
      <alignment vertical="center"/>
    </xf>
    <xf numFmtId="197" fontId="117" fillId="0" borderId="37" xfId="297" applyNumberFormat="1" applyFont="1" applyFill="1" applyBorder="1" applyAlignment="1">
      <alignment horizontal="right" vertical="center"/>
    </xf>
    <xf numFmtId="204" fontId="105" fillId="0" borderId="44" xfId="415" applyNumberFormat="1" applyFont="1" applyFill="1" applyBorder="1" applyAlignment="1" applyProtection="1">
      <alignment vertical="center"/>
    </xf>
    <xf numFmtId="195" fontId="105" fillId="0" borderId="44" xfId="416" applyNumberFormat="1" applyFont="1" applyFill="1" applyBorder="1" applyAlignment="1" applyProtection="1">
      <alignment vertical="center"/>
    </xf>
    <xf numFmtId="38" fontId="105" fillId="0" borderId="32" xfId="415" applyFont="1" applyFill="1" applyBorder="1">
      <alignment vertical="center"/>
    </xf>
    <xf numFmtId="204" fontId="105" fillId="0" borderId="32" xfId="415" applyNumberFormat="1" applyFont="1" applyFill="1" applyBorder="1">
      <alignment vertical="center"/>
    </xf>
    <xf numFmtId="195" fontId="105" fillId="0" borderId="32" xfId="416" applyNumberFormat="1" applyFont="1" applyFill="1" applyBorder="1">
      <alignment vertical="center"/>
    </xf>
    <xf numFmtId="38" fontId="105" fillId="0" borderId="31" xfId="415" applyFont="1" applyFill="1" applyBorder="1">
      <alignment vertical="center"/>
    </xf>
    <xf numFmtId="204" fontId="105" fillId="0" borderId="31" xfId="415" applyNumberFormat="1" applyFont="1" applyFill="1" applyBorder="1">
      <alignment vertical="center"/>
    </xf>
    <xf numFmtId="195" fontId="105" fillId="0" borderId="31" xfId="416" applyNumberFormat="1" applyFont="1" applyFill="1" applyBorder="1">
      <alignment vertical="center"/>
    </xf>
    <xf numFmtId="198" fontId="105" fillId="64" borderId="99" xfId="349" applyNumberFormat="1" applyFont="1" applyFill="1" applyBorder="1" applyAlignment="1">
      <alignment vertical="center"/>
    </xf>
    <xf numFmtId="198" fontId="106" fillId="0" borderId="45" xfId="349" applyNumberFormat="1" applyFont="1" applyBorder="1" applyAlignment="1">
      <alignment vertical="center"/>
    </xf>
    <xf numFmtId="198" fontId="105" fillId="64" borderId="100" xfId="349" applyNumberFormat="1" applyFont="1" applyFill="1" applyBorder="1" applyAlignment="1">
      <alignment vertical="center"/>
    </xf>
    <xf numFmtId="198" fontId="106" fillId="0" borderId="40" xfId="349" applyNumberFormat="1" applyFont="1" applyBorder="1" applyAlignment="1">
      <alignment vertical="center"/>
    </xf>
    <xf numFmtId="198" fontId="105" fillId="0" borderId="40" xfId="349" applyNumberFormat="1" applyFont="1" applyBorder="1" applyAlignment="1">
      <alignment vertical="center"/>
    </xf>
    <xf numFmtId="38" fontId="105" fillId="0" borderId="39" xfId="415" applyFont="1" applyBorder="1" applyAlignment="1" applyProtection="1">
      <alignment vertical="center"/>
    </xf>
    <xf numFmtId="38" fontId="105" fillId="0" borderId="84" xfId="415" applyFont="1" applyBorder="1" applyAlignment="1" applyProtection="1">
      <alignment vertical="center"/>
    </xf>
    <xf numFmtId="204" fontId="105" fillId="0" borderId="39" xfId="415" applyNumberFormat="1" applyFont="1" applyBorder="1" applyAlignment="1" applyProtection="1">
      <alignment vertical="center"/>
    </xf>
    <xf numFmtId="195" fontId="105" fillId="0" borderId="39" xfId="416" applyNumberFormat="1" applyFont="1" applyBorder="1" applyAlignment="1" applyProtection="1">
      <alignment vertical="center"/>
    </xf>
    <xf numFmtId="0" fontId="105" fillId="79" borderId="72" xfId="349" applyFont="1" applyFill="1" applyBorder="1"/>
    <xf numFmtId="0" fontId="106" fillId="79" borderId="26" xfId="349" applyFont="1" applyFill="1" applyBorder="1"/>
    <xf numFmtId="0" fontId="204" fillId="85" borderId="0" xfId="345" applyFont="1" applyFill="1">
      <alignment vertical="center"/>
    </xf>
    <xf numFmtId="198" fontId="105" fillId="0" borderId="24" xfId="349" applyNumberFormat="1" applyFont="1" applyBorder="1" applyAlignment="1">
      <alignment vertical="center"/>
    </xf>
    <xf numFmtId="0" fontId="111" fillId="79" borderId="11" xfId="0" applyFont="1" applyFill="1" applyBorder="1">
      <alignment vertical="center"/>
    </xf>
    <xf numFmtId="0" fontId="111" fillId="79" borderId="24" xfId="0" applyFont="1" applyFill="1" applyBorder="1">
      <alignment vertical="center"/>
    </xf>
    <xf numFmtId="0" fontId="207" fillId="64" borderId="0" xfId="0" applyFont="1" applyFill="1">
      <alignment vertical="center"/>
    </xf>
    <xf numFmtId="0" fontId="173" fillId="0" borderId="0" xfId="0" applyFont="1" applyAlignment="1">
      <alignment horizontal="center" vertical="center"/>
    </xf>
    <xf numFmtId="0" fontId="111" fillId="0" borderId="23" xfId="0" applyFont="1" applyBorder="1" applyAlignment="1">
      <alignment vertical="center" wrapText="1"/>
    </xf>
    <xf numFmtId="0" fontId="111" fillId="0" borderId="31" xfId="0" applyFont="1" applyBorder="1" applyAlignment="1">
      <alignment vertical="center" wrapText="1"/>
    </xf>
    <xf numFmtId="0" fontId="214" fillId="0" borderId="22" xfId="0" applyFont="1" applyBorder="1" applyAlignment="1">
      <alignment vertical="center" wrapText="1"/>
    </xf>
    <xf numFmtId="0" fontId="150" fillId="73" borderId="0" xfId="0" applyFont="1" applyFill="1">
      <alignment vertical="center"/>
    </xf>
    <xf numFmtId="0" fontId="131" fillId="85" borderId="0" xfId="0" applyFont="1" applyFill="1">
      <alignment vertical="center"/>
    </xf>
    <xf numFmtId="0" fontId="132" fillId="85" borderId="0" xfId="0" applyFont="1" applyFill="1">
      <alignment vertical="center"/>
    </xf>
    <xf numFmtId="0" fontId="170" fillId="73" borderId="0" xfId="0" applyFont="1" applyFill="1">
      <alignment vertical="center"/>
    </xf>
    <xf numFmtId="0" fontId="131" fillId="73" borderId="0" xfId="0" applyFont="1" applyFill="1">
      <alignment vertical="center"/>
    </xf>
    <xf numFmtId="0" fontId="206" fillId="64" borderId="0" xfId="345" applyFont="1" applyFill="1">
      <alignment vertical="center"/>
    </xf>
    <xf numFmtId="38" fontId="87" fillId="0" borderId="25" xfId="415" applyFont="1" applyFill="1" applyBorder="1">
      <alignment vertical="center"/>
    </xf>
    <xf numFmtId="38" fontId="87" fillId="0" borderId="35" xfId="415" applyFont="1" applyFill="1" applyBorder="1">
      <alignment vertical="center"/>
    </xf>
    <xf numFmtId="38" fontId="87" fillId="0" borderId="22" xfId="415" applyFont="1" applyBorder="1">
      <alignment vertical="center"/>
    </xf>
    <xf numFmtId="38" fontId="87" fillId="0" borderId="22" xfId="415" applyFont="1" applyFill="1" applyBorder="1">
      <alignment vertical="center"/>
    </xf>
    <xf numFmtId="38" fontId="87" fillId="0" borderId="25" xfId="415" applyFont="1" applyBorder="1">
      <alignment vertical="center"/>
    </xf>
    <xf numFmtId="38" fontId="87" fillId="0" borderId="35" xfId="415" applyFont="1" applyBorder="1">
      <alignment vertical="center"/>
    </xf>
    <xf numFmtId="38" fontId="105" fillId="68" borderId="77" xfId="311" applyFont="1" applyFill="1" applyBorder="1" applyAlignment="1">
      <alignment horizontal="left" indent="1"/>
    </xf>
    <xf numFmtId="38" fontId="105" fillId="0" borderId="45" xfId="311" applyFont="1" applyFill="1" applyBorder="1" applyAlignment="1">
      <alignment horizontal="right"/>
    </xf>
    <xf numFmtId="38" fontId="105" fillId="0" borderId="48" xfId="311" applyFont="1" applyFill="1" applyBorder="1" applyAlignment="1">
      <alignment horizontal="right"/>
    </xf>
    <xf numFmtId="38" fontId="105" fillId="0" borderId="0" xfId="311" applyFont="1" applyFill="1" applyBorder="1" applyAlignment="1">
      <alignment horizontal="right"/>
    </xf>
    <xf numFmtId="38" fontId="105" fillId="0" borderId="37" xfId="311" applyFont="1" applyFill="1" applyBorder="1" applyAlignment="1">
      <alignment horizontal="right"/>
    </xf>
    <xf numFmtId="38" fontId="105" fillId="0" borderId="23" xfId="311" applyFont="1" applyFill="1" applyBorder="1" applyAlignment="1">
      <alignment horizontal="right"/>
    </xf>
    <xf numFmtId="38" fontId="105" fillId="0" borderId="48" xfId="311" applyFont="1" applyFill="1" applyBorder="1" applyAlignment="1"/>
    <xf numFmtId="38" fontId="105" fillId="0" borderId="23" xfId="311" applyFont="1" applyFill="1" applyBorder="1" applyAlignment="1"/>
    <xf numFmtId="38" fontId="105" fillId="64" borderId="23" xfId="311" applyFont="1" applyFill="1" applyBorder="1" applyAlignment="1" applyProtection="1">
      <protection locked="0"/>
    </xf>
    <xf numFmtId="38" fontId="105" fillId="0" borderId="75" xfId="311" applyFont="1" applyFill="1" applyBorder="1" applyAlignment="1"/>
    <xf numFmtId="38" fontId="105" fillId="0" borderId="74" xfId="311" applyFont="1" applyFill="1" applyBorder="1" applyAlignment="1"/>
    <xf numFmtId="38" fontId="105" fillId="0" borderId="48" xfId="311" applyFont="1" applyFill="1" applyBorder="1" applyAlignment="1">
      <alignment horizontal="left"/>
    </xf>
    <xf numFmtId="0" fontId="60" fillId="0" borderId="92" xfId="421" applyBorder="1"/>
    <xf numFmtId="0" fontId="60" fillId="0" borderId="93" xfId="421" applyBorder="1"/>
    <xf numFmtId="0" fontId="60" fillId="0" borderId="95" xfId="421" applyBorder="1"/>
    <xf numFmtId="38" fontId="106" fillId="80" borderId="86" xfId="311" applyFont="1" applyFill="1" applyBorder="1" applyAlignment="1" applyProtection="1">
      <protection locked="0"/>
    </xf>
    <xf numFmtId="38" fontId="106" fillId="70" borderId="86" xfId="311" applyFont="1" applyFill="1" applyBorder="1" applyAlignment="1" applyProtection="1">
      <protection locked="0"/>
    </xf>
    <xf numFmtId="38" fontId="106" fillId="68" borderId="78" xfId="311" applyFont="1" applyFill="1" applyBorder="1" applyAlignment="1" applyProtection="1">
      <protection locked="0"/>
    </xf>
    <xf numFmtId="38" fontId="106" fillId="68" borderId="83" xfId="311" applyFont="1" applyFill="1" applyBorder="1" applyAlignment="1" applyProtection="1">
      <protection locked="0"/>
    </xf>
    <xf numFmtId="38" fontId="105" fillId="0" borderId="42" xfId="311" applyFont="1" applyFill="1" applyBorder="1" applyAlignment="1" applyProtection="1">
      <alignment horizontal="right"/>
      <protection locked="0"/>
    </xf>
    <xf numFmtId="38" fontId="105" fillId="0" borderId="46" xfId="311" applyFont="1" applyFill="1" applyBorder="1" applyAlignment="1" applyProtection="1">
      <alignment horizontal="right"/>
      <protection locked="0"/>
    </xf>
    <xf numFmtId="38" fontId="105" fillId="0" borderId="25" xfId="311" applyFont="1" applyFill="1" applyBorder="1" applyAlignment="1" applyProtection="1">
      <alignment horizontal="right"/>
      <protection locked="0"/>
    </xf>
    <xf numFmtId="38" fontId="105" fillId="0" borderId="35" xfId="311" applyFont="1" applyFill="1" applyBorder="1" applyAlignment="1" applyProtection="1">
      <alignment horizontal="right"/>
      <protection locked="0"/>
    </xf>
    <xf numFmtId="38" fontId="105" fillId="0" borderId="22" xfId="311" applyFont="1" applyFill="1" applyBorder="1" applyAlignment="1" applyProtection="1">
      <alignment horizontal="right"/>
      <protection locked="0"/>
    </xf>
    <xf numFmtId="38" fontId="105" fillId="68" borderId="78" xfId="311" applyFont="1" applyFill="1" applyBorder="1" applyAlignment="1" applyProtection="1">
      <protection locked="0"/>
    </xf>
    <xf numFmtId="38" fontId="105" fillId="68" borderId="22" xfId="311" applyFont="1" applyFill="1" applyBorder="1" applyAlignment="1" applyProtection="1">
      <alignment horizontal="right"/>
      <protection locked="0"/>
    </xf>
    <xf numFmtId="38" fontId="105" fillId="0" borderId="78" xfId="311" applyFont="1" applyFill="1" applyBorder="1" applyAlignment="1" applyProtection="1">
      <protection locked="0"/>
    </xf>
    <xf numFmtId="0" fontId="105" fillId="75" borderId="0" xfId="421" applyFont="1" applyFill="1"/>
    <xf numFmtId="0" fontId="105" fillId="0" borderId="48" xfId="421" applyFont="1" applyBorder="1"/>
    <xf numFmtId="0" fontId="105" fillId="0" borderId="37" xfId="421" applyFont="1" applyBorder="1"/>
    <xf numFmtId="0" fontId="105" fillId="0" borderId="86" xfId="421" applyFont="1" applyBorder="1"/>
    <xf numFmtId="0" fontId="105" fillId="0" borderId="46" xfId="421" applyFont="1" applyBorder="1"/>
    <xf numFmtId="0" fontId="105" fillId="0" borderId="35" xfId="421" applyFont="1" applyBorder="1"/>
    <xf numFmtId="0" fontId="105" fillId="0" borderId="25" xfId="421" applyFont="1" applyBorder="1"/>
    <xf numFmtId="0" fontId="105" fillId="0" borderId="22" xfId="421" applyFont="1" applyBorder="1"/>
    <xf numFmtId="0" fontId="149" fillId="90" borderId="0" xfId="421" applyFont="1" applyFill="1"/>
    <xf numFmtId="0" fontId="28" fillId="90" borderId="0" xfId="421" applyFont="1" applyFill="1"/>
    <xf numFmtId="0" fontId="134" fillId="90" borderId="0" xfId="421" applyFont="1" applyFill="1"/>
    <xf numFmtId="0" fontId="60" fillId="90" borderId="0" xfId="421" applyFill="1"/>
    <xf numFmtId="0" fontId="164" fillId="90" borderId="0" xfId="421" applyFont="1" applyFill="1"/>
    <xf numFmtId="0" fontId="162" fillId="90" borderId="0" xfId="421" applyFont="1" applyFill="1"/>
    <xf numFmtId="0" fontId="163" fillId="90" borderId="0" xfId="421" applyFont="1" applyFill="1"/>
    <xf numFmtId="198" fontId="110" fillId="90" borderId="0" xfId="349" applyNumberFormat="1" applyFont="1" applyFill="1" applyAlignment="1">
      <alignment vertical="center"/>
    </xf>
    <xf numFmtId="0" fontId="106" fillId="90" borderId="0" xfId="345" applyFont="1" applyFill="1">
      <alignment vertical="center"/>
    </xf>
    <xf numFmtId="0" fontId="135" fillId="90" borderId="0" xfId="421" applyFont="1" applyFill="1" applyAlignment="1">
      <alignment horizontal="right"/>
    </xf>
    <xf numFmtId="0" fontId="218" fillId="90" borderId="0" xfId="345" applyFont="1" applyFill="1">
      <alignment vertical="center"/>
    </xf>
    <xf numFmtId="0" fontId="111" fillId="0" borderId="0" xfId="487" applyFont="1">
      <alignment vertical="center"/>
    </xf>
    <xf numFmtId="0" fontId="106" fillId="76" borderId="0" xfId="345" applyFont="1" applyFill="1" applyAlignment="1"/>
    <xf numFmtId="0" fontId="105" fillId="0" borderId="79" xfId="421" applyFont="1" applyBorder="1"/>
    <xf numFmtId="0" fontId="87" fillId="0" borderId="85" xfId="486" applyFont="1" applyBorder="1" applyAlignment="1">
      <alignment horizontal="center" vertical="center"/>
    </xf>
    <xf numFmtId="0" fontId="105" fillId="0" borderId="89" xfId="421" applyFont="1" applyBorder="1"/>
    <xf numFmtId="0" fontId="105" fillId="0" borderId="23" xfId="421" applyFont="1" applyBorder="1"/>
    <xf numFmtId="0" fontId="128" fillId="0" borderId="77" xfId="486" applyFont="1" applyBorder="1" applyAlignment="1">
      <alignment horizontal="center" vertical="center"/>
    </xf>
    <xf numFmtId="0" fontId="128" fillId="0" borderId="79" xfId="486" applyFont="1" applyBorder="1" applyAlignment="1">
      <alignment horizontal="center" vertical="center"/>
    </xf>
    <xf numFmtId="0" fontId="128" fillId="0" borderId="72" xfId="486" applyFont="1" applyBorder="1">
      <alignment vertical="center"/>
    </xf>
    <xf numFmtId="0" fontId="128" fillId="0" borderId="77" xfId="486" applyFont="1" applyBorder="1">
      <alignment vertical="center"/>
    </xf>
    <xf numFmtId="0" fontId="128" fillId="0" borderId="79" xfId="486" applyFont="1" applyBorder="1">
      <alignment vertical="center"/>
    </xf>
    <xf numFmtId="0" fontId="128" fillId="0" borderId="11" xfId="486" applyFont="1" applyBorder="1">
      <alignment vertical="center"/>
    </xf>
    <xf numFmtId="0" fontId="128" fillId="0" borderId="89" xfId="486" applyFont="1" applyBorder="1">
      <alignment vertical="center"/>
    </xf>
    <xf numFmtId="0" fontId="128" fillId="0" borderId="0" xfId="486" applyFont="1">
      <alignment vertical="center"/>
    </xf>
    <xf numFmtId="0" fontId="128" fillId="0" borderId="37" xfId="486" applyFont="1" applyBorder="1">
      <alignment vertical="center"/>
    </xf>
    <xf numFmtId="0" fontId="128" fillId="0" borderId="24" xfId="486" applyFont="1" applyBorder="1">
      <alignment vertical="center"/>
    </xf>
    <xf numFmtId="0" fontId="128" fillId="0" borderId="23" xfId="486" applyFont="1" applyBorder="1">
      <alignment vertical="center"/>
    </xf>
    <xf numFmtId="38" fontId="87" fillId="0" borderId="78" xfId="415" applyFont="1" applyFill="1" applyBorder="1">
      <alignment vertical="center"/>
    </xf>
    <xf numFmtId="38" fontId="87" fillId="0" borderId="85" xfId="415" applyFont="1" applyBorder="1">
      <alignment vertical="center"/>
    </xf>
    <xf numFmtId="38" fontId="87" fillId="0" borderId="32" xfId="415" applyFont="1" applyBorder="1">
      <alignment vertical="center"/>
    </xf>
    <xf numFmtId="38" fontId="87" fillId="0" borderId="36" xfId="415" applyFont="1" applyBorder="1">
      <alignment vertical="center"/>
    </xf>
    <xf numFmtId="0" fontId="87" fillId="0" borderId="78" xfId="486" applyFont="1" applyBorder="1" applyAlignment="1">
      <alignment horizontal="center" vertical="center"/>
    </xf>
    <xf numFmtId="38" fontId="87" fillId="0" borderId="78" xfId="415" applyFont="1" applyBorder="1">
      <alignment vertical="center"/>
    </xf>
    <xf numFmtId="38" fontId="87" fillId="0" borderId="77" xfId="415" applyFont="1" applyFill="1" applyBorder="1">
      <alignment vertical="center"/>
    </xf>
    <xf numFmtId="38" fontId="87" fillId="0" borderId="11" xfId="415" applyFont="1" applyFill="1" applyBorder="1">
      <alignment vertical="center"/>
    </xf>
    <xf numFmtId="38" fontId="87" fillId="0" borderId="38" xfId="415" applyFont="1" applyFill="1" applyBorder="1">
      <alignment vertical="center"/>
    </xf>
    <xf numFmtId="38" fontId="87" fillId="0" borderId="24" xfId="415" applyFont="1" applyFill="1" applyBorder="1">
      <alignment vertical="center"/>
    </xf>
    <xf numFmtId="38" fontId="87" fillId="0" borderId="86" xfId="415" applyFont="1" applyFill="1" applyBorder="1">
      <alignment vertical="center"/>
    </xf>
    <xf numFmtId="38" fontId="87" fillId="0" borderId="72" xfId="415" applyFont="1" applyFill="1" applyBorder="1">
      <alignment vertical="center"/>
    </xf>
    <xf numFmtId="38" fontId="87" fillId="0" borderId="5" xfId="415" applyFont="1" applyFill="1" applyBorder="1">
      <alignment vertical="center"/>
    </xf>
    <xf numFmtId="38" fontId="87" fillId="0" borderId="32" xfId="415" applyFont="1" applyFill="1" applyBorder="1">
      <alignment vertical="center"/>
    </xf>
    <xf numFmtId="38" fontId="87" fillId="0" borderId="36" xfId="415" applyFont="1" applyFill="1" applyBorder="1">
      <alignment vertical="center"/>
    </xf>
    <xf numFmtId="38" fontId="87" fillId="0" borderId="31" xfId="415" applyFont="1" applyFill="1" applyBorder="1">
      <alignment vertical="center"/>
    </xf>
    <xf numFmtId="38" fontId="106" fillId="74" borderId="89" xfId="415" applyFont="1" applyFill="1" applyBorder="1" applyAlignment="1" applyProtection="1">
      <alignment vertical="center"/>
    </xf>
    <xf numFmtId="198" fontId="133" fillId="0" borderId="0" xfId="349" applyNumberFormat="1" applyFont="1" applyAlignment="1">
      <alignment vertical="center"/>
    </xf>
    <xf numFmtId="198" fontId="160" fillId="0" borderId="0" xfId="349" applyNumberFormat="1" applyFont="1" applyAlignment="1">
      <alignment vertical="center"/>
    </xf>
    <xf numFmtId="0" fontId="105" fillId="64" borderId="45" xfId="345" applyFont="1" applyFill="1" applyBorder="1">
      <alignment vertical="center"/>
    </xf>
    <xf numFmtId="38" fontId="106" fillId="59" borderId="89" xfId="415" applyFont="1" applyFill="1" applyBorder="1" applyAlignment="1" applyProtection="1">
      <alignment vertical="center"/>
    </xf>
    <xf numFmtId="38" fontId="106" fillId="49" borderId="89" xfId="415" applyFont="1" applyFill="1" applyBorder="1" applyAlignment="1" applyProtection="1">
      <alignment vertical="center"/>
    </xf>
    <xf numFmtId="38" fontId="106" fillId="81" borderId="89" xfId="415" applyFont="1" applyFill="1" applyBorder="1" applyAlignment="1" applyProtection="1">
      <alignment vertical="center"/>
    </xf>
    <xf numFmtId="38" fontId="106" fillId="69" borderId="89" xfId="415" applyFont="1" applyFill="1" applyBorder="1" applyAlignment="1" applyProtection="1">
      <alignment vertical="center"/>
    </xf>
    <xf numFmtId="0" fontId="105" fillId="64" borderId="85" xfId="345" applyFont="1" applyFill="1" applyBorder="1" applyAlignment="1">
      <alignment horizontal="center" vertical="center"/>
    </xf>
    <xf numFmtId="38" fontId="105" fillId="64" borderId="5" xfId="415" applyFont="1" applyFill="1" applyBorder="1" applyAlignment="1" applyProtection="1">
      <alignment vertical="center"/>
      <protection locked="0"/>
    </xf>
    <xf numFmtId="38" fontId="106" fillId="74" borderId="5" xfId="415" applyFont="1" applyFill="1" applyBorder="1" applyAlignment="1" applyProtection="1">
      <alignment vertical="center"/>
    </xf>
    <xf numFmtId="9" fontId="158" fillId="64" borderId="31" xfId="416" applyFont="1" applyFill="1" applyBorder="1" applyAlignment="1" applyProtection="1">
      <alignment vertical="center"/>
    </xf>
    <xf numFmtId="9" fontId="158" fillId="64" borderId="36" xfId="416" applyFont="1" applyFill="1" applyBorder="1" applyAlignment="1" applyProtection="1">
      <alignment vertical="center"/>
    </xf>
    <xf numFmtId="38" fontId="105" fillId="64" borderId="47" xfId="415" applyFont="1" applyFill="1" applyBorder="1" applyAlignment="1" applyProtection="1">
      <alignment vertical="center"/>
      <protection locked="0"/>
    </xf>
    <xf numFmtId="38" fontId="105" fillId="64" borderId="32" xfId="415" applyFont="1" applyFill="1" applyBorder="1" applyAlignment="1" applyProtection="1">
      <alignment vertical="center"/>
      <protection locked="0"/>
    </xf>
    <xf numFmtId="9" fontId="158" fillId="64" borderId="32" xfId="416" applyFont="1" applyFill="1" applyBorder="1" applyAlignment="1" applyProtection="1">
      <alignment vertical="center"/>
    </xf>
    <xf numFmtId="38" fontId="105" fillId="64" borderId="32" xfId="415" applyFont="1" applyFill="1" applyBorder="1" applyAlignment="1">
      <alignment vertical="center"/>
    </xf>
    <xf numFmtId="38" fontId="105" fillId="64" borderId="31" xfId="415" applyFont="1" applyFill="1" applyBorder="1" applyAlignment="1">
      <alignment vertical="center"/>
    </xf>
    <xf numFmtId="38" fontId="105" fillId="64" borderId="5" xfId="415" applyFont="1" applyFill="1" applyBorder="1" applyAlignment="1">
      <alignment vertical="center"/>
    </xf>
    <xf numFmtId="38" fontId="105" fillId="64" borderId="85" xfId="415" applyFont="1" applyFill="1" applyBorder="1">
      <alignment vertical="center"/>
    </xf>
    <xf numFmtId="38" fontId="105" fillId="64" borderId="5" xfId="415" applyFont="1" applyFill="1" applyBorder="1">
      <alignment vertical="center"/>
    </xf>
    <xf numFmtId="38" fontId="105" fillId="0" borderId="5" xfId="415" applyFont="1" applyFill="1" applyBorder="1" applyAlignment="1">
      <alignment horizontal="right" vertical="center"/>
    </xf>
    <xf numFmtId="38" fontId="106" fillId="59" borderId="5" xfId="415" applyFont="1" applyFill="1" applyBorder="1" applyAlignment="1" applyProtection="1">
      <alignment vertical="center"/>
    </xf>
    <xf numFmtId="9" fontId="159" fillId="64" borderId="32" xfId="416" applyFont="1" applyFill="1" applyBorder="1" applyAlignment="1" applyProtection="1">
      <alignment vertical="center"/>
    </xf>
    <xf numFmtId="38" fontId="105" fillId="64" borderId="5" xfId="415" applyFont="1" applyFill="1" applyBorder="1" applyAlignment="1" applyProtection="1">
      <alignment vertical="center"/>
    </xf>
    <xf numFmtId="195" fontId="159" fillId="0" borderId="5" xfId="416" applyNumberFormat="1" applyFont="1" applyFill="1" applyBorder="1" applyAlignment="1" applyProtection="1">
      <alignment vertical="center"/>
    </xf>
    <xf numFmtId="38" fontId="105" fillId="64" borderId="82" xfId="415" applyFont="1" applyFill="1" applyBorder="1" applyAlignment="1">
      <alignment horizontal="right" vertical="center"/>
    </xf>
    <xf numFmtId="38" fontId="105" fillId="64" borderId="5" xfId="415" applyFont="1" applyFill="1" applyBorder="1" applyAlignment="1">
      <alignment horizontal="right" vertical="center"/>
    </xf>
    <xf numFmtId="195" fontId="189" fillId="64" borderId="36" xfId="416" applyNumberFormat="1" applyFont="1" applyFill="1" applyBorder="1" applyAlignment="1" applyProtection="1">
      <alignment vertical="center"/>
    </xf>
    <xf numFmtId="38" fontId="106" fillId="49" borderId="5" xfId="415" applyFont="1" applyFill="1" applyBorder="1" applyAlignment="1" applyProtection="1">
      <alignment vertical="center"/>
    </xf>
    <xf numFmtId="38" fontId="106" fillId="81" borderId="5" xfId="415" applyFont="1" applyFill="1" applyBorder="1" applyAlignment="1" applyProtection="1">
      <alignment vertical="center"/>
    </xf>
    <xf numFmtId="38" fontId="106" fillId="69" borderId="5" xfId="415" applyFont="1" applyFill="1" applyBorder="1" applyAlignment="1" applyProtection="1">
      <alignment vertical="center"/>
    </xf>
    <xf numFmtId="38" fontId="106" fillId="0" borderId="85" xfId="415" applyFont="1" applyFill="1" applyBorder="1" applyAlignment="1">
      <alignment horizontal="right" vertical="center"/>
    </xf>
    <xf numFmtId="38" fontId="105" fillId="70" borderId="5" xfId="415" applyFont="1" applyFill="1" applyBorder="1" applyAlignment="1">
      <alignment horizontal="right" vertical="center"/>
    </xf>
    <xf numFmtId="38" fontId="105" fillId="67" borderId="5" xfId="415" applyFont="1" applyFill="1" applyBorder="1" applyAlignment="1">
      <alignment horizontal="right" vertical="center"/>
    </xf>
    <xf numFmtId="38" fontId="105" fillId="88" borderId="5" xfId="415" applyFont="1" applyFill="1" applyBorder="1" applyAlignment="1">
      <alignment horizontal="right" vertical="center"/>
    </xf>
    <xf numFmtId="38" fontId="105" fillId="66" borderId="5" xfId="415" applyFont="1" applyFill="1" applyBorder="1" applyAlignment="1">
      <alignment horizontal="right" vertical="center"/>
    </xf>
    <xf numFmtId="38" fontId="105" fillId="79" borderId="5" xfId="415" applyFont="1" applyFill="1" applyBorder="1" applyAlignment="1" applyProtection="1">
      <alignment vertical="center"/>
    </xf>
    <xf numFmtId="38" fontId="106" fillId="70" borderId="5" xfId="345" applyNumberFormat="1" applyFont="1" applyFill="1" applyBorder="1">
      <alignment vertical="center"/>
    </xf>
    <xf numFmtId="38" fontId="105" fillId="0" borderId="36" xfId="415" applyFont="1" applyFill="1" applyBorder="1">
      <alignment vertical="center"/>
    </xf>
    <xf numFmtId="38" fontId="105" fillId="0" borderId="47" xfId="415" applyFont="1" applyFill="1" applyBorder="1">
      <alignment vertical="center"/>
    </xf>
    <xf numFmtId="38" fontId="105" fillId="0" borderId="39" xfId="415" applyFont="1" applyFill="1" applyBorder="1">
      <alignment vertical="center"/>
    </xf>
    <xf numFmtId="38" fontId="105" fillId="0" borderId="82" xfId="415" applyFont="1" applyFill="1" applyBorder="1">
      <alignment vertical="center"/>
    </xf>
    <xf numFmtId="38" fontId="105" fillId="0" borderId="44" xfId="415" applyFont="1" applyFill="1" applyBorder="1">
      <alignment vertical="center"/>
    </xf>
    <xf numFmtId="38" fontId="105" fillId="0" borderId="85" xfId="415" applyFont="1" applyFill="1" applyBorder="1">
      <alignment vertical="center"/>
    </xf>
    <xf numFmtId="38" fontId="106" fillId="72" borderId="5" xfId="345" applyNumberFormat="1" applyFont="1" applyFill="1" applyBorder="1">
      <alignment vertical="center"/>
    </xf>
    <xf numFmtId="38" fontId="106" fillId="70" borderId="5" xfId="415" applyFont="1" applyFill="1" applyBorder="1">
      <alignment vertical="center"/>
    </xf>
    <xf numFmtId="38" fontId="105" fillId="67" borderId="5" xfId="415" applyFont="1" applyFill="1" applyBorder="1">
      <alignment vertical="center"/>
    </xf>
    <xf numFmtId="38" fontId="105" fillId="64" borderId="44" xfId="415" applyFont="1" applyFill="1" applyBorder="1">
      <alignment vertical="center"/>
    </xf>
    <xf numFmtId="38" fontId="105" fillId="64" borderId="39" xfId="415" applyFont="1" applyFill="1" applyBorder="1">
      <alignment vertical="center"/>
    </xf>
    <xf numFmtId="38" fontId="105" fillId="81" borderId="5" xfId="415" applyFont="1" applyFill="1" applyBorder="1" applyAlignment="1" applyProtection="1">
      <alignment vertical="center"/>
    </xf>
    <xf numFmtId="38" fontId="106" fillId="0" borderId="85" xfId="415" applyFont="1" applyFill="1" applyBorder="1" applyAlignment="1"/>
    <xf numFmtId="38" fontId="106" fillId="67" borderId="5" xfId="415" applyFont="1" applyFill="1" applyBorder="1" applyAlignment="1"/>
    <xf numFmtId="38" fontId="106" fillId="81" borderId="5" xfId="415" applyFont="1" applyFill="1" applyBorder="1" applyAlignment="1"/>
    <xf numFmtId="38" fontId="106" fillId="66" borderId="5" xfId="415" applyFont="1" applyFill="1" applyBorder="1" applyAlignment="1"/>
    <xf numFmtId="38" fontId="106" fillId="79" borderId="5" xfId="415" applyFont="1" applyFill="1" applyBorder="1" applyAlignment="1"/>
    <xf numFmtId="38" fontId="105" fillId="64" borderId="36" xfId="415" applyFont="1" applyFill="1" applyBorder="1" applyAlignment="1" applyProtection="1">
      <alignment vertical="center"/>
    </xf>
    <xf numFmtId="38" fontId="105" fillId="64" borderId="31" xfId="415" applyFont="1" applyFill="1" applyBorder="1" applyAlignment="1" applyProtection="1">
      <alignment vertical="center"/>
      <protection locked="0"/>
    </xf>
    <xf numFmtId="38" fontId="105" fillId="64" borderId="85" xfId="415" applyFont="1" applyFill="1" applyBorder="1" applyAlignment="1" applyProtection="1">
      <alignment vertical="center"/>
    </xf>
    <xf numFmtId="38" fontId="105" fillId="64" borderId="85" xfId="415" applyFont="1" applyFill="1" applyBorder="1" applyAlignment="1" applyProtection="1">
      <alignment horizontal="right" vertical="center"/>
    </xf>
    <xf numFmtId="38" fontId="105" fillId="70" borderId="5" xfId="415" applyFont="1" applyFill="1" applyBorder="1" applyAlignment="1" applyProtection="1">
      <alignment vertical="center"/>
    </xf>
    <xf numFmtId="38" fontId="105" fillId="67" borderId="5" xfId="415" applyFont="1" applyFill="1" applyBorder="1" applyAlignment="1" applyProtection="1">
      <alignment vertical="center"/>
    </xf>
    <xf numFmtId="38" fontId="105" fillId="66" borderId="5" xfId="415" applyFont="1" applyFill="1" applyBorder="1" applyAlignment="1" applyProtection="1">
      <alignment vertical="center"/>
    </xf>
    <xf numFmtId="38" fontId="105" fillId="0" borderId="31" xfId="415" applyFont="1" applyBorder="1" applyAlignment="1" applyProtection="1">
      <alignment vertical="center"/>
    </xf>
    <xf numFmtId="38" fontId="105" fillId="69" borderId="5" xfId="415" applyFont="1" applyFill="1" applyBorder="1" applyAlignment="1"/>
    <xf numFmtId="38" fontId="105" fillId="88" borderId="5" xfId="415" applyFont="1" applyFill="1" applyBorder="1">
      <alignment vertical="center"/>
    </xf>
    <xf numFmtId="38" fontId="111" fillId="0" borderId="85" xfId="415" applyFont="1" applyBorder="1">
      <alignment vertical="center"/>
    </xf>
    <xf numFmtId="38" fontId="111" fillId="0" borderId="82" xfId="415" applyFont="1" applyBorder="1">
      <alignment vertical="center"/>
    </xf>
    <xf numFmtId="38" fontId="111" fillId="0" borderId="47" xfId="415" applyFont="1" applyBorder="1">
      <alignment vertical="center"/>
    </xf>
    <xf numFmtId="38" fontId="111" fillId="0" borderId="31" xfId="415" applyFont="1" applyBorder="1">
      <alignment vertical="center"/>
    </xf>
    <xf numFmtId="38" fontId="106" fillId="80" borderId="5" xfId="311" applyFont="1" applyFill="1" applyBorder="1" applyAlignment="1" applyProtection="1">
      <protection locked="0"/>
    </xf>
    <xf numFmtId="38" fontId="106" fillId="70" borderId="5" xfId="311" applyFont="1" applyFill="1" applyBorder="1" applyAlignment="1" applyProtection="1">
      <protection locked="0"/>
    </xf>
    <xf numFmtId="38" fontId="106" fillId="68" borderId="85" xfId="311" applyFont="1" applyFill="1" applyBorder="1" applyAlignment="1" applyProtection="1">
      <protection locked="0"/>
    </xf>
    <xf numFmtId="38" fontId="106" fillId="68" borderId="82" xfId="311" applyFont="1" applyFill="1" applyBorder="1" applyAlignment="1" applyProtection="1">
      <protection locked="0"/>
    </xf>
    <xf numFmtId="38" fontId="105" fillId="0" borderId="44" xfId="311" applyFont="1" applyFill="1" applyBorder="1" applyAlignment="1" applyProtection="1">
      <alignment horizontal="right"/>
      <protection locked="0"/>
    </xf>
    <xf numFmtId="38" fontId="105" fillId="0" borderId="47" xfId="311" applyFont="1" applyFill="1" applyBorder="1" applyAlignment="1" applyProtection="1">
      <alignment horizontal="right"/>
      <protection locked="0"/>
    </xf>
    <xf numFmtId="38" fontId="105" fillId="0" borderId="32" xfId="311" applyFont="1" applyFill="1" applyBorder="1" applyAlignment="1" applyProtection="1">
      <alignment horizontal="right"/>
      <protection locked="0"/>
    </xf>
    <xf numFmtId="38" fontId="105" fillId="0" borderId="36" xfId="311" applyFont="1" applyFill="1" applyBorder="1" applyAlignment="1" applyProtection="1">
      <alignment horizontal="right"/>
      <protection locked="0"/>
    </xf>
    <xf numFmtId="38" fontId="105" fillId="0" borderId="31" xfId="311" applyFont="1" applyFill="1" applyBorder="1" applyAlignment="1" applyProtection="1">
      <alignment horizontal="right"/>
      <protection locked="0"/>
    </xf>
    <xf numFmtId="38" fontId="105" fillId="68" borderId="85" xfId="311" applyFont="1" applyFill="1" applyBorder="1" applyAlignment="1" applyProtection="1">
      <protection locked="0"/>
    </xf>
    <xf numFmtId="38" fontId="105" fillId="68" borderId="31" xfId="311" applyFont="1" applyFill="1" applyBorder="1" applyAlignment="1" applyProtection="1">
      <alignment horizontal="right"/>
      <protection locked="0"/>
    </xf>
    <xf numFmtId="0" fontId="105" fillId="0" borderId="5" xfId="421" applyFont="1" applyBorder="1"/>
    <xf numFmtId="0" fontId="105" fillId="0" borderId="47" xfId="421" applyFont="1" applyBorder="1"/>
    <xf numFmtId="0" fontId="105" fillId="0" borderId="36" xfId="421" applyFont="1" applyBorder="1"/>
    <xf numFmtId="0" fontId="105" fillId="0" borderId="32" xfId="421" applyFont="1" applyBorder="1"/>
    <xf numFmtId="0" fontId="105" fillId="0" borderId="31" xfId="421" applyFont="1" applyBorder="1"/>
    <xf numFmtId="38" fontId="87" fillId="0" borderId="85" xfId="415" applyFont="1" applyFill="1" applyBorder="1">
      <alignment vertical="center"/>
    </xf>
    <xf numFmtId="0" fontId="220" fillId="0" borderId="11" xfId="486" applyFont="1" applyBorder="1">
      <alignment vertical="center"/>
    </xf>
    <xf numFmtId="0" fontId="111" fillId="0" borderId="0" xfId="486" applyFont="1">
      <alignment vertical="center"/>
    </xf>
    <xf numFmtId="0" fontId="111" fillId="0" borderId="77" xfId="486" applyFont="1" applyBorder="1">
      <alignment vertical="center"/>
    </xf>
    <xf numFmtId="0" fontId="111" fillId="0" borderId="79" xfId="486" applyFont="1" applyBorder="1">
      <alignment vertical="center"/>
    </xf>
    <xf numFmtId="0" fontId="111" fillId="0" borderId="11" xfId="486" applyFont="1" applyBorder="1">
      <alignment vertical="center"/>
    </xf>
    <xf numFmtId="0" fontId="111" fillId="0" borderId="76" xfId="486" applyFont="1" applyBorder="1">
      <alignment vertical="center"/>
    </xf>
    <xf numFmtId="0" fontId="111" fillId="0" borderId="0" xfId="486" applyFont="1" applyAlignment="1">
      <alignment horizontal="left" vertical="center" indent="1"/>
    </xf>
    <xf numFmtId="0" fontId="111" fillId="0" borderId="24" xfId="486" applyFont="1" applyBorder="1">
      <alignment vertical="center"/>
    </xf>
    <xf numFmtId="0" fontId="111" fillId="0" borderId="23" xfId="486" applyFont="1" applyBorder="1" applyAlignment="1">
      <alignment horizontal="left" vertical="center" indent="1"/>
    </xf>
    <xf numFmtId="0" fontId="111" fillId="0" borderId="23" xfId="486" applyFont="1" applyBorder="1">
      <alignment vertical="center"/>
    </xf>
    <xf numFmtId="0" fontId="111" fillId="0" borderId="89" xfId="486" applyFont="1" applyBorder="1">
      <alignment vertical="center"/>
    </xf>
    <xf numFmtId="0" fontId="113" fillId="64" borderId="0" xfId="345" applyFont="1" applyFill="1">
      <alignment vertical="center"/>
    </xf>
    <xf numFmtId="0" fontId="128" fillId="0" borderId="0" xfId="487" applyFont="1">
      <alignment vertical="center"/>
    </xf>
    <xf numFmtId="0" fontId="111" fillId="0" borderId="89" xfId="487" applyFont="1" applyBorder="1">
      <alignment vertical="center"/>
    </xf>
    <xf numFmtId="0" fontId="128" fillId="0" borderId="89" xfId="487" applyFont="1" applyBorder="1">
      <alignment vertical="center"/>
    </xf>
    <xf numFmtId="0" fontId="128" fillId="0" borderId="11" xfId="487" applyFont="1" applyBorder="1">
      <alignment vertical="center"/>
    </xf>
    <xf numFmtId="0" fontId="128" fillId="0" borderId="32" xfId="487" applyFont="1" applyBorder="1" applyAlignment="1">
      <alignment horizontal="center" vertical="center"/>
    </xf>
    <xf numFmtId="0" fontId="128" fillId="0" borderId="24" xfId="487" applyFont="1" applyBorder="1">
      <alignment vertical="center"/>
    </xf>
    <xf numFmtId="0" fontId="128" fillId="0" borderId="23" xfId="487" applyFont="1" applyBorder="1">
      <alignment vertical="center"/>
    </xf>
    <xf numFmtId="0" fontId="128" fillId="0" borderId="31" xfId="487" applyFont="1" applyBorder="1" applyAlignment="1">
      <alignment horizontal="center" vertical="center"/>
    </xf>
    <xf numFmtId="0" fontId="128" fillId="0" borderId="25" xfId="487" applyFont="1" applyBorder="1" applyAlignment="1">
      <alignment horizontal="center" vertical="center"/>
    </xf>
    <xf numFmtId="0" fontId="128" fillId="0" borderId="32" xfId="487" applyFont="1" applyBorder="1">
      <alignment vertical="center"/>
    </xf>
    <xf numFmtId="0" fontId="128" fillId="0" borderId="11" xfId="487" applyFont="1" applyBorder="1" applyAlignment="1">
      <alignment horizontal="left" vertical="center" indent="1"/>
    </xf>
    <xf numFmtId="0" fontId="128" fillId="0" borderId="24" xfId="487" applyFont="1" applyBorder="1" applyAlignment="1">
      <alignment horizontal="left" vertical="center" indent="1"/>
    </xf>
    <xf numFmtId="0" fontId="128" fillId="0" borderId="31" xfId="487" applyFont="1" applyBorder="1">
      <alignment vertical="center"/>
    </xf>
    <xf numFmtId="0" fontId="221" fillId="0" borderId="11" xfId="487" applyFont="1" applyBorder="1">
      <alignment vertical="center"/>
    </xf>
    <xf numFmtId="0" fontId="0" fillId="89" borderId="0" xfId="0" applyFill="1">
      <alignment vertical="center"/>
    </xf>
    <xf numFmtId="0" fontId="222" fillId="89" borderId="0" xfId="0" applyFont="1" applyFill="1">
      <alignment vertical="center"/>
    </xf>
    <xf numFmtId="38" fontId="105" fillId="0" borderId="86" xfId="485" applyFont="1" applyFill="1" applyBorder="1" applyAlignment="1" applyProtection="1">
      <alignment vertical="center"/>
    </xf>
    <xf numFmtId="0" fontId="105" fillId="0" borderId="72" xfId="349" applyFont="1" applyBorder="1"/>
    <xf numFmtId="0" fontId="105" fillId="0" borderId="89" xfId="349" applyFont="1" applyBorder="1"/>
    <xf numFmtId="0" fontId="106" fillId="0" borderId="89" xfId="349" applyFont="1" applyBorder="1"/>
    <xf numFmtId="38" fontId="105" fillId="0" borderId="86" xfId="485" applyFont="1" applyFill="1" applyBorder="1" applyAlignment="1"/>
    <xf numFmtId="0" fontId="223" fillId="0" borderId="0" xfId="487" applyFont="1">
      <alignment vertical="center"/>
    </xf>
    <xf numFmtId="0" fontId="224" fillId="0" borderId="0" xfId="487" applyFont="1">
      <alignment vertical="center"/>
    </xf>
    <xf numFmtId="0" fontId="221" fillId="0" borderId="0" xfId="487" applyFont="1">
      <alignment vertical="center"/>
    </xf>
    <xf numFmtId="0" fontId="225" fillId="0" borderId="11" xfId="489" applyBorder="1">
      <alignment vertical="center"/>
    </xf>
    <xf numFmtId="49" fontId="209" fillId="64" borderId="0" xfId="345" applyNumberFormat="1" applyFont="1" applyFill="1">
      <alignment vertical="center"/>
    </xf>
    <xf numFmtId="198" fontId="106" fillId="64" borderId="77" xfId="349" applyNumberFormat="1" applyFont="1" applyFill="1" applyBorder="1" applyAlignment="1">
      <alignment vertical="center"/>
    </xf>
    <xf numFmtId="198" fontId="105" fillId="64" borderId="79" xfId="349" applyNumberFormat="1" applyFont="1" applyFill="1" applyBorder="1" applyAlignment="1">
      <alignment vertical="center"/>
    </xf>
    <xf numFmtId="198" fontId="106" fillId="64" borderId="79" xfId="349" applyNumberFormat="1" applyFont="1" applyFill="1" applyBorder="1" applyAlignment="1">
      <alignment vertical="center"/>
    </xf>
    <xf numFmtId="198" fontId="105" fillId="64" borderId="85" xfId="349" applyNumberFormat="1" applyFont="1" applyFill="1" applyBorder="1" applyAlignment="1">
      <alignment vertical="center"/>
    </xf>
    <xf numFmtId="38" fontId="105" fillId="64" borderId="35" xfId="415" applyFont="1" applyFill="1" applyBorder="1" applyAlignment="1">
      <alignment horizontal="right" vertical="center"/>
    </xf>
    <xf numFmtId="198" fontId="105" fillId="0" borderId="38" xfId="349" applyNumberFormat="1" applyFont="1" applyBorder="1" applyAlignment="1">
      <alignment vertical="center"/>
    </xf>
    <xf numFmtId="198" fontId="105" fillId="70" borderId="72" xfId="349" applyNumberFormat="1" applyFont="1" applyFill="1" applyBorder="1" applyAlignment="1">
      <alignment vertical="center"/>
    </xf>
    <xf numFmtId="198" fontId="105" fillId="70" borderId="5" xfId="349" applyNumberFormat="1" applyFont="1" applyFill="1" applyBorder="1" applyAlignment="1">
      <alignment vertical="center"/>
    </xf>
    <xf numFmtId="198" fontId="105" fillId="70" borderId="11" xfId="349" applyNumberFormat="1" applyFont="1" applyFill="1" applyBorder="1" applyAlignment="1">
      <alignment vertical="center"/>
    </xf>
    <xf numFmtId="198" fontId="105" fillId="70" borderId="0" xfId="349" applyNumberFormat="1" applyFont="1" applyFill="1" applyAlignment="1">
      <alignment vertical="center"/>
    </xf>
    <xf numFmtId="198" fontId="105" fillId="70" borderId="32" xfId="349" applyNumberFormat="1" applyFont="1" applyFill="1" applyBorder="1" applyAlignment="1">
      <alignment vertical="center"/>
    </xf>
    <xf numFmtId="198" fontId="105" fillId="70" borderId="37" xfId="349" applyNumberFormat="1" applyFont="1" applyFill="1" applyBorder="1" applyAlignment="1">
      <alignment vertical="center"/>
    </xf>
    <xf numFmtId="198" fontId="105" fillId="70" borderId="36" xfId="349" applyNumberFormat="1" applyFont="1" applyFill="1" applyBorder="1" applyAlignment="1">
      <alignment vertical="center"/>
    </xf>
    <xf numFmtId="198" fontId="105" fillId="70" borderId="24" xfId="349" applyNumberFormat="1" applyFont="1" applyFill="1" applyBorder="1" applyAlignment="1">
      <alignment vertical="center"/>
    </xf>
    <xf numFmtId="198" fontId="105" fillId="70" borderId="23" xfId="349" applyNumberFormat="1" applyFont="1" applyFill="1" applyBorder="1" applyAlignment="1">
      <alignment vertical="center"/>
    </xf>
    <xf numFmtId="198" fontId="105" fillId="70" borderId="31" xfId="349" applyNumberFormat="1" applyFont="1" applyFill="1" applyBorder="1" applyAlignment="1">
      <alignment vertical="center"/>
    </xf>
    <xf numFmtId="195" fontId="159" fillId="0" borderId="25" xfId="416" applyNumberFormat="1" applyFont="1" applyFill="1" applyBorder="1" applyAlignment="1" applyProtection="1">
      <alignment vertical="center"/>
    </xf>
    <xf numFmtId="198" fontId="106" fillId="91" borderId="72" xfId="349" applyNumberFormat="1" applyFont="1" applyFill="1" applyBorder="1" applyAlignment="1">
      <alignment vertical="center"/>
    </xf>
    <xf numFmtId="198" fontId="106" fillId="91" borderId="89" xfId="349" applyNumberFormat="1" applyFont="1" applyFill="1" applyBorder="1" applyAlignment="1">
      <alignment vertical="center"/>
    </xf>
    <xf numFmtId="198" fontId="105" fillId="91" borderId="89" xfId="349" applyNumberFormat="1" applyFont="1" applyFill="1" applyBorder="1" applyAlignment="1">
      <alignment vertical="center"/>
    </xf>
    <xf numFmtId="198" fontId="106" fillId="91" borderId="11" xfId="349" applyNumberFormat="1" applyFont="1" applyFill="1" applyBorder="1" applyAlignment="1">
      <alignment vertical="center"/>
    </xf>
    <xf numFmtId="198" fontId="106" fillId="91" borderId="0" xfId="349" applyNumberFormat="1" applyFont="1" applyFill="1" applyAlignment="1">
      <alignment vertical="center"/>
    </xf>
    <xf numFmtId="198" fontId="105" fillId="91" borderId="0" xfId="349" applyNumberFormat="1" applyFont="1" applyFill="1" applyAlignment="1">
      <alignment vertical="center"/>
    </xf>
    <xf numFmtId="198" fontId="106" fillId="91" borderId="37" xfId="349" applyNumberFormat="1" applyFont="1" applyFill="1" applyBorder="1" applyAlignment="1">
      <alignment vertical="center"/>
    </xf>
    <xf numFmtId="198" fontId="105" fillId="91" borderId="37" xfId="349" applyNumberFormat="1" applyFont="1" applyFill="1" applyBorder="1" applyAlignment="1">
      <alignment vertical="center"/>
    </xf>
    <xf numFmtId="198" fontId="106" fillId="91" borderId="24" xfId="349" applyNumberFormat="1" applyFont="1" applyFill="1" applyBorder="1" applyAlignment="1">
      <alignment vertical="center"/>
    </xf>
    <xf numFmtId="198" fontId="106" fillId="91" borderId="23" xfId="349" applyNumberFormat="1" applyFont="1" applyFill="1" applyBorder="1" applyAlignment="1">
      <alignment vertical="center"/>
    </xf>
    <xf numFmtId="198" fontId="105" fillId="91" borderId="23" xfId="349" applyNumberFormat="1" applyFont="1" applyFill="1" applyBorder="1" applyAlignment="1">
      <alignment vertical="center"/>
    </xf>
    <xf numFmtId="198" fontId="106" fillId="91" borderId="77" xfId="349" applyNumberFormat="1" applyFont="1" applyFill="1" applyBorder="1" applyAlignment="1">
      <alignment vertical="center"/>
    </xf>
    <xf numFmtId="198" fontId="105" fillId="91" borderId="79" xfId="349" applyNumberFormat="1" applyFont="1" applyFill="1" applyBorder="1" applyAlignment="1">
      <alignment vertical="center"/>
    </xf>
    <xf numFmtId="198" fontId="106" fillId="91" borderId="79" xfId="349" applyNumberFormat="1" applyFont="1" applyFill="1" applyBorder="1" applyAlignment="1">
      <alignment vertical="center"/>
    </xf>
    <xf numFmtId="38" fontId="106" fillId="91" borderId="85" xfId="415" applyFont="1" applyFill="1" applyBorder="1" applyAlignment="1" applyProtection="1">
      <alignment vertical="center"/>
    </xf>
    <xf numFmtId="198" fontId="106" fillId="91" borderId="5" xfId="349" applyNumberFormat="1" applyFont="1" applyFill="1" applyBorder="1" applyAlignment="1">
      <alignment vertical="center"/>
    </xf>
    <xf numFmtId="38" fontId="106" fillId="91" borderId="86" xfId="415" applyFont="1" applyFill="1" applyBorder="1" applyAlignment="1">
      <alignment horizontal="right" vertical="center"/>
    </xf>
    <xf numFmtId="198" fontId="106" fillId="91" borderId="32" xfId="349" applyNumberFormat="1" applyFont="1" applyFill="1" applyBorder="1" applyAlignment="1">
      <alignment vertical="center"/>
    </xf>
    <xf numFmtId="38" fontId="106" fillId="91" borderId="25" xfId="415" applyFont="1" applyFill="1" applyBorder="1" applyAlignment="1">
      <alignment horizontal="right" vertical="center"/>
    </xf>
    <xf numFmtId="198" fontId="106" fillId="91" borderId="36" xfId="349" applyNumberFormat="1" applyFont="1" applyFill="1" applyBorder="1" applyAlignment="1">
      <alignment vertical="center"/>
    </xf>
    <xf numFmtId="38" fontId="106" fillId="91" borderId="35" xfId="415" applyFont="1" applyFill="1" applyBorder="1" applyAlignment="1">
      <alignment horizontal="right" vertical="center"/>
    </xf>
    <xf numFmtId="198" fontId="106" fillId="91" borderId="31" xfId="349" applyNumberFormat="1" applyFont="1" applyFill="1" applyBorder="1" applyAlignment="1">
      <alignment vertical="center"/>
    </xf>
    <xf numFmtId="38" fontId="106" fillId="91" borderId="22" xfId="415" applyFont="1" applyFill="1" applyBorder="1" applyAlignment="1">
      <alignment horizontal="right" vertical="center"/>
    </xf>
    <xf numFmtId="0" fontId="171" fillId="89" borderId="0" xfId="345" applyFont="1" applyFill="1">
      <alignment vertical="center"/>
    </xf>
    <xf numFmtId="0" fontId="128" fillId="0" borderId="0" xfId="487" quotePrefix="1" applyFont="1">
      <alignment vertical="center"/>
    </xf>
    <xf numFmtId="0" fontId="168" fillId="0" borderId="0" xfId="487" applyFont="1">
      <alignment vertical="center"/>
    </xf>
    <xf numFmtId="0" fontId="128" fillId="0" borderId="0" xfId="487" applyFont="1" applyAlignment="1">
      <alignment horizontal="center" vertical="center"/>
    </xf>
    <xf numFmtId="0" fontId="225" fillId="0" borderId="0" xfId="489">
      <alignment vertical="center"/>
    </xf>
    <xf numFmtId="0" fontId="128" fillId="0" borderId="32" xfId="487" quotePrefix="1" applyFont="1" applyBorder="1" applyAlignment="1">
      <alignment horizontal="center" vertical="center"/>
    </xf>
    <xf numFmtId="0" fontId="128" fillId="0" borderId="23" xfId="487" applyFont="1" applyBorder="1" applyAlignment="1">
      <alignment horizontal="center" vertical="center"/>
    </xf>
    <xf numFmtId="0" fontId="220" fillId="0" borderId="0" xfId="487" applyFont="1">
      <alignment vertical="center"/>
    </xf>
    <xf numFmtId="0" fontId="220" fillId="0" borderId="0" xfId="487" quotePrefix="1" applyFont="1">
      <alignment vertical="center"/>
    </xf>
    <xf numFmtId="0" fontId="220" fillId="0" borderId="23" xfId="487" applyFont="1" applyBorder="1">
      <alignment vertical="center"/>
    </xf>
    <xf numFmtId="198" fontId="226" fillId="64" borderId="0" xfId="349" applyNumberFormat="1" applyFont="1" applyFill="1" applyAlignment="1">
      <alignment vertical="center"/>
    </xf>
    <xf numFmtId="38" fontId="182" fillId="0" borderId="32" xfId="415" applyFont="1" applyBorder="1" applyAlignment="1" applyProtection="1">
      <alignment vertical="center"/>
    </xf>
    <xf numFmtId="198" fontId="182" fillId="64" borderId="37" xfId="349" applyNumberFormat="1" applyFont="1" applyFill="1" applyBorder="1" applyAlignment="1">
      <alignment vertical="center"/>
    </xf>
    <xf numFmtId="198" fontId="182" fillId="0" borderId="37" xfId="349" applyNumberFormat="1" applyFont="1" applyBorder="1" applyAlignment="1">
      <alignment vertical="center"/>
    </xf>
    <xf numFmtId="38" fontId="182" fillId="0" borderId="36" xfId="415" applyFont="1" applyBorder="1" applyAlignment="1" applyProtection="1">
      <alignment vertical="center"/>
    </xf>
    <xf numFmtId="198" fontId="106" fillId="89" borderId="0" xfId="349" applyNumberFormat="1" applyFont="1" applyFill="1" applyAlignment="1">
      <alignment vertical="center"/>
    </xf>
    <xf numFmtId="0" fontId="128" fillId="0" borderId="24" xfId="487" applyFont="1" applyBorder="1" applyAlignment="1">
      <alignment horizontal="left" vertical="center"/>
    </xf>
    <xf numFmtId="0" fontId="227" fillId="0" borderId="0" xfId="487" applyFont="1">
      <alignment vertical="center"/>
    </xf>
    <xf numFmtId="0" fontId="228" fillId="0" borderId="0" xfId="487" applyFont="1">
      <alignment vertical="center"/>
    </xf>
    <xf numFmtId="198" fontId="163" fillId="70" borderId="37" xfId="349" applyNumberFormat="1" applyFont="1" applyFill="1" applyBorder="1" applyAlignment="1">
      <alignment vertical="center"/>
    </xf>
    <xf numFmtId="0" fontId="128" fillId="87" borderId="25" xfId="487" quotePrefix="1" applyFont="1" applyFill="1" applyBorder="1" applyAlignment="1">
      <alignment horizontal="center" vertical="center"/>
    </xf>
    <xf numFmtId="0" fontId="128" fillId="87" borderId="32" xfId="487" quotePrefix="1" applyFont="1" applyFill="1" applyBorder="1" applyAlignment="1">
      <alignment horizontal="center" vertical="center"/>
    </xf>
    <xf numFmtId="0" fontId="128" fillId="87" borderId="22" xfId="487" quotePrefix="1" applyFont="1" applyFill="1" applyBorder="1" applyAlignment="1">
      <alignment horizontal="center" vertical="center"/>
    </xf>
    <xf numFmtId="197" fontId="206" fillId="64" borderId="0" xfId="345" applyNumberFormat="1" applyFont="1" applyFill="1">
      <alignment vertical="center"/>
    </xf>
    <xf numFmtId="197" fontId="114" fillId="64" borderId="0" xfId="345" applyNumberFormat="1" applyFont="1" applyFill="1">
      <alignment vertical="center"/>
    </xf>
    <xf numFmtId="0" fontId="113" fillId="0" borderId="23" xfId="345" applyFont="1" applyBorder="1">
      <alignment vertical="center"/>
    </xf>
    <xf numFmtId="0" fontId="113" fillId="0" borderId="0" xfId="345" applyFont="1">
      <alignment vertical="center"/>
    </xf>
    <xf numFmtId="198" fontId="105" fillId="0" borderId="0" xfId="345" applyNumberFormat="1" applyFont="1">
      <alignment vertical="center"/>
    </xf>
    <xf numFmtId="0" fontId="106" fillId="89" borderId="0" xfId="349" applyFont="1" applyFill="1"/>
    <xf numFmtId="0" fontId="106" fillId="70" borderId="0" xfId="349" applyFont="1" applyFill="1"/>
    <xf numFmtId="38" fontId="106" fillId="70" borderId="25" xfId="415" applyFont="1" applyFill="1" applyBorder="1" applyAlignment="1"/>
    <xf numFmtId="38" fontId="106" fillId="70" borderId="32" xfId="415" applyFont="1" applyFill="1" applyBorder="1" applyAlignment="1"/>
    <xf numFmtId="0" fontId="106" fillId="64" borderId="37" xfId="345" applyFont="1" applyFill="1" applyBorder="1">
      <alignment vertical="center"/>
    </xf>
    <xf numFmtId="38" fontId="105" fillId="64" borderId="36" xfId="415" applyFont="1" applyFill="1" applyBorder="1" applyAlignment="1">
      <alignment horizontal="right" vertical="center"/>
    </xf>
    <xf numFmtId="0" fontId="106" fillId="70" borderId="87" xfId="349" applyFont="1" applyFill="1" applyBorder="1"/>
    <xf numFmtId="0" fontId="106" fillId="70" borderId="48" xfId="349" applyFont="1" applyFill="1" applyBorder="1"/>
    <xf numFmtId="0" fontId="106" fillId="70" borderId="47" xfId="349" applyFont="1" applyFill="1" applyBorder="1"/>
    <xf numFmtId="0" fontId="105" fillId="64" borderId="75" xfId="345" applyFont="1" applyFill="1" applyBorder="1">
      <alignment vertical="center"/>
    </xf>
    <xf numFmtId="0" fontId="105" fillId="64" borderId="74" xfId="345" applyFont="1" applyFill="1" applyBorder="1">
      <alignment vertical="center"/>
    </xf>
    <xf numFmtId="0" fontId="106" fillId="70" borderId="75" xfId="349" applyFont="1" applyFill="1" applyBorder="1"/>
    <xf numFmtId="0" fontId="106" fillId="70" borderId="32" xfId="349" applyFont="1" applyFill="1" applyBorder="1"/>
    <xf numFmtId="0" fontId="106" fillId="91" borderId="26" xfId="349" applyFont="1" applyFill="1" applyBorder="1"/>
    <xf numFmtId="0" fontId="105" fillId="91" borderId="30" xfId="349" applyFont="1" applyFill="1" applyBorder="1"/>
    <xf numFmtId="0" fontId="106" fillId="91" borderId="73" xfId="349" applyFont="1" applyFill="1" applyBorder="1"/>
    <xf numFmtId="0" fontId="106" fillId="91" borderId="89" xfId="349" applyFont="1" applyFill="1" applyBorder="1"/>
    <xf numFmtId="38" fontId="106" fillId="91" borderId="86" xfId="415" applyFont="1" applyFill="1" applyBorder="1" applyAlignment="1"/>
    <xf numFmtId="38" fontId="106" fillId="91" borderId="5" xfId="415" applyFont="1" applyFill="1" applyBorder="1" applyAlignment="1"/>
    <xf numFmtId="0" fontId="198" fillId="0" borderId="0" xfId="487" applyFont="1">
      <alignment vertical="center"/>
    </xf>
    <xf numFmtId="195" fontId="106" fillId="59" borderId="29" xfId="416" applyNumberFormat="1" applyFont="1" applyFill="1" applyBorder="1" applyAlignment="1" applyProtection="1">
      <alignment vertical="center"/>
    </xf>
    <xf numFmtId="195" fontId="105" fillId="59" borderId="29" xfId="416" applyNumberFormat="1" applyFont="1" applyFill="1" applyBorder="1" applyAlignment="1" applyProtection="1">
      <alignment vertical="center"/>
    </xf>
    <xf numFmtId="195" fontId="105" fillId="64" borderId="29" xfId="416" applyNumberFormat="1" applyFont="1" applyFill="1" applyBorder="1" applyAlignment="1" applyProtection="1">
      <alignment vertical="center"/>
    </xf>
    <xf numFmtId="198" fontId="106" fillId="49" borderId="29" xfId="349" applyNumberFormat="1" applyFont="1" applyFill="1" applyBorder="1" applyAlignment="1">
      <alignment vertical="center"/>
    </xf>
    <xf numFmtId="195" fontId="106" fillId="49" borderId="29" xfId="416" applyNumberFormat="1" applyFont="1" applyFill="1" applyBorder="1" applyAlignment="1" applyProtection="1">
      <alignment vertical="center"/>
    </xf>
    <xf numFmtId="195" fontId="106" fillId="81" borderId="29" xfId="416" applyNumberFormat="1" applyFont="1" applyFill="1" applyBorder="1" applyAlignment="1" applyProtection="1">
      <alignment vertical="center"/>
    </xf>
    <xf numFmtId="198" fontId="106" fillId="66" borderId="29" xfId="349" applyNumberFormat="1" applyFont="1" applyFill="1" applyBorder="1" applyAlignment="1">
      <alignment vertical="center"/>
    </xf>
    <xf numFmtId="195" fontId="106" fillId="66" borderId="29" xfId="416" applyNumberFormat="1" applyFont="1" applyFill="1" applyBorder="1" applyAlignment="1" applyProtection="1">
      <alignment vertical="center"/>
    </xf>
    <xf numFmtId="198" fontId="105" fillId="65" borderId="29" xfId="349" applyNumberFormat="1" applyFont="1" applyFill="1" applyBorder="1" applyAlignment="1">
      <alignment vertical="center"/>
    </xf>
    <xf numFmtId="195" fontId="106" fillId="69" borderId="29" xfId="416" applyNumberFormat="1" applyFont="1" applyFill="1" applyBorder="1" applyAlignment="1"/>
    <xf numFmtId="195" fontId="106" fillId="69" borderId="29" xfId="416" applyNumberFormat="1" applyFont="1" applyFill="1" applyBorder="1" applyAlignment="1" applyProtection="1">
      <alignment vertical="center"/>
    </xf>
    <xf numFmtId="204" fontId="106" fillId="70" borderId="29" xfId="345" applyNumberFormat="1" applyFont="1" applyFill="1" applyBorder="1">
      <alignment vertical="center"/>
    </xf>
    <xf numFmtId="195" fontId="106" fillId="70" borderId="29" xfId="416" applyNumberFormat="1" applyFont="1" applyFill="1" applyBorder="1">
      <alignment vertical="center"/>
    </xf>
    <xf numFmtId="204" fontId="106" fillId="72" borderId="29" xfId="345" applyNumberFormat="1" applyFont="1" applyFill="1" applyBorder="1">
      <alignment vertical="center"/>
    </xf>
    <xf numFmtId="195" fontId="106" fillId="72" borderId="29" xfId="416" applyNumberFormat="1" applyFont="1" applyFill="1" applyBorder="1">
      <alignment vertical="center"/>
    </xf>
    <xf numFmtId="195" fontId="105" fillId="72" borderId="29" xfId="416" applyNumberFormat="1" applyFont="1" applyFill="1" applyBorder="1">
      <alignment vertical="center"/>
    </xf>
    <xf numFmtId="195" fontId="106" fillId="55" borderId="29" xfId="416" applyNumberFormat="1" applyFont="1" applyFill="1" applyBorder="1" applyAlignment="1" applyProtection="1">
      <alignment vertical="center"/>
    </xf>
    <xf numFmtId="198" fontId="105" fillId="70" borderId="29" xfId="349" applyNumberFormat="1" applyFont="1" applyFill="1" applyBorder="1" applyAlignment="1">
      <alignment vertical="center"/>
    </xf>
    <xf numFmtId="198" fontId="182" fillId="0" borderId="29" xfId="349" applyNumberFormat="1" applyFont="1" applyBorder="1" applyAlignment="1">
      <alignment vertical="center"/>
    </xf>
    <xf numFmtId="0" fontId="182" fillId="64" borderId="29" xfId="345" applyFont="1" applyFill="1" applyBorder="1">
      <alignment vertical="center"/>
    </xf>
    <xf numFmtId="198" fontId="184" fillId="64" borderId="29" xfId="349" applyNumberFormat="1" applyFont="1" applyFill="1" applyBorder="1" applyAlignment="1">
      <alignment vertical="center"/>
    </xf>
    <xf numFmtId="0" fontId="191" fillId="64" borderId="0" xfId="345" applyFont="1" applyFill="1">
      <alignment vertical="center"/>
    </xf>
    <xf numFmtId="0" fontId="191" fillId="0" borderId="0" xfId="345" applyFont="1">
      <alignment vertical="center"/>
    </xf>
    <xf numFmtId="0" fontId="106" fillId="74" borderId="89" xfId="345" applyFont="1" applyFill="1" applyBorder="1">
      <alignment vertical="center"/>
    </xf>
    <xf numFmtId="0" fontId="105" fillId="74" borderId="89" xfId="345" applyFont="1" applyFill="1" applyBorder="1">
      <alignment vertical="center"/>
    </xf>
    <xf numFmtId="38" fontId="105" fillId="74" borderId="86" xfId="415" applyFont="1" applyFill="1" applyBorder="1">
      <alignment vertical="center"/>
    </xf>
    <xf numFmtId="38" fontId="187" fillId="78" borderId="0" xfId="485" applyFont="1" applyFill="1" applyBorder="1" applyAlignment="1" applyProtection="1">
      <alignment vertical="center"/>
    </xf>
    <xf numFmtId="0" fontId="106" fillId="78" borderId="0" xfId="345" applyFont="1" applyFill="1">
      <alignment vertical="center"/>
    </xf>
    <xf numFmtId="38" fontId="105" fillId="78" borderId="25" xfId="415" applyFont="1" applyFill="1" applyBorder="1">
      <alignment vertical="center"/>
    </xf>
    <xf numFmtId="195" fontId="105" fillId="74" borderId="86" xfId="415" applyNumberFormat="1" applyFont="1" applyFill="1" applyBorder="1">
      <alignment vertical="center"/>
    </xf>
    <xf numFmtId="195" fontId="105" fillId="78" borderId="25" xfId="415" applyNumberFormat="1" applyFont="1" applyFill="1" applyBorder="1">
      <alignment vertical="center"/>
    </xf>
    <xf numFmtId="195" fontId="105" fillId="64" borderId="25" xfId="415" applyNumberFormat="1" applyFont="1" applyFill="1" applyBorder="1">
      <alignment vertical="center"/>
    </xf>
    <xf numFmtId="9" fontId="105" fillId="78" borderId="25" xfId="415" applyNumberFormat="1" applyFont="1" applyFill="1" applyBorder="1">
      <alignment vertical="center"/>
    </xf>
    <xf numFmtId="9" fontId="105" fillId="64" borderId="22" xfId="345" applyNumberFormat="1" applyFont="1" applyFill="1" applyBorder="1">
      <alignment vertical="center"/>
    </xf>
    <xf numFmtId="38" fontId="187" fillId="92" borderId="72" xfId="485" applyFont="1" applyFill="1" applyBorder="1" applyAlignment="1" applyProtection="1">
      <alignment vertical="center"/>
    </xf>
    <xf numFmtId="38" fontId="187" fillId="92" borderId="89" xfId="485" applyFont="1" applyFill="1" applyBorder="1" applyAlignment="1" applyProtection="1">
      <alignment vertical="center"/>
    </xf>
    <xf numFmtId="0" fontId="106" fillId="92" borderId="89" xfId="345" applyFont="1" applyFill="1" applyBorder="1">
      <alignment vertical="center"/>
    </xf>
    <xf numFmtId="0" fontId="105" fillId="92" borderId="89" xfId="345" applyFont="1" applyFill="1" applyBorder="1">
      <alignment vertical="center"/>
    </xf>
    <xf numFmtId="38" fontId="105" fillId="92" borderId="86" xfId="415" applyFont="1" applyFill="1" applyBorder="1">
      <alignment vertical="center"/>
    </xf>
    <xf numFmtId="195" fontId="105" fillId="92" borderId="86" xfId="415" applyNumberFormat="1" applyFont="1" applyFill="1" applyBorder="1">
      <alignment vertical="center"/>
    </xf>
    <xf numFmtId="38" fontId="187" fillId="81" borderId="72" xfId="485" applyFont="1" applyFill="1" applyBorder="1" applyAlignment="1" applyProtection="1">
      <alignment vertical="center"/>
    </xf>
    <xf numFmtId="38" fontId="187" fillId="81" borderId="89" xfId="485" applyFont="1" applyFill="1" applyBorder="1" applyAlignment="1" applyProtection="1">
      <alignment vertical="center"/>
    </xf>
    <xf numFmtId="0" fontId="106" fillId="81" borderId="89" xfId="345" applyFont="1" applyFill="1" applyBorder="1">
      <alignment vertical="center"/>
    </xf>
    <xf numFmtId="0" fontId="105" fillId="81" borderId="89" xfId="345" applyFont="1" applyFill="1" applyBorder="1">
      <alignment vertical="center"/>
    </xf>
    <xf numFmtId="195" fontId="105" fillId="81" borderId="86" xfId="415" applyNumberFormat="1" applyFont="1" applyFill="1" applyBorder="1">
      <alignment vertical="center"/>
    </xf>
    <xf numFmtId="0" fontId="136" fillId="0" borderId="0" xfId="345" applyFont="1">
      <alignment vertical="center"/>
    </xf>
    <xf numFmtId="0" fontId="106" fillId="70" borderId="25" xfId="349" applyFont="1" applyFill="1" applyBorder="1"/>
    <xf numFmtId="198" fontId="202" fillId="89" borderId="0" xfId="349" applyNumberFormat="1" applyFont="1" applyFill="1" applyAlignment="1">
      <alignment vertical="center"/>
    </xf>
    <xf numFmtId="0" fontId="105" fillId="72" borderId="0" xfId="349" applyFont="1" applyFill="1"/>
    <xf numFmtId="0" fontId="106" fillId="72" borderId="0" xfId="349" applyFont="1" applyFill="1"/>
    <xf numFmtId="0" fontId="161" fillId="72" borderId="0" xfId="349" applyFont="1" applyFill="1"/>
    <xf numFmtId="38" fontId="105" fillId="72" borderId="32" xfId="415" applyFont="1" applyFill="1" applyBorder="1" applyAlignment="1"/>
    <xf numFmtId="198" fontId="158" fillId="72" borderId="0" xfId="349" applyNumberFormat="1" applyFont="1" applyFill="1" applyAlignment="1">
      <alignment vertical="center"/>
    </xf>
    <xf numFmtId="0" fontId="157" fillId="72" borderId="0" xfId="345" applyFont="1" applyFill="1">
      <alignment vertical="center"/>
    </xf>
    <xf numFmtId="198" fontId="147" fillId="72" borderId="0" xfId="349" applyNumberFormat="1" applyFont="1" applyFill="1" applyAlignment="1">
      <alignment vertical="center"/>
    </xf>
    <xf numFmtId="198" fontId="163" fillId="72" borderId="0" xfId="349" applyNumberFormat="1" applyFont="1" applyFill="1" applyAlignment="1">
      <alignment vertical="center"/>
    </xf>
    <xf numFmtId="198" fontId="157" fillId="72" borderId="0" xfId="349" applyNumberFormat="1" applyFont="1" applyFill="1" applyAlignment="1">
      <alignment vertical="center"/>
    </xf>
    <xf numFmtId="9" fontId="158" fillId="72" borderId="32" xfId="416" applyFont="1" applyFill="1" applyBorder="1" applyAlignment="1" applyProtection="1">
      <alignment vertical="center"/>
    </xf>
    <xf numFmtId="198" fontId="113" fillId="72" borderId="0" xfId="349" applyNumberFormat="1" applyFont="1" applyFill="1" applyAlignment="1">
      <alignment vertical="center"/>
    </xf>
    <xf numFmtId="198" fontId="106" fillId="72" borderId="0" xfId="349" applyNumberFormat="1" applyFont="1" applyFill="1" applyAlignment="1">
      <alignment vertical="center"/>
    </xf>
    <xf numFmtId="198" fontId="113" fillId="0" borderId="0" xfId="349" applyNumberFormat="1" applyFont="1" applyAlignment="1">
      <alignment vertical="center"/>
    </xf>
    <xf numFmtId="38" fontId="157" fillId="72" borderId="32" xfId="415" applyFont="1" applyFill="1" applyBorder="1" applyAlignment="1" applyProtection="1">
      <alignment vertical="center"/>
    </xf>
    <xf numFmtId="0" fontId="105" fillId="73" borderId="37" xfId="345" applyFont="1" applyFill="1" applyBorder="1">
      <alignment vertical="center"/>
    </xf>
    <xf numFmtId="38" fontId="105" fillId="73" borderId="35" xfId="415" applyFont="1" applyFill="1" applyBorder="1">
      <alignment vertical="center"/>
    </xf>
    <xf numFmtId="38" fontId="105" fillId="73" borderId="36" xfId="415" applyFont="1" applyFill="1" applyBorder="1">
      <alignment vertical="center"/>
    </xf>
    <xf numFmtId="38" fontId="105" fillId="72" borderId="25" xfId="415" applyFont="1" applyFill="1" applyBorder="1">
      <alignment vertical="center"/>
    </xf>
    <xf numFmtId="38" fontId="105" fillId="72" borderId="32" xfId="415" applyFont="1" applyFill="1" applyBorder="1">
      <alignment vertical="center"/>
    </xf>
    <xf numFmtId="198" fontId="105" fillId="72" borderId="23" xfId="349" applyNumberFormat="1" applyFont="1" applyFill="1" applyBorder="1" applyAlignment="1">
      <alignment vertical="center"/>
    </xf>
    <xf numFmtId="0" fontId="105" fillId="72" borderId="23" xfId="345" applyFont="1" applyFill="1" applyBorder="1">
      <alignment vertical="center"/>
    </xf>
    <xf numFmtId="38" fontId="105" fillId="72" borderId="22" xfId="415" applyFont="1" applyFill="1" applyBorder="1">
      <alignment vertical="center"/>
    </xf>
    <xf numFmtId="38" fontId="105" fillId="72" borderId="31" xfId="415" applyFont="1" applyFill="1" applyBorder="1">
      <alignment vertical="center"/>
    </xf>
    <xf numFmtId="0" fontId="229" fillId="89" borderId="0" xfId="345" applyFont="1" applyFill="1">
      <alignment vertical="center"/>
    </xf>
    <xf numFmtId="0" fontId="180" fillId="89" borderId="0" xfId="421" applyFont="1" applyFill="1"/>
    <xf numFmtId="204" fontId="106" fillId="91" borderId="25" xfId="415" applyNumberFormat="1" applyFont="1" applyFill="1" applyBorder="1" applyAlignment="1">
      <alignment horizontal="right" vertical="center"/>
    </xf>
    <xf numFmtId="204" fontId="106" fillId="91" borderId="35" xfId="415" applyNumberFormat="1" applyFont="1" applyFill="1" applyBorder="1" applyAlignment="1">
      <alignment horizontal="right" vertical="center"/>
    </xf>
    <xf numFmtId="204" fontId="105" fillId="0" borderId="25" xfId="415" applyNumberFormat="1" applyFont="1" applyFill="1" applyBorder="1" applyAlignment="1">
      <alignment horizontal="right" vertical="center"/>
    </xf>
    <xf numFmtId="204" fontId="105" fillId="0" borderId="35" xfId="415" applyNumberFormat="1" applyFont="1" applyFill="1" applyBorder="1" applyAlignment="1">
      <alignment horizontal="right" vertical="center"/>
    </xf>
    <xf numFmtId="204" fontId="106" fillId="91" borderId="22" xfId="415" applyNumberFormat="1" applyFont="1" applyFill="1" applyBorder="1" applyAlignment="1">
      <alignment horizontal="right" vertical="center"/>
    </xf>
    <xf numFmtId="195" fontId="106" fillId="91" borderId="25" xfId="416" applyNumberFormat="1" applyFont="1" applyFill="1" applyBorder="1" applyAlignment="1">
      <alignment horizontal="right" vertical="center"/>
    </xf>
    <xf numFmtId="195" fontId="106" fillId="91" borderId="35" xfId="416" applyNumberFormat="1" applyFont="1" applyFill="1" applyBorder="1" applyAlignment="1">
      <alignment horizontal="right" vertical="center"/>
    </xf>
    <xf numFmtId="195" fontId="105" fillId="0" borderId="25" xfId="416" applyNumberFormat="1" applyFont="1" applyFill="1" applyBorder="1" applyAlignment="1">
      <alignment horizontal="right" vertical="center"/>
    </xf>
    <xf numFmtId="195" fontId="105" fillId="0" borderId="35" xfId="416" applyNumberFormat="1" applyFont="1" applyFill="1" applyBorder="1" applyAlignment="1">
      <alignment horizontal="right" vertical="center"/>
    </xf>
    <xf numFmtId="195" fontId="106" fillId="91" borderId="22" xfId="416" applyNumberFormat="1" applyFont="1" applyFill="1" applyBorder="1" applyAlignment="1">
      <alignment horizontal="right" vertical="center"/>
    </xf>
    <xf numFmtId="38" fontId="106" fillId="72" borderId="25" xfId="415" applyFont="1" applyFill="1" applyBorder="1" applyAlignment="1"/>
    <xf numFmtId="38" fontId="106" fillId="72" borderId="32" xfId="415" applyFont="1" applyFill="1" applyBorder="1" applyAlignment="1"/>
    <xf numFmtId="204" fontId="106" fillId="72" borderId="32" xfId="415" applyNumberFormat="1" applyFont="1" applyFill="1" applyBorder="1" applyAlignment="1"/>
    <xf numFmtId="195" fontId="106" fillId="72" borderId="32" xfId="416" applyNumberFormat="1" applyFont="1" applyFill="1" applyBorder="1" applyAlignment="1"/>
    <xf numFmtId="195" fontId="158" fillId="72" borderId="32" xfId="416" applyNumberFormat="1" applyFont="1" applyFill="1" applyBorder="1" applyAlignment="1" applyProtection="1">
      <alignment vertical="center"/>
    </xf>
    <xf numFmtId="204" fontId="105" fillId="72" borderId="32" xfId="415" applyNumberFormat="1" applyFont="1" applyFill="1" applyBorder="1" applyAlignment="1"/>
    <xf numFmtId="195" fontId="105" fillId="72" borderId="32" xfId="416" applyNumberFormat="1" applyFont="1" applyFill="1" applyBorder="1" applyAlignment="1"/>
    <xf numFmtId="0" fontId="230" fillId="0" borderId="22" xfId="0" applyFont="1" applyBorder="1" applyAlignment="1">
      <alignment horizontal="left" vertical="center" wrapText="1"/>
    </xf>
    <xf numFmtId="0" fontId="106" fillId="74" borderId="26" xfId="349" applyFont="1" applyFill="1" applyBorder="1"/>
    <xf numFmtId="0" fontId="105" fillId="74" borderId="89" xfId="349" applyFont="1" applyFill="1" applyBorder="1"/>
    <xf numFmtId="0" fontId="106" fillId="74" borderId="89" xfId="349" applyFont="1" applyFill="1" applyBorder="1"/>
    <xf numFmtId="0" fontId="106" fillId="74" borderId="5" xfId="349" applyFont="1" applyFill="1" applyBorder="1"/>
    <xf numFmtId="38" fontId="106" fillId="74" borderId="5" xfId="415" applyFont="1" applyFill="1" applyBorder="1" applyAlignment="1"/>
    <xf numFmtId="38" fontId="106" fillId="74" borderId="29" xfId="415" applyFont="1" applyFill="1" applyBorder="1" applyAlignment="1"/>
    <xf numFmtId="0" fontId="106" fillId="74" borderId="72" xfId="349" applyFont="1" applyFill="1" applyBorder="1"/>
    <xf numFmtId="0" fontId="152" fillId="74" borderId="89" xfId="349" applyFont="1" applyFill="1" applyBorder="1"/>
    <xf numFmtId="0" fontId="106" fillId="74" borderId="11" xfId="349" applyFont="1" applyFill="1" applyBorder="1"/>
    <xf numFmtId="0" fontId="105" fillId="74" borderId="0" xfId="349" applyFont="1" applyFill="1"/>
    <xf numFmtId="0" fontId="106" fillId="74" borderId="0" xfId="349" applyFont="1" applyFill="1"/>
    <xf numFmtId="0" fontId="106" fillId="74" borderId="32" xfId="349" applyFont="1" applyFill="1" applyBorder="1"/>
    <xf numFmtId="38" fontId="106" fillId="74" borderId="32" xfId="415" applyFont="1" applyFill="1" applyBorder="1" applyAlignment="1"/>
    <xf numFmtId="198" fontId="106" fillId="74" borderId="26" xfId="349" applyNumberFormat="1" applyFont="1" applyFill="1" applyBorder="1" applyAlignment="1">
      <alignment vertical="center"/>
    </xf>
    <xf numFmtId="198" fontId="105" fillId="74" borderId="89" xfId="349" applyNumberFormat="1" applyFont="1" applyFill="1" applyBorder="1" applyAlignment="1">
      <alignment vertical="center"/>
    </xf>
    <xf numFmtId="198" fontId="106" fillId="74" borderId="89" xfId="349" applyNumberFormat="1" applyFont="1" applyFill="1" applyBorder="1" applyAlignment="1">
      <alignment vertical="center"/>
    </xf>
    <xf numFmtId="198" fontId="106" fillId="74" borderId="5" xfId="349" applyNumberFormat="1" applyFont="1" applyFill="1" applyBorder="1" applyAlignment="1">
      <alignment vertical="center"/>
    </xf>
    <xf numFmtId="198" fontId="106" fillId="74" borderId="29" xfId="349" applyNumberFormat="1" applyFont="1" applyFill="1" applyBorder="1" applyAlignment="1">
      <alignment vertical="center"/>
    </xf>
    <xf numFmtId="0" fontId="106" fillId="74" borderId="57" xfId="349" applyFont="1" applyFill="1" applyBorder="1"/>
    <xf numFmtId="38" fontId="106" fillId="74" borderId="57" xfId="415" applyFont="1" applyFill="1" applyBorder="1" applyAlignment="1"/>
    <xf numFmtId="198" fontId="106" fillId="74" borderId="11" xfId="349" applyNumberFormat="1" applyFont="1" applyFill="1" applyBorder="1" applyAlignment="1">
      <alignment vertical="center"/>
    </xf>
    <xf numFmtId="38" fontId="105" fillId="74" borderId="73" xfId="415" applyFont="1" applyFill="1" applyBorder="1" applyAlignment="1" applyProtection="1">
      <alignment vertical="center"/>
    </xf>
    <xf numFmtId="38" fontId="106" fillId="74" borderId="73" xfId="415" applyFont="1" applyFill="1" applyBorder="1" applyAlignment="1" applyProtection="1">
      <alignment vertical="center"/>
    </xf>
    <xf numFmtId="0" fontId="7" fillId="74" borderId="11" xfId="349" applyFill="1" applyBorder="1"/>
    <xf numFmtId="0" fontId="7" fillId="74" borderId="24" xfId="349" applyFill="1" applyBorder="1"/>
    <xf numFmtId="38" fontId="105" fillId="74" borderId="86" xfId="485" applyFont="1" applyFill="1" applyBorder="1" applyAlignment="1"/>
    <xf numFmtId="38" fontId="105" fillId="74" borderId="89" xfId="415" applyFont="1" applyFill="1" applyBorder="1" applyAlignment="1" applyProtection="1">
      <alignment vertical="center"/>
    </xf>
    <xf numFmtId="0" fontId="106" fillId="78" borderId="0" xfId="349" applyFont="1" applyFill="1"/>
    <xf numFmtId="0" fontId="106" fillId="78" borderId="23" xfId="349" applyFont="1" applyFill="1" applyBorder="1"/>
    <xf numFmtId="0" fontId="106" fillId="78" borderId="31" xfId="349" applyFont="1" applyFill="1" applyBorder="1"/>
    <xf numFmtId="38" fontId="106" fillId="78" borderId="31" xfId="415" applyFont="1" applyFill="1" applyBorder="1" applyAlignment="1"/>
    <xf numFmtId="0" fontId="105" fillId="78" borderId="0" xfId="349" applyFont="1" applyFill="1"/>
    <xf numFmtId="0" fontId="105" fillId="78" borderId="23" xfId="349" applyFont="1" applyFill="1" applyBorder="1"/>
    <xf numFmtId="0" fontId="106" fillId="78" borderId="79" xfId="349" applyFont="1" applyFill="1" applyBorder="1"/>
    <xf numFmtId="0" fontId="106" fillId="78" borderId="32" xfId="349" applyFont="1" applyFill="1" applyBorder="1"/>
    <xf numFmtId="38" fontId="106" fillId="78" borderId="32" xfId="415" applyFont="1" applyFill="1" applyBorder="1" applyAlignment="1"/>
    <xf numFmtId="49" fontId="12" fillId="64" borderId="0" xfId="345" applyNumberFormat="1" applyFont="1" applyFill="1" applyAlignment="1">
      <alignment vertical="center" justifyLastLine="1"/>
    </xf>
    <xf numFmtId="0" fontId="12" fillId="64" borderId="101" xfId="345" applyFont="1" applyFill="1" applyBorder="1" applyAlignment="1">
      <alignment horizontal="left" indent="2" justifyLastLine="1"/>
    </xf>
    <xf numFmtId="0" fontId="12" fillId="64" borderId="101" xfId="349" applyFont="1" applyFill="1" applyBorder="1" applyAlignment="1">
      <alignment horizontal="left" indent="2" justifyLastLine="1"/>
    </xf>
    <xf numFmtId="0" fontId="12" fillId="74" borderId="101" xfId="415" applyNumberFormat="1" applyFont="1" applyFill="1" applyBorder="1" applyAlignment="1" applyProtection="1">
      <alignment horizontal="left" indent="2" justifyLastLine="1"/>
    </xf>
    <xf numFmtId="0" fontId="12" fillId="64" borderId="101" xfId="415" applyNumberFormat="1" applyFont="1" applyFill="1" applyBorder="1" applyAlignment="1" applyProtection="1">
      <alignment horizontal="left" indent="2" justifyLastLine="1"/>
      <protection locked="0"/>
    </xf>
    <xf numFmtId="0" fontId="12" fillId="64" borderId="101" xfId="416" applyNumberFormat="1" applyFont="1" applyFill="1" applyBorder="1" applyAlignment="1" applyProtection="1">
      <alignment horizontal="left" indent="2" justifyLastLine="1"/>
    </xf>
    <xf numFmtId="0" fontId="12" fillId="64" borderId="101" xfId="415" applyNumberFormat="1" applyFont="1" applyFill="1" applyBorder="1" applyAlignment="1">
      <alignment horizontal="left" indent="2" justifyLastLine="1"/>
    </xf>
    <xf numFmtId="0" fontId="12" fillId="65" borderId="101" xfId="415" applyNumberFormat="1" applyFont="1" applyFill="1" applyBorder="1" applyAlignment="1" applyProtection="1">
      <alignment horizontal="left" indent="2" justifyLastLine="1"/>
      <protection locked="0"/>
    </xf>
    <xf numFmtId="0" fontId="12" fillId="65" borderId="101" xfId="415" applyNumberFormat="1" applyFont="1" applyFill="1" applyBorder="1" applyAlignment="1">
      <alignment horizontal="left" indent="2" justifyLastLine="1"/>
    </xf>
    <xf numFmtId="0" fontId="12" fillId="0" borderId="101" xfId="345" applyFont="1" applyBorder="1" applyAlignment="1">
      <alignment horizontal="left" indent="2" justifyLastLine="1"/>
    </xf>
    <xf numFmtId="0" fontId="12" fillId="71" borderId="101" xfId="415" applyNumberFormat="1" applyFont="1" applyFill="1" applyBorder="1" applyAlignment="1">
      <alignment horizontal="left" indent="2" justifyLastLine="1"/>
    </xf>
    <xf numFmtId="0" fontId="12" fillId="0" borderId="101" xfId="415" applyNumberFormat="1" applyFont="1" applyFill="1" applyBorder="1" applyAlignment="1">
      <alignment horizontal="left" indent="2" justifyLastLine="1"/>
    </xf>
    <xf numFmtId="0" fontId="12" fillId="91" borderId="101" xfId="415" applyNumberFormat="1" applyFont="1" applyFill="1" applyBorder="1" applyAlignment="1" applyProtection="1">
      <alignment horizontal="left" indent="2" justifyLastLine="1"/>
    </xf>
    <xf numFmtId="0" fontId="12" fillId="0" borderId="101" xfId="416" applyNumberFormat="1" applyFont="1" applyFill="1" applyBorder="1" applyAlignment="1" applyProtection="1">
      <alignment horizontal="left" indent="2" justifyLastLine="1"/>
    </xf>
    <xf numFmtId="0" fontId="12" fillId="64" borderId="101" xfId="415" applyNumberFormat="1" applyFont="1" applyFill="1" applyBorder="1" applyAlignment="1" applyProtection="1">
      <alignment horizontal="left" indent="2" justifyLastLine="1"/>
    </xf>
    <xf numFmtId="0" fontId="12" fillId="71" borderId="101" xfId="415" applyNumberFormat="1" applyFont="1" applyFill="1" applyBorder="1" applyAlignment="1" applyProtection="1">
      <alignment horizontal="left" indent="2" justifyLastLine="1"/>
    </xf>
    <xf numFmtId="0" fontId="12" fillId="59" borderId="101" xfId="415" applyNumberFormat="1" applyFont="1" applyFill="1" applyBorder="1" applyAlignment="1" applyProtection="1">
      <alignment horizontal="left" indent="2" justifyLastLine="1"/>
    </xf>
    <xf numFmtId="0" fontId="12" fillId="0" borderId="101" xfId="415" applyNumberFormat="1" applyFont="1" applyBorder="1" applyAlignment="1" applyProtection="1">
      <alignment horizontal="left" indent="2" justifyLastLine="1"/>
    </xf>
    <xf numFmtId="0" fontId="12" fillId="65" borderId="101" xfId="415" applyNumberFormat="1" applyFont="1" applyFill="1" applyBorder="1" applyAlignment="1" applyProtection="1">
      <alignment horizontal="left" indent="2" justifyLastLine="1"/>
    </xf>
    <xf numFmtId="0" fontId="12" fillId="78" borderId="101" xfId="415" applyNumberFormat="1" applyFont="1" applyFill="1" applyBorder="1" applyAlignment="1" applyProtection="1">
      <alignment horizontal="left" indent="2" justifyLastLine="1"/>
    </xf>
    <xf numFmtId="0" fontId="12" fillId="0" borderId="101" xfId="416" applyNumberFormat="1" applyFont="1" applyBorder="1" applyAlignment="1" applyProtection="1">
      <alignment horizontal="left" indent="2" justifyLastLine="1"/>
    </xf>
    <xf numFmtId="0" fontId="12" fillId="49" borderId="101" xfId="349" applyFont="1" applyFill="1" applyBorder="1" applyAlignment="1">
      <alignment horizontal="left" indent="2" justifyLastLine="1"/>
    </xf>
    <xf numFmtId="0" fontId="12" fillId="0" borderId="101" xfId="349" applyFont="1" applyBorder="1" applyAlignment="1">
      <alignment horizontal="left" indent="2" justifyLastLine="1"/>
    </xf>
    <xf numFmtId="0" fontId="12" fillId="81" borderId="101" xfId="415" applyNumberFormat="1" applyFont="1" applyFill="1" applyBorder="1" applyAlignment="1" applyProtection="1">
      <alignment horizontal="left" indent="2" justifyLastLine="1"/>
    </xf>
    <xf numFmtId="0" fontId="12" fillId="72" borderId="101" xfId="415" applyNumberFormat="1" applyFont="1" applyFill="1" applyBorder="1" applyAlignment="1" applyProtection="1">
      <alignment horizontal="left" indent="2" justifyLastLine="1"/>
    </xf>
    <xf numFmtId="0" fontId="12" fillId="72" borderId="101" xfId="416" applyNumberFormat="1" applyFont="1" applyFill="1" applyBorder="1" applyAlignment="1" applyProtection="1">
      <alignment horizontal="left" indent="2" justifyLastLine="1"/>
    </xf>
    <xf numFmtId="0" fontId="12" fillId="66" borderId="101" xfId="349" applyFont="1" applyFill="1" applyBorder="1" applyAlignment="1">
      <alignment horizontal="left" indent="2" justifyLastLine="1"/>
    </xf>
    <xf numFmtId="0" fontId="12" fillId="72" borderId="101" xfId="349" applyFont="1" applyFill="1" applyBorder="1" applyAlignment="1">
      <alignment horizontal="left" indent="2" justifyLastLine="1"/>
    </xf>
    <xf numFmtId="0" fontId="12" fillId="65" borderId="101" xfId="349" applyFont="1" applyFill="1" applyBorder="1" applyAlignment="1">
      <alignment horizontal="left" indent="2" justifyLastLine="1"/>
    </xf>
    <xf numFmtId="0" fontId="12" fillId="69" borderId="101" xfId="415" applyNumberFormat="1" applyFont="1" applyFill="1" applyBorder="1" applyAlignment="1">
      <alignment horizontal="left" indent="2" justifyLastLine="1"/>
    </xf>
    <xf numFmtId="0" fontId="12" fillId="72" borderId="101" xfId="415" applyNumberFormat="1" applyFont="1" applyFill="1" applyBorder="1" applyAlignment="1">
      <alignment horizontal="left" indent="2" justifyLastLine="1"/>
    </xf>
    <xf numFmtId="0" fontId="12" fillId="69" borderId="101" xfId="415" applyNumberFormat="1" applyFont="1" applyFill="1" applyBorder="1" applyAlignment="1" applyProtection="1">
      <alignment horizontal="left" indent="2" justifyLastLine="1"/>
    </xf>
    <xf numFmtId="0" fontId="12" fillId="70" borderId="101" xfId="415" applyNumberFormat="1" applyFont="1" applyFill="1" applyBorder="1" applyAlignment="1" applyProtection="1">
      <alignment horizontal="left" indent="2" justifyLastLine="1"/>
    </xf>
    <xf numFmtId="0" fontId="12" fillId="67" borderId="101" xfId="415" applyNumberFormat="1" applyFont="1" applyFill="1" applyBorder="1" applyAlignment="1" applyProtection="1">
      <alignment horizontal="left" indent="2" justifyLastLine="1"/>
    </xf>
    <xf numFmtId="0" fontId="12" fillId="88" borderId="101" xfId="415" applyNumberFormat="1" applyFont="1" applyFill="1" applyBorder="1" applyAlignment="1" applyProtection="1">
      <alignment horizontal="left" indent="2" justifyLastLine="1"/>
    </xf>
    <xf numFmtId="0" fontId="12" fillId="66" borderId="101" xfId="415" applyNumberFormat="1" applyFont="1" applyFill="1" applyBorder="1" applyAlignment="1" applyProtection="1">
      <alignment horizontal="left" indent="2" justifyLastLine="1"/>
    </xf>
    <xf numFmtId="0" fontId="12" fillId="79" borderId="101" xfId="415" applyNumberFormat="1" applyFont="1" applyFill="1" applyBorder="1" applyAlignment="1" applyProtection="1">
      <alignment horizontal="left" indent="2" justifyLastLine="1"/>
    </xf>
    <xf numFmtId="0" fontId="12" fillId="70" borderId="101" xfId="345" applyFont="1" applyFill="1" applyBorder="1" applyAlignment="1">
      <alignment horizontal="left" indent="2" justifyLastLine="1"/>
    </xf>
    <xf numFmtId="0" fontId="12" fillId="73" borderId="101" xfId="345" applyFont="1" applyFill="1" applyBorder="1" applyAlignment="1">
      <alignment horizontal="left" indent="2" justifyLastLine="1"/>
    </xf>
    <xf numFmtId="0" fontId="12" fillId="72" borderId="101" xfId="345" applyFont="1" applyFill="1" applyBorder="1" applyAlignment="1">
      <alignment horizontal="left" indent="2" justifyLastLine="1"/>
    </xf>
    <xf numFmtId="0" fontId="12" fillId="70" borderId="101" xfId="415" applyNumberFormat="1" applyFont="1" applyFill="1" applyBorder="1" applyAlignment="1">
      <alignment horizontal="left" indent="2" justifyLastLine="1"/>
    </xf>
    <xf numFmtId="0" fontId="12" fillId="73" borderId="101" xfId="415" applyNumberFormat="1" applyFont="1" applyFill="1" applyBorder="1" applyAlignment="1">
      <alignment horizontal="left" indent="2" justifyLastLine="1"/>
    </xf>
    <xf numFmtId="0" fontId="12" fillId="67" borderId="101" xfId="415" applyNumberFormat="1" applyFont="1" applyFill="1" applyBorder="1" applyAlignment="1">
      <alignment horizontal="left" indent="2" justifyLastLine="1"/>
    </xf>
    <xf numFmtId="0" fontId="12" fillId="0" borderId="101" xfId="415" applyNumberFormat="1" applyFont="1" applyFill="1" applyBorder="1" applyAlignment="1" applyProtection="1">
      <alignment horizontal="left" indent="2" justifyLastLine="1"/>
    </xf>
    <xf numFmtId="0" fontId="12" fillId="91" borderId="101" xfId="415" applyNumberFormat="1" applyFont="1" applyFill="1" applyBorder="1" applyAlignment="1">
      <alignment horizontal="left" indent="2" justifyLastLine="1"/>
    </xf>
    <xf numFmtId="0" fontId="12" fillId="81" borderId="101" xfId="415" applyNumberFormat="1" applyFont="1" applyFill="1" applyBorder="1" applyAlignment="1">
      <alignment horizontal="left" indent="2" justifyLastLine="1"/>
    </xf>
    <xf numFmtId="0" fontId="12" fillId="66" borderId="101" xfId="415" applyNumberFormat="1" applyFont="1" applyFill="1" applyBorder="1" applyAlignment="1">
      <alignment horizontal="left" indent="2" justifyLastLine="1"/>
    </xf>
    <xf numFmtId="0" fontId="12" fillId="79" borderId="101" xfId="415" applyNumberFormat="1" applyFont="1" applyFill="1" applyBorder="1" applyAlignment="1">
      <alignment horizontal="left" indent="2" justifyLastLine="1"/>
    </xf>
    <xf numFmtId="0" fontId="12" fillId="55" borderId="101" xfId="415" applyNumberFormat="1" applyFont="1" applyFill="1" applyBorder="1" applyAlignment="1" applyProtection="1">
      <alignment horizontal="left" indent="2" justifyLastLine="1"/>
    </xf>
    <xf numFmtId="0" fontId="12" fillId="0" borderId="101" xfId="415" applyNumberFormat="1" applyFont="1" applyFill="1" applyBorder="1" applyAlignment="1" applyProtection="1">
      <alignment horizontal="left" indent="2" justifyLastLine="1"/>
      <protection locked="0"/>
    </xf>
    <xf numFmtId="0" fontId="12" fillId="49" borderId="101" xfId="415" applyNumberFormat="1" applyFont="1" applyFill="1" applyBorder="1" applyAlignment="1" applyProtection="1">
      <alignment horizontal="left" indent="2" justifyLastLine="1"/>
    </xf>
    <xf numFmtId="0" fontId="12" fillId="0" borderId="101" xfId="415" applyNumberFormat="1" applyFont="1" applyBorder="1" applyAlignment="1">
      <alignment horizontal="left" indent="2" justifyLastLine="1"/>
    </xf>
    <xf numFmtId="0" fontId="12" fillId="0" borderId="101" xfId="311" applyNumberFormat="1" applyFont="1" applyFill="1" applyBorder="1" applyAlignment="1">
      <alignment horizontal="left" indent="2" justifyLastLine="1"/>
    </xf>
    <xf numFmtId="0" fontId="12" fillId="80" borderId="101" xfId="311" applyNumberFormat="1" applyFont="1" applyFill="1" applyBorder="1" applyAlignment="1" applyProtection="1">
      <alignment horizontal="left" indent="2" justifyLastLine="1"/>
      <protection locked="0"/>
    </xf>
    <xf numFmtId="0" fontId="12" fillId="70" borderId="101" xfId="311" applyNumberFormat="1" applyFont="1" applyFill="1" applyBorder="1" applyAlignment="1" applyProtection="1">
      <alignment horizontal="left" indent="2" justifyLastLine="1"/>
      <protection locked="0"/>
    </xf>
    <xf numFmtId="0" fontId="12" fillId="68" borderId="101" xfId="311" applyNumberFormat="1" applyFont="1" applyFill="1" applyBorder="1" applyAlignment="1" applyProtection="1">
      <alignment horizontal="left" indent="2" justifyLastLine="1"/>
      <protection locked="0"/>
    </xf>
    <xf numFmtId="0" fontId="12" fillId="0" borderId="101" xfId="311" applyNumberFormat="1" applyFont="1" applyFill="1" applyBorder="1" applyAlignment="1" applyProtection="1">
      <alignment horizontal="left" indent="2" justifyLastLine="1"/>
      <protection locked="0"/>
    </xf>
    <xf numFmtId="0" fontId="12" fillId="71" borderId="101" xfId="311" applyNumberFormat="1" applyFont="1" applyFill="1" applyBorder="1" applyAlignment="1" applyProtection="1">
      <alignment horizontal="left" indent="2" justifyLastLine="1"/>
      <protection locked="0"/>
    </xf>
    <xf numFmtId="0" fontId="12" fillId="71" borderId="101" xfId="345" applyFont="1" applyFill="1" applyBorder="1" applyAlignment="1">
      <alignment horizontal="left" indent="2" justifyLastLine="1"/>
    </xf>
    <xf numFmtId="0" fontId="12" fillId="80" borderId="101" xfId="345" applyFont="1" applyFill="1" applyBorder="1" applyAlignment="1">
      <alignment horizontal="left" indent="2" justifyLastLine="1"/>
    </xf>
    <xf numFmtId="0" fontId="12" fillId="73" borderId="101" xfId="311" applyNumberFormat="1" applyFont="1" applyFill="1" applyBorder="1" applyAlignment="1">
      <alignment horizontal="left" indent="2" justifyLastLine="1"/>
    </xf>
    <xf numFmtId="0" fontId="12" fillId="71" borderId="101" xfId="311" applyNumberFormat="1" applyFont="1" applyFill="1" applyBorder="1" applyAlignment="1">
      <alignment horizontal="left" indent="2" justifyLastLine="1"/>
    </xf>
    <xf numFmtId="0" fontId="12" fillId="59" borderId="101" xfId="345" applyFont="1" applyFill="1" applyBorder="1" applyAlignment="1">
      <alignment horizontal="left" indent="2" justifyLastLine="1"/>
    </xf>
    <xf numFmtId="0" fontId="12" fillId="0" borderId="101" xfId="311" applyNumberFormat="1" applyFont="1" applyBorder="1" applyAlignment="1">
      <alignment horizontal="left" indent="2" justifyLastLine="1"/>
    </xf>
    <xf numFmtId="0" fontId="12" fillId="70" borderId="101" xfId="311" applyNumberFormat="1" applyFont="1" applyFill="1" applyBorder="1" applyAlignment="1">
      <alignment horizontal="left" indent="2" justifyLastLine="1"/>
    </xf>
    <xf numFmtId="0" fontId="12" fillId="64" borderId="101" xfId="421" applyFont="1" applyFill="1" applyBorder="1" applyAlignment="1">
      <alignment horizontal="left" indent="2" justifyLastLine="1"/>
    </xf>
    <xf numFmtId="0" fontId="12" fillId="0" borderId="101" xfId="486" applyFont="1" applyBorder="1" applyAlignment="1">
      <alignment horizontal="left" indent="2" justifyLastLine="1"/>
    </xf>
    <xf numFmtId="0" fontId="12" fillId="87" borderId="101" xfId="415" applyNumberFormat="1" applyFont="1" applyFill="1" applyBorder="1" applyAlignment="1" applyProtection="1">
      <alignment horizontal="left" indent="2" justifyLastLine="1"/>
    </xf>
    <xf numFmtId="0" fontId="12" fillId="81" borderId="101" xfId="349" applyFont="1" applyFill="1" applyBorder="1" applyAlignment="1">
      <alignment horizontal="left" indent="2" justifyLastLine="1"/>
    </xf>
    <xf numFmtId="0" fontId="12" fillId="87" borderId="101" xfId="415" applyNumberFormat="1" applyFont="1" applyFill="1" applyBorder="1" applyAlignment="1">
      <alignment horizontal="left" indent="2" justifyLastLine="1"/>
    </xf>
    <xf numFmtId="0" fontId="12" fillId="0" borderId="101" xfId="488" applyNumberFormat="1" applyFont="1" applyFill="1" applyBorder="1" applyAlignment="1">
      <alignment horizontal="left" indent="2" justifyLastLine="1"/>
    </xf>
    <xf numFmtId="0" fontId="12" fillId="0" borderId="101" xfId="488" applyNumberFormat="1" applyFont="1" applyBorder="1" applyAlignment="1">
      <alignment horizontal="left" indent="2" justifyLastLine="1"/>
    </xf>
    <xf numFmtId="0" fontId="12" fillId="71" borderId="101" xfId="349" applyFont="1" applyFill="1" applyBorder="1" applyAlignment="1">
      <alignment horizontal="left" indent="2" justifyLastLine="1"/>
    </xf>
    <xf numFmtId="0" fontId="12" fillId="0" borderId="101" xfId="487" applyFont="1" applyBorder="1" applyAlignment="1">
      <alignment horizontal="left" indent="2" justifyLastLine="1"/>
    </xf>
    <xf numFmtId="0" fontId="12" fillId="0" borderId="101" xfId="0" applyFont="1" applyBorder="1" applyAlignment="1">
      <alignment horizontal="left" indent="2" justifyLastLine="1"/>
    </xf>
    <xf numFmtId="0" fontId="12" fillId="74" borderId="101" xfId="415" applyNumberFormat="1" applyFont="1" applyFill="1" applyBorder="1" applyAlignment="1">
      <alignment horizontal="left" indent="2" justifyLastLine="1"/>
    </xf>
    <xf numFmtId="0" fontId="12" fillId="64" borderId="101" xfId="292" applyNumberFormat="1" applyFont="1" applyFill="1" applyBorder="1" applyAlignment="1">
      <alignment horizontal="left" indent="2" justifyLastLine="1"/>
    </xf>
    <xf numFmtId="0" fontId="12" fillId="78" borderId="101" xfId="415" applyNumberFormat="1" applyFont="1" applyFill="1" applyBorder="1" applyAlignment="1">
      <alignment horizontal="left" indent="2" justifyLastLine="1"/>
    </xf>
    <xf numFmtId="0" fontId="12" fillId="64" borderId="101" xfId="485" applyNumberFormat="1" applyFont="1" applyFill="1" applyBorder="1" applyAlignment="1" applyProtection="1">
      <alignment horizontal="left" indent="2" justifyLastLine="1"/>
    </xf>
    <xf numFmtId="0" fontId="12" fillId="0" borderId="101" xfId="485" applyNumberFormat="1" applyFont="1" applyFill="1" applyBorder="1" applyAlignment="1" applyProtection="1">
      <alignment horizontal="left" indent="2" justifyLastLine="1"/>
    </xf>
    <xf numFmtId="0" fontId="12" fillId="0" borderId="101" xfId="485" applyNumberFormat="1" applyFont="1" applyFill="1" applyBorder="1" applyAlignment="1">
      <alignment horizontal="left" indent="2" justifyLastLine="1"/>
    </xf>
    <xf numFmtId="0" fontId="12" fillId="74" borderId="101" xfId="485" applyNumberFormat="1" applyFont="1" applyFill="1" applyBorder="1" applyAlignment="1">
      <alignment horizontal="left" indent="2" justifyLastLine="1"/>
    </xf>
    <xf numFmtId="0" fontId="12" fillId="65" borderId="101" xfId="485" applyNumberFormat="1" applyFont="1" applyFill="1" applyBorder="1" applyAlignment="1" applyProtection="1">
      <alignment horizontal="left" indent="2" justifyLastLine="1"/>
    </xf>
    <xf numFmtId="0" fontId="12" fillId="92" borderId="101" xfId="415" applyNumberFormat="1" applyFont="1" applyFill="1" applyBorder="1" applyAlignment="1">
      <alignment horizontal="left" indent="2" justifyLastLine="1"/>
    </xf>
    <xf numFmtId="0" fontId="31" fillId="0" borderId="78" xfId="420" applyNumberFormat="1" applyFont="1" applyFill="1" applyBorder="1" applyAlignment="1">
      <alignment horizontal="left" justifyLastLine="1"/>
    </xf>
    <xf numFmtId="0" fontId="31" fillId="0" borderId="78" xfId="349" applyFont="1" applyBorder="1" applyAlignment="1">
      <alignment horizontal="left" justifyLastLine="1"/>
    </xf>
    <xf numFmtId="0" fontId="31" fillId="64" borderId="78" xfId="345" applyFont="1" applyFill="1" applyBorder="1" applyAlignment="1">
      <alignment horizontal="left" justifyLastLine="1"/>
    </xf>
    <xf numFmtId="49" fontId="237" fillId="64" borderId="0" xfId="345" applyNumberFormat="1" applyFont="1" applyFill="1" applyAlignment="1">
      <alignment vertical="center" justifyLastLine="1"/>
    </xf>
    <xf numFmtId="49" fontId="237" fillId="64" borderId="0" xfId="349" applyNumberFormat="1" applyFont="1" applyFill="1" applyAlignment="1">
      <alignment vertical="center" justifyLastLine="1"/>
    </xf>
    <xf numFmtId="197" fontId="105" fillId="0" borderId="11" xfId="345" applyNumberFormat="1" applyFont="1" applyBorder="1">
      <alignment vertical="center"/>
    </xf>
    <xf numFmtId="198" fontId="105" fillId="0" borderId="25" xfId="349" applyNumberFormat="1" applyFont="1" applyBorder="1" applyAlignment="1">
      <alignment vertical="center"/>
    </xf>
    <xf numFmtId="202" fontId="105" fillId="0" borderId="25" xfId="349" applyNumberFormat="1" applyFont="1" applyBorder="1" applyAlignment="1">
      <alignment vertical="center"/>
    </xf>
    <xf numFmtId="198" fontId="105" fillId="72" borderId="25" xfId="349" applyNumberFormat="1" applyFont="1" applyFill="1" applyBorder="1" applyAlignment="1">
      <alignment vertical="center"/>
    </xf>
    <xf numFmtId="198" fontId="105" fillId="65" borderId="25" xfId="349" applyNumberFormat="1" applyFont="1" applyFill="1" applyBorder="1" applyAlignment="1">
      <alignment vertical="center"/>
    </xf>
    <xf numFmtId="198" fontId="105" fillId="65" borderId="35" xfId="349" applyNumberFormat="1" applyFont="1" applyFill="1" applyBorder="1" applyAlignment="1">
      <alignment vertical="center"/>
    </xf>
    <xf numFmtId="198" fontId="105" fillId="65" borderId="22" xfId="349" applyNumberFormat="1" applyFont="1" applyFill="1" applyBorder="1" applyAlignment="1">
      <alignment vertical="center"/>
    </xf>
    <xf numFmtId="0" fontId="7" fillId="64" borderId="32" xfId="349" applyFill="1" applyBorder="1"/>
    <xf numFmtId="197" fontId="106" fillId="64" borderId="11" xfId="349" applyNumberFormat="1" applyFont="1" applyFill="1" applyBorder="1" applyAlignment="1">
      <alignment vertical="center"/>
    </xf>
    <xf numFmtId="38" fontId="123" fillId="0" borderId="11" xfId="311" applyFont="1" applyFill="1" applyBorder="1" applyAlignment="1"/>
    <xf numFmtId="38" fontId="105" fillId="71" borderId="46" xfId="311" applyFont="1" applyFill="1" applyBorder="1" applyAlignment="1" applyProtection="1">
      <alignment horizontal="right"/>
      <protection locked="0"/>
    </xf>
    <xf numFmtId="38" fontId="105" fillId="71" borderId="25" xfId="311" applyFont="1" applyFill="1" applyBorder="1" applyAlignment="1" applyProtection="1">
      <alignment horizontal="right"/>
      <protection locked="0"/>
    </xf>
    <xf numFmtId="38" fontId="105" fillId="71" borderId="35" xfId="311" applyFont="1" applyFill="1" applyBorder="1" applyAlignment="1" applyProtection="1">
      <alignment horizontal="right"/>
      <protection locked="0"/>
    </xf>
    <xf numFmtId="38" fontId="105" fillId="71" borderId="22" xfId="311" applyFont="1" applyFill="1" applyBorder="1" applyAlignment="1" applyProtection="1">
      <alignment horizontal="right"/>
      <protection locked="0"/>
    </xf>
    <xf numFmtId="38" fontId="105" fillId="68" borderId="84" xfId="311" applyFont="1" applyFill="1" applyBorder="1" applyAlignment="1" applyProtection="1">
      <alignment horizontal="right"/>
      <protection locked="0"/>
    </xf>
    <xf numFmtId="38" fontId="105" fillId="71" borderId="84" xfId="311" applyFont="1" applyFill="1" applyBorder="1" applyAlignment="1" applyProtection="1">
      <alignment horizontal="right"/>
      <protection locked="0"/>
    </xf>
    <xf numFmtId="0" fontId="122" fillId="64" borderId="0" xfId="345" applyFont="1" applyFill="1" applyAlignment="1">
      <alignment horizontal="center" vertical="center"/>
    </xf>
    <xf numFmtId="38" fontId="105" fillId="73" borderId="67" xfId="311" applyFont="1" applyFill="1" applyBorder="1" applyAlignment="1"/>
    <xf numFmtId="38" fontId="105" fillId="73" borderId="49" xfId="311" applyFont="1" applyFill="1" applyBorder="1" applyAlignment="1"/>
    <xf numFmtId="38" fontId="105" fillId="73" borderId="75" xfId="311" applyFont="1" applyFill="1" applyBorder="1" applyAlignment="1"/>
    <xf numFmtId="38" fontId="105" fillId="73" borderId="68" xfId="311" applyFont="1" applyFill="1" applyBorder="1" applyAlignment="1"/>
    <xf numFmtId="38" fontId="105" fillId="0" borderId="49" xfId="311" applyFont="1" applyFill="1" applyBorder="1" applyAlignment="1"/>
    <xf numFmtId="38" fontId="105" fillId="0" borderId="68" xfId="311" applyFont="1" applyFill="1" applyBorder="1" applyAlignment="1"/>
    <xf numFmtId="38" fontId="105" fillId="0" borderId="50" xfId="311" applyFont="1" applyFill="1" applyBorder="1" applyAlignment="1"/>
    <xf numFmtId="38" fontId="105" fillId="0" borderId="66" xfId="311" applyFont="1" applyFill="1" applyBorder="1" applyAlignment="1"/>
    <xf numFmtId="38" fontId="105" fillId="0" borderId="67" xfId="311" applyFont="1" applyBorder="1" applyAlignment="1"/>
    <xf numFmtId="38" fontId="105" fillId="0" borderId="49" xfId="311" applyFont="1" applyBorder="1" applyAlignment="1"/>
    <xf numFmtId="38" fontId="105" fillId="0" borderId="75" xfId="311" applyFont="1" applyBorder="1" applyAlignment="1"/>
    <xf numFmtId="38" fontId="105" fillId="0" borderId="68" xfId="311" applyFont="1" applyBorder="1" applyAlignment="1"/>
    <xf numFmtId="38" fontId="105" fillId="0" borderId="52" xfId="311" applyFont="1" applyBorder="1" applyAlignment="1"/>
    <xf numFmtId="38" fontId="105" fillId="0" borderId="50" xfId="311" applyFont="1" applyBorder="1" applyAlignment="1"/>
    <xf numFmtId="38" fontId="105" fillId="0" borderId="51" xfId="311" applyFont="1" applyBorder="1" applyAlignment="1"/>
    <xf numFmtId="38" fontId="105" fillId="0" borderId="66" xfId="311" applyFont="1" applyBorder="1" applyAlignment="1"/>
    <xf numFmtId="38" fontId="105" fillId="71" borderId="49" xfId="311" applyFont="1" applyFill="1" applyBorder="1" applyAlignment="1"/>
    <xf numFmtId="38" fontId="105" fillId="71" borderId="75" xfId="311" applyFont="1" applyFill="1" applyBorder="1" applyAlignment="1"/>
    <xf numFmtId="38" fontId="105" fillId="71" borderId="68" xfId="311" applyFont="1" applyFill="1" applyBorder="1" applyAlignment="1"/>
    <xf numFmtId="38" fontId="105" fillId="71" borderId="50" xfId="311" applyFont="1" applyFill="1" applyBorder="1" applyAlignment="1"/>
    <xf numFmtId="38" fontId="105" fillId="71" borderId="51" xfId="311" applyFont="1" applyFill="1" applyBorder="1" applyAlignment="1"/>
    <xf numFmtId="38" fontId="105" fillId="71" borderId="66" xfId="311" applyFont="1" applyFill="1" applyBorder="1" applyAlignment="1"/>
    <xf numFmtId="38" fontId="105" fillId="70" borderId="67" xfId="311" applyFont="1" applyFill="1" applyBorder="1" applyAlignment="1"/>
    <xf numFmtId="38" fontId="105" fillId="70" borderId="49" xfId="311" applyFont="1" applyFill="1" applyBorder="1" applyAlignment="1"/>
    <xf numFmtId="38" fontId="105" fillId="70" borderId="75" xfId="311" applyFont="1" applyFill="1" applyBorder="1" applyAlignment="1"/>
    <xf numFmtId="38" fontId="105" fillId="70" borderId="68" xfId="311" applyFont="1" applyFill="1" applyBorder="1" applyAlignment="1"/>
    <xf numFmtId="38" fontId="105" fillId="0" borderId="67" xfId="311" applyFont="1" applyFill="1" applyBorder="1" applyAlignment="1"/>
    <xf numFmtId="38" fontId="105" fillId="71" borderId="90" xfId="311" applyFont="1" applyFill="1" applyBorder="1" applyAlignment="1"/>
    <xf numFmtId="38" fontId="105" fillId="71" borderId="54" xfId="311" applyFont="1" applyFill="1" applyBorder="1" applyAlignment="1"/>
    <xf numFmtId="38" fontId="105" fillId="71" borderId="87" xfId="311" applyFont="1" applyFill="1" applyBorder="1" applyAlignment="1"/>
    <xf numFmtId="38" fontId="105" fillId="71" borderId="91" xfId="311" applyFont="1" applyFill="1" applyBorder="1" applyAlignment="1"/>
    <xf numFmtId="38" fontId="105" fillId="0" borderId="96" xfId="311" applyFont="1" applyFill="1" applyBorder="1" applyAlignment="1"/>
    <xf numFmtId="38" fontId="105" fillId="0" borderId="53" xfId="311" applyFont="1" applyFill="1" applyBorder="1" applyAlignment="1"/>
    <xf numFmtId="38" fontId="105" fillId="0" borderId="94" xfId="311" applyFont="1" applyFill="1" applyBorder="1" applyAlignment="1"/>
    <xf numFmtId="38" fontId="105" fillId="71" borderId="96" xfId="311" applyFont="1" applyFill="1" applyBorder="1" applyAlignment="1"/>
    <xf numFmtId="38" fontId="105" fillId="71" borderId="53" xfId="311" applyFont="1" applyFill="1" applyBorder="1" applyAlignment="1"/>
    <xf numFmtId="38" fontId="105" fillId="71" borderId="74" xfId="311" applyFont="1" applyFill="1" applyBorder="1" applyAlignment="1"/>
    <xf numFmtId="38" fontId="105" fillId="71" borderId="94" xfId="311" applyFont="1" applyFill="1" applyBorder="1" applyAlignment="1"/>
    <xf numFmtId="38" fontId="105" fillId="0" borderId="52" xfId="311" applyFont="1" applyFill="1" applyBorder="1" applyAlignment="1"/>
    <xf numFmtId="38" fontId="87" fillId="0" borderId="24" xfId="415" applyFont="1" applyBorder="1">
      <alignment vertical="center"/>
    </xf>
    <xf numFmtId="38" fontId="87" fillId="0" borderId="11" xfId="415" applyFont="1" applyBorder="1">
      <alignment vertical="center"/>
    </xf>
    <xf numFmtId="38" fontId="87" fillId="0" borderId="38" xfId="415" applyFont="1" applyBorder="1">
      <alignment vertical="center"/>
    </xf>
    <xf numFmtId="38" fontId="87" fillId="0" borderId="41" xfId="415" applyFont="1" applyBorder="1">
      <alignment vertical="center"/>
    </xf>
    <xf numFmtId="38" fontId="87" fillId="0" borderId="84" xfId="415" applyFont="1" applyBorder="1">
      <alignment vertical="center"/>
    </xf>
    <xf numFmtId="197" fontId="114" fillId="64" borderId="0" xfId="349" applyNumberFormat="1" applyFont="1" applyFill="1" applyAlignment="1">
      <alignment vertical="center"/>
    </xf>
    <xf numFmtId="0" fontId="105" fillId="65" borderId="32" xfId="349" applyFont="1" applyFill="1" applyBorder="1" applyAlignment="1">
      <alignment vertical="center"/>
    </xf>
    <xf numFmtId="0" fontId="105" fillId="65" borderId="36" xfId="349" applyFont="1" applyFill="1" applyBorder="1" applyAlignment="1">
      <alignment vertical="center"/>
    </xf>
    <xf numFmtId="198" fontId="106" fillId="49" borderId="103" xfId="349" applyNumberFormat="1" applyFont="1" applyFill="1" applyBorder="1" applyAlignment="1">
      <alignment vertical="center"/>
    </xf>
    <xf numFmtId="198" fontId="106" fillId="66" borderId="103" xfId="349" applyNumberFormat="1" applyFont="1" applyFill="1" applyBorder="1" applyAlignment="1">
      <alignment vertical="center"/>
    </xf>
    <xf numFmtId="198" fontId="105" fillId="65" borderId="103" xfId="349" applyNumberFormat="1" applyFont="1" applyFill="1" applyBorder="1" applyAlignment="1">
      <alignment vertical="center"/>
    </xf>
    <xf numFmtId="38" fontId="105" fillId="67" borderId="112" xfId="415" applyFont="1" applyFill="1" applyBorder="1">
      <alignment vertical="center"/>
    </xf>
    <xf numFmtId="197" fontId="106" fillId="64" borderId="112" xfId="349" applyNumberFormat="1" applyFont="1" applyFill="1" applyBorder="1" applyAlignment="1">
      <alignment vertical="center"/>
    </xf>
    <xf numFmtId="38" fontId="106" fillId="68" borderId="124" xfId="311" applyFont="1" applyFill="1" applyBorder="1" applyAlignment="1" applyProtection="1">
      <protection locked="0"/>
    </xf>
    <xf numFmtId="38" fontId="105" fillId="71" borderId="124" xfId="311" applyFont="1" applyFill="1" applyBorder="1" applyAlignment="1" applyProtection="1">
      <protection locked="0"/>
    </xf>
    <xf numFmtId="38" fontId="105" fillId="73" borderId="126" xfId="311" applyFont="1" applyFill="1" applyBorder="1" applyAlignment="1"/>
    <xf numFmtId="38" fontId="105" fillId="73" borderId="125" xfId="311" applyFont="1" applyFill="1" applyBorder="1" applyAlignment="1"/>
    <xf numFmtId="38" fontId="105" fillId="73" borderId="128" xfId="311" applyFont="1" applyFill="1" applyBorder="1" applyAlignment="1"/>
    <xf numFmtId="199" fontId="87" fillId="0" borderId="114" xfId="486" applyNumberFormat="1" applyFont="1" applyBorder="1" applyAlignment="1">
      <alignment horizontal="center" vertical="center"/>
    </xf>
    <xf numFmtId="199" fontId="87" fillId="0" borderId="124" xfId="486" applyNumberFormat="1" applyFont="1" applyBorder="1" applyAlignment="1">
      <alignment horizontal="center" vertical="center"/>
    </xf>
    <xf numFmtId="198" fontId="106" fillId="74" borderId="104" xfId="349" applyNumberFormat="1" applyFont="1" applyFill="1" applyBorder="1" applyAlignment="1">
      <alignment vertical="center"/>
    </xf>
    <xf numFmtId="38" fontId="105" fillId="72" borderId="112" xfId="415" applyFont="1" applyFill="1" applyBorder="1">
      <alignment vertical="center"/>
    </xf>
    <xf numFmtId="38" fontId="106" fillId="69" borderId="104" xfId="415" applyFont="1" applyFill="1" applyBorder="1" applyAlignment="1"/>
    <xf numFmtId="38" fontId="106" fillId="72" borderId="104" xfId="345" applyNumberFormat="1" applyFont="1" applyFill="1" applyBorder="1">
      <alignment vertical="center"/>
    </xf>
    <xf numFmtId="38" fontId="106" fillId="70" borderId="104" xfId="345" applyNumberFormat="1" applyFont="1" applyFill="1" applyBorder="1">
      <alignment vertical="center"/>
    </xf>
    <xf numFmtId="38" fontId="106" fillId="66" borderId="104" xfId="415" applyFont="1" applyFill="1" applyBorder="1" applyAlignment="1" applyProtection="1">
      <alignment vertical="center"/>
    </xf>
    <xf numFmtId="38" fontId="106" fillId="49" borderId="104" xfId="415" applyFont="1" applyFill="1" applyBorder="1" applyAlignment="1" applyProtection="1">
      <alignment vertical="center"/>
    </xf>
    <xf numFmtId="38" fontId="106" fillId="69" borderId="104" xfId="415" applyFont="1" applyFill="1" applyBorder="1" applyAlignment="1" applyProtection="1">
      <alignment vertical="center"/>
    </xf>
    <xf numFmtId="38" fontId="106" fillId="59" borderId="104" xfId="415" applyFont="1" applyFill="1" applyBorder="1" applyAlignment="1" applyProtection="1">
      <alignment vertical="center"/>
    </xf>
    <xf numFmtId="38" fontId="106" fillId="74" borderId="104" xfId="415" applyFont="1" applyFill="1" applyBorder="1" applyAlignment="1" applyProtection="1">
      <alignment vertical="center"/>
    </xf>
    <xf numFmtId="38" fontId="106" fillId="55" borderId="104" xfId="415" applyFont="1" applyFill="1" applyBorder="1" applyAlignment="1" applyProtection="1">
      <alignment vertical="center"/>
    </xf>
    <xf numFmtId="38" fontId="106" fillId="70" borderId="104" xfId="415" applyFont="1" applyFill="1" applyBorder="1">
      <alignment vertical="center"/>
    </xf>
    <xf numFmtId="38" fontId="106" fillId="81" borderId="104" xfId="415" applyFont="1" applyFill="1" applyBorder="1" applyAlignment="1" applyProtection="1">
      <alignment vertical="center"/>
    </xf>
    <xf numFmtId="38" fontId="105" fillId="65" borderId="104" xfId="415" applyFont="1" applyFill="1" applyBorder="1" applyAlignment="1" applyProtection="1">
      <alignment vertical="center"/>
    </xf>
    <xf numFmtId="38" fontId="105" fillId="0" borderId="103" xfId="415" applyFont="1" applyFill="1" applyBorder="1" applyAlignment="1" applyProtection="1">
      <alignment vertical="center"/>
      <protection locked="0"/>
    </xf>
    <xf numFmtId="38" fontId="105" fillId="79" borderId="104" xfId="415" applyFont="1" applyFill="1" applyBorder="1" applyAlignment="1" applyProtection="1">
      <alignment vertical="center"/>
    </xf>
    <xf numFmtId="38" fontId="105" fillId="0" borderId="104" xfId="415" applyFont="1" applyFill="1" applyBorder="1" applyAlignment="1" applyProtection="1">
      <alignment vertical="center"/>
    </xf>
    <xf numFmtId="198" fontId="106" fillId="49" borderId="104" xfId="349" applyNumberFormat="1" applyFont="1" applyFill="1" applyBorder="1" applyAlignment="1">
      <alignment vertical="center"/>
    </xf>
    <xf numFmtId="38" fontId="106" fillId="74" borderId="104" xfId="415" applyFont="1" applyFill="1" applyBorder="1" applyAlignment="1"/>
    <xf numFmtId="38" fontId="106" fillId="70" borderId="103" xfId="311" applyFont="1" applyFill="1" applyBorder="1" applyAlignment="1" applyProtection="1">
      <protection locked="0"/>
    </xf>
    <xf numFmtId="38" fontId="106" fillId="80" borderId="103" xfId="311" applyFont="1" applyFill="1" applyBorder="1" applyAlignment="1" applyProtection="1">
      <protection locked="0"/>
    </xf>
    <xf numFmtId="38" fontId="105" fillId="73" borderId="127" xfId="311" applyFont="1" applyFill="1" applyBorder="1" applyAlignment="1"/>
    <xf numFmtId="38" fontId="87" fillId="0" borderId="114" xfId="415" applyFont="1" applyBorder="1">
      <alignment vertical="center"/>
    </xf>
    <xf numFmtId="38" fontId="87" fillId="0" borderId="124" xfId="415" applyFont="1" applyBorder="1">
      <alignment vertical="center"/>
    </xf>
    <xf numFmtId="38" fontId="87" fillId="71" borderId="114" xfId="415" applyFont="1" applyFill="1" applyBorder="1">
      <alignment vertical="center"/>
    </xf>
    <xf numFmtId="38" fontId="87" fillId="71" borderId="124" xfId="415" applyFont="1" applyFill="1" applyBorder="1">
      <alignment vertical="center"/>
    </xf>
    <xf numFmtId="38" fontId="106" fillId="69" borderId="112" xfId="415" applyFont="1" applyFill="1" applyBorder="1" applyAlignment="1"/>
    <xf numFmtId="38" fontId="105" fillId="65" borderId="22" xfId="415" applyFont="1" applyFill="1" applyBorder="1" applyAlignment="1" applyProtection="1">
      <alignment vertical="center"/>
      <protection locked="0"/>
    </xf>
    <xf numFmtId="38" fontId="105" fillId="65" borderId="25" xfId="415" applyFont="1" applyFill="1" applyBorder="1" applyAlignment="1" applyProtection="1">
      <alignment vertical="center"/>
      <protection locked="0"/>
    </xf>
    <xf numFmtId="38" fontId="105" fillId="65" borderId="22" xfId="415" applyFont="1" applyFill="1" applyBorder="1" applyAlignment="1" applyProtection="1">
      <alignment vertical="center"/>
    </xf>
    <xf numFmtId="38" fontId="105" fillId="65" borderId="25" xfId="415" applyFont="1" applyFill="1" applyBorder="1" applyAlignment="1" applyProtection="1">
      <alignment vertical="center"/>
    </xf>
    <xf numFmtId="38" fontId="105" fillId="64" borderId="22" xfId="415" applyFont="1" applyFill="1" applyBorder="1" applyAlignment="1" applyProtection="1">
      <alignment horizontal="right" vertical="center"/>
    </xf>
    <xf numFmtId="197" fontId="105" fillId="64" borderId="23" xfId="349" applyNumberFormat="1" applyFont="1" applyFill="1" applyBorder="1" applyAlignment="1">
      <alignment vertical="center"/>
    </xf>
    <xf numFmtId="38" fontId="105" fillId="65" borderId="31" xfId="415" applyFont="1" applyFill="1" applyBorder="1" applyAlignment="1" applyProtection="1">
      <alignment vertical="center"/>
    </xf>
    <xf numFmtId="38" fontId="105" fillId="65" borderId="25" xfId="415" applyFont="1" applyFill="1" applyBorder="1">
      <alignment vertical="center"/>
    </xf>
    <xf numFmtId="38" fontId="105" fillId="65" borderId="22" xfId="415" applyFont="1" applyFill="1" applyBorder="1">
      <alignment vertical="center"/>
    </xf>
    <xf numFmtId="197" fontId="105" fillId="64" borderId="23" xfId="345" applyNumberFormat="1" applyFont="1" applyFill="1" applyBorder="1">
      <alignment vertical="center"/>
    </xf>
    <xf numFmtId="38" fontId="105" fillId="65" borderId="32" xfId="415" applyFont="1" applyFill="1" applyBorder="1" applyAlignment="1" applyProtection="1">
      <alignment vertical="center"/>
    </xf>
    <xf numFmtId="38" fontId="105" fillId="65" borderId="11" xfId="415" applyFont="1" applyFill="1" applyBorder="1">
      <alignment vertical="center"/>
    </xf>
    <xf numFmtId="38" fontId="105" fillId="65" borderId="24" xfId="415" applyFont="1" applyFill="1" applyBorder="1">
      <alignment vertical="center"/>
    </xf>
    <xf numFmtId="38" fontId="105" fillId="65" borderId="46" xfId="415" applyFont="1" applyFill="1" applyBorder="1">
      <alignment vertical="center"/>
    </xf>
    <xf numFmtId="38" fontId="105" fillId="65" borderId="36" xfId="415" applyFont="1" applyFill="1" applyBorder="1" applyAlignment="1" applyProtection="1">
      <alignment vertical="center"/>
    </xf>
    <xf numFmtId="201" fontId="105" fillId="64" borderId="0" xfId="415" applyNumberFormat="1" applyFont="1" applyFill="1" applyBorder="1">
      <alignment vertical="center"/>
    </xf>
    <xf numFmtId="38" fontId="105" fillId="65" borderId="46" xfId="415" applyFont="1" applyFill="1" applyBorder="1" applyAlignment="1" applyProtection="1">
      <alignment vertical="center"/>
      <protection locked="0"/>
    </xf>
    <xf numFmtId="38" fontId="105" fillId="64" borderId="0" xfId="415" applyFont="1" applyFill="1" applyBorder="1" applyProtection="1">
      <alignment vertical="center"/>
    </xf>
    <xf numFmtId="38" fontId="105" fillId="0" borderId="25" xfId="415" applyFont="1" applyFill="1" applyBorder="1" applyAlignment="1" applyProtection="1">
      <alignment vertical="center"/>
      <protection locked="0"/>
    </xf>
    <xf numFmtId="38" fontId="105" fillId="0" borderId="22" xfId="415" applyFont="1" applyFill="1" applyBorder="1" applyAlignment="1" applyProtection="1">
      <alignment vertical="center"/>
      <protection locked="0"/>
    </xf>
    <xf numFmtId="38" fontId="111" fillId="0" borderId="0" xfId="415" applyFont="1" applyFill="1" applyBorder="1" applyProtection="1">
      <alignment vertical="center"/>
      <protection locked="0"/>
    </xf>
    <xf numFmtId="38" fontId="105" fillId="65" borderId="124" xfId="415" applyFont="1" applyFill="1" applyBorder="1" applyAlignment="1" applyProtection="1">
      <alignment vertical="center"/>
    </xf>
    <xf numFmtId="38" fontId="105" fillId="67" borderId="103" xfId="415" applyFont="1" applyFill="1" applyBorder="1">
      <alignment vertical="center"/>
    </xf>
    <xf numFmtId="38" fontId="105" fillId="65" borderId="35" xfId="415" applyFont="1" applyFill="1" applyBorder="1">
      <alignment vertical="center"/>
    </xf>
    <xf numFmtId="38" fontId="105" fillId="65" borderId="84" xfId="415" applyFont="1" applyFill="1" applyBorder="1">
      <alignment vertical="center"/>
    </xf>
    <xf numFmtId="38" fontId="105" fillId="64" borderId="81" xfId="415" applyFont="1" applyFill="1" applyBorder="1">
      <alignment vertical="center"/>
    </xf>
    <xf numFmtId="38" fontId="105" fillId="65" borderId="55" xfId="415" applyFont="1" applyFill="1" applyBorder="1">
      <alignment vertical="center"/>
    </xf>
    <xf numFmtId="38" fontId="105" fillId="72" borderId="103" xfId="415" applyFont="1" applyFill="1" applyBorder="1">
      <alignment vertical="center"/>
    </xf>
    <xf numFmtId="38" fontId="105" fillId="65" borderId="42" xfId="415" applyFont="1" applyFill="1" applyBorder="1">
      <alignment vertical="center"/>
    </xf>
    <xf numFmtId="38" fontId="105" fillId="64" borderId="124" xfId="415" applyFont="1" applyFill="1" applyBorder="1">
      <alignment vertical="center"/>
    </xf>
    <xf numFmtId="38" fontId="105" fillId="0" borderId="35" xfId="415" applyFont="1" applyFill="1" applyBorder="1" applyAlignment="1" applyProtection="1">
      <alignment vertical="center"/>
    </xf>
    <xf numFmtId="38" fontId="105" fillId="0" borderId="124" xfId="415" applyFont="1" applyFill="1" applyBorder="1" applyAlignment="1" applyProtection="1">
      <alignment vertical="center"/>
    </xf>
    <xf numFmtId="38" fontId="105" fillId="0" borderId="35" xfId="415" applyFont="1" applyBorder="1" applyAlignment="1" applyProtection="1">
      <alignment vertical="center"/>
    </xf>
    <xf numFmtId="38" fontId="106" fillId="59" borderId="103" xfId="415" applyFont="1" applyFill="1" applyBorder="1" applyAlignment="1" applyProtection="1">
      <alignment vertical="center"/>
    </xf>
    <xf numFmtId="38" fontId="106" fillId="69" borderId="103" xfId="415" applyFont="1" applyFill="1" applyBorder="1" applyAlignment="1"/>
    <xf numFmtId="38" fontId="105" fillId="73" borderId="11" xfId="415" applyFont="1" applyFill="1" applyBorder="1">
      <alignment vertical="center"/>
    </xf>
    <xf numFmtId="38" fontId="105" fillId="64" borderId="38" xfId="415" applyFont="1" applyFill="1" applyBorder="1">
      <alignment vertical="center"/>
    </xf>
    <xf numFmtId="38" fontId="105" fillId="66" borderId="103" xfId="415" applyFont="1" applyFill="1" applyBorder="1" applyAlignment="1" applyProtection="1">
      <alignment vertical="center"/>
    </xf>
    <xf numFmtId="38" fontId="105" fillId="67" borderId="103" xfId="415" applyFont="1" applyFill="1" applyBorder="1" applyAlignment="1" applyProtection="1">
      <alignment vertical="center"/>
    </xf>
    <xf numFmtId="38" fontId="105" fillId="70" borderId="103" xfId="415" applyFont="1" applyFill="1" applyBorder="1" applyAlignment="1" applyProtection="1">
      <alignment vertical="center"/>
    </xf>
    <xf numFmtId="38" fontId="106" fillId="79" borderId="103" xfId="415" applyFont="1" applyFill="1" applyBorder="1" applyAlignment="1"/>
    <xf numFmtId="38" fontId="106" fillId="67" borderId="103" xfId="415" applyFont="1" applyFill="1" applyBorder="1" applyAlignment="1"/>
    <xf numFmtId="38" fontId="106" fillId="66" borderId="103" xfId="415" applyFont="1" applyFill="1" applyBorder="1" applyAlignment="1"/>
    <xf numFmtId="38" fontId="106" fillId="0" borderId="124" xfId="415" applyFont="1" applyFill="1" applyBorder="1" applyAlignment="1"/>
    <xf numFmtId="38" fontId="106" fillId="81" borderId="103" xfId="415" applyFont="1" applyFill="1" applyBorder="1" applyAlignment="1"/>
    <xf numFmtId="38" fontId="105" fillId="81" borderId="103" xfId="415" applyFont="1" applyFill="1" applyBorder="1" applyAlignment="1" applyProtection="1">
      <alignment vertical="center"/>
    </xf>
    <xf numFmtId="38" fontId="105" fillId="59" borderId="126" xfId="345" applyNumberFormat="1" applyFont="1" applyFill="1" applyBorder="1">
      <alignment vertical="center"/>
    </xf>
    <xf numFmtId="38" fontId="105" fillId="59" borderId="125" xfId="345" applyNumberFormat="1" applyFont="1" applyFill="1" applyBorder="1">
      <alignment vertical="center"/>
    </xf>
    <xf numFmtId="38" fontId="105" fillId="59" borderId="127" xfId="345" applyNumberFormat="1" applyFont="1" applyFill="1" applyBorder="1">
      <alignment vertical="center"/>
    </xf>
    <xf numFmtId="38" fontId="105" fillId="69" borderId="103" xfId="415" applyFont="1" applyFill="1" applyBorder="1" applyAlignment="1"/>
    <xf numFmtId="38" fontId="105" fillId="64" borderId="25" xfId="415" applyFont="1" applyFill="1" applyBorder="1" applyAlignment="1" applyProtection="1">
      <alignment horizontal="right" vertical="center"/>
    </xf>
    <xf numFmtId="38" fontId="105" fillId="64" borderId="103" xfId="415" applyFont="1" applyFill="1" applyBorder="1" applyAlignment="1" applyProtection="1">
      <alignment horizontal="right" vertical="center"/>
    </xf>
    <xf numFmtId="38" fontId="105" fillId="64" borderId="103" xfId="415" applyFont="1" applyFill="1" applyBorder="1">
      <alignment vertical="center"/>
    </xf>
    <xf numFmtId="38" fontId="105" fillId="59" borderId="128" xfId="345" applyNumberFormat="1" applyFont="1" applyFill="1" applyBorder="1">
      <alignment vertical="center"/>
    </xf>
    <xf numFmtId="38" fontId="105" fillId="80" borderId="126" xfId="345" applyNumberFormat="1" applyFont="1" applyFill="1" applyBorder="1">
      <alignment vertical="center"/>
    </xf>
    <xf numFmtId="38" fontId="105" fillId="80" borderId="125" xfId="345" applyNumberFormat="1" applyFont="1" applyFill="1" applyBorder="1">
      <alignment vertical="center"/>
    </xf>
    <xf numFmtId="38" fontId="105" fillId="80" borderId="127" xfId="345" applyNumberFormat="1" applyFont="1" applyFill="1" applyBorder="1">
      <alignment vertical="center"/>
    </xf>
    <xf numFmtId="38" fontId="105" fillId="80" borderId="128" xfId="345" applyNumberFormat="1" applyFont="1" applyFill="1" applyBorder="1">
      <alignment vertical="center"/>
    </xf>
    <xf numFmtId="38" fontId="105" fillId="65" borderId="44" xfId="415" applyFont="1" applyFill="1" applyBorder="1" applyAlignment="1" applyProtection="1">
      <alignment vertical="center"/>
    </xf>
    <xf numFmtId="38" fontId="105" fillId="65" borderId="124" xfId="415" applyFont="1" applyFill="1" applyBorder="1">
      <alignment vertical="center"/>
    </xf>
    <xf numFmtId="203" fontId="105" fillId="0" borderId="32" xfId="415" applyNumberFormat="1" applyFont="1" applyBorder="1" applyAlignment="1" applyProtection="1">
      <alignment vertical="center"/>
    </xf>
    <xf numFmtId="203" fontId="105" fillId="0" borderId="36" xfId="415" applyNumberFormat="1" applyFont="1" applyBorder="1" applyAlignment="1" applyProtection="1">
      <alignment vertical="center"/>
    </xf>
    <xf numFmtId="38" fontId="105" fillId="71" borderId="25" xfId="415" applyFont="1" applyFill="1" applyBorder="1">
      <alignment vertical="center"/>
    </xf>
    <xf numFmtId="38" fontId="105" fillId="71" borderId="22" xfId="415" applyFont="1" applyFill="1" applyBorder="1">
      <alignment vertical="center"/>
    </xf>
    <xf numFmtId="38" fontId="162" fillId="64" borderId="125" xfId="415" applyFont="1" applyFill="1" applyBorder="1" applyAlignment="1"/>
    <xf numFmtId="38" fontId="162" fillId="64" borderId="49" xfId="415" applyFont="1" applyFill="1" applyBorder="1" applyAlignment="1"/>
    <xf numFmtId="38" fontId="162" fillId="64" borderId="50" xfId="415" applyFont="1" applyFill="1" applyBorder="1" applyAlignment="1"/>
    <xf numFmtId="38" fontId="162" fillId="64" borderId="80" xfId="415" applyFont="1" applyFill="1" applyBorder="1" applyAlignment="1"/>
    <xf numFmtId="38" fontId="105" fillId="0" borderId="25" xfId="415" applyFont="1" applyFill="1" applyBorder="1" applyAlignment="1" applyProtection="1">
      <alignment vertical="center"/>
    </xf>
    <xf numFmtId="38" fontId="105" fillId="0" borderId="22" xfId="415" applyFont="1" applyFill="1" applyBorder="1" applyAlignment="1" applyProtection="1">
      <alignment vertical="center"/>
    </xf>
    <xf numFmtId="38" fontId="105" fillId="0" borderId="46" xfId="415" applyFont="1" applyFill="1" applyBorder="1" applyAlignment="1" applyProtection="1">
      <alignment vertical="center"/>
      <protection locked="0"/>
    </xf>
    <xf numFmtId="38" fontId="106" fillId="74" borderId="113" xfId="415" applyFont="1" applyFill="1" applyBorder="1" applyAlignment="1" applyProtection="1">
      <alignment vertical="center"/>
    </xf>
    <xf numFmtId="38" fontId="106" fillId="74" borderId="124" xfId="415" applyFont="1" applyFill="1" applyBorder="1" applyAlignment="1" applyProtection="1">
      <alignment vertical="center"/>
    </xf>
    <xf numFmtId="38" fontId="111" fillId="71" borderId="124" xfId="415" applyFont="1" applyFill="1" applyBorder="1">
      <alignment vertical="center"/>
    </xf>
    <xf numFmtId="38" fontId="105" fillId="71" borderId="11" xfId="415" applyFont="1" applyFill="1" applyBorder="1">
      <alignment vertical="center"/>
    </xf>
    <xf numFmtId="38" fontId="105" fillId="71" borderId="24" xfId="415" applyFont="1" applyFill="1" applyBorder="1">
      <alignment vertical="center"/>
    </xf>
    <xf numFmtId="38" fontId="111" fillId="71" borderId="46" xfId="415" applyFont="1" applyFill="1" applyBorder="1">
      <alignment vertical="center"/>
    </xf>
    <xf numFmtId="38" fontId="111" fillId="71" borderId="22" xfId="415" applyFont="1" applyFill="1" applyBorder="1">
      <alignment vertical="center"/>
    </xf>
    <xf numFmtId="38" fontId="105" fillId="64" borderId="103" xfId="485" applyFont="1" applyFill="1" applyBorder="1">
      <alignment vertical="center"/>
    </xf>
    <xf numFmtId="38" fontId="105" fillId="64" borderId="22" xfId="485" applyFont="1" applyFill="1" applyBorder="1">
      <alignment vertical="center"/>
    </xf>
    <xf numFmtId="38" fontId="105" fillId="65" borderId="22" xfId="485" applyFont="1" applyFill="1" applyBorder="1" applyAlignment="1" applyProtection="1">
      <alignment vertical="center"/>
    </xf>
    <xf numFmtId="38" fontId="105" fillId="64" borderId="124" xfId="485" applyFont="1" applyFill="1" applyBorder="1" applyAlignment="1" applyProtection="1">
      <alignment horizontal="right" vertical="center"/>
    </xf>
    <xf numFmtId="38" fontId="105" fillId="64" borderId="103" xfId="485" applyFont="1" applyFill="1" applyBorder="1" applyAlignment="1" applyProtection="1">
      <alignment horizontal="right" vertical="center"/>
    </xf>
    <xf numFmtId="38" fontId="105" fillId="64" borderId="25" xfId="485" applyFont="1" applyFill="1" applyBorder="1" applyAlignment="1" applyProtection="1">
      <alignment horizontal="right" vertical="center"/>
    </xf>
    <xf numFmtId="38" fontId="105" fillId="64" borderId="22" xfId="485" applyFont="1" applyFill="1" applyBorder="1" applyAlignment="1" applyProtection="1">
      <alignment horizontal="right" vertical="center"/>
    </xf>
    <xf numFmtId="38" fontId="105" fillId="65" borderId="25" xfId="485" applyFont="1" applyFill="1" applyBorder="1" applyAlignment="1" applyProtection="1">
      <alignment vertical="center"/>
    </xf>
    <xf numFmtId="38" fontId="105" fillId="64" borderId="124" xfId="415" applyFont="1" applyFill="1" applyBorder="1" applyAlignment="1">
      <alignment horizontal="right" vertical="center"/>
    </xf>
    <xf numFmtId="38" fontId="105" fillId="64" borderId="103" xfId="415" applyFont="1" applyFill="1" applyBorder="1" applyAlignment="1" applyProtection="1">
      <alignment vertical="center"/>
      <protection locked="0"/>
    </xf>
    <xf numFmtId="38" fontId="106" fillId="74" borderId="103" xfId="415" applyFont="1" applyFill="1" applyBorder="1" applyAlignment="1" applyProtection="1">
      <alignment vertical="center"/>
    </xf>
    <xf numFmtId="38" fontId="105" fillId="78" borderId="25" xfId="415" applyFont="1" applyFill="1" applyBorder="1" applyAlignment="1" applyProtection="1">
      <alignment vertical="center"/>
    </xf>
    <xf numFmtId="9" fontId="158" fillId="0" borderId="25" xfId="416" applyFont="1" applyBorder="1" applyAlignment="1" applyProtection="1">
      <alignment vertical="center"/>
    </xf>
    <xf numFmtId="38" fontId="105" fillId="64" borderId="103" xfId="415" applyFont="1" applyFill="1" applyBorder="1" applyAlignment="1" applyProtection="1">
      <alignment vertical="center"/>
    </xf>
    <xf numFmtId="38" fontId="106" fillId="49" borderId="103" xfId="415" applyFont="1" applyFill="1" applyBorder="1" applyAlignment="1" applyProtection="1">
      <alignment vertical="center"/>
    </xf>
    <xf numFmtId="9" fontId="159" fillId="0" borderId="25" xfId="416" applyFont="1" applyFill="1" applyBorder="1" applyAlignment="1" applyProtection="1">
      <alignment vertical="center"/>
    </xf>
    <xf numFmtId="38" fontId="106" fillId="81" borderId="103" xfId="415" applyFont="1" applyFill="1" applyBorder="1" applyAlignment="1" applyProtection="1">
      <alignment vertical="center"/>
    </xf>
    <xf numFmtId="38" fontId="105" fillId="72" borderId="25" xfId="415" applyFont="1" applyFill="1" applyBorder="1" applyAlignment="1" applyProtection="1">
      <alignment vertical="center"/>
    </xf>
    <xf numFmtId="38" fontId="105" fillId="72" borderId="46" xfId="415" applyFont="1" applyFill="1" applyBorder="1" applyAlignment="1" applyProtection="1">
      <alignment vertical="center"/>
    </xf>
    <xf numFmtId="9" fontId="158" fillId="72" borderId="46" xfId="416" applyFont="1" applyFill="1" applyBorder="1" applyAlignment="1" applyProtection="1">
      <alignment vertical="center"/>
    </xf>
    <xf numFmtId="9" fontId="158" fillId="0" borderId="25" xfId="416" applyFont="1" applyFill="1" applyBorder="1" applyAlignment="1" applyProtection="1">
      <alignment vertical="center"/>
    </xf>
    <xf numFmtId="9" fontId="158" fillId="0" borderId="35" xfId="416" applyFont="1" applyFill="1" applyBorder="1" applyAlignment="1" applyProtection="1">
      <alignment vertical="center"/>
    </xf>
    <xf numFmtId="9" fontId="158" fillId="0" borderId="22" xfId="416" applyFont="1" applyFill="1" applyBorder="1" applyAlignment="1" applyProtection="1">
      <alignment vertical="center"/>
    </xf>
    <xf numFmtId="38" fontId="106" fillId="66" borderId="103" xfId="415" applyFont="1" applyFill="1" applyBorder="1" applyAlignment="1" applyProtection="1">
      <alignment vertical="center"/>
    </xf>
    <xf numFmtId="9" fontId="158" fillId="0" borderId="35" xfId="416" applyFont="1" applyBorder="1" applyAlignment="1" applyProtection="1">
      <alignment vertical="center"/>
    </xf>
    <xf numFmtId="38" fontId="106" fillId="69" borderId="103" xfId="415" applyFont="1" applyFill="1" applyBorder="1" applyAlignment="1" applyProtection="1">
      <alignment vertical="center"/>
    </xf>
    <xf numFmtId="38" fontId="106" fillId="70" borderId="103" xfId="345" applyNumberFormat="1" applyFont="1" applyFill="1" applyBorder="1">
      <alignment vertical="center"/>
    </xf>
    <xf numFmtId="38" fontId="106" fillId="73" borderId="25" xfId="345" applyNumberFormat="1" applyFont="1" applyFill="1" applyBorder="1">
      <alignment vertical="center"/>
    </xf>
    <xf numFmtId="38" fontId="106" fillId="72" borderId="103" xfId="345" applyNumberFormat="1" applyFont="1" applyFill="1" applyBorder="1">
      <alignment vertical="center"/>
    </xf>
    <xf numFmtId="38" fontId="106" fillId="70" borderId="103" xfId="415" applyFont="1" applyFill="1" applyBorder="1">
      <alignment vertical="center"/>
    </xf>
    <xf numFmtId="38" fontId="106" fillId="55" borderId="103" xfId="415" applyFont="1" applyFill="1" applyBorder="1" applyAlignment="1" applyProtection="1">
      <alignment vertical="center"/>
    </xf>
    <xf numFmtId="9" fontId="158" fillId="0" borderId="22" xfId="416" applyFont="1" applyBorder="1" applyAlignment="1" applyProtection="1">
      <alignment vertical="center"/>
    </xf>
    <xf numFmtId="9" fontId="159" fillId="0" borderId="35" xfId="416" applyFont="1" applyFill="1" applyBorder="1" applyAlignment="1" applyProtection="1">
      <alignment vertical="center"/>
    </xf>
    <xf numFmtId="38" fontId="187" fillId="0" borderId="103" xfId="415" applyFont="1" applyFill="1" applyBorder="1" applyAlignment="1" applyProtection="1">
      <alignment vertical="center"/>
    </xf>
    <xf numFmtId="197" fontId="182" fillId="64" borderId="0" xfId="345" applyNumberFormat="1" applyFont="1" applyFill="1">
      <alignment vertical="center"/>
    </xf>
    <xf numFmtId="38" fontId="187" fillId="87" borderId="124" xfId="415" applyFont="1" applyFill="1" applyBorder="1" applyAlignment="1" applyProtection="1">
      <alignment horizontal="right" vertical="center"/>
    </xf>
    <xf numFmtId="38" fontId="182" fillId="0" borderId="103" xfId="415" applyFont="1" applyFill="1" applyBorder="1" applyAlignment="1" applyProtection="1">
      <alignment horizontal="right" vertical="center"/>
    </xf>
    <xf numFmtId="38" fontId="182" fillId="0" borderId="22" xfId="415" applyFont="1" applyFill="1" applyBorder="1" applyAlignment="1" applyProtection="1">
      <alignment horizontal="right" vertical="center"/>
    </xf>
    <xf numFmtId="38" fontId="182" fillId="64" borderId="124" xfId="415" applyFont="1" applyFill="1" applyBorder="1" applyAlignment="1" applyProtection="1">
      <alignment horizontal="right" vertical="center"/>
    </xf>
    <xf numFmtId="38" fontId="182" fillId="87" borderId="103" xfId="415" applyFont="1" applyFill="1" applyBorder="1" applyAlignment="1" applyProtection="1">
      <alignment horizontal="right" vertical="center"/>
    </xf>
    <xf numFmtId="38" fontId="182" fillId="87" borderId="25" xfId="415" applyFont="1" applyFill="1" applyBorder="1" applyAlignment="1">
      <alignment vertical="center"/>
    </xf>
    <xf numFmtId="38" fontId="182" fillId="87" borderId="22" xfId="415" applyFont="1" applyFill="1" applyBorder="1" applyAlignment="1" applyProtection="1">
      <alignment horizontal="right" vertical="center"/>
    </xf>
    <xf numFmtId="38" fontId="182" fillId="64" borderId="0" xfId="415" applyFont="1" applyFill="1" applyAlignment="1" applyProtection="1">
      <alignment vertical="center"/>
    </xf>
    <xf numFmtId="38" fontId="182" fillId="87" borderId="103" xfId="415" applyFont="1" applyFill="1" applyBorder="1" applyAlignment="1">
      <alignment vertical="center"/>
    </xf>
    <xf numFmtId="38" fontId="182" fillId="87" borderId="22" xfId="415" applyFont="1" applyFill="1" applyBorder="1" applyAlignment="1">
      <alignment vertical="center"/>
    </xf>
    <xf numFmtId="38" fontId="182" fillId="87" borderId="103" xfId="415" applyFont="1" applyFill="1" applyBorder="1">
      <alignment vertical="center"/>
    </xf>
    <xf numFmtId="38" fontId="182" fillId="87" borderId="35" xfId="415" applyFont="1" applyFill="1" applyBorder="1">
      <alignment vertical="center"/>
    </xf>
    <xf numFmtId="38" fontId="182" fillId="87" borderId="46" xfId="415" applyFont="1" applyFill="1" applyBorder="1">
      <alignment vertical="center"/>
    </xf>
    <xf numFmtId="38" fontId="197" fillId="87" borderId="35" xfId="415" applyFont="1" applyFill="1" applyBorder="1">
      <alignment vertical="center"/>
    </xf>
    <xf numFmtId="38" fontId="182" fillId="87" borderId="25" xfId="415" applyFont="1" applyFill="1" applyBorder="1">
      <alignment vertical="center"/>
    </xf>
    <xf numFmtId="38" fontId="182" fillId="87" borderId="84" xfId="415" applyFont="1" applyFill="1" applyBorder="1">
      <alignment vertical="center"/>
    </xf>
    <xf numFmtId="38" fontId="105" fillId="64" borderId="103" xfId="415" applyFont="1" applyFill="1" applyBorder="1" applyAlignment="1">
      <alignment horizontal="right" vertical="center"/>
    </xf>
    <xf numFmtId="38" fontId="105" fillId="71" borderId="25" xfId="415" applyFont="1" applyFill="1" applyBorder="1" applyAlignment="1" applyProtection="1">
      <alignment vertical="center"/>
    </xf>
    <xf numFmtId="38" fontId="105" fillId="71" borderId="25" xfId="415" applyFont="1" applyFill="1" applyBorder="1" applyAlignment="1">
      <alignment horizontal="right" vertical="center"/>
    </xf>
    <xf numFmtId="38" fontId="105" fillId="71" borderId="22" xfId="415" applyFont="1" applyFill="1" applyBorder="1" applyAlignment="1" applyProtection="1">
      <alignment vertical="center"/>
    </xf>
    <xf numFmtId="38" fontId="105" fillId="71" borderId="22" xfId="415" applyFont="1" applyFill="1" applyBorder="1" applyAlignment="1">
      <alignment horizontal="right" vertical="center"/>
    </xf>
    <xf numFmtId="38" fontId="105" fillId="70" borderId="103" xfId="415" applyFont="1" applyFill="1" applyBorder="1">
      <alignment vertical="center"/>
    </xf>
    <xf numFmtId="38" fontId="105" fillId="70" borderId="103" xfId="415" applyFont="1" applyFill="1" applyBorder="1" applyAlignment="1">
      <alignment horizontal="right" vertical="center"/>
    </xf>
    <xf numFmtId="38" fontId="105" fillId="67" borderId="103" xfId="415" applyFont="1" applyFill="1" applyBorder="1" applyAlignment="1">
      <alignment horizontal="right" vertical="center"/>
    </xf>
    <xf numFmtId="38" fontId="105" fillId="88" borderId="103" xfId="415" applyFont="1" applyFill="1" applyBorder="1" applyAlignment="1" applyProtection="1">
      <alignment vertical="center"/>
    </xf>
    <xf numFmtId="38" fontId="105" fillId="88" borderId="103" xfId="415" applyFont="1" applyFill="1" applyBorder="1">
      <alignment vertical="center"/>
    </xf>
    <xf numFmtId="38" fontId="105" fillId="88" borderId="103" xfId="415" applyFont="1" applyFill="1" applyBorder="1" applyAlignment="1">
      <alignment horizontal="right" vertical="center"/>
    </xf>
    <xf numFmtId="38" fontId="105" fillId="66" borderId="103" xfId="415" applyFont="1" applyFill="1" applyBorder="1">
      <alignment vertical="center"/>
    </xf>
    <xf numFmtId="38" fontId="105" fillId="66" borderId="103" xfId="415" applyFont="1" applyFill="1" applyBorder="1" applyAlignment="1">
      <alignment horizontal="right" vertical="center"/>
    </xf>
    <xf numFmtId="38" fontId="106" fillId="0" borderId="124" xfId="415" applyFont="1" applyFill="1" applyBorder="1" applyAlignment="1" applyProtection="1">
      <alignment vertical="center"/>
    </xf>
    <xf numFmtId="38" fontId="106" fillId="0" borderId="124" xfId="415" applyFont="1" applyFill="1" applyBorder="1">
      <alignment vertical="center"/>
    </xf>
    <xf numFmtId="38" fontId="106" fillId="0" borderId="124" xfId="415" applyFont="1" applyFill="1" applyBorder="1" applyAlignment="1">
      <alignment horizontal="right" vertical="center"/>
    </xf>
    <xf numFmtId="38" fontId="105" fillId="0" borderId="44" xfId="415" applyFont="1" applyFill="1" applyBorder="1" applyAlignment="1" applyProtection="1">
      <alignment vertical="center"/>
    </xf>
    <xf numFmtId="199" fontId="106" fillId="64" borderId="124" xfId="349" applyNumberFormat="1" applyFont="1" applyFill="1" applyBorder="1" applyAlignment="1">
      <alignment horizontal="center" vertical="center"/>
    </xf>
    <xf numFmtId="197" fontId="105" fillId="0" borderId="0" xfId="345" applyNumberFormat="1" applyFont="1">
      <alignment vertical="center"/>
    </xf>
    <xf numFmtId="202" fontId="105" fillId="0" borderId="32" xfId="349" applyNumberFormat="1" applyFont="1" applyBorder="1" applyAlignment="1">
      <alignment vertical="center"/>
    </xf>
    <xf numFmtId="198" fontId="105" fillId="65" borderId="31" xfId="349" applyNumberFormat="1" applyFont="1" applyFill="1" applyBorder="1" applyAlignment="1">
      <alignment vertical="center"/>
    </xf>
    <xf numFmtId="197" fontId="7" fillId="64" borderId="0" xfId="349" applyNumberFormat="1" applyFill="1"/>
    <xf numFmtId="197" fontId="106" fillId="64" borderId="89" xfId="349" applyNumberFormat="1" applyFont="1" applyFill="1" applyBorder="1" applyAlignment="1">
      <alignment vertical="center"/>
    </xf>
    <xf numFmtId="197" fontId="106" fillId="64" borderId="0" xfId="349" applyNumberFormat="1" applyFont="1" applyFill="1" applyAlignment="1">
      <alignment vertical="center"/>
    </xf>
    <xf numFmtId="205" fontId="182" fillId="64" borderId="0" xfId="349" applyNumberFormat="1" applyFont="1" applyFill="1" applyAlignment="1">
      <alignment vertical="center"/>
    </xf>
    <xf numFmtId="197" fontId="182" fillId="0" borderId="0" xfId="345" applyNumberFormat="1" applyFont="1">
      <alignment vertical="center"/>
    </xf>
    <xf numFmtId="199" fontId="187" fillId="81" borderId="124" xfId="349" applyNumberFormat="1" applyFont="1" applyFill="1" applyBorder="1" applyAlignment="1">
      <alignment horizontal="center" vertical="center"/>
    </xf>
    <xf numFmtId="199" fontId="183" fillId="64" borderId="124" xfId="349" applyNumberFormat="1" applyFont="1" applyFill="1" applyBorder="1" applyAlignment="1">
      <alignment horizontal="center" vertical="center"/>
    </xf>
    <xf numFmtId="195" fontId="159" fillId="0" borderId="103" xfId="416" applyNumberFormat="1" applyFont="1" applyFill="1" applyBorder="1" applyAlignment="1" applyProtection="1">
      <alignment vertical="center"/>
    </xf>
    <xf numFmtId="195" fontId="159" fillId="0" borderId="22" xfId="416" applyNumberFormat="1" applyFont="1" applyFill="1" applyBorder="1" applyAlignment="1" applyProtection="1">
      <alignment vertical="center"/>
    </xf>
    <xf numFmtId="38" fontId="105" fillId="65" borderId="32" xfId="415" applyFont="1" applyFill="1" applyBorder="1" applyAlignment="1"/>
    <xf numFmtId="38" fontId="105" fillId="65" borderId="36" xfId="415" applyFont="1" applyFill="1" applyBorder="1" applyAlignment="1"/>
    <xf numFmtId="38" fontId="105" fillId="65" borderId="31" xfId="415" applyFont="1" applyFill="1" applyBorder="1" applyAlignment="1"/>
    <xf numFmtId="38" fontId="105" fillId="65" borderId="113" xfId="415" applyFont="1" applyFill="1" applyBorder="1" applyAlignment="1"/>
    <xf numFmtId="38" fontId="105" fillId="81" borderId="103" xfId="415" applyFont="1" applyFill="1" applyBorder="1">
      <alignment vertical="center"/>
    </xf>
    <xf numFmtId="38" fontId="105" fillId="0" borderId="83" xfId="415" applyFont="1" applyFill="1" applyBorder="1" applyAlignment="1" applyProtection="1">
      <alignment vertical="center"/>
    </xf>
    <xf numFmtId="38" fontId="105" fillId="65" borderId="39" xfId="415" applyFont="1" applyFill="1" applyBorder="1" applyAlignment="1" applyProtection="1">
      <alignment vertical="center"/>
    </xf>
    <xf numFmtId="38" fontId="105" fillId="64" borderId="103" xfId="345" applyNumberFormat="1" applyFont="1" applyFill="1" applyBorder="1">
      <alignment vertical="center"/>
    </xf>
    <xf numFmtId="0" fontId="105" fillId="64" borderId="103" xfId="345" applyFont="1" applyFill="1" applyBorder="1">
      <alignment vertical="center"/>
    </xf>
    <xf numFmtId="0" fontId="105" fillId="64" borderId="103" xfId="421" applyFont="1" applyFill="1" applyBorder="1"/>
    <xf numFmtId="0" fontId="105" fillId="0" borderId="103" xfId="421" applyFont="1" applyBorder="1"/>
    <xf numFmtId="38" fontId="105" fillId="65" borderId="103" xfId="415" applyFont="1" applyFill="1" applyBorder="1" applyAlignment="1">
      <alignment vertical="center"/>
    </xf>
    <xf numFmtId="197" fontId="105" fillId="64" borderId="11" xfId="345" applyNumberFormat="1" applyFont="1" applyFill="1" applyBorder="1">
      <alignment vertical="center"/>
    </xf>
    <xf numFmtId="197" fontId="117" fillId="64" borderId="32" xfId="297" applyNumberFormat="1" applyFont="1" applyFill="1" applyBorder="1" applyAlignment="1">
      <alignment horizontal="right" vertical="center"/>
    </xf>
    <xf numFmtId="197" fontId="117" fillId="0" borderId="32" xfId="297" applyNumberFormat="1" applyFont="1" applyFill="1" applyBorder="1" applyAlignment="1">
      <alignment horizontal="right" vertical="center"/>
    </xf>
    <xf numFmtId="38" fontId="105" fillId="64" borderId="114" xfId="415" applyFont="1" applyFill="1" applyBorder="1">
      <alignment vertical="center"/>
    </xf>
    <xf numFmtId="201" fontId="105" fillId="64" borderId="11" xfId="415" applyNumberFormat="1" applyFont="1" applyFill="1" applyBorder="1">
      <alignment vertical="center"/>
    </xf>
    <xf numFmtId="201" fontId="105" fillId="64" borderId="32" xfId="415" applyNumberFormat="1" applyFont="1" applyFill="1" applyBorder="1">
      <alignment vertical="center"/>
    </xf>
    <xf numFmtId="38" fontId="105" fillId="0" borderId="103" xfId="415" applyFont="1" applyFill="1" applyBorder="1">
      <alignment vertical="center"/>
    </xf>
    <xf numFmtId="38" fontId="105" fillId="0" borderId="103" xfId="415" applyFont="1" applyFill="1" applyBorder="1" applyAlignment="1">
      <alignment horizontal="right" vertical="center"/>
    </xf>
    <xf numFmtId="38" fontId="105" fillId="64" borderId="11" xfId="415" applyFont="1" applyFill="1" applyBorder="1">
      <alignment vertical="center"/>
    </xf>
    <xf numFmtId="197" fontId="105" fillId="64" borderId="32" xfId="345" applyNumberFormat="1" applyFont="1" applyFill="1" applyBorder="1">
      <alignment vertical="center"/>
    </xf>
    <xf numFmtId="38" fontId="105" fillId="65" borderId="42" xfId="415" applyFont="1" applyFill="1" applyBorder="1" applyAlignment="1" applyProtection="1">
      <alignment vertical="center"/>
    </xf>
    <xf numFmtId="38" fontId="105" fillId="65" borderId="35" xfId="415" applyFont="1" applyFill="1" applyBorder="1" applyAlignment="1" applyProtection="1">
      <alignment vertical="center"/>
    </xf>
    <xf numFmtId="38" fontId="105" fillId="65" borderId="103" xfId="415" applyFont="1" applyFill="1" applyBorder="1" applyAlignment="1" applyProtection="1">
      <alignment vertical="center"/>
    </xf>
    <xf numFmtId="203" fontId="105" fillId="0" borderId="25" xfId="415" applyNumberFormat="1" applyFont="1" applyBorder="1" applyAlignment="1" applyProtection="1">
      <alignment vertical="center"/>
    </xf>
    <xf numFmtId="203" fontId="105" fillId="0" borderId="35" xfId="415" applyNumberFormat="1" applyFont="1" applyBorder="1" applyAlignment="1" applyProtection="1">
      <alignment vertical="center"/>
    </xf>
    <xf numFmtId="38" fontId="105" fillId="0" borderId="42" xfId="415" applyFont="1" applyFill="1" applyBorder="1" applyAlignment="1" applyProtection="1">
      <alignment vertical="center"/>
    </xf>
    <xf numFmtId="38" fontId="105" fillId="65" borderId="84" xfId="415" applyFont="1" applyFill="1" applyBorder="1" applyAlignment="1" applyProtection="1">
      <alignment vertical="center"/>
    </xf>
    <xf numFmtId="38" fontId="105" fillId="79" borderId="103" xfId="415" applyFont="1" applyFill="1" applyBorder="1" applyAlignment="1" applyProtection="1">
      <alignment vertical="center"/>
    </xf>
    <xf numFmtId="197" fontId="105" fillId="64" borderId="24" xfId="345" applyNumberFormat="1" applyFont="1" applyFill="1" applyBorder="1">
      <alignment vertical="center"/>
    </xf>
    <xf numFmtId="38" fontId="105" fillId="64" borderId="43" xfId="415" applyFont="1" applyFill="1" applyBorder="1">
      <alignment vertical="center"/>
    </xf>
    <xf numFmtId="38" fontId="105" fillId="65" borderId="38" xfId="415" applyFont="1" applyFill="1" applyBorder="1">
      <alignment vertical="center"/>
    </xf>
    <xf numFmtId="38" fontId="105" fillId="65" borderId="41" xfId="415" applyFont="1" applyFill="1" applyBorder="1">
      <alignment vertical="center"/>
    </xf>
    <xf numFmtId="197" fontId="105" fillId="0" borderId="11" xfId="415" applyNumberFormat="1" applyFont="1" applyFill="1" applyBorder="1" applyAlignment="1" applyProtection="1">
      <alignment vertical="center"/>
    </xf>
    <xf numFmtId="197" fontId="105" fillId="0" borderId="32" xfId="415" applyNumberFormat="1" applyFont="1" applyFill="1" applyBorder="1" applyAlignment="1" applyProtection="1">
      <alignment vertical="center"/>
    </xf>
    <xf numFmtId="197" fontId="105" fillId="64" borderId="24" xfId="349" applyNumberFormat="1" applyFont="1" applyFill="1" applyBorder="1" applyAlignment="1">
      <alignment vertical="center"/>
    </xf>
    <xf numFmtId="197" fontId="105" fillId="64" borderId="11" xfId="349" applyNumberFormat="1" applyFont="1" applyFill="1" applyBorder="1" applyAlignment="1">
      <alignment vertical="center"/>
    </xf>
    <xf numFmtId="38" fontId="105" fillId="64" borderId="124" xfId="415" applyFont="1" applyFill="1" applyBorder="1" applyAlignment="1" applyProtection="1">
      <alignment horizontal="right" vertical="center"/>
    </xf>
    <xf numFmtId="38" fontId="111" fillId="0" borderId="11" xfId="415" applyFont="1" applyFill="1" applyBorder="1" applyProtection="1">
      <alignment vertical="center"/>
      <protection locked="0"/>
    </xf>
    <xf numFmtId="38" fontId="111" fillId="0" borderId="32" xfId="415" applyFont="1" applyFill="1" applyBorder="1" applyProtection="1">
      <alignment vertical="center"/>
      <protection locked="0"/>
    </xf>
    <xf numFmtId="0" fontId="60" fillId="0" borderId="32" xfId="421" applyBorder="1"/>
    <xf numFmtId="0" fontId="122" fillId="64" borderId="11" xfId="345" applyFont="1" applyFill="1" applyBorder="1" applyAlignment="1">
      <alignment horizontal="center" vertical="center"/>
    </xf>
    <xf numFmtId="0" fontId="122" fillId="64" borderId="32" xfId="345" applyFont="1" applyFill="1" applyBorder="1" applyAlignment="1">
      <alignment horizontal="center" vertical="center"/>
    </xf>
    <xf numFmtId="0" fontId="164" fillId="64" borderId="11" xfId="421" applyFont="1" applyFill="1" applyBorder="1"/>
    <xf numFmtId="0" fontId="164" fillId="0" borderId="32" xfId="421" applyFont="1" applyBorder="1"/>
    <xf numFmtId="38" fontId="162" fillId="64" borderId="126" xfId="415" applyFont="1" applyFill="1" applyBorder="1" applyAlignment="1"/>
    <xf numFmtId="38" fontId="162" fillId="64" borderId="128" xfId="415" applyFont="1" applyFill="1" applyBorder="1" applyAlignment="1"/>
    <xf numFmtId="38" fontId="162" fillId="64" borderId="67" xfId="415" applyFont="1" applyFill="1" applyBorder="1" applyAlignment="1"/>
    <xf numFmtId="38" fontId="162" fillId="64" borderId="68" xfId="415" applyFont="1" applyFill="1" applyBorder="1" applyAlignment="1"/>
    <xf numFmtId="38" fontId="162" fillId="64" borderId="52" xfId="415" applyFont="1" applyFill="1" applyBorder="1" applyAlignment="1"/>
    <xf numFmtId="38" fontId="162" fillId="64" borderId="66" xfId="415" applyFont="1" applyFill="1" applyBorder="1" applyAlignment="1"/>
    <xf numFmtId="38" fontId="162" fillId="64" borderId="88" xfId="415" applyFont="1" applyFill="1" applyBorder="1" applyAlignment="1"/>
    <xf numFmtId="38" fontId="162" fillId="64" borderId="97" xfId="415" applyFont="1" applyFill="1" applyBorder="1" applyAlignment="1"/>
    <xf numFmtId="38" fontId="163" fillId="64" borderId="11" xfId="415" applyFont="1" applyFill="1" applyBorder="1" applyAlignment="1"/>
    <xf numFmtId="38" fontId="163" fillId="64" borderId="0" xfId="415" applyFont="1" applyFill="1" applyBorder="1" applyAlignment="1"/>
    <xf numFmtId="0" fontId="105" fillId="64" borderId="11" xfId="421" applyFont="1" applyFill="1" applyBorder="1"/>
    <xf numFmtId="0" fontId="111" fillId="0" borderId="124" xfId="486" applyFont="1" applyBorder="1" applyAlignment="1">
      <alignment horizontal="center" vertical="center"/>
    </xf>
    <xf numFmtId="205" fontId="111" fillId="0" borderId="83" xfId="488" applyNumberFormat="1" applyFont="1" applyFill="1" applyBorder="1">
      <alignment vertical="center"/>
    </xf>
    <xf numFmtId="205" fontId="105" fillId="0" borderId="32" xfId="349" applyNumberFormat="1" applyFont="1" applyBorder="1" applyAlignment="1">
      <alignment vertical="center"/>
    </xf>
    <xf numFmtId="205" fontId="111" fillId="0" borderId="83" xfId="488" applyNumberFormat="1" applyFont="1" applyBorder="1">
      <alignment vertical="center"/>
    </xf>
    <xf numFmtId="199" fontId="105" fillId="64" borderId="124" xfId="349" applyNumberFormat="1" applyFont="1" applyFill="1" applyBorder="1" applyAlignment="1">
      <alignment horizontal="center" vertical="center"/>
    </xf>
    <xf numFmtId="205" fontId="105" fillId="0" borderId="25" xfId="349" applyNumberFormat="1" applyFont="1" applyBorder="1" applyAlignment="1">
      <alignment vertical="center"/>
    </xf>
    <xf numFmtId="38" fontId="105" fillId="0" borderId="103" xfId="485" applyFont="1" applyFill="1" applyBorder="1" applyAlignment="1" applyProtection="1">
      <alignment vertical="center"/>
    </xf>
    <xf numFmtId="38" fontId="105" fillId="0" borderId="103" xfId="485" applyFont="1" applyFill="1" applyBorder="1" applyAlignment="1"/>
    <xf numFmtId="38" fontId="105" fillId="65" borderId="25" xfId="415" applyFont="1" applyFill="1" applyBorder="1" applyAlignment="1">
      <alignment horizontal="right" vertical="center"/>
    </xf>
    <xf numFmtId="38" fontId="105" fillId="65" borderId="35" xfId="415" applyFont="1" applyFill="1" applyBorder="1" applyAlignment="1">
      <alignment horizontal="right" vertical="center"/>
    </xf>
    <xf numFmtId="38" fontId="106" fillId="91" borderId="124" xfId="415" applyFont="1" applyFill="1" applyBorder="1" applyAlignment="1" applyProtection="1">
      <alignment vertical="center"/>
    </xf>
    <xf numFmtId="38" fontId="106" fillId="91" borderId="113" xfId="415" applyFont="1" applyFill="1" applyBorder="1" applyAlignment="1" applyProtection="1">
      <alignment vertical="center"/>
    </xf>
    <xf numFmtId="38" fontId="106" fillId="91" borderId="22" xfId="415" applyFont="1" applyFill="1" applyBorder="1" applyAlignment="1" applyProtection="1">
      <alignment vertical="center"/>
    </xf>
    <xf numFmtId="38" fontId="106" fillId="91" borderId="103" xfId="415" applyFont="1" applyFill="1" applyBorder="1" applyAlignment="1" applyProtection="1">
      <alignment vertical="center"/>
    </xf>
    <xf numFmtId="38" fontId="106" fillId="91" borderId="25" xfId="415" applyFont="1" applyFill="1" applyBorder="1" applyAlignment="1" applyProtection="1">
      <alignment vertical="center"/>
    </xf>
    <xf numFmtId="38" fontId="106" fillId="91" borderId="35" xfId="415" applyFont="1" applyFill="1" applyBorder="1" applyAlignment="1" applyProtection="1">
      <alignment vertical="center"/>
    </xf>
    <xf numFmtId="38" fontId="106" fillId="91" borderId="103" xfId="415" applyFont="1" applyFill="1" applyBorder="1">
      <alignment vertical="center"/>
    </xf>
    <xf numFmtId="38" fontId="106" fillId="91" borderId="103" xfId="415" applyFont="1" applyFill="1" applyBorder="1" applyAlignment="1">
      <alignment horizontal="right" vertical="center"/>
    </xf>
    <xf numFmtId="38" fontId="106" fillId="91" borderId="25" xfId="415" applyFont="1" applyFill="1" applyBorder="1">
      <alignment vertical="center"/>
    </xf>
    <xf numFmtId="38" fontId="106" fillId="91" borderId="35" xfId="415" applyFont="1" applyFill="1" applyBorder="1">
      <alignment vertical="center"/>
    </xf>
    <xf numFmtId="38" fontId="106" fillId="91" borderId="22" xfId="415" applyFont="1" applyFill="1" applyBorder="1">
      <alignment vertical="center"/>
    </xf>
    <xf numFmtId="38" fontId="105" fillId="0" borderId="25" xfId="415" applyFont="1" applyFill="1" applyBorder="1" applyAlignment="1">
      <alignment horizontal="right" vertical="center"/>
    </xf>
    <xf numFmtId="38" fontId="105" fillId="0" borderId="35" xfId="415" applyFont="1" applyFill="1" applyBorder="1" applyAlignment="1">
      <alignment horizontal="right" vertical="center"/>
    </xf>
    <xf numFmtId="38" fontId="105" fillId="0" borderId="103" xfId="415" applyFont="1" applyFill="1" applyBorder="1" applyAlignment="1" applyProtection="1">
      <alignment vertical="center"/>
    </xf>
    <xf numFmtId="38" fontId="182" fillId="0" borderId="42" xfId="415" applyFont="1" applyFill="1" applyBorder="1" applyAlignment="1" applyProtection="1">
      <alignment vertical="center"/>
    </xf>
    <xf numFmtId="38" fontId="182" fillId="71" borderId="25" xfId="415" applyFont="1" applyFill="1" applyBorder="1" applyAlignment="1" applyProtection="1">
      <alignment vertical="center"/>
    </xf>
    <xf numFmtId="38" fontId="182" fillId="71" borderId="32" xfId="415" applyFont="1" applyFill="1" applyBorder="1" applyAlignment="1" applyProtection="1">
      <alignment vertical="center"/>
    </xf>
    <xf numFmtId="38" fontId="182" fillId="71" borderId="35" xfId="415" applyFont="1" applyFill="1" applyBorder="1" applyAlignment="1" applyProtection="1">
      <alignment vertical="center"/>
    </xf>
    <xf numFmtId="38" fontId="182" fillId="71" borderId="36" xfId="415" applyFont="1" applyFill="1" applyBorder="1" applyAlignment="1" applyProtection="1">
      <alignment vertical="center"/>
    </xf>
    <xf numFmtId="38" fontId="182" fillId="0" borderId="35" xfId="415" applyFont="1" applyFill="1" applyBorder="1" applyAlignment="1" applyProtection="1">
      <alignment vertical="center"/>
    </xf>
    <xf numFmtId="38" fontId="182" fillId="0" borderId="32" xfId="415" applyFont="1" applyFill="1" applyBorder="1" applyAlignment="1" applyProtection="1">
      <alignment vertical="center"/>
    </xf>
    <xf numFmtId="38" fontId="182" fillId="0" borderId="31" xfId="415" applyFont="1" applyFill="1" applyBorder="1" applyAlignment="1" applyProtection="1">
      <alignment vertical="center"/>
    </xf>
    <xf numFmtId="205" fontId="105" fillId="71" borderId="25" xfId="349" applyNumberFormat="1" applyFont="1" applyFill="1" applyBorder="1" applyAlignment="1">
      <alignment vertical="center"/>
    </xf>
    <xf numFmtId="205" fontId="105" fillId="71" borderId="32" xfId="349" applyNumberFormat="1" applyFont="1" applyFill="1" applyBorder="1" applyAlignment="1">
      <alignment vertical="center"/>
    </xf>
    <xf numFmtId="205" fontId="105" fillId="71" borderId="124" xfId="349" applyNumberFormat="1" applyFont="1" applyFill="1" applyBorder="1" applyAlignment="1">
      <alignment vertical="center"/>
    </xf>
    <xf numFmtId="205" fontId="105" fillId="71" borderId="113" xfId="349" applyNumberFormat="1" applyFont="1" applyFill="1" applyBorder="1" applyAlignment="1">
      <alignment vertical="center"/>
    </xf>
    <xf numFmtId="205" fontId="105" fillId="71" borderId="22" xfId="349" applyNumberFormat="1" applyFont="1" applyFill="1" applyBorder="1" applyAlignment="1">
      <alignment vertical="center"/>
    </xf>
    <xf numFmtId="205" fontId="105" fillId="71" borderId="31" xfId="349" applyNumberFormat="1" applyFont="1" applyFill="1" applyBorder="1" applyAlignment="1">
      <alignment vertical="center"/>
    </xf>
    <xf numFmtId="0" fontId="87" fillId="71" borderId="124" xfId="415" applyNumberFormat="1" applyFont="1" applyFill="1" applyBorder="1">
      <alignment vertical="center"/>
    </xf>
    <xf numFmtId="0" fontId="87" fillId="71" borderId="11" xfId="415" applyNumberFormat="1" applyFont="1" applyFill="1" applyBorder="1">
      <alignment vertical="center"/>
    </xf>
    <xf numFmtId="0" fontId="87" fillId="71" borderId="25" xfId="415" applyNumberFormat="1" applyFont="1" applyFill="1" applyBorder="1">
      <alignment vertical="center"/>
    </xf>
    <xf numFmtId="0" fontId="87" fillId="71" borderId="38" xfId="415" applyNumberFormat="1" applyFont="1" applyFill="1" applyBorder="1">
      <alignment vertical="center"/>
    </xf>
    <xf numFmtId="0" fontId="87" fillId="71" borderId="35" xfId="415" applyNumberFormat="1" applyFont="1" applyFill="1" applyBorder="1">
      <alignment vertical="center"/>
    </xf>
    <xf numFmtId="38" fontId="105" fillId="71" borderId="67" xfId="311" applyFont="1" applyFill="1" applyBorder="1" applyAlignment="1"/>
    <xf numFmtId="38" fontId="105" fillId="71" borderId="52" xfId="311" applyFont="1" applyFill="1" applyBorder="1" applyAlignment="1"/>
    <xf numFmtId="38" fontId="105" fillId="71" borderId="126" xfId="345" applyNumberFormat="1" applyFont="1" applyFill="1" applyBorder="1">
      <alignment vertical="center"/>
    </xf>
    <xf numFmtId="38" fontId="105" fillId="71" borderId="125" xfId="345" applyNumberFormat="1" applyFont="1" applyFill="1" applyBorder="1">
      <alignment vertical="center"/>
    </xf>
    <xf numFmtId="38" fontId="105" fillId="71" borderId="127" xfId="345" applyNumberFormat="1" applyFont="1" applyFill="1" applyBorder="1">
      <alignment vertical="center"/>
    </xf>
    <xf numFmtId="38" fontId="105" fillId="71" borderId="128" xfId="345" applyNumberFormat="1" applyFont="1" applyFill="1" applyBorder="1">
      <alignment vertical="center"/>
    </xf>
    <xf numFmtId="38" fontId="105" fillId="71" borderId="67" xfId="345" applyNumberFormat="1" applyFont="1" applyFill="1" applyBorder="1">
      <alignment vertical="center"/>
    </xf>
    <xf numFmtId="38" fontId="105" fillId="71" borderId="49" xfId="345" applyNumberFormat="1" applyFont="1" applyFill="1" applyBorder="1">
      <alignment vertical="center"/>
    </xf>
    <xf numFmtId="38" fontId="105" fillId="71" borderId="75" xfId="345" applyNumberFormat="1" applyFont="1" applyFill="1" applyBorder="1">
      <alignment vertical="center"/>
    </xf>
    <xf numFmtId="38" fontId="105" fillId="71" borderId="68" xfId="345" applyNumberFormat="1" applyFont="1" applyFill="1" applyBorder="1">
      <alignment vertical="center"/>
    </xf>
    <xf numFmtId="38" fontId="105" fillId="71" borderId="52" xfId="345" applyNumberFormat="1" applyFont="1" applyFill="1" applyBorder="1">
      <alignment vertical="center"/>
    </xf>
    <xf numFmtId="38" fontId="105" fillId="71" borderId="50" xfId="345" applyNumberFormat="1" applyFont="1" applyFill="1" applyBorder="1">
      <alignment vertical="center"/>
    </xf>
    <xf numFmtId="38" fontId="105" fillId="71" borderId="51" xfId="345" applyNumberFormat="1" applyFont="1" applyFill="1" applyBorder="1">
      <alignment vertical="center"/>
    </xf>
    <xf numFmtId="38" fontId="105" fillId="71" borderId="66" xfId="345" applyNumberFormat="1" applyFont="1" applyFill="1" applyBorder="1">
      <alignment vertical="center"/>
    </xf>
    <xf numFmtId="0" fontId="105" fillId="71" borderId="46" xfId="345" applyFont="1" applyFill="1" applyBorder="1">
      <alignment vertical="center"/>
    </xf>
    <xf numFmtId="0" fontId="105" fillId="71" borderId="46" xfId="421" applyFont="1" applyFill="1" applyBorder="1"/>
    <xf numFmtId="0" fontId="105" fillId="71" borderId="35" xfId="345" applyFont="1" applyFill="1" applyBorder="1">
      <alignment vertical="center"/>
    </xf>
    <xf numFmtId="0" fontId="105" fillId="71" borderId="35" xfId="421" applyFont="1" applyFill="1" applyBorder="1"/>
    <xf numFmtId="0" fontId="105" fillId="71" borderId="25" xfId="345" applyFont="1" applyFill="1" applyBorder="1">
      <alignment vertical="center"/>
    </xf>
    <xf numFmtId="0" fontId="105" fillId="71" borderId="25" xfId="421" applyFont="1" applyFill="1" applyBorder="1"/>
    <xf numFmtId="0" fontId="105" fillId="71" borderId="22" xfId="345" applyFont="1" applyFill="1" applyBorder="1">
      <alignment vertical="center"/>
    </xf>
    <xf numFmtId="0" fontId="105" fillId="71" borderId="22" xfId="421" applyFont="1" applyFill="1" applyBorder="1"/>
    <xf numFmtId="38" fontId="106" fillId="91" borderId="103" xfId="415" applyFont="1" applyFill="1" applyBorder="1" applyAlignment="1"/>
    <xf numFmtId="38" fontId="105" fillId="74" borderId="103" xfId="415" applyFont="1" applyFill="1" applyBorder="1">
      <alignment vertical="center"/>
    </xf>
    <xf numFmtId="195" fontId="105" fillId="74" borderId="103" xfId="415" applyNumberFormat="1" applyFont="1" applyFill="1" applyBorder="1">
      <alignment vertical="center"/>
    </xf>
    <xf numFmtId="38" fontId="105" fillId="92" borderId="103" xfId="415" applyFont="1" applyFill="1" applyBorder="1">
      <alignment vertical="center"/>
    </xf>
    <xf numFmtId="195" fontId="105" fillId="92" borderId="103" xfId="415" applyNumberFormat="1" applyFont="1" applyFill="1" applyBorder="1">
      <alignment vertical="center"/>
    </xf>
    <xf numFmtId="195" fontId="105" fillId="81" borderId="103" xfId="415" applyNumberFormat="1" applyFont="1" applyFill="1" applyBorder="1">
      <alignment vertical="center"/>
    </xf>
    <xf numFmtId="38" fontId="105" fillId="72" borderId="25" xfId="415" applyFont="1" applyFill="1" applyBorder="1" applyAlignment="1"/>
    <xf numFmtId="9" fontId="158" fillId="72" borderId="25" xfId="416" applyFont="1" applyFill="1" applyBorder="1" applyAlignment="1" applyProtection="1">
      <alignment vertical="center"/>
    </xf>
    <xf numFmtId="38" fontId="157" fillId="72" borderId="25" xfId="415" applyFont="1" applyFill="1" applyBorder="1" applyAlignment="1" applyProtection="1">
      <alignment vertical="center"/>
    </xf>
    <xf numFmtId="38" fontId="105" fillId="74" borderId="103" xfId="485" applyFont="1" applyFill="1" applyBorder="1" applyAlignment="1"/>
    <xf numFmtId="22" fontId="238" fillId="64" borderId="0" xfId="345" applyNumberFormat="1" applyFont="1" applyFill="1" applyAlignment="1">
      <alignment vertical="center" justifyLastLine="1"/>
    </xf>
    <xf numFmtId="0" fontId="238" fillId="64" borderId="0" xfId="349" applyFont="1" applyFill="1" applyAlignment="1">
      <alignment vertical="center" justifyLastLine="1"/>
    </xf>
    <xf numFmtId="0" fontId="191" fillId="90" borderId="114" xfId="0" applyFont="1" applyFill="1" applyBorder="1">
      <alignment vertical="center"/>
    </xf>
    <xf numFmtId="0" fontId="105" fillId="90" borderId="105" xfId="0" applyFont="1" applyFill="1" applyBorder="1">
      <alignment vertical="center"/>
    </xf>
    <xf numFmtId="0" fontId="111" fillId="90" borderId="113" xfId="0" applyFont="1" applyFill="1" applyBorder="1">
      <alignment vertical="center"/>
    </xf>
    <xf numFmtId="0" fontId="191" fillId="90" borderId="114" xfId="0" applyFont="1" applyFill="1" applyBorder="1" applyAlignment="1">
      <alignment vertical="center" wrapText="1"/>
    </xf>
    <xf numFmtId="198" fontId="105" fillId="0" borderId="114" xfId="349" applyNumberFormat="1" applyFont="1" applyBorder="1" applyAlignment="1">
      <alignment vertical="center"/>
    </xf>
    <xf numFmtId="0" fontId="105" fillId="0" borderId="105" xfId="0" applyFont="1" applyBorder="1">
      <alignment vertical="center"/>
    </xf>
    <xf numFmtId="0" fontId="111" fillId="0" borderId="113" xfId="0" applyFont="1" applyBorder="1">
      <alignment vertical="center"/>
    </xf>
    <xf numFmtId="198" fontId="105" fillId="93" borderId="114" xfId="349" applyNumberFormat="1" applyFont="1" applyFill="1" applyBorder="1" applyAlignment="1">
      <alignment vertical="center" wrapText="1"/>
    </xf>
    <xf numFmtId="0" fontId="111" fillId="93" borderId="113" xfId="0" applyFont="1" applyFill="1" applyBorder="1">
      <alignment vertical="center"/>
    </xf>
    <xf numFmtId="0" fontId="111" fillId="0" borderId="29" xfId="0" applyFont="1" applyBorder="1">
      <alignment vertical="center"/>
    </xf>
    <xf numFmtId="198" fontId="111" fillId="93" borderId="114" xfId="349" applyNumberFormat="1" applyFont="1" applyFill="1" applyBorder="1" applyAlignment="1">
      <alignment vertical="center" wrapText="1"/>
    </xf>
    <xf numFmtId="198" fontId="114" fillId="72" borderId="114" xfId="349" applyNumberFormat="1" applyFont="1" applyFill="1" applyBorder="1" applyAlignment="1">
      <alignment vertical="center" wrapText="1"/>
    </xf>
    <xf numFmtId="0" fontId="111" fillId="72" borderId="113" xfId="0" applyFont="1" applyFill="1" applyBorder="1">
      <alignment vertical="center"/>
    </xf>
    <xf numFmtId="198" fontId="173" fillId="68" borderId="114" xfId="349" applyNumberFormat="1" applyFont="1" applyFill="1" applyBorder="1" applyAlignment="1">
      <alignment vertical="center" wrapText="1"/>
    </xf>
    <xf numFmtId="0" fontId="111" fillId="68" borderId="113" xfId="0" applyFont="1" applyFill="1" applyBorder="1">
      <alignment vertical="center"/>
    </xf>
    <xf numFmtId="198" fontId="106" fillId="59" borderId="105" xfId="349" applyNumberFormat="1" applyFont="1" applyFill="1" applyBorder="1" applyAlignment="1">
      <alignment vertical="center"/>
    </xf>
    <xf numFmtId="198" fontId="106" fillId="59" borderId="113" xfId="349" applyNumberFormat="1" applyFont="1" applyFill="1" applyBorder="1" applyAlignment="1">
      <alignment vertical="center"/>
    </xf>
    <xf numFmtId="198" fontId="106" fillId="59" borderId="25" xfId="349" applyNumberFormat="1" applyFont="1" applyFill="1" applyBorder="1" applyAlignment="1">
      <alignment vertical="center"/>
    </xf>
    <xf numFmtId="0" fontId="111" fillId="0" borderId="103" xfId="0" applyFont="1" applyBorder="1" applyAlignment="1">
      <alignment vertical="center" wrapText="1"/>
    </xf>
    <xf numFmtId="0" fontId="105" fillId="64" borderId="29" xfId="345" applyFont="1" applyFill="1" applyBorder="1">
      <alignment vertical="center"/>
    </xf>
    <xf numFmtId="0" fontId="111" fillId="0" borderId="124" xfId="0" applyFont="1" applyBorder="1" applyAlignment="1">
      <alignment vertical="center" wrapText="1"/>
    </xf>
    <xf numFmtId="0" fontId="105" fillId="64" borderId="105" xfId="345" applyFont="1" applyFill="1" applyBorder="1">
      <alignment vertical="center"/>
    </xf>
    <xf numFmtId="0" fontId="105" fillId="64" borderId="113" xfId="345" applyFont="1" applyFill="1" applyBorder="1">
      <alignment vertical="center"/>
    </xf>
    <xf numFmtId="0" fontId="105" fillId="64" borderId="114" xfId="345" applyFont="1" applyFill="1" applyBorder="1">
      <alignment vertical="center"/>
    </xf>
    <xf numFmtId="0" fontId="105" fillId="67" borderId="113" xfId="345" applyFont="1" applyFill="1" applyBorder="1" applyAlignment="1">
      <alignment vertical="center" wrapText="1"/>
    </xf>
    <xf numFmtId="0" fontId="111" fillId="0" borderId="124" xfId="0" applyFont="1" applyBorder="1" applyAlignment="1">
      <alignment horizontal="left" vertical="center" wrapText="1"/>
    </xf>
    <xf numFmtId="0" fontId="111" fillId="0" borderId="32" xfId="0" applyFont="1" applyBorder="1" applyAlignment="1">
      <alignment vertical="center" wrapText="1"/>
    </xf>
    <xf numFmtId="198" fontId="105" fillId="81" borderId="32" xfId="349" applyNumberFormat="1" applyFont="1" applyFill="1" applyBorder="1" applyAlignment="1">
      <alignment vertical="center" wrapText="1"/>
    </xf>
    <xf numFmtId="198" fontId="105" fillId="81" borderId="11" xfId="349" applyNumberFormat="1" applyFont="1" applyFill="1" applyBorder="1" applyAlignment="1">
      <alignment vertical="center"/>
    </xf>
    <xf numFmtId="198" fontId="105" fillId="81" borderId="24" xfId="349" applyNumberFormat="1" applyFont="1" applyFill="1" applyBorder="1" applyAlignment="1">
      <alignment vertical="center"/>
    </xf>
    <xf numFmtId="198" fontId="106" fillId="66" borderId="105" xfId="349" applyNumberFormat="1" applyFont="1" applyFill="1" applyBorder="1" applyAlignment="1">
      <alignment vertical="center"/>
    </xf>
    <xf numFmtId="198" fontId="106" fillId="66" borderId="113" xfId="349" applyNumberFormat="1" applyFont="1" applyFill="1" applyBorder="1" applyAlignment="1">
      <alignment vertical="center" wrapText="1"/>
    </xf>
    <xf numFmtId="198" fontId="105" fillId="0" borderId="103" xfId="349" applyNumberFormat="1" applyFont="1" applyBorder="1" applyAlignment="1">
      <alignment vertical="center"/>
    </xf>
    <xf numFmtId="198" fontId="105" fillId="0" borderId="22" xfId="349" applyNumberFormat="1" applyFont="1" applyBorder="1" applyAlignment="1">
      <alignment vertical="center"/>
    </xf>
    <xf numFmtId="198" fontId="106" fillId="66" borderId="25" xfId="349" applyNumberFormat="1" applyFont="1" applyFill="1" applyBorder="1" applyAlignment="1">
      <alignment vertical="center"/>
    </xf>
    <xf numFmtId="198" fontId="106" fillId="66" borderId="22" xfId="349" applyNumberFormat="1" applyFont="1" applyFill="1" applyBorder="1" applyAlignment="1">
      <alignment vertical="center"/>
    </xf>
    <xf numFmtId="0" fontId="106" fillId="69" borderId="105" xfId="349" applyFont="1" applyFill="1" applyBorder="1"/>
    <xf numFmtId="0" fontId="106" fillId="69" borderId="113" xfId="349" applyFont="1" applyFill="1" applyBorder="1" applyAlignment="1">
      <alignment wrapText="1"/>
    </xf>
    <xf numFmtId="0" fontId="105" fillId="0" borderId="124" xfId="349" applyFont="1" applyBorder="1" applyAlignment="1">
      <alignment vertical="center" wrapText="1"/>
    </xf>
    <xf numFmtId="0" fontId="105" fillId="0" borderId="124" xfId="0" applyFont="1" applyBorder="1" applyAlignment="1">
      <alignment horizontal="left" vertical="center" wrapText="1"/>
    </xf>
    <xf numFmtId="0" fontId="123" fillId="79" borderId="103" xfId="349" applyFont="1" applyFill="1" applyBorder="1"/>
    <xf numFmtId="0" fontId="105" fillId="64" borderId="26" xfId="345" applyFont="1" applyFill="1" applyBorder="1" applyAlignment="1">
      <alignment vertical="top"/>
    </xf>
    <xf numFmtId="0" fontId="105" fillId="0" borderId="105" xfId="345" applyFont="1" applyBorder="1" applyAlignment="1">
      <alignment vertical="top"/>
    </xf>
    <xf numFmtId="0" fontId="105" fillId="0" borderId="124" xfId="0" applyFont="1" applyBorder="1" applyAlignment="1">
      <alignment vertical="top" wrapText="1"/>
    </xf>
    <xf numFmtId="0" fontId="239" fillId="0" borderId="0" xfId="0" applyFont="1">
      <alignment vertical="center"/>
    </xf>
    <xf numFmtId="0" fontId="111" fillId="79" borderId="26" xfId="0" applyFont="1" applyFill="1" applyBorder="1">
      <alignment vertical="center"/>
    </xf>
    <xf numFmtId="0" fontId="191" fillId="0" borderId="114" xfId="0" applyFont="1" applyBorder="1">
      <alignment vertical="center"/>
    </xf>
    <xf numFmtId="0" fontId="191" fillId="0" borderId="113" xfId="0" applyFont="1" applyBorder="1">
      <alignment vertical="center"/>
    </xf>
    <xf numFmtId="0" fontId="191" fillId="0" borderId="105" xfId="0" applyFont="1" applyBorder="1">
      <alignment vertical="center"/>
    </xf>
    <xf numFmtId="0" fontId="111" fillId="94" borderId="26" xfId="0" applyFont="1" applyFill="1" applyBorder="1">
      <alignment vertical="center"/>
    </xf>
    <xf numFmtId="0" fontId="111" fillId="94" borderId="11" xfId="0" applyFont="1" applyFill="1" applyBorder="1">
      <alignment vertical="center"/>
    </xf>
    <xf numFmtId="0" fontId="111" fillId="94" borderId="24" xfId="0" applyFont="1" applyFill="1" applyBorder="1">
      <alignment vertical="center"/>
    </xf>
    <xf numFmtId="0" fontId="106" fillId="71" borderId="26" xfId="349" applyFont="1" applyFill="1" applyBorder="1"/>
    <xf numFmtId="0" fontId="106" fillId="71" borderId="105" xfId="349" applyFont="1" applyFill="1" applyBorder="1"/>
    <xf numFmtId="0" fontId="106" fillId="71" borderId="113" xfId="349" applyFont="1" applyFill="1" applyBorder="1" applyAlignment="1">
      <alignment wrapText="1"/>
    </xf>
    <xf numFmtId="198" fontId="106" fillId="0" borderId="26" xfId="349" applyNumberFormat="1" applyFont="1" applyBorder="1" applyAlignment="1">
      <alignment vertical="center"/>
    </xf>
    <xf numFmtId="198" fontId="106" fillId="0" borderId="105" xfId="349" applyNumberFormat="1" applyFont="1" applyBorder="1" applyAlignment="1">
      <alignment vertical="center"/>
    </xf>
    <xf numFmtId="198" fontId="106" fillId="0" borderId="113" xfId="349" applyNumberFormat="1" applyFont="1" applyBorder="1" applyAlignment="1">
      <alignment vertical="center" wrapText="1"/>
    </xf>
    <xf numFmtId="0" fontId="105" fillId="0" borderId="29" xfId="0" applyFont="1" applyBorder="1" applyAlignment="1">
      <alignment vertical="center" wrapText="1"/>
    </xf>
    <xf numFmtId="0" fontId="105" fillId="0" borderId="32" xfId="0" applyFont="1" applyBorder="1" applyAlignment="1">
      <alignment vertical="center" wrapText="1"/>
    </xf>
    <xf numFmtId="0" fontId="105" fillId="0" borderId="31" xfId="0" applyFont="1" applyBorder="1" applyAlignment="1">
      <alignment vertical="center" wrapText="1"/>
    </xf>
    <xf numFmtId="198" fontId="106" fillId="0" borderId="22" xfId="349" applyNumberFormat="1" applyFont="1" applyBorder="1" applyAlignment="1">
      <alignment vertical="center"/>
    </xf>
    <xf numFmtId="0" fontId="111" fillId="68" borderId="114" xfId="0" applyFont="1" applyFill="1" applyBorder="1">
      <alignment vertical="center"/>
    </xf>
    <xf numFmtId="0" fontId="105" fillId="68" borderId="105" xfId="0" applyFont="1" applyFill="1" applyBorder="1">
      <alignment vertical="center"/>
    </xf>
    <xf numFmtId="0" fontId="105" fillId="68" borderId="113" xfId="0" applyFont="1" applyFill="1" applyBorder="1">
      <alignment vertical="center"/>
    </xf>
    <xf numFmtId="0" fontId="105" fillId="68" borderId="124" xfId="0" applyFont="1" applyFill="1" applyBorder="1" applyAlignment="1">
      <alignment vertical="center" wrapText="1"/>
    </xf>
    <xf numFmtId="0" fontId="105" fillId="0" borderId="103" xfId="0" applyFont="1" applyBorder="1" applyAlignment="1">
      <alignment vertical="center" wrapText="1"/>
    </xf>
    <xf numFmtId="0" fontId="111" fillId="68" borderId="105" xfId="0" applyFont="1" applyFill="1" applyBorder="1">
      <alignment vertical="center"/>
    </xf>
    <xf numFmtId="0" fontId="111" fillId="68" borderId="124" xfId="0" applyFont="1" applyFill="1" applyBorder="1" applyAlignment="1">
      <alignment vertical="center" wrapText="1"/>
    </xf>
    <xf numFmtId="0" fontId="105" fillId="0" borderId="114" xfId="0" applyFont="1" applyBorder="1">
      <alignment vertical="center"/>
    </xf>
    <xf numFmtId="198" fontId="105" fillId="0" borderId="105" xfId="349" applyNumberFormat="1" applyFont="1" applyBorder="1" applyAlignment="1">
      <alignment vertical="center"/>
    </xf>
    <xf numFmtId="0" fontId="105" fillId="0" borderId="124" xfId="0" applyFont="1" applyBorder="1" applyAlignment="1">
      <alignment vertical="center" wrapText="1"/>
    </xf>
    <xf numFmtId="0" fontId="111" fillId="0" borderId="114" xfId="0" applyFont="1" applyBorder="1">
      <alignment vertical="center"/>
    </xf>
    <xf numFmtId="0" fontId="111" fillId="0" borderId="105" xfId="0" applyFont="1" applyBorder="1">
      <alignment vertical="center"/>
    </xf>
    <xf numFmtId="0" fontId="105" fillId="68" borderId="113" xfId="0" applyFont="1" applyFill="1" applyBorder="1" applyAlignment="1">
      <alignment vertical="center" wrapText="1"/>
    </xf>
    <xf numFmtId="0" fontId="111" fillId="0" borderId="103" xfId="0" applyFont="1" applyBorder="1">
      <alignment vertical="center"/>
    </xf>
    <xf numFmtId="0" fontId="111" fillId="0" borderId="124" xfId="0" applyFont="1" applyBorder="1">
      <alignment vertical="center"/>
    </xf>
    <xf numFmtId="0" fontId="111" fillId="0" borderId="22" xfId="0" applyFont="1" applyBorder="1">
      <alignment vertical="center"/>
    </xf>
    <xf numFmtId="0" fontId="111" fillId="0" borderId="25" xfId="0" applyFont="1" applyBorder="1">
      <alignment vertical="center"/>
    </xf>
    <xf numFmtId="0" fontId="114" fillId="68" borderId="114" xfId="0" applyFont="1" applyFill="1" applyBorder="1">
      <alignment vertical="center"/>
    </xf>
    <xf numFmtId="0" fontId="114" fillId="68" borderId="105" xfId="0" applyFont="1" applyFill="1" applyBorder="1">
      <alignment vertical="center"/>
    </xf>
    <xf numFmtId="0" fontId="114" fillId="68" borderId="113" xfId="0" applyFont="1" applyFill="1" applyBorder="1">
      <alignment vertical="center"/>
    </xf>
    <xf numFmtId="0" fontId="114" fillId="68" borderId="124" xfId="0" applyFont="1" applyFill="1" applyBorder="1" applyAlignment="1">
      <alignment vertical="center" wrapText="1"/>
    </xf>
    <xf numFmtId="0" fontId="114" fillId="0" borderId="114" xfId="0" applyFont="1" applyBorder="1">
      <alignment vertical="center"/>
    </xf>
    <xf numFmtId="0" fontId="114" fillId="0" borderId="105" xfId="0" applyFont="1" applyBorder="1">
      <alignment vertical="center"/>
    </xf>
    <xf numFmtId="0" fontId="114" fillId="0" borderId="124" xfId="0" applyFont="1" applyBorder="1">
      <alignment vertical="center"/>
    </xf>
    <xf numFmtId="0" fontId="114" fillId="0" borderId="124" xfId="0" applyFont="1" applyBorder="1" applyAlignment="1">
      <alignment vertical="center" wrapText="1"/>
    </xf>
    <xf numFmtId="0" fontId="105" fillId="0" borderId="105" xfId="0" applyFont="1" applyBorder="1" applyAlignment="1">
      <alignment vertical="top"/>
    </xf>
    <xf numFmtId="0" fontId="128" fillId="0" borderId="124" xfId="487" applyFont="1" applyBorder="1" applyAlignment="1">
      <alignment horizontal="center" vertical="center"/>
    </xf>
    <xf numFmtId="0" fontId="128" fillId="0" borderId="103" xfId="487" applyFont="1" applyBorder="1" applyAlignment="1">
      <alignment horizontal="center" vertical="center"/>
    </xf>
    <xf numFmtId="0" fontId="191" fillId="0" borderId="26" xfId="487" applyFont="1" applyBorder="1">
      <alignment vertical="center"/>
    </xf>
    <xf numFmtId="0" fontId="128" fillId="0" borderId="113" xfId="487" applyFont="1" applyBorder="1">
      <alignment vertical="center"/>
    </xf>
    <xf numFmtId="0" fontId="128" fillId="0" borderId="26" xfId="487" applyFont="1" applyBorder="1">
      <alignment vertical="center"/>
    </xf>
    <xf numFmtId="0" fontId="128" fillId="0" borderId="29" xfId="487" applyFont="1" applyBorder="1">
      <alignment vertical="center"/>
    </xf>
    <xf numFmtId="0" fontId="128" fillId="0" borderId="29" xfId="487" applyFont="1" applyBorder="1" applyAlignment="1">
      <alignment horizontal="center" vertical="center"/>
    </xf>
    <xf numFmtId="0" fontId="128" fillId="0" borderId="22" xfId="487" quotePrefix="1" applyFont="1" applyBorder="1" applyAlignment="1">
      <alignment horizontal="center" vertical="center"/>
    </xf>
    <xf numFmtId="0" fontId="128" fillId="87" borderId="103" xfId="487" applyFont="1" applyFill="1" applyBorder="1" applyAlignment="1">
      <alignment horizontal="center" vertical="center"/>
    </xf>
    <xf numFmtId="0" fontId="128" fillId="0" borderId="124" xfId="487" applyFont="1" applyBorder="1" applyAlignment="1">
      <alignment horizontal="left" vertical="center" indent="1"/>
    </xf>
    <xf numFmtId="0" fontId="128" fillId="0" borderId="25" xfId="487" applyFont="1" applyBorder="1">
      <alignment vertical="center"/>
    </xf>
    <xf numFmtId="0" fontId="128" fillId="0" borderId="22" xfId="487" applyFont="1" applyBorder="1">
      <alignment vertical="center"/>
    </xf>
    <xf numFmtId="0" fontId="128" fillId="0" borderId="114" xfId="487" applyFont="1" applyBorder="1">
      <alignment vertical="center"/>
    </xf>
    <xf numFmtId="0" fontId="128" fillId="0" borderId="105" xfId="487" applyFont="1" applyBorder="1">
      <alignment vertical="center"/>
    </xf>
    <xf numFmtId="0" fontId="220" fillId="0" borderId="105" xfId="487" applyFont="1" applyBorder="1">
      <alignment vertical="center"/>
    </xf>
    <xf numFmtId="0" fontId="128" fillId="0" borderId="0" xfId="487" quotePrefix="1" applyFont="1" applyAlignment="1">
      <alignment horizontal="center" vertical="center"/>
    </xf>
    <xf numFmtId="0" fontId="128" fillId="0" borderId="26" xfId="487" applyFont="1" applyBorder="1" applyAlignment="1">
      <alignment horizontal="left" vertical="center" indent="1"/>
    </xf>
    <xf numFmtId="0" fontId="224" fillId="0" borderId="0" xfId="0" applyFont="1">
      <alignment vertical="center"/>
    </xf>
    <xf numFmtId="0" fontId="190" fillId="0" borderId="0" xfId="345" applyFont="1" applyAlignment="1">
      <alignment horizontal="left" vertical="center"/>
    </xf>
    <xf numFmtId="0" fontId="241" fillId="0" borderId="0" xfId="345" applyFont="1" applyAlignment="1">
      <alignment horizontal="centerContinuous" vertical="center"/>
    </xf>
    <xf numFmtId="0" fontId="145" fillId="0" borderId="0" xfId="0" applyFont="1" applyAlignment="1">
      <alignment horizontal="center" vertical="center"/>
    </xf>
    <xf numFmtId="0" fontId="105" fillId="0" borderId="124" xfId="345" applyFont="1" applyBorder="1" applyAlignment="1">
      <alignment horizontal="centerContinuous" vertical="center"/>
    </xf>
    <xf numFmtId="0" fontId="106" fillId="80" borderId="129" xfId="345" applyFont="1" applyFill="1" applyBorder="1" applyAlignment="1">
      <alignment horizontal="center" vertical="center"/>
    </xf>
    <xf numFmtId="0" fontId="106" fillId="85" borderId="129" xfId="345" applyFont="1" applyFill="1" applyBorder="1" applyAlignment="1">
      <alignment horizontal="center" vertical="center"/>
    </xf>
    <xf numFmtId="0" fontId="105" fillId="0" borderId="25" xfId="345" applyFont="1" applyBorder="1" applyAlignment="1">
      <alignment vertical="center" shrinkToFit="1"/>
    </xf>
    <xf numFmtId="0" fontId="105" fillId="0" borderId="25" xfId="345" applyFont="1" applyBorder="1">
      <alignment vertical="center"/>
    </xf>
    <xf numFmtId="206" fontId="105" fillId="84" borderId="35" xfId="0" quotePrefix="1" applyNumberFormat="1" applyFont="1" applyFill="1" applyBorder="1" applyAlignment="1">
      <alignment horizontal="left" vertical="center" wrapText="1"/>
    </xf>
    <xf numFmtId="206" fontId="105" fillId="90" borderId="35" xfId="0" quotePrefix="1" applyNumberFormat="1" applyFont="1" applyFill="1" applyBorder="1" applyAlignment="1">
      <alignment horizontal="left" vertical="center" wrapText="1"/>
    </xf>
    <xf numFmtId="206" fontId="105" fillId="93" borderId="35" xfId="0" quotePrefix="1" applyNumberFormat="1" applyFont="1" applyFill="1" applyBorder="1" applyAlignment="1">
      <alignment horizontal="left" vertical="center" wrapText="1"/>
    </xf>
    <xf numFmtId="206" fontId="105" fillId="85" borderId="35" xfId="0" quotePrefix="1" applyNumberFormat="1" applyFont="1" applyFill="1" applyBorder="1" applyAlignment="1">
      <alignment horizontal="left" vertical="center" wrapText="1"/>
    </xf>
    <xf numFmtId="0" fontId="105" fillId="0" borderId="42" xfId="345" applyFont="1" applyBorder="1" applyAlignment="1">
      <alignment vertical="center" shrinkToFit="1"/>
    </xf>
    <xf numFmtId="0" fontId="105" fillId="0" borderId="42" xfId="345" applyFont="1" applyBorder="1">
      <alignment vertical="center"/>
    </xf>
    <xf numFmtId="206" fontId="105" fillId="84" borderId="42" xfId="0" quotePrefix="1" applyNumberFormat="1" applyFont="1" applyFill="1" applyBorder="1" applyAlignment="1">
      <alignment horizontal="left" vertical="center"/>
    </xf>
    <xf numFmtId="206" fontId="105" fillId="90" borderId="42" xfId="0" quotePrefix="1" applyNumberFormat="1" applyFont="1" applyFill="1" applyBorder="1" applyAlignment="1">
      <alignment horizontal="left" vertical="center"/>
    </xf>
    <xf numFmtId="206" fontId="105" fillId="93" borderId="42" xfId="0" quotePrefix="1" applyNumberFormat="1" applyFont="1" applyFill="1" applyBorder="1" applyAlignment="1">
      <alignment horizontal="left" vertical="center"/>
    </xf>
    <xf numFmtId="206" fontId="105" fillId="85" borderId="42" xfId="0" quotePrefix="1" applyNumberFormat="1" applyFont="1" applyFill="1" applyBorder="1" applyAlignment="1">
      <alignment horizontal="left" vertical="center"/>
    </xf>
    <xf numFmtId="206" fontId="105" fillId="84" borderId="42" xfId="0" quotePrefix="1" applyNumberFormat="1" applyFont="1" applyFill="1" applyBorder="1" applyAlignment="1">
      <alignment horizontal="left" vertical="center" wrapText="1"/>
    </xf>
    <xf numFmtId="206" fontId="105" fillId="90" borderId="42" xfId="0" quotePrefix="1" applyNumberFormat="1" applyFont="1" applyFill="1" applyBorder="1" applyAlignment="1">
      <alignment horizontal="left" vertical="center" wrapText="1"/>
    </xf>
    <xf numFmtId="206" fontId="105" fillId="93" borderId="42" xfId="0" quotePrefix="1" applyNumberFormat="1" applyFont="1" applyFill="1" applyBorder="1" applyAlignment="1">
      <alignment horizontal="left" vertical="center" wrapText="1"/>
    </xf>
    <xf numFmtId="206" fontId="105" fillId="85" borderId="42" xfId="0" quotePrefix="1" applyNumberFormat="1" applyFont="1" applyFill="1" applyBorder="1" applyAlignment="1">
      <alignment horizontal="left" vertical="center" wrapText="1"/>
    </xf>
    <xf numFmtId="0" fontId="105" fillId="0" borderId="22" xfId="345" applyFont="1" applyBorder="1" applyAlignment="1">
      <alignment vertical="center" shrinkToFit="1"/>
    </xf>
    <xf numFmtId="0" fontId="105" fillId="0" borderId="22" xfId="345" applyFont="1" applyBorder="1">
      <alignment vertical="center"/>
    </xf>
    <xf numFmtId="206" fontId="105" fillId="84" borderId="84" xfId="0" quotePrefix="1" applyNumberFormat="1" applyFont="1" applyFill="1" applyBorder="1" applyAlignment="1">
      <alignment horizontal="left" vertical="center" wrapText="1"/>
    </xf>
    <xf numFmtId="206" fontId="105" fillId="90" borderId="84" xfId="0" quotePrefix="1" applyNumberFormat="1" applyFont="1" applyFill="1" applyBorder="1" applyAlignment="1">
      <alignment horizontal="left" vertical="center" wrapText="1"/>
    </xf>
    <xf numFmtId="206" fontId="105" fillId="93" borderId="84" xfId="0" quotePrefix="1" applyNumberFormat="1" applyFont="1" applyFill="1" applyBorder="1" applyAlignment="1">
      <alignment horizontal="left" vertical="center" wrapText="1"/>
    </xf>
    <xf numFmtId="206" fontId="105" fillId="85" borderId="84" xfId="0" quotePrefix="1" applyNumberFormat="1" applyFont="1" applyFill="1" applyBorder="1" applyAlignment="1">
      <alignment horizontal="left" vertical="center" wrapText="1"/>
    </xf>
    <xf numFmtId="0" fontId="198" fillId="80" borderId="129" xfId="345" applyFont="1" applyFill="1" applyBorder="1" applyAlignment="1">
      <alignment horizontal="center" vertical="center"/>
    </xf>
    <xf numFmtId="206" fontId="105" fillId="84" borderId="35" xfId="0" quotePrefix="1" applyNumberFormat="1" applyFont="1" applyFill="1" applyBorder="1" applyAlignment="1">
      <alignment horizontal="left" vertical="center"/>
    </xf>
    <xf numFmtId="206" fontId="105" fillId="90" borderId="35" xfId="0" quotePrefix="1" applyNumberFormat="1" applyFont="1" applyFill="1" applyBorder="1" applyAlignment="1">
      <alignment horizontal="left" vertical="center"/>
    </xf>
    <xf numFmtId="0" fontId="105" fillId="0" borderId="43" xfId="345" applyFont="1" applyBorder="1">
      <alignment vertical="center"/>
    </xf>
    <xf numFmtId="206" fontId="105" fillId="84" borderId="84" xfId="0" quotePrefix="1" applyNumberFormat="1" applyFont="1" applyFill="1" applyBorder="1" applyAlignment="1">
      <alignment horizontal="left" vertical="center"/>
    </xf>
    <xf numFmtId="206" fontId="105" fillId="90" borderId="84" xfId="0" quotePrefix="1" applyNumberFormat="1" applyFont="1" applyFill="1" applyBorder="1" applyAlignment="1">
      <alignment horizontal="left" vertical="center"/>
    </xf>
    <xf numFmtId="204" fontId="106" fillId="74" borderId="124" xfId="415" applyNumberFormat="1" applyFont="1" applyFill="1" applyBorder="1" applyAlignment="1" applyProtection="1">
      <alignment vertical="center"/>
    </xf>
    <xf numFmtId="195" fontId="106" fillId="74" borderId="124" xfId="416" applyNumberFormat="1" applyFont="1" applyFill="1" applyBorder="1" applyAlignment="1" applyProtection="1">
      <alignment vertical="center"/>
    </xf>
    <xf numFmtId="204" fontId="106" fillId="74" borderId="113" xfId="415" applyNumberFormat="1" applyFont="1" applyFill="1" applyBorder="1" applyAlignment="1" applyProtection="1">
      <alignment vertical="center"/>
    </xf>
    <xf numFmtId="195" fontId="106" fillId="74" borderId="113" xfId="416" applyNumberFormat="1" applyFont="1" applyFill="1" applyBorder="1" applyAlignment="1" applyProtection="1">
      <alignment vertical="center"/>
    </xf>
    <xf numFmtId="204" fontId="105" fillId="64" borderId="103" xfId="415" applyNumberFormat="1" applyFont="1" applyFill="1" applyBorder="1" applyAlignment="1" applyProtection="1">
      <alignment vertical="center"/>
      <protection locked="0"/>
    </xf>
    <xf numFmtId="195" fontId="105" fillId="64" borderId="103" xfId="416" applyNumberFormat="1" applyFont="1" applyFill="1" applyBorder="1" applyAlignment="1" applyProtection="1">
      <alignment vertical="center"/>
      <protection locked="0"/>
    </xf>
    <xf numFmtId="204" fontId="106" fillId="74" borderId="103" xfId="415" applyNumberFormat="1" applyFont="1" applyFill="1" applyBorder="1" applyAlignment="1" applyProtection="1">
      <alignment vertical="center"/>
    </xf>
    <xf numFmtId="195" fontId="106" fillId="74" borderId="103" xfId="416" applyNumberFormat="1" applyFont="1" applyFill="1" applyBorder="1" applyAlignment="1" applyProtection="1">
      <alignment vertical="center"/>
    </xf>
    <xf numFmtId="38" fontId="105" fillId="64" borderId="103" xfId="415" applyFont="1" applyFill="1" applyBorder="1" applyAlignment="1">
      <alignment vertical="center"/>
    </xf>
    <xf numFmtId="204" fontId="105" fillId="64" borderId="103" xfId="415" applyNumberFormat="1" applyFont="1" applyFill="1" applyBorder="1" applyAlignment="1">
      <alignment vertical="center"/>
    </xf>
    <xf numFmtId="195" fontId="105" fillId="64" borderId="103" xfId="416" applyNumberFormat="1" applyFont="1" applyFill="1" applyBorder="1" applyAlignment="1">
      <alignment vertical="center"/>
    </xf>
    <xf numFmtId="204" fontId="105" fillId="64" borderId="124" xfId="415" applyNumberFormat="1" applyFont="1" applyFill="1" applyBorder="1">
      <alignment vertical="center"/>
    </xf>
    <xf numFmtId="195" fontId="105" fillId="64" borderId="124" xfId="416" applyNumberFormat="1" applyFont="1" applyFill="1" applyBorder="1">
      <alignment vertical="center"/>
    </xf>
    <xf numFmtId="204" fontId="105" fillId="64" borderId="103" xfId="415" applyNumberFormat="1" applyFont="1" applyFill="1" applyBorder="1">
      <alignment vertical="center"/>
    </xf>
    <xf numFmtId="195" fontId="105" fillId="64" borderId="103" xfId="416" applyNumberFormat="1" applyFont="1" applyFill="1" applyBorder="1">
      <alignment vertical="center"/>
    </xf>
    <xf numFmtId="204" fontId="105" fillId="64" borderId="124" xfId="415" applyNumberFormat="1" applyFont="1" applyFill="1" applyBorder="1" applyAlignment="1">
      <alignment horizontal="right" vertical="center"/>
    </xf>
    <xf numFmtId="195" fontId="105" fillId="64" borderId="124" xfId="416" applyNumberFormat="1" applyFont="1" applyFill="1" applyBorder="1" applyAlignment="1">
      <alignment horizontal="right" vertical="center"/>
    </xf>
    <xf numFmtId="204" fontId="105" fillId="0" borderId="103" xfId="415" applyNumberFormat="1" applyFont="1" applyFill="1" applyBorder="1" applyAlignment="1">
      <alignment horizontal="right" vertical="center"/>
    </xf>
    <xf numFmtId="195" fontId="105" fillId="0" borderId="103" xfId="416" applyNumberFormat="1" applyFont="1" applyFill="1" applyBorder="1" applyAlignment="1">
      <alignment horizontal="right" vertical="center"/>
    </xf>
    <xf numFmtId="38" fontId="105" fillId="64" borderId="113" xfId="415" applyFont="1" applyFill="1" applyBorder="1" applyAlignment="1">
      <alignment horizontal="right" vertical="center"/>
    </xf>
    <xf numFmtId="204" fontId="105" fillId="64" borderId="113" xfId="415" applyNumberFormat="1" applyFont="1" applyFill="1" applyBorder="1" applyAlignment="1">
      <alignment horizontal="right" vertical="center"/>
    </xf>
    <xf numFmtId="195" fontId="105" fillId="64" borderId="113" xfId="416" applyNumberFormat="1" applyFont="1" applyFill="1" applyBorder="1" applyAlignment="1">
      <alignment horizontal="right" vertical="center"/>
    </xf>
    <xf numFmtId="0" fontId="107" fillId="82" borderId="114" xfId="345" applyFont="1" applyFill="1" applyBorder="1" applyAlignment="1">
      <alignment horizontal="center" vertical="center"/>
    </xf>
    <xf numFmtId="0" fontId="107" fillId="82" borderId="105" xfId="345" applyFont="1" applyFill="1" applyBorder="1" applyAlignment="1">
      <alignment horizontal="center" vertical="center"/>
    </xf>
    <xf numFmtId="204" fontId="107" fillId="82" borderId="105" xfId="345" applyNumberFormat="1" applyFont="1" applyFill="1" applyBorder="1" applyAlignment="1">
      <alignment horizontal="center" vertical="center"/>
    </xf>
    <xf numFmtId="195" fontId="107" fillId="82" borderId="105" xfId="416" applyNumberFormat="1" applyFont="1" applyFill="1" applyBorder="1" applyAlignment="1">
      <alignment horizontal="center" vertical="center"/>
    </xf>
    <xf numFmtId="195" fontId="107" fillId="82" borderId="113" xfId="416" applyNumberFormat="1" applyFont="1" applyFill="1" applyBorder="1" applyAlignment="1">
      <alignment horizontal="center" vertical="center"/>
    </xf>
    <xf numFmtId="204" fontId="106" fillId="91" borderId="103" xfId="415" applyNumberFormat="1" applyFont="1" applyFill="1" applyBorder="1" applyAlignment="1">
      <alignment horizontal="right" vertical="center"/>
    </xf>
    <xf numFmtId="195" fontId="106" fillId="91" borderId="103" xfId="416" applyNumberFormat="1" applyFont="1" applyFill="1" applyBorder="1" applyAlignment="1">
      <alignment horizontal="right" vertical="center"/>
    </xf>
    <xf numFmtId="38" fontId="105" fillId="0" borderId="29" xfId="415" applyFont="1" applyFill="1" applyBorder="1" applyAlignment="1" applyProtection="1">
      <alignment vertical="center"/>
    </xf>
    <xf numFmtId="204" fontId="105" fillId="0" borderId="29" xfId="415" applyNumberFormat="1" applyFont="1" applyFill="1" applyBorder="1" applyAlignment="1" applyProtection="1">
      <alignment vertical="center"/>
    </xf>
    <xf numFmtId="195" fontId="105" fillId="0" borderId="29" xfId="416" applyNumberFormat="1" applyFont="1" applyFill="1" applyBorder="1" applyAlignment="1" applyProtection="1">
      <alignment vertical="center"/>
    </xf>
    <xf numFmtId="204" fontId="106" fillId="91" borderId="113" xfId="415" applyNumberFormat="1" applyFont="1" applyFill="1" applyBorder="1" applyAlignment="1" applyProtection="1">
      <alignment vertical="center"/>
    </xf>
    <xf numFmtId="195" fontId="106" fillId="91" borderId="113" xfId="416" applyNumberFormat="1" applyFont="1" applyFill="1" applyBorder="1" applyAlignment="1" applyProtection="1">
      <alignment vertical="center"/>
    </xf>
    <xf numFmtId="195" fontId="159" fillId="0" borderId="124" xfId="416" applyNumberFormat="1" applyFont="1" applyFill="1" applyBorder="1" applyAlignment="1" applyProtection="1">
      <alignment vertical="center"/>
    </xf>
    <xf numFmtId="197" fontId="117" fillId="64" borderId="105" xfId="297" applyNumberFormat="1" applyFont="1" applyFill="1" applyBorder="1" applyAlignment="1">
      <alignment horizontal="right" vertical="center"/>
    </xf>
    <xf numFmtId="197" fontId="117" fillId="0" borderId="113" xfId="297" applyNumberFormat="1" applyFont="1" applyFill="1" applyBorder="1" applyAlignment="1">
      <alignment horizontal="right" vertical="center"/>
    </xf>
    <xf numFmtId="197" fontId="117" fillId="0" borderId="105" xfId="297" applyNumberFormat="1" applyFont="1" applyFill="1" applyBorder="1" applyAlignment="1">
      <alignment horizontal="right" vertical="center"/>
    </xf>
    <xf numFmtId="204" fontId="106" fillId="59" borderId="29" xfId="415" applyNumberFormat="1" applyFont="1" applyFill="1" applyBorder="1" applyAlignment="1" applyProtection="1">
      <alignment vertical="center"/>
    </xf>
    <xf numFmtId="38" fontId="105" fillId="59" borderId="103" xfId="415" applyFont="1" applyFill="1" applyBorder="1" applyAlignment="1" applyProtection="1">
      <alignment vertical="center"/>
    </xf>
    <xf numFmtId="38" fontId="105" fillId="59" borderId="29" xfId="415" applyFont="1" applyFill="1" applyBorder="1" applyAlignment="1" applyProtection="1">
      <alignment vertical="center"/>
    </xf>
    <xf numFmtId="204" fontId="105" fillId="59" borderId="29" xfId="415" applyNumberFormat="1" applyFont="1" applyFill="1" applyBorder="1" applyAlignment="1" applyProtection="1">
      <alignment vertical="center"/>
    </xf>
    <xf numFmtId="204" fontId="105" fillId="64" borderId="29" xfId="415" applyNumberFormat="1" applyFont="1" applyFill="1" applyBorder="1" applyAlignment="1" applyProtection="1">
      <alignment vertical="center"/>
    </xf>
    <xf numFmtId="204" fontId="105" fillId="64" borderId="103" xfId="415" applyNumberFormat="1" applyFont="1" applyFill="1" applyBorder="1" applyAlignment="1">
      <alignment horizontal="right" vertical="center"/>
    </xf>
    <xf numFmtId="195" fontId="105" fillId="64" borderId="103" xfId="416" applyNumberFormat="1" applyFont="1" applyFill="1" applyBorder="1" applyAlignment="1">
      <alignment horizontal="right" vertical="center"/>
    </xf>
    <xf numFmtId="204" fontId="105" fillId="64" borderId="35" xfId="415" applyNumberFormat="1" applyFont="1" applyFill="1" applyBorder="1" applyAlignment="1">
      <alignment horizontal="right" vertical="center"/>
    </xf>
    <xf numFmtId="195" fontId="105" fillId="64" borderId="35" xfId="416" applyNumberFormat="1" applyFont="1" applyFill="1" applyBorder="1" applyAlignment="1">
      <alignment horizontal="right" vertical="center"/>
    </xf>
    <xf numFmtId="38" fontId="105" fillId="85" borderId="25" xfId="415" applyFont="1" applyFill="1" applyBorder="1" applyAlignment="1">
      <alignment horizontal="right" vertical="center"/>
    </xf>
    <xf numFmtId="204" fontId="105" fillId="85" borderId="25" xfId="415" applyNumberFormat="1" applyFont="1" applyFill="1" applyBorder="1" applyAlignment="1">
      <alignment horizontal="right" vertical="center"/>
    </xf>
    <xf numFmtId="195" fontId="105" fillId="85" borderId="25" xfId="416" applyNumberFormat="1" applyFont="1" applyFill="1" applyBorder="1" applyAlignment="1">
      <alignment horizontal="right" vertical="center"/>
    </xf>
    <xf numFmtId="38" fontId="105" fillId="85" borderId="35" xfId="415" applyFont="1" applyFill="1" applyBorder="1" applyAlignment="1">
      <alignment horizontal="right" vertical="center"/>
    </xf>
    <xf numFmtId="204" fontId="105" fillId="85" borderId="35" xfId="415" applyNumberFormat="1" applyFont="1" applyFill="1" applyBorder="1" applyAlignment="1">
      <alignment horizontal="right" vertical="center"/>
    </xf>
    <xf numFmtId="195" fontId="105" fillId="85" borderId="35" xfId="416" applyNumberFormat="1" applyFont="1" applyFill="1" applyBorder="1" applyAlignment="1">
      <alignment horizontal="right" vertical="center"/>
    </xf>
    <xf numFmtId="38" fontId="113" fillId="85" borderId="25" xfId="415" applyFont="1" applyFill="1" applyBorder="1" applyAlignment="1">
      <alignment horizontal="right" vertical="center"/>
    </xf>
    <xf numFmtId="38" fontId="113" fillId="85" borderId="22" xfId="415" applyFont="1" applyFill="1" applyBorder="1" applyAlignment="1">
      <alignment horizontal="right" vertical="center"/>
    </xf>
    <xf numFmtId="204" fontId="105" fillId="85" borderId="22" xfId="415" applyNumberFormat="1" applyFont="1" applyFill="1" applyBorder="1" applyAlignment="1">
      <alignment horizontal="right" vertical="center"/>
    </xf>
    <xf numFmtId="195" fontId="105" fillId="85" borderId="22" xfId="416" applyNumberFormat="1" applyFont="1" applyFill="1" applyBorder="1" applyAlignment="1">
      <alignment horizontal="right" vertical="center"/>
    </xf>
    <xf numFmtId="204" fontId="106" fillId="49" borderId="29" xfId="415" applyNumberFormat="1" applyFont="1" applyFill="1" applyBorder="1" applyAlignment="1" applyProtection="1">
      <alignment vertical="center"/>
    </xf>
    <xf numFmtId="204" fontId="106" fillId="81" borderId="29" xfId="415" applyNumberFormat="1" applyFont="1" applyFill="1" applyBorder="1" applyAlignment="1" applyProtection="1">
      <alignment vertical="center"/>
    </xf>
    <xf numFmtId="204" fontId="106" fillId="66" borderId="29" xfId="415" applyNumberFormat="1" applyFont="1" applyFill="1" applyBorder="1" applyAlignment="1" applyProtection="1">
      <alignment vertical="center"/>
    </xf>
    <xf numFmtId="204" fontId="106" fillId="69" borderId="29" xfId="415" applyNumberFormat="1" applyFont="1" applyFill="1" applyBorder="1" applyAlignment="1"/>
    <xf numFmtId="38" fontId="202" fillId="69" borderId="29" xfId="415" applyFont="1" applyFill="1" applyBorder="1" applyAlignment="1"/>
    <xf numFmtId="204" fontId="106" fillId="69" borderId="29" xfId="415" applyNumberFormat="1" applyFont="1" applyFill="1" applyBorder="1" applyAlignment="1" applyProtection="1">
      <alignment vertical="center"/>
    </xf>
    <xf numFmtId="38" fontId="202" fillId="69" borderId="29" xfId="415" applyFont="1" applyFill="1" applyBorder="1" applyAlignment="1" applyProtection="1">
      <alignment vertical="center"/>
    </xf>
    <xf numFmtId="197" fontId="117" fillId="64" borderId="113" xfId="297" applyNumberFormat="1" applyFont="1" applyFill="1" applyBorder="1" applyAlignment="1">
      <alignment horizontal="right" vertical="center"/>
    </xf>
    <xf numFmtId="38" fontId="105" fillId="64" borderId="124" xfId="415" applyFont="1" applyFill="1" applyBorder="1" applyAlignment="1" applyProtection="1">
      <alignment vertical="center"/>
    </xf>
    <xf numFmtId="204" fontId="105" fillId="64" borderId="124" xfId="415" applyNumberFormat="1" applyFont="1" applyFill="1" applyBorder="1" applyAlignment="1" applyProtection="1">
      <alignment vertical="center"/>
    </xf>
    <xf numFmtId="195" fontId="105" fillId="64" borderId="124" xfId="416" applyNumberFormat="1" applyFont="1" applyFill="1" applyBorder="1" applyAlignment="1" applyProtection="1">
      <alignment vertical="center"/>
    </xf>
    <xf numFmtId="204" fontId="105" fillId="64" borderId="103" xfId="415" applyNumberFormat="1" applyFont="1" applyFill="1" applyBorder="1" applyAlignment="1" applyProtection="1">
      <alignment vertical="center"/>
    </xf>
    <xf numFmtId="195" fontId="105" fillId="64" borderId="103" xfId="416" applyNumberFormat="1" applyFont="1" applyFill="1" applyBorder="1" applyAlignment="1" applyProtection="1">
      <alignment vertical="center"/>
    </xf>
    <xf numFmtId="204" fontId="105" fillId="70" borderId="103" xfId="415" applyNumberFormat="1" applyFont="1" applyFill="1" applyBorder="1" applyAlignment="1" applyProtection="1">
      <alignment vertical="center"/>
    </xf>
    <xf numFmtId="195" fontId="105" fillId="70" borderId="103" xfId="416" applyNumberFormat="1" applyFont="1" applyFill="1" applyBorder="1" applyAlignment="1" applyProtection="1">
      <alignment vertical="center"/>
    </xf>
    <xf numFmtId="38" fontId="105" fillId="0" borderId="124" xfId="415" applyFont="1" applyFill="1" applyBorder="1">
      <alignment vertical="center"/>
    </xf>
    <xf numFmtId="204" fontId="105" fillId="0" borderId="124" xfId="415" applyNumberFormat="1" applyFont="1" applyFill="1" applyBorder="1">
      <alignment vertical="center"/>
    </xf>
    <xf numFmtId="195" fontId="105" fillId="0" borderId="124" xfId="416" applyNumberFormat="1" applyFont="1" applyFill="1" applyBorder="1">
      <alignment vertical="center"/>
    </xf>
    <xf numFmtId="204" fontId="106" fillId="70" borderId="29" xfId="415" applyNumberFormat="1" applyFont="1" applyFill="1" applyBorder="1">
      <alignment vertical="center"/>
    </xf>
    <xf numFmtId="204" fontId="105" fillId="67" borderId="103" xfId="415" applyNumberFormat="1" applyFont="1" applyFill="1" applyBorder="1">
      <alignment vertical="center"/>
    </xf>
    <xf numFmtId="195" fontId="105" fillId="67" borderId="103" xfId="416" applyNumberFormat="1" applyFont="1" applyFill="1" applyBorder="1">
      <alignment vertical="center"/>
    </xf>
    <xf numFmtId="204" fontId="105" fillId="72" borderId="103" xfId="415" applyNumberFormat="1" applyFont="1" applyFill="1" applyBorder="1">
      <alignment vertical="center"/>
    </xf>
    <xf numFmtId="195" fontId="105" fillId="72" borderId="103" xfId="416" applyNumberFormat="1" applyFont="1" applyFill="1" applyBorder="1">
      <alignment vertical="center"/>
    </xf>
    <xf numFmtId="204" fontId="105" fillId="81" borderId="103" xfId="415" applyNumberFormat="1" applyFont="1" applyFill="1" applyBorder="1" applyAlignment="1" applyProtection="1">
      <alignment vertical="center"/>
    </xf>
    <xf numFmtId="195" fontId="105" fillId="81" borderId="103" xfId="416" applyNumberFormat="1" applyFont="1" applyFill="1" applyBorder="1" applyAlignment="1" applyProtection="1">
      <alignment vertical="center"/>
    </xf>
    <xf numFmtId="38" fontId="202" fillId="69" borderId="103" xfId="415" applyFont="1" applyFill="1" applyBorder="1" applyAlignment="1"/>
    <xf numFmtId="38" fontId="113" fillId="73" borderId="25" xfId="415" applyFont="1" applyFill="1" applyBorder="1">
      <alignment vertical="center"/>
    </xf>
    <xf numFmtId="38" fontId="105" fillId="72" borderId="29" xfId="415" applyFont="1" applyFill="1" applyBorder="1">
      <alignment vertical="center"/>
    </xf>
    <xf numFmtId="204" fontId="105" fillId="72" borderId="29" xfId="415" applyNumberFormat="1" applyFont="1" applyFill="1" applyBorder="1">
      <alignment vertical="center"/>
    </xf>
    <xf numFmtId="38" fontId="113" fillId="72" borderId="103" xfId="415" applyFont="1" applyFill="1" applyBorder="1">
      <alignment vertical="center"/>
    </xf>
    <xf numFmtId="204" fontId="106" fillId="0" borderId="124" xfId="415" applyNumberFormat="1" applyFont="1" applyFill="1" applyBorder="1" applyAlignment="1"/>
    <xf numFmtId="195" fontId="106" fillId="0" borderId="124" xfId="416" applyNumberFormat="1" applyFont="1" applyFill="1" applyBorder="1" applyAlignment="1"/>
    <xf numFmtId="38" fontId="106" fillId="70" borderId="103" xfId="415" applyFont="1" applyFill="1" applyBorder="1" applyAlignment="1"/>
    <xf numFmtId="204" fontId="106" fillId="70" borderId="103" xfId="415" applyNumberFormat="1" applyFont="1" applyFill="1" applyBorder="1" applyAlignment="1"/>
    <xf numFmtId="195" fontId="106" fillId="70" borderId="103" xfId="416" applyNumberFormat="1" applyFont="1" applyFill="1" applyBorder="1" applyAlignment="1"/>
    <xf numFmtId="204" fontId="106" fillId="67" borderId="103" xfId="415" applyNumberFormat="1" applyFont="1" applyFill="1" applyBorder="1" applyAlignment="1"/>
    <xf numFmtId="195" fontId="106" fillId="67" borderId="103" xfId="416" applyNumberFormat="1" applyFont="1" applyFill="1" applyBorder="1" applyAlignment="1"/>
    <xf numFmtId="204" fontId="106" fillId="81" borderId="103" xfId="415" applyNumberFormat="1" applyFont="1" applyFill="1" applyBorder="1" applyAlignment="1"/>
    <xf numFmtId="195" fontId="106" fillId="81" borderId="103" xfId="416" applyNumberFormat="1" applyFont="1" applyFill="1" applyBorder="1" applyAlignment="1"/>
    <xf numFmtId="204" fontId="106" fillId="66" borderId="103" xfId="415" applyNumberFormat="1" applyFont="1" applyFill="1" applyBorder="1" applyAlignment="1"/>
    <xf numFmtId="195" fontId="106" fillId="66" borderId="103" xfId="416" applyNumberFormat="1" applyFont="1" applyFill="1" applyBorder="1" applyAlignment="1"/>
    <xf numFmtId="204" fontId="106" fillId="79" borderId="103" xfId="415" applyNumberFormat="1" applyFont="1" applyFill="1" applyBorder="1" applyAlignment="1"/>
    <xf numFmtId="195" fontId="106" fillId="79" borderId="103" xfId="416" applyNumberFormat="1" applyFont="1" applyFill="1" applyBorder="1" applyAlignment="1"/>
    <xf numFmtId="204" fontId="106" fillId="55" borderId="29" xfId="415" applyNumberFormat="1" applyFont="1" applyFill="1" applyBorder="1" applyAlignment="1" applyProtection="1">
      <alignment vertical="center"/>
    </xf>
    <xf numFmtId="204" fontId="105" fillId="64" borderId="124" xfId="415" applyNumberFormat="1" applyFont="1" applyFill="1" applyBorder="1" applyAlignment="1" applyProtection="1">
      <alignment horizontal="right" vertical="center"/>
    </xf>
    <xf numFmtId="195" fontId="105" fillId="64" borderId="124" xfId="416" applyNumberFormat="1" applyFont="1" applyFill="1" applyBorder="1" applyAlignment="1" applyProtection="1">
      <alignment horizontal="right" vertical="center"/>
    </xf>
    <xf numFmtId="204" fontId="105" fillId="67" borderId="103" xfId="415" applyNumberFormat="1" applyFont="1" applyFill="1" applyBorder="1" applyAlignment="1" applyProtection="1">
      <alignment vertical="center"/>
    </xf>
    <xf numFmtId="195" fontId="105" fillId="67" borderId="103" xfId="416" applyNumberFormat="1" applyFont="1" applyFill="1" applyBorder="1" applyAlignment="1" applyProtection="1">
      <alignment vertical="center"/>
    </xf>
    <xf numFmtId="204" fontId="105" fillId="66" borderId="103" xfId="415" applyNumberFormat="1" applyFont="1" applyFill="1" applyBorder="1" applyAlignment="1" applyProtection="1">
      <alignment vertical="center"/>
    </xf>
    <xf numFmtId="195" fontId="105" fillId="66" borderId="103" xfId="416" applyNumberFormat="1" applyFont="1" applyFill="1" applyBorder="1" applyAlignment="1" applyProtection="1">
      <alignment vertical="center"/>
    </xf>
    <xf numFmtId="204" fontId="105" fillId="69" borderId="103" xfId="415" applyNumberFormat="1" applyFont="1" applyFill="1" applyBorder="1" applyAlignment="1"/>
    <xf numFmtId="195" fontId="105" fillId="69" borderId="103" xfId="416" applyNumberFormat="1" applyFont="1" applyFill="1" applyBorder="1" applyAlignment="1"/>
    <xf numFmtId="38" fontId="111" fillId="0" borderId="124" xfId="415" applyFont="1" applyBorder="1">
      <alignment vertical="center"/>
    </xf>
    <xf numFmtId="204" fontId="111" fillId="0" borderId="124" xfId="415" applyNumberFormat="1" applyFont="1" applyBorder="1">
      <alignment vertical="center"/>
    </xf>
    <xf numFmtId="195" fontId="111" fillId="0" borderId="124" xfId="416" applyNumberFormat="1" applyFont="1" applyBorder="1">
      <alignment vertical="center"/>
    </xf>
    <xf numFmtId="204" fontId="111" fillId="0" borderId="124" xfId="0" applyNumberFormat="1" applyFont="1" applyBorder="1">
      <alignment vertical="center"/>
    </xf>
    <xf numFmtId="204" fontId="187" fillId="0" borderId="103" xfId="415" applyNumberFormat="1" applyFont="1" applyFill="1" applyBorder="1" applyAlignment="1" applyProtection="1">
      <alignment vertical="center"/>
    </xf>
    <xf numFmtId="195" fontId="187" fillId="0" borderId="103" xfId="416" applyNumberFormat="1" applyFont="1" applyFill="1" applyBorder="1" applyAlignment="1" applyProtection="1">
      <alignment vertical="center"/>
    </xf>
    <xf numFmtId="38" fontId="105" fillId="71" borderId="25" xfId="415" applyFont="1" applyFill="1" applyBorder="1" applyAlignment="1">
      <alignment vertical="center"/>
    </xf>
    <xf numFmtId="38" fontId="105" fillId="71" borderId="32" xfId="415" applyFont="1" applyFill="1" applyBorder="1" applyAlignment="1">
      <alignment vertical="center"/>
    </xf>
    <xf numFmtId="38" fontId="105" fillId="71" borderId="124" xfId="415" applyFont="1" applyFill="1" applyBorder="1" applyAlignment="1">
      <alignment vertical="center"/>
    </xf>
    <xf numFmtId="38" fontId="105" fillId="71" borderId="113" xfId="415" applyFont="1" applyFill="1" applyBorder="1" applyAlignment="1">
      <alignment vertical="center"/>
    </xf>
    <xf numFmtId="38" fontId="105" fillId="71" borderId="22" xfId="415" applyFont="1" applyFill="1" applyBorder="1" applyAlignment="1">
      <alignment vertical="center"/>
    </xf>
    <xf numFmtId="38" fontId="105" fillId="71" borderId="31" xfId="415" applyFont="1" applyFill="1" applyBorder="1" applyAlignment="1">
      <alignment vertical="center"/>
    </xf>
    <xf numFmtId="170" fontId="105" fillId="75" borderId="124" xfId="420" applyFont="1" applyFill="1" applyBorder="1" applyAlignment="1" applyProtection="1">
      <alignment horizontal="centerContinuous" vertical="center"/>
      <protection locked="0"/>
    </xf>
    <xf numFmtId="0" fontId="110" fillId="65" borderId="114" xfId="345" applyFont="1" applyFill="1" applyBorder="1">
      <alignment vertical="center"/>
    </xf>
    <xf numFmtId="0" fontId="110" fillId="65" borderId="105" xfId="345" applyFont="1" applyFill="1" applyBorder="1">
      <alignment vertical="center"/>
    </xf>
    <xf numFmtId="0" fontId="110" fillId="65" borderId="113" xfId="345" applyFont="1" applyFill="1" applyBorder="1">
      <alignment vertical="center"/>
    </xf>
    <xf numFmtId="170" fontId="105" fillId="65" borderId="124" xfId="420" applyFont="1" applyFill="1" applyBorder="1" applyAlignment="1">
      <alignment horizontal="centerContinuous" vertical="center"/>
    </xf>
    <xf numFmtId="170" fontId="105" fillId="71" borderId="124" xfId="420" applyFont="1" applyFill="1" applyBorder="1" applyAlignment="1">
      <alignment horizontal="center" vertical="center"/>
    </xf>
    <xf numFmtId="197" fontId="209" fillId="64" borderId="0" xfId="345" applyNumberFormat="1" applyFont="1" applyFill="1">
      <alignment vertical="center"/>
    </xf>
    <xf numFmtId="0" fontId="105" fillId="64" borderId="113" xfId="345" applyFont="1" applyFill="1" applyBorder="1" applyAlignment="1">
      <alignment horizontal="center" vertical="center"/>
    </xf>
    <xf numFmtId="0" fontId="105" fillId="64" borderId="124" xfId="345" applyFont="1" applyFill="1" applyBorder="1" applyAlignment="1">
      <alignment horizontal="center" vertical="center"/>
    </xf>
    <xf numFmtId="38" fontId="106" fillId="74" borderId="114" xfId="415" applyFont="1" applyFill="1" applyBorder="1" applyAlignment="1" applyProtection="1">
      <alignment vertical="center"/>
    </xf>
    <xf numFmtId="38" fontId="106" fillId="74" borderId="105" xfId="415" applyFont="1" applyFill="1" applyBorder="1" applyAlignment="1" applyProtection="1">
      <alignment vertical="center"/>
    </xf>
    <xf numFmtId="38" fontId="105" fillId="74" borderId="124" xfId="415" applyFont="1" applyFill="1" applyBorder="1" applyAlignment="1" applyProtection="1">
      <alignment vertical="center"/>
    </xf>
    <xf numFmtId="38" fontId="105" fillId="74" borderId="114" xfId="415" applyFont="1" applyFill="1" applyBorder="1" applyAlignment="1" applyProtection="1">
      <alignment vertical="center"/>
    </xf>
    <xf numFmtId="38" fontId="105" fillId="64" borderId="29" xfId="415" applyFont="1" applyFill="1" applyBorder="1" applyAlignment="1" applyProtection="1">
      <alignment vertical="center"/>
      <protection locked="0"/>
    </xf>
    <xf numFmtId="38" fontId="105" fillId="64" borderId="29" xfId="415" applyFont="1" applyFill="1" applyBorder="1" applyAlignment="1">
      <alignment vertical="center"/>
    </xf>
    <xf numFmtId="0" fontId="7" fillId="0" borderId="114" xfId="0" applyFont="1" applyBorder="1" applyAlignment="1"/>
    <xf numFmtId="0" fontId="106" fillId="64" borderId="105" xfId="345" applyFont="1" applyFill="1" applyBorder="1">
      <alignment vertical="center"/>
    </xf>
    <xf numFmtId="38" fontId="105" fillId="64" borderId="113" xfId="415" applyFont="1" applyFill="1" applyBorder="1">
      <alignment vertical="center"/>
    </xf>
    <xf numFmtId="38" fontId="105" fillId="64" borderId="29" xfId="415" applyFont="1" applyFill="1" applyBorder="1">
      <alignment vertical="center"/>
    </xf>
    <xf numFmtId="198" fontId="105" fillId="64" borderId="114" xfId="349" applyNumberFormat="1" applyFont="1" applyFill="1" applyBorder="1" applyAlignment="1">
      <alignment vertical="center"/>
    </xf>
    <xf numFmtId="198" fontId="105" fillId="64" borderId="114" xfId="418" applyNumberFormat="1" applyFont="1" applyFill="1" applyBorder="1" applyAlignment="1">
      <alignment vertical="center"/>
    </xf>
    <xf numFmtId="40" fontId="105" fillId="64" borderId="114" xfId="414" applyFont="1" applyFill="1" applyBorder="1" applyAlignment="1" applyProtection="1">
      <alignment horizontal="left"/>
    </xf>
    <xf numFmtId="40" fontId="105" fillId="64" borderId="105" xfId="414" applyFont="1" applyFill="1" applyBorder="1" applyAlignment="1" applyProtection="1">
      <alignment horizontal="distributed"/>
    </xf>
    <xf numFmtId="38" fontId="105" fillId="0" borderId="29" xfId="415" applyFont="1" applyFill="1" applyBorder="1" applyAlignment="1">
      <alignment horizontal="right" vertical="center"/>
    </xf>
    <xf numFmtId="198" fontId="105" fillId="64" borderId="105" xfId="417" applyNumberFormat="1" applyFill="1" applyBorder="1" applyAlignment="1">
      <alignment vertical="center"/>
    </xf>
    <xf numFmtId="198" fontId="106" fillId="64" borderId="114" xfId="349" applyNumberFormat="1" applyFont="1" applyFill="1" applyBorder="1" applyAlignment="1">
      <alignment vertical="center"/>
    </xf>
    <xf numFmtId="198" fontId="105" fillId="64" borderId="105" xfId="349" applyNumberFormat="1" applyFont="1" applyFill="1" applyBorder="1" applyAlignment="1">
      <alignment vertical="center"/>
    </xf>
    <xf numFmtId="198" fontId="106" fillId="64" borderId="105" xfId="349" applyNumberFormat="1" applyFont="1" applyFill="1" applyBorder="1" applyAlignment="1">
      <alignment vertical="center"/>
    </xf>
    <xf numFmtId="198" fontId="105" fillId="64" borderId="113" xfId="349" applyNumberFormat="1" applyFont="1" applyFill="1" applyBorder="1" applyAlignment="1">
      <alignment vertical="center"/>
    </xf>
    <xf numFmtId="198" fontId="106" fillId="91" borderId="26" xfId="349" applyNumberFormat="1" applyFont="1" applyFill="1" applyBorder="1" applyAlignment="1">
      <alignment vertical="center"/>
    </xf>
    <xf numFmtId="198" fontId="106" fillId="91" borderId="29" xfId="349" applyNumberFormat="1" applyFont="1" applyFill="1" applyBorder="1" applyAlignment="1">
      <alignment vertical="center"/>
    </xf>
    <xf numFmtId="198" fontId="106" fillId="91" borderId="114" xfId="349" applyNumberFormat="1" applyFont="1" applyFill="1" applyBorder="1" applyAlignment="1">
      <alignment vertical="center"/>
    </xf>
    <xf numFmtId="198" fontId="105" fillId="91" borderId="105" xfId="349" applyNumberFormat="1" applyFont="1" applyFill="1" applyBorder="1" applyAlignment="1">
      <alignment vertical="center"/>
    </xf>
    <xf numFmtId="198" fontId="106" fillId="91" borderId="105" xfId="349" applyNumberFormat="1" applyFont="1" applyFill="1" applyBorder="1" applyAlignment="1">
      <alignment vertical="center"/>
    </xf>
    <xf numFmtId="38" fontId="105" fillId="64" borderId="29" xfId="415" applyFont="1" applyFill="1" applyBorder="1" applyAlignment="1">
      <alignment horizontal="right" vertical="center"/>
    </xf>
    <xf numFmtId="38" fontId="105" fillId="65" borderId="29" xfId="415" applyFont="1" applyFill="1" applyBorder="1" applyAlignment="1" applyProtection="1">
      <alignment vertical="center"/>
    </xf>
    <xf numFmtId="198" fontId="105" fillId="70" borderId="26" xfId="349" applyNumberFormat="1" applyFont="1" applyFill="1" applyBorder="1" applyAlignment="1">
      <alignment vertical="center"/>
    </xf>
    <xf numFmtId="198" fontId="147" fillId="0" borderId="26" xfId="349" applyNumberFormat="1" applyFont="1" applyBorder="1" applyAlignment="1">
      <alignment vertical="center"/>
    </xf>
    <xf numFmtId="195" fontId="159" fillId="0" borderId="29" xfId="416" applyNumberFormat="1" applyFont="1" applyFill="1" applyBorder="1" applyAlignment="1" applyProtection="1">
      <alignment vertical="center"/>
    </xf>
    <xf numFmtId="198" fontId="106" fillId="69" borderId="26" xfId="349" applyNumberFormat="1" applyFont="1" applyFill="1" applyBorder="1" applyAlignment="1">
      <alignment vertical="center"/>
    </xf>
    <xf numFmtId="0" fontId="106" fillId="0" borderId="114" xfId="345" applyFont="1" applyBorder="1">
      <alignment vertical="center"/>
    </xf>
    <xf numFmtId="0" fontId="106" fillId="0" borderId="105" xfId="345" applyFont="1" applyBorder="1">
      <alignment vertical="center"/>
    </xf>
    <xf numFmtId="38" fontId="106" fillId="0" borderId="113" xfId="415" applyFont="1" applyFill="1" applyBorder="1" applyAlignment="1">
      <alignment horizontal="right" vertical="center"/>
    </xf>
    <xf numFmtId="0" fontId="105" fillId="70" borderId="26" xfId="345" applyFont="1" applyFill="1" applyBorder="1">
      <alignment vertical="center"/>
    </xf>
    <xf numFmtId="38" fontId="105" fillId="70" borderId="29" xfId="415" applyFont="1" applyFill="1" applyBorder="1" applyAlignment="1">
      <alignment horizontal="right" vertical="center"/>
    </xf>
    <xf numFmtId="0" fontId="105" fillId="67" borderId="26" xfId="349" applyFont="1" applyFill="1" applyBorder="1"/>
    <xf numFmtId="38" fontId="105" fillId="67" borderId="29" xfId="415" applyFont="1" applyFill="1" applyBorder="1" applyAlignment="1">
      <alignment horizontal="right" vertical="center"/>
    </xf>
    <xf numFmtId="0" fontId="105" fillId="81" borderId="26" xfId="349" applyFont="1" applyFill="1" applyBorder="1"/>
    <xf numFmtId="38" fontId="105" fillId="88" borderId="29" xfId="415" applyFont="1" applyFill="1" applyBorder="1" applyAlignment="1">
      <alignment horizontal="right" vertical="center"/>
    </xf>
    <xf numFmtId="0" fontId="105" fillId="66" borderId="26" xfId="349" applyFont="1" applyFill="1" applyBorder="1"/>
    <xf numFmtId="38" fontId="105" fillId="66" borderId="29" xfId="415" applyFont="1" applyFill="1" applyBorder="1" applyAlignment="1">
      <alignment horizontal="right" vertical="center"/>
    </xf>
    <xf numFmtId="0" fontId="105" fillId="79" borderId="26" xfId="349" applyFont="1" applyFill="1" applyBorder="1"/>
    <xf numFmtId="38" fontId="105" fillId="79" borderId="29" xfId="415" applyFont="1" applyFill="1" applyBorder="1" applyAlignment="1" applyProtection="1">
      <alignment vertical="center"/>
    </xf>
    <xf numFmtId="38" fontId="105" fillId="0" borderId="113" xfId="415" applyFont="1" applyFill="1" applyBorder="1">
      <alignment vertical="center"/>
    </xf>
    <xf numFmtId="0" fontId="114" fillId="64" borderId="113" xfId="345" applyFont="1" applyFill="1" applyBorder="1">
      <alignment vertical="center"/>
    </xf>
    <xf numFmtId="0" fontId="114" fillId="64" borderId="105" xfId="345" applyFont="1" applyFill="1" applyBorder="1">
      <alignment vertical="center"/>
    </xf>
    <xf numFmtId="38" fontId="105" fillId="67" borderId="26" xfId="415" applyFont="1" applyFill="1" applyBorder="1">
      <alignment vertical="center"/>
    </xf>
    <xf numFmtId="38" fontId="105" fillId="67" borderId="29" xfId="415" applyFont="1" applyFill="1" applyBorder="1">
      <alignment vertical="center"/>
    </xf>
    <xf numFmtId="38" fontId="105" fillId="81" borderId="29" xfId="415" applyFont="1" applyFill="1" applyBorder="1" applyAlignment="1" applyProtection="1">
      <alignment vertical="center"/>
    </xf>
    <xf numFmtId="0" fontId="105" fillId="0" borderId="105" xfId="345" applyFont="1" applyBorder="1">
      <alignment vertical="center"/>
    </xf>
    <xf numFmtId="38" fontId="106" fillId="69" borderId="26" xfId="415" applyFont="1" applyFill="1" applyBorder="1" applyAlignment="1"/>
    <xf numFmtId="38" fontId="105" fillId="72" borderId="26" xfId="415" applyFont="1" applyFill="1" applyBorder="1">
      <alignment vertical="center"/>
    </xf>
    <xf numFmtId="0" fontId="106" fillId="0" borderId="114" xfId="349" applyFont="1" applyBorder="1"/>
    <xf numFmtId="0" fontId="105" fillId="0" borderId="105" xfId="349" applyFont="1" applyBorder="1"/>
    <xf numFmtId="0" fontId="106" fillId="0" borderId="105" xfId="349" applyFont="1" applyBorder="1"/>
    <xf numFmtId="38" fontId="106" fillId="0" borderId="113" xfId="415" applyFont="1" applyFill="1" applyBorder="1" applyAlignment="1"/>
    <xf numFmtId="0" fontId="105" fillId="91" borderId="89" xfId="349" applyFont="1" applyFill="1" applyBorder="1"/>
    <xf numFmtId="38" fontId="106" fillId="91" borderId="29" xfId="415" applyFont="1" applyFill="1" applyBorder="1" applyAlignment="1"/>
    <xf numFmtId="38" fontId="106" fillId="67" borderId="29" xfId="415" applyFont="1" applyFill="1" applyBorder="1" applyAlignment="1"/>
    <xf numFmtId="38" fontId="106" fillId="81" borderId="29" xfId="415" applyFont="1" applyFill="1" applyBorder="1" applyAlignment="1"/>
    <xf numFmtId="38" fontId="106" fillId="66" borderId="29" xfId="415" applyFont="1" applyFill="1" applyBorder="1" applyAlignment="1"/>
    <xf numFmtId="38" fontId="106" fillId="79" borderId="29" xfId="415" applyFont="1" applyFill="1" applyBorder="1" applyAlignment="1"/>
    <xf numFmtId="38" fontId="106" fillId="80" borderId="26" xfId="415" applyFont="1" applyFill="1" applyBorder="1" applyAlignment="1" applyProtection="1">
      <alignment vertical="center"/>
    </xf>
    <xf numFmtId="38" fontId="105" fillId="55" borderId="89" xfId="415" applyFont="1" applyFill="1" applyBorder="1" applyAlignment="1" applyProtection="1">
      <alignment vertical="center"/>
    </xf>
    <xf numFmtId="198" fontId="106" fillId="0" borderId="114" xfId="349" applyNumberFormat="1" applyFont="1" applyBorder="1" applyAlignment="1">
      <alignment vertical="center"/>
    </xf>
    <xf numFmtId="38" fontId="105" fillId="64" borderId="113" xfId="415" applyFont="1" applyFill="1" applyBorder="1" applyAlignment="1" applyProtection="1">
      <alignment vertical="center"/>
    </xf>
    <xf numFmtId="197" fontId="106" fillId="64" borderId="26" xfId="349" applyNumberFormat="1" applyFont="1" applyFill="1" applyBorder="1" applyAlignment="1">
      <alignment vertical="center"/>
    </xf>
    <xf numFmtId="38" fontId="106" fillId="59" borderId="26" xfId="415" applyFont="1" applyFill="1" applyBorder="1" applyAlignment="1" applyProtection="1">
      <alignment vertical="center"/>
    </xf>
    <xf numFmtId="38" fontId="105" fillId="59" borderId="89" xfId="415" applyFont="1" applyFill="1" applyBorder="1" applyAlignment="1" applyProtection="1">
      <alignment vertical="center"/>
    </xf>
    <xf numFmtId="38" fontId="106" fillId="49" borderId="26" xfId="415" applyFont="1" applyFill="1" applyBorder="1" applyAlignment="1" applyProtection="1">
      <alignment vertical="center"/>
    </xf>
    <xf numFmtId="38" fontId="105" fillId="49" borderId="89" xfId="415" applyFont="1" applyFill="1" applyBorder="1" applyAlignment="1" applyProtection="1">
      <alignment vertical="center"/>
    </xf>
    <xf numFmtId="38" fontId="106" fillId="81" borderId="26" xfId="415" applyFont="1" applyFill="1" applyBorder="1" applyAlignment="1" applyProtection="1">
      <alignment vertical="center"/>
    </xf>
    <xf numFmtId="38" fontId="105" fillId="81" borderId="89" xfId="415" applyFont="1" applyFill="1" applyBorder="1" applyAlignment="1" applyProtection="1">
      <alignment vertical="center"/>
    </xf>
    <xf numFmtId="38" fontId="106" fillId="79" borderId="26" xfId="415" applyFont="1" applyFill="1" applyBorder="1" applyAlignment="1" applyProtection="1">
      <alignment vertical="center"/>
    </xf>
    <xf numFmtId="38" fontId="105" fillId="69" borderId="89" xfId="415" applyFont="1" applyFill="1" applyBorder="1" applyAlignment="1" applyProtection="1">
      <alignment vertical="center"/>
    </xf>
    <xf numFmtId="38" fontId="105" fillId="64" borderId="113" xfId="415" applyFont="1" applyFill="1" applyBorder="1" applyAlignment="1" applyProtection="1">
      <alignment horizontal="right" vertical="center"/>
    </xf>
    <xf numFmtId="38" fontId="105" fillId="70" borderId="29" xfId="415" applyFont="1" applyFill="1" applyBorder="1" applyAlignment="1" applyProtection="1">
      <alignment vertical="center"/>
    </xf>
    <xf numFmtId="38" fontId="105" fillId="67" borderId="29" xfId="415" applyFont="1" applyFill="1" applyBorder="1" applyAlignment="1" applyProtection="1">
      <alignment vertical="center"/>
    </xf>
    <xf numFmtId="38" fontId="105" fillId="66" borderId="29" xfId="415" applyFont="1" applyFill="1" applyBorder="1" applyAlignment="1" applyProtection="1">
      <alignment vertical="center"/>
    </xf>
    <xf numFmtId="38" fontId="105" fillId="69" borderId="29" xfId="415" applyFont="1" applyFill="1" applyBorder="1" applyAlignment="1"/>
    <xf numFmtId="38" fontId="105" fillId="88" borderId="29" xfId="415" applyFont="1" applyFill="1" applyBorder="1">
      <alignment vertical="center"/>
    </xf>
    <xf numFmtId="198" fontId="106" fillId="0" borderId="26" xfId="483" applyNumberFormat="1" applyFont="1" applyBorder="1" applyAlignment="1">
      <alignment vertical="center"/>
    </xf>
    <xf numFmtId="198" fontId="106" fillId="0" borderId="105" xfId="483" applyNumberFormat="1" applyFont="1" applyBorder="1" applyAlignment="1">
      <alignment vertical="center"/>
    </xf>
    <xf numFmtId="198" fontId="105" fillId="0" borderId="105" xfId="483" applyNumberFormat="1" applyFont="1" applyBorder="1" applyAlignment="1">
      <alignment vertical="center"/>
    </xf>
    <xf numFmtId="38" fontId="111" fillId="0" borderId="113" xfId="415" applyFont="1" applyBorder="1">
      <alignment vertical="center"/>
    </xf>
    <xf numFmtId="198" fontId="106" fillId="0" borderId="114" xfId="0" applyNumberFormat="1" applyFont="1" applyBorder="1">
      <alignment vertical="center"/>
    </xf>
    <xf numFmtId="198" fontId="106" fillId="0" borderId="105" xfId="0" applyNumberFormat="1" applyFont="1" applyBorder="1">
      <alignment vertical="center"/>
    </xf>
    <xf numFmtId="38" fontId="106" fillId="80" borderId="26" xfId="311" applyFont="1" applyFill="1" applyBorder="1" applyAlignment="1">
      <alignment horizontal="left" vertical="center"/>
    </xf>
    <xf numFmtId="38" fontId="106" fillId="80" borderId="29" xfId="311" applyFont="1" applyFill="1" applyBorder="1" applyAlignment="1" applyProtection="1">
      <protection locked="0"/>
    </xf>
    <xf numFmtId="38" fontId="106" fillId="70" borderId="26" xfId="311" applyFont="1" applyFill="1" applyBorder="1" applyAlignment="1"/>
    <xf numFmtId="38" fontId="105" fillId="70" borderId="29" xfId="311" applyFont="1" applyFill="1" applyBorder="1" applyAlignment="1" applyProtection="1">
      <protection locked="0"/>
    </xf>
    <xf numFmtId="38" fontId="106" fillId="70" borderId="29" xfId="311" applyFont="1" applyFill="1" applyBorder="1" applyAlignment="1" applyProtection="1">
      <protection locked="0"/>
    </xf>
    <xf numFmtId="38" fontId="140" fillId="68" borderId="114" xfId="311" applyFont="1" applyFill="1" applyBorder="1" applyAlignment="1"/>
    <xf numFmtId="38" fontId="105" fillId="68" borderId="105" xfId="311" applyFont="1" applyFill="1" applyBorder="1" applyAlignment="1"/>
    <xf numFmtId="38" fontId="105" fillId="68" borderId="105" xfId="311" applyFont="1" applyFill="1" applyBorder="1" applyAlignment="1" applyProtection="1">
      <protection locked="0"/>
    </xf>
    <xf numFmtId="38" fontId="106" fillId="68" borderId="113" xfId="311" applyFont="1" applyFill="1" applyBorder="1" applyAlignment="1" applyProtection="1">
      <protection locked="0"/>
    </xf>
    <xf numFmtId="38" fontId="105" fillId="68" borderId="26" xfId="311" applyFont="1" applyFill="1" applyBorder="1" applyAlignment="1">
      <alignment horizontal="left" vertical="center" indent="1"/>
    </xf>
    <xf numFmtId="38" fontId="105" fillId="68" borderId="113" xfId="311" applyFont="1" applyFill="1" applyBorder="1" applyAlignment="1" applyProtection="1">
      <protection locked="0"/>
    </xf>
    <xf numFmtId="38" fontId="105" fillId="68" borderId="124" xfId="311" applyFont="1" applyFill="1" applyBorder="1" applyAlignment="1" applyProtection="1">
      <protection locked="0"/>
    </xf>
    <xf numFmtId="38" fontId="105" fillId="68" borderId="114" xfId="311" applyFont="1" applyFill="1" applyBorder="1" applyAlignment="1">
      <alignment horizontal="left" indent="1"/>
    </xf>
    <xf numFmtId="38" fontId="106" fillId="64" borderId="114" xfId="311" applyFont="1" applyFill="1" applyBorder="1" applyAlignment="1" applyProtection="1">
      <protection locked="0"/>
    </xf>
    <xf numFmtId="38" fontId="105" fillId="64" borderId="105" xfId="311" applyFont="1" applyFill="1" applyBorder="1" applyAlignment="1" applyProtection="1">
      <protection locked="0"/>
    </xf>
    <xf numFmtId="38" fontId="105" fillId="64" borderId="113" xfId="311" applyFont="1" applyFill="1" applyBorder="1" applyAlignment="1" applyProtection="1">
      <protection locked="0"/>
    </xf>
    <xf numFmtId="38" fontId="105" fillId="0" borderId="113" xfId="311" applyFont="1" applyFill="1" applyBorder="1" applyAlignment="1" applyProtection="1">
      <protection locked="0"/>
    </xf>
    <xf numFmtId="38" fontId="105" fillId="0" borderId="124" xfId="311" applyFont="1" applyFill="1" applyBorder="1" applyAlignment="1" applyProtection="1">
      <protection locked="0"/>
    </xf>
    <xf numFmtId="38" fontId="106" fillId="0" borderId="114" xfId="311" applyFont="1" applyFill="1" applyBorder="1" applyAlignment="1"/>
    <xf numFmtId="38" fontId="105" fillId="0" borderId="105" xfId="311" applyFont="1" applyFill="1" applyBorder="1" applyAlignment="1"/>
    <xf numFmtId="38" fontId="105" fillId="0" borderId="105" xfId="311" applyFont="1" applyFill="1" applyBorder="1" applyAlignment="1" applyProtection="1">
      <protection locked="0"/>
    </xf>
    <xf numFmtId="38" fontId="143" fillId="64" borderId="114" xfId="311" applyFont="1" applyFill="1" applyBorder="1" applyAlignment="1">
      <alignment horizontal="left" vertical="center"/>
    </xf>
    <xf numFmtId="38" fontId="105" fillId="64" borderId="105" xfId="311" applyFont="1" applyFill="1" applyBorder="1" applyAlignment="1"/>
    <xf numFmtId="0" fontId="105" fillId="0" borderId="26" xfId="481" applyFont="1" applyBorder="1" applyAlignment="1">
      <alignment vertical="center"/>
    </xf>
    <xf numFmtId="0" fontId="105" fillId="0" borderId="29" xfId="421" applyFont="1" applyBorder="1"/>
    <xf numFmtId="0" fontId="106" fillId="80" borderId="26" xfId="345" applyFont="1" applyFill="1" applyBorder="1">
      <alignment vertical="center"/>
    </xf>
    <xf numFmtId="0" fontId="162" fillId="64" borderId="26" xfId="421" applyFont="1" applyFill="1" applyBorder="1"/>
    <xf numFmtId="0" fontId="166" fillId="0" borderId="114" xfId="345" applyFont="1" applyBorder="1">
      <alignment vertical="center"/>
    </xf>
    <xf numFmtId="0" fontId="162" fillId="64" borderId="105" xfId="421" applyFont="1" applyFill="1" applyBorder="1"/>
    <xf numFmtId="0" fontId="128" fillId="0" borderId="114" xfId="486" applyFont="1" applyBorder="1" applyAlignment="1">
      <alignment horizontal="center" vertical="center"/>
    </xf>
    <xf numFmtId="0" fontId="105" fillId="0" borderId="105" xfId="421" applyFont="1" applyBorder="1"/>
    <xf numFmtId="0" fontId="128" fillId="0" borderId="105" xfId="486" applyFont="1" applyBorder="1" applyAlignment="1">
      <alignment horizontal="center" vertical="center"/>
    </xf>
    <xf numFmtId="0" fontId="87" fillId="0" borderId="114" xfId="486" applyFont="1" applyBorder="1" applyAlignment="1">
      <alignment horizontal="center" vertical="center"/>
    </xf>
    <xf numFmtId="0" fontId="87" fillId="0" borderId="124" xfId="486" applyFont="1" applyBorder="1" applyAlignment="1">
      <alignment horizontal="center" vertical="center"/>
    </xf>
    <xf numFmtId="0" fontId="87" fillId="0" borderId="113" xfId="486" applyFont="1" applyBorder="1" applyAlignment="1">
      <alignment horizontal="center" vertical="center"/>
    </xf>
    <xf numFmtId="0" fontId="128" fillId="0" borderId="26" xfId="486" applyFont="1" applyBorder="1">
      <alignment vertical="center"/>
    </xf>
    <xf numFmtId="0" fontId="128" fillId="0" borderId="114" xfId="486" applyFont="1" applyBorder="1">
      <alignment vertical="center"/>
    </xf>
    <xf numFmtId="0" fontId="128" fillId="0" borderId="105" xfId="486" applyFont="1" applyBorder="1">
      <alignment vertical="center"/>
    </xf>
    <xf numFmtId="38" fontId="87" fillId="0" borderId="113" xfId="415" applyFont="1" applyFill="1" applyBorder="1">
      <alignment vertical="center"/>
    </xf>
    <xf numFmtId="38" fontId="87" fillId="0" borderId="124" xfId="415" applyFont="1" applyFill="1" applyBorder="1">
      <alignment vertical="center"/>
    </xf>
    <xf numFmtId="38" fontId="87" fillId="0" borderId="114" xfId="415" applyFont="1" applyFill="1" applyBorder="1">
      <alignment vertical="center"/>
    </xf>
    <xf numFmtId="38" fontId="87" fillId="0" borderId="113" xfId="415" applyFont="1" applyBorder="1">
      <alignment vertical="center"/>
    </xf>
    <xf numFmtId="38" fontId="87" fillId="0" borderId="29" xfId="415" applyFont="1" applyFill="1" applyBorder="1">
      <alignment vertical="center"/>
    </xf>
    <xf numFmtId="38" fontId="87" fillId="0" borderId="103" xfId="415" applyFont="1" applyFill="1" applyBorder="1">
      <alignment vertical="center"/>
    </xf>
    <xf numFmtId="38" fontId="87" fillId="0" borderId="26" xfId="415" applyFont="1" applyFill="1" applyBorder="1">
      <alignment vertical="center"/>
    </xf>
    <xf numFmtId="198" fontId="187" fillId="0" borderId="26" xfId="349" applyNumberFormat="1" applyFont="1" applyBorder="1" applyAlignment="1">
      <alignment vertical="center"/>
    </xf>
    <xf numFmtId="38" fontId="187" fillId="0" borderId="124" xfId="415" applyFont="1" applyBorder="1" applyAlignment="1" applyProtection="1">
      <alignment vertical="center"/>
    </xf>
    <xf numFmtId="0" fontId="182" fillId="64" borderId="26" xfId="345" applyFont="1" applyFill="1" applyBorder="1">
      <alignment vertical="center"/>
    </xf>
    <xf numFmtId="198" fontId="187" fillId="0" borderId="103" xfId="349" applyNumberFormat="1" applyFont="1" applyBorder="1" applyAlignment="1">
      <alignment vertical="center"/>
    </xf>
    <xf numFmtId="198" fontId="187" fillId="0" borderId="114" xfId="349" applyNumberFormat="1" applyFont="1" applyBorder="1" applyAlignment="1">
      <alignment vertical="center"/>
    </xf>
    <xf numFmtId="198" fontId="182" fillId="0" borderId="105" xfId="349" applyNumberFormat="1" applyFont="1" applyBorder="1" applyAlignment="1">
      <alignment vertical="center"/>
    </xf>
    <xf numFmtId="198" fontId="187" fillId="0" borderId="105" xfId="349" applyNumberFormat="1" applyFont="1" applyBorder="1" applyAlignment="1">
      <alignment vertical="center"/>
    </xf>
    <xf numFmtId="38" fontId="182" fillId="0" borderId="103" xfId="415" applyFont="1" applyBorder="1" applyAlignment="1" applyProtection="1">
      <alignment vertical="center"/>
    </xf>
    <xf numFmtId="198" fontId="187" fillId="81" borderId="26" xfId="349" applyNumberFormat="1" applyFont="1" applyFill="1" applyBorder="1" applyAlignment="1">
      <alignment vertical="center"/>
    </xf>
    <xf numFmtId="198" fontId="187" fillId="81" borderId="105" xfId="349" applyNumberFormat="1" applyFont="1" applyFill="1" applyBorder="1" applyAlignment="1">
      <alignment vertical="center"/>
    </xf>
    <xf numFmtId="198" fontId="181" fillId="81" borderId="105" xfId="349" applyNumberFormat="1" applyFont="1" applyFill="1" applyBorder="1" applyAlignment="1">
      <alignment vertical="center"/>
    </xf>
    <xf numFmtId="198" fontId="182" fillId="81" borderId="105" xfId="349" applyNumberFormat="1" applyFont="1" applyFill="1" applyBorder="1" applyAlignment="1">
      <alignment vertical="center"/>
    </xf>
    <xf numFmtId="38" fontId="182" fillId="64" borderId="103" xfId="415" applyFont="1" applyFill="1" applyBorder="1" applyAlignment="1">
      <alignment vertical="center"/>
    </xf>
    <xf numFmtId="0" fontId="111" fillId="0" borderId="114" xfId="486" applyFont="1" applyBorder="1">
      <alignment vertical="center"/>
    </xf>
    <xf numFmtId="0" fontId="111" fillId="0" borderId="105" xfId="486" applyFont="1" applyBorder="1">
      <alignment vertical="center"/>
    </xf>
    <xf numFmtId="38" fontId="152" fillId="74" borderId="105" xfId="415" applyFont="1" applyFill="1" applyBorder="1" applyAlignment="1" applyProtection="1">
      <alignment vertical="center"/>
    </xf>
    <xf numFmtId="0" fontId="106" fillId="74" borderId="29" xfId="349" applyFont="1" applyFill="1" applyBorder="1"/>
    <xf numFmtId="0" fontId="106" fillId="0" borderId="26" xfId="349" applyFont="1" applyBorder="1"/>
    <xf numFmtId="0" fontId="106" fillId="0" borderId="113" xfId="349" applyFont="1" applyBorder="1"/>
    <xf numFmtId="38" fontId="105" fillId="0" borderId="113" xfId="415" applyFont="1" applyFill="1" applyBorder="1" applyAlignment="1"/>
    <xf numFmtId="0" fontId="106" fillId="78" borderId="105" xfId="349" applyFont="1" applyFill="1" applyBorder="1"/>
    <xf numFmtId="198" fontId="105" fillId="0" borderId="113" xfId="349" applyNumberFormat="1" applyFont="1" applyBorder="1" applyAlignment="1">
      <alignment vertical="center"/>
    </xf>
    <xf numFmtId="0" fontId="105" fillId="65" borderId="29" xfId="349" applyFont="1" applyFill="1" applyBorder="1" applyAlignment="1">
      <alignment vertical="center"/>
    </xf>
    <xf numFmtId="0" fontId="106" fillId="0" borderId="89" xfId="349" applyFont="1" applyBorder="1" applyAlignment="1">
      <alignment vertical="center"/>
    </xf>
    <xf numFmtId="0" fontId="105" fillId="0" borderId="89" xfId="349" applyFont="1" applyBorder="1" applyAlignment="1">
      <alignment vertical="center"/>
    </xf>
    <xf numFmtId="0" fontId="105" fillId="0" borderId="26" xfId="349" applyFont="1" applyBorder="1"/>
    <xf numFmtId="198" fontId="183" fillId="64" borderId="26" xfId="349" applyNumberFormat="1" applyFont="1" applyFill="1" applyBorder="1" applyAlignment="1">
      <alignment vertical="center"/>
    </xf>
    <xf numFmtId="0" fontId="184" fillId="64" borderId="124" xfId="345" applyFont="1" applyFill="1" applyBorder="1" applyAlignment="1">
      <alignment horizontal="center" vertical="center"/>
    </xf>
    <xf numFmtId="38" fontId="187" fillId="0" borderId="26" xfId="415" applyFont="1" applyFill="1" applyBorder="1" applyAlignment="1" applyProtection="1">
      <alignment vertical="center"/>
    </xf>
    <xf numFmtId="38" fontId="191" fillId="0" borderId="29" xfId="415" applyFont="1" applyFill="1" applyBorder="1" applyAlignment="1" applyProtection="1">
      <alignment vertical="center"/>
    </xf>
    <xf numFmtId="38" fontId="187" fillId="74" borderId="26" xfId="485" applyFont="1" applyFill="1" applyBorder="1" applyAlignment="1" applyProtection="1">
      <alignment vertical="center"/>
    </xf>
    <xf numFmtId="38" fontId="187" fillId="92" borderId="26" xfId="485" applyFont="1" applyFill="1" applyBorder="1" applyAlignment="1" applyProtection="1">
      <alignment vertical="center"/>
    </xf>
    <xf numFmtId="38" fontId="187" fillId="81" borderId="26" xfId="485" applyFont="1" applyFill="1" applyBorder="1" applyAlignment="1" applyProtection="1">
      <alignment vertical="center"/>
    </xf>
    <xf numFmtId="38" fontId="105" fillId="65" borderId="25" xfId="415" applyFont="1" applyFill="1" applyBorder="1" applyAlignment="1">
      <alignment vertical="center"/>
    </xf>
    <xf numFmtId="38" fontId="105" fillId="65" borderId="35" xfId="415" applyFont="1" applyFill="1" applyBorder="1" applyAlignment="1">
      <alignment vertical="center"/>
    </xf>
    <xf numFmtId="38" fontId="105" fillId="65" borderId="22" xfId="415" applyFont="1" applyFill="1" applyBorder="1" applyAlignment="1">
      <alignment vertical="center"/>
    </xf>
    <xf numFmtId="38" fontId="105" fillId="65" borderId="104" xfId="415" applyFont="1" applyFill="1" applyBorder="1" applyAlignment="1">
      <alignment vertical="center"/>
    </xf>
    <xf numFmtId="38" fontId="105" fillId="65" borderId="31" xfId="415" applyFont="1" applyFill="1" applyBorder="1" applyAlignment="1">
      <alignment vertical="center"/>
    </xf>
    <xf numFmtId="38" fontId="105" fillId="65" borderId="32" xfId="415" applyFont="1" applyFill="1" applyBorder="1" applyAlignment="1">
      <alignment vertical="center"/>
    </xf>
    <xf numFmtId="38" fontId="105" fillId="65" borderId="36" xfId="415" applyFont="1" applyFill="1" applyBorder="1" applyAlignment="1">
      <alignment vertical="center"/>
    </xf>
    <xf numFmtId="38" fontId="106" fillId="66" borderId="103" xfId="415" applyFont="1" applyFill="1" applyBorder="1" applyAlignment="1">
      <alignment vertical="center"/>
    </xf>
    <xf numFmtId="38" fontId="106" fillId="66" borderId="104" xfId="415" applyFont="1" applyFill="1" applyBorder="1" applyAlignment="1">
      <alignment vertical="center"/>
    </xf>
    <xf numFmtId="38" fontId="105" fillId="72" borderId="25" xfId="415" applyFont="1" applyFill="1" applyBorder="1" applyAlignment="1">
      <alignment vertical="center"/>
    </xf>
    <xf numFmtId="38" fontId="105" fillId="72" borderId="32" xfId="415" applyFont="1" applyFill="1" applyBorder="1" applyAlignment="1">
      <alignment vertical="center"/>
    </xf>
    <xf numFmtId="38" fontId="105" fillId="0" borderId="25" xfId="415" applyFont="1" applyBorder="1" applyAlignment="1">
      <alignment vertical="center"/>
    </xf>
    <xf numFmtId="38" fontId="105" fillId="0" borderId="32" xfId="415" applyFont="1" applyBorder="1" applyAlignment="1">
      <alignment vertical="center"/>
    </xf>
    <xf numFmtId="0" fontId="122" fillId="64" borderId="89" xfId="345" applyFont="1" applyFill="1" applyBorder="1" applyAlignment="1">
      <alignment horizontal="center" vertical="center"/>
    </xf>
    <xf numFmtId="0" fontId="60" fillId="0" borderId="89" xfId="421" applyBorder="1"/>
    <xf numFmtId="197" fontId="105" fillId="64" borderId="0" xfId="345" applyNumberFormat="1" applyFont="1" applyFill="1" applyAlignment="1">
      <alignment horizontal="centerContinuous" vertical="center"/>
    </xf>
    <xf numFmtId="49" fontId="105" fillId="64" borderId="0" xfId="345" applyNumberFormat="1" applyFont="1" applyFill="1" applyAlignment="1">
      <alignment horizontal="centerContinuous" vertical="center"/>
    </xf>
    <xf numFmtId="197" fontId="242" fillId="64" borderId="0" xfId="345" applyNumberFormat="1" applyFont="1" applyFill="1" applyAlignment="1">
      <alignment horizontal="centerContinuous" vertical="center"/>
    </xf>
    <xf numFmtId="38" fontId="105" fillId="65" borderId="32" xfId="414" applyNumberFormat="1" applyFont="1" applyFill="1" applyBorder="1" applyAlignment="1" applyProtection="1">
      <alignment vertical="center"/>
    </xf>
    <xf numFmtId="38" fontId="106" fillId="0" borderId="113" xfId="415" applyFont="1" applyFill="1" applyBorder="1" applyAlignment="1" applyProtection="1">
      <alignment vertical="center"/>
    </xf>
    <xf numFmtId="38" fontId="105" fillId="88" borderId="29" xfId="415" applyFont="1" applyFill="1" applyBorder="1" applyAlignment="1" applyProtection="1">
      <alignment vertical="center"/>
    </xf>
    <xf numFmtId="38" fontId="105" fillId="67" borderId="89" xfId="415" applyFont="1" applyFill="1" applyBorder="1">
      <alignment vertical="center"/>
    </xf>
    <xf numFmtId="38" fontId="105" fillId="73" borderId="0" xfId="415" applyFont="1" applyFill="1" applyBorder="1">
      <alignment vertical="center"/>
    </xf>
    <xf numFmtId="38" fontId="105" fillId="64" borderId="37" xfId="415" applyFont="1" applyFill="1" applyBorder="1">
      <alignment vertical="center"/>
    </xf>
    <xf numFmtId="38" fontId="105" fillId="65" borderId="48" xfId="415" applyFont="1" applyFill="1" applyBorder="1">
      <alignment vertical="center"/>
    </xf>
    <xf numFmtId="38" fontId="105" fillId="65" borderId="23" xfId="415" applyFont="1" applyFill="1" applyBorder="1">
      <alignment vertical="center"/>
    </xf>
    <xf numFmtId="38" fontId="105" fillId="64" borderId="76" xfId="415" applyFont="1" applyFill="1" applyBorder="1">
      <alignment vertical="center"/>
    </xf>
    <xf numFmtId="38" fontId="105" fillId="64" borderId="45" xfId="415" applyFont="1" applyFill="1" applyBorder="1">
      <alignment vertical="center"/>
    </xf>
    <xf numFmtId="38" fontId="105" fillId="65" borderId="37" xfId="415" applyFont="1" applyFill="1" applyBorder="1">
      <alignment vertical="center"/>
    </xf>
    <xf numFmtId="38" fontId="105" fillId="65" borderId="40" xfId="415" applyFont="1" applyFill="1" applyBorder="1">
      <alignment vertical="center"/>
    </xf>
    <xf numFmtId="38" fontId="105" fillId="65" borderId="0" xfId="415" applyFont="1" applyFill="1" applyBorder="1">
      <alignment vertical="center"/>
    </xf>
    <xf numFmtId="38" fontId="105" fillId="65" borderId="25" xfId="415" applyFont="1" applyFill="1" applyBorder="1" applyProtection="1">
      <alignment vertical="center"/>
      <protection locked="0"/>
    </xf>
    <xf numFmtId="38" fontId="105" fillId="65" borderId="22" xfId="415" applyFont="1" applyFill="1" applyBorder="1" applyProtection="1">
      <alignment vertical="center"/>
      <protection locked="0"/>
    </xf>
    <xf numFmtId="38" fontId="187" fillId="74" borderId="124" xfId="415" applyFont="1" applyFill="1" applyBorder="1" applyAlignment="1" applyProtection="1">
      <alignment vertical="center"/>
    </xf>
    <xf numFmtId="38" fontId="187" fillId="74" borderId="113" xfId="415" applyFont="1" applyFill="1" applyBorder="1" applyAlignment="1" applyProtection="1">
      <alignment vertical="center"/>
    </xf>
    <xf numFmtId="38" fontId="187" fillId="74" borderId="103" xfId="415" applyFont="1" applyFill="1" applyBorder="1" applyAlignment="1" applyProtection="1">
      <alignment vertical="center"/>
    </xf>
    <xf numFmtId="38" fontId="182" fillId="64" borderId="25" xfId="415" applyFont="1" applyFill="1" applyBorder="1" applyAlignment="1" applyProtection="1">
      <alignment vertical="center"/>
      <protection locked="0"/>
    </xf>
    <xf numFmtId="38" fontId="182" fillId="64" borderId="46" xfId="415" applyFont="1" applyFill="1" applyBorder="1" applyAlignment="1" applyProtection="1">
      <alignment vertical="center"/>
      <protection locked="0"/>
    </xf>
    <xf numFmtId="38" fontId="182" fillId="64" borderId="22" xfId="415" applyFont="1" applyFill="1" applyBorder="1" applyAlignment="1">
      <alignment vertical="center"/>
    </xf>
    <xf numFmtId="10" fontId="158" fillId="64" borderId="22" xfId="416" applyNumberFormat="1" applyFont="1" applyFill="1" applyBorder="1" applyAlignment="1" applyProtection="1">
      <alignment vertical="center"/>
    </xf>
    <xf numFmtId="38" fontId="105" fillId="64" borderId="0" xfId="415" applyFont="1" applyFill="1" applyBorder="1">
      <alignment vertical="center"/>
    </xf>
    <xf numFmtId="38" fontId="105" fillId="71" borderId="130" xfId="345" applyNumberFormat="1" applyFont="1" applyFill="1" applyBorder="1">
      <alignment vertical="center"/>
    </xf>
    <xf numFmtId="38" fontId="0" fillId="0" borderId="0" xfId="0" applyNumberFormat="1">
      <alignment vertical="center"/>
    </xf>
    <xf numFmtId="38" fontId="128" fillId="0" borderId="0" xfId="614" applyNumberFormat="1" applyFont="1">
      <alignment vertical="center"/>
    </xf>
    <xf numFmtId="9" fontId="105" fillId="64" borderId="11" xfId="416" applyFont="1" applyFill="1" applyBorder="1" applyAlignment="1">
      <alignment vertical="center"/>
    </xf>
    <xf numFmtId="38" fontId="105" fillId="71" borderId="132" xfId="345" applyNumberFormat="1" applyFont="1" applyFill="1" applyBorder="1">
      <alignment vertical="center"/>
    </xf>
    <xf numFmtId="207" fontId="105" fillId="64" borderId="0" xfId="345" applyNumberFormat="1" applyFont="1" applyFill="1">
      <alignment vertical="center"/>
    </xf>
    <xf numFmtId="38" fontId="105" fillId="64" borderId="103" xfId="414" applyNumberFormat="1" applyFont="1" applyFill="1" applyBorder="1">
      <alignment vertical="center"/>
    </xf>
    <xf numFmtId="38" fontId="105" fillId="64" borderId="103" xfId="414" applyNumberFormat="1" applyFont="1" applyFill="1" applyBorder="1" applyAlignment="1"/>
    <xf numFmtId="38" fontId="105" fillId="71" borderId="46" xfId="414" applyNumberFormat="1" applyFont="1" applyFill="1" applyBorder="1">
      <alignment vertical="center"/>
    </xf>
    <xf numFmtId="38" fontId="105" fillId="71" borderId="46" xfId="414" applyNumberFormat="1" applyFont="1" applyFill="1" applyBorder="1" applyAlignment="1"/>
    <xf numFmtId="38" fontId="105" fillId="71" borderId="133" xfId="345" applyNumberFormat="1" applyFont="1" applyFill="1" applyBorder="1">
      <alignment vertical="center"/>
    </xf>
    <xf numFmtId="201" fontId="105" fillId="64" borderId="25" xfId="415" applyNumberFormat="1" applyFont="1" applyFill="1" applyBorder="1" applyAlignment="1">
      <alignment horizontal="right" vertical="center"/>
    </xf>
    <xf numFmtId="201" fontId="105" fillId="64" borderId="22" xfId="415" applyNumberFormat="1" applyFont="1" applyFill="1" applyBorder="1" applyAlignment="1">
      <alignment horizontal="right" vertical="center"/>
    </xf>
    <xf numFmtId="38" fontId="105" fillId="64" borderId="0" xfId="345" applyNumberFormat="1" applyFont="1" applyFill="1">
      <alignment vertical="center"/>
    </xf>
    <xf numFmtId="208" fontId="0" fillId="0" borderId="124" xfId="0" applyNumberFormat="1" applyBorder="1" applyAlignment="1"/>
    <xf numFmtId="38" fontId="111" fillId="64" borderId="25" xfId="415" applyFont="1" applyFill="1" applyBorder="1" applyAlignment="1" applyProtection="1">
      <alignment vertical="center"/>
      <protection locked="0"/>
    </xf>
    <xf numFmtId="0" fontId="111" fillId="0" borderId="89" xfId="0" applyFont="1" applyBorder="1" applyAlignment="1">
      <alignment vertical="center" wrapText="1"/>
    </xf>
    <xf numFmtId="0" fontId="111" fillId="0" borderId="29" xfId="0" applyFont="1" applyBorder="1" applyAlignment="1">
      <alignment vertical="center" wrapText="1"/>
    </xf>
    <xf numFmtId="0" fontId="178" fillId="0" borderId="0" xfId="0" applyFont="1" applyAlignment="1">
      <alignment horizontal="left" vertical="center" wrapText="1"/>
    </xf>
    <xf numFmtId="0" fontId="111" fillId="0" borderId="0" xfId="0" applyFont="1" applyAlignment="1">
      <alignment horizontal="left" vertical="center" wrapText="1"/>
    </xf>
    <xf numFmtId="198" fontId="105" fillId="72" borderId="114" xfId="349" applyNumberFormat="1" applyFont="1" applyFill="1" applyBorder="1" applyAlignment="1">
      <alignment vertical="center" wrapText="1"/>
    </xf>
    <xf numFmtId="198" fontId="105" fillId="72" borderId="113" xfId="349" applyNumberFormat="1" applyFont="1" applyFill="1" applyBorder="1" applyAlignment="1">
      <alignment vertical="center" wrapText="1"/>
    </xf>
    <xf numFmtId="0" fontId="111" fillId="0" borderId="25" xfId="0" applyFont="1" applyBorder="1" applyAlignment="1">
      <alignment horizontal="left" vertical="center"/>
    </xf>
    <xf numFmtId="0" fontId="111" fillId="0" borderId="22" xfId="0" applyFont="1" applyBorder="1" applyAlignment="1">
      <alignment horizontal="left" vertical="center"/>
    </xf>
    <xf numFmtId="0" fontId="111" fillId="0" borderId="114" xfId="349" applyFont="1" applyBorder="1" applyAlignment="1">
      <alignment horizontal="left" vertical="top"/>
    </xf>
    <xf numFmtId="0" fontId="111" fillId="0" borderId="105" xfId="349" applyFont="1" applyBorder="1" applyAlignment="1">
      <alignment horizontal="left" vertical="top"/>
    </xf>
    <xf numFmtId="0" fontId="111" fillId="0" borderId="113" xfId="349" applyFont="1" applyBorder="1" applyAlignment="1">
      <alignment horizontal="left" vertical="top"/>
    </xf>
    <xf numFmtId="0" fontId="111" fillId="0" borderId="103" xfId="0" applyFont="1" applyBorder="1" applyAlignment="1">
      <alignment horizontal="left" vertical="center" wrapText="1"/>
    </xf>
    <xf numFmtId="0" fontId="111" fillId="0" borderId="22" xfId="0" applyFont="1" applyBorder="1" applyAlignment="1">
      <alignment horizontal="left" vertical="center" wrapText="1"/>
    </xf>
    <xf numFmtId="0" fontId="111" fillId="64" borderId="114" xfId="345" applyFont="1" applyFill="1" applyBorder="1" applyAlignment="1">
      <alignment horizontal="left" vertical="top"/>
    </xf>
    <xf numFmtId="0" fontId="111" fillId="64" borderId="105" xfId="345" applyFont="1" applyFill="1" applyBorder="1" applyAlignment="1">
      <alignment horizontal="left" vertical="top"/>
    </xf>
    <xf numFmtId="0" fontId="111" fillId="64" borderId="113" xfId="345" applyFont="1" applyFill="1" applyBorder="1" applyAlignment="1">
      <alignment horizontal="left" vertical="top"/>
    </xf>
    <xf numFmtId="0" fontId="105" fillId="0" borderId="114" xfId="349" applyFont="1" applyBorder="1" applyAlignment="1">
      <alignment horizontal="left" vertical="top" wrapText="1"/>
    </xf>
    <xf numFmtId="0" fontId="105" fillId="0" borderId="105" xfId="349" applyFont="1" applyBorder="1" applyAlignment="1">
      <alignment horizontal="left" vertical="top" wrapText="1"/>
    </xf>
    <xf numFmtId="0" fontId="105" fillId="0" borderId="113" xfId="349" applyFont="1" applyBorder="1" applyAlignment="1">
      <alignment horizontal="left" vertical="top" wrapText="1"/>
    </xf>
    <xf numFmtId="0" fontId="105" fillId="64" borderId="114" xfId="345" applyFont="1" applyFill="1" applyBorder="1" applyAlignment="1">
      <alignment horizontal="left" vertical="top" wrapText="1"/>
    </xf>
    <xf numFmtId="0" fontId="105" fillId="64" borderId="105" xfId="345" applyFont="1" applyFill="1" applyBorder="1" applyAlignment="1">
      <alignment horizontal="left" vertical="top" wrapText="1"/>
    </xf>
    <xf numFmtId="0" fontId="105" fillId="64" borderId="113" xfId="345" applyFont="1" applyFill="1" applyBorder="1" applyAlignment="1">
      <alignment horizontal="left" vertical="top" wrapText="1"/>
    </xf>
    <xf numFmtId="0" fontId="105" fillId="0" borderId="114" xfId="0" applyFont="1" applyBorder="1" applyAlignment="1">
      <alignment horizontal="left" vertical="top" wrapText="1"/>
    </xf>
    <xf numFmtId="0" fontId="105" fillId="0" borderId="105" xfId="0" applyFont="1" applyBorder="1" applyAlignment="1">
      <alignment horizontal="left" vertical="top" wrapText="1"/>
    </xf>
    <xf numFmtId="0" fontId="105" fillId="0" borderId="113" xfId="0" applyFont="1" applyBorder="1" applyAlignment="1">
      <alignment horizontal="left" vertical="top" wrapText="1"/>
    </xf>
  </cellXfs>
  <cellStyles count="687">
    <cellStyle name="          _x000d__x000a_386grabber=VGA.3GR_x000d__x000a_" xfId="1" xr:uid="{00000000-0005-0000-0000-000000000000}"/>
    <cellStyle name="_~8539632" xfId="2" xr:uid="{00000000-0005-0000-0000-000001000000}"/>
    <cellStyle name="_~8539632_P&amp;L OP walk" xfId="3" xr:uid="{00000000-0005-0000-0000-000002000000}"/>
    <cellStyle name="_~8539632_P&amp;L OP walk_07 P&amp;L OP walk" xfId="4" xr:uid="{00000000-0005-0000-0000-000003000000}"/>
    <cellStyle name="_~8539632_P&amp;L OP walk_P&amp;L OP walk2" xfId="5" xr:uid="{00000000-0005-0000-0000-000004000000}"/>
    <cellStyle name="_【Avon】PL_AC_20110222_v1.1" xfId="6" xr:uid="{00000000-0005-0000-0000-000005000000}"/>
    <cellStyle name="_2007A &amp; 2008B RVP per CBU" xfId="7" xr:uid="{00000000-0005-0000-0000-000006000000}"/>
    <cellStyle name="_Cat_Split_GM FCST 09" xfId="8" xr:uid="{00000000-0005-0000-0000-000007000000}"/>
    <cellStyle name="_CBU GM report_ap" xfId="9" xr:uid="{00000000-0005-0000-0000-000008000000}"/>
    <cellStyle name="_CBU GM report_ap_RV" xfId="10" xr:uid="{00000000-0005-0000-0000-000009000000}"/>
    <cellStyle name="_CBU GM report_china" xfId="11" xr:uid="{00000000-0005-0000-0000-00000A000000}"/>
    <cellStyle name="_CBU report " xfId="12" xr:uid="{00000000-0005-0000-0000-00000B000000}"/>
    <cellStyle name="_Consumer Motivation &amp; Brochure" xfId="13" xr:uid="{00000000-0005-0000-0000-00000C000000}"/>
    <cellStyle name="_contribution&amp;pr" xfId="14" xr:uid="{00000000-0005-0000-0000-00000D000000}"/>
    <cellStyle name="_contribution&amp;pr_P&amp;L OP walk" xfId="15" xr:uid="{00000000-0005-0000-0000-00000E000000}"/>
    <cellStyle name="_contribution&amp;pr_P&amp;L OP walk_07 P&amp;L OP walk" xfId="16" xr:uid="{00000000-0005-0000-0000-00000F000000}"/>
    <cellStyle name="_contribution&amp;pr_P&amp;L OP walk_P&amp;L OP walk2" xfId="17" xr:uid="{00000000-0005-0000-0000-000010000000}"/>
    <cellStyle name="_Facility(07VS06)10.8 C$'MM" xfId="18" xr:uid="{00000000-0005-0000-0000-000011000000}"/>
    <cellStyle name="_Facility(07VS06)10.8 C$'MM_P&amp;L OP walk" xfId="19" xr:uid="{00000000-0005-0000-0000-000012000000}"/>
    <cellStyle name="_Facility(07VS06)10.8 C$'MM_P&amp;L OP walk_07 P&amp;L OP walk" xfId="20" xr:uid="{00000000-0005-0000-0000-000013000000}"/>
    <cellStyle name="_Facility(07VS06)10.8 C$'MM_P&amp;L OP walk_P&amp;L OP walk2" xfId="21" xr:uid="{00000000-0005-0000-0000-000014000000}"/>
    <cellStyle name="_FCST Template Pull LA v2" xfId="22" xr:uid="{00000000-0005-0000-0000-000015000000}"/>
    <cellStyle name="_FCST(1)_CBU_ap" xfId="23" xr:uid="{00000000-0005-0000-0000-000016000000}"/>
    <cellStyle name="_FCST(1)_CBU_ap_checked" xfId="24" xr:uid="{00000000-0005-0000-0000-000017000000}"/>
    <cellStyle name="_frmLOCK_NumberTable" xfId="25" xr:uid="{00000000-0005-0000-0000-000018000000}"/>
    <cellStyle name="_frmLOCK_NumberTable 2" xfId="494" xr:uid="{00000000-0005-0000-0000-000019000000}"/>
    <cellStyle name="_frmLOCK_NumberTable 2 2" xfId="623" xr:uid="{8AF57020-9170-4452-9D6C-283E210A3F65}"/>
    <cellStyle name="_frmLOCK_NumberTable 3" xfId="616" xr:uid="{EBE12F0C-DA7B-4C7B-9C64-4D1BFF180188}"/>
    <cellStyle name="_NA RVP Analysis" xfId="26" xr:uid="{00000000-0005-0000-0000-00001A000000}"/>
    <cellStyle name="_Q3OP" xfId="27" xr:uid="{00000000-0005-0000-0000-00001B000000}"/>
    <cellStyle name="_RVP Chart (rev)" xfId="28" xr:uid="{00000000-0005-0000-0000-00001C000000}"/>
    <cellStyle name="_RVP_mex" xfId="29" xr:uid="{00000000-0005-0000-0000-00001D000000}"/>
    <cellStyle name="_Template for training exp analysis" xfId="30" xr:uid="{00000000-0005-0000-0000-00001E000000}"/>
    <cellStyle name="_Template for training exp analysis_P&amp;L OP walk" xfId="31" xr:uid="{00000000-0005-0000-0000-00001F000000}"/>
    <cellStyle name="_Template for training exp analysis_P&amp;L OP walk_07 P&amp;L OP walk" xfId="32" xr:uid="{00000000-0005-0000-0000-000020000000}"/>
    <cellStyle name="_Template for training exp analysis_P&amp;L OP walk_P&amp;L OP walk2" xfId="33" xr:uid="{00000000-0005-0000-0000-000021000000}"/>
    <cellStyle name="0" xfId="34" xr:uid="{00000000-0005-0000-0000-000022000000}"/>
    <cellStyle name="0_~0062009" xfId="35" xr:uid="{00000000-0005-0000-0000-000023000000}"/>
    <cellStyle name="0_Price" xfId="36" xr:uid="{00000000-0005-0000-0000-000024000000}"/>
    <cellStyle name="0_Price_GC A &amp; C Package Q3 FY03" xfId="37" xr:uid="{00000000-0005-0000-0000-000025000000}"/>
    <cellStyle name="20% - Accent1" xfId="38" xr:uid="{00000000-0005-0000-0000-000026000000}"/>
    <cellStyle name="20% - Accent2" xfId="39" xr:uid="{00000000-0005-0000-0000-000027000000}"/>
    <cellStyle name="20% - Accent3" xfId="40" xr:uid="{00000000-0005-0000-0000-000028000000}"/>
    <cellStyle name="20% - Accent4" xfId="41" xr:uid="{00000000-0005-0000-0000-000029000000}"/>
    <cellStyle name="20% - Accent5" xfId="42" xr:uid="{00000000-0005-0000-0000-00002A000000}"/>
    <cellStyle name="20% - Accent6" xfId="43" xr:uid="{00000000-0005-0000-0000-00002B000000}"/>
    <cellStyle name="20% - アクセント 1 2" xfId="44" xr:uid="{00000000-0005-0000-0000-00002C000000}"/>
    <cellStyle name="20% - アクセント 2 2" xfId="45" xr:uid="{00000000-0005-0000-0000-00002D000000}"/>
    <cellStyle name="20% - アクセント 3 2" xfId="46" xr:uid="{00000000-0005-0000-0000-00002E000000}"/>
    <cellStyle name="20% - アクセント 4 2" xfId="47" xr:uid="{00000000-0005-0000-0000-00002F000000}"/>
    <cellStyle name="20% - アクセント 5 2" xfId="48" xr:uid="{00000000-0005-0000-0000-000030000000}"/>
    <cellStyle name="20% - アクセント 6 2" xfId="49" xr:uid="{00000000-0005-0000-0000-000031000000}"/>
    <cellStyle name="20% - 輔色1" xfId="50" xr:uid="{00000000-0005-0000-0000-000032000000}"/>
    <cellStyle name="20% - 輔色1 2" xfId="51" xr:uid="{00000000-0005-0000-0000-000033000000}"/>
    <cellStyle name="20% - 輔色2" xfId="52" xr:uid="{00000000-0005-0000-0000-000034000000}"/>
    <cellStyle name="20% - 輔色2 2" xfId="53" xr:uid="{00000000-0005-0000-0000-000035000000}"/>
    <cellStyle name="20% - 輔色3" xfId="54" xr:uid="{00000000-0005-0000-0000-000036000000}"/>
    <cellStyle name="20% - 輔色3 2" xfId="55" xr:uid="{00000000-0005-0000-0000-000037000000}"/>
    <cellStyle name="20% - 輔色4" xfId="56" xr:uid="{00000000-0005-0000-0000-000038000000}"/>
    <cellStyle name="20% - 輔色4 2" xfId="57" xr:uid="{00000000-0005-0000-0000-000039000000}"/>
    <cellStyle name="20% - 輔色5" xfId="58" xr:uid="{00000000-0005-0000-0000-00003A000000}"/>
    <cellStyle name="20% - 輔色5 2" xfId="59" xr:uid="{00000000-0005-0000-0000-00003B000000}"/>
    <cellStyle name="20% - 輔色6" xfId="60" xr:uid="{00000000-0005-0000-0000-00003C000000}"/>
    <cellStyle name="20% - 輔色6 2" xfId="61" xr:uid="{00000000-0005-0000-0000-00003D000000}"/>
    <cellStyle name="40% - Accent1" xfId="62" xr:uid="{00000000-0005-0000-0000-00003E000000}"/>
    <cellStyle name="40% - Accent2" xfId="63" xr:uid="{00000000-0005-0000-0000-00003F000000}"/>
    <cellStyle name="40% - Accent3" xfId="64" xr:uid="{00000000-0005-0000-0000-000040000000}"/>
    <cellStyle name="40% - Accent4" xfId="65" xr:uid="{00000000-0005-0000-0000-000041000000}"/>
    <cellStyle name="40% - Accent5" xfId="66" xr:uid="{00000000-0005-0000-0000-000042000000}"/>
    <cellStyle name="40% - Accent6" xfId="67" xr:uid="{00000000-0005-0000-0000-000043000000}"/>
    <cellStyle name="40% - アクセント 1 2" xfId="68" xr:uid="{00000000-0005-0000-0000-000044000000}"/>
    <cellStyle name="40% - アクセント 2 2" xfId="69" xr:uid="{00000000-0005-0000-0000-000045000000}"/>
    <cellStyle name="40% - アクセント 3 2" xfId="70" xr:uid="{00000000-0005-0000-0000-000046000000}"/>
    <cellStyle name="40% - アクセント 4 2" xfId="71" xr:uid="{00000000-0005-0000-0000-000047000000}"/>
    <cellStyle name="40% - アクセント 5 2" xfId="72" xr:uid="{00000000-0005-0000-0000-000048000000}"/>
    <cellStyle name="40% - アクセント 6 2" xfId="73" xr:uid="{00000000-0005-0000-0000-000049000000}"/>
    <cellStyle name="40% - 輔色1" xfId="74" xr:uid="{00000000-0005-0000-0000-00004A000000}"/>
    <cellStyle name="40% - 輔色1 2" xfId="75" xr:uid="{00000000-0005-0000-0000-00004B000000}"/>
    <cellStyle name="40% - 輔色2" xfId="76" xr:uid="{00000000-0005-0000-0000-00004C000000}"/>
    <cellStyle name="40% - 輔色2 2" xfId="77" xr:uid="{00000000-0005-0000-0000-00004D000000}"/>
    <cellStyle name="40% - 輔色3" xfId="78" xr:uid="{00000000-0005-0000-0000-00004E000000}"/>
    <cellStyle name="40% - 輔色3 2" xfId="79" xr:uid="{00000000-0005-0000-0000-00004F000000}"/>
    <cellStyle name="40% - 輔色4" xfId="80" xr:uid="{00000000-0005-0000-0000-000050000000}"/>
    <cellStyle name="40% - 輔色4 2" xfId="81" xr:uid="{00000000-0005-0000-0000-000051000000}"/>
    <cellStyle name="40% - 輔色5" xfId="82" xr:uid="{00000000-0005-0000-0000-000052000000}"/>
    <cellStyle name="40% - 輔色5 2" xfId="83" xr:uid="{00000000-0005-0000-0000-000053000000}"/>
    <cellStyle name="40% - 輔色6" xfId="84" xr:uid="{00000000-0005-0000-0000-000054000000}"/>
    <cellStyle name="40% - 輔色6 2" xfId="85" xr:uid="{00000000-0005-0000-0000-000055000000}"/>
    <cellStyle name="60% - Accent1" xfId="86" xr:uid="{00000000-0005-0000-0000-000056000000}"/>
    <cellStyle name="60% - Accent2" xfId="87" xr:uid="{00000000-0005-0000-0000-000057000000}"/>
    <cellStyle name="60% - Accent3" xfId="88" xr:uid="{00000000-0005-0000-0000-000058000000}"/>
    <cellStyle name="60% - Accent4" xfId="89" xr:uid="{00000000-0005-0000-0000-000059000000}"/>
    <cellStyle name="60% - Accent5" xfId="90" xr:uid="{00000000-0005-0000-0000-00005A000000}"/>
    <cellStyle name="60% - Accent6" xfId="91" xr:uid="{00000000-0005-0000-0000-00005B000000}"/>
    <cellStyle name="60% - アクセント 1 2" xfId="92" xr:uid="{00000000-0005-0000-0000-00005C000000}"/>
    <cellStyle name="60% - アクセント 2 2" xfId="93" xr:uid="{00000000-0005-0000-0000-00005D000000}"/>
    <cellStyle name="60% - アクセント 3 2" xfId="94" xr:uid="{00000000-0005-0000-0000-00005E000000}"/>
    <cellStyle name="60% - アクセント 4 2" xfId="95" xr:uid="{00000000-0005-0000-0000-00005F000000}"/>
    <cellStyle name="60% - アクセント 5 2" xfId="96" xr:uid="{00000000-0005-0000-0000-000060000000}"/>
    <cellStyle name="60% - アクセント 6 2" xfId="97" xr:uid="{00000000-0005-0000-0000-000061000000}"/>
    <cellStyle name="60% - 輔色1" xfId="98" xr:uid="{00000000-0005-0000-0000-000062000000}"/>
    <cellStyle name="60% - 輔色1 2" xfId="99" xr:uid="{00000000-0005-0000-0000-000063000000}"/>
    <cellStyle name="60% - 輔色2" xfId="100" xr:uid="{00000000-0005-0000-0000-000064000000}"/>
    <cellStyle name="60% - 輔色2 2" xfId="101" xr:uid="{00000000-0005-0000-0000-000065000000}"/>
    <cellStyle name="60% - 輔色3" xfId="102" xr:uid="{00000000-0005-0000-0000-000066000000}"/>
    <cellStyle name="60% - 輔色3 2" xfId="103" xr:uid="{00000000-0005-0000-0000-000067000000}"/>
    <cellStyle name="60% - 輔色4" xfId="104" xr:uid="{00000000-0005-0000-0000-000068000000}"/>
    <cellStyle name="60% - 輔色4 2" xfId="105" xr:uid="{00000000-0005-0000-0000-000069000000}"/>
    <cellStyle name="60% - 輔色5" xfId="106" xr:uid="{00000000-0005-0000-0000-00006A000000}"/>
    <cellStyle name="60% - 輔色5 2" xfId="107" xr:uid="{00000000-0005-0000-0000-00006B000000}"/>
    <cellStyle name="60% - 輔色6" xfId="108" xr:uid="{00000000-0005-0000-0000-00006C000000}"/>
    <cellStyle name="60% - 輔色6 2" xfId="109" xr:uid="{00000000-0005-0000-0000-00006D000000}"/>
    <cellStyle name="Accent1" xfId="110" xr:uid="{00000000-0005-0000-0000-00006E000000}"/>
    <cellStyle name="Accent1 - 20%" xfId="111" xr:uid="{00000000-0005-0000-0000-00006F000000}"/>
    <cellStyle name="Accent1 - 40%" xfId="112" xr:uid="{00000000-0005-0000-0000-000070000000}"/>
    <cellStyle name="Accent1 - 60%" xfId="113" xr:uid="{00000000-0005-0000-0000-000071000000}"/>
    <cellStyle name="Accent2" xfId="114" xr:uid="{00000000-0005-0000-0000-000072000000}"/>
    <cellStyle name="Accent2 - 20%" xfId="115" xr:uid="{00000000-0005-0000-0000-000073000000}"/>
    <cellStyle name="Accent2 - 40%" xfId="116" xr:uid="{00000000-0005-0000-0000-000074000000}"/>
    <cellStyle name="Accent2 - 60%" xfId="117" xr:uid="{00000000-0005-0000-0000-000075000000}"/>
    <cellStyle name="Accent3" xfId="118" xr:uid="{00000000-0005-0000-0000-000076000000}"/>
    <cellStyle name="Accent3 - 20%" xfId="119" xr:uid="{00000000-0005-0000-0000-000077000000}"/>
    <cellStyle name="Accent3 - 40%" xfId="120" xr:uid="{00000000-0005-0000-0000-000078000000}"/>
    <cellStyle name="Accent3 - 60%" xfId="121" xr:uid="{00000000-0005-0000-0000-000079000000}"/>
    <cellStyle name="Accent4" xfId="122" xr:uid="{00000000-0005-0000-0000-00007A000000}"/>
    <cellStyle name="Accent4 - 20%" xfId="123" xr:uid="{00000000-0005-0000-0000-00007B000000}"/>
    <cellStyle name="Accent4 - 40%" xfId="124" xr:uid="{00000000-0005-0000-0000-00007C000000}"/>
    <cellStyle name="Accent4 - 60%" xfId="125" xr:uid="{00000000-0005-0000-0000-00007D000000}"/>
    <cellStyle name="Accent5" xfId="126" xr:uid="{00000000-0005-0000-0000-00007E000000}"/>
    <cellStyle name="Accent5 - 20%" xfId="127" xr:uid="{00000000-0005-0000-0000-00007F000000}"/>
    <cellStyle name="Accent5 - 40%" xfId="128" xr:uid="{00000000-0005-0000-0000-000080000000}"/>
    <cellStyle name="Accent5 - 60%" xfId="129" xr:uid="{00000000-0005-0000-0000-000081000000}"/>
    <cellStyle name="Accent6" xfId="130" xr:uid="{00000000-0005-0000-0000-000082000000}"/>
    <cellStyle name="Accent6 - 20%" xfId="131" xr:uid="{00000000-0005-0000-0000-000083000000}"/>
    <cellStyle name="Accent6 - 40%" xfId="132" xr:uid="{00000000-0005-0000-0000-000084000000}"/>
    <cellStyle name="Accent6 - 60%" xfId="133" xr:uid="{00000000-0005-0000-0000-000085000000}"/>
    <cellStyle name="Bad" xfId="134" xr:uid="{00000000-0005-0000-0000-000086000000}"/>
    <cellStyle name="Calc Currency (0)" xfId="135" xr:uid="{00000000-0005-0000-0000-000087000000}"/>
    <cellStyle name="Calc Currency (0) 2" xfId="136" xr:uid="{00000000-0005-0000-0000-000088000000}"/>
    <cellStyle name="Calculation" xfId="137" xr:uid="{00000000-0005-0000-0000-000089000000}"/>
    <cellStyle name="Calculation 2" xfId="423" xr:uid="{00000000-0005-0000-0000-00008A000000}"/>
    <cellStyle name="Calculation 3" xfId="506" xr:uid="{00000000-0005-0000-0000-00008B000000}"/>
    <cellStyle name="Calculation 3 2" xfId="624" xr:uid="{3668646A-10B2-4B55-9614-44FC179F7CA0}"/>
    <cellStyle name="Calculation 4" xfId="590" xr:uid="{00000000-0005-0000-0000-00008C000000}"/>
    <cellStyle name="Check Cell" xfId="138" xr:uid="{00000000-0005-0000-0000-00008D000000}"/>
    <cellStyle name="Column_Title" xfId="139" xr:uid="{00000000-0005-0000-0000-00008E000000}"/>
    <cellStyle name="Comma" xfId="414" builtinId="3"/>
    <cellStyle name="Comma [0]" xfId="415" xr:uid="{00000000-0005-0000-0000-00008F000000}"/>
    <cellStyle name="Comma [0] 2" xfId="485" xr:uid="{00000000-0005-0000-0000-000090000000}"/>
    <cellStyle name="Comma 0.0" xfId="140" xr:uid="{00000000-0005-0000-0000-000091000000}"/>
    <cellStyle name="Comma0" xfId="141" xr:uid="{00000000-0005-0000-0000-000093000000}"/>
    <cellStyle name="Comma0 - Modelo1" xfId="142" xr:uid="{00000000-0005-0000-0000-000094000000}"/>
    <cellStyle name="Comma0 - Style1" xfId="143" xr:uid="{00000000-0005-0000-0000-000095000000}"/>
    <cellStyle name="Comma0 - Style3" xfId="144" xr:uid="{00000000-0005-0000-0000-000096000000}"/>
    <cellStyle name="Comma0 - Style5" xfId="145" xr:uid="{00000000-0005-0000-0000-000097000000}"/>
    <cellStyle name="Comma1 - Modelo2" xfId="146" xr:uid="{00000000-0005-0000-0000-000098000000}"/>
    <cellStyle name="Comma1 - Style1" xfId="147" xr:uid="{00000000-0005-0000-0000-000099000000}"/>
    <cellStyle name="Comma1 - Style2" xfId="148" xr:uid="{00000000-0005-0000-0000-00009A000000}"/>
    <cellStyle name="Curren - Style2" xfId="149" xr:uid="{00000000-0005-0000-0000-00009B000000}"/>
    <cellStyle name="Currency0" xfId="150" xr:uid="{00000000-0005-0000-0000-00009D000000}"/>
    <cellStyle name="D$_x0014_‹D$4÷Ø‰D" xfId="151" xr:uid="{00000000-0005-0000-0000-00009E000000}"/>
    <cellStyle name="D$_x0014_‹D$4÷Ø‰D$4ë" xfId="152" xr:uid="{00000000-0005-0000-0000-00009F000000}"/>
    <cellStyle name="D$_x0014_‹D$4÷Ø‰D$4ë_x0007_Æ" xfId="153" xr:uid="{00000000-0005-0000-0000-0000A0000000}"/>
    <cellStyle name="DataEntry" xfId="154" xr:uid="{00000000-0005-0000-0000-0000A1000000}"/>
    <cellStyle name="DataEntry 2" xfId="517" xr:uid="{00000000-0005-0000-0000-0000A2000000}"/>
    <cellStyle name="DataEntry 2 2" xfId="625" xr:uid="{D4F8D35C-8026-43D3-A6FB-8E62B7158D09}"/>
    <cellStyle name="DataEntry 3" xfId="617" xr:uid="{76CB7F0C-B421-4521-9D48-358C59727A7A}"/>
    <cellStyle name="Date" xfId="155" xr:uid="{00000000-0005-0000-0000-0000A3000000}"/>
    <cellStyle name="Date - Style4" xfId="156" xr:uid="{00000000-0005-0000-0000-0000A4000000}"/>
    <cellStyle name="Dezimal [0]_~0025339" xfId="157" xr:uid="{00000000-0005-0000-0000-0000A5000000}"/>
    <cellStyle name="Dezimal_~0025339" xfId="158" xr:uid="{00000000-0005-0000-0000-0000A6000000}"/>
    <cellStyle name="Dia" xfId="159" xr:uid="{00000000-0005-0000-0000-0000A7000000}"/>
    <cellStyle name="dnm01" xfId="160" xr:uid="{00000000-0005-0000-0000-0000A8000000}"/>
    <cellStyle name="Dziesiętny [0]_labour efficiency" xfId="161" xr:uid="{00000000-0005-0000-0000-0000A9000000}"/>
    <cellStyle name="Dziesiętny_2002 Capex - Poland" xfId="162" xr:uid="{00000000-0005-0000-0000-0000AA000000}"/>
    <cellStyle name="Emphasis 1" xfId="163" xr:uid="{00000000-0005-0000-0000-0000AB000000}"/>
    <cellStyle name="Emphasis 2" xfId="164" xr:uid="{00000000-0005-0000-0000-0000AC000000}"/>
    <cellStyle name="Emphasis 3" xfId="165" xr:uid="{00000000-0005-0000-0000-0000AD000000}"/>
    <cellStyle name="Encabez1" xfId="166" xr:uid="{00000000-0005-0000-0000-0000AE000000}"/>
    <cellStyle name="Encabez2" xfId="167" xr:uid="{00000000-0005-0000-0000-0000AF000000}"/>
    <cellStyle name="ept" xfId="168" xr:uid="{00000000-0005-0000-0000-0000B0000000}"/>
    <cellStyle name="ept 2" xfId="169" xr:uid="{00000000-0005-0000-0000-0000B1000000}"/>
    <cellStyle name="ept 2 2" xfId="425" xr:uid="{00000000-0005-0000-0000-0000B2000000}"/>
    <cellStyle name="ept 2 3" xfId="528" xr:uid="{00000000-0005-0000-0000-0000B3000000}"/>
    <cellStyle name="ept 2 3 2" xfId="627" xr:uid="{35942C93-ABE8-4DE6-BC54-DE4C078F4B91}"/>
    <cellStyle name="ept 2 4" xfId="610" xr:uid="{00000000-0005-0000-0000-0000B4000000}"/>
    <cellStyle name="ept 3" xfId="424" xr:uid="{00000000-0005-0000-0000-0000B5000000}"/>
    <cellStyle name="ept 4" xfId="527" xr:uid="{00000000-0005-0000-0000-0000B6000000}"/>
    <cellStyle name="ept 4 2" xfId="626" xr:uid="{07347039-0C6F-4CC4-AF63-1E93D39C2915}"/>
    <cellStyle name="ept 5" xfId="611" xr:uid="{00000000-0005-0000-0000-0000B7000000}"/>
    <cellStyle name="Euro" xfId="170" xr:uid="{00000000-0005-0000-0000-0000B8000000}"/>
    <cellStyle name="Explanatory Text" xfId="171" xr:uid="{00000000-0005-0000-0000-0000B9000000}"/>
    <cellStyle name="F2" xfId="172" xr:uid="{00000000-0005-0000-0000-0000BA000000}"/>
    <cellStyle name="F3" xfId="173" xr:uid="{00000000-0005-0000-0000-0000BB000000}"/>
    <cellStyle name="F4" xfId="174" xr:uid="{00000000-0005-0000-0000-0000BC000000}"/>
    <cellStyle name="F5" xfId="175" xr:uid="{00000000-0005-0000-0000-0000BD000000}"/>
    <cellStyle name="F6" xfId="176" xr:uid="{00000000-0005-0000-0000-0000BE000000}"/>
    <cellStyle name="F7" xfId="177" xr:uid="{00000000-0005-0000-0000-0000BF000000}"/>
    <cellStyle name="F8" xfId="178" xr:uid="{00000000-0005-0000-0000-0000C0000000}"/>
    <cellStyle name="Fijo" xfId="179" xr:uid="{00000000-0005-0000-0000-0000C1000000}"/>
    <cellStyle name="Financiero" xfId="180" xr:uid="{00000000-0005-0000-0000-0000C2000000}"/>
    <cellStyle name="Fixed" xfId="181" xr:uid="{00000000-0005-0000-0000-0000C3000000}"/>
    <cellStyle name="Fixed2 - Style2" xfId="182" xr:uid="{00000000-0005-0000-0000-0000C4000000}"/>
    <cellStyle name="Good" xfId="183" xr:uid="{00000000-0005-0000-0000-0000C5000000}"/>
    <cellStyle name="Grey" xfId="184" xr:uid="{00000000-0005-0000-0000-0000C6000000}"/>
    <cellStyle name="Header1" xfId="185" xr:uid="{00000000-0005-0000-0000-0000C7000000}"/>
    <cellStyle name="Header2" xfId="186" xr:uid="{00000000-0005-0000-0000-0000C8000000}"/>
    <cellStyle name="Header2 2" xfId="544" xr:uid="{00000000-0005-0000-0000-0000C9000000}"/>
    <cellStyle name="Heading 1" xfId="187" xr:uid="{00000000-0005-0000-0000-0000CA000000}"/>
    <cellStyle name="Heading 2" xfId="188" xr:uid="{00000000-0005-0000-0000-0000CB000000}"/>
    <cellStyle name="Heading 3" xfId="189" xr:uid="{00000000-0005-0000-0000-0000CC000000}"/>
    <cellStyle name="Heading 4" xfId="190" xr:uid="{00000000-0005-0000-0000-0000CD000000}"/>
    <cellStyle name="Hyperlink" xfId="489" builtinId="8"/>
    <cellStyle name="INCA" xfId="191" xr:uid="{00000000-0005-0000-0000-0000CE000000}"/>
    <cellStyle name="Indefinido" xfId="192" xr:uid="{00000000-0005-0000-0000-0000CF000000}"/>
    <cellStyle name="Indented" xfId="193" xr:uid="{00000000-0005-0000-0000-0000D0000000}"/>
    <cellStyle name="Input" xfId="194" xr:uid="{00000000-0005-0000-0000-0000D1000000}"/>
    <cellStyle name="Input [yellow]" xfId="195" xr:uid="{00000000-0005-0000-0000-0000D2000000}"/>
    <cellStyle name="Input [yellow] 2" xfId="546" xr:uid="{00000000-0005-0000-0000-0000D3000000}"/>
    <cellStyle name="Input [yellow] 2 2" xfId="629" xr:uid="{E12D4898-F45B-4D2B-AF5B-29C073F85552}"/>
    <cellStyle name="Input [yellow] 3" xfId="619" xr:uid="{5980429C-2C21-482B-A1F5-8F776351214D}"/>
    <cellStyle name="Input 2" xfId="426" xr:uid="{00000000-0005-0000-0000-0000D4000000}"/>
    <cellStyle name="Input 3" xfId="545" xr:uid="{00000000-0005-0000-0000-0000D5000000}"/>
    <cellStyle name="Input 3 2" xfId="628" xr:uid="{C98BAF96-E105-4C4E-8311-6559B5DC9E3A}"/>
    <cellStyle name="Input 4" xfId="552" xr:uid="{00000000-0005-0000-0000-0000D6000000}"/>
    <cellStyle name="Input 5" xfId="618" xr:uid="{FCEFA62E-DABB-47C3-BCED-2918F37B7533}"/>
    <cellStyle name="Input_Q3OP" xfId="196" xr:uid="{00000000-0005-0000-0000-0000D7000000}"/>
    <cellStyle name="IR Template" xfId="197" xr:uid="{00000000-0005-0000-0000-0000D8000000}"/>
    <cellStyle name="Linked Cell" xfId="198" xr:uid="{00000000-0005-0000-0000-0000D9000000}"/>
    <cellStyle name="Millares [0]_~5173340" xfId="199" xr:uid="{00000000-0005-0000-0000-0000DA000000}"/>
    <cellStyle name="Millares_~0030803" xfId="200" xr:uid="{00000000-0005-0000-0000-0000DB000000}"/>
    <cellStyle name="Milliers [0]_AR1194" xfId="201" xr:uid="{00000000-0005-0000-0000-0000DC000000}"/>
    <cellStyle name="Milliers_AR1194" xfId="202" xr:uid="{00000000-0005-0000-0000-0000DD000000}"/>
    <cellStyle name="Moneda [0]_~5173340" xfId="203" xr:uid="{00000000-0005-0000-0000-0000DE000000}"/>
    <cellStyle name="Moneda_~0030803" xfId="204" xr:uid="{00000000-0005-0000-0000-0000DF000000}"/>
    <cellStyle name="Monetario" xfId="205" xr:uid="{00000000-0005-0000-0000-0000E0000000}"/>
    <cellStyle name="Money M" xfId="206" xr:uid="{00000000-0005-0000-0000-0000E1000000}"/>
    <cellStyle name="Money M Blank Zero" xfId="207" xr:uid="{00000000-0005-0000-0000-0000E2000000}"/>
    <cellStyle name="Money M Blank Zero 2" xfId="549" xr:uid="{00000000-0005-0000-0000-0000E3000000}"/>
    <cellStyle name="Money M Blank Zero 2 2" xfId="630" xr:uid="{F740BF20-033B-48D3-BB7D-DC6D2DEDC0DB}"/>
    <cellStyle name="Money M Blank Zero 3" xfId="620" xr:uid="{38E0EFF3-ADE7-45D8-85DF-F0791050B554}"/>
    <cellStyle name="Mon騁aire [0]_AR1194" xfId="208" xr:uid="{00000000-0005-0000-0000-0000E4000000}"/>
    <cellStyle name="Mon騁aire_AR1194" xfId="209" xr:uid="{00000000-0005-0000-0000-0000E5000000}"/>
    <cellStyle name="Neutral" xfId="210" xr:uid="{00000000-0005-0000-0000-0000E6000000}"/>
    <cellStyle name="no dec" xfId="211" xr:uid="{00000000-0005-0000-0000-0000E7000000}"/>
    <cellStyle name="No-definido" xfId="212" xr:uid="{00000000-0005-0000-0000-0000E8000000}"/>
    <cellStyle name="Normal" xfId="0" builtinId="0"/>
    <cellStyle name="Normal - Style1" xfId="213" xr:uid="{00000000-0005-0000-0000-0000E9000000}"/>
    <cellStyle name="Normal - Style1 2" xfId="214" xr:uid="{00000000-0005-0000-0000-0000EA000000}"/>
    <cellStyle name="Normale_Plan2000" xfId="215" xr:uid="{00000000-0005-0000-0000-0000EC000000}"/>
    <cellStyle name="Normalny_~1001583" xfId="216" xr:uid="{00000000-0005-0000-0000-0000ED000000}"/>
    <cellStyle name="Note" xfId="217" xr:uid="{00000000-0005-0000-0000-0000EE000000}"/>
    <cellStyle name="Note 2" xfId="427" xr:uid="{00000000-0005-0000-0000-0000EF000000}"/>
    <cellStyle name="Note 3" xfId="550" xr:uid="{00000000-0005-0000-0000-0000F0000000}"/>
    <cellStyle name="Note 3 2" xfId="631" xr:uid="{BF039A76-AC75-4CF5-83E3-FF1A6BD9EEE4}"/>
    <cellStyle name="Note 4" xfId="548" xr:uid="{00000000-0005-0000-0000-0000F1000000}"/>
    <cellStyle name="Output" xfId="218" xr:uid="{00000000-0005-0000-0000-0000F2000000}"/>
    <cellStyle name="Output 2" xfId="428" xr:uid="{00000000-0005-0000-0000-0000F3000000}"/>
    <cellStyle name="Output 3" xfId="551" xr:uid="{00000000-0005-0000-0000-0000F4000000}"/>
    <cellStyle name="Output 3 2" xfId="632" xr:uid="{17F37F7A-7E47-4C97-B51F-5BF5CEAB2D09}"/>
    <cellStyle name="Output 4" xfId="547" xr:uid="{00000000-0005-0000-0000-0000F5000000}"/>
    <cellStyle name="Percen - Style1" xfId="219" xr:uid="{00000000-0005-0000-0000-0000F6000000}"/>
    <cellStyle name="Percen - Style3" xfId="220" xr:uid="{00000000-0005-0000-0000-0000F7000000}"/>
    <cellStyle name="Percent" xfId="416" builtinId="5"/>
    <cellStyle name="Percent [0]" xfId="221" xr:uid="{00000000-0005-0000-0000-0000F8000000}"/>
    <cellStyle name="Percent [2]" xfId="222" xr:uid="{00000000-0005-0000-0000-0000F9000000}"/>
    <cellStyle name="PSChar" xfId="223" xr:uid="{00000000-0005-0000-0000-0000FA000000}"/>
    <cellStyle name="PSDate" xfId="224" xr:uid="{00000000-0005-0000-0000-0000FB000000}"/>
    <cellStyle name="PSDec" xfId="225" xr:uid="{00000000-0005-0000-0000-0000FC000000}"/>
    <cellStyle name="PSHeading" xfId="226" xr:uid="{00000000-0005-0000-0000-0000FD000000}"/>
    <cellStyle name="Saldos" xfId="227" xr:uid="{00000000-0005-0000-0000-0000FE000000}"/>
    <cellStyle name="SAPBEXaggData" xfId="228" xr:uid="{00000000-0005-0000-0000-0000FF000000}"/>
    <cellStyle name="SAPBEXaggData 2" xfId="429" xr:uid="{00000000-0005-0000-0000-000000010000}"/>
    <cellStyle name="SAPBEXaggData 3" xfId="553" xr:uid="{00000000-0005-0000-0000-000001010000}"/>
    <cellStyle name="SAPBEXaggData 3 2" xfId="633" xr:uid="{6FE38895-A468-4343-91E6-EBBDBB9DEC34}"/>
    <cellStyle name="SAPBEXaggData 4" xfId="543" xr:uid="{00000000-0005-0000-0000-000002010000}"/>
    <cellStyle name="SAPBEXaggDataEmph" xfId="229" xr:uid="{00000000-0005-0000-0000-000003010000}"/>
    <cellStyle name="SAPBEXaggDataEmph 2" xfId="430" xr:uid="{00000000-0005-0000-0000-000004010000}"/>
    <cellStyle name="SAPBEXaggDataEmph 3" xfId="554" xr:uid="{00000000-0005-0000-0000-000005010000}"/>
    <cellStyle name="SAPBEXaggDataEmph 3 2" xfId="634" xr:uid="{20717B49-4EAC-4791-AE32-69EF61E59B02}"/>
    <cellStyle name="SAPBEXaggDataEmph 4" xfId="542" xr:uid="{00000000-0005-0000-0000-000006010000}"/>
    <cellStyle name="SAPBEXaggItem" xfId="230" xr:uid="{00000000-0005-0000-0000-000007010000}"/>
    <cellStyle name="SAPBEXaggItem 2" xfId="431" xr:uid="{00000000-0005-0000-0000-000008010000}"/>
    <cellStyle name="SAPBEXaggItem 3" xfId="555" xr:uid="{00000000-0005-0000-0000-000009010000}"/>
    <cellStyle name="SAPBEXaggItem 3 2" xfId="635" xr:uid="{19B13202-FFC7-4F88-9FDF-A82B57D30411}"/>
    <cellStyle name="SAPBEXaggItem 4" xfId="541" xr:uid="{00000000-0005-0000-0000-00000A010000}"/>
    <cellStyle name="SAPBEXaggItemX" xfId="231" xr:uid="{00000000-0005-0000-0000-00000B010000}"/>
    <cellStyle name="SAPBEXaggItemX 2" xfId="432" xr:uid="{00000000-0005-0000-0000-00000C010000}"/>
    <cellStyle name="SAPBEXaggItemX 3" xfId="556" xr:uid="{00000000-0005-0000-0000-00000D010000}"/>
    <cellStyle name="SAPBEXaggItemX 3 2" xfId="636" xr:uid="{ACAC0A03-DF26-4876-B2DD-AE6DC3AA0CF9}"/>
    <cellStyle name="SAPBEXaggItemX 4" xfId="540" xr:uid="{00000000-0005-0000-0000-00000E010000}"/>
    <cellStyle name="SAPBEXchaText" xfId="232" xr:uid="{00000000-0005-0000-0000-00000F010000}"/>
    <cellStyle name="SAPBEXchaText 2" xfId="433" xr:uid="{00000000-0005-0000-0000-000010010000}"/>
    <cellStyle name="SAPBEXchaText 3" xfId="557" xr:uid="{00000000-0005-0000-0000-000011010000}"/>
    <cellStyle name="SAPBEXchaText 3 2" xfId="637" xr:uid="{C8E81941-5CE8-470E-BD13-F5983573059A}"/>
    <cellStyle name="SAPBEXchaText 4" xfId="539" xr:uid="{00000000-0005-0000-0000-000012010000}"/>
    <cellStyle name="SAPBEXexcBad7" xfId="233" xr:uid="{00000000-0005-0000-0000-000013010000}"/>
    <cellStyle name="SAPBEXexcBad7 2" xfId="434" xr:uid="{00000000-0005-0000-0000-000014010000}"/>
    <cellStyle name="SAPBEXexcBad7 3" xfId="558" xr:uid="{00000000-0005-0000-0000-000015010000}"/>
    <cellStyle name="SAPBEXexcBad7 3 2" xfId="638" xr:uid="{A61A5945-70E1-4DE9-A350-F975B4466CCE}"/>
    <cellStyle name="SAPBEXexcBad7 4" xfId="538" xr:uid="{00000000-0005-0000-0000-000016010000}"/>
    <cellStyle name="SAPBEXexcBad8" xfId="234" xr:uid="{00000000-0005-0000-0000-000017010000}"/>
    <cellStyle name="SAPBEXexcBad8 2" xfId="435" xr:uid="{00000000-0005-0000-0000-000018010000}"/>
    <cellStyle name="SAPBEXexcBad8 3" xfId="559" xr:uid="{00000000-0005-0000-0000-000019010000}"/>
    <cellStyle name="SAPBEXexcBad8 3 2" xfId="639" xr:uid="{A505B801-A259-4698-AFDC-AA25EEFC1F72}"/>
    <cellStyle name="SAPBEXexcBad8 4" xfId="537" xr:uid="{00000000-0005-0000-0000-00001A010000}"/>
    <cellStyle name="SAPBEXexcBad9" xfId="235" xr:uid="{00000000-0005-0000-0000-00001B010000}"/>
    <cellStyle name="SAPBEXexcBad9 2" xfId="436" xr:uid="{00000000-0005-0000-0000-00001C010000}"/>
    <cellStyle name="SAPBEXexcBad9 3" xfId="560" xr:uid="{00000000-0005-0000-0000-00001D010000}"/>
    <cellStyle name="SAPBEXexcBad9 3 2" xfId="640" xr:uid="{327D2970-61D0-429C-9880-0DB7D4C16FAF}"/>
    <cellStyle name="SAPBEXexcBad9 4" xfId="536" xr:uid="{00000000-0005-0000-0000-00001E010000}"/>
    <cellStyle name="SAPBEXexcCritical4" xfId="236" xr:uid="{00000000-0005-0000-0000-00001F010000}"/>
    <cellStyle name="SAPBEXexcCritical4 2" xfId="437" xr:uid="{00000000-0005-0000-0000-000020010000}"/>
    <cellStyle name="SAPBEXexcCritical4 3" xfId="561" xr:uid="{00000000-0005-0000-0000-000021010000}"/>
    <cellStyle name="SAPBEXexcCritical4 3 2" xfId="641" xr:uid="{1263E23B-3615-4B81-ACDB-A41A8D88362D}"/>
    <cellStyle name="SAPBEXexcCritical4 4" xfId="535" xr:uid="{00000000-0005-0000-0000-000022010000}"/>
    <cellStyle name="SAPBEXexcCritical5" xfId="237" xr:uid="{00000000-0005-0000-0000-000023010000}"/>
    <cellStyle name="SAPBEXexcCritical5 2" xfId="438" xr:uid="{00000000-0005-0000-0000-000024010000}"/>
    <cellStyle name="SAPBEXexcCritical5 3" xfId="562" xr:uid="{00000000-0005-0000-0000-000025010000}"/>
    <cellStyle name="SAPBEXexcCritical5 3 2" xfId="642" xr:uid="{457977AC-979A-4AD6-899C-9177202F4A20}"/>
    <cellStyle name="SAPBEXexcCritical5 4" xfId="534" xr:uid="{00000000-0005-0000-0000-000026010000}"/>
    <cellStyle name="SAPBEXexcCritical6" xfId="238" xr:uid="{00000000-0005-0000-0000-000027010000}"/>
    <cellStyle name="SAPBEXexcCritical6 2" xfId="439" xr:uid="{00000000-0005-0000-0000-000028010000}"/>
    <cellStyle name="SAPBEXexcCritical6 3" xfId="563" xr:uid="{00000000-0005-0000-0000-000029010000}"/>
    <cellStyle name="SAPBEXexcCritical6 3 2" xfId="643" xr:uid="{AC932944-5D2B-4075-BEEF-E531A691EA5C}"/>
    <cellStyle name="SAPBEXexcCritical6 4" xfId="533" xr:uid="{00000000-0005-0000-0000-00002A010000}"/>
    <cellStyle name="SAPBEXexcGood1" xfId="239" xr:uid="{00000000-0005-0000-0000-00002B010000}"/>
    <cellStyle name="SAPBEXexcGood1 2" xfId="440" xr:uid="{00000000-0005-0000-0000-00002C010000}"/>
    <cellStyle name="SAPBEXexcGood1 3" xfId="564" xr:uid="{00000000-0005-0000-0000-00002D010000}"/>
    <cellStyle name="SAPBEXexcGood1 3 2" xfId="644" xr:uid="{6E61A20F-59C0-429A-A755-426BA6E8F43A}"/>
    <cellStyle name="SAPBEXexcGood1 4" xfId="532" xr:uid="{00000000-0005-0000-0000-00002E010000}"/>
    <cellStyle name="SAPBEXexcGood2" xfId="240" xr:uid="{00000000-0005-0000-0000-00002F010000}"/>
    <cellStyle name="SAPBEXexcGood2 2" xfId="441" xr:uid="{00000000-0005-0000-0000-000030010000}"/>
    <cellStyle name="SAPBEXexcGood2 3" xfId="565" xr:uid="{00000000-0005-0000-0000-000031010000}"/>
    <cellStyle name="SAPBEXexcGood2 3 2" xfId="645" xr:uid="{3F0AF2F5-02EB-45B6-9605-81C9C478D696}"/>
    <cellStyle name="SAPBEXexcGood2 4" xfId="531" xr:uid="{00000000-0005-0000-0000-000032010000}"/>
    <cellStyle name="SAPBEXexcGood3" xfId="241" xr:uid="{00000000-0005-0000-0000-000033010000}"/>
    <cellStyle name="SAPBEXexcGood3 2" xfId="442" xr:uid="{00000000-0005-0000-0000-000034010000}"/>
    <cellStyle name="SAPBEXexcGood3 3" xfId="566" xr:uid="{00000000-0005-0000-0000-000035010000}"/>
    <cellStyle name="SAPBEXexcGood3 3 2" xfId="646" xr:uid="{24AB5A5B-6A1F-434F-BBEE-E6993A7E4AF9}"/>
    <cellStyle name="SAPBEXexcGood3 4" xfId="530" xr:uid="{00000000-0005-0000-0000-000036010000}"/>
    <cellStyle name="SAPBEXfilterDrill" xfId="242" xr:uid="{00000000-0005-0000-0000-000037010000}"/>
    <cellStyle name="SAPBEXfilterDrill 2" xfId="443" xr:uid="{00000000-0005-0000-0000-000038010000}"/>
    <cellStyle name="SAPBEXfilterDrill 3" xfId="567" xr:uid="{00000000-0005-0000-0000-000039010000}"/>
    <cellStyle name="SAPBEXfilterDrill 3 2" xfId="647" xr:uid="{4EDDDCC8-E2FB-4A95-AD62-582660C9235E}"/>
    <cellStyle name="SAPBEXfilterDrill 4" xfId="529" xr:uid="{00000000-0005-0000-0000-00003A010000}"/>
    <cellStyle name="SAPBEXfilterItem" xfId="243" xr:uid="{00000000-0005-0000-0000-00003B010000}"/>
    <cellStyle name="SAPBEXfilterItem 2" xfId="444" xr:uid="{00000000-0005-0000-0000-00003C010000}"/>
    <cellStyle name="SAPBEXfilterItem 3" xfId="568" xr:uid="{00000000-0005-0000-0000-00003D010000}"/>
    <cellStyle name="SAPBEXfilterItem 3 2" xfId="648" xr:uid="{974D3377-ABBE-404F-A126-07250FEB5AE5}"/>
    <cellStyle name="SAPBEXfilterItem 4" xfId="609" xr:uid="{00000000-0005-0000-0000-00003E010000}"/>
    <cellStyle name="SAPBEXfilterText" xfId="244" xr:uid="{00000000-0005-0000-0000-00003F010000}"/>
    <cellStyle name="SAPBEXformats" xfId="245" xr:uid="{00000000-0005-0000-0000-000040010000}"/>
    <cellStyle name="SAPBEXformats 2" xfId="445" xr:uid="{00000000-0005-0000-0000-000041010000}"/>
    <cellStyle name="SAPBEXformats 3" xfId="569" xr:uid="{00000000-0005-0000-0000-000042010000}"/>
    <cellStyle name="SAPBEXformats 3 2" xfId="649" xr:uid="{542B48CC-7EA7-4D19-9CA7-E67C8D038D26}"/>
    <cellStyle name="SAPBEXformats 4" xfId="526" xr:uid="{00000000-0005-0000-0000-000043010000}"/>
    <cellStyle name="SAPBEXheaderItem" xfId="246" xr:uid="{00000000-0005-0000-0000-000044010000}"/>
    <cellStyle name="SAPBEXheaderText" xfId="247" xr:uid="{00000000-0005-0000-0000-000045010000}"/>
    <cellStyle name="SAPBEXHLevel0" xfId="248" xr:uid="{00000000-0005-0000-0000-000046010000}"/>
    <cellStyle name="SAPBEXHLevel0 2" xfId="446" xr:uid="{00000000-0005-0000-0000-000047010000}"/>
    <cellStyle name="SAPBEXHLevel0 3" xfId="570" xr:uid="{00000000-0005-0000-0000-000048010000}"/>
    <cellStyle name="SAPBEXHLevel0 3 2" xfId="650" xr:uid="{7FBEBF18-8767-4DF7-917A-E611B3B72F66}"/>
    <cellStyle name="SAPBEXHLevel0 4" xfId="525" xr:uid="{00000000-0005-0000-0000-000049010000}"/>
    <cellStyle name="SAPBEXHLevel0X" xfId="249" xr:uid="{00000000-0005-0000-0000-00004A010000}"/>
    <cellStyle name="SAPBEXHLevel0X 2" xfId="447" xr:uid="{00000000-0005-0000-0000-00004B010000}"/>
    <cellStyle name="SAPBEXHLevel0X 3" xfId="571" xr:uid="{00000000-0005-0000-0000-00004C010000}"/>
    <cellStyle name="SAPBEXHLevel0X 3 2" xfId="651" xr:uid="{2BFC5FBC-CD6C-4408-9AF2-8180D16F85A8}"/>
    <cellStyle name="SAPBEXHLevel0X 4" xfId="524" xr:uid="{00000000-0005-0000-0000-00004D010000}"/>
    <cellStyle name="SAPBEXHLevel1" xfId="250" xr:uid="{00000000-0005-0000-0000-00004E010000}"/>
    <cellStyle name="SAPBEXHLevel1 2" xfId="448" xr:uid="{00000000-0005-0000-0000-00004F010000}"/>
    <cellStyle name="SAPBEXHLevel1 3" xfId="572" xr:uid="{00000000-0005-0000-0000-000050010000}"/>
    <cellStyle name="SAPBEXHLevel1 3 2" xfId="652" xr:uid="{1351C088-657C-4059-85DD-E34EA4AC663B}"/>
    <cellStyle name="SAPBEXHLevel1 4" xfId="523" xr:uid="{00000000-0005-0000-0000-000051010000}"/>
    <cellStyle name="SAPBEXHLevel1X" xfId="251" xr:uid="{00000000-0005-0000-0000-000052010000}"/>
    <cellStyle name="SAPBEXHLevel1X 2" xfId="449" xr:uid="{00000000-0005-0000-0000-000053010000}"/>
    <cellStyle name="SAPBEXHLevel1X 3" xfId="573" xr:uid="{00000000-0005-0000-0000-000054010000}"/>
    <cellStyle name="SAPBEXHLevel1X 3 2" xfId="653" xr:uid="{173405EC-4BF1-4A80-AED4-DD58679FA678}"/>
    <cellStyle name="SAPBEXHLevel1X 4" xfId="522" xr:uid="{00000000-0005-0000-0000-000055010000}"/>
    <cellStyle name="SAPBEXHLevel2" xfId="252" xr:uid="{00000000-0005-0000-0000-000056010000}"/>
    <cellStyle name="SAPBEXHLevel2 2" xfId="450" xr:uid="{00000000-0005-0000-0000-000057010000}"/>
    <cellStyle name="SAPBEXHLevel2 3" xfId="574" xr:uid="{00000000-0005-0000-0000-000058010000}"/>
    <cellStyle name="SAPBEXHLevel2 3 2" xfId="654" xr:uid="{31B6A451-528B-4437-ADE9-5BCCEA87EDDB}"/>
    <cellStyle name="SAPBEXHLevel2 4" xfId="521" xr:uid="{00000000-0005-0000-0000-000059010000}"/>
    <cellStyle name="SAPBEXHLevel2X" xfId="253" xr:uid="{00000000-0005-0000-0000-00005A010000}"/>
    <cellStyle name="SAPBEXHLevel2X 2" xfId="451" xr:uid="{00000000-0005-0000-0000-00005B010000}"/>
    <cellStyle name="SAPBEXHLevel2X 3" xfId="575" xr:uid="{00000000-0005-0000-0000-00005C010000}"/>
    <cellStyle name="SAPBEXHLevel2X 3 2" xfId="655" xr:uid="{9EBE6209-CFEE-41C9-98DF-47B8B1F0E42E}"/>
    <cellStyle name="SAPBEXHLevel2X 4" xfId="520" xr:uid="{00000000-0005-0000-0000-00005D010000}"/>
    <cellStyle name="SAPBEXHLevel3" xfId="254" xr:uid="{00000000-0005-0000-0000-00005E010000}"/>
    <cellStyle name="SAPBEXHLevel3 2" xfId="452" xr:uid="{00000000-0005-0000-0000-00005F010000}"/>
    <cellStyle name="SAPBEXHLevel3 3" xfId="576" xr:uid="{00000000-0005-0000-0000-000060010000}"/>
    <cellStyle name="SAPBEXHLevel3 3 2" xfId="656" xr:uid="{AC422D3E-A60A-4B06-BFCA-3D1A73B71182}"/>
    <cellStyle name="SAPBEXHLevel3 4" xfId="519" xr:uid="{00000000-0005-0000-0000-000061010000}"/>
    <cellStyle name="SAPBEXHLevel3X" xfId="255" xr:uid="{00000000-0005-0000-0000-000062010000}"/>
    <cellStyle name="SAPBEXHLevel3X 2" xfId="453" xr:uid="{00000000-0005-0000-0000-000063010000}"/>
    <cellStyle name="SAPBEXHLevel3X 3" xfId="577" xr:uid="{00000000-0005-0000-0000-000064010000}"/>
    <cellStyle name="SAPBEXHLevel3X 3 2" xfId="657" xr:uid="{25862B1B-3306-4020-8905-695956CCF298}"/>
    <cellStyle name="SAPBEXHLevel3X 4" xfId="518" xr:uid="{00000000-0005-0000-0000-000065010000}"/>
    <cellStyle name="SAPBEXinputData" xfId="256" xr:uid="{00000000-0005-0000-0000-000066010000}"/>
    <cellStyle name="SAPBEXinputData 2" xfId="578" xr:uid="{00000000-0005-0000-0000-000067010000}"/>
    <cellStyle name="SAPBEXinputData 2 2" xfId="658" xr:uid="{60C257C3-C1E5-4C1D-A274-9DDD6EA3B43D}"/>
    <cellStyle name="SAPBEXinputData 3" xfId="621" xr:uid="{4A6B4663-7130-43BF-9F66-42FD7F38D0AC}"/>
    <cellStyle name="SAPBEXresData" xfId="257" xr:uid="{00000000-0005-0000-0000-000068010000}"/>
    <cellStyle name="SAPBEXresData 2" xfId="454" xr:uid="{00000000-0005-0000-0000-000069010000}"/>
    <cellStyle name="SAPBEXresData 3" xfId="579" xr:uid="{00000000-0005-0000-0000-00006A010000}"/>
    <cellStyle name="SAPBEXresData 3 2" xfId="659" xr:uid="{741B4428-3ACA-4808-B83B-993CDCF835F3}"/>
    <cellStyle name="SAPBEXresData 4" xfId="516" xr:uid="{00000000-0005-0000-0000-00006B010000}"/>
    <cellStyle name="SAPBEXresDataEmph" xfId="258" xr:uid="{00000000-0005-0000-0000-00006C010000}"/>
    <cellStyle name="SAPBEXresDataEmph 2" xfId="455" xr:uid="{00000000-0005-0000-0000-00006D010000}"/>
    <cellStyle name="SAPBEXresDataEmph 3" xfId="580" xr:uid="{00000000-0005-0000-0000-00006E010000}"/>
    <cellStyle name="SAPBEXresDataEmph 3 2" xfId="660" xr:uid="{E8E65198-D511-4EDF-8A06-00EDCA5877F9}"/>
    <cellStyle name="SAPBEXresDataEmph 4" xfId="515" xr:uid="{00000000-0005-0000-0000-00006F010000}"/>
    <cellStyle name="SAPBEXresItem" xfId="259" xr:uid="{00000000-0005-0000-0000-000070010000}"/>
    <cellStyle name="SAPBEXresItem 2" xfId="456" xr:uid="{00000000-0005-0000-0000-000071010000}"/>
    <cellStyle name="SAPBEXresItem 3" xfId="581" xr:uid="{00000000-0005-0000-0000-000072010000}"/>
    <cellStyle name="SAPBEXresItem 3 2" xfId="661" xr:uid="{FF1FB9CA-3854-4723-B739-61C0924CA37D}"/>
    <cellStyle name="SAPBEXresItem 4" xfId="514" xr:uid="{00000000-0005-0000-0000-000073010000}"/>
    <cellStyle name="SAPBEXresItemX" xfId="260" xr:uid="{00000000-0005-0000-0000-000074010000}"/>
    <cellStyle name="SAPBEXresItemX 2" xfId="457" xr:uid="{00000000-0005-0000-0000-000075010000}"/>
    <cellStyle name="SAPBEXresItemX 3" xfId="582" xr:uid="{00000000-0005-0000-0000-000076010000}"/>
    <cellStyle name="SAPBEXresItemX 3 2" xfId="662" xr:uid="{6900188E-07EB-4778-8A3F-EA4FCC1C63F4}"/>
    <cellStyle name="SAPBEXresItemX 4" xfId="513" xr:uid="{00000000-0005-0000-0000-000077010000}"/>
    <cellStyle name="SAPBEXstdData" xfId="261" xr:uid="{00000000-0005-0000-0000-000078010000}"/>
    <cellStyle name="SAPBEXstdData 2" xfId="458" xr:uid="{00000000-0005-0000-0000-000079010000}"/>
    <cellStyle name="SAPBEXstdData 3" xfId="583" xr:uid="{00000000-0005-0000-0000-00007A010000}"/>
    <cellStyle name="SAPBEXstdData 3 2" xfId="663" xr:uid="{C8FE1286-13B6-49D8-889A-2D31B3B2552E}"/>
    <cellStyle name="SAPBEXstdData 4" xfId="512" xr:uid="{00000000-0005-0000-0000-00007B010000}"/>
    <cellStyle name="SAPBEXstdDataEmph" xfId="262" xr:uid="{00000000-0005-0000-0000-00007C010000}"/>
    <cellStyle name="SAPBEXstdDataEmph 2" xfId="459" xr:uid="{00000000-0005-0000-0000-00007D010000}"/>
    <cellStyle name="SAPBEXstdDataEmph 3" xfId="584" xr:uid="{00000000-0005-0000-0000-00007E010000}"/>
    <cellStyle name="SAPBEXstdDataEmph 3 2" xfId="664" xr:uid="{469E207F-1E34-4753-B35C-AA54F1653488}"/>
    <cellStyle name="SAPBEXstdDataEmph 4" xfId="511" xr:uid="{00000000-0005-0000-0000-00007F010000}"/>
    <cellStyle name="SAPBEXstdItem" xfId="263" xr:uid="{00000000-0005-0000-0000-000080010000}"/>
    <cellStyle name="SAPBEXstdItem 2" xfId="460" xr:uid="{00000000-0005-0000-0000-000081010000}"/>
    <cellStyle name="SAPBEXstdItem 3" xfId="585" xr:uid="{00000000-0005-0000-0000-000082010000}"/>
    <cellStyle name="SAPBEXstdItem 3 2" xfId="665" xr:uid="{EE0FEDFD-5300-4AE2-B26B-908EC1D14474}"/>
    <cellStyle name="SAPBEXstdItem 4" xfId="510" xr:uid="{00000000-0005-0000-0000-000083010000}"/>
    <cellStyle name="SAPBEXstdItemX" xfId="264" xr:uid="{00000000-0005-0000-0000-000084010000}"/>
    <cellStyle name="SAPBEXstdItemX 2" xfId="461" xr:uid="{00000000-0005-0000-0000-000085010000}"/>
    <cellStyle name="SAPBEXstdItemX 3" xfId="586" xr:uid="{00000000-0005-0000-0000-000086010000}"/>
    <cellStyle name="SAPBEXstdItemX 3 2" xfId="666" xr:uid="{A967EA50-8B10-4A9F-896B-D8441AC6C097}"/>
    <cellStyle name="SAPBEXstdItemX 4" xfId="509" xr:uid="{00000000-0005-0000-0000-000087010000}"/>
    <cellStyle name="SAPBEXtitle" xfId="265" xr:uid="{00000000-0005-0000-0000-000088010000}"/>
    <cellStyle name="SAPBEXtitle 2" xfId="462" xr:uid="{00000000-0005-0000-0000-000089010000}"/>
    <cellStyle name="SAPBEXtitle 3" xfId="587" xr:uid="{00000000-0005-0000-0000-00008A010000}"/>
    <cellStyle name="SAPBEXtitle 3 2" xfId="667" xr:uid="{CC23BF05-432B-483D-BA4B-A1334F80AD18}"/>
    <cellStyle name="SAPBEXtitle 4" xfId="508" xr:uid="{00000000-0005-0000-0000-00008B010000}"/>
    <cellStyle name="SAPBEXundefined" xfId="266" xr:uid="{00000000-0005-0000-0000-00008C010000}"/>
    <cellStyle name="SAPBEXundefined 2" xfId="463" xr:uid="{00000000-0005-0000-0000-00008D010000}"/>
    <cellStyle name="SAPBEXundefined 3" xfId="588" xr:uid="{00000000-0005-0000-0000-00008E010000}"/>
    <cellStyle name="SAPBEXundefined 3 2" xfId="668" xr:uid="{5F019852-D27B-4800-BEFD-5E6213812A92}"/>
    <cellStyle name="SAPBEXundefined 4" xfId="507" xr:uid="{00000000-0005-0000-0000-00008F010000}"/>
    <cellStyle name="Separador de milhares_2005-2007 B. Plan - Consolidation" xfId="267" xr:uid="{00000000-0005-0000-0000-000090010000}"/>
    <cellStyle name="Sheet Title" xfId="268" xr:uid="{00000000-0005-0000-0000-000091010000}"/>
    <cellStyle name="Standard 2" xfId="484" xr:uid="{00000000-0005-0000-0000-000092010000}"/>
    <cellStyle name="Standard_100" xfId="269" xr:uid="{00000000-0005-0000-0000-000093010000}"/>
    <cellStyle name="subhead" xfId="270" xr:uid="{00000000-0005-0000-0000-000094010000}"/>
    <cellStyle name="TC_SheetTitle" xfId="271" xr:uid="{00000000-0005-0000-0000-000095010000}"/>
    <cellStyle name="TEXT MERGED CELLS" xfId="272" xr:uid="{00000000-0005-0000-0000-000096010000}"/>
    <cellStyle name="Title" xfId="273" xr:uid="{00000000-0005-0000-0000-000097010000}"/>
    <cellStyle name="Total" xfId="274" xr:uid="{00000000-0005-0000-0000-000098010000}"/>
    <cellStyle name="Total 2" xfId="464" xr:uid="{00000000-0005-0000-0000-000099010000}"/>
    <cellStyle name="Total 3" xfId="589" xr:uid="{00000000-0005-0000-0000-00009A010000}"/>
    <cellStyle name="Total 3 2" xfId="669" xr:uid="{3562F5E3-BCFA-44D4-BD8E-EBE9399CCADC}"/>
    <cellStyle name="Total 4" xfId="608" xr:uid="{00000000-0005-0000-0000-00009B010000}"/>
    <cellStyle name="Währung [0]_~0025339" xfId="275" xr:uid="{00000000-0005-0000-0000-00009C010000}"/>
    <cellStyle name="Währung_~0025339" xfId="276" xr:uid="{00000000-0005-0000-0000-00009D010000}"/>
    <cellStyle name="Walutowy [0]_labour efficiency" xfId="277" xr:uid="{00000000-0005-0000-0000-00009E010000}"/>
    <cellStyle name="Walutowy_labour efficiency" xfId="278" xr:uid="{00000000-0005-0000-0000-00009F010000}"/>
    <cellStyle name="Warning Text" xfId="279" xr:uid="{00000000-0005-0000-0000-0000A0010000}"/>
    <cellStyle name="アクセント 1 2" xfId="280" xr:uid="{00000000-0005-0000-0000-0000A1010000}"/>
    <cellStyle name="アクセント 2 2" xfId="281" xr:uid="{00000000-0005-0000-0000-0000A2010000}"/>
    <cellStyle name="アクセント 3 2" xfId="282" xr:uid="{00000000-0005-0000-0000-0000A3010000}"/>
    <cellStyle name="アクセント 4 2" xfId="283" xr:uid="{00000000-0005-0000-0000-0000A4010000}"/>
    <cellStyle name="アクセント 5 2" xfId="284" xr:uid="{00000000-0005-0000-0000-0000A5010000}"/>
    <cellStyle name="アクセント 6 2" xfId="285" xr:uid="{00000000-0005-0000-0000-0000A6010000}"/>
    <cellStyle name="スタイル 1" xfId="286" xr:uid="{00000000-0005-0000-0000-0000A7010000}"/>
    <cellStyle name="スタイル 1 2" xfId="287" xr:uid="{00000000-0005-0000-0000-0000A8010000}"/>
    <cellStyle name="スタイル 1_Sheet1" xfId="406" xr:uid="{00000000-0005-0000-0000-0000A9010000}"/>
    <cellStyle name="タイトル 2" xfId="288" xr:uid="{00000000-0005-0000-0000-0000AA010000}"/>
    <cellStyle name="チェック セル 2" xfId="289" xr:uid="{00000000-0005-0000-0000-0000AB010000}"/>
    <cellStyle name="どちらでもない 2" xfId="290" xr:uid="{00000000-0005-0000-0000-0000AC010000}"/>
    <cellStyle name="パーセント 2" xfId="291" xr:uid="{00000000-0005-0000-0000-0000AE010000}"/>
    <cellStyle name="パーセント 2 2" xfId="292" xr:uid="{00000000-0005-0000-0000-0000AF010000}"/>
    <cellStyle name="パーセント 2 2 2" xfId="293" xr:uid="{00000000-0005-0000-0000-0000B0010000}"/>
    <cellStyle name="パーセント 2 2_Sheet1" xfId="407" xr:uid="{00000000-0005-0000-0000-0000B1010000}"/>
    <cellStyle name="パーセント 2_アウトプットイメージ2_マーケティング" xfId="294" xr:uid="{00000000-0005-0000-0000-0000B2010000}"/>
    <cellStyle name="パーセント 4" xfId="295" xr:uid="{00000000-0005-0000-0000-0000B3010000}"/>
    <cellStyle name="パーセント[0.00]" xfId="296" xr:uid="{00000000-0005-0000-0000-0000B4010000}"/>
    <cellStyle name="ハイパーリンク 2" xfId="297" xr:uid="{00000000-0005-0000-0000-0000B6010000}"/>
    <cellStyle name="メモ 2" xfId="298" xr:uid="{00000000-0005-0000-0000-0000B7010000}"/>
    <cellStyle name="メモ 2 2" xfId="465" xr:uid="{00000000-0005-0000-0000-0000B8010000}"/>
    <cellStyle name="メモ 2 3" xfId="591" xr:uid="{00000000-0005-0000-0000-0000B9010000}"/>
    <cellStyle name="メモ 2 3 2" xfId="670" xr:uid="{9C45A914-A5EE-4649-88DB-A18C8EDDE1E5}"/>
    <cellStyle name="メモ 2 4" xfId="505" xr:uid="{00000000-0005-0000-0000-0000BA010000}"/>
    <cellStyle name="リンク セル 2" xfId="299" xr:uid="{00000000-0005-0000-0000-0000BB010000}"/>
    <cellStyle name="一般_~4982736" xfId="301" xr:uid="{00000000-0005-0000-0000-0000BD010000}"/>
    <cellStyle name="中等" xfId="336" xr:uid="{00000000-0005-0000-0000-0000FF010000}"/>
    <cellStyle name="中等 2" xfId="337" xr:uid="{00000000-0005-0000-0000-000000020000}"/>
    <cellStyle name="備註" xfId="341" xr:uid="{00000000-0005-0000-0000-00000A020000}"/>
    <cellStyle name="備註 2" xfId="476" xr:uid="{00000000-0005-0000-0000-00000B020000}"/>
    <cellStyle name="備註 3" xfId="602" xr:uid="{00000000-0005-0000-0000-00000C020000}"/>
    <cellStyle name="備註 3 2" xfId="680" xr:uid="{79CE405A-ECC0-41A5-BCA7-C478F1DF6A37}"/>
    <cellStyle name="備註 4" xfId="495" xr:uid="{00000000-0005-0000-0000-00000D020000}"/>
    <cellStyle name="入力 2" xfId="340" xr:uid="{00000000-0005-0000-0000-000006020000}"/>
    <cellStyle name="入力 2 2" xfId="475" xr:uid="{00000000-0005-0000-0000-000007020000}"/>
    <cellStyle name="入力 2 3" xfId="601" xr:uid="{00000000-0005-0000-0000-000008020000}"/>
    <cellStyle name="入力 2 3 2" xfId="679" xr:uid="{E9129B37-0B4F-43FE-A9FF-681A066B0B5F}"/>
    <cellStyle name="入力 2 4" xfId="496" xr:uid="{00000000-0005-0000-0000-000009020000}"/>
    <cellStyle name="出力 2" xfId="329" xr:uid="{00000000-0005-0000-0000-0000F5010000}"/>
    <cellStyle name="出力 2 2" xfId="473" xr:uid="{00000000-0005-0000-0000-0000F6010000}"/>
    <cellStyle name="出力 2 3" xfId="599" xr:uid="{00000000-0005-0000-0000-0000F7010000}"/>
    <cellStyle name="出力 2 3 2" xfId="678" xr:uid="{5755C9F3-E27D-4A19-B8BA-73035BFE97EA}"/>
    <cellStyle name="出力 2 4" xfId="497" xr:uid="{00000000-0005-0000-0000-0000F8010000}"/>
    <cellStyle name="千位分隔[0]_gm worksheet" xfId="332" xr:uid="{00000000-0005-0000-0000-0000FB010000}"/>
    <cellStyle name="千位分隔_gm worksheet" xfId="333" xr:uid="{00000000-0005-0000-0000-0000FC010000}"/>
    <cellStyle name="千分位[0]_01'Sales%" xfId="334" xr:uid="{00000000-0005-0000-0000-0000FD010000}"/>
    <cellStyle name="千分位_2005-2007 Brochure Plan" xfId="335" xr:uid="{00000000-0005-0000-0000-0000FE010000}"/>
    <cellStyle name="合計" xfId="326" xr:uid="{00000000-0005-0000-0000-0000E9010000}"/>
    <cellStyle name="合計 2" xfId="327" xr:uid="{00000000-0005-0000-0000-0000EA010000}"/>
    <cellStyle name="合計 2 2" xfId="471" xr:uid="{00000000-0005-0000-0000-0000EB010000}"/>
    <cellStyle name="合計 2 3" xfId="597" xr:uid="{00000000-0005-0000-0000-0000EC010000}"/>
    <cellStyle name="合計 2 3 2" xfId="676" xr:uid="{E5D42929-8B84-4591-B32F-1559C0D8E208}"/>
    <cellStyle name="合計 2 4" xfId="499" xr:uid="{00000000-0005-0000-0000-0000ED010000}"/>
    <cellStyle name="合計 3" xfId="470" xr:uid="{00000000-0005-0000-0000-0000EE010000}"/>
    <cellStyle name="合計 4" xfId="596" xr:uid="{00000000-0005-0000-0000-0000EF010000}"/>
    <cellStyle name="合計 4 2" xfId="675" xr:uid="{A8E32ED7-8DF3-4E6F-B9D7-2164B8CB8291}"/>
    <cellStyle name="合計 5" xfId="500" xr:uid="{00000000-0005-0000-0000-0000F0010000}"/>
    <cellStyle name="基本フォーム" xfId="304" xr:uid="{00000000-0005-0000-0000-0000C0010000}"/>
    <cellStyle name="基本フォーム 2" xfId="466" xr:uid="{00000000-0005-0000-0000-0000C1010000}"/>
    <cellStyle name="基本フォーム 2 2" xfId="612" xr:uid="{00000000-0005-0000-0000-0000C2010000}"/>
    <cellStyle name="基本フォーム 2 2 2" xfId="686" xr:uid="{9DC92341-5A64-449E-96A6-14B1AF053F63}"/>
    <cellStyle name="基本フォーム 2 3" xfId="615" xr:uid="{00000000-0005-0000-0000-0000C3010000}"/>
    <cellStyle name="基本フォーム 3" xfId="592" xr:uid="{00000000-0005-0000-0000-0000C4010000}"/>
    <cellStyle name="基本フォーム 3 2" xfId="671" xr:uid="{D5F93E79-660B-48CE-ACB0-1D982453F0DB}"/>
    <cellStyle name="基本フォーム 4" xfId="504" xr:uid="{00000000-0005-0000-0000-0000C5010000}"/>
    <cellStyle name="壞" xfId="397" xr:uid="{00000000-0005-0000-0000-000063020000}"/>
    <cellStyle name="壞 2" xfId="398" xr:uid="{00000000-0005-0000-0000-000064020000}"/>
    <cellStyle name="好" xfId="324" xr:uid="{00000000-0005-0000-0000-0000E7010000}"/>
    <cellStyle name="好 2" xfId="325" xr:uid="{00000000-0005-0000-0000-0000E8010000}"/>
    <cellStyle name="常规_Attachment D- CountryOBU Business Plan Financial Deck" xfId="330" xr:uid="{00000000-0005-0000-0000-0000F9010000}"/>
    <cellStyle name="悪い 2" xfId="300" xr:uid="{00000000-0005-0000-0000-0000BC010000}"/>
    <cellStyle name="未定義" xfId="389" xr:uid="{00000000-0005-0000-0000-00004F020000}"/>
    <cellStyle name="桁区切り [0.00] 2" xfId="482" xr:uid="{00000000-0005-0000-0000-0000D7010000}"/>
    <cellStyle name="桁区切り 2" xfId="311" xr:uid="{00000000-0005-0000-0000-0000D8010000}"/>
    <cellStyle name="桁区切り 2 2" xfId="312" xr:uid="{00000000-0005-0000-0000-0000D9010000}"/>
    <cellStyle name="桁区切り 2_アウトプットイメージ2_マーケティング" xfId="313" xr:uid="{00000000-0005-0000-0000-0000DA010000}"/>
    <cellStyle name="桁区切り 3" xfId="314" xr:uid="{00000000-0005-0000-0000-0000DB010000}"/>
    <cellStyle name="桁区切り 4" xfId="488" xr:uid="{00000000-0005-0000-0000-0000DC010000}"/>
    <cellStyle name="桁区切り 5" xfId="315" xr:uid="{00000000-0005-0000-0000-0000DD010000}"/>
    <cellStyle name="桁区切り 6" xfId="316" xr:uid="{00000000-0005-0000-0000-0000DE010000}"/>
    <cellStyle name="桁区切り 8" xfId="317" xr:uid="{00000000-0005-0000-0000-0000DF010000}"/>
    <cellStyle name="桁区切り 9" xfId="318" xr:uid="{00000000-0005-0000-0000-0000E0010000}"/>
    <cellStyle name="桁区切り_10MTP_Package_Bxx (2)" xfId="420" xr:uid="{00000000-0005-0000-0000-0000E1010000}"/>
    <cellStyle name="標準 10" xfId="342" xr:uid="{00000000-0005-0000-0000-00000F020000}"/>
    <cellStyle name="標準 11" xfId="343" xr:uid="{00000000-0005-0000-0000-000010020000}"/>
    <cellStyle name="標準 12" xfId="344" xr:uid="{00000000-0005-0000-0000-000011020000}"/>
    <cellStyle name="標準 13" xfId="481" xr:uid="{00000000-0005-0000-0000-000012020000}"/>
    <cellStyle name="標準 14" xfId="483" xr:uid="{00000000-0005-0000-0000-000013020000}"/>
    <cellStyle name="標準 15" xfId="486" xr:uid="{00000000-0005-0000-0000-000014020000}"/>
    <cellStyle name="標準 16" xfId="487" xr:uid="{00000000-0005-0000-0000-000015020000}"/>
    <cellStyle name="標準 16 2" xfId="614" xr:uid="{00000000-0005-0000-0000-000016020000}"/>
    <cellStyle name="標準 2" xfId="345" xr:uid="{00000000-0005-0000-0000-000017020000}"/>
    <cellStyle name="標準 2 2" xfId="346" xr:uid="{00000000-0005-0000-0000-000018020000}"/>
    <cellStyle name="標準 2 2 2" xfId="347" xr:uid="{00000000-0005-0000-0000-000019020000}"/>
    <cellStyle name="標準 2 2 3" xfId="348" xr:uid="{00000000-0005-0000-0000-00001A020000}"/>
    <cellStyle name="標準 2 2_Sheet1" xfId="408" xr:uid="{00000000-0005-0000-0000-00001B020000}"/>
    <cellStyle name="標準 2 3" xfId="349" xr:uid="{00000000-0005-0000-0000-00001C020000}"/>
    <cellStyle name="標準 2 3 2" xfId="350" xr:uid="{00000000-0005-0000-0000-00001D020000}"/>
    <cellStyle name="標準 2 3_Sheet1" xfId="409" xr:uid="{00000000-0005-0000-0000-00001E020000}"/>
    <cellStyle name="標準 2 4" xfId="351" xr:uid="{00000000-0005-0000-0000-00001F020000}"/>
    <cellStyle name="標準 2 5" xfId="352" xr:uid="{00000000-0005-0000-0000-000020020000}"/>
    <cellStyle name="標準 2_01_アウトライン設計書_ver0.1_100528" xfId="353" xr:uid="{00000000-0005-0000-0000-000021020000}"/>
    <cellStyle name="標準 3" xfId="354" xr:uid="{00000000-0005-0000-0000-000022020000}"/>
    <cellStyle name="標準 3 2" xfId="355" xr:uid="{00000000-0005-0000-0000-000023020000}"/>
    <cellStyle name="標準 3_Sheet1" xfId="410" xr:uid="{00000000-0005-0000-0000-000024020000}"/>
    <cellStyle name="標準 4" xfId="356" xr:uid="{00000000-0005-0000-0000-000025020000}"/>
    <cellStyle name="標準 4 2" xfId="357" xr:uid="{00000000-0005-0000-0000-000026020000}"/>
    <cellStyle name="標準 4 3" xfId="358" xr:uid="{00000000-0005-0000-0000-000027020000}"/>
    <cellStyle name="標準 4 4" xfId="359" xr:uid="{00000000-0005-0000-0000-000028020000}"/>
    <cellStyle name="標準 4_Sheet1" xfId="411" xr:uid="{00000000-0005-0000-0000-000029020000}"/>
    <cellStyle name="標準 5" xfId="360" xr:uid="{00000000-0005-0000-0000-00002A020000}"/>
    <cellStyle name="標準 5 2" xfId="361" xr:uid="{00000000-0005-0000-0000-00002B020000}"/>
    <cellStyle name="標準 5 3" xfId="422" xr:uid="{00000000-0005-0000-0000-00002C020000}"/>
    <cellStyle name="標準 5 3 2" xfId="607" xr:uid="{00000000-0005-0000-0000-00002D020000}"/>
    <cellStyle name="標準 5 3 2 2" xfId="685" xr:uid="{7227C273-6248-4033-9B3A-43BE958C2F78}"/>
    <cellStyle name="標準 5 3 3" xfId="622" xr:uid="{51C475DA-D8F0-4E77-9974-F9505D315708}"/>
    <cellStyle name="標準 5_Sheet1" xfId="412" xr:uid="{00000000-0005-0000-0000-00002E020000}"/>
    <cellStyle name="標準 6" xfId="362" xr:uid="{00000000-0005-0000-0000-00002F020000}"/>
    <cellStyle name="標準 7" xfId="363" xr:uid="{00000000-0005-0000-0000-000030020000}"/>
    <cellStyle name="標準 8" xfId="364" xr:uid="{00000000-0005-0000-0000-000031020000}"/>
    <cellStyle name="標準 9" xfId="365" xr:uid="{00000000-0005-0000-0000-000032020000}"/>
    <cellStyle name="標準_07MTP Form3(Financial) (Draft)03" xfId="417" xr:uid="{00000000-0005-0000-0000-000033020000}"/>
    <cellStyle name="標準_08MTP_Form3(Financials)" xfId="419" xr:uid="{00000000-0005-0000-0000-000034020000}"/>
    <cellStyle name="標準_FY10下見通 " xfId="421" xr:uid="{00000000-0005-0000-0000-000035020000}"/>
    <cellStyle name="標準_OD編成form02仮_03-2ndEst BAT_08MTP_Form3(Financials)" xfId="418" xr:uid="{00000000-0005-0000-0000-000036020000}"/>
    <cellStyle name="標準_Sheet1" xfId="413" xr:uid="{00000000-0005-0000-0000-000037020000}"/>
    <cellStyle name="標題" xfId="366" xr:uid="{00000000-0005-0000-0000-000038020000}"/>
    <cellStyle name="標題 1" xfId="367" xr:uid="{00000000-0005-0000-0000-000039020000}"/>
    <cellStyle name="標題 1 2" xfId="368" xr:uid="{00000000-0005-0000-0000-00003A020000}"/>
    <cellStyle name="標題 2" xfId="369" xr:uid="{00000000-0005-0000-0000-00003B020000}"/>
    <cellStyle name="標題 2 2" xfId="370" xr:uid="{00000000-0005-0000-0000-00003C020000}"/>
    <cellStyle name="標題 3" xfId="371" xr:uid="{00000000-0005-0000-0000-00003D020000}"/>
    <cellStyle name="標題 3 2" xfId="372" xr:uid="{00000000-0005-0000-0000-00003E020000}"/>
    <cellStyle name="標題 4" xfId="373" xr:uid="{00000000-0005-0000-0000-00003F020000}"/>
    <cellStyle name="標題 4 2" xfId="374" xr:uid="{00000000-0005-0000-0000-000040020000}"/>
    <cellStyle name="標題 5" xfId="375" xr:uid="{00000000-0005-0000-0000-000041020000}"/>
    <cellStyle name="檢查儲存格" xfId="399" xr:uid="{00000000-0005-0000-0000-000065020000}"/>
    <cellStyle name="檢查儲存格 2" xfId="400" xr:uid="{00000000-0005-0000-0000-000066020000}"/>
    <cellStyle name="磨葬e義" xfId="388" xr:uid="{00000000-0005-0000-0000-00004E020000}"/>
    <cellStyle name="良い 2" xfId="394" xr:uid="{00000000-0005-0000-0000-000060020000}"/>
    <cellStyle name="見出し 1 2" xfId="319" xr:uid="{00000000-0005-0000-0000-0000E2010000}"/>
    <cellStyle name="見出し 2 2" xfId="320" xr:uid="{00000000-0005-0000-0000-0000E3010000}"/>
    <cellStyle name="見出し 3 2" xfId="321" xr:uid="{00000000-0005-0000-0000-0000E4010000}"/>
    <cellStyle name="見出し 4 2" xfId="322" xr:uid="{00000000-0005-0000-0000-0000E5010000}"/>
    <cellStyle name="見出し１" xfId="323" xr:uid="{00000000-0005-0000-0000-0000E6010000}"/>
    <cellStyle name="計算 2" xfId="305" xr:uid="{00000000-0005-0000-0000-0000C6010000}"/>
    <cellStyle name="計算 2 2" xfId="467" xr:uid="{00000000-0005-0000-0000-0000C7010000}"/>
    <cellStyle name="計算 2 3" xfId="593" xr:uid="{00000000-0005-0000-0000-0000C8010000}"/>
    <cellStyle name="計算 2 3 2" xfId="672" xr:uid="{364FAC46-9055-4127-AA83-9AEE3F8D2E76}"/>
    <cellStyle name="計算 2 4" xfId="503" xr:uid="{00000000-0005-0000-0000-0000C9010000}"/>
    <cellStyle name="計算方式" xfId="306" xr:uid="{00000000-0005-0000-0000-0000CA010000}"/>
    <cellStyle name="計算方式 2" xfId="307" xr:uid="{00000000-0005-0000-0000-0000CB010000}"/>
    <cellStyle name="計算方式 2 2" xfId="469" xr:uid="{00000000-0005-0000-0000-0000CC010000}"/>
    <cellStyle name="計算方式 2 3" xfId="595" xr:uid="{00000000-0005-0000-0000-0000CD010000}"/>
    <cellStyle name="計算方式 2 3 2" xfId="674" xr:uid="{89CBB505-0F7C-4010-A4F4-B2F93988CA6F}"/>
    <cellStyle name="計算方式 2 4" xfId="501" xr:uid="{00000000-0005-0000-0000-0000CE010000}"/>
    <cellStyle name="計算方式 3" xfId="468" xr:uid="{00000000-0005-0000-0000-0000CF010000}"/>
    <cellStyle name="計算方式 4" xfId="594" xr:uid="{00000000-0005-0000-0000-0000D0010000}"/>
    <cellStyle name="計算方式 4 2" xfId="673" xr:uid="{6442BC48-C129-4000-88A4-D8E50AED262F}"/>
    <cellStyle name="計算方式 5" xfId="502" xr:uid="{00000000-0005-0000-0000-0000D1010000}"/>
    <cellStyle name="說明文字" xfId="402" xr:uid="{00000000-0005-0000-0000-000068020000}"/>
    <cellStyle name="說明文字 2" xfId="403" xr:uid="{00000000-0005-0000-0000-000069020000}"/>
    <cellStyle name="説明文 2" xfId="331" xr:uid="{00000000-0005-0000-0000-0000FA010000}"/>
    <cellStyle name="警告文 2" xfId="308" xr:uid="{00000000-0005-0000-0000-0000D2010000}"/>
    <cellStyle name="警告文字" xfId="309" xr:uid="{00000000-0005-0000-0000-0000D3010000}"/>
    <cellStyle name="警告文字 2" xfId="310" xr:uid="{00000000-0005-0000-0000-0000D4010000}"/>
    <cellStyle name="貨幣 [0]_2004 profit plan 0814" xfId="302" xr:uid="{00000000-0005-0000-0000-0000BE010000}"/>
    <cellStyle name="貨幣_2004 profit plan 0814" xfId="303" xr:uid="{00000000-0005-0000-0000-0000BF010000}"/>
    <cellStyle name="货币[0]_gm worksheet" xfId="404" xr:uid="{00000000-0005-0000-0000-00006A020000}"/>
    <cellStyle name="货币_gm worksheet" xfId="405" xr:uid="{00000000-0005-0000-0000-00006B020000}"/>
    <cellStyle name="超連結_2004 profit plan 0814" xfId="338" xr:uid="{00000000-0005-0000-0000-000001020000}"/>
    <cellStyle name="輔色1" xfId="376" xr:uid="{00000000-0005-0000-0000-000042020000}"/>
    <cellStyle name="輔色1 2" xfId="377" xr:uid="{00000000-0005-0000-0000-000043020000}"/>
    <cellStyle name="輔色2" xfId="378" xr:uid="{00000000-0005-0000-0000-000044020000}"/>
    <cellStyle name="輔色2 2" xfId="379" xr:uid="{00000000-0005-0000-0000-000045020000}"/>
    <cellStyle name="輔色3" xfId="380" xr:uid="{00000000-0005-0000-0000-000046020000}"/>
    <cellStyle name="輔色3 2" xfId="381" xr:uid="{00000000-0005-0000-0000-000047020000}"/>
    <cellStyle name="輔色4" xfId="382" xr:uid="{00000000-0005-0000-0000-000048020000}"/>
    <cellStyle name="輔色4 2" xfId="383" xr:uid="{00000000-0005-0000-0000-000049020000}"/>
    <cellStyle name="輔色5" xfId="384" xr:uid="{00000000-0005-0000-0000-00004A020000}"/>
    <cellStyle name="輔色5 2" xfId="385" xr:uid="{00000000-0005-0000-0000-00004B020000}"/>
    <cellStyle name="輔色6" xfId="386" xr:uid="{00000000-0005-0000-0000-00004C020000}"/>
    <cellStyle name="輔色6 2" xfId="387" xr:uid="{00000000-0005-0000-0000-00004D020000}"/>
    <cellStyle name="輸入" xfId="392" xr:uid="{00000000-0005-0000-0000-000058020000}"/>
    <cellStyle name="輸入 2" xfId="393" xr:uid="{00000000-0005-0000-0000-000059020000}"/>
    <cellStyle name="輸入 2 2" xfId="480" xr:uid="{00000000-0005-0000-0000-00005A020000}"/>
    <cellStyle name="輸入 2 3" xfId="606" xr:uid="{00000000-0005-0000-0000-00005B020000}"/>
    <cellStyle name="輸入 2 3 2" xfId="684" xr:uid="{D99E889E-5354-43CA-9843-0C8D4FDF8864}"/>
    <cellStyle name="輸入 2 4" xfId="490" xr:uid="{00000000-0005-0000-0000-00005C020000}"/>
    <cellStyle name="輸入 3" xfId="479" xr:uid="{00000000-0005-0000-0000-00005D020000}"/>
    <cellStyle name="輸入 4" xfId="605" xr:uid="{00000000-0005-0000-0000-00005E020000}"/>
    <cellStyle name="輸入 4 2" xfId="683" xr:uid="{EDC3FAE6-E4D3-44EC-A695-8748B3264AF2}"/>
    <cellStyle name="輸入 5" xfId="491" xr:uid="{00000000-0005-0000-0000-00005F020000}"/>
    <cellStyle name="輸出" xfId="390" xr:uid="{00000000-0005-0000-0000-000050020000}"/>
    <cellStyle name="輸出 2" xfId="391" xr:uid="{00000000-0005-0000-0000-000051020000}"/>
    <cellStyle name="輸出 2 2" xfId="478" xr:uid="{00000000-0005-0000-0000-000052020000}"/>
    <cellStyle name="輸出 2 3" xfId="604" xr:uid="{00000000-0005-0000-0000-000053020000}"/>
    <cellStyle name="輸出 2 3 2" xfId="682" xr:uid="{A42B4D2E-C361-4732-A3C8-833A11891B0F}"/>
    <cellStyle name="輸出 2 4" xfId="492" xr:uid="{00000000-0005-0000-0000-000054020000}"/>
    <cellStyle name="輸出 3" xfId="477" xr:uid="{00000000-0005-0000-0000-000055020000}"/>
    <cellStyle name="輸出 4" xfId="603" xr:uid="{00000000-0005-0000-0000-000056020000}"/>
    <cellStyle name="輸出 4 2" xfId="681" xr:uid="{E9043DF4-1645-41D4-A0C4-5F32034D3E59}"/>
    <cellStyle name="輸出 5" xfId="493" xr:uid="{00000000-0005-0000-0000-000057020000}"/>
    <cellStyle name="通貨 [0.00] 2" xfId="339" xr:uid="{00000000-0005-0000-0000-000002020000}"/>
    <cellStyle name="通貨 [0.00] 2 2" xfId="474" xr:uid="{00000000-0005-0000-0000-000003020000}"/>
    <cellStyle name="通貨 [0.00] 2 2 2" xfId="613" xr:uid="{00000000-0005-0000-0000-000004020000}"/>
    <cellStyle name="通貨 [0.00] 2 3" xfId="600" xr:uid="{00000000-0005-0000-0000-000005020000}"/>
    <cellStyle name="連結的儲存格" xfId="395" xr:uid="{00000000-0005-0000-0000-000061020000}"/>
    <cellStyle name="連結的儲存格 2" xfId="396" xr:uid="{00000000-0005-0000-0000-000062020000}"/>
    <cellStyle name="隨後的超連結_2004 profit plan 0814" xfId="401" xr:uid="{00000000-0005-0000-0000-000067020000}"/>
    <cellStyle name="集計 2" xfId="328" xr:uid="{00000000-0005-0000-0000-0000F1010000}"/>
    <cellStyle name="集計 2 2" xfId="472" xr:uid="{00000000-0005-0000-0000-0000F2010000}"/>
    <cellStyle name="集計 2 3" xfId="598" xr:uid="{00000000-0005-0000-0000-0000F3010000}"/>
    <cellStyle name="集計 2 3 2" xfId="677" xr:uid="{79DABB8D-DB59-4D71-B560-9D3132BCF13B}"/>
    <cellStyle name="集計 2 4" xfId="498" xr:uid="{00000000-0005-0000-0000-0000F4010000}"/>
  </cellStyles>
  <dxfs count="0"/>
  <tableStyles count="0" defaultTableStyle="TableStyleMedium2" defaultPivotStyle="PivotStyleLight16"/>
  <colors>
    <mruColors>
      <color rgb="FFCCECFF"/>
      <color rgb="FF99CCFF"/>
      <color rgb="FF0000FF"/>
      <color rgb="FFFFFFCC"/>
      <color rgb="FFEFCEFE"/>
      <color rgb="FFCCFFFF"/>
      <color rgb="FFCC99FF"/>
      <color rgb="FFFFFF99"/>
      <color rgb="FFFCCEFE"/>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76200</xdr:colOff>
      <xdr:row>30</xdr:row>
      <xdr:rowOff>45720</xdr:rowOff>
    </xdr:from>
    <xdr:to>
      <xdr:col>5</xdr:col>
      <xdr:colOff>199790</xdr:colOff>
      <xdr:row>34</xdr:row>
      <xdr:rowOff>39918</xdr:rowOff>
    </xdr:to>
    <xdr:pic>
      <xdr:nvPicPr>
        <xdr:cNvPr id="2" name="図 1">
          <a:extLst>
            <a:ext uri="{FF2B5EF4-FFF2-40B4-BE49-F238E27FC236}">
              <a16:creationId xmlns:a16="http://schemas.microsoft.com/office/drawing/2014/main" id="{4B34C66D-9F72-4ED7-9590-570BDB3AE18A}"/>
            </a:ext>
          </a:extLst>
        </xdr:cNvPr>
        <xdr:cNvPicPr>
          <a:picLocks noChangeAspect="1"/>
        </xdr:cNvPicPr>
      </xdr:nvPicPr>
      <xdr:blipFill>
        <a:blip xmlns:r="http://schemas.openxmlformats.org/officeDocument/2006/relationships" r:embed="rId1"/>
        <a:stretch>
          <a:fillRect/>
        </a:stretch>
      </xdr:blipFill>
      <xdr:spPr>
        <a:xfrm>
          <a:off x="990600" y="6286500"/>
          <a:ext cx="1876190" cy="695238"/>
        </a:xfrm>
        <a:prstGeom prst="rect">
          <a:avLst/>
        </a:prstGeom>
      </xdr:spPr>
    </xdr:pic>
    <xdr:clientData/>
  </xdr:twoCellAnchor>
  <xdr:twoCellAnchor>
    <xdr:from>
      <xdr:col>4</xdr:col>
      <xdr:colOff>76200</xdr:colOff>
      <xdr:row>9</xdr:row>
      <xdr:rowOff>114300</xdr:rowOff>
    </xdr:from>
    <xdr:to>
      <xdr:col>4</xdr:col>
      <xdr:colOff>504825</xdr:colOff>
      <xdr:row>9</xdr:row>
      <xdr:rowOff>114300</xdr:rowOff>
    </xdr:to>
    <xdr:cxnSp macro="">
      <xdr:nvCxnSpPr>
        <xdr:cNvPr id="3" name="直線矢印コネクタ 2">
          <a:extLst>
            <a:ext uri="{FF2B5EF4-FFF2-40B4-BE49-F238E27FC236}">
              <a16:creationId xmlns:a16="http://schemas.microsoft.com/office/drawing/2014/main" id="{0EC6BA0E-7B0C-4B57-B811-BB42780ECDD1}"/>
            </a:ext>
          </a:extLst>
        </xdr:cNvPr>
        <xdr:cNvCxnSpPr/>
      </xdr:nvCxnSpPr>
      <xdr:spPr>
        <a:xfrm>
          <a:off x="2103120" y="1905000"/>
          <a:ext cx="42862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76200</xdr:colOff>
      <xdr:row>13</xdr:row>
      <xdr:rowOff>114300</xdr:rowOff>
    </xdr:from>
    <xdr:to>
      <xdr:col>4</xdr:col>
      <xdr:colOff>504825</xdr:colOff>
      <xdr:row>13</xdr:row>
      <xdr:rowOff>114300</xdr:rowOff>
    </xdr:to>
    <xdr:cxnSp macro="">
      <xdr:nvCxnSpPr>
        <xdr:cNvPr id="4" name="直線矢印コネクタ 3">
          <a:extLst>
            <a:ext uri="{FF2B5EF4-FFF2-40B4-BE49-F238E27FC236}">
              <a16:creationId xmlns:a16="http://schemas.microsoft.com/office/drawing/2014/main" id="{41704793-EA6F-4C4D-9EAC-DF8B554882CB}"/>
            </a:ext>
          </a:extLst>
        </xdr:cNvPr>
        <xdr:cNvCxnSpPr/>
      </xdr:nvCxnSpPr>
      <xdr:spPr>
        <a:xfrm>
          <a:off x="2103120" y="3215640"/>
          <a:ext cx="42862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76200</xdr:colOff>
      <xdr:row>10</xdr:row>
      <xdr:rowOff>114300</xdr:rowOff>
    </xdr:from>
    <xdr:to>
      <xdr:col>4</xdr:col>
      <xdr:colOff>504825</xdr:colOff>
      <xdr:row>10</xdr:row>
      <xdr:rowOff>114300</xdr:rowOff>
    </xdr:to>
    <xdr:cxnSp macro="">
      <xdr:nvCxnSpPr>
        <xdr:cNvPr id="5" name="直線矢印コネクタ 4">
          <a:extLst>
            <a:ext uri="{FF2B5EF4-FFF2-40B4-BE49-F238E27FC236}">
              <a16:creationId xmlns:a16="http://schemas.microsoft.com/office/drawing/2014/main" id="{5BB26385-E824-49BD-868F-2C4FF1948308}"/>
            </a:ext>
          </a:extLst>
        </xdr:cNvPr>
        <xdr:cNvCxnSpPr/>
      </xdr:nvCxnSpPr>
      <xdr:spPr>
        <a:xfrm>
          <a:off x="2103120" y="2110740"/>
          <a:ext cx="42862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76200</xdr:colOff>
      <xdr:row>15</xdr:row>
      <xdr:rowOff>114300</xdr:rowOff>
    </xdr:from>
    <xdr:to>
      <xdr:col>4</xdr:col>
      <xdr:colOff>504825</xdr:colOff>
      <xdr:row>15</xdr:row>
      <xdr:rowOff>114300</xdr:rowOff>
    </xdr:to>
    <xdr:cxnSp macro="">
      <xdr:nvCxnSpPr>
        <xdr:cNvPr id="6" name="直線矢印コネクタ 5">
          <a:extLst>
            <a:ext uri="{FF2B5EF4-FFF2-40B4-BE49-F238E27FC236}">
              <a16:creationId xmlns:a16="http://schemas.microsoft.com/office/drawing/2014/main" id="{278DC290-08A9-481B-A48B-2962C09D57E9}"/>
            </a:ext>
          </a:extLst>
        </xdr:cNvPr>
        <xdr:cNvCxnSpPr/>
      </xdr:nvCxnSpPr>
      <xdr:spPr>
        <a:xfrm>
          <a:off x="2103120" y="3627120"/>
          <a:ext cx="42862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71485</xdr:colOff>
      <xdr:row>11</xdr:row>
      <xdr:rowOff>118725</xdr:rowOff>
    </xdr:from>
    <xdr:to>
      <xdr:col>4</xdr:col>
      <xdr:colOff>473652</xdr:colOff>
      <xdr:row>12</xdr:row>
      <xdr:rowOff>191366</xdr:rowOff>
    </xdr:to>
    <xdr:cxnSp macro="">
      <xdr:nvCxnSpPr>
        <xdr:cNvPr id="7" name="直線矢印コネクタ 6">
          <a:extLst>
            <a:ext uri="{FF2B5EF4-FFF2-40B4-BE49-F238E27FC236}">
              <a16:creationId xmlns:a16="http://schemas.microsoft.com/office/drawing/2014/main" id="{AD8FFA3E-04B3-435C-BE07-D2F9CFC5AF3B}"/>
            </a:ext>
          </a:extLst>
        </xdr:cNvPr>
        <xdr:cNvCxnSpPr/>
      </xdr:nvCxnSpPr>
      <xdr:spPr>
        <a:xfrm>
          <a:off x="2098405" y="2320905"/>
          <a:ext cx="402167" cy="27838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76200</xdr:colOff>
      <xdr:row>11</xdr:row>
      <xdr:rowOff>114300</xdr:rowOff>
    </xdr:from>
    <xdr:to>
      <xdr:col>4</xdr:col>
      <xdr:colOff>504825</xdr:colOff>
      <xdr:row>11</xdr:row>
      <xdr:rowOff>114300</xdr:rowOff>
    </xdr:to>
    <xdr:cxnSp macro="">
      <xdr:nvCxnSpPr>
        <xdr:cNvPr id="8" name="直線矢印コネクタ 7">
          <a:extLst>
            <a:ext uri="{FF2B5EF4-FFF2-40B4-BE49-F238E27FC236}">
              <a16:creationId xmlns:a16="http://schemas.microsoft.com/office/drawing/2014/main" id="{64AC16BC-A75C-4DCE-9DF4-1452226E2DAB}"/>
            </a:ext>
          </a:extLst>
        </xdr:cNvPr>
        <xdr:cNvCxnSpPr/>
      </xdr:nvCxnSpPr>
      <xdr:spPr>
        <a:xfrm>
          <a:off x="2103120" y="2316480"/>
          <a:ext cx="42862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967468</xdr:colOff>
      <xdr:row>9</xdr:row>
      <xdr:rowOff>87086</xdr:rowOff>
    </xdr:from>
    <xdr:to>
      <xdr:col>6</xdr:col>
      <xdr:colOff>2143125</xdr:colOff>
      <xdr:row>11</xdr:row>
      <xdr:rowOff>97971</xdr:rowOff>
    </xdr:to>
    <xdr:sp macro="" textlink="">
      <xdr:nvSpPr>
        <xdr:cNvPr id="9" name="テキスト ボックス 8">
          <a:extLst>
            <a:ext uri="{FF2B5EF4-FFF2-40B4-BE49-F238E27FC236}">
              <a16:creationId xmlns:a16="http://schemas.microsoft.com/office/drawing/2014/main" id="{5F1BD549-6950-4D32-A7F9-3CB16523C162}"/>
            </a:ext>
          </a:extLst>
        </xdr:cNvPr>
        <xdr:cNvSpPr txBox="1"/>
      </xdr:nvSpPr>
      <xdr:spPr>
        <a:xfrm>
          <a:off x="6088108" y="1877786"/>
          <a:ext cx="1175657" cy="422365"/>
        </a:xfrm>
        <a:prstGeom prst="rect">
          <a:avLst/>
        </a:prstGeom>
        <a:ln w="12700"/>
      </xdr:spPr>
      <xdr:style>
        <a:lnRef idx="1">
          <a:schemeClr val="accent4"/>
        </a:lnRef>
        <a:fillRef idx="2">
          <a:schemeClr val="accent4"/>
        </a:fillRef>
        <a:effectRef idx="1">
          <a:schemeClr val="accent4"/>
        </a:effectRef>
        <a:fontRef idx="minor">
          <a:schemeClr val="dk1"/>
        </a:fontRef>
      </xdr:style>
      <xdr:txBody>
        <a:bodyPr vertOverflow="clip" horzOverflow="clip" wrap="square" rtlCol="0" anchor="ctr"/>
        <a:lstStyle/>
        <a:p>
          <a:pPr algn="ctr"/>
          <a:r>
            <a:rPr kumimoji="1" lang="en-US" altLang="ja-JP" sz="1200" b="1"/>
            <a:t>DW-DX: ITS</a:t>
          </a:r>
          <a:endParaRPr kumimoji="1" lang="ja-JP" altLang="en-US" sz="1200" b="1"/>
        </a:p>
      </xdr:txBody>
    </xdr:sp>
    <xdr:clientData/>
  </xdr:twoCellAnchor>
  <xdr:twoCellAnchor>
    <xdr:from>
      <xdr:col>6</xdr:col>
      <xdr:colOff>948418</xdr:colOff>
      <xdr:row>12</xdr:row>
      <xdr:rowOff>391886</xdr:rowOff>
    </xdr:from>
    <xdr:to>
      <xdr:col>6</xdr:col>
      <xdr:colOff>2124075</xdr:colOff>
      <xdr:row>13</xdr:row>
      <xdr:rowOff>126546</xdr:rowOff>
    </xdr:to>
    <xdr:sp macro="" textlink="">
      <xdr:nvSpPr>
        <xdr:cNvPr id="10" name="テキスト ボックス 9">
          <a:extLst>
            <a:ext uri="{FF2B5EF4-FFF2-40B4-BE49-F238E27FC236}">
              <a16:creationId xmlns:a16="http://schemas.microsoft.com/office/drawing/2014/main" id="{C616132D-5122-4A5E-BDB9-03A006B197D7}"/>
            </a:ext>
          </a:extLst>
        </xdr:cNvPr>
        <xdr:cNvSpPr txBox="1"/>
      </xdr:nvSpPr>
      <xdr:spPr>
        <a:xfrm>
          <a:off x="6069058" y="2799806"/>
          <a:ext cx="1175657" cy="428080"/>
        </a:xfrm>
        <a:prstGeom prst="rect">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ctr"/>
        <a:lstStyle/>
        <a:p>
          <a:pPr algn="ctr"/>
          <a:r>
            <a:rPr kumimoji="1" lang="en-US" altLang="ja-JP" sz="1100" b="1">
              <a:solidFill>
                <a:schemeClr val="dk1"/>
              </a:solidFill>
              <a:effectLst/>
              <a:latin typeface="+mn-lt"/>
              <a:ea typeface="+mn-ea"/>
              <a:cs typeface="+mn-cs"/>
            </a:rPr>
            <a:t>DW-DX: </a:t>
          </a:r>
          <a:r>
            <a:rPr kumimoji="1" lang="en-US" altLang="ja-JP" sz="1200" b="1"/>
            <a:t>ICW</a:t>
          </a:r>
          <a:endParaRPr kumimoji="1" lang="ja-JP" altLang="en-US" sz="1200" b="1"/>
        </a:p>
      </xdr:txBody>
    </xdr:sp>
    <xdr:clientData/>
  </xdr:twoCellAnchor>
  <xdr:twoCellAnchor>
    <xdr:from>
      <xdr:col>6</xdr:col>
      <xdr:colOff>948418</xdr:colOff>
      <xdr:row>15</xdr:row>
      <xdr:rowOff>10887</xdr:rowOff>
    </xdr:from>
    <xdr:to>
      <xdr:col>6</xdr:col>
      <xdr:colOff>2124075</xdr:colOff>
      <xdr:row>16</xdr:row>
      <xdr:rowOff>1</xdr:rowOff>
    </xdr:to>
    <xdr:sp macro="" textlink="">
      <xdr:nvSpPr>
        <xdr:cNvPr id="11" name="テキスト ボックス 10">
          <a:extLst>
            <a:ext uri="{FF2B5EF4-FFF2-40B4-BE49-F238E27FC236}">
              <a16:creationId xmlns:a16="http://schemas.microsoft.com/office/drawing/2014/main" id="{28CDE4A0-9341-43CE-8860-E3099E55A4FA}"/>
            </a:ext>
          </a:extLst>
        </xdr:cNvPr>
        <xdr:cNvSpPr txBox="1"/>
      </xdr:nvSpPr>
      <xdr:spPr>
        <a:xfrm>
          <a:off x="6069058" y="3523707"/>
          <a:ext cx="1175657" cy="194854"/>
        </a:xfrm>
        <a:prstGeom prst="rect">
          <a:avLst/>
        </a:prstGeom>
        <a:ln/>
      </xdr:spPr>
      <xdr:style>
        <a:lnRef idx="1">
          <a:schemeClr val="accent1"/>
        </a:lnRef>
        <a:fillRef idx="2">
          <a:schemeClr val="accent1"/>
        </a:fillRef>
        <a:effectRef idx="1">
          <a:schemeClr val="accent1"/>
        </a:effectRef>
        <a:fontRef idx="minor">
          <a:schemeClr val="dk1"/>
        </a:fontRef>
      </xdr:style>
      <xdr:txBody>
        <a:bodyPr vertOverflow="clip" horzOverflow="clip" wrap="square" rtlCol="0" anchor="ctr"/>
        <a:lstStyle/>
        <a:p>
          <a:pPr algn="ctr"/>
          <a:r>
            <a:rPr kumimoji="1" lang="en-US" altLang="ja-JP" sz="1200" b="1"/>
            <a:t>to Office</a:t>
          </a:r>
          <a:endParaRPr kumimoji="1" lang="ja-JP" altLang="en-US" sz="1200" b="1"/>
        </a:p>
      </xdr:txBody>
    </xdr:sp>
    <xdr:clientData/>
  </xdr:twoCellAnchor>
  <xdr:twoCellAnchor editAs="oneCell">
    <xdr:from>
      <xdr:col>1</xdr:col>
      <xdr:colOff>66675</xdr:colOff>
      <xdr:row>19</xdr:row>
      <xdr:rowOff>28575</xdr:rowOff>
    </xdr:from>
    <xdr:to>
      <xdr:col>5</xdr:col>
      <xdr:colOff>2409313</xdr:colOff>
      <xdr:row>27</xdr:row>
      <xdr:rowOff>104594</xdr:rowOff>
    </xdr:to>
    <xdr:pic>
      <xdr:nvPicPr>
        <xdr:cNvPr id="12" name="図 11">
          <a:extLst>
            <a:ext uri="{FF2B5EF4-FFF2-40B4-BE49-F238E27FC236}">
              <a16:creationId xmlns:a16="http://schemas.microsoft.com/office/drawing/2014/main" id="{D8AC69E8-62AA-448F-9B3F-98208B7ABB0B}"/>
            </a:ext>
          </a:extLst>
        </xdr:cNvPr>
        <xdr:cNvPicPr>
          <a:picLocks noChangeAspect="1"/>
        </xdr:cNvPicPr>
      </xdr:nvPicPr>
      <xdr:blipFill>
        <a:blip xmlns:r="http://schemas.openxmlformats.org/officeDocument/2006/relationships" r:embed="rId2"/>
        <a:stretch>
          <a:fillRect/>
        </a:stretch>
      </xdr:blipFill>
      <xdr:spPr>
        <a:xfrm>
          <a:off x="981075" y="4318635"/>
          <a:ext cx="4095238" cy="1478099"/>
        </a:xfrm>
        <a:prstGeom prst="rect">
          <a:avLst/>
        </a:prstGeom>
        <a:ln>
          <a:solidFill>
            <a:schemeClr val="tx1">
              <a:lumMod val="50000"/>
              <a:lumOff val="50000"/>
            </a:schemeClr>
          </a:solid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MLDAT01\data\ccDump\WINDOWS\Temporary%20Internet%20Files\OLKB1F4\WINDOWS\Temporary%20Internet%20Files\OLKA014\10-27agi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mfs03.konicaminolta.org\btbv\ccDump\WINDOWS\Temporary%20Internet%20Files\OLKB1F4\WINDOWS\Temporary%20Internet%20Files\OLKA014\10-27aging.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 Customers-NA"/>
      <sheetName val="Top25-NA"/>
      <sheetName val="Others-NA"/>
      <sheetName val="IBM-Minolta"/>
      <sheetName val="explaination"/>
      <sheetName val="Top10NA"/>
      <sheetName val="Global"/>
      <sheetName val="BV"/>
      <sheetName val="BV-Top25"/>
      <sheetName val="KK"/>
      <sheetName val="All Customers-NA (2)"/>
      <sheetName val="Set-Up"/>
      <sheetName val="All_Customers-NA"/>
      <sheetName val="Acceptable models"/>
      <sheetName val="Sheet2"/>
      <sheetName val="CAMEA special approved&amp;won list"/>
      <sheetName val="Other"/>
      <sheetName val="C227"/>
      <sheetName val="Support"/>
      <sheetName val="Support New"/>
      <sheetName val="Table"/>
      <sheetName val="Statistiques générales"/>
      <sheetName val="Drop Down List"/>
      <sheetName val="Target Model"/>
      <sheetName val="Instruction"/>
      <sheetName val="3. support table"/>
      <sheetName val="Data Table"/>
      <sheetName val="＃FY18_MH(EN)"/>
      <sheetName val="Presentación Corta"/>
      <sheetName val="10-27aging"/>
      <sheetName val="今後改善点"/>
      <sheetName val="製品別原単位"/>
      <sheetName val="推定对比"/>
      <sheetName val="推定推移"/>
      <sheetName val="製品別区分（填写数量）"/>
      <sheetName val="制品别区分推定"/>
      <sheetName val="原単位基準"/>
      <sheetName val="年度増加費用"/>
      <sheetName val="镀膜材料制品比率"/>
      <sheetName val="補助材料費"/>
      <sheetName val="消工備品費"/>
      <sheetName val="消耗品--修繕費"/>
      <sheetName val="雑費"/>
      <sheetName val="事務用品"/>
      <sheetName val="什器備品"/>
      <sheetName val="旅費、交通費"/>
      <sheetName val="教育、図書費"/>
      <sheetName val="海外出張費"/>
      <sheetName val="運送費"/>
      <sheetName val="Country_Abbreviations"/>
      <sheetName val="営業"/>
      <sheetName val="分類"/>
      <sheetName val="予算 （千円）"/>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 Customers-NA"/>
      <sheetName val="Top25-NA"/>
      <sheetName val="Others-NA"/>
      <sheetName val="IBM-Minolta"/>
      <sheetName val="explaination"/>
      <sheetName val="Top10NA"/>
      <sheetName val="Global"/>
      <sheetName val="BV"/>
      <sheetName val="BV-Top25"/>
      <sheetName val="KK"/>
      <sheetName val="All Customers-NA (2)"/>
      <sheetName val="Set-Up"/>
      <sheetName val="All_Customers-NA"/>
      <sheetName val="Acceptable models"/>
      <sheetName val="Sheet2"/>
      <sheetName val="CAMEA special approved&amp;won list"/>
      <sheetName val="Other"/>
      <sheetName val="C227"/>
      <sheetName val="Support"/>
      <sheetName val="Support New"/>
      <sheetName val="Table"/>
      <sheetName val="Drop Down List"/>
      <sheetName val="Statistiques générales"/>
      <sheetName val="Target Model"/>
      <sheetName val="Instruction"/>
      <sheetName val="3. support table"/>
      <sheetName val="Data Table"/>
      <sheetName val="＃FY18_MH(EN)"/>
      <sheetName val="Presentación Corta"/>
      <sheetName val="10-27aging"/>
      <sheetName val="Country_Abbreviations"/>
      <sheetName val="今後改善点"/>
      <sheetName val="製品別原単位"/>
      <sheetName val="推定对比"/>
      <sheetName val="推定推移"/>
      <sheetName val="製品別区分（填写数量）"/>
      <sheetName val="制品别区分推定"/>
      <sheetName val="原単位基準"/>
      <sheetName val="年度増加費用"/>
      <sheetName val="镀膜材料制品比率"/>
      <sheetName val="補助材料費"/>
      <sheetName val="消工備品費"/>
      <sheetName val="消耗品--修繕費"/>
      <sheetName val="雑費"/>
      <sheetName val="事務用品"/>
      <sheetName val="什器備品"/>
      <sheetName val="旅費、交通費"/>
      <sheetName val="教育、図書費"/>
      <sheetName val="海外出張費"/>
      <sheetName val="運送費"/>
      <sheetName val="予算 （千円）"/>
      <sheetName val="営業"/>
      <sheetName val="分類"/>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us1a.app.anaplan.com/frontdoor" TargetMode="External"/><Relationship Id="rId2" Type="http://schemas.openxmlformats.org/officeDocument/2006/relationships/hyperlink" Target="https://sdp.anaplan.com/frontdoor/saml/konicasaml" TargetMode="External"/><Relationship Id="rId1" Type="http://schemas.openxmlformats.org/officeDocument/2006/relationships/hyperlink" Target="mailto:BT_Sales_Planning01@gcp.konicaminolta.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customProperty" Target="../customProperty1.bin"/><Relationship Id="rId1" Type="http://schemas.openxmlformats.org/officeDocument/2006/relationships/printerSettings" Target="../printerSettings/printerSettings3.bin"/><Relationship Id="rId4" Type="http://schemas.openxmlformats.org/officeDocument/2006/relationships/customProperty" Target="../customProperty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ustomProperty" Target="../customProperty10.bin"/><Relationship Id="rId3" Type="http://schemas.openxmlformats.org/officeDocument/2006/relationships/customProperty" Target="../customProperty5.bin"/><Relationship Id="rId7" Type="http://schemas.openxmlformats.org/officeDocument/2006/relationships/customProperty" Target="../customProperty9.bin"/><Relationship Id="rId2" Type="http://schemas.openxmlformats.org/officeDocument/2006/relationships/customProperty" Target="../customProperty4.bin"/><Relationship Id="rId1" Type="http://schemas.openxmlformats.org/officeDocument/2006/relationships/printerSettings" Target="../printerSettings/printerSettings7.bin"/><Relationship Id="rId6" Type="http://schemas.openxmlformats.org/officeDocument/2006/relationships/customProperty" Target="../customProperty8.bin"/><Relationship Id="rId5" Type="http://schemas.openxmlformats.org/officeDocument/2006/relationships/customProperty" Target="../customProperty7.bin"/><Relationship Id="rId10" Type="http://schemas.openxmlformats.org/officeDocument/2006/relationships/customProperty" Target="../customProperty12.bin"/><Relationship Id="rId4" Type="http://schemas.openxmlformats.org/officeDocument/2006/relationships/customProperty" Target="../customProperty6.bin"/><Relationship Id="rId9" Type="http://schemas.openxmlformats.org/officeDocument/2006/relationships/customProperty" Target="../customProperty1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60"/>
  <sheetViews>
    <sheetView showGridLines="0" topLeftCell="A30" zoomScale="80" zoomScaleNormal="80" workbookViewId="0">
      <selection activeCell="G66" sqref="G66"/>
    </sheetView>
  </sheetViews>
  <sheetFormatPr defaultColWidth="8.81640625" defaultRowHeight="12.5"/>
  <cols>
    <col min="1" max="1" width="2.81640625" style="1596" customWidth="1"/>
    <col min="2" max="2" width="4.453125" style="1596" customWidth="1"/>
    <col min="3" max="6" width="8.453125" style="1596" customWidth="1"/>
    <col min="7" max="16384" width="8.81640625" style="1596"/>
  </cols>
  <sheetData>
    <row r="1" spans="1:11" ht="20">
      <c r="A1" s="1618" t="s">
        <v>1386</v>
      </c>
    </row>
    <row r="3" spans="1:11" ht="15.5">
      <c r="A3" s="1617" t="s">
        <v>1314</v>
      </c>
      <c r="C3" s="1464"/>
      <c r="H3" s="2410" t="s">
        <v>1303</v>
      </c>
      <c r="I3" s="2411" t="s">
        <v>1263</v>
      </c>
      <c r="J3" s="2410" t="s">
        <v>1299</v>
      </c>
    </row>
    <row r="4" spans="1:11" ht="14">
      <c r="B4" s="2412" t="s">
        <v>1306</v>
      </c>
      <c r="C4" s="1597"/>
      <c r="D4" s="1598"/>
      <c r="E4" s="1598"/>
      <c r="F4" s="1598"/>
      <c r="G4" s="1598"/>
      <c r="H4" s="1598"/>
      <c r="I4" s="1598"/>
      <c r="J4" s="2413"/>
    </row>
    <row r="5" spans="1:11">
      <c r="B5" s="1599"/>
      <c r="C5" s="2414" t="s">
        <v>1001</v>
      </c>
      <c r="D5" s="1598"/>
      <c r="E5" s="1598"/>
      <c r="F5" s="1598"/>
      <c r="G5" s="2415"/>
      <c r="H5" s="2416" t="s">
        <v>1297</v>
      </c>
      <c r="I5" s="2411" t="s">
        <v>1297</v>
      </c>
      <c r="J5" s="2416" t="s">
        <v>1297</v>
      </c>
    </row>
    <row r="6" spans="1:11">
      <c r="B6" s="1599"/>
      <c r="C6" s="1599" t="s">
        <v>1290</v>
      </c>
      <c r="G6" s="1605"/>
      <c r="H6" s="1600" t="s">
        <v>800</v>
      </c>
      <c r="I6" s="1604" t="s">
        <v>1297</v>
      </c>
      <c r="J6" s="1604" t="s">
        <v>1297</v>
      </c>
    </row>
    <row r="7" spans="1:11">
      <c r="B7" s="1599"/>
      <c r="C7" s="1609" t="s">
        <v>1304</v>
      </c>
      <c r="G7" s="1605"/>
      <c r="H7" s="1600" t="s">
        <v>800</v>
      </c>
      <c r="I7" s="1604" t="s">
        <v>1297</v>
      </c>
      <c r="J7" s="1600" t="s">
        <v>1297</v>
      </c>
    </row>
    <row r="8" spans="1:11">
      <c r="B8" s="1599"/>
      <c r="C8" s="1606" t="s">
        <v>1078</v>
      </c>
      <c r="G8" s="1605"/>
      <c r="H8" s="1600" t="s">
        <v>800</v>
      </c>
      <c r="I8" s="1604" t="s">
        <v>1297</v>
      </c>
      <c r="J8" s="1683" t="s">
        <v>1298</v>
      </c>
    </row>
    <row r="9" spans="1:11">
      <c r="B9" s="1599"/>
      <c r="C9" s="1599" t="s">
        <v>1291</v>
      </c>
      <c r="G9" s="1605"/>
      <c r="H9" s="1600" t="s">
        <v>800</v>
      </c>
      <c r="I9" s="1604" t="s">
        <v>1297</v>
      </c>
      <c r="J9" s="1600" t="s">
        <v>1297</v>
      </c>
    </row>
    <row r="10" spans="1:11">
      <c r="B10" s="1599"/>
      <c r="C10" s="1599" t="s">
        <v>1292</v>
      </c>
      <c r="G10" s="1605"/>
      <c r="H10" s="1600" t="s">
        <v>800</v>
      </c>
      <c r="I10" s="1604" t="s">
        <v>1297</v>
      </c>
      <c r="J10" s="1600" t="s">
        <v>1297</v>
      </c>
    </row>
    <row r="11" spans="1:11">
      <c r="B11" s="1599"/>
      <c r="C11" s="1599" t="s">
        <v>1293</v>
      </c>
      <c r="G11" s="1605"/>
      <c r="H11" s="1600" t="s">
        <v>800</v>
      </c>
      <c r="I11" s="1604" t="s">
        <v>1297</v>
      </c>
      <c r="J11" s="1600" t="s">
        <v>1297</v>
      </c>
    </row>
    <row r="12" spans="1:11">
      <c r="B12" s="1599"/>
      <c r="C12" s="1599" t="s">
        <v>1294</v>
      </c>
      <c r="G12" s="1605"/>
      <c r="H12" s="1600" t="s">
        <v>800</v>
      </c>
      <c r="I12" s="1604" t="s">
        <v>1297</v>
      </c>
      <c r="J12" s="1600" t="s">
        <v>1297</v>
      </c>
      <c r="K12" s="1596" t="s">
        <v>1305</v>
      </c>
    </row>
    <row r="13" spans="1:11">
      <c r="B13" s="1599"/>
      <c r="C13" s="1599" t="s">
        <v>1295</v>
      </c>
      <c r="G13" s="1605"/>
      <c r="H13" s="1600" t="s">
        <v>800</v>
      </c>
      <c r="I13" s="1604" t="s">
        <v>1297</v>
      </c>
      <c r="J13" s="1683" t="s">
        <v>1298</v>
      </c>
      <c r="K13" s="1596" t="s">
        <v>1305</v>
      </c>
    </row>
    <row r="14" spans="1:11">
      <c r="B14" s="1599"/>
      <c r="C14" s="1599" t="s">
        <v>1283</v>
      </c>
      <c r="G14" s="1605"/>
      <c r="H14" s="1682" t="s">
        <v>1298</v>
      </c>
      <c r="I14" s="1682" t="s">
        <v>1298</v>
      </c>
      <c r="J14" s="1600" t="s">
        <v>1297</v>
      </c>
    </row>
    <row r="15" spans="1:11">
      <c r="B15" s="1599"/>
      <c r="C15" s="1609" t="s">
        <v>1304</v>
      </c>
      <c r="G15" s="1605"/>
      <c r="H15" s="1682" t="s">
        <v>1298</v>
      </c>
      <c r="I15" s="1682" t="s">
        <v>1298</v>
      </c>
      <c r="J15" s="1600" t="s">
        <v>1297</v>
      </c>
    </row>
    <row r="16" spans="1:11">
      <c r="B16" s="1599"/>
      <c r="C16" s="1599" t="s">
        <v>1320</v>
      </c>
      <c r="G16" s="1605"/>
      <c r="H16" s="1682" t="s">
        <v>1298</v>
      </c>
      <c r="I16" s="1682" t="s">
        <v>1298</v>
      </c>
      <c r="J16" s="1600" t="s">
        <v>1297</v>
      </c>
    </row>
    <row r="17" spans="1:11">
      <c r="B17" s="1601"/>
      <c r="C17" s="1678" t="s">
        <v>1379</v>
      </c>
      <c r="D17" s="1602"/>
      <c r="E17" s="1602"/>
      <c r="F17" s="1602"/>
      <c r="G17" s="1608"/>
      <c r="H17" s="2417" t="s">
        <v>800</v>
      </c>
      <c r="I17" s="2417" t="s">
        <v>800</v>
      </c>
      <c r="J17" s="1603" t="s">
        <v>800</v>
      </c>
      <c r="K17" s="1596" t="s">
        <v>1305</v>
      </c>
    </row>
    <row r="18" spans="1:11" ht="14">
      <c r="B18" s="2412" t="s">
        <v>1307</v>
      </c>
      <c r="C18" s="1597"/>
      <c r="D18" s="1598"/>
      <c r="E18" s="1598"/>
      <c r="F18" s="1598"/>
      <c r="G18" s="1598"/>
      <c r="H18" s="1598"/>
      <c r="I18" s="1598"/>
      <c r="J18" s="2413"/>
    </row>
    <row r="19" spans="1:11">
      <c r="B19" s="1599"/>
      <c r="C19" s="2414" t="s">
        <v>1296</v>
      </c>
      <c r="D19" s="1598"/>
      <c r="E19" s="1598"/>
      <c r="F19" s="1598"/>
      <c r="G19" s="2415"/>
      <c r="H19" s="2416" t="s">
        <v>800</v>
      </c>
      <c r="I19" s="2418" t="s">
        <v>1298</v>
      </c>
      <c r="J19" s="2416" t="s">
        <v>1297</v>
      </c>
      <c r="K19" s="1596" t="s">
        <v>1305</v>
      </c>
    </row>
    <row r="20" spans="1:11">
      <c r="B20" s="1599"/>
      <c r="C20" s="1599" t="s">
        <v>1300</v>
      </c>
      <c r="G20" s="1605"/>
      <c r="H20" s="1600" t="s">
        <v>800</v>
      </c>
      <c r="I20" s="1682" t="s">
        <v>1298</v>
      </c>
      <c r="J20" s="1682" t="s">
        <v>1298</v>
      </c>
    </row>
    <row r="21" spans="1:11">
      <c r="B21" s="1599"/>
      <c r="C21" s="1599" t="s">
        <v>1301</v>
      </c>
      <c r="G21" s="1605"/>
      <c r="H21" s="1600" t="s">
        <v>800</v>
      </c>
      <c r="I21" s="1682" t="s">
        <v>1298</v>
      </c>
      <c r="J21" s="1682" t="s">
        <v>1298</v>
      </c>
    </row>
    <row r="22" spans="1:11">
      <c r="B22" s="1601"/>
      <c r="C22" s="1601" t="s">
        <v>1302</v>
      </c>
      <c r="D22" s="1602"/>
      <c r="E22" s="1602"/>
      <c r="F22" s="1602"/>
      <c r="G22" s="1608"/>
      <c r="H22" s="1603" t="s">
        <v>800</v>
      </c>
      <c r="I22" s="1684" t="s">
        <v>1298</v>
      </c>
      <c r="J22" s="1684" t="s">
        <v>1298</v>
      </c>
    </row>
    <row r="25" spans="1:11" ht="15.5">
      <c r="A25" s="1617" t="s">
        <v>1315</v>
      </c>
    </row>
    <row r="26" spans="1:11" ht="13">
      <c r="B26" s="1709" t="s">
        <v>1387</v>
      </c>
    </row>
    <row r="27" spans="1:11" ht="13">
      <c r="B27" s="1679" t="s">
        <v>1424</v>
      </c>
    </row>
    <row r="29" spans="1:11" ht="13">
      <c r="B29" s="1664" t="s">
        <v>1325</v>
      </c>
      <c r="H29" s="1680" t="s">
        <v>1332</v>
      </c>
    </row>
    <row r="30" spans="1:11">
      <c r="C30" s="1663" t="s">
        <v>1326</v>
      </c>
      <c r="D30" s="1596" t="s">
        <v>1331</v>
      </c>
      <c r="H30" s="1670" t="s">
        <v>1333</v>
      </c>
    </row>
    <row r="31" spans="1:11">
      <c r="C31" s="1663"/>
      <c r="D31" s="1596" t="s">
        <v>1327</v>
      </c>
      <c r="H31" s="1669" t="s">
        <v>1334</v>
      </c>
    </row>
    <row r="32" spans="1:11">
      <c r="C32" s="1663"/>
      <c r="D32" s="1596" t="s">
        <v>1328</v>
      </c>
      <c r="H32" s="1669" t="s">
        <v>1335</v>
      </c>
    </row>
    <row r="33" spans="2:15">
      <c r="C33" s="1663" t="s">
        <v>1326</v>
      </c>
      <c r="D33" s="1596" t="s">
        <v>1329</v>
      </c>
      <c r="H33" s="1670" t="s">
        <v>1333</v>
      </c>
      <c r="K33" s="1596" t="s">
        <v>1330</v>
      </c>
    </row>
    <row r="34" spans="2:15">
      <c r="C34" s="1663" t="s">
        <v>1436</v>
      </c>
      <c r="D34" s="1596" t="s">
        <v>1337</v>
      </c>
      <c r="H34" s="1669" t="s">
        <v>1336</v>
      </c>
    </row>
    <row r="35" spans="2:15">
      <c r="D35" s="2419"/>
      <c r="E35" s="2413" t="s">
        <v>1348</v>
      </c>
      <c r="F35" s="2413" t="s">
        <v>1349</v>
      </c>
      <c r="H35" s="1669"/>
    </row>
    <row r="36" spans="2:15">
      <c r="D36" s="2420" t="s">
        <v>1263</v>
      </c>
      <c r="E36" s="1600" t="s">
        <v>1339</v>
      </c>
      <c r="F36" s="1667" t="s">
        <v>1333</v>
      </c>
      <c r="G36" s="1665" t="s">
        <v>1340</v>
      </c>
      <c r="H36" s="1669"/>
    </row>
    <row r="37" spans="2:15" ht="13">
      <c r="D37" s="2421" t="s">
        <v>1299</v>
      </c>
      <c r="E37" s="1603" t="s">
        <v>1338</v>
      </c>
      <c r="F37" s="1603" t="s">
        <v>1338</v>
      </c>
      <c r="G37" s="1665" t="s">
        <v>1341</v>
      </c>
      <c r="H37" s="1669"/>
      <c r="K37" s="1679" t="s">
        <v>1380</v>
      </c>
    </row>
    <row r="38" spans="2:15">
      <c r="H38" s="1669"/>
    </row>
    <row r="39" spans="2:15" ht="13">
      <c r="B39" s="1664" t="s">
        <v>1342</v>
      </c>
      <c r="H39" s="1680" t="s">
        <v>1345</v>
      </c>
    </row>
    <row r="40" spans="2:15">
      <c r="C40" s="1663" t="s">
        <v>1437</v>
      </c>
      <c r="D40" s="1596" t="s">
        <v>1344</v>
      </c>
      <c r="H40" s="1669" t="s">
        <v>1438</v>
      </c>
    </row>
    <row r="41" spans="2:15" ht="14.5">
      <c r="C41" s="1663"/>
      <c r="H41" s="1669"/>
      <c r="I41" s="1666" t="s">
        <v>1346</v>
      </c>
      <c r="O41" s="1596" t="s">
        <v>1439</v>
      </c>
    </row>
    <row r="42" spans="2:15" ht="14.5">
      <c r="C42" s="1663"/>
      <c r="H42" s="1669" t="s">
        <v>1440</v>
      </c>
      <c r="I42" s="1666"/>
    </row>
    <row r="43" spans="2:15" ht="14.5">
      <c r="C43" s="1663"/>
      <c r="H43" s="1669"/>
      <c r="I43" s="1666" t="s">
        <v>1441</v>
      </c>
    </row>
    <row r="44" spans="2:15" ht="14.5">
      <c r="C44" s="1663"/>
      <c r="H44" s="1669"/>
      <c r="I44" s="1666"/>
    </row>
    <row r="45" spans="2:15" ht="14.5">
      <c r="C45" s="1663"/>
      <c r="D45" s="1596" t="s">
        <v>1347</v>
      </c>
      <c r="H45" s="1669" t="s">
        <v>1354</v>
      </c>
      <c r="J45" s="1666"/>
    </row>
    <row r="46" spans="2:15">
      <c r="D46" s="2419"/>
      <c r="E46" s="2422" t="s">
        <v>1352</v>
      </c>
      <c r="F46" s="2423"/>
      <c r="G46" s="2423"/>
      <c r="H46" s="2424"/>
      <c r="I46" s="2423"/>
      <c r="J46" s="2423"/>
      <c r="K46" s="2423"/>
      <c r="L46" s="2423"/>
      <c r="M46" s="2423"/>
      <c r="N46" s="2413"/>
    </row>
    <row r="47" spans="2:15">
      <c r="D47" s="2420" t="s">
        <v>1263</v>
      </c>
      <c r="E47" s="1599" t="s">
        <v>1350</v>
      </c>
      <c r="F47" s="2425"/>
      <c r="G47" s="1665"/>
      <c r="H47" s="1669"/>
      <c r="N47" s="1605"/>
    </row>
    <row r="48" spans="2:15">
      <c r="D48" s="2421" t="s">
        <v>1299</v>
      </c>
      <c r="E48" s="1601" t="s">
        <v>1351</v>
      </c>
      <c r="F48" s="1668"/>
      <c r="G48" s="1668"/>
      <c r="H48" s="1671"/>
      <c r="I48" s="1602"/>
      <c r="J48" s="1602"/>
      <c r="K48" s="1602"/>
      <c r="L48" s="1602"/>
      <c r="M48" s="1602"/>
      <c r="N48" s="1608"/>
    </row>
    <row r="49" spans="2:14">
      <c r="C49" s="1663" t="s">
        <v>1343</v>
      </c>
      <c r="D49" s="1596" t="s">
        <v>1355</v>
      </c>
      <c r="H49" s="1670" t="s">
        <v>1388</v>
      </c>
    </row>
    <row r="50" spans="2:14">
      <c r="C50" s="1663" t="s">
        <v>1442</v>
      </c>
      <c r="D50" s="1596" t="s">
        <v>1353</v>
      </c>
      <c r="H50" s="1670" t="s">
        <v>1333</v>
      </c>
    </row>
    <row r="51" spans="2:14">
      <c r="C51" s="1663" t="s">
        <v>1443</v>
      </c>
      <c r="D51" s="1596" t="s">
        <v>1363</v>
      </c>
      <c r="H51" s="1669" t="s">
        <v>1356</v>
      </c>
    </row>
    <row r="52" spans="2:14">
      <c r="D52" s="2426" t="s">
        <v>1357</v>
      </c>
      <c r="E52" s="2415"/>
      <c r="F52" s="2414" t="s">
        <v>1360</v>
      </c>
      <c r="G52" s="1598"/>
      <c r="H52" s="1598"/>
      <c r="I52" s="1598"/>
      <c r="J52" s="1598"/>
      <c r="K52" s="1598"/>
      <c r="L52" s="1598"/>
      <c r="M52" s="1598"/>
      <c r="N52" s="2415"/>
    </row>
    <row r="53" spans="2:14">
      <c r="D53" s="1606" t="s">
        <v>1358</v>
      </c>
      <c r="E53" s="1605"/>
      <c r="F53" s="1599" t="s">
        <v>1361</v>
      </c>
      <c r="N53" s="1605"/>
    </row>
    <row r="54" spans="2:14">
      <c r="D54" s="1607" t="s">
        <v>1359</v>
      </c>
      <c r="E54" s="1608"/>
      <c r="F54" s="1601" t="s">
        <v>1362</v>
      </c>
      <c r="G54" s="1602"/>
      <c r="H54" s="1602"/>
      <c r="I54" s="1602"/>
      <c r="J54" s="1602"/>
      <c r="K54" s="1602"/>
      <c r="L54" s="1602"/>
      <c r="M54" s="1602"/>
      <c r="N54" s="1608"/>
    </row>
    <row r="56" spans="2:14" ht="13">
      <c r="B56" s="1664" t="s">
        <v>1365</v>
      </c>
    </row>
    <row r="57" spans="2:14">
      <c r="C57" s="1596" t="s">
        <v>1381</v>
      </c>
      <c r="D57" s="2414" t="s">
        <v>1317</v>
      </c>
      <c r="E57" s="1598"/>
      <c r="F57" s="1598"/>
      <c r="G57" s="2415"/>
      <c r="H57" s="2414" t="s">
        <v>1444</v>
      </c>
      <c r="I57" s="1598"/>
      <c r="J57" s="1598"/>
      <c r="K57" s="1598"/>
      <c r="L57" s="1598"/>
      <c r="M57" s="1598"/>
      <c r="N57" s="2415"/>
    </row>
    <row r="58" spans="2:14" ht="14.5">
      <c r="D58" s="1599" t="s">
        <v>1364</v>
      </c>
      <c r="G58" s="1605"/>
      <c r="H58" s="1620" t="s">
        <v>1316</v>
      </c>
      <c r="N58" s="1605"/>
    </row>
    <row r="59" spans="2:14">
      <c r="D59" s="1601" t="s">
        <v>1318</v>
      </c>
      <c r="E59" s="1602"/>
      <c r="F59" s="1602"/>
      <c r="G59" s="1608"/>
      <c r="H59" s="1601" t="s">
        <v>1445</v>
      </c>
      <c r="I59" s="1602"/>
      <c r="J59" s="1602"/>
      <c r="K59" s="1602"/>
      <c r="L59" s="1602"/>
      <c r="M59" s="1602"/>
      <c r="N59" s="1608"/>
    </row>
    <row r="60" spans="2:14">
      <c r="B60" s="1619"/>
      <c r="C60" s="1596" t="s">
        <v>1366</v>
      </c>
      <c r="K60" s="1596" t="s">
        <v>1382</v>
      </c>
    </row>
  </sheetData>
  <phoneticPr fontId="146"/>
  <hyperlinks>
    <hyperlink ref="H58" r:id="rId1" xr:uid="{0CEBD072-20AC-4810-A3C1-E0D13A1CB127}"/>
    <hyperlink ref="I41" r:id="rId2" xr:uid="{D0813627-B11E-45DE-9F57-4B454A5FAD13}"/>
    <hyperlink ref="I43" r:id="rId3" xr:uid="{A2DBBEFA-74D5-4624-AF77-17920F23507B}"/>
  </hyperlinks>
  <pageMargins left="0.25" right="0.25" top="0.5" bottom="0.28999999999999998" header="0.3" footer="0.17"/>
  <pageSetup paperSize="9" scale="97" fitToHeight="0"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AD346-FE0F-4B0A-98B1-7AD8E0ED1F6B}">
  <sheetPr>
    <pageSetUpPr fitToPage="1"/>
  </sheetPr>
  <dimension ref="A1:J33"/>
  <sheetViews>
    <sheetView showGridLines="0" zoomScale="80" zoomScaleNormal="80" workbookViewId="0">
      <selection activeCell="W19" sqref="W19"/>
    </sheetView>
  </sheetViews>
  <sheetFormatPr defaultColWidth="9" defaultRowHeight="14"/>
  <cols>
    <col min="1" max="1" width="2.81640625" style="25" customWidth="1"/>
    <col min="2" max="2" width="12.453125" style="25" bestFit="1" customWidth="1"/>
    <col min="3" max="3" width="18.453125" style="25" bestFit="1" customWidth="1"/>
    <col min="4" max="4" width="34.453125" style="25" bestFit="1" customWidth="1"/>
    <col min="5" max="5" width="2.453125" style="25" customWidth="1"/>
    <col min="6" max="6" width="35.1796875" style="25" bestFit="1" customWidth="1"/>
    <col min="7" max="7" width="2.453125" style="25" customWidth="1"/>
    <col min="8" max="8" width="38.453125" style="25" bestFit="1" customWidth="1"/>
    <col min="9" max="9" width="2.453125" style="25" customWidth="1"/>
    <col min="10" max="10" width="28.81640625" style="25" bestFit="1" customWidth="1"/>
    <col min="11" max="11" width="2.81640625" style="25" customWidth="1"/>
    <col min="12" max="16384" width="9" style="25"/>
  </cols>
  <sheetData>
    <row r="1" spans="1:10" ht="20">
      <c r="A1" s="2427" t="s">
        <v>1446</v>
      </c>
    </row>
    <row r="3" spans="1:10" s="542" customFormat="1" ht="18">
      <c r="D3" s="2428" t="s">
        <v>1447</v>
      </c>
      <c r="E3" s="2429"/>
      <c r="F3" s="2428" t="s">
        <v>1448</v>
      </c>
      <c r="G3" s="2429"/>
      <c r="H3" s="2428" t="s">
        <v>1449</v>
      </c>
      <c r="I3" s="2429"/>
      <c r="J3" s="2430" t="s">
        <v>1450</v>
      </c>
    </row>
    <row r="4" spans="1:10" ht="14.5" thickBot="1">
      <c r="H4" s="25" t="s">
        <v>1451</v>
      </c>
    </row>
    <row r="5" spans="1:10" ht="20.5" customHeight="1" thickBot="1">
      <c r="B5" s="2431"/>
      <c r="C5" s="2431" t="s">
        <v>1452</v>
      </c>
      <c r="D5" s="2432" t="s">
        <v>1453</v>
      </c>
      <c r="F5" s="2432" t="s">
        <v>1454</v>
      </c>
      <c r="H5" s="2432" t="s">
        <v>1455</v>
      </c>
      <c r="J5" s="2433" t="s">
        <v>1456</v>
      </c>
    </row>
    <row r="6" spans="1:10" ht="28">
      <c r="B6" s="2434" t="s">
        <v>1457</v>
      </c>
      <c r="C6" s="2435" t="s">
        <v>1458</v>
      </c>
      <c r="D6" s="2436" t="s">
        <v>1459</v>
      </c>
      <c r="F6" s="2437" t="s">
        <v>1460</v>
      </c>
      <c r="H6" s="2438" t="s">
        <v>1461</v>
      </c>
      <c r="J6" s="2439" t="s">
        <v>1462</v>
      </c>
    </row>
    <row r="7" spans="1:10">
      <c r="B7" s="2440" t="s">
        <v>1463</v>
      </c>
      <c r="C7" s="2441" t="s">
        <v>1464</v>
      </c>
      <c r="D7" s="2442">
        <v>44718</v>
      </c>
      <c r="F7" s="2443">
        <v>44719</v>
      </c>
      <c r="H7" s="2444">
        <v>44722</v>
      </c>
      <c r="J7" s="2445">
        <v>44719</v>
      </c>
    </row>
    <row r="8" spans="1:10" ht="28">
      <c r="B8" s="2440" t="s">
        <v>1465</v>
      </c>
      <c r="C8" s="2441" t="s">
        <v>1466</v>
      </c>
      <c r="D8" s="2436" t="s">
        <v>1467</v>
      </c>
      <c r="F8" s="2437">
        <v>44750</v>
      </c>
      <c r="H8" s="2438" t="s">
        <v>1468</v>
      </c>
      <c r="J8" s="2439">
        <v>44750</v>
      </c>
    </row>
    <row r="9" spans="1:10" ht="28">
      <c r="B9" s="2440" t="s">
        <v>1469</v>
      </c>
      <c r="C9" s="2441" t="s">
        <v>1470</v>
      </c>
      <c r="D9" s="2436">
        <v>44777</v>
      </c>
      <c r="F9" s="2437" t="s">
        <v>1471</v>
      </c>
      <c r="H9" s="2438" t="s">
        <v>1472</v>
      </c>
      <c r="J9" s="2439" t="s">
        <v>1473</v>
      </c>
    </row>
    <row r="10" spans="1:10" ht="28">
      <c r="B10" s="2440" t="s">
        <v>1474</v>
      </c>
      <c r="C10" s="2441" t="s">
        <v>1475</v>
      </c>
      <c r="D10" s="2446" t="s">
        <v>1476</v>
      </c>
      <c r="F10" s="2447" t="s">
        <v>1477</v>
      </c>
      <c r="H10" s="2448" t="s">
        <v>1478</v>
      </c>
      <c r="J10" s="2449" t="s">
        <v>1479</v>
      </c>
    </row>
    <row r="11" spans="1:10" ht="28">
      <c r="B11" s="2440" t="s">
        <v>1480</v>
      </c>
      <c r="C11" s="2441" t="s">
        <v>1481</v>
      </c>
      <c r="D11" s="2436">
        <v>44840</v>
      </c>
      <c r="F11" s="2437" t="s">
        <v>1482</v>
      </c>
      <c r="H11" s="2438" t="s">
        <v>1483</v>
      </c>
      <c r="J11" s="2439" t="s">
        <v>1484</v>
      </c>
    </row>
    <row r="12" spans="1:10" ht="28">
      <c r="B12" s="2440" t="s">
        <v>1485</v>
      </c>
      <c r="C12" s="2441" t="s">
        <v>1486</v>
      </c>
      <c r="D12" s="2436" t="s">
        <v>1487</v>
      </c>
      <c r="F12" s="2437" t="s">
        <v>1488</v>
      </c>
      <c r="H12" s="2438" t="s">
        <v>1489</v>
      </c>
      <c r="J12" s="2439" t="s">
        <v>1490</v>
      </c>
    </row>
    <row r="13" spans="1:10">
      <c r="B13" s="2440" t="s">
        <v>1491</v>
      </c>
      <c r="C13" s="2441" t="s">
        <v>1492</v>
      </c>
      <c r="D13" s="2442">
        <v>44901</v>
      </c>
      <c r="F13" s="2443">
        <v>44902</v>
      </c>
      <c r="H13" s="2444">
        <v>44907</v>
      </c>
      <c r="J13" s="2445">
        <v>44902</v>
      </c>
    </row>
    <row r="14" spans="1:10" ht="28">
      <c r="B14" s="2440" t="s">
        <v>1493</v>
      </c>
      <c r="C14" s="2441" t="s">
        <v>1494</v>
      </c>
      <c r="D14" s="2446" t="s">
        <v>1495</v>
      </c>
      <c r="F14" s="2447" t="s">
        <v>1496</v>
      </c>
      <c r="H14" s="2448">
        <v>44577</v>
      </c>
      <c r="J14" s="2449" t="s">
        <v>1497</v>
      </c>
    </row>
    <row r="15" spans="1:10">
      <c r="B15" s="2440" t="s">
        <v>1498</v>
      </c>
      <c r="C15" s="2441" t="s">
        <v>1499</v>
      </c>
      <c r="D15" s="2442">
        <v>44963</v>
      </c>
      <c r="F15" s="2443">
        <v>44964</v>
      </c>
      <c r="H15" s="2448">
        <v>44967</v>
      </c>
      <c r="J15" s="2445">
        <v>44964</v>
      </c>
    </row>
    <row r="16" spans="1:10">
      <c r="B16" s="2440" t="s">
        <v>1500</v>
      </c>
      <c r="C16" s="2441" t="s">
        <v>1501</v>
      </c>
      <c r="D16" s="2442">
        <v>44991</v>
      </c>
      <c r="F16" s="2443">
        <v>44992</v>
      </c>
      <c r="H16" s="2444">
        <v>44995</v>
      </c>
      <c r="J16" s="2445">
        <v>44992</v>
      </c>
    </row>
    <row r="17" spans="2:10">
      <c r="B17" s="2450" t="s">
        <v>1502</v>
      </c>
      <c r="C17" s="2451" t="s">
        <v>1503</v>
      </c>
      <c r="D17" s="2452">
        <v>45022</v>
      </c>
      <c r="F17" s="2453">
        <v>45027</v>
      </c>
      <c r="H17" s="2454">
        <v>45030</v>
      </c>
      <c r="J17" s="2455" t="s">
        <v>1504</v>
      </c>
    </row>
    <row r="20" spans="2:10" ht="16" thickBot="1">
      <c r="B20" s="1242" t="s">
        <v>1505</v>
      </c>
      <c r="C20" s="75"/>
      <c r="D20" s="75"/>
      <c r="E20" s="75"/>
      <c r="F20" s="75"/>
      <c r="G20" s="75"/>
      <c r="I20" s="75"/>
      <c r="J20" s="75"/>
    </row>
    <row r="21" spans="2:10" ht="25.4" customHeight="1" thickBot="1">
      <c r="B21" s="2431"/>
      <c r="C21" s="2431" t="s">
        <v>1452</v>
      </c>
      <c r="D21" s="2456" t="s">
        <v>1506</v>
      </c>
      <c r="F21" s="2456" t="s">
        <v>1507</v>
      </c>
      <c r="J21" s="2433" t="s">
        <v>1456</v>
      </c>
    </row>
    <row r="22" spans="2:10">
      <c r="B22" s="2434" t="s">
        <v>1508</v>
      </c>
      <c r="C22" s="293" t="s">
        <v>1509</v>
      </c>
      <c r="D22" s="2457">
        <v>44683</v>
      </c>
      <c r="F22" s="2458">
        <v>44683</v>
      </c>
      <c r="J22" s="2439">
        <v>44683</v>
      </c>
    </row>
    <row r="23" spans="2:10">
      <c r="B23" s="2440" t="s">
        <v>1463</v>
      </c>
      <c r="C23" s="2459" t="s">
        <v>1464</v>
      </c>
      <c r="D23" s="2442">
        <v>44713</v>
      </c>
      <c r="F23" s="2443">
        <v>44713</v>
      </c>
      <c r="J23" s="2445">
        <v>44713</v>
      </c>
    </row>
    <row r="24" spans="2:10">
      <c r="B24" s="2440" t="s">
        <v>1465</v>
      </c>
      <c r="C24" s="2459" t="s">
        <v>1466</v>
      </c>
      <c r="D24" s="2442">
        <v>44744</v>
      </c>
      <c r="F24" s="2443">
        <v>44744</v>
      </c>
      <c r="J24" s="2439">
        <v>44744</v>
      </c>
    </row>
    <row r="25" spans="2:10">
      <c r="B25" s="2440" t="s">
        <v>1469</v>
      </c>
      <c r="C25" s="2459" t="s">
        <v>1510</v>
      </c>
      <c r="D25" s="2442">
        <v>44774</v>
      </c>
      <c r="F25" s="2443">
        <v>44774</v>
      </c>
      <c r="J25" s="2439">
        <v>44774</v>
      </c>
    </row>
    <row r="26" spans="2:10">
      <c r="B26" s="2440" t="s">
        <v>1474</v>
      </c>
      <c r="C26" s="2459" t="s">
        <v>1511</v>
      </c>
      <c r="D26" s="2442">
        <v>44805</v>
      </c>
      <c r="F26" s="2443">
        <v>44805</v>
      </c>
      <c r="J26" s="2449">
        <v>44805</v>
      </c>
    </row>
    <row r="27" spans="2:10">
      <c r="B27" s="2440" t="s">
        <v>1480</v>
      </c>
      <c r="C27" s="2459" t="s">
        <v>1512</v>
      </c>
      <c r="D27" s="2442">
        <v>44837</v>
      </c>
      <c r="F27" s="2443">
        <v>44837</v>
      </c>
      <c r="J27" s="2439">
        <v>44837</v>
      </c>
    </row>
    <row r="28" spans="2:10">
      <c r="B28" s="2440" t="s">
        <v>1485</v>
      </c>
      <c r="C28" s="2459" t="s">
        <v>1513</v>
      </c>
      <c r="D28" s="2442">
        <v>44866</v>
      </c>
      <c r="F28" s="2443">
        <v>44866</v>
      </c>
      <c r="J28" s="2439">
        <v>44866</v>
      </c>
    </row>
    <row r="29" spans="2:10">
      <c r="B29" s="2440" t="s">
        <v>1491</v>
      </c>
      <c r="C29" s="2459" t="s">
        <v>1514</v>
      </c>
      <c r="D29" s="2442">
        <v>44896</v>
      </c>
      <c r="F29" s="2443">
        <v>44896</v>
      </c>
      <c r="J29" s="2445">
        <v>44896</v>
      </c>
    </row>
    <row r="30" spans="2:10">
      <c r="B30" s="2440" t="s">
        <v>1493</v>
      </c>
      <c r="C30" s="2459" t="s">
        <v>1515</v>
      </c>
      <c r="D30" s="2442">
        <v>44929</v>
      </c>
      <c r="F30" s="2443">
        <v>44929</v>
      </c>
      <c r="J30" s="2449">
        <v>44564</v>
      </c>
    </row>
    <row r="31" spans="2:10">
      <c r="B31" s="2440" t="s">
        <v>1498</v>
      </c>
      <c r="C31" s="2459" t="s">
        <v>1516</v>
      </c>
      <c r="D31" s="2442">
        <v>44958</v>
      </c>
      <c r="F31" s="2443">
        <v>44958</v>
      </c>
      <c r="J31" s="2445">
        <v>44593</v>
      </c>
    </row>
    <row r="32" spans="2:10">
      <c r="B32" s="2440" t="s">
        <v>1500</v>
      </c>
      <c r="C32" s="2459" t="s">
        <v>1517</v>
      </c>
      <c r="D32" s="2442">
        <v>44986</v>
      </c>
      <c r="F32" s="2443">
        <v>44986</v>
      </c>
      <c r="J32" s="2445">
        <v>44621</v>
      </c>
    </row>
    <row r="33" spans="2:10">
      <c r="B33" s="2450" t="s">
        <v>1502</v>
      </c>
      <c r="C33" s="1123" t="s">
        <v>1518</v>
      </c>
      <c r="D33" s="2460">
        <v>45019</v>
      </c>
      <c r="F33" s="2461">
        <v>45019</v>
      </c>
      <c r="J33" s="2455">
        <v>44654</v>
      </c>
    </row>
  </sheetData>
  <phoneticPr fontId="5"/>
  <pageMargins left="0.25" right="0.25" top="0.75" bottom="0.75" header="0.3" footer="0.3"/>
  <pageSetup paperSize="9" scale="48" orientation="landscape" r:id="rId1"/>
  <headerFooter>
    <oddFooter>&amp;C&amp;A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FF00"/>
  </sheetPr>
  <dimension ref="A1:BI1596"/>
  <sheetViews>
    <sheetView showGridLines="0" tabSelected="1" zoomScale="74" zoomScaleNormal="74" workbookViewId="0">
      <pane xSplit="16" ySplit="13" topLeftCell="R1578" activePane="bottomRight" state="frozen"/>
      <selection pane="topRight" activeCell="Q1" sqref="Q1"/>
      <selection pane="bottomLeft" activeCell="A11" sqref="A11"/>
      <selection pane="bottomRight" activeCell="Y7" sqref="Y7"/>
    </sheetView>
  </sheetViews>
  <sheetFormatPr defaultColWidth="9" defaultRowHeight="14" outlineLevelRow="1" outlineLevelCol="1"/>
  <cols>
    <col min="1" max="1" width="5.54296875" style="990" hidden="1" customWidth="1" outlineLevel="1"/>
    <col min="2" max="2" width="4.54296875" style="990" hidden="1" customWidth="1" outlineLevel="1"/>
    <col min="3" max="3" width="5.1796875" style="990" hidden="1" customWidth="1" outlineLevel="1"/>
    <col min="4" max="4" width="3.453125" style="9" hidden="1" customWidth="1" outlineLevel="1" collapsed="1"/>
    <col min="5" max="5" width="3.453125" style="1255" customWidth="1" collapsed="1"/>
    <col min="6" max="6" width="1.453125" style="10" customWidth="1"/>
    <col min="7" max="7" width="1.81640625" style="10" customWidth="1"/>
    <col min="8" max="8" width="1.54296875" style="24" customWidth="1"/>
    <col min="9" max="9" width="4.54296875" style="10" customWidth="1"/>
    <col min="10" max="10" width="4" style="9" customWidth="1"/>
    <col min="11" max="11" width="3.1796875" style="10" customWidth="1"/>
    <col min="12" max="12" width="6.54296875" style="10" customWidth="1"/>
    <col min="13" max="13" width="5.81640625" style="9" customWidth="1"/>
    <col min="14" max="14" width="7.1796875" style="9" customWidth="1"/>
    <col min="15" max="15" width="11.453125" style="9" customWidth="1"/>
    <col min="16" max="16" width="25.81640625" style="9" customWidth="1"/>
    <col min="17" max="17" width="32.1796875" style="1" hidden="1" customWidth="1" outlineLevel="1"/>
    <col min="18" max="18" width="11" style="1" customWidth="1" collapsed="1"/>
    <col min="19" max="20" width="11" style="1" customWidth="1"/>
    <col min="21" max="21" width="11.54296875" style="1" bestFit="1" customWidth="1"/>
    <col min="22" max="27" width="11" style="1" customWidth="1"/>
    <col min="28" max="33" width="11" style="9" customWidth="1"/>
    <col min="34" max="34" width="10.54296875" style="9" customWidth="1"/>
    <col min="35" max="36" width="10.81640625" style="9" customWidth="1"/>
    <col min="37" max="37" width="5.54296875" style="9" bestFit="1" customWidth="1"/>
    <col min="38" max="38" width="11.81640625" style="9" hidden="1" customWidth="1" outlineLevel="1"/>
    <col min="39" max="39" width="10.1796875" style="9" hidden="1" customWidth="1" outlineLevel="1"/>
    <col min="40" max="40" width="9.81640625" style="9" hidden="1" customWidth="1" outlineLevel="1"/>
    <col min="41" max="41" width="9.54296875" style="9" hidden="1" customWidth="1" outlineLevel="1"/>
    <col min="42" max="42" width="9.81640625" style="9" hidden="1" customWidth="1" outlineLevel="1"/>
    <col min="43" max="43" width="10.1796875" style="9" hidden="1" customWidth="1" outlineLevel="1"/>
    <col min="44" max="44" width="9.81640625" style="9" hidden="1" customWidth="1" outlineLevel="1"/>
    <col min="45" max="45" width="2.81640625" style="9" hidden="1" customWidth="1" outlineLevel="1"/>
    <col min="46" max="46" width="9.81640625" style="9" hidden="1" customWidth="1" outlineLevel="1"/>
    <col min="47" max="47" width="10.1796875" style="9" hidden="1" customWidth="1" outlineLevel="1"/>
    <col min="48" max="48" width="11" style="9" hidden="1" customWidth="1" outlineLevel="1"/>
    <col min="49" max="49" width="9.54296875" style="9" hidden="1" customWidth="1" outlineLevel="1"/>
    <col min="50" max="50" width="9.81640625" style="9" hidden="1" customWidth="1" outlineLevel="1"/>
    <col min="51" max="51" width="10.1796875" style="9" hidden="1" customWidth="1" outlineLevel="1"/>
    <col min="52" max="52" width="9.81640625" style="9" hidden="1" customWidth="1" outlineLevel="1"/>
    <col min="53" max="53" width="2.81640625" style="9" hidden="1" customWidth="1" outlineLevel="1"/>
    <col min="54" max="55" width="11.54296875" style="9" hidden="1" customWidth="1" outlineLevel="1"/>
    <col min="56" max="56" width="11" style="9" hidden="1" customWidth="1" outlineLevel="1"/>
    <col min="57" max="57" width="10.81640625" style="9" hidden="1" customWidth="1" outlineLevel="1"/>
    <col min="58" max="59" width="11.54296875" style="9" hidden="1" customWidth="1" outlineLevel="1"/>
    <col min="60" max="60" width="9.81640625" style="9" hidden="1" customWidth="1" outlineLevel="1"/>
    <col min="61" max="61" width="9" style="9" collapsed="1"/>
    <col min="62" max="16384" width="9" style="9"/>
  </cols>
  <sheetData>
    <row r="1" spans="1:60" s="991" customFormat="1" hidden="1" outlineLevel="1">
      <c r="A1" s="990"/>
      <c r="B1" s="990"/>
      <c r="C1" s="990"/>
      <c r="E1" s="1120"/>
      <c r="F1" s="992"/>
      <c r="G1" s="992"/>
      <c r="H1" s="992"/>
      <c r="I1" s="992"/>
      <c r="K1" s="992"/>
      <c r="L1" s="992"/>
      <c r="Q1" s="993"/>
      <c r="R1" s="993"/>
      <c r="S1" s="993"/>
      <c r="T1" s="993"/>
      <c r="U1" s="993"/>
      <c r="V1" s="993"/>
      <c r="W1" s="993"/>
      <c r="X1" s="993"/>
      <c r="Y1" s="993"/>
      <c r="Z1" s="993"/>
      <c r="AA1" s="993"/>
      <c r="AM1" s="994" t="s">
        <v>789</v>
      </c>
      <c r="AN1" s="995"/>
      <c r="AO1" s="995"/>
      <c r="AP1" s="994" t="s">
        <v>790</v>
      </c>
      <c r="AR1" s="995"/>
      <c r="AU1" s="994" t="str">
        <f>AM1</f>
        <v>'OP'!</v>
      </c>
      <c r="AV1" s="995"/>
      <c r="AW1" s="995"/>
      <c r="AX1" s="994" t="str">
        <f>AP1</f>
        <v>'Previous'!</v>
      </c>
      <c r="AZ1" s="995"/>
      <c r="BC1" s="994" t="str">
        <f>AM1</f>
        <v>'OP'!</v>
      </c>
      <c r="BD1" s="995"/>
      <c r="BE1" s="995"/>
      <c r="BF1" s="994" t="str">
        <f>AP1</f>
        <v>'Previous'!</v>
      </c>
      <c r="BH1" s="995"/>
    </row>
    <row r="2" spans="1:60" s="991" customFormat="1" hidden="1" outlineLevel="1">
      <c r="A2" s="990"/>
      <c r="B2" s="990"/>
      <c r="C2" s="990"/>
      <c r="E2" s="1120"/>
      <c r="F2" s="992"/>
      <c r="G2" s="992"/>
      <c r="H2" s="992"/>
      <c r="I2" s="992"/>
      <c r="K2" s="992"/>
      <c r="L2" s="992"/>
      <c r="Q2" s="993"/>
      <c r="R2" s="993"/>
      <c r="S2" s="993"/>
      <c r="T2" s="993"/>
      <c r="U2" s="993"/>
      <c r="V2" s="993"/>
      <c r="W2" s="993"/>
      <c r="X2" s="993"/>
      <c r="Y2" s="993"/>
      <c r="Z2" s="993"/>
      <c r="AA2" s="993"/>
      <c r="AL2" s="996" t="str">
        <f>VLOOKUP($AL$7,Work1!$F$6:$I$17,2,0)</f>
        <v>AC</v>
      </c>
      <c r="AM2" s="996" t="str">
        <f>VLOOKUP($AL$7,Work1!$F$6:$I$17,3,0)</f>
        <v>AB</v>
      </c>
      <c r="AP2" s="996" t="str">
        <f>VLOOKUP($AL$7,Work1!$F$6:$I$17,4,0)</f>
        <v>AB</v>
      </c>
      <c r="AT2" s="996" t="str">
        <f>VLOOKUP($AL$7,Work1!$K$6:$Q$17,2,0)</f>
        <v>AA</v>
      </c>
      <c r="AU2" s="996" t="str">
        <f>VLOOKUP($AL$7,Work1!$K$6:$Q$17,3,0)</f>
        <v>Z</v>
      </c>
      <c r="AX2" s="996" t="str">
        <f>VLOOKUP($AL$7,Work1!$K$6:$Q$17,4,0)</f>
        <v>Z</v>
      </c>
      <c r="BB2" s="996" t="str">
        <f>VLOOKUP($AL$7,Work1!$K$6:$Q$17,5,0)</f>
        <v>R</v>
      </c>
      <c r="BC2" s="996" t="str">
        <f>VLOOKUP($AL$7,Work1!$K$6:$Q$17,6,0)</f>
        <v>Q</v>
      </c>
      <c r="BF2" s="996" t="str">
        <f>VLOOKUP($AL$7,Work1!$K$6:$Q$17,7,0)</f>
        <v>Q</v>
      </c>
    </row>
    <row r="3" spans="1:60" s="991" customFormat="1" hidden="1" outlineLevel="1">
      <c r="A3" s="990"/>
      <c r="B3" s="990"/>
      <c r="C3" s="990"/>
      <c r="E3" s="1120"/>
      <c r="F3" s="992"/>
      <c r="G3" s="992"/>
      <c r="H3" s="992"/>
      <c r="I3" s="992"/>
      <c r="K3" s="992"/>
      <c r="L3" s="992"/>
      <c r="Q3" s="993"/>
      <c r="R3" s="993"/>
      <c r="S3" s="993"/>
      <c r="T3" s="993"/>
      <c r="U3" s="993"/>
      <c r="V3" s="993"/>
      <c r="W3" s="993"/>
      <c r="X3" s="993"/>
      <c r="Y3" s="993"/>
      <c r="Z3" s="993"/>
      <c r="AA3" s="993"/>
      <c r="AL3" s="996" t="str">
        <f>AL2</f>
        <v>AC</v>
      </c>
      <c r="AM3" s="996" t="str">
        <f>AM2</f>
        <v>AB</v>
      </c>
      <c r="AP3" s="996" t="str">
        <f>AP2</f>
        <v>AB</v>
      </c>
      <c r="AT3" s="996" t="str">
        <f>VLOOKUP($AL$7,Work1!$K$22:$Q$33,2,0)</f>
        <v>AC</v>
      </c>
      <c r="AU3" s="996" t="str">
        <f>VLOOKUP($AL$7,Work1!$K$22:$Q$33,3,0)</f>
        <v>AB</v>
      </c>
      <c r="AX3" s="996" t="str">
        <f>VLOOKUP($AL$7,Work1!$K$22:$Q$33,4,0)</f>
        <v>AB</v>
      </c>
      <c r="BB3" s="996" t="str">
        <f>VLOOKUP($AL$7,Work1!$K$22:$Q$33,5,0)</f>
        <v>AC</v>
      </c>
      <c r="BC3" s="996" t="str">
        <f>VLOOKUP($AL$7,Work1!$K$22:$Q$33,6,0)</f>
        <v>AB</v>
      </c>
      <c r="BF3" s="996" t="str">
        <f>VLOOKUP($AL$7,Work1!$K$22:$Q$33,7,0)</f>
        <v>AB</v>
      </c>
    </row>
    <row r="4" spans="1:60" s="191" customFormat="1" ht="20" collapsed="1">
      <c r="A4" s="997" t="s">
        <v>786</v>
      </c>
      <c r="B4" s="997"/>
      <c r="C4" s="997" t="s">
        <v>781</v>
      </c>
      <c r="E4" s="1254"/>
      <c r="F4" s="311" t="s">
        <v>1425</v>
      </c>
      <c r="G4" s="311"/>
      <c r="H4" s="559"/>
      <c r="I4" s="242"/>
      <c r="K4" s="193"/>
      <c r="L4" s="193"/>
      <c r="P4" s="225" t="s">
        <v>257</v>
      </c>
      <c r="Q4" s="1837" t="s">
        <v>1665</v>
      </c>
      <c r="R4" s="226" t="s">
        <v>168</v>
      </c>
      <c r="S4" s="1"/>
      <c r="T4" s="1685"/>
      <c r="U4" s="2775" t="s">
        <v>1656</v>
      </c>
      <c r="V4" s="2773"/>
      <c r="W4" s="2773"/>
      <c r="X4" s="2773"/>
      <c r="Y4" s="2773"/>
      <c r="Z4" s="2773"/>
      <c r="AA4" s="2773"/>
      <c r="AB4" s="2774"/>
      <c r="AC4" s="2774"/>
      <c r="AD4" s="2774"/>
      <c r="AE4" s="2774"/>
      <c r="AF4" s="2774"/>
      <c r="AL4" s="980" t="s">
        <v>984</v>
      </c>
      <c r="AM4" s="981"/>
      <c r="AN4" s="981"/>
      <c r="AP4" s="1114" t="s">
        <v>883</v>
      </c>
    </row>
    <row r="5" spans="1:60" s="191" customFormat="1" ht="8.5" customHeight="1">
      <c r="A5" s="997"/>
      <c r="B5" s="997"/>
      <c r="C5" s="997"/>
      <c r="E5" s="1254"/>
      <c r="H5" s="560"/>
      <c r="I5" s="1150"/>
      <c r="J5" s="1150"/>
      <c r="K5" s="193"/>
      <c r="L5" s="193"/>
      <c r="Q5" s="1837" t="s">
        <v>1659</v>
      </c>
      <c r="R5" s="1"/>
      <c r="S5" s="1"/>
      <c r="T5" s="1686"/>
      <c r="U5" s="1686"/>
      <c r="V5" s="1"/>
      <c r="W5" s="1"/>
      <c r="X5" s="1"/>
      <c r="Y5" s="1"/>
      <c r="Z5" s="1"/>
      <c r="AA5" s="1"/>
    </row>
    <row r="6" spans="1:60" s="191" customFormat="1" ht="18">
      <c r="A6" s="997"/>
      <c r="B6" s="997"/>
      <c r="C6" s="997"/>
      <c r="D6" s="1121" t="s">
        <v>887</v>
      </c>
      <c r="E6" s="1254"/>
      <c r="F6" s="312"/>
      <c r="G6" s="312"/>
      <c r="H6" s="560"/>
      <c r="I6" s="1147" t="str">
        <f>VLOOKUP(P4,Work1!C6:D32,2,0)</f>
        <v>K_INR</v>
      </c>
      <c r="J6" s="1148"/>
      <c r="K6" s="1149"/>
      <c r="L6" s="226" t="s">
        <v>168</v>
      </c>
      <c r="M6" s="240"/>
      <c r="N6" s="240"/>
      <c r="P6" s="192" t="s">
        <v>145</v>
      </c>
      <c r="Q6" s="1837" t="s">
        <v>1660</v>
      </c>
      <c r="R6" s="9" t="str">
        <f>Q4</f>
        <v>Last Refresh: 11-05-2022 12:09:15</v>
      </c>
      <c r="S6" s="1144"/>
      <c r="T6" s="1"/>
      <c r="U6" s="1"/>
      <c r="V6" s="1"/>
      <c r="W6" s="1"/>
      <c r="X6" s="1"/>
      <c r="Y6" s="1"/>
      <c r="Z6" s="1"/>
      <c r="AA6" s="1"/>
      <c r="AI6" s="1621"/>
      <c r="AL6" s="193" t="s">
        <v>788</v>
      </c>
    </row>
    <row r="7" spans="1:60" s="191" customFormat="1" ht="18">
      <c r="A7" s="997"/>
      <c r="B7" s="997"/>
      <c r="C7" s="997"/>
      <c r="D7" s="1121"/>
      <c r="E7" s="1254"/>
      <c r="F7" s="312"/>
      <c r="G7" s="312"/>
      <c r="H7" s="560"/>
      <c r="L7" s="240"/>
      <c r="M7" s="240"/>
      <c r="N7" s="240"/>
      <c r="P7" s="609" t="s">
        <v>588</v>
      </c>
      <c r="Q7" s="1837" t="s">
        <v>1661</v>
      </c>
      <c r="R7" s="9" t="str">
        <f>IF(R12="","","Last Send and Refresh:"&amp;TEXT(R12," YYYY/MM/DD HH:MM:SS"))</f>
        <v>Last Send and Refresh: 2022/05/10 15:33:48</v>
      </c>
      <c r="S7" s="1144"/>
      <c r="T7" s="1"/>
      <c r="U7" s="1"/>
      <c r="V7" s="1"/>
      <c r="W7" s="1"/>
      <c r="X7" s="2804"/>
      <c r="Y7" s="1"/>
      <c r="Z7" s="1"/>
      <c r="AA7" s="1"/>
      <c r="AI7" s="1621"/>
      <c r="AL7" s="1284" t="s">
        <v>1655</v>
      </c>
      <c r="AM7" s="982" t="s">
        <v>816</v>
      </c>
      <c r="AN7" s="9"/>
      <c r="AO7" s="9"/>
      <c r="AP7" s="9"/>
      <c r="AQ7" s="9"/>
      <c r="AR7" s="9"/>
      <c r="AS7" s="9"/>
    </row>
    <row r="8" spans="1:60" s="191" customFormat="1" ht="25">
      <c r="A8" s="997"/>
      <c r="B8" s="997"/>
      <c r="C8" s="997"/>
      <c r="D8" s="1121"/>
      <c r="E8" s="1254"/>
      <c r="F8" s="312"/>
      <c r="G8" s="60" t="s">
        <v>540</v>
      </c>
      <c r="H8" s="60"/>
      <c r="I8" s="561"/>
      <c r="J8" s="5"/>
      <c r="L8" s="240"/>
      <c r="M8" s="240"/>
      <c r="N8" s="240"/>
      <c r="Q8" s="1837" t="s">
        <v>1662</v>
      </c>
      <c r="R8" s="1"/>
      <c r="S8" s="1144"/>
      <c r="T8" s="1"/>
      <c r="U8" s="1"/>
      <c r="V8" s="1"/>
      <c r="W8" s="1"/>
      <c r="X8" s="1"/>
      <c r="Y8" s="1"/>
      <c r="Z8" s="1"/>
      <c r="AA8" s="1"/>
      <c r="AI8" s="1621"/>
      <c r="AL8" s="193"/>
    </row>
    <row r="9" spans="1:60" s="191" customFormat="1" ht="18">
      <c r="A9" s="997"/>
      <c r="B9" s="997"/>
      <c r="C9" s="997"/>
      <c r="D9" s="1121"/>
      <c r="E9" s="1254"/>
      <c r="F9" s="312"/>
      <c r="G9" s="9"/>
      <c r="H9" s="460" t="s">
        <v>169</v>
      </c>
      <c r="I9" s="24"/>
      <c r="J9" s="39"/>
      <c r="L9" s="240"/>
      <c r="M9" s="240"/>
      <c r="N9" s="240"/>
      <c r="Q9" s="1837" t="s">
        <v>1663</v>
      </c>
      <c r="R9" s="1"/>
      <c r="S9" s="1144"/>
      <c r="T9" s="1"/>
      <c r="U9" s="1"/>
      <c r="V9" s="1" t="s">
        <v>1657</v>
      </c>
      <c r="W9" s="1"/>
      <c r="X9" s="1"/>
      <c r="Y9" s="1"/>
      <c r="Z9" s="1"/>
      <c r="AA9" s="1"/>
      <c r="AI9" s="1621"/>
      <c r="AL9" s="837" t="s">
        <v>783</v>
      </c>
      <c r="AM9" s="838"/>
      <c r="AN9" s="838"/>
      <c r="AO9" s="838"/>
      <c r="AP9" s="838"/>
      <c r="AQ9" s="839"/>
      <c r="AR9" s="839"/>
      <c r="AS9" s="9"/>
      <c r="AT9" s="837" t="s">
        <v>784</v>
      </c>
      <c r="AU9" s="838"/>
      <c r="AV9" s="838"/>
      <c r="AW9" s="838"/>
      <c r="AX9" s="838"/>
      <c r="AY9" s="839"/>
      <c r="AZ9" s="839"/>
      <c r="BA9" s="9"/>
      <c r="BB9" s="837" t="s">
        <v>785</v>
      </c>
      <c r="BC9" s="838"/>
      <c r="BD9" s="838"/>
      <c r="BE9" s="838"/>
      <c r="BF9" s="838"/>
      <c r="BG9" s="839"/>
      <c r="BH9" s="839"/>
    </row>
    <row r="10" spans="1:60" ht="17.5" hidden="1" customHeight="1" outlineLevel="1">
      <c r="K10" s="241"/>
      <c r="L10" s="241"/>
      <c r="N10" s="190"/>
      <c r="O10" s="189"/>
      <c r="Q10" s="188"/>
      <c r="R10" s="1921" t="str">
        <f>CHOOSE(2, "5446510030", "Apr 22")</f>
        <v>Apr 22</v>
      </c>
      <c r="S10" s="1922" t="str">
        <f>CHOOSE(2, "5446810031", "May 22")</f>
        <v>May 22</v>
      </c>
      <c r="T10" s="1923" t="str">
        <f>CHOOSE(2, "5447120030", "Jun 22")</f>
        <v>Jun 22</v>
      </c>
      <c r="U10" s="1923" t="str">
        <f>CHOOSE(2, "5447420031", "Jul 22")</f>
        <v>Jul 22</v>
      </c>
      <c r="V10" s="1923" t="str">
        <f>CHOOSE(2, "5447730031", "Aug 22")</f>
        <v>Aug 22</v>
      </c>
      <c r="W10" s="1923" t="str">
        <f>CHOOSE(2, "5448040030", "Sep 22")</f>
        <v>Sep 22</v>
      </c>
      <c r="X10" s="1923" t="str">
        <f>CHOOSE(2, "5448340031", "Oct 22")</f>
        <v>Oct 22</v>
      </c>
      <c r="Y10" s="1923" t="str">
        <f>CHOOSE(2, "5448650030", "Nov 22")</f>
        <v>Nov 22</v>
      </c>
      <c r="Z10" s="1923" t="str">
        <f>CHOOSE(2, "5448950031", "Dec 22")</f>
        <v>Dec 22</v>
      </c>
      <c r="AA10" s="1923" t="str">
        <f>CHOOSE(2, "5449260031", "Jan 23")</f>
        <v>Jan 23</v>
      </c>
      <c r="AB10" s="1923" t="str">
        <f>CHOOSE(2, "5449570028", "Feb 23")</f>
        <v>Feb 23</v>
      </c>
      <c r="AC10" s="1923" t="str">
        <f>CHOOSE(2, "5449850031", "Mar 23")</f>
        <v>Mar 23</v>
      </c>
    </row>
    <row r="11" spans="1:60" ht="22.75" hidden="1" customHeight="1" outlineLevel="1">
      <c r="D11" s="1121" t="s">
        <v>887</v>
      </c>
      <c r="E11" s="1255">
        <v>1</v>
      </c>
      <c r="J11" s="4"/>
      <c r="K11" s="39"/>
      <c r="L11" s="39"/>
      <c r="M11" s="40"/>
      <c r="N11" s="40"/>
      <c r="O11" s="40"/>
      <c r="P11" s="40"/>
      <c r="Q11" s="1838" t="str">
        <f>CHOOSE(2, "6722000002631", "1. P/L (1) - Overview")</f>
        <v>1. P/L (1) - Overview</v>
      </c>
      <c r="R11" s="2320">
        <f ca="1">NOW()</f>
        <v>45029.072082870371</v>
      </c>
      <c r="S11" s="1924"/>
      <c r="T11" s="1924"/>
      <c r="U11" s="1924"/>
      <c r="V11" s="1924"/>
      <c r="W11" s="1924"/>
      <c r="X11" s="1924"/>
      <c r="Y11" s="1924"/>
      <c r="Z11" s="1924"/>
      <c r="AA11" s="1924"/>
      <c r="AB11" s="1924"/>
      <c r="AC11" s="1924"/>
      <c r="AD11" s="187"/>
    </row>
    <row r="12" spans="1:60" ht="14.5" hidden="1" outlineLevel="1" collapsed="1">
      <c r="D12" s="1121" t="s">
        <v>887</v>
      </c>
      <c r="E12" s="1255">
        <v>1</v>
      </c>
      <c r="J12" s="40"/>
      <c r="K12" s="39"/>
      <c r="L12" s="39"/>
      <c r="M12" s="40"/>
      <c r="N12" s="67"/>
      <c r="O12" s="40"/>
      <c r="P12" s="40"/>
      <c r="Q12" s="1839" t="str">
        <f>CHOOSE(2, "6722000002630", "1-1. P/L Statement")</f>
        <v>1-1. P/L Statement</v>
      </c>
      <c r="R12" s="2321" t="s">
        <v>1664</v>
      </c>
      <c r="S12" s="1925"/>
      <c r="T12" s="1925"/>
      <c r="U12" s="1925"/>
      <c r="V12" s="1925"/>
      <c r="W12" s="1925"/>
      <c r="X12" s="1924"/>
      <c r="Y12" s="1924"/>
      <c r="Z12" s="1924"/>
      <c r="AA12" s="1924"/>
      <c r="AB12" s="1924"/>
      <c r="AC12" s="1924"/>
      <c r="AH12" s="186"/>
      <c r="AI12" s="186"/>
      <c r="AJ12" s="186"/>
    </row>
    <row r="13" spans="1:60" ht="14.5" collapsed="1">
      <c r="D13" s="1121" t="s">
        <v>887</v>
      </c>
      <c r="E13" s="1255">
        <v>1</v>
      </c>
      <c r="F13" s="93"/>
      <c r="G13" s="93"/>
      <c r="H13" s="14"/>
      <c r="I13" s="58"/>
      <c r="J13" s="56"/>
      <c r="K13" s="57"/>
      <c r="L13" s="57"/>
      <c r="M13" s="56"/>
      <c r="N13" s="56"/>
      <c r="O13" s="56"/>
      <c r="P13" s="555"/>
      <c r="Q13" s="1839" t="str">
        <f>CHOOSE(2, "6722000002629", "▷ Blank 0")</f>
        <v>▷ Blank 0</v>
      </c>
      <c r="R13" s="1153">
        <f>IF($P$4="BBR",Work1!D2, Work1!D3)</f>
        <v>44652</v>
      </c>
      <c r="S13" s="1153">
        <f>DATE(YEAR(R13),MONTH(R13)+1,DAY(R13))</f>
        <v>44682</v>
      </c>
      <c r="T13" s="1153">
        <f t="shared" ref="T13:AB13" si="0">DATE(YEAR(S13),MONTH(S13)+1,DAY(S13))</f>
        <v>44713</v>
      </c>
      <c r="U13" s="1153">
        <f t="shared" si="0"/>
        <v>44743</v>
      </c>
      <c r="V13" s="1153">
        <f t="shared" si="0"/>
        <v>44774</v>
      </c>
      <c r="W13" s="1153">
        <f t="shared" si="0"/>
        <v>44805</v>
      </c>
      <c r="X13" s="1153">
        <f t="shared" si="0"/>
        <v>44835</v>
      </c>
      <c r="Y13" s="1153">
        <f t="shared" si="0"/>
        <v>44866</v>
      </c>
      <c r="Z13" s="1153">
        <f t="shared" si="0"/>
        <v>44896</v>
      </c>
      <c r="AA13" s="1153">
        <f t="shared" si="0"/>
        <v>44927</v>
      </c>
      <c r="AB13" s="1153">
        <f t="shared" si="0"/>
        <v>44958</v>
      </c>
      <c r="AC13" s="1153">
        <f>DATE(YEAR(AB13),MONTH(AB13)+1,DAY(AB13))</f>
        <v>44986</v>
      </c>
      <c r="AD13" s="1505" t="s">
        <v>1427</v>
      </c>
      <c r="AE13" s="26" t="s">
        <v>104</v>
      </c>
      <c r="AF13" s="26" t="s">
        <v>103</v>
      </c>
      <c r="AG13" s="26" t="s">
        <v>102</v>
      </c>
      <c r="AH13" s="26" t="s">
        <v>101</v>
      </c>
      <c r="AI13" s="26" t="s">
        <v>100</v>
      </c>
      <c r="AJ13" s="26" t="s">
        <v>118</v>
      </c>
      <c r="AL13" s="860" t="s">
        <v>787</v>
      </c>
      <c r="AM13" s="861" t="s">
        <v>781</v>
      </c>
      <c r="AN13" s="861" t="s">
        <v>782</v>
      </c>
      <c r="AO13" s="861" t="s">
        <v>815</v>
      </c>
      <c r="AP13" s="861" t="s">
        <v>985</v>
      </c>
      <c r="AQ13" s="862" t="s">
        <v>986</v>
      </c>
      <c r="AR13" s="862" t="s">
        <v>815</v>
      </c>
      <c r="AT13" s="860" t="s">
        <v>787</v>
      </c>
      <c r="AU13" s="861" t="s">
        <v>781</v>
      </c>
      <c r="AV13" s="861" t="s">
        <v>782</v>
      </c>
      <c r="AW13" s="861" t="s">
        <v>815</v>
      </c>
      <c r="AX13" s="861" t="s">
        <v>985</v>
      </c>
      <c r="AY13" s="862" t="s">
        <v>986</v>
      </c>
      <c r="AZ13" s="862" t="s">
        <v>815</v>
      </c>
      <c r="BB13" s="860" t="s">
        <v>787</v>
      </c>
      <c r="BC13" s="861" t="s">
        <v>781</v>
      </c>
      <c r="BD13" s="861" t="s">
        <v>782</v>
      </c>
      <c r="BE13" s="861" t="s">
        <v>815</v>
      </c>
      <c r="BF13" s="861" t="s">
        <v>985</v>
      </c>
      <c r="BG13" s="862" t="s">
        <v>986</v>
      </c>
      <c r="BH13" s="862" t="s">
        <v>815</v>
      </c>
    </row>
    <row r="14" spans="1:60" ht="14.5">
      <c r="A14" s="990">
        <f t="shared" ref="A14:A45" si="1">ROW()-3</f>
        <v>11</v>
      </c>
      <c r="B14" s="990">
        <v>1</v>
      </c>
      <c r="C14" s="990">
        <f t="shared" ref="C14:C77" si="2">ROW()-3</f>
        <v>11</v>
      </c>
      <c r="D14" s="1121" t="s">
        <v>887</v>
      </c>
      <c r="E14" s="1243">
        <v>1</v>
      </c>
      <c r="F14" s="93"/>
      <c r="G14" s="93"/>
      <c r="H14" s="14"/>
      <c r="I14" s="172" t="s">
        <v>9</v>
      </c>
      <c r="J14" s="167"/>
      <c r="K14" s="167"/>
      <c r="L14" s="167"/>
      <c r="M14" s="167"/>
      <c r="N14" s="167"/>
      <c r="O14" s="167"/>
      <c r="P14" s="669"/>
      <c r="Q14" s="1840" t="str">
        <f>CHOOSE(2, "6722000002628", "PL Statement Net Sales")</f>
        <v>PL Statement Net Sales</v>
      </c>
      <c r="R14" s="2101">
        <f t="shared" ref="R14:AC14" si="3">R79+R353+R154+R208+R290</f>
        <v>649255</v>
      </c>
      <c r="S14" s="2101">
        <f t="shared" si="3"/>
        <v>656821</v>
      </c>
      <c r="T14" s="2101">
        <f t="shared" si="3"/>
        <v>693011</v>
      </c>
      <c r="U14" s="2101">
        <f t="shared" si="3"/>
        <v>709342</v>
      </c>
      <c r="V14" s="2101">
        <f t="shared" si="3"/>
        <v>827652.59600999998</v>
      </c>
      <c r="W14" s="2101">
        <f t="shared" si="3"/>
        <v>711087</v>
      </c>
      <c r="X14" s="2101">
        <f t="shared" si="3"/>
        <v>873355</v>
      </c>
      <c r="Y14" s="2101">
        <f t="shared" si="3"/>
        <v>797664</v>
      </c>
      <c r="Z14" s="2101">
        <f t="shared" si="3"/>
        <v>852777</v>
      </c>
      <c r="AA14" s="2101">
        <f t="shared" si="3"/>
        <v>834597</v>
      </c>
      <c r="AB14" s="2101">
        <f t="shared" si="3"/>
        <v>871093.62631000008</v>
      </c>
      <c r="AC14" s="2101">
        <f t="shared" si="3"/>
        <v>764117</v>
      </c>
      <c r="AD14" s="671">
        <f>SUM(R14,S14,T14)</f>
        <v>1999087</v>
      </c>
      <c r="AE14" s="170">
        <f>SUM(U14,V14,W14)</f>
        <v>2248081.59601</v>
      </c>
      <c r="AF14" s="170">
        <f>SUM(X14,Y14,Z14)</f>
        <v>2523796</v>
      </c>
      <c r="AG14" s="170">
        <f>SUM(AA14,AB14,AC14)</f>
        <v>2469807.6263100002</v>
      </c>
      <c r="AH14" s="170">
        <f>AD14+AE14</f>
        <v>4247168.5960099995</v>
      </c>
      <c r="AI14" s="170">
        <f>AG14+AF14</f>
        <v>4993603.6263100002</v>
      </c>
      <c r="AJ14" s="170">
        <f>AH14+AI14</f>
        <v>9240772.2223199997</v>
      </c>
      <c r="AL14" s="2101">
        <f ca="1">SUM((INDIRECT(AL$2&amp;(ROW())):INDIRECT(AL$3&amp;(ROW()))))</f>
        <v>764117</v>
      </c>
      <c r="AM14" s="2101">
        <f ca="1">SUM(INDIRECT(AM$1&amp;AM$2&amp;$C14):INDIRECT(AM$1&amp;AM$3&amp;$C14))</f>
        <v>0</v>
      </c>
      <c r="AN14" s="2462">
        <f t="shared" ref="AN14:AN36" ca="1" si="4">AL14-AM14</f>
        <v>764117</v>
      </c>
      <c r="AO14" s="2463">
        <f ca="1">IFERROR(AL14/AM14,0)</f>
        <v>0</v>
      </c>
      <c r="AP14" s="2101">
        <f ca="1">SUM(INDIRECT(AP$1&amp;AP$2&amp;$A14):INDIRECT(AP$1&amp;AP$3&amp;$A14))+SUM(INDIRECT(AP$1&amp;AP$2&amp;$B14):INDIRECT(AP$1&amp;AP$3&amp;$B14))</f>
        <v>770388</v>
      </c>
      <c r="AQ14" s="2462">
        <f t="shared" ref="AQ14:AQ36" ca="1" si="5">AL14-AP14</f>
        <v>-6271</v>
      </c>
      <c r="AR14" s="2463">
        <f ca="1">IFERROR(AL14/AP14,0)</f>
        <v>0.99185994589739201</v>
      </c>
      <c r="AT14" s="2101">
        <f ca="1">SUM((INDIRECT(AT$2&amp;(ROW())):INDIRECT(AT$3&amp;(ROW()))))</f>
        <v>2469807.6263100002</v>
      </c>
      <c r="AU14" s="2101">
        <f ca="1">SUM(INDIRECT(AU$1&amp;AU$2&amp;$C14):INDIRECT(AU$1&amp;AU$3&amp;$C14))</f>
        <v>0</v>
      </c>
      <c r="AV14" s="2462">
        <f t="shared" ref="AV14:AV36" ca="1" si="6">AT14-AU14</f>
        <v>2469807.6263100002</v>
      </c>
      <c r="AW14" s="2463">
        <f ca="1">IFERROR(AT14/AU14,0)</f>
        <v>0</v>
      </c>
      <c r="AX14" s="2101">
        <f ca="1">SUM(INDIRECT(AX$1&amp;AX$2&amp;$A14):INDIRECT(AX$1&amp;AX$3&amp;$A14))+SUM(INDIRECT(AX$1&amp;AX$2&amp;$B14):INDIRECT(AX$1&amp;AX$3&amp;$B14))</f>
        <v>1939949</v>
      </c>
      <c r="AY14" s="2462">
        <f t="shared" ref="AY14:AY36" ca="1" si="7">AT14-AX14</f>
        <v>529858.6263100002</v>
      </c>
      <c r="AZ14" s="2463">
        <f ca="1">IFERROR(AT14/AX14,0)</f>
        <v>1.2731301834790503</v>
      </c>
      <c r="BB14" s="2101">
        <f ca="1">SUM((INDIRECT(BB$2&amp;(ROW())):INDIRECT(BB$3&amp;(ROW()))))</f>
        <v>9240772.2223199997</v>
      </c>
      <c r="BC14" s="2101">
        <f ca="1">SUM(INDIRECT(BC$1&amp;BC$2&amp;$C14):INDIRECT(BC$1&amp;BC$3&amp;$C14))</f>
        <v>0</v>
      </c>
      <c r="BD14" s="2462">
        <f t="shared" ref="BD14:BD36" ca="1" si="8">BB14-BC14</f>
        <v>9240772.2223199997</v>
      </c>
      <c r="BE14" s="2463">
        <f ca="1">IFERROR(BB14/BC14,0)</f>
        <v>0</v>
      </c>
      <c r="BF14" s="2101">
        <f ca="1">SUM(INDIRECT(BF$1&amp;BF$2&amp;$A14):INDIRECT(BF$1&amp;BF$3&amp;$A14))+SUM(INDIRECT(BF$1&amp;BF$2&amp;$B14):INDIRECT(BF$1&amp;BF$3&amp;$B14))</f>
        <v>6980546</v>
      </c>
      <c r="BG14" s="2462">
        <f t="shared" ref="BG14:BG36" ca="1" si="9">BB14-BF14</f>
        <v>2260226.2223199997</v>
      </c>
      <c r="BH14" s="2463">
        <f ca="1">IFERROR(BB14/BF14,0)</f>
        <v>1.3237893170992641</v>
      </c>
    </row>
    <row r="15" spans="1:60" ht="14.5">
      <c r="A15" s="990">
        <f t="shared" si="1"/>
        <v>12</v>
      </c>
      <c r="B15" s="990">
        <v>1</v>
      </c>
      <c r="C15" s="990">
        <f t="shared" si="2"/>
        <v>12</v>
      </c>
      <c r="D15" s="1121" t="s">
        <v>887</v>
      </c>
      <c r="E15" s="1243">
        <v>1</v>
      </c>
      <c r="F15" s="93"/>
      <c r="G15" s="93"/>
      <c r="I15" s="170" t="s">
        <v>129</v>
      </c>
      <c r="J15" s="169"/>
      <c r="K15" s="169"/>
      <c r="L15" s="168"/>
      <c r="M15" s="167"/>
      <c r="N15" s="167"/>
      <c r="O15" s="167"/>
      <c r="P15" s="669"/>
      <c r="Q15" s="1840" t="str">
        <f>CHOOSE(2, "6722000002627", "PL Statement BT Cons. Sales")</f>
        <v>PL Statement BT Cons. Sales</v>
      </c>
      <c r="R15" s="2101">
        <f t="shared" ref="R15:AC15" si="10">R80+R362+R159+R223+R300</f>
        <v>648073</v>
      </c>
      <c r="S15" s="2100">
        <f t="shared" si="10"/>
        <v>656821</v>
      </c>
      <c r="T15" s="2100">
        <f t="shared" si="10"/>
        <v>693011</v>
      </c>
      <c r="U15" s="2100">
        <f t="shared" si="10"/>
        <v>706173</v>
      </c>
      <c r="V15" s="2100">
        <f t="shared" si="10"/>
        <v>827652.59600999998</v>
      </c>
      <c r="W15" s="2100">
        <f t="shared" si="10"/>
        <v>711087</v>
      </c>
      <c r="X15" s="2100">
        <f t="shared" si="10"/>
        <v>873355</v>
      </c>
      <c r="Y15" s="2100">
        <f t="shared" si="10"/>
        <v>797664</v>
      </c>
      <c r="Z15" s="2100">
        <f t="shared" si="10"/>
        <v>852777</v>
      </c>
      <c r="AA15" s="2100">
        <f t="shared" si="10"/>
        <v>834597</v>
      </c>
      <c r="AB15" s="2100">
        <f t="shared" si="10"/>
        <v>871093.62631000008</v>
      </c>
      <c r="AC15" s="2100">
        <f t="shared" si="10"/>
        <v>764117</v>
      </c>
      <c r="AD15" s="671">
        <f>SUM(R15,S15,T15)</f>
        <v>1997905</v>
      </c>
      <c r="AE15" s="166">
        <f t="shared" ref="AE15:AE17" si="11">SUM(U15,V15,W15)</f>
        <v>2244912.59601</v>
      </c>
      <c r="AF15" s="166">
        <f t="shared" ref="AF15:AF17" si="12">SUM(X15,Y15,Z15)</f>
        <v>2523796</v>
      </c>
      <c r="AG15" s="166">
        <f t="shared" ref="AG15:AG17" si="13">SUM(AA15,AB15,AC15)</f>
        <v>2469807.6263100002</v>
      </c>
      <c r="AH15" s="166">
        <f>AD15+AE15</f>
        <v>4242817.5960099995</v>
      </c>
      <c r="AI15" s="166">
        <f>AG15+AF15</f>
        <v>4993603.6263100002</v>
      </c>
      <c r="AJ15" s="166">
        <f>AH15+AI15</f>
        <v>9236421.2223199997</v>
      </c>
      <c r="AL15" s="2101">
        <f ca="1">SUM((INDIRECT(AL$2&amp;(ROW())):INDIRECT(AL$3&amp;(ROW()))))</f>
        <v>764117</v>
      </c>
      <c r="AM15" s="2100">
        <f ca="1">SUM(INDIRECT(AM$1&amp;AM$2&amp;$C15):INDIRECT(AM$1&amp;AM$3&amp;$C15))</f>
        <v>0</v>
      </c>
      <c r="AN15" s="2464">
        <f t="shared" ca="1" si="4"/>
        <v>764117</v>
      </c>
      <c r="AO15" s="2465">
        <f ca="1">IFERROR(AL15/AM15,0)</f>
        <v>0</v>
      </c>
      <c r="AP15" s="2100">
        <f ca="1">SUM(INDIRECT(AP$1&amp;AP$2&amp;$A15):INDIRECT(AP$1&amp;AP$3&amp;$A15))+SUM(INDIRECT(AP$1&amp;AP$2&amp;$B15):INDIRECT(AP$1&amp;AP$3&amp;$B15))</f>
        <v>770388</v>
      </c>
      <c r="AQ15" s="2464">
        <f t="shared" ca="1" si="5"/>
        <v>-6271</v>
      </c>
      <c r="AR15" s="2465">
        <f ca="1">IFERROR(AL15/AP15,0)</f>
        <v>0.99185994589739201</v>
      </c>
      <c r="AT15" s="2101">
        <f ca="1">SUM((INDIRECT(AT$2&amp;(ROW())):INDIRECT(AT$3&amp;(ROW()))))</f>
        <v>2469807.6263100002</v>
      </c>
      <c r="AU15" s="2100">
        <f ca="1">SUM(INDIRECT(AU$1&amp;AU$2&amp;$C15):INDIRECT(AU$1&amp;AU$3&amp;$C15))</f>
        <v>0</v>
      </c>
      <c r="AV15" s="2464">
        <f t="shared" ca="1" si="6"/>
        <v>2469807.6263100002</v>
      </c>
      <c r="AW15" s="2465">
        <f ca="1">IFERROR(AT15/AU15,0)</f>
        <v>0</v>
      </c>
      <c r="AX15" s="2100">
        <f ca="1">SUM(INDIRECT(AX$1&amp;AX$2&amp;$A15):INDIRECT(AX$1&amp;AX$3&amp;$A15))+SUM(INDIRECT(AX$1&amp;AX$2&amp;$B15):INDIRECT(AX$1&amp;AX$3&amp;$B15))</f>
        <v>1939949</v>
      </c>
      <c r="AY15" s="2464">
        <f t="shared" ca="1" si="7"/>
        <v>529858.6263100002</v>
      </c>
      <c r="AZ15" s="2465">
        <f ca="1">IFERROR(AT15/AX15,0)</f>
        <v>1.2731301834790503</v>
      </c>
      <c r="BB15" s="2101">
        <f ca="1">SUM((INDIRECT(BB$2&amp;(ROW())):INDIRECT(BB$3&amp;(ROW()))))</f>
        <v>9236421.2223199997</v>
      </c>
      <c r="BC15" s="2100">
        <f ca="1">SUM(INDIRECT(BC$1&amp;BC$2&amp;$C15):INDIRECT(BC$1&amp;BC$3&amp;$C15))</f>
        <v>0</v>
      </c>
      <c r="BD15" s="2464">
        <f t="shared" ca="1" si="8"/>
        <v>9236421.2223199997</v>
      </c>
      <c r="BE15" s="2465">
        <f ca="1">IFERROR(BB15/BC15,0)</f>
        <v>0</v>
      </c>
      <c r="BF15" s="2100">
        <f ca="1">SUM(INDIRECT(BF$1&amp;BF$2&amp;$A15):INDIRECT(BF$1&amp;BF$3&amp;$A15))+SUM(INDIRECT(BF$1&amp;BF$2&amp;$B15):INDIRECT(BF$1&amp;BF$3&amp;$B15))</f>
        <v>6980546</v>
      </c>
      <c r="BG15" s="2464">
        <f t="shared" ca="1" si="9"/>
        <v>2255875.2223199997</v>
      </c>
      <c r="BH15" s="2465">
        <f ca="1">IFERROR(BB15/BF15,0)</f>
        <v>1.3231660134207266</v>
      </c>
    </row>
    <row r="16" spans="1:60" ht="14.5">
      <c r="A16" s="990">
        <f t="shared" si="1"/>
        <v>13</v>
      </c>
      <c r="B16" s="990">
        <v>1</v>
      </c>
      <c r="C16" s="990">
        <f t="shared" si="2"/>
        <v>13</v>
      </c>
      <c r="D16" s="1121" t="s">
        <v>887</v>
      </c>
      <c r="E16" s="1243">
        <v>1</v>
      </c>
      <c r="F16" s="93"/>
      <c r="G16" s="93"/>
      <c r="H16" s="14"/>
      <c r="I16" s="58" t="s">
        <v>106</v>
      </c>
      <c r="J16" s="56"/>
      <c r="K16" s="57"/>
      <c r="L16" s="57"/>
      <c r="M16" s="56"/>
      <c r="N16" s="56"/>
      <c r="O16" s="56"/>
      <c r="P16" s="555"/>
      <c r="Q16" s="1841" t="str">
        <f>CHOOSE(2, "6722000002626", "PL Statement Cost of Sales")</f>
        <v>PL Statement Cost of Sales</v>
      </c>
      <c r="R16" s="2116">
        <f>R14-R17</f>
        <v>442381</v>
      </c>
      <c r="S16" s="2116">
        <f t="shared" ref="S16:AC16" si="14">S14-S17</f>
        <v>465153</v>
      </c>
      <c r="T16" s="2116">
        <f t="shared" si="14"/>
        <v>469842</v>
      </c>
      <c r="U16" s="2116">
        <f t="shared" si="14"/>
        <v>473701</v>
      </c>
      <c r="V16" s="2116">
        <f t="shared" si="14"/>
        <v>549586.86136775906</v>
      </c>
      <c r="W16" s="2116">
        <f t="shared" si="14"/>
        <v>520638.35098852334</v>
      </c>
      <c r="X16" s="2116">
        <f t="shared" si="14"/>
        <v>562611.74800000002</v>
      </c>
      <c r="Y16" s="2116">
        <f t="shared" si="14"/>
        <v>540330</v>
      </c>
      <c r="Z16" s="2116">
        <f t="shared" si="14"/>
        <v>596637</v>
      </c>
      <c r="AA16" s="2116">
        <f t="shared" si="14"/>
        <v>539797</v>
      </c>
      <c r="AB16" s="2116">
        <f t="shared" si="14"/>
        <v>611972.7667304168</v>
      </c>
      <c r="AC16" s="2116">
        <f t="shared" si="14"/>
        <v>590384</v>
      </c>
      <c r="AD16" s="1506">
        <f>SUM(R16,S16,T16)</f>
        <v>1377376</v>
      </c>
      <c r="AE16" s="54">
        <f t="shared" si="11"/>
        <v>1543926.2123562824</v>
      </c>
      <c r="AF16" s="54">
        <f t="shared" si="12"/>
        <v>1699578.7480000001</v>
      </c>
      <c r="AG16" s="54">
        <f t="shared" si="13"/>
        <v>1742153.7667304168</v>
      </c>
      <c r="AH16" s="54">
        <f>AD16+AE16</f>
        <v>2921302.2123562824</v>
      </c>
      <c r="AI16" s="54">
        <f>AG16+AF16</f>
        <v>3441732.5147304172</v>
      </c>
      <c r="AJ16" s="54">
        <f>AH16+AI16</f>
        <v>6363034.7270866996</v>
      </c>
      <c r="AL16" s="2116">
        <f ca="1">SUM((INDIRECT(AL$2&amp;(ROW())):INDIRECT(AL$3&amp;(ROW()))))</f>
        <v>590384</v>
      </c>
      <c r="AM16" s="2116">
        <f ca="1">SUM(INDIRECT(AM$1&amp;AM$2&amp;$C16):INDIRECT(AM$1&amp;AM$3&amp;$C16))</f>
        <v>0</v>
      </c>
      <c r="AN16" s="2466">
        <f t="shared" ca="1" si="4"/>
        <v>590384</v>
      </c>
      <c r="AO16" s="2467">
        <f ca="1">IFERROR(AL16/AM16,0)</f>
        <v>0</v>
      </c>
      <c r="AP16" s="2116">
        <f ca="1">SUM(INDIRECT(AP$1&amp;AP$2&amp;$A16):INDIRECT(AP$1&amp;AP$3&amp;$A16))+SUM(INDIRECT(AP$1&amp;AP$2&amp;$B16):INDIRECT(AP$1&amp;AP$3&amp;$B16))</f>
        <v>510625</v>
      </c>
      <c r="AQ16" s="2466">
        <f t="shared" ca="1" si="5"/>
        <v>79759</v>
      </c>
      <c r="AR16" s="2467">
        <f ca="1">IFERROR(AL16/AP16,0)</f>
        <v>1.1561987760097918</v>
      </c>
      <c r="AT16" s="2116">
        <f ca="1">SUM((INDIRECT(AT$2&amp;(ROW())):INDIRECT(AT$3&amp;(ROW()))))</f>
        <v>1742153.7667304168</v>
      </c>
      <c r="AU16" s="2116">
        <f ca="1">SUM(INDIRECT(AU$1&amp;AU$2&amp;$C16):INDIRECT(AU$1&amp;AU$3&amp;$C16))</f>
        <v>0</v>
      </c>
      <c r="AV16" s="2466">
        <f t="shared" ca="1" si="6"/>
        <v>1742153.7667304168</v>
      </c>
      <c r="AW16" s="2467">
        <f ca="1">IFERROR(AT16/AU16,0)</f>
        <v>0</v>
      </c>
      <c r="AX16" s="2116">
        <f ca="1">SUM(INDIRECT(AX$1&amp;AX$2&amp;$A16):INDIRECT(AX$1&amp;AX$3&amp;$A16))+SUM(INDIRECT(AX$1&amp;AX$2&amp;$B16):INDIRECT(AX$1&amp;AX$3&amp;$B16))</f>
        <v>1288337</v>
      </c>
      <c r="AY16" s="2466">
        <f t="shared" ca="1" si="7"/>
        <v>453816.7667304168</v>
      </c>
      <c r="AZ16" s="2467">
        <f ca="1">IFERROR(AT16/AX16,0)</f>
        <v>1.3522500453921735</v>
      </c>
      <c r="BB16" s="2116">
        <f ca="1">SUM((INDIRECT(BB$2&amp;(ROW())):INDIRECT(BB$3&amp;(ROW()))))</f>
        <v>6363034.7270866986</v>
      </c>
      <c r="BC16" s="2116">
        <f ca="1">SUM(INDIRECT(BC$1&amp;BC$2&amp;$C16):INDIRECT(BC$1&amp;BC$3&amp;$C16))</f>
        <v>0</v>
      </c>
      <c r="BD16" s="2466">
        <f t="shared" ca="1" si="8"/>
        <v>6363034.7270866986</v>
      </c>
      <c r="BE16" s="2467">
        <f ca="1">IFERROR(BB16/BC16,0)</f>
        <v>0</v>
      </c>
      <c r="BF16" s="2116">
        <f ca="1">SUM(INDIRECT(BF$1&amp;BF$2&amp;$A16):INDIRECT(BF$1&amp;BF$3&amp;$A16))+SUM(INDIRECT(BF$1&amp;BF$2&amp;$B16):INDIRECT(BF$1&amp;BF$3&amp;$B16))</f>
        <v>4559396</v>
      </c>
      <c r="BG16" s="2466">
        <f t="shared" ca="1" si="9"/>
        <v>1803638.7270866986</v>
      </c>
      <c r="BH16" s="2467">
        <f ca="1">IFERROR(BB16/BF16,0)</f>
        <v>1.3955872065261932</v>
      </c>
    </row>
    <row r="17" spans="1:60" ht="14.5">
      <c r="A17" s="990">
        <f t="shared" si="1"/>
        <v>14</v>
      </c>
      <c r="B17" s="990">
        <v>1</v>
      </c>
      <c r="C17" s="990">
        <f t="shared" si="2"/>
        <v>14</v>
      </c>
      <c r="D17" s="1121" t="s">
        <v>887</v>
      </c>
      <c r="E17" s="1243">
        <v>1</v>
      </c>
      <c r="F17" s="93"/>
      <c r="G17" s="93"/>
      <c r="H17" s="14"/>
      <c r="I17" s="183" t="s">
        <v>134</v>
      </c>
      <c r="J17" s="182"/>
      <c r="K17" s="182"/>
      <c r="L17" s="182"/>
      <c r="M17" s="182"/>
      <c r="N17" s="182"/>
      <c r="O17" s="182"/>
      <c r="P17" s="1497"/>
      <c r="Q17" s="1840" t="str">
        <f>CHOOSE(2, "6722000002625", "PL Statement Gross Profit")</f>
        <v>PL Statement Gross Profit</v>
      </c>
      <c r="R17" s="2117">
        <f t="shared" ref="R17:AC17" si="15">R81+R371+R176+R238+R310</f>
        <v>206874</v>
      </c>
      <c r="S17" s="2117">
        <f t="shared" si="15"/>
        <v>191668</v>
      </c>
      <c r="T17" s="2117">
        <f t="shared" si="15"/>
        <v>223169</v>
      </c>
      <c r="U17" s="2117">
        <f t="shared" si="15"/>
        <v>235641</v>
      </c>
      <c r="V17" s="2117">
        <f t="shared" si="15"/>
        <v>278065.73464224086</v>
      </c>
      <c r="W17" s="2117">
        <f t="shared" si="15"/>
        <v>190448.64901147669</v>
      </c>
      <c r="X17" s="2117">
        <f t="shared" si="15"/>
        <v>310743.25199999998</v>
      </c>
      <c r="Y17" s="2117">
        <f t="shared" si="15"/>
        <v>257334</v>
      </c>
      <c r="Z17" s="2117">
        <f t="shared" si="15"/>
        <v>256140</v>
      </c>
      <c r="AA17" s="2117">
        <f t="shared" si="15"/>
        <v>294800</v>
      </c>
      <c r="AB17" s="2117">
        <f t="shared" si="15"/>
        <v>259120.85957958334</v>
      </c>
      <c r="AC17" s="2117">
        <f t="shared" si="15"/>
        <v>173733</v>
      </c>
      <c r="AD17" s="1507">
        <f>SUM(R17,S17,T17)</f>
        <v>621711</v>
      </c>
      <c r="AE17" s="180">
        <f t="shared" si="11"/>
        <v>704155.38365371758</v>
      </c>
      <c r="AF17" s="180">
        <f t="shared" si="12"/>
        <v>824217.25199999998</v>
      </c>
      <c r="AG17" s="180">
        <f t="shared" si="13"/>
        <v>727653.8595795834</v>
      </c>
      <c r="AH17" s="180">
        <f>AD17+AE17</f>
        <v>1325866.3836537176</v>
      </c>
      <c r="AI17" s="180">
        <f>AG17+AF17</f>
        <v>1551871.1115795835</v>
      </c>
      <c r="AJ17" s="180">
        <f>AH17+AI17</f>
        <v>2877737.4952333011</v>
      </c>
      <c r="AL17" s="2117">
        <f ca="1">SUM((INDIRECT(AL$2&amp;(ROW())):INDIRECT(AL$3&amp;(ROW()))))</f>
        <v>173733</v>
      </c>
      <c r="AM17" s="2117">
        <f ca="1">SUM(INDIRECT(AM$1&amp;AM$2&amp;$C17):INDIRECT(AM$1&amp;AM$3&amp;$C17))</f>
        <v>0</v>
      </c>
      <c r="AN17" s="2468">
        <f t="shared" ca="1" si="4"/>
        <v>173733</v>
      </c>
      <c r="AO17" s="2469">
        <f ca="1">IFERROR(AL17/AM17,0)</f>
        <v>0</v>
      </c>
      <c r="AP17" s="2117">
        <f ca="1">SUM(INDIRECT(AP$1&amp;AP$2&amp;$A17):INDIRECT(AP$1&amp;AP$3&amp;$A17))+SUM(INDIRECT(AP$1&amp;AP$2&amp;$B17):INDIRECT(AP$1&amp;AP$3&amp;$B17))</f>
        <v>259763</v>
      </c>
      <c r="AQ17" s="2468">
        <f t="shared" ca="1" si="5"/>
        <v>-86030</v>
      </c>
      <c r="AR17" s="2469">
        <f ca="1">IFERROR(AL17/AP17,0)</f>
        <v>0.66881349537847956</v>
      </c>
      <c r="AT17" s="2117">
        <f ca="1">SUM((INDIRECT(AT$2&amp;(ROW())):INDIRECT(AT$3&amp;(ROW()))))</f>
        <v>727653.8595795834</v>
      </c>
      <c r="AU17" s="2117">
        <f ca="1">SUM(INDIRECT(AU$1&amp;AU$2&amp;$C17):INDIRECT(AU$1&amp;AU$3&amp;$C17))</f>
        <v>0</v>
      </c>
      <c r="AV17" s="2468">
        <f t="shared" ca="1" si="6"/>
        <v>727653.8595795834</v>
      </c>
      <c r="AW17" s="2469">
        <f ca="1">IFERROR(AT17/AU17,0)</f>
        <v>0</v>
      </c>
      <c r="AX17" s="2117">
        <f ca="1">SUM(INDIRECT(AX$1&amp;AX$2&amp;$A17):INDIRECT(AX$1&amp;AX$3&amp;$A17))+SUM(INDIRECT(AX$1&amp;AX$2&amp;$B17):INDIRECT(AX$1&amp;AX$3&amp;$B17))</f>
        <v>651612</v>
      </c>
      <c r="AY17" s="2468">
        <f t="shared" ca="1" si="7"/>
        <v>76041.859579583397</v>
      </c>
      <c r="AZ17" s="2469">
        <f ca="1">IFERROR(AT17/AX17,0)</f>
        <v>1.1166980650748963</v>
      </c>
      <c r="BB17" s="2117">
        <f ca="1">SUM((INDIRECT(BB$2&amp;(ROW())):INDIRECT(BB$3&amp;(ROW()))))</f>
        <v>2877737.4952333006</v>
      </c>
      <c r="BC17" s="2117">
        <f ca="1">SUM(INDIRECT(BC$1&amp;BC$2&amp;$C17):INDIRECT(BC$1&amp;BC$3&amp;$C17))</f>
        <v>0</v>
      </c>
      <c r="BD17" s="2468">
        <f t="shared" ca="1" si="8"/>
        <v>2877737.4952333006</v>
      </c>
      <c r="BE17" s="2469">
        <f ca="1">IFERROR(BB17/BC17,0)</f>
        <v>0</v>
      </c>
      <c r="BF17" s="2117">
        <f ca="1">SUM(INDIRECT(BF$1&amp;BF$2&amp;$A17):INDIRECT(BF$1&amp;BF$3&amp;$A17))+SUM(INDIRECT(BF$1&amp;BF$2&amp;$B17):INDIRECT(BF$1&amp;BF$3&amp;$B17))</f>
        <v>2421150</v>
      </c>
      <c r="BG17" s="2468">
        <f t="shared" ca="1" si="9"/>
        <v>456587.49523330061</v>
      </c>
      <c r="BH17" s="2469">
        <f ca="1">IFERROR(BB17/BF17,0)</f>
        <v>1.1885829028491834</v>
      </c>
    </row>
    <row r="18" spans="1:60" ht="14.5">
      <c r="A18" s="990">
        <f t="shared" si="1"/>
        <v>15</v>
      </c>
      <c r="B18" s="990">
        <v>1</v>
      </c>
      <c r="C18" s="990">
        <f t="shared" si="2"/>
        <v>15</v>
      </c>
      <c r="D18" s="1121" t="s">
        <v>887</v>
      </c>
      <c r="E18" s="1243">
        <v>1</v>
      </c>
      <c r="F18" s="93"/>
      <c r="G18" s="93"/>
      <c r="H18" s="14"/>
      <c r="I18" s="121"/>
      <c r="J18" s="119"/>
      <c r="K18" s="120"/>
      <c r="L18" s="120"/>
      <c r="M18" s="119"/>
      <c r="N18" s="119"/>
      <c r="O18" s="119"/>
      <c r="P18" s="120" t="s">
        <v>135</v>
      </c>
      <c r="Q18" s="1842" t="str">
        <f>CHOOSE(2, "6722000002624", "PL Statement Gross Profit (%)")</f>
        <v>PL Statement Gross Profit (%)</v>
      </c>
      <c r="R18" s="863">
        <f>IFERROR(R17/R14,0)</f>
        <v>0.3186328946253783</v>
      </c>
      <c r="S18" s="863">
        <f t="shared" ref="S18:AC18" si="16">IFERROR(S17/S14,0)</f>
        <v>0.29181161990862048</v>
      </c>
      <c r="T18" s="863">
        <f t="shared" si="16"/>
        <v>0.32202807747640372</v>
      </c>
      <c r="U18" s="863">
        <f t="shared" si="16"/>
        <v>0.33219659910170268</v>
      </c>
      <c r="V18" s="863">
        <f t="shared" si="16"/>
        <v>0.33596914452121307</v>
      </c>
      <c r="W18" s="863">
        <f t="shared" si="16"/>
        <v>0.2678274936983473</v>
      </c>
      <c r="X18" s="863">
        <f t="shared" si="16"/>
        <v>0.35580405676958393</v>
      </c>
      <c r="Y18" s="863">
        <f t="shared" si="16"/>
        <v>0.32260951979780961</v>
      </c>
      <c r="Z18" s="863">
        <f t="shared" si="16"/>
        <v>0.30035988306438849</v>
      </c>
      <c r="AA18" s="863">
        <f t="shared" si="16"/>
        <v>0.35322437056447603</v>
      </c>
      <c r="AB18" s="863">
        <f t="shared" si="16"/>
        <v>0.29746614112794439</v>
      </c>
      <c r="AC18" s="863">
        <f t="shared" si="16"/>
        <v>0.22736439576661691</v>
      </c>
      <c r="AD18" s="1508">
        <f t="shared" ref="AD18:AJ18" si="17">IFERROR(AD17/AD14,0)</f>
        <v>0.31099747034521258</v>
      </c>
      <c r="AE18" s="863">
        <f t="shared" si="17"/>
        <v>0.31322501145131271</v>
      </c>
      <c r="AF18" s="863">
        <f t="shared" si="17"/>
        <v>0.32657839698612723</v>
      </c>
      <c r="AG18" s="863">
        <f t="shared" si="17"/>
        <v>0.29461965046513761</v>
      </c>
      <c r="AH18" s="863">
        <f t="shared" si="17"/>
        <v>0.31217653683428109</v>
      </c>
      <c r="AI18" s="863">
        <f t="shared" si="17"/>
        <v>0.31077178480950668</v>
      </c>
      <c r="AJ18" s="863">
        <f t="shared" si="17"/>
        <v>0.31141742551368856</v>
      </c>
      <c r="AK18" s="619"/>
      <c r="AL18" s="863">
        <f ca="1">IFERROR(AL17/AL14,0)</f>
        <v>0.22736439576661691</v>
      </c>
      <c r="AM18" s="863">
        <f ca="1">IFERROR(AM17/AM14,0)</f>
        <v>0</v>
      </c>
      <c r="AN18" s="863">
        <f t="shared" ca="1" si="4"/>
        <v>0.22736439576661691</v>
      </c>
      <c r="AO18" s="919"/>
      <c r="AP18" s="863">
        <f ca="1">IFERROR(AP17/AP14,0)</f>
        <v>0.33718463942844384</v>
      </c>
      <c r="AQ18" s="863">
        <f t="shared" ca="1" si="5"/>
        <v>-0.10982024366182694</v>
      </c>
      <c r="AR18" s="919"/>
      <c r="AS18" s="619"/>
      <c r="AT18" s="863">
        <f ca="1">IFERROR(AT17/AT14,0)</f>
        <v>0.29461965046513761</v>
      </c>
      <c r="AU18" s="863">
        <f ca="1">IFERROR(AU17/AU14,0)</f>
        <v>0</v>
      </c>
      <c r="AV18" s="863">
        <f t="shared" ca="1" si="6"/>
        <v>0.29461965046513761</v>
      </c>
      <c r="AW18" s="919"/>
      <c r="AX18" s="863">
        <f ca="1">IFERROR(AX17/AX14,0)</f>
        <v>0.33589130435903214</v>
      </c>
      <c r="AY18" s="863">
        <f t="shared" ca="1" si="7"/>
        <v>-4.1271653893894533E-2</v>
      </c>
      <c r="AZ18" s="919"/>
      <c r="BA18" s="619"/>
      <c r="BB18" s="863">
        <f ca="1">IFERROR(BB17/BB14,0)</f>
        <v>0.31141742551368856</v>
      </c>
      <c r="BC18" s="863">
        <f ca="1">IFERROR(BC17/BC14,0)</f>
        <v>0</v>
      </c>
      <c r="BD18" s="863">
        <f t="shared" ca="1" si="8"/>
        <v>0.31141742551368856</v>
      </c>
      <c r="BE18" s="919"/>
      <c r="BF18" s="863">
        <f ca="1">IFERROR(BF17/BF14,0)</f>
        <v>0.34684249627464669</v>
      </c>
      <c r="BG18" s="863">
        <f t="shared" ca="1" si="9"/>
        <v>-3.5425070760958133E-2</v>
      </c>
      <c r="BH18" s="919"/>
    </row>
    <row r="19" spans="1:60" ht="14.5">
      <c r="A19" s="990">
        <f t="shared" si="1"/>
        <v>16</v>
      </c>
      <c r="B19" s="990">
        <v>1</v>
      </c>
      <c r="C19" s="990">
        <f t="shared" si="2"/>
        <v>16</v>
      </c>
      <c r="D19" s="1121" t="s">
        <v>887</v>
      </c>
      <c r="E19" s="1243">
        <v>1</v>
      </c>
      <c r="F19" s="93"/>
      <c r="G19" s="93"/>
      <c r="H19" s="14"/>
      <c r="I19" s="183" t="s">
        <v>97</v>
      </c>
      <c r="J19" s="182"/>
      <c r="K19" s="182"/>
      <c r="L19" s="182"/>
      <c r="M19" s="182"/>
      <c r="N19" s="182"/>
      <c r="O19" s="182"/>
      <c r="P19" s="1497"/>
      <c r="Q19" s="1840" t="str">
        <f>CHOOSE(2, "6722000002623", "PL Statement SGA")</f>
        <v>PL Statement SGA</v>
      </c>
      <c r="R19" s="2117">
        <f>R21+R22+R23</f>
        <v>162497</v>
      </c>
      <c r="S19" s="2117">
        <f t="shared" ref="S19:AC19" si="18">S21+S22+S23</f>
        <v>152600.9660869537</v>
      </c>
      <c r="T19" s="2117">
        <f t="shared" si="18"/>
        <v>168144.03008050972</v>
      </c>
      <c r="U19" s="2117">
        <f t="shared" si="18"/>
        <v>169225.99610131621</v>
      </c>
      <c r="V19" s="2117">
        <f t="shared" si="18"/>
        <v>192339.21737260476</v>
      </c>
      <c r="W19" s="2117">
        <f t="shared" si="18"/>
        <v>129717.21234383903</v>
      </c>
      <c r="X19" s="2117">
        <f t="shared" si="18"/>
        <v>216458.78050866287</v>
      </c>
      <c r="Y19" s="2117">
        <f t="shared" si="18"/>
        <v>174487.53378284161</v>
      </c>
      <c r="Z19" s="2117">
        <f t="shared" si="18"/>
        <v>188691.67658290401</v>
      </c>
      <c r="AA19" s="2117">
        <f t="shared" si="18"/>
        <v>221691.75387268787</v>
      </c>
      <c r="AB19" s="2117">
        <f t="shared" si="18"/>
        <v>172144.94107016726</v>
      </c>
      <c r="AC19" s="2117">
        <f t="shared" si="18"/>
        <v>121853.8830144987</v>
      </c>
      <c r="AD19" s="1507">
        <f>SUM(R19,S19,T19)</f>
        <v>483241.99616746343</v>
      </c>
      <c r="AE19" s="180">
        <f>SUM(U19,V19,W19)</f>
        <v>491282.42581775994</v>
      </c>
      <c r="AF19" s="180">
        <f>SUM(X19,Y19,Z19)</f>
        <v>579637.99087440851</v>
      </c>
      <c r="AG19" s="180">
        <f>SUM(AA19,AB19,AC19)</f>
        <v>515690.57795735385</v>
      </c>
      <c r="AH19" s="180">
        <f>AD19+AE19</f>
        <v>974524.42198522342</v>
      </c>
      <c r="AI19" s="180">
        <f>AG19+AF19</f>
        <v>1095328.5688317623</v>
      </c>
      <c r="AJ19" s="180">
        <f>AH19+AI19</f>
        <v>2069852.9908169857</v>
      </c>
      <c r="AL19" s="2117">
        <f ca="1">SUM((INDIRECT(AL$2&amp;(ROW())):INDIRECT(AL$3&amp;(ROW()))))</f>
        <v>121853.8830144987</v>
      </c>
      <c r="AM19" s="2117">
        <f ca="1">SUM(INDIRECT(AM$1&amp;AM$2&amp;$C19):INDIRECT(AM$1&amp;AM$3&amp;$C19))</f>
        <v>0</v>
      </c>
      <c r="AN19" s="2468">
        <f t="shared" ca="1" si="4"/>
        <v>121853.8830144987</v>
      </c>
      <c r="AO19" s="2469">
        <f ca="1">IFERROR(AL19/AM19,0)</f>
        <v>0</v>
      </c>
      <c r="AP19" s="2117">
        <f ca="1">SUM(INDIRECT(AP$1&amp;AP$2&amp;$A19):INDIRECT(AP$1&amp;AP$3&amp;$A19))+SUM(INDIRECT(AP$1&amp;AP$2&amp;$B19):INDIRECT(AP$1&amp;AP$3&amp;$B19))</f>
        <v>200181.89318999997</v>
      </c>
      <c r="AQ19" s="2468">
        <f t="shared" ca="1" si="5"/>
        <v>-78328.010175501273</v>
      </c>
      <c r="AR19" s="2469">
        <f ca="1">IFERROR(AL19/AP19,0)</f>
        <v>0.60871580877118947</v>
      </c>
      <c r="AT19" s="2117">
        <f ca="1">SUM((INDIRECT(AT$2&amp;(ROW())):INDIRECT(AT$3&amp;(ROW()))))</f>
        <v>515690.57795735385</v>
      </c>
      <c r="AU19" s="2117">
        <f ca="1">SUM(INDIRECT(AU$1&amp;AU$2&amp;$C19):INDIRECT(AU$1&amp;AU$3&amp;$C19))</f>
        <v>0</v>
      </c>
      <c r="AV19" s="2468">
        <f t="shared" ca="1" si="6"/>
        <v>515690.57795735385</v>
      </c>
      <c r="AW19" s="2469">
        <f ca="1">IFERROR(AT19/AU19,0)</f>
        <v>0</v>
      </c>
      <c r="AX19" s="2117">
        <f ca="1">SUM(INDIRECT(AX$1&amp;AX$2&amp;$A19):INDIRECT(AX$1&amp;AX$3&amp;$A19))+SUM(INDIRECT(AX$1&amp;AX$2&amp;$B19):INDIRECT(AX$1&amp;AX$3&amp;$B19))</f>
        <v>427094.89319000003</v>
      </c>
      <c r="AY19" s="2468">
        <f t="shared" ca="1" si="7"/>
        <v>88595.684767353814</v>
      </c>
      <c r="AZ19" s="2469">
        <f ca="1">IFERROR(AT19/AX19,0)</f>
        <v>1.2074379398583457</v>
      </c>
      <c r="BB19" s="2117">
        <f ca="1">SUM((INDIRECT(BB$2&amp;(ROW())):INDIRECT(BB$3&amp;(ROW()))))</f>
        <v>2069852.990816986</v>
      </c>
      <c r="BC19" s="2117">
        <f ca="1">SUM(INDIRECT(BC$1&amp;BC$2&amp;$C19):INDIRECT(BC$1&amp;BC$3&amp;$C19))</f>
        <v>0</v>
      </c>
      <c r="BD19" s="2468">
        <f t="shared" ca="1" si="8"/>
        <v>2069852.990816986</v>
      </c>
      <c r="BE19" s="2469">
        <f ca="1">IFERROR(BB19/BC19,0)</f>
        <v>0</v>
      </c>
      <c r="BF19" s="2117">
        <f ca="1">SUM(INDIRECT(BF$1&amp;BF$2&amp;$A19):INDIRECT(BF$1&amp;BF$3&amp;$A19))+SUM(INDIRECT(BF$1&amp;BF$2&amp;$B19):INDIRECT(BF$1&amp;BF$3&amp;$B19))</f>
        <v>1673029.89319</v>
      </c>
      <c r="BG19" s="2468">
        <f t="shared" ca="1" si="9"/>
        <v>396823.09762698598</v>
      </c>
      <c r="BH19" s="2469">
        <f ca="1">IFERROR(BB19/BF19,0)</f>
        <v>1.2371882888896595</v>
      </c>
    </row>
    <row r="20" spans="1:60" ht="14.5">
      <c r="A20" s="990">
        <f t="shared" si="1"/>
        <v>17</v>
      </c>
      <c r="B20" s="990">
        <v>1</v>
      </c>
      <c r="C20" s="990">
        <f t="shared" si="2"/>
        <v>17</v>
      </c>
      <c r="D20" s="1121" t="s">
        <v>887</v>
      </c>
      <c r="E20" s="1243">
        <v>1</v>
      </c>
      <c r="F20" s="93"/>
      <c r="G20" s="93"/>
      <c r="H20" s="14"/>
      <c r="I20" s="175"/>
      <c r="J20" s="40"/>
      <c r="K20" s="39"/>
      <c r="L20" s="39"/>
      <c r="M20" s="40"/>
      <c r="N20" s="40"/>
      <c r="O20" s="40"/>
      <c r="P20" s="39" t="s">
        <v>291</v>
      </c>
      <c r="Q20" s="1842" t="str">
        <f>CHOOSE(2, "6722000002622", "PL Statement SGA (%)")</f>
        <v>PL Statement SGA (%)</v>
      </c>
      <c r="R20" s="864">
        <f>IFERROR(R19/R14,0)</f>
        <v>0.25028224657492049</v>
      </c>
      <c r="S20" s="864">
        <f t="shared" ref="S20:AC20" si="19">IFERROR(S19/S14,0)</f>
        <v>0.23233265392999569</v>
      </c>
      <c r="T20" s="864">
        <f t="shared" si="19"/>
        <v>0.24262822679655838</v>
      </c>
      <c r="U20" s="864">
        <f t="shared" si="19"/>
        <v>0.23856756839622667</v>
      </c>
      <c r="V20" s="864">
        <f t="shared" si="19"/>
        <v>0.23239124519133492</v>
      </c>
      <c r="W20" s="864">
        <f t="shared" si="19"/>
        <v>0.1824210150710659</v>
      </c>
      <c r="X20" s="864">
        <f t="shared" si="19"/>
        <v>0.24784741658164533</v>
      </c>
      <c r="Y20" s="864">
        <f t="shared" si="19"/>
        <v>0.21874816186118667</v>
      </c>
      <c r="Z20" s="864">
        <f t="shared" si="19"/>
        <v>0.22126731441268235</v>
      </c>
      <c r="AA20" s="864">
        <f t="shared" si="19"/>
        <v>0.26562730739828666</v>
      </c>
      <c r="AB20" s="864">
        <f t="shared" si="19"/>
        <v>0.19761933260765846</v>
      </c>
      <c r="AC20" s="864">
        <f t="shared" si="19"/>
        <v>0.15947018979357702</v>
      </c>
      <c r="AD20" s="1509">
        <f t="shared" ref="AD20:AJ20" si="20">IFERROR(AD19/AD14,0)</f>
        <v>0.24173134844429653</v>
      </c>
      <c r="AE20" s="864">
        <f t="shared" si="20"/>
        <v>0.21853407220169896</v>
      </c>
      <c r="AF20" s="864">
        <f t="shared" si="20"/>
        <v>0.22966911385643235</v>
      </c>
      <c r="AG20" s="864">
        <f t="shared" si="20"/>
        <v>0.2087978725403071</v>
      </c>
      <c r="AH20" s="864">
        <f t="shared" si="20"/>
        <v>0.22945272831898877</v>
      </c>
      <c r="AI20" s="864">
        <f t="shared" si="20"/>
        <v>0.21934631796980453</v>
      </c>
      <c r="AJ20" s="864">
        <f t="shared" si="20"/>
        <v>0.22399134412354618</v>
      </c>
      <c r="AK20" s="619"/>
      <c r="AL20" s="864">
        <f ca="1">INDIRECT(AL$2&amp;ROW())</f>
        <v>0.15947018979357702</v>
      </c>
      <c r="AM20" s="864">
        <f ca="1">IFERROR(AM19/AM14,0)</f>
        <v>0</v>
      </c>
      <c r="AN20" s="864">
        <f t="shared" ca="1" si="4"/>
        <v>0.15947018979357702</v>
      </c>
      <c r="AO20" s="920"/>
      <c r="AP20" s="864">
        <f ca="1">IFERROR(AP19/AP14,0)</f>
        <v>0.25984554950232869</v>
      </c>
      <c r="AQ20" s="864">
        <f t="shared" ca="1" si="5"/>
        <v>-0.10037535970875167</v>
      </c>
      <c r="AR20" s="920"/>
      <c r="AS20" s="619"/>
      <c r="AT20" s="864">
        <f ca="1">INDIRECT(AT$2&amp;ROW())</f>
        <v>0.26562730739828666</v>
      </c>
      <c r="AU20" s="864">
        <f ca="1">IFERROR(AU19/AU14,0)</f>
        <v>0</v>
      </c>
      <c r="AV20" s="864">
        <f t="shared" ca="1" si="6"/>
        <v>0.26562730739828666</v>
      </c>
      <c r="AW20" s="920"/>
      <c r="AX20" s="864">
        <f ca="1">IFERROR(AX19/AX14,0)</f>
        <v>0.22015779445232841</v>
      </c>
      <c r="AY20" s="864">
        <f t="shared" ca="1" si="7"/>
        <v>4.5469512945958246E-2</v>
      </c>
      <c r="AZ20" s="920"/>
      <c r="BA20" s="619"/>
      <c r="BB20" s="864">
        <f ca="1">IFERROR(BB19/BB14,0)</f>
        <v>0.22399134412354621</v>
      </c>
      <c r="BC20" s="864">
        <f ca="1">IFERROR(BC19/BC14,0)</f>
        <v>0</v>
      </c>
      <c r="BD20" s="864">
        <f t="shared" ca="1" si="8"/>
        <v>0.22399134412354621</v>
      </c>
      <c r="BE20" s="920"/>
      <c r="BF20" s="864">
        <f ca="1">IFERROR(BF19/BF14,0)</f>
        <v>0.23967034859307568</v>
      </c>
      <c r="BG20" s="864">
        <f t="shared" ca="1" si="9"/>
        <v>-1.5679004469529467E-2</v>
      </c>
      <c r="BH20" s="920"/>
    </row>
    <row r="21" spans="1:60" ht="14.5">
      <c r="A21" s="990">
        <f t="shared" si="1"/>
        <v>18</v>
      </c>
      <c r="B21" s="990">
        <v>1</v>
      </c>
      <c r="C21" s="990">
        <f t="shared" si="2"/>
        <v>18</v>
      </c>
      <c r="D21" s="1121" t="s">
        <v>887</v>
      </c>
      <c r="E21" s="1243">
        <v>1</v>
      </c>
      <c r="F21" s="93"/>
      <c r="G21" s="93"/>
      <c r="H21" s="14"/>
      <c r="I21" s="175"/>
      <c r="J21" s="123" t="s">
        <v>170</v>
      </c>
      <c r="K21" s="123"/>
      <c r="L21" s="178"/>
      <c r="M21" s="123"/>
      <c r="N21" s="123"/>
      <c r="O21" s="123"/>
      <c r="P21" s="178"/>
      <c r="Q21" s="1841" t="str">
        <f>CHOOSE(2, "6722000002621", "PL Statement SGA Variable Expenses")</f>
        <v>PL Statement SGA Variable Expenses</v>
      </c>
      <c r="R21" s="44">
        <f t="shared" ref="R21:AC22" si="21">R83+R187+R269+R332+R390</f>
        <v>61663.000000000007</v>
      </c>
      <c r="S21" s="44">
        <f t="shared" si="21"/>
        <v>49532.815859999893</v>
      </c>
      <c r="T21" s="44">
        <f t="shared" si="21"/>
        <v>47765.198640896393</v>
      </c>
      <c r="U21" s="44">
        <f t="shared" si="21"/>
        <v>67757.614665796646</v>
      </c>
      <c r="V21" s="44">
        <f t="shared" si="21"/>
        <v>73732.577379999973</v>
      </c>
      <c r="W21" s="44">
        <f t="shared" si="21"/>
        <v>50380.992796090977</v>
      </c>
      <c r="X21" s="44">
        <f t="shared" si="21"/>
        <v>42778.732098342494</v>
      </c>
      <c r="Y21" s="44">
        <f t="shared" si="21"/>
        <v>54978.632440000001</v>
      </c>
      <c r="Z21" s="44">
        <f t="shared" si="21"/>
        <v>73294.402940000014</v>
      </c>
      <c r="AA21" s="44">
        <f t="shared" si="21"/>
        <v>85193.170739999943</v>
      </c>
      <c r="AB21" s="44">
        <f t="shared" si="21"/>
        <v>80848.997169999988</v>
      </c>
      <c r="AC21" s="2814">
        <f t="shared" si="21"/>
        <v>-4031.786570000033</v>
      </c>
      <c r="AD21" s="1510">
        <f>SUM(R21,S21,T21)</f>
        <v>158961.0145008963</v>
      </c>
      <c r="AE21" s="176">
        <f t="shared" ref="AE21:AE23" si="22">SUM(U21,V21,W21)</f>
        <v>191871.18484188759</v>
      </c>
      <c r="AF21" s="176">
        <f t="shared" ref="AF21:AF23" si="23">SUM(X21,Y21,Z21)</f>
        <v>171051.76747834252</v>
      </c>
      <c r="AG21" s="176">
        <f t="shared" ref="AG21:AG23" si="24">SUM(AA21,AB21,AC21)</f>
        <v>162010.38133999991</v>
      </c>
      <c r="AH21" s="176">
        <f>AD21+AE21</f>
        <v>350832.19934278389</v>
      </c>
      <c r="AI21" s="176">
        <f>AG21+AF21</f>
        <v>333062.14881834242</v>
      </c>
      <c r="AJ21" s="176">
        <f>AH21+AI21</f>
        <v>683894.34816112625</v>
      </c>
      <c r="AL21" s="176">
        <f ca="1">SUM((INDIRECT(AL$2&amp;(ROW())):INDIRECT(AL$3&amp;(ROW()))))</f>
        <v>-4031.786570000033</v>
      </c>
      <c r="AM21" s="176">
        <f ca="1">SUM(INDIRECT(AM$1&amp;AM$2&amp;$C21):INDIRECT(AM$1&amp;AM$3&amp;$C21))</f>
        <v>0</v>
      </c>
      <c r="AN21" s="871">
        <f t="shared" ca="1" si="4"/>
        <v>-4031.786570000033</v>
      </c>
      <c r="AO21" s="921">
        <f ca="1">IFERROR(AL21/AM21,0)</f>
        <v>0</v>
      </c>
      <c r="AP21" s="176">
        <f ca="1">SUM(INDIRECT(AP$1&amp;AP$2&amp;$A21):INDIRECT(AP$1&amp;AP$3&amp;$A21))+SUM(INDIRECT(AP$1&amp;AP$2&amp;$B21):INDIRECT(AP$1&amp;AP$3&amp;$B21))</f>
        <v>38451</v>
      </c>
      <c r="AQ21" s="871">
        <f t="shared" ca="1" si="5"/>
        <v>-42482.786570000033</v>
      </c>
      <c r="AR21" s="921">
        <f ca="1">IFERROR(AL21/AP21,0)</f>
        <v>-0.10485518113963312</v>
      </c>
      <c r="AT21" s="176">
        <f ca="1">SUM((INDIRECT(AT$2&amp;(ROW())):INDIRECT(AT$3&amp;(ROW()))))</f>
        <v>162010.38133999991</v>
      </c>
      <c r="AU21" s="176">
        <f ca="1">SUM(INDIRECT(AU$1&amp;AU$2&amp;$C21):INDIRECT(AU$1&amp;AU$3&amp;$C21))</f>
        <v>0</v>
      </c>
      <c r="AV21" s="871">
        <f t="shared" ca="1" si="6"/>
        <v>162010.38133999991</v>
      </c>
      <c r="AW21" s="921">
        <f ca="1">IFERROR(AT21/AU21,0)</f>
        <v>0</v>
      </c>
      <c r="AX21" s="176">
        <f ca="1">SUM(INDIRECT(AX$1&amp;AX$2&amp;$A21):INDIRECT(AX$1&amp;AX$3&amp;$A21))+SUM(INDIRECT(AX$1&amp;AX$2&amp;$B21):INDIRECT(AX$1&amp;AX$3&amp;$B21))</f>
        <v>81376</v>
      </c>
      <c r="AY21" s="871">
        <f t="shared" ca="1" si="7"/>
        <v>80634.381339999905</v>
      </c>
      <c r="AZ21" s="921">
        <f ca="1">IFERROR(AT21/AX21,0)</f>
        <v>1.9908865186295701</v>
      </c>
      <c r="BB21" s="176">
        <f ca="1">SUM((INDIRECT(BB$2&amp;(ROW())):INDIRECT(BB$3&amp;(ROW()))))</f>
        <v>683894.34816112637</v>
      </c>
      <c r="BC21" s="176">
        <f ca="1">SUM(INDIRECT(BC$1&amp;BC$2&amp;$C21):INDIRECT(BC$1&amp;BC$3&amp;$C21))</f>
        <v>0</v>
      </c>
      <c r="BD21" s="871">
        <f t="shared" ca="1" si="8"/>
        <v>683894.34816112637</v>
      </c>
      <c r="BE21" s="921">
        <f ca="1">IFERROR(BB21/BC21,0)</f>
        <v>0</v>
      </c>
      <c r="BF21" s="176">
        <f ca="1">SUM(INDIRECT(BF$1&amp;BF$2&amp;$A21):INDIRECT(BF$1&amp;BF$3&amp;$A21))+SUM(INDIRECT(BF$1&amp;BF$2&amp;$B21):INDIRECT(BF$1&amp;BF$3&amp;$B21))</f>
        <v>408165</v>
      </c>
      <c r="BG21" s="871">
        <f t="shared" ca="1" si="9"/>
        <v>275729.34816112637</v>
      </c>
      <c r="BH21" s="921">
        <f ca="1">IFERROR(BB21/BF21,0)</f>
        <v>1.6755340319751237</v>
      </c>
    </row>
    <row r="22" spans="1:60" ht="14.5">
      <c r="A22" s="990">
        <f t="shared" si="1"/>
        <v>19</v>
      </c>
      <c r="B22" s="990">
        <v>1</v>
      </c>
      <c r="C22" s="990">
        <f t="shared" si="2"/>
        <v>19</v>
      </c>
      <c r="D22" s="1121" t="s">
        <v>887</v>
      </c>
      <c r="E22" s="1243">
        <v>1</v>
      </c>
      <c r="F22" s="93"/>
      <c r="G22" s="93"/>
      <c r="H22" s="14"/>
      <c r="I22" s="175"/>
      <c r="J22" s="40" t="s">
        <v>171</v>
      </c>
      <c r="K22" s="40"/>
      <c r="L22" s="39"/>
      <c r="M22" s="40"/>
      <c r="N22" s="40"/>
      <c r="O22" s="40"/>
      <c r="P22" s="39"/>
      <c r="Q22" s="1841" t="str">
        <f>CHOOSE(2, "6722000002620", "PL Statement SGA Wages &amp; Salaries")</f>
        <v>PL Statement SGA Wages &amp; Salaries</v>
      </c>
      <c r="R22" s="44">
        <f t="shared" si="21"/>
        <v>57082</v>
      </c>
      <c r="S22" s="44">
        <f t="shared" si="21"/>
        <v>56006.376708586613</v>
      </c>
      <c r="T22" s="44">
        <f t="shared" si="21"/>
        <v>57211.481227186072</v>
      </c>
      <c r="U22" s="44">
        <f t="shared" si="21"/>
        <v>54312.125590049407</v>
      </c>
      <c r="V22" s="44">
        <f t="shared" si="21"/>
        <v>56583.331322798389</v>
      </c>
      <c r="W22" s="44">
        <f t="shared" si="21"/>
        <v>60614.824183015226</v>
      </c>
      <c r="X22" s="44">
        <f t="shared" si="21"/>
        <v>87502.546140362116</v>
      </c>
      <c r="Y22" s="44">
        <f t="shared" si="21"/>
        <v>65320.76113829614</v>
      </c>
      <c r="Z22" s="44">
        <f t="shared" si="21"/>
        <v>67354.405462903989</v>
      </c>
      <c r="AA22" s="44">
        <f t="shared" si="21"/>
        <v>65122.019852687888</v>
      </c>
      <c r="AB22" s="44">
        <f t="shared" si="21"/>
        <v>62847.99691016729</v>
      </c>
      <c r="AC22" s="44">
        <f t="shared" si="21"/>
        <v>55275.379555961212</v>
      </c>
      <c r="AD22" s="1511">
        <f>SUM(R22,S22,T22)</f>
        <v>170299.85793577268</v>
      </c>
      <c r="AE22" s="44">
        <f t="shared" si="22"/>
        <v>171510.28109586303</v>
      </c>
      <c r="AF22" s="44">
        <f t="shared" si="23"/>
        <v>220177.71274156225</v>
      </c>
      <c r="AG22" s="44">
        <f t="shared" si="24"/>
        <v>183245.39631881638</v>
      </c>
      <c r="AH22" s="44">
        <f>AD22+AE22</f>
        <v>341810.13903163571</v>
      </c>
      <c r="AI22" s="44">
        <f>AG22+AF22</f>
        <v>403423.10906037863</v>
      </c>
      <c r="AJ22" s="44">
        <f>AH22+AI22</f>
        <v>745233.24809201434</v>
      </c>
      <c r="AL22" s="44">
        <f ca="1">SUM((INDIRECT(AL$2&amp;(ROW())):INDIRECT(AL$3&amp;(ROW()))))</f>
        <v>55275.379555961212</v>
      </c>
      <c r="AM22" s="44">
        <f ca="1">SUM(INDIRECT(AM$1&amp;AM$2&amp;$C22):INDIRECT(AM$1&amp;AM$3&amp;$C22))</f>
        <v>0</v>
      </c>
      <c r="AN22" s="872">
        <f t="shared" ca="1" si="4"/>
        <v>55275.379555961212</v>
      </c>
      <c r="AO22" s="922">
        <f ca="1">IFERROR(AL22/AM22,0)</f>
        <v>0</v>
      </c>
      <c r="AP22" s="44">
        <f ca="1">SUM(INDIRECT(AP$1&amp;AP$2&amp;$A22):INDIRECT(AP$1&amp;AP$3&amp;$A22))+SUM(INDIRECT(AP$1&amp;AP$2&amp;$B22):INDIRECT(AP$1&amp;AP$3&amp;$B22))</f>
        <v>68403.893189999959</v>
      </c>
      <c r="AQ22" s="872">
        <f t="shared" ca="1" si="5"/>
        <v>-13128.513634038747</v>
      </c>
      <c r="AR22" s="922">
        <f ca="1">IFERROR(AL22/AP22,0)</f>
        <v>0.80807359023304803</v>
      </c>
      <c r="AT22" s="44">
        <f ca="1">SUM((INDIRECT(AT$2&amp;(ROW())):INDIRECT(AT$3&amp;(ROW()))))</f>
        <v>183245.39631881638</v>
      </c>
      <c r="AU22" s="44">
        <f ca="1">SUM(INDIRECT(AU$1&amp;AU$2&amp;$C22):INDIRECT(AU$1&amp;AU$3&amp;$C22))</f>
        <v>0</v>
      </c>
      <c r="AV22" s="872">
        <f t="shared" ca="1" si="6"/>
        <v>183245.39631881638</v>
      </c>
      <c r="AW22" s="922">
        <f ca="1">IFERROR(AT22/AU22,0)</f>
        <v>0</v>
      </c>
      <c r="AX22" s="44">
        <f ca="1">SUM(INDIRECT(AX$1&amp;AX$2&amp;$A22):INDIRECT(AX$1&amp;AX$3&amp;$A22))+SUM(INDIRECT(AX$1&amp;AX$2&amp;$B22):INDIRECT(AX$1&amp;AX$3&amp;$B22))</f>
        <v>193083.89319</v>
      </c>
      <c r="AY22" s="872">
        <f t="shared" ca="1" si="7"/>
        <v>-9838.4968711836264</v>
      </c>
      <c r="AZ22" s="922">
        <f ca="1">IFERROR(AT22/AX22,0)</f>
        <v>0.94904548117070409</v>
      </c>
      <c r="BB22" s="44">
        <f ca="1">SUM((INDIRECT(BB$2&amp;(ROW())):INDIRECT(BB$3&amp;(ROW()))))</f>
        <v>745233.24809201423</v>
      </c>
      <c r="BC22" s="44">
        <f ca="1">SUM(INDIRECT(BC$1&amp;BC$2&amp;$C22):INDIRECT(BC$1&amp;BC$3&amp;$C22))</f>
        <v>0</v>
      </c>
      <c r="BD22" s="872">
        <f t="shared" ca="1" si="8"/>
        <v>745233.24809201423</v>
      </c>
      <c r="BE22" s="922">
        <f ca="1">IFERROR(BB22/BC22,0)</f>
        <v>0</v>
      </c>
      <c r="BF22" s="44">
        <f ca="1">SUM(INDIRECT(BF$1&amp;BF$2&amp;$A22):INDIRECT(BF$1&amp;BF$3&amp;$A22))+SUM(INDIRECT(BF$1&amp;BF$2&amp;$B22):INDIRECT(BF$1&amp;BF$3&amp;$B22))</f>
        <v>651927.89318999997</v>
      </c>
      <c r="BG22" s="872">
        <f t="shared" ca="1" si="9"/>
        <v>93305.354902014253</v>
      </c>
      <c r="BH22" s="922">
        <f ca="1">IFERROR(BB22/BF22,0)</f>
        <v>1.143122200900861</v>
      </c>
    </row>
    <row r="23" spans="1:60" ht="14.5">
      <c r="A23" s="990">
        <f t="shared" si="1"/>
        <v>20</v>
      </c>
      <c r="B23" s="990">
        <v>1</v>
      </c>
      <c r="C23" s="990">
        <f t="shared" si="2"/>
        <v>20</v>
      </c>
      <c r="D23" s="1121" t="s">
        <v>887</v>
      </c>
      <c r="E23" s="1243">
        <v>1</v>
      </c>
      <c r="F23" s="93"/>
      <c r="G23" s="93"/>
      <c r="H23" s="14"/>
      <c r="I23" s="175"/>
      <c r="J23" s="40" t="s">
        <v>172</v>
      </c>
      <c r="K23" s="40"/>
      <c r="L23" s="39"/>
      <c r="M23" s="40"/>
      <c r="N23" s="40"/>
      <c r="O23" s="40"/>
      <c r="P23" s="39"/>
      <c r="Q23" s="1841" t="str">
        <f>CHOOSE(2, "6722000002619", "PL Statement SGA Fixed Expenses")</f>
        <v>PL Statement SGA Fixed Expenses</v>
      </c>
      <c r="R23" s="44">
        <f t="shared" ref="R23:AC23" si="25">R85+R189+R271+R334+R396</f>
        <v>43752.000000000007</v>
      </c>
      <c r="S23" s="44">
        <f t="shared" si="25"/>
        <v>47061.773518367219</v>
      </c>
      <c r="T23" s="44">
        <f t="shared" si="25"/>
        <v>63167.350212427271</v>
      </c>
      <c r="U23" s="44">
        <f t="shared" si="25"/>
        <v>47156.25584547015</v>
      </c>
      <c r="V23" s="44">
        <f t="shared" si="25"/>
        <v>62023.308669806385</v>
      </c>
      <c r="W23" s="44">
        <f t="shared" si="25"/>
        <v>18721.395364732838</v>
      </c>
      <c r="X23" s="44">
        <f t="shared" si="25"/>
        <v>86177.502269958277</v>
      </c>
      <c r="Y23" s="44">
        <f t="shared" si="25"/>
        <v>54188.140204545452</v>
      </c>
      <c r="Z23" s="44">
        <f t="shared" si="25"/>
        <v>48042.868180000005</v>
      </c>
      <c r="AA23" s="44">
        <f t="shared" si="25"/>
        <v>71376.563280000017</v>
      </c>
      <c r="AB23" s="44">
        <f t="shared" si="25"/>
        <v>28447.946989999986</v>
      </c>
      <c r="AC23" s="44">
        <f t="shared" si="25"/>
        <v>70610.290028537522</v>
      </c>
      <c r="AD23" s="1511">
        <f>SUM(R23,S23,T23)</f>
        <v>153981.1237307945</v>
      </c>
      <c r="AE23" s="44">
        <f t="shared" si="22"/>
        <v>127900.95988000938</v>
      </c>
      <c r="AF23" s="44">
        <f t="shared" si="23"/>
        <v>188408.51065450371</v>
      </c>
      <c r="AG23" s="44">
        <f t="shared" si="24"/>
        <v>170434.80029853754</v>
      </c>
      <c r="AH23" s="44">
        <f>AD23+AE23</f>
        <v>281882.08361080388</v>
      </c>
      <c r="AI23" s="44">
        <f>AG23+AF23</f>
        <v>358843.31095304125</v>
      </c>
      <c r="AJ23" s="44">
        <f>AH23+AI23</f>
        <v>640725.39456384513</v>
      </c>
      <c r="AL23" s="44">
        <f ca="1">SUM((INDIRECT(AL$2&amp;(ROW())):INDIRECT(AL$3&amp;(ROW()))))</f>
        <v>70610.290028537522</v>
      </c>
      <c r="AM23" s="44">
        <f ca="1">SUM(INDIRECT(AM$1&amp;AM$2&amp;$C23):INDIRECT(AM$1&amp;AM$3&amp;$C23))</f>
        <v>0</v>
      </c>
      <c r="AN23" s="872">
        <f t="shared" ca="1" si="4"/>
        <v>70610.290028537522</v>
      </c>
      <c r="AO23" s="922">
        <f ca="1">IFERROR(AL23/AM23,0)</f>
        <v>0</v>
      </c>
      <c r="AP23" s="44">
        <f ca="1">SUM(INDIRECT(AP$1&amp;AP$2&amp;$A23):INDIRECT(AP$1&amp;AP$3&amp;$A23))+SUM(INDIRECT(AP$1&amp;AP$2&amp;$B23):INDIRECT(AP$1&amp;AP$3&amp;$B23))</f>
        <v>93327</v>
      </c>
      <c r="AQ23" s="872">
        <f t="shared" ca="1" si="5"/>
        <v>-22716.709971462478</v>
      </c>
      <c r="AR23" s="922">
        <f ca="1">IFERROR(AL23/AP23,0)</f>
        <v>0.7565901617810229</v>
      </c>
      <c r="AT23" s="44">
        <f ca="1">SUM((INDIRECT(AT$2&amp;(ROW())):INDIRECT(AT$3&amp;(ROW()))))</f>
        <v>170434.80029853754</v>
      </c>
      <c r="AU23" s="44">
        <f ca="1">SUM(INDIRECT(AU$1&amp;AU$2&amp;$C23):INDIRECT(AU$1&amp;AU$3&amp;$C23))</f>
        <v>0</v>
      </c>
      <c r="AV23" s="872">
        <f t="shared" ca="1" si="6"/>
        <v>170434.80029853754</v>
      </c>
      <c r="AW23" s="922">
        <f ca="1">IFERROR(AT23/AU23,0)</f>
        <v>0</v>
      </c>
      <c r="AX23" s="44">
        <f ca="1">SUM(INDIRECT(AX$1&amp;AX$2&amp;$A23):INDIRECT(AX$1&amp;AX$3&amp;$A23))+SUM(INDIRECT(AX$1&amp;AX$2&amp;$B23):INDIRECT(AX$1&amp;AX$3&amp;$B23))</f>
        <v>152635</v>
      </c>
      <c r="AY23" s="872">
        <f t="shared" ca="1" si="7"/>
        <v>17799.800298537535</v>
      </c>
      <c r="AZ23" s="922">
        <f ca="1">IFERROR(AT23/AX23,0)</f>
        <v>1.1166167674421825</v>
      </c>
      <c r="BB23" s="44">
        <f ca="1">SUM((INDIRECT(BB$2&amp;(ROW())):INDIRECT(BB$3&amp;(ROW()))))</f>
        <v>640725.39456384513</v>
      </c>
      <c r="BC23" s="44">
        <f ca="1">SUM(INDIRECT(BC$1&amp;BC$2&amp;$C23):INDIRECT(BC$1&amp;BC$3&amp;$C23))</f>
        <v>0</v>
      </c>
      <c r="BD23" s="872">
        <f t="shared" ca="1" si="8"/>
        <v>640725.39456384513</v>
      </c>
      <c r="BE23" s="922">
        <f ca="1">IFERROR(BB23/BC23,0)</f>
        <v>0</v>
      </c>
      <c r="BF23" s="44">
        <f ca="1">SUM(INDIRECT(BF$1&amp;BF$2&amp;$A23):INDIRECT(BF$1&amp;BF$3&amp;$A23))+SUM(INDIRECT(BF$1&amp;BF$2&amp;$B23):INDIRECT(BF$1&amp;BF$3&amp;$B23))</f>
        <v>612937</v>
      </c>
      <c r="BG23" s="872">
        <f t="shared" ca="1" si="9"/>
        <v>27788.394563845126</v>
      </c>
      <c r="BH23" s="922">
        <f ca="1">IFERROR(BB23/BF23,0)</f>
        <v>1.0453364612739076</v>
      </c>
    </row>
    <row r="24" spans="1:60" ht="14.5">
      <c r="A24" s="990">
        <f t="shared" si="1"/>
        <v>21</v>
      </c>
      <c r="B24" s="990">
        <v>1</v>
      </c>
      <c r="C24" s="990">
        <f t="shared" si="2"/>
        <v>21</v>
      </c>
      <c r="D24" s="1121" t="s">
        <v>887</v>
      </c>
      <c r="E24" s="1243">
        <v>1</v>
      </c>
      <c r="F24" s="93"/>
      <c r="G24" s="93"/>
      <c r="H24" s="14"/>
      <c r="I24" s="183" t="s">
        <v>173</v>
      </c>
      <c r="J24" s="182"/>
      <c r="K24" s="182"/>
      <c r="L24" s="182"/>
      <c r="M24" s="182"/>
      <c r="N24" s="182"/>
      <c r="O24" s="182"/>
      <c r="P24" s="1497"/>
      <c r="Q24" s="1840" t="str">
        <f>CHOOSE(2, "6722000002618", "PL Statement BCP")</f>
        <v>PL Statement BCP</v>
      </c>
      <c r="R24" s="2117">
        <f>R17-R19</f>
        <v>44377</v>
      </c>
      <c r="S24" s="2117">
        <f t="shared" ref="S24:AC24" si="26">S17-S19</f>
        <v>39067.033913046296</v>
      </c>
      <c r="T24" s="2117">
        <f t="shared" si="26"/>
        <v>55024.969919490279</v>
      </c>
      <c r="U24" s="2117">
        <f t="shared" si="26"/>
        <v>66415.00389868379</v>
      </c>
      <c r="V24" s="2117">
        <f t="shared" si="26"/>
        <v>85726.517269636097</v>
      </c>
      <c r="W24" s="2117">
        <f t="shared" si="26"/>
        <v>60731.436667637667</v>
      </c>
      <c r="X24" s="2117">
        <f t="shared" si="26"/>
        <v>94284.471491337114</v>
      </c>
      <c r="Y24" s="2117">
        <f t="shared" si="26"/>
        <v>82846.466217158391</v>
      </c>
      <c r="Z24" s="2117">
        <f t="shared" si="26"/>
        <v>67448.323417095991</v>
      </c>
      <c r="AA24" s="2117">
        <f t="shared" si="26"/>
        <v>73108.24612731213</v>
      </c>
      <c r="AB24" s="2117">
        <f t="shared" si="26"/>
        <v>86975.918509416078</v>
      </c>
      <c r="AC24" s="2117">
        <f t="shared" si="26"/>
        <v>51879.116985501299</v>
      </c>
      <c r="AD24" s="1507">
        <f>SUM(R24,S24,T24)</f>
        <v>138469.00383253657</v>
      </c>
      <c r="AE24" s="180">
        <f>SUM(U24,V24,W24)</f>
        <v>212872.95783595755</v>
      </c>
      <c r="AF24" s="180">
        <f>SUM(X24,Y24,Z24)</f>
        <v>244579.2611255915</v>
      </c>
      <c r="AG24" s="180">
        <f>SUM(AA24,AB24,AC24)</f>
        <v>211963.28162222949</v>
      </c>
      <c r="AH24" s="180">
        <f>AD24+AE24</f>
        <v>351341.96166849416</v>
      </c>
      <c r="AI24" s="180">
        <f>AG24+AF24</f>
        <v>456542.54274782096</v>
      </c>
      <c r="AJ24" s="180">
        <f>AH24+AI24</f>
        <v>807884.50441631512</v>
      </c>
      <c r="AL24" s="2117">
        <f ca="1">SUM((INDIRECT(AL$2&amp;(ROW())):INDIRECT(AL$3&amp;(ROW()))))</f>
        <v>51879.116985501299</v>
      </c>
      <c r="AM24" s="2117">
        <f ca="1">SUM(INDIRECT(AM$1&amp;AM$2&amp;$C24):INDIRECT(AM$1&amp;AM$3&amp;$C24))</f>
        <v>0</v>
      </c>
      <c r="AN24" s="2468">
        <f t="shared" ca="1" si="4"/>
        <v>51879.116985501299</v>
      </c>
      <c r="AO24" s="2469">
        <f ca="1">IFERROR(AL24/AM24,0)</f>
        <v>0</v>
      </c>
      <c r="AP24" s="2117">
        <f ca="1">SUM(INDIRECT(AP$1&amp;AP$2&amp;$A24):INDIRECT(AP$1&amp;AP$3&amp;$A24))+SUM(INDIRECT(AP$1&amp;AP$2&amp;$B24):INDIRECT(AP$1&amp;AP$3&amp;$B24))</f>
        <v>59581.106810000027</v>
      </c>
      <c r="AQ24" s="2468">
        <f t="shared" ca="1" si="5"/>
        <v>-7701.9898244987271</v>
      </c>
      <c r="AR24" s="2469">
        <f ca="1">IFERROR(AL24/AP24,0)</f>
        <v>0.87073100456055919</v>
      </c>
      <c r="AT24" s="2117">
        <f ca="1">SUM((INDIRECT(AT$2&amp;(ROW())):INDIRECT(AT$3&amp;(ROW()))))</f>
        <v>211963.28162222949</v>
      </c>
      <c r="AU24" s="2117">
        <f ca="1">SUM(INDIRECT(AU$1&amp;AU$2&amp;$C24):INDIRECT(AU$1&amp;AU$3&amp;$C24))</f>
        <v>0</v>
      </c>
      <c r="AV24" s="2468">
        <f t="shared" ca="1" si="6"/>
        <v>211963.28162222949</v>
      </c>
      <c r="AW24" s="2469">
        <f ca="1">IFERROR(AT24/AU24,0)</f>
        <v>0</v>
      </c>
      <c r="AX24" s="2117">
        <f ca="1">SUM(INDIRECT(AX$1&amp;AX$2&amp;$A24):INDIRECT(AX$1&amp;AX$3&amp;$A24))+SUM(INDIRECT(AX$1&amp;AX$2&amp;$B24):INDIRECT(AX$1&amp;AX$3&amp;$B24))</f>
        <v>224517.10680999997</v>
      </c>
      <c r="AY24" s="2468">
        <f t="shared" ca="1" si="7"/>
        <v>-12553.825187770475</v>
      </c>
      <c r="AZ24" s="2469">
        <f ca="1">IFERROR(AT24/AX24,0)</f>
        <v>0.94408521753135588</v>
      </c>
      <c r="BB24" s="2117">
        <f ca="1">SUM((INDIRECT(BB$2&amp;(ROW())):INDIRECT(BB$3&amp;(ROW()))))</f>
        <v>807884.50441631512</v>
      </c>
      <c r="BC24" s="2117">
        <f ca="1">SUM(INDIRECT(BC$1&amp;BC$2&amp;$C24):INDIRECT(BC$1&amp;BC$3&amp;$C24))</f>
        <v>0</v>
      </c>
      <c r="BD24" s="2468">
        <f t="shared" ca="1" si="8"/>
        <v>807884.50441631512</v>
      </c>
      <c r="BE24" s="2469">
        <f ca="1">IFERROR(BB24/BC24,0)</f>
        <v>0</v>
      </c>
      <c r="BF24" s="2117">
        <f ca="1">SUM(INDIRECT(BF$1&amp;BF$2&amp;$A24):INDIRECT(BF$1&amp;BF$3&amp;$A24))+SUM(INDIRECT(BF$1&amp;BF$2&amp;$B24):INDIRECT(BF$1&amp;BF$3&amp;$B24))</f>
        <v>748120.10681000003</v>
      </c>
      <c r="BG24" s="2468">
        <f t="shared" ca="1" si="9"/>
        <v>59764.397606315091</v>
      </c>
      <c r="BH24" s="2469">
        <f ca="1">IFERROR(BB24/BF24,0)</f>
        <v>1.0798860999220457</v>
      </c>
    </row>
    <row r="25" spans="1:60" ht="14.5">
      <c r="A25" s="990">
        <f t="shared" si="1"/>
        <v>22</v>
      </c>
      <c r="B25" s="990">
        <v>1</v>
      </c>
      <c r="C25" s="990">
        <f t="shared" si="2"/>
        <v>22</v>
      </c>
      <c r="D25" s="1121" t="s">
        <v>887</v>
      </c>
      <c r="E25" s="1243">
        <v>1</v>
      </c>
      <c r="F25" s="93"/>
      <c r="G25" s="93"/>
      <c r="H25" s="14"/>
      <c r="I25" s="175"/>
      <c r="J25" s="40"/>
      <c r="K25" s="39"/>
      <c r="L25" s="39"/>
      <c r="M25" s="40"/>
      <c r="N25" s="40"/>
      <c r="O25" s="40"/>
      <c r="P25" s="39" t="s">
        <v>135</v>
      </c>
      <c r="Q25" s="1842" t="str">
        <f>CHOOSE(2, "6722000002617", "PL Statement BCP (%)")</f>
        <v>PL Statement BCP (%)</v>
      </c>
      <c r="R25" s="865">
        <f>IFERROR(R24/R14,0)</f>
        <v>6.8350648050457832E-2</v>
      </c>
      <c r="S25" s="865">
        <f t="shared" ref="S25:AC25" si="27">IFERROR(S24/S14,0)</f>
        <v>5.9478965978624766E-2</v>
      </c>
      <c r="T25" s="865">
        <f t="shared" si="27"/>
        <v>7.9399850679845313E-2</v>
      </c>
      <c r="U25" s="865">
        <f t="shared" si="27"/>
        <v>9.3629030705476041E-2</v>
      </c>
      <c r="V25" s="865">
        <f t="shared" si="27"/>
        <v>0.10357789932987817</v>
      </c>
      <c r="W25" s="865">
        <f t="shared" si="27"/>
        <v>8.5406478627281429E-2</v>
      </c>
      <c r="X25" s="865">
        <f t="shared" si="27"/>
        <v>0.1079566401879386</v>
      </c>
      <c r="Y25" s="865">
        <f t="shared" si="27"/>
        <v>0.10386135793662293</v>
      </c>
      <c r="Z25" s="865">
        <f t="shared" si="27"/>
        <v>7.9092568651706122E-2</v>
      </c>
      <c r="AA25" s="865">
        <f t="shared" si="27"/>
        <v>8.7597063166189343E-2</v>
      </c>
      <c r="AB25" s="865">
        <f t="shared" si="27"/>
        <v>9.9846808520285921E-2</v>
      </c>
      <c r="AC25" s="865">
        <f t="shared" si="27"/>
        <v>6.7894205973039856E-2</v>
      </c>
      <c r="AD25" s="1512">
        <f t="shared" ref="AD25:AJ25" si="28">IFERROR(AD24/AD14,0)</f>
        <v>6.926612190091605E-2</v>
      </c>
      <c r="AE25" s="865">
        <f t="shared" si="28"/>
        <v>9.469093924961372E-2</v>
      </c>
      <c r="AF25" s="865">
        <f t="shared" si="28"/>
        <v>9.6909283129694906E-2</v>
      </c>
      <c r="AG25" s="865">
        <f t="shared" si="28"/>
        <v>8.5821777924830464E-2</v>
      </c>
      <c r="AH25" s="865">
        <f t="shared" si="28"/>
        <v>8.2723808515292332E-2</v>
      </c>
      <c r="AI25" s="865">
        <f t="shared" si="28"/>
        <v>9.1425466839702083E-2</v>
      </c>
      <c r="AJ25" s="865">
        <f t="shared" si="28"/>
        <v>8.7426081390142379E-2</v>
      </c>
      <c r="AK25" s="619"/>
      <c r="AL25" s="865">
        <f ca="1">IFERROR(AL24/AL14,0)</f>
        <v>6.7894205973039856E-2</v>
      </c>
      <c r="AM25" s="865">
        <f ca="1">IFERROR(AM24/AM14,0)</f>
        <v>0</v>
      </c>
      <c r="AN25" s="865">
        <f t="shared" ca="1" si="4"/>
        <v>6.7894205973039856E-2</v>
      </c>
      <c r="AO25" s="923"/>
      <c r="AP25" s="865">
        <f ca="1">IFERROR(AP24/AP14,0)</f>
        <v>7.7339089926115184E-2</v>
      </c>
      <c r="AQ25" s="865">
        <f t="shared" ca="1" si="5"/>
        <v>-9.4448839530753281E-3</v>
      </c>
      <c r="AR25" s="923"/>
      <c r="AS25" s="619"/>
      <c r="AT25" s="865">
        <f ca="1">IFERROR(AT24/AT14,0)</f>
        <v>8.5821777924830464E-2</v>
      </c>
      <c r="AU25" s="865">
        <f ca="1">IFERROR(AU24/AU14,0)</f>
        <v>0</v>
      </c>
      <c r="AV25" s="865">
        <f t="shared" ca="1" si="6"/>
        <v>8.5821777924830464E-2</v>
      </c>
      <c r="AW25" s="923"/>
      <c r="AX25" s="865">
        <f ca="1">IFERROR(AX24/AX14,0)</f>
        <v>0.11573350990670371</v>
      </c>
      <c r="AY25" s="865">
        <f t="shared" ca="1" si="7"/>
        <v>-2.9911731981873246E-2</v>
      </c>
      <c r="AZ25" s="923"/>
      <c r="BA25" s="619"/>
      <c r="BB25" s="865">
        <f ca="1">IFERROR(BB24/BB14,0)</f>
        <v>8.7426081390142379E-2</v>
      </c>
      <c r="BC25" s="865">
        <f ca="1">IFERROR(BC24/BC14,0)</f>
        <v>0</v>
      </c>
      <c r="BD25" s="865">
        <f t="shared" ca="1" si="8"/>
        <v>8.7426081390142379E-2</v>
      </c>
      <c r="BE25" s="923"/>
      <c r="BF25" s="865">
        <f ca="1">IFERROR(BF24/BF14,0)</f>
        <v>0.10717214768157104</v>
      </c>
      <c r="BG25" s="865">
        <f t="shared" ca="1" si="9"/>
        <v>-1.9746066291428666E-2</v>
      </c>
      <c r="BH25" s="923"/>
    </row>
    <row r="26" spans="1:60" ht="14.5">
      <c r="A26" s="990">
        <f t="shared" si="1"/>
        <v>23</v>
      </c>
      <c r="B26" s="990">
        <v>1</v>
      </c>
      <c r="C26" s="990">
        <f t="shared" si="2"/>
        <v>23</v>
      </c>
      <c r="D26" s="1121" t="s">
        <v>887</v>
      </c>
      <c r="E26" s="1243">
        <v>1</v>
      </c>
      <c r="F26" s="39"/>
      <c r="G26" s="39"/>
      <c r="H26" s="5"/>
      <c r="I26" s="175" t="s">
        <v>174</v>
      </c>
      <c r="J26" s="40"/>
      <c r="K26" s="39"/>
      <c r="L26" s="39"/>
      <c r="M26" s="40"/>
      <c r="N26" s="40"/>
      <c r="O26" s="40"/>
      <c r="P26" s="40"/>
      <c r="Q26" s="1843" t="str">
        <f>CHOOSE(2, "6722000002616", "PL Statement Other Income")</f>
        <v>PL Statement Other Income</v>
      </c>
      <c r="R26" s="63">
        <f t="shared" ref="R26:AC27" si="29">R87+R409+R192+R274+R337</f>
        <v>9951</v>
      </c>
      <c r="S26" s="63">
        <f t="shared" si="29"/>
        <v>376</v>
      </c>
      <c r="T26" s="63">
        <f t="shared" si="29"/>
        <v>21.466273979496748</v>
      </c>
      <c r="U26" s="63">
        <f t="shared" si="29"/>
        <v>236</v>
      </c>
      <c r="V26" s="63">
        <f t="shared" si="29"/>
        <v>440.28</v>
      </c>
      <c r="W26" s="63">
        <f t="shared" si="29"/>
        <v>20</v>
      </c>
      <c r="X26" s="63">
        <f t="shared" si="29"/>
        <v>0</v>
      </c>
      <c r="Y26" s="63">
        <f t="shared" si="29"/>
        <v>277</v>
      </c>
      <c r="Z26" s="63">
        <f t="shared" si="29"/>
        <v>90965.32</v>
      </c>
      <c r="AA26" s="63">
        <f t="shared" si="29"/>
        <v>5293</v>
      </c>
      <c r="AB26" s="63">
        <f t="shared" si="29"/>
        <v>1273.2400000000002</v>
      </c>
      <c r="AC26" s="63">
        <f t="shared" si="29"/>
        <v>34895.301446465513</v>
      </c>
      <c r="AD26" s="1513">
        <f>SUM(R26,S26,T26)</f>
        <v>10348.466273979497</v>
      </c>
      <c r="AE26" s="63">
        <f t="shared" ref="AE26:AE27" si="30">SUM(U26,V26,W26)</f>
        <v>696.28</v>
      </c>
      <c r="AF26" s="63">
        <f t="shared" ref="AF26:AF27" si="31">SUM(X26,Y26,Z26)</f>
        <v>91242.32</v>
      </c>
      <c r="AG26" s="63">
        <f t="shared" ref="AG26:AG27" si="32">SUM(AA26,AB26,AC26)</f>
        <v>41461.541446465511</v>
      </c>
      <c r="AH26" s="63">
        <f>AD26+AE26</f>
        <v>11044.746273979497</v>
      </c>
      <c r="AI26" s="63">
        <f>AG26+AF26</f>
        <v>132703.86144646551</v>
      </c>
      <c r="AJ26" s="63">
        <f>AH26+AI26</f>
        <v>143748.607720445</v>
      </c>
      <c r="AL26" s="63">
        <f ca="1">SUM((INDIRECT(AL$2&amp;(ROW())):INDIRECT(AL$3&amp;(ROW()))))</f>
        <v>34895.301446465513</v>
      </c>
      <c r="AM26" s="63">
        <f ca="1">SUM(INDIRECT(AM$1&amp;AM$2&amp;$C26):INDIRECT(AM$1&amp;AM$3&amp;$C26))</f>
        <v>0</v>
      </c>
      <c r="AN26" s="873">
        <f t="shared" ca="1" si="4"/>
        <v>34895.301446465513</v>
      </c>
      <c r="AO26" s="924">
        <f ca="1">IFERROR(AL26/AM26,0)</f>
        <v>0</v>
      </c>
      <c r="AP26" s="63">
        <f ca="1">SUM(INDIRECT(AP$1&amp;AP$2&amp;$A26):INDIRECT(AP$1&amp;AP$3&amp;$A26))+SUM(INDIRECT(AP$1&amp;AP$2&amp;$B26):INDIRECT(AP$1&amp;AP$3&amp;$B26))</f>
        <v>36050</v>
      </c>
      <c r="AQ26" s="873">
        <f t="shared" ca="1" si="5"/>
        <v>-1154.6985535344866</v>
      </c>
      <c r="AR26" s="924">
        <f ca="1">IFERROR(AL26/AP26,0)</f>
        <v>0.96796952694772576</v>
      </c>
      <c r="AT26" s="63">
        <f ca="1">SUM((INDIRECT(AT$2&amp;(ROW())):INDIRECT(AT$3&amp;(ROW()))))</f>
        <v>41461.541446465511</v>
      </c>
      <c r="AU26" s="63">
        <f ca="1">SUM(INDIRECT(AU$1&amp;AU$2&amp;$C26):INDIRECT(AU$1&amp;AU$3&amp;$C26))</f>
        <v>0</v>
      </c>
      <c r="AV26" s="873">
        <f t="shared" ca="1" si="6"/>
        <v>41461.541446465511</v>
      </c>
      <c r="AW26" s="924">
        <f ca="1">IFERROR(AT26/AU26,0)</f>
        <v>0</v>
      </c>
      <c r="AX26" s="63">
        <f ca="1">SUM(INDIRECT(AX$1&amp;AX$2&amp;$A26):INDIRECT(AX$1&amp;AX$3&amp;$A26))+SUM(INDIRECT(AX$1&amp;AX$2&amp;$B26):INDIRECT(AX$1&amp;AX$3&amp;$B26))</f>
        <v>36450</v>
      </c>
      <c r="AY26" s="873">
        <f t="shared" ca="1" si="7"/>
        <v>5011.5414464655114</v>
      </c>
      <c r="AZ26" s="924">
        <f ca="1">IFERROR(AT26/AX26,0)</f>
        <v>1.1374908490113995</v>
      </c>
      <c r="BB26" s="63">
        <f ca="1">SUM((INDIRECT(BB$2&amp;(ROW())):INDIRECT(BB$3&amp;(ROW()))))</f>
        <v>143748.60772044503</v>
      </c>
      <c r="BC26" s="63">
        <f ca="1">SUM(INDIRECT(BC$1&amp;BC$2&amp;$C26):INDIRECT(BC$1&amp;BC$3&amp;$C26))</f>
        <v>0</v>
      </c>
      <c r="BD26" s="873">
        <f t="shared" ca="1" si="8"/>
        <v>143748.60772044503</v>
      </c>
      <c r="BE26" s="924">
        <f ca="1">IFERROR(BB26/BC26,0)</f>
        <v>0</v>
      </c>
      <c r="BF26" s="63">
        <f ca="1">SUM(INDIRECT(BF$1&amp;BF$2&amp;$A26):INDIRECT(BF$1&amp;BF$3&amp;$A26))+SUM(INDIRECT(BF$1&amp;BF$2&amp;$B26):INDIRECT(BF$1&amp;BF$3&amp;$B26))</f>
        <v>53624</v>
      </c>
      <c r="BG26" s="873">
        <f t="shared" ca="1" si="9"/>
        <v>90124.607720445027</v>
      </c>
      <c r="BH26" s="924">
        <f ca="1">IFERROR(BB26/BF26,0)</f>
        <v>2.6806767067067923</v>
      </c>
    </row>
    <row r="27" spans="1:60" ht="14.5">
      <c r="A27" s="990">
        <f t="shared" si="1"/>
        <v>24</v>
      </c>
      <c r="B27" s="990">
        <v>1</v>
      </c>
      <c r="C27" s="990">
        <f t="shared" si="2"/>
        <v>24</v>
      </c>
      <c r="D27" s="1121" t="s">
        <v>887</v>
      </c>
      <c r="E27" s="1243">
        <v>1</v>
      </c>
      <c r="F27" s="39"/>
      <c r="G27" s="39"/>
      <c r="H27" s="5"/>
      <c r="I27" s="121" t="s">
        <v>175</v>
      </c>
      <c r="J27" s="119"/>
      <c r="K27" s="120"/>
      <c r="L27" s="120"/>
      <c r="M27" s="119"/>
      <c r="N27" s="119"/>
      <c r="O27" s="119"/>
      <c r="P27" s="119"/>
      <c r="Q27" s="1843" t="str">
        <f>CHOOSE(2, "6722000002615", "PL Statement Other Expenses")</f>
        <v>PL Statement Other Expenses</v>
      </c>
      <c r="R27" s="184">
        <f t="shared" si="29"/>
        <v>0</v>
      </c>
      <c r="S27" s="184">
        <f t="shared" si="29"/>
        <v>0</v>
      </c>
      <c r="T27" s="184">
        <f t="shared" si="29"/>
        <v>0</v>
      </c>
      <c r="U27" s="184">
        <f t="shared" si="29"/>
        <v>0</v>
      </c>
      <c r="V27" s="184">
        <f t="shared" si="29"/>
        <v>0</v>
      </c>
      <c r="W27" s="184">
        <f t="shared" si="29"/>
        <v>0</v>
      </c>
      <c r="X27" s="184">
        <f t="shared" si="29"/>
        <v>0</v>
      </c>
      <c r="Y27" s="184">
        <f t="shared" si="29"/>
        <v>0</v>
      </c>
      <c r="Z27" s="184">
        <f t="shared" si="29"/>
        <v>0</v>
      </c>
      <c r="AA27" s="184">
        <f t="shared" si="29"/>
        <v>0</v>
      </c>
      <c r="AB27" s="184">
        <f t="shared" si="29"/>
        <v>0</v>
      </c>
      <c r="AC27" s="184">
        <f t="shared" si="29"/>
        <v>0</v>
      </c>
      <c r="AD27" s="1514">
        <f>SUM(R27,S27,T27)</f>
        <v>0</v>
      </c>
      <c r="AE27" s="184">
        <f t="shared" si="30"/>
        <v>0</v>
      </c>
      <c r="AF27" s="184">
        <f t="shared" si="31"/>
        <v>0</v>
      </c>
      <c r="AG27" s="184">
        <f t="shared" si="32"/>
        <v>0</v>
      </c>
      <c r="AH27" s="184">
        <f>AD27+AE27</f>
        <v>0</v>
      </c>
      <c r="AI27" s="184">
        <f>AG27+AF27</f>
        <v>0</v>
      </c>
      <c r="AJ27" s="184">
        <f>AH27+AI27</f>
        <v>0</v>
      </c>
      <c r="AL27" s="184">
        <f ca="1">SUM((INDIRECT(AL$2&amp;(ROW())):INDIRECT(AL$3&amp;(ROW()))))</f>
        <v>0</v>
      </c>
      <c r="AM27" s="184">
        <f ca="1">SUM(INDIRECT(AM$1&amp;AM$2&amp;$C27):INDIRECT(AM$1&amp;AM$3&amp;$C27))</f>
        <v>0</v>
      </c>
      <c r="AN27" s="874">
        <f t="shared" ca="1" si="4"/>
        <v>0</v>
      </c>
      <c r="AO27" s="925">
        <f ca="1">IFERROR(AL27/AM27,0)</f>
        <v>0</v>
      </c>
      <c r="AP27" s="184">
        <f ca="1">SUM(INDIRECT(AP$1&amp;AP$2&amp;$A27):INDIRECT(AP$1&amp;AP$3&amp;$A27))+SUM(INDIRECT(AP$1&amp;AP$2&amp;$B27):INDIRECT(AP$1&amp;AP$3&amp;$B27))</f>
        <v>0</v>
      </c>
      <c r="AQ27" s="874">
        <f t="shared" ca="1" si="5"/>
        <v>0</v>
      </c>
      <c r="AR27" s="925">
        <f ca="1">IFERROR(AL27/AP27,0)</f>
        <v>0</v>
      </c>
      <c r="AT27" s="184">
        <f ca="1">SUM((INDIRECT(AT$2&amp;(ROW())):INDIRECT(AT$3&amp;(ROW()))))</f>
        <v>0</v>
      </c>
      <c r="AU27" s="184">
        <f ca="1">SUM(INDIRECT(AU$1&amp;AU$2&amp;$C27):INDIRECT(AU$1&amp;AU$3&amp;$C27))</f>
        <v>0</v>
      </c>
      <c r="AV27" s="874">
        <f t="shared" ca="1" si="6"/>
        <v>0</v>
      </c>
      <c r="AW27" s="925">
        <f ca="1">IFERROR(AT27/AU27,0)</f>
        <v>0</v>
      </c>
      <c r="AX27" s="184">
        <f ca="1">SUM(INDIRECT(AX$1&amp;AX$2&amp;$A27):INDIRECT(AX$1&amp;AX$3&amp;$A27))+SUM(INDIRECT(AX$1&amp;AX$2&amp;$B27):INDIRECT(AX$1&amp;AX$3&amp;$B27))</f>
        <v>0</v>
      </c>
      <c r="AY27" s="874">
        <f t="shared" ca="1" si="7"/>
        <v>0</v>
      </c>
      <c r="AZ27" s="925">
        <f ca="1">IFERROR(AT27/AX27,0)</f>
        <v>0</v>
      </c>
      <c r="BB27" s="184">
        <f ca="1">SUM((INDIRECT(BB$2&amp;(ROW())):INDIRECT(BB$3&amp;(ROW()))))</f>
        <v>0</v>
      </c>
      <c r="BC27" s="184">
        <f ca="1">SUM(INDIRECT(BC$1&amp;BC$2&amp;$C27):INDIRECT(BC$1&amp;BC$3&amp;$C27))</f>
        <v>0</v>
      </c>
      <c r="BD27" s="874">
        <f t="shared" ca="1" si="8"/>
        <v>0</v>
      </c>
      <c r="BE27" s="925">
        <f ca="1">IFERROR(BB27/BC27,0)</f>
        <v>0</v>
      </c>
      <c r="BF27" s="184">
        <f ca="1">SUM(INDIRECT(BF$1&amp;BF$2&amp;$A27):INDIRECT(BF$1&amp;BF$3&amp;$A27))+SUM(INDIRECT(BF$1&amp;BF$2&amp;$B27):INDIRECT(BF$1&amp;BF$3&amp;$B27))</f>
        <v>1057</v>
      </c>
      <c r="BG27" s="874">
        <f t="shared" ca="1" si="9"/>
        <v>-1057</v>
      </c>
      <c r="BH27" s="925">
        <f ca="1">IFERROR(BB27/BF27,0)</f>
        <v>0</v>
      </c>
    </row>
    <row r="28" spans="1:60" ht="14.5">
      <c r="A28" s="990">
        <f t="shared" si="1"/>
        <v>25</v>
      </c>
      <c r="B28" s="990">
        <v>1</v>
      </c>
      <c r="C28" s="990">
        <f t="shared" si="2"/>
        <v>25</v>
      </c>
      <c r="D28" s="1121" t="s">
        <v>887</v>
      </c>
      <c r="E28" s="1243">
        <v>1</v>
      </c>
      <c r="F28" s="39"/>
      <c r="G28" s="39"/>
      <c r="H28" s="5"/>
      <c r="I28" s="183" t="s">
        <v>176</v>
      </c>
      <c r="J28" s="182"/>
      <c r="K28" s="182"/>
      <c r="L28" s="182"/>
      <c r="M28" s="182"/>
      <c r="N28" s="182"/>
      <c r="O28" s="182"/>
      <c r="P28" s="1497"/>
      <c r="Q28" s="1840" t="str">
        <f>CHOOSE(2, "6722000002614", "PL Statement Operating Profit")</f>
        <v>PL Statement Operating Profit</v>
      </c>
      <c r="R28" s="2117">
        <f>R24+R26-R27</f>
        <v>54328</v>
      </c>
      <c r="S28" s="2117">
        <f t="shared" ref="S28:AC28" si="33">S24+S26-S27</f>
        <v>39443.033913046296</v>
      </c>
      <c r="T28" s="2117">
        <f t="shared" si="33"/>
        <v>55046.436193469774</v>
      </c>
      <c r="U28" s="2117">
        <f t="shared" si="33"/>
        <v>66651.00389868379</v>
      </c>
      <c r="V28" s="2117">
        <f t="shared" si="33"/>
        <v>86166.797269636096</v>
      </c>
      <c r="W28" s="2117">
        <f t="shared" si="33"/>
        <v>60751.436667637667</v>
      </c>
      <c r="X28" s="2117">
        <f t="shared" si="33"/>
        <v>94284.471491337114</v>
      </c>
      <c r="Y28" s="2117">
        <f t="shared" si="33"/>
        <v>83123.466217158391</v>
      </c>
      <c r="Z28" s="2117">
        <f t="shared" si="33"/>
        <v>158413.643417096</v>
      </c>
      <c r="AA28" s="2117">
        <f t="shared" si="33"/>
        <v>78401.24612731213</v>
      </c>
      <c r="AB28" s="2117">
        <f t="shared" si="33"/>
        <v>88249.158509416084</v>
      </c>
      <c r="AC28" s="2117">
        <f t="shared" si="33"/>
        <v>86774.418431966813</v>
      </c>
      <c r="AD28" s="1507">
        <f>SUM(R28,S28,T28)</f>
        <v>148817.47010651606</v>
      </c>
      <c r="AE28" s="180">
        <f>SUM(U28,V28,W28)</f>
        <v>213569.23783595755</v>
      </c>
      <c r="AF28" s="180">
        <f>SUM(X28,Y28,Z28)</f>
        <v>335821.58112559153</v>
      </c>
      <c r="AG28" s="180">
        <f>SUM(AA28,AB28,AC28)</f>
        <v>253424.82306869503</v>
      </c>
      <c r="AH28" s="180">
        <f>AD28+AE28</f>
        <v>362386.70794247359</v>
      </c>
      <c r="AI28" s="180">
        <f>AG28+AF28</f>
        <v>589246.40419428656</v>
      </c>
      <c r="AJ28" s="180">
        <f>AH28+AI28</f>
        <v>951633.11213676014</v>
      </c>
      <c r="AL28" s="2117">
        <f ca="1">SUM((INDIRECT(AL$2&amp;(ROW())):INDIRECT(AL$3&amp;(ROW()))))</f>
        <v>86774.418431966813</v>
      </c>
      <c r="AM28" s="2117">
        <f ca="1">SUM(INDIRECT(AM$1&amp;AM$2&amp;$C28):INDIRECT(AM$1&amp;AM$3&amp;$C28))</f>
        <v>0</v>
      </c>
      <c r="AN28" s="2468">
        <f t="shared" ca="1" si="4"/>
        <v>86774.418431966813</v>
      </c>
      <c r="AO28" s="2469">
        <f ca="1">IFERROR(AL28/AM28,0)</f>
        <v>0</v>
      </c>
      <c r="AP28" s="2117">
        <f ca="1">SUM(INDIRECT(AP$1&amp;AP$2&amp;$A28):INDIRECT(AP$1&amp;AP$3&amp;$A28))+SUM(INDIRECT(AP$1&amp;AP$2&amp;$B28):INDIRECT(AP$1&amp;AP$3&amp;$B28))</f>
        <v>95631.106810000027</v>
      </c>
      <c r="AQ28" s="2468">
        <f t="shared" ca="1" si="5"/>
        <v>-8856.6883780332137</v>
      </c>
      <c r="AR28" s="2469">
        <f ca="1">IFERROR(AL28/AP28,0)</f>
        <v>0.90738695103017375</v>
      </c>
      <c r="AT28" s="2117">
        <f ca="1">SUM((INDIRECT(AT$2&amp;(ROW())):INDIRECT(AT$3&amp;(ROW()))))</f>
        <v>253424.82306869503</v>
      </c>
      <c r="AU28" s="2117">
        <f ca="1">SUM(INDIRECT(AU$1&amp;AU$2&amp;$C28):INDIRECT(AU$1&amp;AU$3&amp;$C28))</f>
        <v>0</v>
      </c>
      <c r="AV28" s="2468">
        <f t="shared" ca="1" si="6"/>
        <v>253424.82306869503</v>
      </c>
      <c r="AW28" s="2469">
        <f ca="1">IFERROR(AT28/AU28,0)</f>
        <v>0</v>
      </c>
      <c r="AX28" s="2117">
        <f ca="1">SUM(INDIRECT(AX$1&amp;AX$2&amp;$A28):INDIRECT(AX$1&amp;AX$3&amp;$A28))+SUM(INDIRECT(AX$1&amp;AX$2&amp;$B28):INDIRECT(AX$1&amp;AX$3&amp;$B28))</f>
        <v>260967.10680999997</v>
      </c>
      <c r="AY28" s="2468">
        <f t="shared" ca="1" si="7"/>
        <v>-7542.2837413049419</v>
      </c>
      <c r="AZ28" s="2469">
        <f ca="1">IFERROR(AT28/AX28,0)</f>
        <v>0.9710987187868233</v>
      </c>
      <c r="BB28" s="2117">
        <f ca="1">SUM((INDIRECT(BB$2&amp;(ROW())):INDIRECT(BB$3&amp;(ROW()))))</f>
        <v>951633.11213676003</v>
      </c>
      <c r="BC28" s="2117">
        <f ca="1">SUM(INDIRECT(BC$1&amp;BC$2&amp;$C28):INDIRECT(BC$1&amp;BC$3&amp;$C28))</f>
        <v>0</v>
      </c>
      <c r="BD28" s="2468">
        <f t="shared" ca="1" si="8"/>
        <v>951633.11213676003</v>
      </c>
      <c r="BE28" s="2469">
        <f ca="1">IFERROR(BB28/BC28,0)</f>
        <v>0</v>
      </c>
      <c r="BF28" s="2117">
        <f ca="1">SUM(INDIRECT(BF$1&amp;BF$2&amp;$A28):INDIRECT(BF$1&amp;BF$3&amp;$A28))+SUM(INDIRECT(BF$1&amp;BF$2&amp;$B28):INDIRECT(BF$1&amp;BF$3&amp;$B28))</f>
        <v>800687.10681000003</v>
      </c>
      <c r="BG28" s="2468">
        <f t="shared" ca="1" si="9"/>
        <v>150946.00532676</v>
      </c>
      <c r="BH28" s="2469">
        <f ca="1">IFERROR(BB28/BF28,0)</f>
        <v>1.1885205894324198</v>
      </c>
    </row>
    <row r="29" spans="1:60" ht="14.5">
      <c r="A29" s="990">
        <f t="shared" si="1"/>
        <v>26</v>
      </c>
      <c r="B29" s="990">
        <v>1</v>
      </c>
      <c r="C29" s="990">
        <f t="shared" si="2"/>
        <v>26</v>
      </c>
      <c r="D29" s="1121" t="s">
        <v>887</v>
      </c>
      <c r="E29" s="1243">
        <v>1</v>
      </c>
      <c r="F29" s="39"/>
      <c r="G29" s="39"/>
      <c r="H29" s="5"/>
      <c r="I29" s="121"/>
      <c r="J29" s="119"/>
      <c r="K29" s="120"/>
      <c r="L29" s="120"/>
      <c r="M29" s="119"/>
      <c r="N29" s="119"/>
      <c r="O29" s="119"/>
      <c r="P29" s="120" t="s">
        <v>135</v>
      </c>
      <c r="Q29" s="1842" t="str">
        <f>CHOOSE(2, "6722000002613", "PL Statement Operating Profit (%)")</f>
        <v>PL Statement Operating Profit (%)</v>
      </c>
      <c r="R29" s="863">
        <f>IFERROR(R28/R14,0)</f>
        <v>8.3677445687749805E-2</v>
      </c>
      <c r="S29" s="863">
        <f t="shared" ref="S29:AC29" si="34">IFERROR(S28/S14,0)</f>
        <v>6.0051420269824345E-2</v>
      </c>
      <c r="T29" s="863">
        <f t="shared" si="34"/>
        <v>7.9430826052501E-2</v>
      </c>
      <c r="U29" s="863">
        <f t="shared" si="34"/>
        <v>9.3961733407416717E-2</v>
      </c>
      <c r="V29" s="863">
        <f t="shared" si="34"/>
        <v>0.10410986165576529</v>
      </c>
      <c r="W29" s="863">
        <f t="shared" si="34"/>
        <v>8.543460458092704E-2</v>
      </c>
      <c r="X29" s="863">
        <f t="shared" si="34"/>
        <v>0.1079566401879386</v>
      </c>
      <c r="Y29" s="863">
        <f t="shared" si="34"/>
        <v>0.10420862194753479</v>
      </c>
      <c r="Z29" s="863">
        <f t="shared" si="34"/>
        <v>0.18576209655876741</v>
      </c>
      <c r="AA29" s="863">
        <f t="shared" si="34"/>
        <v>9.3939046183142444E-2</v>
      </c>
      <c r="AB29" s="863">
        <f t="shared" si="34"/>
        <v>0.10130846540944664</v>
      </c>
      <c r="AC29" s="863">
        <f t="shared" si="34"/>
        <v>0.11356169072532978</v>
      </c>
      <c r="AD29" s="1508">
        <f t="shared" ref="AD29:AJ29" si="35">IFERROR(AD28/AD14,0)</f>
        <v>7.444271815409538E-2</v>
      </c>
      <c r="AE29" s="863">
        <f t="shared" si="35"/>
        <v>9.5000661103676221E-2</v>
      </c>
      <c r="AF29" s="863">
        <f t="shared" si="35"/>
        <v>0.13306209421268261</v>
      </c>
      <c r="AG29" s="863">
        <f t="shared" si="35"/>
        <v>0.10260913456135153</v>
      </c>
      <c r="AH29" s="863">
        <f t="shared" si="35"/>
        <v>8.5324304828143058E-2</v>
      </c>
      <c r="AI29" s="863">
        <f t="shared" si="35"/>
        <v>0.11800023555928635</v>
      </c>
      <c r="AJ29" s="863">
        <f t="shared" si="35"/>
        <v>0.10298198995081842</v>
      </c>
      <c r="AK29" s="619"/>
      <c r="AL29" s="863">
        <f ca="1">IFERROR(AL28/AL14,0)</f>
        <v>0.11356169072532978</v>
      </c>
      <c r="AM29" s="863">
        <f ca="1">IFERROR(AM28/AM14,0)</f>
        <v>0</v>
      </c>
      <c r="AN29" s="863">
        <f t="shared" ca="1" si="4"/>
        <v>0.11356169072532978</v>
      </c>
      <c r="AO29" s="919"/>
      <c r="AP29" s="863">
        <f ca="1">IFERROR(AP28/AP14,0)</f>
        <v>0.12413369212656483</v>
      </c>
      <c r="AQ29" s="863">
        <f t="shared" ca="1" si="5"/>
        <v>-1.0572001401235057E-2</v>
      </c>
      <c r="AR29" s="919"/>
      <c r="AS29" s="619"/>
      <c r="AT29" s="863">
        <f ca="1">IFERROR(AT28/AT14,0)</f>
        <v>0.10260913456135153</v>
      </c>
      <c r="AU29" s="863">
        <f ca="1">IFERROR(AU28/AU14,0)</f>
        <v>0</v>
      </c>
      <c r="AV29" s="863">
        <f t="shared" ca="1" si="6"/>
        <v>0.10260913456135153</v>
      </c>
      <c r="AW29" s="919"/>
      <c r="AX29" s="863">
        <f ca="1">IFERROR(AX28/AX14,0)</f>
        <v>0.13452266364218851</v>
      </c>
      <c r="AY29" s="863">
        <f t="shared" ca="1" si="7"/>
        <v>-3.1913529080836986E-2</v>
      </c>
      <c r="AZ29" s="919"/>
      <c r="BA29" s="619"/>
      <c r="BB29" s="863">
        <f ca="1">IFERROR(BB28/BB14,0)</f>
        <v>0.10298198995081841</v>
      </c>
      <c r="BC29" s="863">
        <f ca="1">IFERROR(BC28/BC14,0)</f>
        <v>0</v>
      </c>
      <c r="BD29" s="863">
        <f t="shared" ca="1" si="8"/>
        <v>0.10298198995081841</v>
      </c>
      <c r="BE29" s="919"/>
      <c r="BF29" s="863">
        <f ca="1">IFERROR(BF28/BF14,0)</f>
        <v>0.11470264744477009</v>
      </c>
      <c r="BG29" s="863">
        <f t="shared" ca="1" si="9"/>
        <v>-1.1720657493951681E-2</v>
      </c>
      <c r="BH29" s="919"/>
    </row>
    <row r="30" spans="1:60" ht="14.5">
      <c r="A30" s="990">
        <f t="shared" si="1"/>
        <v>27</v>
      </c>
      <c r="B30" s="990">
        <v>1</v>
      </c>
      <c r="C30" s="990">
        <f t="shared" si="2"/>
        <v>27</v>
      </c>
      <c r="D30" s="1121" t="s">
        <v>887</v>
      </c>
      <c r="E30" s="1243">
        <v>1</v>
      </c>
      <c r="F30" s="39"/>
      <c r="G30" s="39"/>
      <c r="H30" s="5"/>
      <c r="I30" s="175" t="s">
        <v>177</v>
      </c>
      <c r="J30" s="40"/>
      <c r="K30" s="39"/>
      <c r="L30" s="39"/>
      <c r="M30" s="40"/>
      <c r="N30" s="40"/>
      <c r="O30" s="40"/>
      <c r="P30" s="39"/>
      <c r="Q30" s="1843" t="str">
        <f>CHOOSE(2, "6722000002612", "PL Statement Financial Income/Expenses")</f>
        <v>PL Statement Financial Income/Expenses</v>
      </c>
      <c r="R30" s="63">
        <f>R31-R32</f>
        <v>13664</v>
      </c>
      <c r="S30" s="63">
        <f t="shared" ref="S30:AC30" si="36">S31-S32</f>
        <v>9779</v>
      </c>
      <c r="T30" s="63">
        <f t="shared" si="36"/>
        <v>6584</v>
      </c>
      <c r="U30" s="63">
        <f t="shared" si="36"/>
        <v>9159</v>
      </c>
      <c r="V30" s="63">
        <f t="shared" si="36"/>
        <v>11283</v>
      </c>
      <c r="W30" s="63">
        <f t="shared" si="36"/>
        <v>7253</v>
      </c>
      <c r="X30" s="63">
        <f t="shared" si="36"/>
        <v>99064</v>
      </c>
      <c r="Y30" s="63">
        <f t="shared" si="36"/>
        <v>10743</v>
      </c>
      <c r="Z30" s="63">
        <f t="shared" si="36"/>
        <v>-78979</v>
      </c>
      <c r="AA30" s="63">
        <f t="shared" si="36"/>
        <v>12314</v>
      </c>
      <c r="AB30" s="63">
        <f t="shared" si="36"/>
        <v>12686</v>
      </c>
      <c r="AC30" s="63">
        <f t="shared" si="36"/>
        <v>4853</v>
      </c>
      <c r="AD30" s="1513">
        <f t="shared" ref="AD30:AD35" si="37">SUM(R30,S30,T30)</f>
        <v>30027</v>
      </c>
      <c r="AE30" s="63">
        <f t="shared" ref="AE30:AE35" si="38">SUM(U30,V30,W30)</f>
        <v>27695</v>
      </c>
      <c r="AF30" s="63">
        <f t="shared" ref="AF30:AF35" si="39">SUM(X30,Y30,Z30)</f>
        <v>30828</v>
      </c>
      <c r="AG30" s="63">
        <f t="shared" ref="AG30:AG35" si="40">SUM(AA30,AB30,AC30)</f>
        <v>29853</v>
      </c>
      <c r="AH30" s="63">
        <f t="shared" ref="AH30:AH35" si="41">AD30+AE30</f>
        <v>57722</v>
      </c>
      <c r="AI30" s="63">
        <f t="shared" ref="AI30:AI35" si="42">AG30+AF30</f>
        <v>60681</v>
      </c>
      <c r="AJ30" s="63">
        <f t="shared" ref="AJ30:AJ35" si="43">AH30+AI30</f>
        <v>118403</v>
      </c>
      <c r="AL30" s="63">
        <f ca="1">SUM((INDIRECT(AL$2&amp;(ROW())):INDIRECT(AL$3&amp;(ROW()))))</f>
        <v>4853</v>
      </c>
      <c r="AM30" s="63">
        <f ca="1">SUM(INDIRECT(AM$1&amp;AM$2&amp;$C30):INDIRECT(AM$1&amp;AM$3&amp;$C30))</f>
        <v>0</v>
      </c>
      <c r="AN30" s="873">
        <f t="shared" ca="1" si="4"/>
        <v>4853</v>
      </c>
      <c r="AO30" s="924">
        <f t="shared" ref="AO30:AO35" ca="1" si="44">IFERROR(AL30/AM30,0)</f>
        <v>0</v>
      </c>
      <c r="AP30" s="63">
        <f ca="1">SUM(INDIRECT(AP$1&amp;AP$2&amp;$A30):INDIRECT(AP$1&amp;AP$3&amp;$A30))+SUM(INDIRECT(AP$1&amp;AP$2&amp;$B30):INDIRECT(AP$1&amp;AP$3&amp;$B30))</f>
        <v>8237</v>
      </c>
      <c r="AQ30" s="873">
        <f t="shared" ca="1" si="5"/>
        <v>-3384</v>
      </c>
      <c r="AR30" s="924">
        <f t="shared" ref="AR30:AR35" ca="1" si="45">IFERROR(AL30/AP30,0)</f>
        <v>0.58917081461697218</v>
      </c>
      <c r="AT30" s="63">
        <f ca="1">SUM((INDIRECT(AT$2&amp;(ROW())):INDIRECT(AT$3&amp;(ROW()))))</f>
        <v>29853</v>
      </c>
      <c r="AU30" s="63">
        <f ca="1">SUM(INDIRECT(AU$1&amp;AU$2&amp;$C30):INDIRECT(AU$1&amp;AU$3&amp;$C30))</f>
        <v>0</v>
      </c>
      <c r="AV30" s="873">
        <f t="shared" ca="1" si="6"/>
        <v>29853</v>
      </c>
      <c r="AW30" s="924">
        <f t="shared" ref="AW30:AW35" ca="1" si="46">IFERROR(AT30/AU30,0)</f>
        <v>0</v>
      </c>
      <c r="AX30" s="63">
        <f ca="1">SUM(INDIRECT(AX$1&amp;AX$2&amp;$A30):INDIRECT(AX$1&amp;AX$3&amp;$A30))+SUM(INDIRECT(AX$1&amp;AX$2&amp;$B30):INDIRECT(AX$1&amp;AX$3&amp;$B30))</f>
        <v>27439</v>
      </c>
      <c r="AY30" s="873">
        <f t="shared" ca="1" si="7"/>
        <v>2414</v>
      </c>
      <c r="AZ30" s="924">
        <f t="shared" ref="AZ30:AZ35" ca="1" si="47">IFERROR(AT30/AX30,0)</f>
        <v>1.0879769670906374</v>
      </c>
      <c r="BB30" s="63">
        <f ca="1">SUM((INDIRECT(BB$2&amp;(ROW())):INDIRECT(BB$3&amp;(ROW()))))</f>
        <v>118403</v>
      </c>
      <c r="BC30" s="63">
        <f ca="1">SUM(INDIRECT(BC$1&amp;BC$2&amp;$C30):INDIRECT(BC$1&amp;BC$3&amp;$C30))</f>
        <v>0</v>
      </c>
      <c r="BD30" s="873">
        <f t="shared" ca="1" si="8"/>
        <v>118403</v>
      </c>
      <c r="BE30" s="924">
        <f t="shared" ref="BE30:BE35" ca="1" si="48">IFERROR(BB30/BC30,0)</f>
        <v>0</v>
      </c>
      <c r="BF30" s="63">
        <f ca="1">SUM(INDIRECT(BF$1&amp;BF$2&amp;$A30):INDIRECT(BF$1&amp;BF$3&amp;$A30))+SUM(INDIRECT(BF$1&amp;BF$2&amp;$B30):INDIRECT(BF$1&amp;BF$3&amp;$B30))</f>
        <v>83665</v>
      </c>
      <c r="BG30" s="873">
        <f t="shared" ca="1" si="9"/>
        <v>34738</v>
      </c>
      <c r="BH30" s="924">
        <f t="shared" ref="BH30:BH35" ca="1" si="49">IFERROR(BB30/BF30,0)</f>
        <v>1.4152034901093646</v>
      </c>
    </row>
    <row r="31" spans="1:60" ht="14.5">
      <c r="A31" s="990">
        <f t="shared" si="1"/>
        <v>28</v>
      </c>
      <c r="B31" s="990">
        <v>1</v>
      </c>
      <c r="C31" s="990">
        <f t="shared" si="2"/>
        <v>28</v>
      </c>
      <c r="D31" s="1121" t="s">
        <v>887</v>
      </c>
      <c r="E31" s="1243">
        <v>1</v>
      </c>
      <c r="F31" s="93"/>
      <c r="G31" s="93"/>
      <c r="H31" s="14"/>
      <c r="I31" s="175"/>
      <c r="J31" s="123" t="s">
        <v>178</v>
      </c>
      <c r="K31" s="123"/>
      <c r="L31" s="178"/>
      <c r="M31" s="123"/>
      <c r="N31" s="123"/>
      <c r="O31" s="123"/>
      <c r="P31" s="123"/>
      <c r="Q31" s="1844" t="str">
        <f>CHOOSE(2, "6722000002611", "PL Statement Financial Income")</f>
        <v>PL Statement Financial Income</v>
      </c>
      <c r="R31" s="2045">
        <f>11840+1824</f>
        <v>13664</v>
      </c>
      <c r="S31" s="2045">
        <v>10055</v>
      </c>
      <c r="T31" s="2045">
        <v>11309</v>
      </c>
      <c r="U31" s="2045">
        <v>10773</v>
      </c>
      <c r="V31" s="2045">
        <f>10947+336</f>
        <v>11283</v>
      </c>
      <c r="W31" s="2045">
        <v>11160</v>
      </c>
      <c r="X31" s="2045">
        <f>11952+88147</f>
        <v>100099</v>
      </c>
      <c r="Y31" s="2045">
        <v>11100</v>
      </c>
      <c r="Z31" s="2045">
        <f>11796+4-88147</f>
        <v>-76347</v>
      </c>
      <c r="AA31" s="2045">
        <v>12512</v>
      </c>
      <c r="AB31" s="2045">
        <v>12769</v>
      </c>
      <c r="AC31" s="2045">
        <v>7492</v>
      </c>
      <c r="AD31" s="1510">
        <f t="shared" si="37"/>
        <v>35028</v>
      </c>
      <c r="AE31" s="176">
        <f t="shared" si="38"/>
        <v>33216</v>
      </c>
      <c r="AF31" s="176">
        <f t="shared" si="39"/>
        <v>34852</v>
      </c>
      <c r="AG31" s="176">
        <f t="shared" si="40"/>
        <v>32773</v>
      </c>
      <c r="AH31" s="176">
        <f t="shared" si="41"/>
        <v>68244</v>
      </c>
      <c r="AI31" s="176">
        <f t="shared" si="42"/>
        <v>67625</v>
      </c>
      <c r="AJ31" s="176">
        <f t="shared" si="43"/>
        <v>135869</v>
      </c>
      <c r="AL31" s="176">
        <f ca="1">SUM((INDIRECT(AL$2&amp;(ROW())):INDIRECT(AL$3&amp;(ROW()))))</f>
        <v>7492</v>
      </c>
      <c r="AM31" s="176">
        <f ca="1">SUM(INDIRECT(AM$1&amp;AM$2&amp;$C31):INDIRECT(AM$1&amp;AM$3&amp;$C31))</f>
        <v>0</v>
      </c>
      <c r="AN31" s="871">
        <f t="shared" ca="1" si="4"/>
        <v>7492</v>
      </c>
      <c r="AO31" s="921">
        <f t="shared" ca="1" si="44"/>
        <v>0</v>
      </c>
      <c r="AP31" s="176">
        <f ca="1">SUM(INDIRECT(AP$1&amp;AP$2&amp;$A31):INDIRECT(AP$1&amp;AP$3&amp;$A31))+SUM(INDIRECT(AP$1&amp;AP$2&amp;$B31):INDIRECT(AP$1&amp;AP$3&amp;$B31))</f>
        <v>10524</v>
      </c>
      <c r="AQ31" s="871">
        <f t="shared" ca="1" si="5"/>
        <v>-3032</v>
      </c>
      <c r="AR31" s="921">
        <f t="shared" ca="1" si="45"/>
        <v>0.71189661725579623</v>
      </c>
      <c r="AT31" s="176">
        <f ca="1">SUM((INDIRECT(AT$2&amp;(ROW())):INDIRECT(AT$3&amp;(ROW()))))</f>
        <v>32773</v>
      </c>
      <c r="AU31" s="176">
        <f ca="1">SUM(INDIRECT(AU$1&amp;AU$2&amp;$C31):INDIRECT(AU$1&amp;AU$3&amp;$C31))</f>
        <v>0</v>
      </c>
      <c r="AV31" s="871">
        <f t="shared" ca="1" si="6"/>
        <v>32773</v>
      </c>
      <c r="AW31" s="921">
        <f t="shared" ca="1" si="46"/>
        <v>0</v>
      </c>
      <c r="AX31" s="176">
        <f ca="1">SUM(INDIRECT(AX$1&amp;AX$2&amp;$A31):INDIRECT(AX$1&amp;AX$3&amp;$A31))+SUM(INDIRECT(AX$1&amp;AX$2&amp;$B31):INDIRECT(AX$1&amp;AX$3&amp;$B31))</f>
        <v>29726</v>
      </c>
      <c r="AY31" s="871">
        <f t="shared" ca="1" si="7"/>
        <v>3047</v>
      </c>
      <c r="AZ31" s="921">
        <f t="shared" ca="1" si="47"/>
        <v>1.10250285944964</v>
      </c>
      <c r="BB31" s="176">
        <f ca="1">SUM((INDIRECT(BB$2&amp;(ROW())):INDIRECT(BB$3&amp;(ROW()))))</f>
        <v>135869</v>
      </c>
      <c r="BC31" s="176">
        <f ca="1">SUM(INDIRECT(BC$1&amp;BC$2&amp;$C31):INDIRECT(BC$1&amp;BC$3&amp;$C31))</f>
        <v>0</v>
      </c>
      <c r="BD31" s="871">
        <f t="shared" ca="1" si="8"/>
        <v>135869</v>
      </c>
      <c r="BE31" s="921">
        <f t="shared" ca="1" si="48"/>
        <v>0</v>
      </c>
      <c r="BF31" s="176">
        <f ca="1">SUM(INDIRECT(BF$1&amp;BF$2&amp;$A31):INDIRECT(BF$1&amp;BF$3&amp;$A31))+SUM(INDIRECT(BF$1&amp;BF$2&amp;$B31):INDIRECT(BF$1&amp;BF$3&amp;$B31))</f>
        <v>94493</v>
      </c>
      <c r="BG31" s="871">
        <f t="shared" ca="1" si="9"/>
        <v>41376</v>
      </c>
      <c r="BH31" s="921">
        <f t="shared" ca="1" si="49"/>
        <v>1.4378737049305239</v>
      </c>
    </row>
    <row r="32" spans="1:60" ht="14.5">
      <c r="A32" s="990">
        <f t="shared" si="1"/>
        <v>29</v>
      </c>
      <c r="B32" s="990">
        <v>1</v>
      </c>
      <c r="C32" s="990">
        <f t="shared" si="2"/>
        <v>29</v>
      </c>
      <c r="D32" s="1121" t="s">
        <v>887</v>
      </c>
      <c r="E32" s="1243">
        <v>1</v>
      </c>
      <c r="F32" s="93"/>
      <c r="G32" s="93"/>
      <c r="H32" s="14"/>
      <c r="I32" s="175"/>
      <c r="J32" s="40" t="s">
        <v>179</v>
      </c>
      <c r="K32" s="40"/>
      <c r="L32" s="39"/>
      <c r="M32" s="40"/>
      <c r="N32" s="40"/>
      <c r="O32" s="40"/>
      <c r="P32" s="40"/>
      <c r="Q32" s="1844" t="str">
        <f>CHOOSE(2, "6722000002610", "PL Statement Financial Expenses")</f>
        <v>PL Statement Financial Expenses</v>
      </c>
      <c r="R32" s="2030">
        <v>0</v>
      </c>
      <c r="S32" s="2030">
        <v>276</v>
      </c>
      <c r="T32" s="2030">
        <f>1530+3195</f>
        <v>4725</v>
      </c>
      <c r="U32" s="2030">
        <v>1614</v>
      </c>
      <c r="V32" s="2030">
        <v>0</v>
      </c>
      <c r="W32" s="2030">
        <f>1010+2897</f>
        <v>3907</v>
      </c>
      <c r="X32" s="2030">
        <v>1035</v>
      </c>
      <c r="Y32" s="2030">
        <v>357</v>
      </c>
      <c r="Z32" s="2030">
        <v>2632</v>
      </c>
      <c r="AA32" s="2030">
        <v>198</v>
      </c>
      <c r="AB32" s="2030">
        <v>83</v>
      </c>
      <c r="AC32" s="2030">
        <f>280+2359</f>
        <v>2639</v>
      </c>
      <c r="AD32" s="1511">
        <f t="shared" si="37"/>
        <v>5001</v>
      </c>
      <c r="AE32" s="44">
        <f t="shared" si="38"/>
        <v>5521</v>
      </c>
      <c r="AF32" s="44">
        <f t="shared" si="39"/>
        <v>4024</v>
      </c>
      <c r="AG32" s="44">
        <f t="shared" si="40"/>
        <v>2920</v>
      </c>
      <c r="AH32" s="44">
        <f t="shared" si="41"/>
        <v>10522</v>
      </c>
      <c r="AI32" s="44">
        <f t="shared" si="42"/>
        <v>6944</v>
      </c>
      <c r="AJ32" s="44">
        <f t="shared" si="43"/>
        <v>17466</v>
      </c>
      <c r="AL32" s="44">
        <f ca="1">SUM((INDIRECT(AL$2&amp;(ROW())):INDIRECT(AL$3&amp;(ROW()))))</f>
        <v>2639</v>
      </c>
      <c r="AM32" s="44">
        <f ca="1">SUM(INDIRECT(AM$1&amp;AM$2&amp;$C32):INDIRECT(AM$1&amp;AM$3&amp;$C32))</f>
        <v>0</v>
      </c>
      <c r="AN32" s="872">
        <f t="shared" ca="1" si="4"/>
        <v>2639</v>
      </c>
      <c r="AO32" s="922">
        <f t="shared" ca="1" si="44"/>
        <v>0</v>
      </c>
      <c r="AP32" s="44">
        <f ca="1">SUM(INDIRECT(AP$1&amp;AP$2&amp;$A32):INDIRECT(AP$1&amp;AP$3&amp;$A32))+SUM(INDIRECT(AP$1&amp;AP$2&amp;$B32):INDIRECT(AP$1&amp;AP$3&amp;$B32))</f>
        <v>2287</v>
      </c>
      <c r="AQ32" s="872">
        <f t="shared" ca="1" si="5"/>
        <v>352</v>
      </c>
      <c r="AR32" s="922">
        <f t="shared" ca="1" si="45"/>
        <v>1.1539134236991693</v>
      </c>
      <c r="AT32" s="44">
        <f ca="1">SUM((INDIRECT(AT$2&amp;(ROW())):INDIRECT(AT$3&amp;(ROW()))))</f>
        <v>2920</v>
      </c>
      <c r="AU32" s="44">
        <f ca="1">SUM(INDIRECT(AU$1&amp;AU$2&amp;$C32):INDIRECT(AU$1&amp;AU$3&amp;$C32))</f>
        <v>0</v>
      </c>
      <c r="AV32" s="872">
        <f t="shared" ca="1" si="6"/>
        <v>2920</v>
      </c>
      <c r="AW32" s="922">
        <f t="shared" ca="1" si="46"/>
        <v>0</v>
      </c>
      <c r="AX32" s="44">
        <f ca="1">SUM(INDIRECT(AX$1&amp;AX$2&amp;$A32):INDIRECT(AX$1&amp;AX$3&amp;$A32))+SUM(INDIRECT(AX$1&amp;AX$2&amp;$B32):INDIRECT(AX$1&amp;AX$3&amp;$B32))</f>
        <v>2287</v>
      </c>
      <c r="AY32" s="872">
        <f t="shared" ca="1" si="7"/>
        <v>633</v>
      </c>
      <c r="AZ32" s="922">
        <f t="shared" ca="1" si="47"/>
        <v>1.2767818102317448</v>
      </c>
      <c r="BB32" s="44">
        <f ca="1">SUM((INDIRECT(BB$2&amp;(ROW())):INDIRECT(BB$3&amp;(ROW()))))</f>
        <v>17466</v>
      </c>
      <c r="BC32" s="44">
        <f ca="1">SUM(INDIRECT(BC$1&amp;BC$2&amp;$C32):INDIRECT(BC$1&amp;BC$3&amp;$C32))</f>
        <v>0</v>
      </c>
      <c r="BD32" s="872">
        <f t="shared" ca="1" si="8"/>
        <v>17466</v>
      </c>
      <c r="BE32" s="922">
        <f t="shared" ca="1" si="48"/>
        <v>0</v>
      </c>
      <c r="BF32" s="44">
        <f ca="1">SUM(INDIRECT(BF$1&amp;BF$2&amp;$A32):INDIRECT(BF$1&amp;BF$3&amp;$A32))+SUM(INDIRECT(BF$1&amp;BF$2&amp;$B32):INDIRECT(BF$1&amp;BF$3&amp;$B32))</f>
        <v>10828</v>
      </c>
      <c r="BG32" s="872">
        <f t="shared" ca="1" si="9"/>
        <v>6638</v>
      </c>
      <c r="BH32" s="922">
        <f t="shared" ca="1" si="49"/>
        <v>1.6130402659770964</v>
      </c>
    </row>
    <row r="33" spans="1:60" ht="14.5">
      <c r="A33" s="990">
        <f t="shared" si="1"/>
        <v>30</v>
      </c>
      <c r="B33" s="990">
        <v>1</v>
      </c>
      <c r="C33" s="990">
        <f t="shared" si="2"/>
        <v>30</v>
      </c>
      <c r="D33" s="1121" t="s">
        <v>887</v>
      </c>
      <c r="E33" s="1243">
        <v>1</v>
      </c>
      <c r="F33" s="39"/>
      <c r="G33" s="39"/>
      <c r="H33" s="5"/>
      <c r="I33" s="172" t="s">
        <v>144</v>
      </c>
      <c r="J33" s="167"/>
      <c r="K33" s="167"/>
      <c r="L33" s="167"/>
      <c r="M33" s="167"/>
      <c r="N33" s="167"/>
      <c r="O33" s="167"/>
      <c r="P33" s="669"/>
      <c r="Q33" s="1840" t="str">
        <f>CHOOSE(2, "6722000002609", "PL Statement Profit before Taxes")</f>
        <v>PL Statement Profit before Taxes</v>
      </c>
      <c r="R33" s="2101">
        <f>R28+R30</f>
        <v>67992</v>
      </c>
      <c r="S33" s="2101">
        <f t="shared" ref="S33:AC33" si="50">S28+S30</f>
        <v>49222.033913046296</v>
      </c>
      <c r="T33" s="2101">
        <f t="shared" si="50"/>
        <v>61630.436193469774</v>
      </c>
      <c r="U33" s="2101">
        <f t="shared" si="50"/>
        <v>75810.00389868379</v>
      </c>
      <c r="V33" s="2101">
        <f t="shared" si="50"/>
        <v>97449.797269636096</v>
      </c>
      <c r="W33" s="2101">
        <f t="shared" si="50"/>
        <v>68004.436667637667</v>
      </c>
      <c r="X33" s="2101">
        <f t="shared" si="50"/>
        <v>193348.47149133711</v>
      </c>
      <c r="Y33" s="2101">
        <f t="shared" si="50"/>
        <v>93866.466217158391</v>
      </c>
      <c r="Z33" s="2101">
        <f t="shared" si="50"/>
        <v>79434.643417095998</v>
      </c>
      <c r="AA33" s="2101">
        <f t="shared" si="50"/>
        <v>90715.24612731213</v>
      </c>
      <c r="AB33" s="2101">
        <f t="shared" si="50"/>
        <v>100935.15850941608</v>
      </c>
      <c r="AC33" s="2101">
        <f t="shared" si="50"/>
        <v>91627.418431966813</v>
      </c>
      <c r="AD33" s="671">
        <f t="shared" si="37"/>
        <v>178844.47010651606</v>
      </c>
      <c r="AE33" s="170">
        <f t="shared" si="38"/>
        <v>241264.23783595755</v>
      </c>
      <c r="AF33" s="170">
        <f t="shared" si="39"/>
        <v>366649.58112559153</v>
      </c>
      <c r="AG33" s="170">
        <f t="shared" si="40"/>
        <v>283277.82306869503</v>
      </c>
      <c r="AH33" s="170">
        <f t="shared" si="41"/>
        <v>420108.70794247359</v>
      </c>
      <c r="AI33" s="170">
        <f t="shared" si="42"/>
        <v>649927.40419428656</v>
      </c>
      <c r="AJ33" s="170">
        <f t="shared" si="43"/>
        <v>1070036.1121367603</v>
      </c>
      <c r="AL33" s="2101">
        <f ca="1">SUM((INDIRECT(AL$2&amp;(ROW())):INDIRECT(AL$3&amp;(ROW()))))</f>
        <v>91627.418431966813</v>
      </c>
      <c r="AM33" s="2101">
        <f ca="1">SUM(INDIRECT(AM$1&amp;AM$2&amp;$C33):INDIRECT(AM$1&amp;AM$3&amp;$C33))</f>
        <v>0</v>
      </c>
      <c r="AN33" s="2462">
        <f t="shared" ca="1" si="4"/>
        <v>91627.418431966813</v>
      </c>
      <c r="AO33" s="2463">
        <f t="shared" ca="1" si="44"/>
        <v>0</v>
      </c>
      <c r="AP33" s="2101">
        <f ca="1">SUM(INDIRECT(AP$1&amp;AP$2&amp;$A33):INDIRECT(AP$1&amp;AP$3&amp;$A33))+SUM(INDIRECT(AP$1&amp;AP$2&amp;$B33):INDIRECT(AP$1&amp;AP$3&amp;$B33))</f>
        <v>103868.10681000003</v>
      </c>
      <c r="AQ33" s="2462">
        <f t="shared" ca="1" si="5"/>
        <v>-12240.688378033214</v>
      </c>
      <c r="AR33" s="2463">
        <f t="shared" ca="1" si="45"/>
        <v>0.88215161752755922</v>
      </c>
      <c r="AT33" s="2101">
        <f ca="1">SUM((INDIRECT(AT$2&amp;(ROW())):INDIRECT(AT$3&amp;(ROW()))))</f>
        <v>283277.82306869503</v>
      </c>
      <c r="AU33" s="2101">
        <f ca="1">SUM(INDIRECT(AU$1&amp;AU$2&amp;$C33):INDIRECT(AU$1&amp;AU$3&amp;$C33))</f>
        <v>0</v>
      </c>
      <c r="AV33" s="2462">
        <f t="shared" ca="1" si="6"/>
        <v>283277.82306869503</v>
      </c>
      <c r="AW33" s="2463">
        <f t="shared" ca="1" si="46"/>
        <v>0</v>
      </c>
      <c r="AX33" s="2101">
        <f ca="1">SUM(INDIRECT(AX$1&amp;AX$2&amp;$A33):INDIRECT(AX$1&amp;AX$3&amp;$A33))+SUM(INDIRECT(AX$1&amp;AX$2&amp;$B33):INDIRECT(AX$1&amp;AX$3&amp;$B33))</f>
        <v>288406.10680999997</v>
      </c>
      <c r="AY33" s="2462">
        <f t="shared" ca="1" si="7"/>
        <v>-5128.2837413049419</v>
      </c>
      <c r="AZ33" s="2463">
        <f t="shared" ca="1" si="47"/>
        <v>0.98221853275567628</v>
      </c>
      <c r="BB33" s="2101">
        <f ca="1">SUM((INDIRECT(BB$2&amp;(ROW())):INDIRECT(BB$3&amp;(ROW()))))</f>
        <v>1070036.11213676</v>
      </c>
      <c r="BC33" s="2101">
        <f ca="1">SUM(INDIRECT(BC$1&amp;BC$2&amp;$C33):INDIRECT(BC$1&amp;BC$3&amp;$C33))</f>
        <v>0</v>
      </c>
      <c r="BD33" s="2462">
        <f t="shared" ca="1" si="8"/>
        <v>1070036.11213676</v>
      </c>
      <c r="BE33" s="2463">
        <f t="shared" ca="1" si="48"/>
        <v>0</v>
      </c>
      <c r="BF33" s="2101">
        <f ca="1">SUM(INDIRECT(BF$1&amp;BF$2&amp;$A33):INDIRECT(BF$1&amp;BF$3&amp;$A33))+SUM(INDIRECT(BF$1&amp;BF$2&amp;$B33):INDIRECT(BF$1&amp;BF$3&amp;$B33))</f>
        <v>884352.10681000003</v>
      </c>
      <c r="BG33" s="2462">
        <f t="shared" ca="1" si="9"/>
        <v>185684.00532676</v>
      </c>
      <c r="BH33" s="2463">
        <f t="shared" ca="1" si="49"/>
        <v>1.2099661479821109</v>
      </c>
    </row>
    <row r="34" spans="1:60" ht="14.5">
      <c r="A34" s="990">
        <f t="shared" si="1"/>
        <v>31</v>
      </c>
      <c r="B34" s="990">
        <v>1</v>
      </c>
      <c r="C34" s="990">
        <f t="shared" si="2"/>
        <v>31</v>
      </c>
      <c r="D34" s="1121" t="s">
        <v>887</v>
      </c>
      <c r="E34" s="1243">
        <v>1</v>
      </c>
      <c r="F34" s="39"/>
      <c r="G34" s="39"/>
      <c r="H34" s="5"/>
      <c r="I34" s="58" t="s">
        <v>180</v>
      </c>
      <c r="J34" s="56"/>
      <c r="K34" s="57"/>
      <c r="L34" s="57"/>
      <c r="M34" s="56"/>
      <c r="N34" s="56"/>
      <c r="O34" s="56"/>
      <c r="P34" s="555"/>
      <c r="Q34" s="1845" t="str">
        <f>CHOOSE(2, "6722000002608", "PL Statement Tax Expenses &amp; Others")</f>
        <v>PL Statement Tax Expenses &amp; Others</v>
      </c>
      <c r="R34" s="2199">
        <v>16943.200433360998</v>
      </c>
      <c r="S34" s="2199">
        <v>12303.851100000002</v>
      </c>
      <c r="T34" s="2199">
        <v>15347</v>
      </c>
      <c r="U34" s="2199">
        <v>18988</v>
      </c>
      <c r="V34" s="2199">
        <v>24434</v>
      </c>
      <c r="W34" s="2199">
        <v>17073</v>
      </c>
      <c r="X34" s="2199">
        <v>48507</v>
      </c>
      <c r="Y34" s="2199">
        <v>23485</v>
      </c>
      <c r="Z34" s="2199">
        <v>19880</v>
      </c>
      <c r="AA34" s="2199">
        <v>22340</v>
      </c>
      <c r="AB34" s="2199">
        <v>25299</v>
      </c>
      <c r="AC34" s="2199">
        <v>22722</v>
      </c>
      <c r="AD34" s="1515">
        <f t="shared" si="37"/>
        <v>44594.051533361002</v>
      </c>
      <c r="AE34" s="173">
        <f t="shared" si="38"/>
        <v>60495</v>
      </c>
      <c r="AF34" s="173">
        <f t="shared" si="39"/>
        <v>91872</v>
      </c>
      <c r="AG34" s="173">
        <f t="shared" si="40"/>
        <v>70361</v>
      </c>
      <c r="AH34" s="173">
        <f t="shared" si="41"/>
        <v>105089.05153336099</v>
      </c>
      <c r="AI34" s="173">
        <f t="shared" si="42"/>
        <v>162233</v>
      </c>
      <c r="AJ34" s="173">
        <f t="shared" si="43"/>
        <v>267322.05153336097</v>
      </c>
      <c r="AL34" s="2470">
        <f ca="1">SUM((INDIRECT(AL$2&amp;(ROW())):INDIRECT(AL$3&amp;(ROW()))))</f>
        <v>22722</v>
      </c>
      <c r="AM34" s="2470">
        <f ca="1">SUM(INDIRECT(AM$1&amp;AM$2&amp;$C34):INDIRECT(AM$1&amp;AM$3&amp;$C34))</f>
        <v>0</v>
      </c>
      <c r="AN34" s="2471">
        <f t="shared" ca="1" si="4"/>
        <v>22722</v>
      </c>
      <c r="AO34" s="2472">
        <f t="shared" ca="1" si="44"/>
        <v>0</v>
      </c>
      <c r="AP34" s="2470">
        <f ca="1">SUM(INDIRECT(AP$1&amp;AP$2&amp;$A34):INDIRECT(AP$1&amp;AP$3&amp;$A34))+SUM(INDIRECT(AP$1&amp;AP$2&amp;$B34):INDIRECT(AP$1&amp;AP$3&amp;$B34))</f>
        <v>26141.525121940809</v>
      </c>
      <c r="AQ34" s="2471">
        <f t="shared" ca="1" si="5"/>
        <v>-3419.5251219408092</v>
      </c>
      <c r="AR34" s="2472">
        <f t="shared" ca="1" si="45"/>
        <v>0.86919182771510251</v>
      </c>
      <c r="AT34" s="2470">
        <f ca="1">SUM((INDIRECT(AT$2&amp;(ROW())):INDIRECT(AT$3&amp;(ROW()))))</f>
        <v>70361</v>
      </c>
      <c r="AU34" s="2470">
        <f ca="1">SUM(INDIRECT(AU$1&amp;AU$2&amp;$C34):INDIRECT(AU$1&amp;AU$3&amp;$C34))</f>
        <v>0</v>
      </c>
      <c r="AV34" s="2471">
        <f t="shared" ca="1" si="6"/>
        <v>70361</v>
      </c>
      <c r="AW34" s="2472">
        <f t="shared" ca="1" si="46"/>
        <v>0</v>
      </c>
      <c r="AX34" s="2470">
        <f ca="1">SUM(INDIRECT(AX$1&amp;AX$2&amp;$A34):INDIRECT(AX$1&amp;AX$3&amp;$A34))+SUM(INDIRECT(AX$1&amp;AX$2&amp;$B34):INDIRECT(AX$1&amp;AX$3&amp;$B34))</f>
        <v>72586.048961940804</v>
      </c>
      <c r="AY34" s="2471">
        <f t="shared" ca="1" si="7"/>
        <v>-2225.0489619408036</v>
      </c>
      <c r="AZ34" s="2472">
        <f t="shared" ca="1" si="47"/>
        <v>0.96934605211660618</v>
      </c>
      <c r="BB34" s="2470">
        <f ca="1">SUM((INDIRECT(BB$2&amp;(ROW())):INDIRECT(BB$3&amp;(ROW()))))</f>
        <v>267322.05153336097</v>
      </c>
      <c r="BC34" s="2470">
        <f ca="1">SUM(INDIRECT(BC$1&amp;BC$2&amp;$C34):INDIRECT(BC$1&amp;BC$3&amp;$C34))</f>
        <v>0</v>
      </c>
      <c r="BD34" s="2471">
        <f t="shared" ca="1" si="8"/>
        <v>267322.05153336097</v>
      </c>
      <c r="BE34" s="2472">
        <f t="shared" ca="1" si="48"/>
        <v>0</v>
      </c>
      <c r="BF34" s="2470">
        <f ca="1">SUM(INDIRECT(BF$1&amp;BF$2&amp;$A34):INDIRECT(BF$1&amp;BF$3&amp;$A34))+SUM(INDIRECT(BF$1&amp;BF$2&amp;$B34):INDIRECT(BF$1&amp;BF$3&amp;$B34))</f>
        <v>222573.73824194079</v>
      </c>
      <c r="BG34" s="2471">
        <f t="shared" ca="1" si="9"/>
        <v>44748.313291420171</v>
      </c>
      <c r="BH34" s="2472">
        <f t="shared" ca="1" si="49"/>
        <v>1.2010493854525557</v>
      </c>
    </row>
    <row r="35" spans="1:60" ht="14.5">
      <c r="A35" s="990">
        <f t="shared" si="1"/>
        <v>32</v>
      </c>
      <c r="B35" s="990">
        <v>1</v>
      </c>
      <c r="C35" s="990">
        <f t="shared" si="2"/>
        <v>32</v>
      </c>
      <c r="D35" s="1121" t="s">
        <v>887</v>
      </c>
      <c r="E35" s="1243">
        <v>1</v>
      </c>
      <c r="F35" s="39"/>
      <c r="G35" s="39"/>
      <c r="H35" s="5"/>
      <c r="I35" s="172" t="s">
        <v>181</v>
      </c>
      <c r="J35" s="167"/>
      <c r="K35" s="167"/>
      <c r="L35" s="167"/>
      <c r="M35" s="167"/>
      <c r="N35" s="167"/>
      <c r="O35" s="167"/>
      <c r="P35" s="669"/>
      <c r="Q35" s="1840" t="str">
        <f>CHOOSE(2, "6722000002607", "PL Statement Net Profit")</f>
        <v>PL Statement Net Profit</v>
      </c>
      <c r="R35" s="2101">
        <f>R33-R34</f>
        <v>51048.799566639005</v>
      </c>
      <c r="S35" s="2101">
        <f t="shared" ref="S35:AC35" si="51">S33-S34</f>
        <v>36918.182813046296</v>
      </c>
      <c r="T35" s="2101">
        <f t="shared" si="51"/>
        <v>46283.436193469774</v>
      </c>
      <c r="U35" s="2101">
        <f t="shared" si="51"/>
        <v>56822.00389868379</v>
      </c>
      <c r="V35" s="2101">
        <f t="shared" si="51"/>
        <v>73015.797269636096</v>
      </c>
      <c r="W35" s="2101">
        <f t="shared" si="51"/>
        <v>50931.436667637667</v>
      </c>
      <c r="X35" s="2101">
        <f t="shared" si="51"/>
        <v>144841.47149133711</v>
      </c>
      <c r="Y35" s="2101">
        <f t="shared" si="51"/>
        <v>70381.466217158391</v>
      </c>
      <c r="Z35" s="2101">
        <f t="shared" si="51"/>
        <v>59554.643417095998</v>
      </c>
      <c r="AA35" s="2101">
        <f>AA33-AA34</f>
        <v>68375.24612731213</v>
      </c>
      <c r="AB35" s="2101">
        <f t="shared" si="51"/>
        <v>75636.158509416084</v>
      </c>
      <c r="AC35" s="2101">
        <f t="shared" si="51"/>
        <v>68905.418431966813</v>
      </c>
      <c r="AD35" s="671">
        <f t="shared" si="37"/>
        <v>134250.41857315507</v>
      </c>
      <c r="AE35" s="170">
        <f t="shared" si="38"/>
        <v>180769.23783595755</v>
      </c>
      <c r="AF35" s="170">
        <f t="shared" si="39"/>
        <v>274777.58112559153</v>
      </c>
      <c r="AG35" s="170">
        <f t="shared" si="40"/>
        <v>212916.82306869503</v>
      </c>
      <c r="AH35" s="170">
        <f t="shared" si="41"/>
        <v>315019.65640911262</v>
      </c>
      <c r="AI35" s="170">
        <f t="shared" si="42"/>
        <v>487694.40419428656</v>
      </c>
      <c r="AJ35" s="170">
        <f t="shared" si="43"/>
        <v>802714.06060339918</v>
      </c>
      <c r="AL35" s="2101">
        <f ca="1">SUM((INDIRECT(AL$2&amp;(ROW())):INDIRECT(AL$3&amp;(ROW()))))</f>
        <v>68905.418431966813</v>
      </c>
      <c r="AM35" s="2101">
        <f ca="1">SUM(INDIRECT(AM$1&amp;AM$2&amp;$C35):INDIRECT(AM$1&amp;AM$3&amp;$C35))</f>
        <v>0</v>
      </c>
      <c r="AN35" s="2462">
        <f t="shared" ca="1" si="4"/>
        <v>68905.418431966813</v>
      </c>
      <c r="AO35" s="2463">
        <f t="shared" ca="1" si="44"/>
        <v>0</v>
      </c>
      <c r="AP35" s="2101">
        <f ca="1">SUM(INDIRECT(AP$1&amp;AP$2&amp;$A35):INDIRECT(AP$1&amp;AP$3&amp;$A35))+SUM(INDIRECT(AP$1&amp;AP$2&amp;$B35):INDIRECT(AP$1&amp;AP$3&amp;$B35))</f>
        <v>77726.581688059217</v>
      </c>
      <c r="AQ35" s="2462">
        <f t="shared" ca="1" si="5"/>
        <v>-8821.1632560924045</v>
      </c>
      <c r="AR35" s="2463">
        <f t="shared" ca="1" si="45"/>
        <v>0.88651034093465664</v>
      </c>
      <c r="AT35" s="2101">
        <f ca="1">SUM((INDIRECT(AT$2&amp;(ROW())):INDIRECT(AT$3&amp;(ROW()))))</f>
        <v>212916.82306869503</v>
      </c>
      <c r="AU35" s="2101">
        <f ca="1">SUM(INDIRECT(AU$1&amp;AU$2&amp;$C35):INDIRECT(AU$1&amp;AU$3&amp;$C35))</f>
        <v>0</v>
      </c>
      <c r="AV35" s="2462">
        <f t="shared" ca="1" si="6"/>
        <v>212916.82306869503</v>
      </c>
      <c r="AW35" s="2463">
        <f t="shared" ca="1" si="46"/>
        <v>0</v>
      </c>
      <c r="AX35" s="2101">
        <f ca="1">SUM(INDIRECT(AX$1&amp;AX$2&amp;$A35):INDIRECT(AX$1&amp;AX$3&amp;$A35))+SUM(INDIRECT(AX$1&amp;AX$2&amp;$B35):INDIRECT(AX$1&amp;AX$3&amp;$B35))</f>
        <v>215820.05784805916</v>
      </c>
      <c r="AY35" s="2462">
        <f t="shared" ca="1" si="7"/>
        <v>-2903.2347793641384</v>
      </c>
      <c r="AZ35" s="2463">
        <f t="shared" ca="1" si="47"/>
        <v>0.98654789175615887</v>
      </c>
      <c r="BB35" s="2101">
        <f ca="1">SUM((INDIRECT(BB$2&amp;(ROW())):INDIRECT(BB$3&amp;(ROW()))))</f>
        <v>802714.06060339906</v>
      </c>
      <c r="BC35" s="2101">
        <f ca="1">SUM(INDIRECT(BC$1&amp;BC$2&amp;$C35):INDIRECT(BC$1&amp;BC$3&amp;$C35))</f>
        <v>0</v>
      </c>
      <c r="BD35" s="2462">
        <f t="shared" ca="1" si="8"/>
        <v>802714.06060339906</v>
      </c>
      <c r="BE35" s="2463">
        <f t="shared" ca="1" si="48"/>
        <v>0</v>
      </c>
      <c r="BF35" s="2101">
        <f ca="1">SUM(INDIRECT(BF$1&amp;BF$2&amp;$A35):INDIRECT(BF$1&amp;BF$3&amp;$A35))+SUM(INDIRECT(BF$1&amp;BF$2&amp;$B35):INDIRECT(BF$1&amp;BF$3&amp;$B35))</f>
        <v>661778.36856805929</v>
      </c>
      <c r="BG35" s="2462">
        <f t="shared" ca="1" si="9"/>
        <v>140935.69203533977</v>
      </c>
      <c r="BH35" s="2463">
        <f t="shared" ca="1" si="49"/>
        <v>1.2129650933443068</v>
      </c>
    </row>
    <row r="36" spans="1:60" ht="14.5">
      <c r="A36" s="990">
        <f t="shared" si="1"/>
        <v>33</v>
      </c>
      <c r="B36" s="990">
        <v>1</v>
      </c>
      <c r="C36" s="990">
        <f t="shared" si="2"/>
        <v>33</v>
      </c>
      <c r="D36" s="1121" t="s">
        <v>887</v>
      </c>
      <c r="E36" s="1243">
        <v>1</v>
      </c>
      <c r="F36" s="39"/>
      <c r="G36" s="39"/>
      <c r="H36" s="5"/>
      <c r="I36" s="121"/>
      <c r="J36" s="119"/>
      <c r="K36" s="120"/>
      <c r="L36" s="120"/>
      <c r="M36" s="119"/>
      <c r="N36" s="119"/>
      <c r="O36" s="119"/>
      <c r="P36" s="120" t="s">
        <v>135</v>
      </c>
      <c r="Q36" s="1842" t="str">
        <f>CHOOSE(2, "6722000002606", "PL Statement Net Profit (%)")</f>
        <v>PL Statement Net Profit (%)</v>
      </c>
      <c r="R36" s="863">
        <f>IFERROR(R35/R14,0)</f>
        <v>7.8626733050402395E-2</v>
      </c>
      <c r="S36" s="863">
        <f t="shared" ref="S36:AC36" si="52">IFERROR(S35/S14,0)</f>
        <v>5.6207372804837688E-2</v>
      </c>
      <c r="T36" s="863">
        <f t="shared" si="52"/>
        <v>6.6786005118922756E-2</v>
      </c>
      <c r="U36" s="863">
        <f t="shared" si="52"/>
        <v>8.0105229774472389E-2</v>
      </c>
      <c r="V36" s="863">
        <f t="shared" si="52"/>
        <v>8.8220344648993157E-2</v>
      </c>
      <c r="W36" s="863">
        <f t="shared" si="52"/>
        <v>7.1624761340929682E-2</v>
      </c>
      <c r="X36" s="863">
        <f t="shared" si="52"/>
        <v>0.1658448986853423</v>
      </c>
      <c r="Y36" s="863">
        <f t="shared" si="52"/>
        <v>8.8234477445589113E-2</v>
      </c>
      <c r="Z36" s="863">
        <f t="shared" si="52"/>
        <v>6.9836127636059606E-2</v>
      </c>
      <c r="AA36" s="863">
        <f>IFERROR(AA35/AA14,0)</f>
        <v>8.1926062671339742E-2</v>
      </c>
      <c r="AB36" s="863">
        <f t="shared" si="52"/>
        <v>8.682896559559844E-2</v>
      </c>
      <c r="AC36" s="863">
        <f t="shared" si="52"/>
        <v>9.0176528505407957E-2</v>
      </c>
      <c r="AD36" s="1508">
        <f t="shared" ref="AD36:AJ36" si="53">IFERROR(AD35/AD14,0)</f>
        <v>6.7155865939378862E-2</v>
      </c>
      <c r="AE36" s="863">
        <f t="shared" si="53"/>
        <v>8.0410443356146513E-2</v>
      </c>
      <c r="AF36" s="863">
        <f t="shared" si="53"/>
        <v>0.10887471932184357</v>
      </c>
      <c r="AG36" s="863">
        <f t="shared" si="53"/>
        <v>8.620785716286819E-2</v>
      </c>
      <c r="AH36" s="863">
        <f t="shared" si="53"/>
        <v>7.417168621586101E-2</v>
      </c>
      <c r="AI36" s="863">
        <f t="shared" si="53"/>
        <v>9.7663819696211254E-2</v>
      </c>
      <c r="AJ36" s="863">
        <f t="shared" si="53"/>
        <v>8.6866556310579504E-2</v>
      </c>
      <c r="AK36" s="619"/>
      <c r="AL36" s="863">
        <f ca="1">IFERROR(AL35/AL14,0)</f>
        <v>9.0176528505407957E-2</v>
      </c>
      <c r="AM36" s="863">
        <f ca="1">IFERROR(AM35/AM14,0)</f>
        <v>0</v>
      </c>
      <c r="AN36" s="863">
        <f t="shared" ca="1" si="4"/>
        <v>9.0176528505407957E-2</v>
      </c>
      <c r="AO36" s="919"/>
      <c r="AP36" s="863">
        <f ca="1">IFERROR(AP35/AP14,0)</f>
        <v>0.10089277310661539</v>
      </c>
      <c r="AQ36" s="863">
        <f t="shared" ca="1" si="5"/>
        <v>-1.0716244601207431E-2</v>
      </c>
      <c r="AR36" s="919"/>
      <c r="AS36" s="619"/>
      <c r="AT36" s="863">
        <f ca="1">IFERROR(AT35/AT14,0)</f>
        <v>8.620785716286819E-2</v>
      </c>
      <c r="AU36" s="863">
        <f ca="1">IFERROR(AU35/AU14,0)</f>
        <v>0</v>
      </c>
      <c r="AV36" s="863">
        <f t="shared" ca="1" si="6"/>
        <v>8.620785716286819E-2</v>
      </c>
      <c r="AW36" s="919"/>
      <c r="AX36" s="863">
        <f ca="1">IFERROR(AX35/AX14,0)</f>
        <v>0.11125037712231567</v>
      </c>
      <c r="AY36" s="863">
        <f t="shared" ca="1" si="7"/>
        <v>-2.5042519959447479E-2</v>
      </c>
      <c r="AZ36" s="919"/>
      <c r="BA36" s="619"/>
      <c r="BB36" s="863">
        <f ca="1">IFERROR(BB35/BB14,0)</f>
        <v>8.686655631057949E-2</v>
      </c>
      <c r="BC36" s="863">
        <f ca="1">IFERROR(BC35/BC14,0)</f>
        <v>0</v>
      </c>
      <c r="BD36" s="863">
        <f t="shared" ca="1" si="8"/>
        <v>8.686655631057949E-2</v>
      </c>
      <c r="BE36" s="919"/>
      <c r="BF36" s="863">
        <f ca="1">IFERROR(BF35/BF14,0)</f>
        <v>9.4803238681911026E-2</v>
      </c>
      <c r="BG36" s="863">
        <f t="shared" ca="1" si="9"/>
        <v>-7.9366823713315354E-3</v>
      </c>
      <c r="BH36" s="919"/>
    </row>
    <row r="37" spans="1:60" ht="14.5">
      <c r="A37" s="990">
        <f t="shared" si="1"/>
        <v>34</v>
      </c>
      <c r="B37" s="990">
        <v>1</v>
      </c>
      <c r="C37" s="990">
        <f t="shared" si="2"/>
        <v>34</v>
      </c>
      <c r="E37" s="1243">
        <v>1</v>
      </c>
      <c r="Q37" s="1838" t="str">
        <f>CHOOSE(2, "6722000002956", "▷ Blank 1")</f>
        <v>▷ Blank 1</v>
      </c>
      <c r="R37" s="2200"/>
      <c r="AA37" s="163"/>
      <c r="AB37" s="163"/>
      <c r="AC37" s="163"/>
      <c r="AD37" s="163"/>
      <c r="AE37" s="163"/>
      <c r="AF37" s="163"/>
      <c r="AG37" s="163"/>
      <c r="AH37" s="163"/>
      <c r="AI37" s="163"/>
      <c r="AJ37" s="868"/>
      <c r="AL37" s="163"/>
      <c r="AM37" s="163"/>
      <c r="AN37" s="163"/>
      <c r="AO37" s="163"/>
      <c r="AP37" s="163"/>
      <c r="AQ37" s="163"/>
      <c r="AR37" s="163"/>
      <c r="AT37" s="163"/>
      <c r="AU37" s="163"/>
      <c r="AV37" s="163"/>
      <c r="AW37" s="163"/>
      <c r="AX37" s="163"/>
      <c r="AY37" s="163"/>
      <c r="AZ37" s="163"/>
      <c r="BB37" s="163"/>
      <c r="BC37" s="163"/>
      <c r="BD37" s="163"/>
      <c r="BE37" s="163"/>
      <c r="BF37" s="163"/>
      <c r="BG37" s="163"/>
      <c r="BH37" s="163"/>
    </row>
    <row r="38" spans="1:60" ht="14.5">
      <c r="A38" s="990">
        <f t="shared" si="1"/>
        <v>35</v>
      </c>
      <c r="B38" s="990">
        <v>1</v>
      </c>
      <c r="C38" s="990">
        <f t="shared" si="2"/>
        <v>35</v>
      </c>
      <c r="E38" s="1243">
        <v>1</v>
      </c>
      <c r="Q38" s="1838" t="str">
        <f>CHOOSE(2, "6722000002957", "▷ Blank 2")</f>
        <v>▷ Blank 2</v>
      </c>
      <c r="R38" s="2200"/>
      <c r="AA38" s="163"/>
      <c r="AB38" s="163"/>
      <c r="AC38" s="163"/>
      <c r="AD38" s="163"/>
      <c r="AE38" s="163"/>
      <c r="AF38" s="163"/>
      <c r="AG38" s="163"/>
      <c r="AH38" s="163"/>
      <c r="AI38" s="163"/>
      <c r="AJ38" s="868"/>
      <c r="AL38" s="163"/>
      <c r="AM38" s="163"/>
      <c r="AN38" s="163"/>
      <c r="AO38" s="163"/>
      <c r="AP38" s="163"/>
      <c r="AQ38" s="163"/>
      <c r="AR38" s="163"/>
      <c r="AT38" s="163"/>
      <c r="AU38" s="163"/>
      <c r="AV38" s="163"/>
      <c r="AW38" s="163"/>
      <c r="AX38" s="163"/>
      <c r="AY38" s="163"/>
      <c r="AZ38" s="163"/>
      <c r="BB38" s="163"/>
      <c r="BC38" s="163"/>
      <c r="BD38" s="163"/>
      <c r="BE38" s="163"/>
      <c r="BF38" s="163"/>
      <c r="BG38" s="163"/>
      <c r="BH38" s="163"/>
    </row>
    <row r="39" spans="1:60" s="75" customFormat="1" ht="15.5">
      <c r="A39" s="990">
        <f t="shared" si="1"/>
        <v>36</v>
      </c>
      <c r="B39" s="990">
        <v>1</v>
      </c>
      <c r="C39" s="990">
        <f t="shared" si="2"/>
        <v>36</v>
      </c>
      <c r="E39" s="1243">
        <v>1</v>
      </c>
      <c r="G39" s="315" t="s">
        <v>93</v>
      </c>
      <c r="I39" s="30"/>
      <c r="K39" s="24"/>
      <c r="L39" s="24"/>
      <c r="Q39" s="1846" t="str">
        <f>CHOOSE(2, "6722000002958", "1-2.SGA Expenses Details")</f>
        <v>1-2.SGA Expenses Details</v>
      </c>
      <c r="R39" s="1926"/>
      <c r="S39" s="2176"/>
      <c r="T39" s="2176"/>
      <c r="U39" s="2176"/>
      <c r="V39" s="2176"/>
      <c r="W39" s="2176"/>
      <c r="X39" s="2176"/>
      <c r="Y39" s="2176"/>
      <c r="Z39" s="2176"/>
      <c r="AA39" s="287"/>
      <c r="AB39" s="287"/>
      <c r="AC39" s="287"/>
      <c r="AD39" s="287"/>
      <c r="AE39" s="287"/>
      <c r="AF39" s="287"/>
      <c r="AG39" s="287"/>
      <c r="AH39" s="287"/>
      <c r="AI39" s="287"/>
      <c r="AJ39" s="869"/>
      <c r="AL39" s="287"/>
      <c r="AM39" s="287"/>
      <c r="AN39" s="287"/>
      <c r="AO39" s="287"/>
      <c r="AP39" s="287"/>
      <c r="AQ39" s="287"/>
      <c r="AR39" s="287"/>
      <c r="AT39" s="287"/>
      <c r="AU39" s="287"/>
      <c r="AV39" s="287"/>
      <c r="AW39" s="287"/>
      <c r="AX39" s="287"/>
      <c r="AY39" s="287"/>
      <c r="AZ39" s="287"/>
      <c r="BB39" s="287"/>
      <c r="BC39" s="287"/>
      <c r="BD39" s="287"/>
      <c r="BE39" s="287"/>
      <c r="BF39" s="287"/>
      <c r="BG39" s="287"/>
      <c r="BH39" s="287"/>
    </row>
    <row r="40" spans="1:60" ht="14.5">
      <c r="A40" s="990">
        <f t="shared" si="1"/>
        <v>37</v>
      </c>
      <c r="B40" s="990">
        <v>1</v>
      </c>
      <c r="C40" s="990">
        <f t="shared" si="2"/>
        <v>37</v>
      </c>
      <c r="E40" s="1243">
        <v>1</v>
      </c>
      <c r="I40" s="165" t="s">
        <v>143</v>
      </c>
      <c r="J40" s="22"/>
      <c r="K40" s="21"/>
      <c r="L40" s="21"/>
      <c r="M40" s="22"/>
      <c r="N40" s="22"/>
      <c r="O40" s="22"/>
      <c r="P40" s="303"/>
      <c r="Q40" s="1843" t="str">
        <f>CHOOSE(2, "6722000002959", "SGA Variable Expenses")</f>
        <v>SGA Variable Expenses</v>
      </c>
      <c r="R40" s="2203">
        <f>SUM(R41:R43)</f>
        <v>61662</v>
      </c>
      <c r="S40" s="2203">
        <f t="shared" ref="S40:AC40" si="54">SUM(S41:S43)</f>
        <v>49533</v>
      </c>
      <c r="T40" s="2203">
        <f t="shared" si="54"/>
        <v>47765</v>
      </c>
      <c r="U40" s="2203">
        <f t="shared" si="54"/>
        <v>67759</v>
      </c>
      <c r="V40" s="2203">
        <f t="shared" si="54"/>
        <v>73732.578139999998</v>
      </c>
      <c r="W40" s="2203">
        <f t="shared" si="54"/>
        <v>50381.11937</v>
      </c>
      <c r="X40" s="2203">
        <f t="shared" si="54"/>
        <v>42778.496050000002</v>
      </c>
      <c r="Y40" s="2203">
        <f t="shared" si="54"/>
        <v>54978.632440000001</v>
      </c>
      <c r="Z40" s="2203">
        <f t="shared" si="54"/>
        <v>73294.403699999995</v>
      </c>
      <c r="AA40" s="2203">
        <f t="shared" si="54"/>
        <v>85193.172939999989</v>
      </c>
      <c r="AB40" s="2203">
        <f t="shared" si="54"/>
        <v>80848.992889999994</v>
      </c>
      <c r="AC40" s="2058">
        <f t="shared" si="54"/>
        <v>-4031.786569999982</v>
      </c>
      <c r="AD40" s="1516">
        <f t="shared" ref="AD40:AJ40" si="55">SUM(AD41:AD43)</f>
        <v>158960</v>
      </c>
      <c r="AE40" s="20">
        <f t="shared" si="55"/>
        <v>191872.69750999997</v>
      </c>
      <c r="AF40" s="20">
        <f t="shared" si="55"/>
        <v>171051.53219</v>
      </c>
      <c r="AG40" s="20">
        <f t="shared" si="55"/>
        <v>162010.37925999999</v>
      </c>
      <c r="AH40" s="20">
        <f t="shared" si="55"/>
        <v>350832.69750999997</v>
      </c>
      <c r="AI40" s="20">
        <f t="shared" si="55"/>
        <v>333061.91145000001</v>
      </c>
      <c r="AJ40" s="20">
        <f t="shared" si="55"/>
        <v>683894.60895999998</v>
      </c>
      <c r="AL40" s="2058">
        <f ca="1">SUM((INDIRECT(AL$2&amp;(ROW())):INDIRECT(AL$3&amp;(ROW()))))</f>
        <v>-4031.786569999982</v>
      </c>
      <c r="AM40" s="2058">
        <f ca="1">SUM(INDIRECT(AM$1&amp;AM$2&amp;$C40):INDIRECT(AM$1&amp;AM$3&amp;$C40))</f>
        <v>0</v>
      </c>
      <c r="AN40" s="2473">
        <f t="shared" ref="AN40:AN54" ca="1" si="56">AL40-AM40</f>
        <v>-4031.786569999982</v>
      </c>
      <c r="AO40" s="2474">
        <f t="shared" ref="AO40:AO54" ca="1" si="57">IFERROR(AL40/AM40,0)</f>
        <v>0</v>
      </c>
      <c r="AP40" s="2058">
        <f ca="1">SUM(INDIRECT(AP$1&amp;AP$2&amp;$A40):INDIRECT(AP$1&amp;AP$3&amp;$A40))+SUM(INDIRECT(AP$1&amp;AP$2&amp;$B40):INDIRECT(AP$1&amp;AP$3&amp;$B40))</f>
        <v>38452</v>
      </c>
      <c r="AQ40" s="2473">
        <f t="shared" ref="AQ40:AQ54" ca="1" si="58">AL40-AP40</f>
        <v>-42483.786569999982</v>
      </c>
      <c r="AR40" s="2474">
        <f t="shared" ref="AR40:AR54" ca="1" si="59">IFERROR(AL40/AP40,0)</f>
        <v>-0.10485245422864824</v>
      </c>
      <c r="AT40" s="2058">
        <f ca="1">SUM((INDIRECT(AT$2&amp;(ROW())):INDIRECT(AT$3&amp;(ROW()))))</f>
        <v>162010.37926000002</v>
      </c>
      <c r="AU40" s="2058">
        <f ca="1">SUM(INDIRECT(AU$1&amp;AU$2&amp;$C40):INDIRECT(AU$1&amp;AU$3&amp;$C40))</f>
        <v>0</v>
      </c>
      <c r="AV40" s="2473">
        <f t="shared" ref="AV40:AV54" ca="1" si="60">AT40-AU40</f>
        <v>162010.37926000002</v>
      </c>
      <c r="AW40" s="2474">
        <f t="shared" ref="AW40:AW54" ca="1" si="61">IFERROR(AT40/AU40,0)</f>
        <v>0</v>
      </c>
      <c r="AX40" s="2058">
        <f ca="1">SUM(INDIRECT(AX$1&amp;AX$2&amp;$A40):INDIRECT(AX$1&amp;AX$3&amp;$A40))+SUM(INDIRECT(AX$1&amp;AX$2&amp;$B40):INDIRECT(AX$1&amp;AX$3&amp;$B40))</f>
        <v>81377</v>
      </c>
      <c r="AY40" s="2473">
        <f t="shared" ref="AY40:AY54" ca="1" si="62">AT40-AX40</f>
        <v>80633.379260000016</v>
      </c>
      <c r="AZ40" s="2474">
        <f t="shared" ref="AZ40:AZ54" ca="1" si="63">IFERROR(AT40/AX40,0)</f>
        <v>1.9908620280914757</v>
      </c>
      <c r="BB40" s="2058">
        <f ca="1">SUM((INDIRECT(BB$2&amp;(ROW())):INDIRECT(BB$3&amp;(ROW()))))</f>
        <v>683894.60895999998</v>
      </c>
      <c r="BC40" s="2058">
        <f ca="1">SUM(INDIRECT(BC$1&amp;BC$2&amp;$C40):INDIRECT(BC$1&amp;BC$3&amp;$C40))</f>
        <v>0</v>
      </c>
      <c r="BD40" s="2473">
        <f t="shared" ref="BD40:BD54" ca="1" si="64">BB40-BC40</f>
        <v>683894.60895999998</v>
      </c>
      <c r="BE40" s="2474">
        <f t="shared" ref="BE40:BE54" ca="1" si="65">IFERROR(BB40/BC40,0)</f>
        <v>0</v>
      </c>
      <c r="BF40" s="2058">
        <f ca="1">SUM(INDIRECT(BF$1&amp;BF$2&amp;$A40):INDIRECT(BF$1&amp;BF$3&amp;$A40))+SUM(INDIRECT(BF$1&amp;BF$2&amp;$B40):INDIRECT(BF$1&amp;BF$3&amp;$B40))</f>
        <v>408165</v>
      </c>
      <c r="BG40" s="2473">
        <f t="shared" ref="BG40:BG54" ca="1" si="66">BB40-BF40</f>
        <v>275729.60895999998</v>
      </c>
      <c r="BH40" s="2474">
        <f t="shared" ref="BH40:BH54" ca="1" si="67">IFERROR(BB40/BF40,0)</f>
        <v>1.6755346709296486</v>
      </c>
    </row>
    <row r="41" spans="1:60" ht="14.5">
      <c r="A41" s="990">
        <f t="shared" si="1"/>
        <v>38</v>
      </c>
      <c r="B41" s="990">
        <v>1</v>
      </c>
      <c r="C41" s="990">
        <f t="shared" si="2"/>
        <v>38</v>
      </c>
      <c r="E41" s="1243">
        <v>1</v>
      </c>
      <c r="I41" s="195"/>
      <c r="J41" s="9" t="s">
        <v>182</v>
      </c>
      <c r="Q41" s="1847" t="str">
        <f>CHOOSE(2, "6722000002960", "SGA Variable Expenses Selling Expenses")</f>
        <v>SGA Variable Expenses Selling Expenses</v>
      </c>
      <c r="R41" s="2103">
        <v>29184</v>
      </c>
      <c r="S41" s="2103">
        <v>18272</v>
      </c>
      <c r="T41" s="2103">
        <v>11408</v>
      </c>
      <c r="U41" s="2103">
        <v>33576</v>
      </c>
      <c r="V41" s="2103">
        <v>38673.368139999999</v>
      </c>
      <c r="W41" s="2103">
        <v>12300.234039999999</v>
      </c>
      <c r="X41" s="2103">
        <v>10235.108050000001</v>
      </c>
      <c r="Y41" s="2103">
        <v>20877.246110000007</v>
      </c>
      <c r="Z41" s="2103">
        <v>34703.553420000004</v>
      </c>
      <c r="AA41" s="2103">
        <v>48987.030589999988</v>
      </c>
      <c r="AB41" s="2103">
        <v>44262.684480000004</v>
      </c>
      <c r="AC41" s="2091">
        <v>-82987.152269999977</v>
      </c>
      <c r="AD41" s="1517">
        <f>SUM(R41,S41,T41)</f>
        <v>58864</v>
      </c>
      <c r="AE41" s="65">
        <f t="shared" ref="AE41:AE43" si="68">SUM(U41,V41,W41)</f>
        <v>84549.602180000002</v>
      </c>
      <c r="AF41" s="65">
        <f t="shared" ref="AF41:AF43" si="69">SUM(X41,Y41,Z41)</f>
        <v>65815.907580000014</v>
      </c>
      <c r="AG41" s="65">
        <f t="shared" ref="AG41:AG43" si="70">SUM(AA41,AB41,AC41)</f>
        <v>10262.562800000014</v>
      </c>
      <c r="AH41" s="65">
        <f>AD41+AE41</f>
        <v>143413.60217999999</v>
      </c>
      <c r="AI41" s="65">
        <f>AG41+AF41</f>
        <v>76078.470380000028</v>
      </c>
      <c r="AJ41" s="65">
        <f>AH41+AI41</f>
        <v>219492.07256</v>
      </c>
      <c r="AL41" s="2081">
        <f ca="1">SUM((INDIRECT(AL$2&amp;(ROW())):INDIRECT(AL$3&amp;(ROW()))))</f>
        <v>-82987.152269999977</v>
      </c>
      <c r="AM41" s="2081">
        <f ca="1">SUM(INDIRECT(AM$1&amp;AM$2&amp;$C41):INDIRECT(AM$1&amp;AM$3&amp;$C41))</f>
        <v>0</v>
      </c>
      <c r="AN41" s="2475">
        <f t="shared" ca="1" si="56"/>
        <v>-82987.152269999977</v>
      </c>
      <c r="AO41" s="2476">
        <f t="shared" ca="1" si="57"/>
        <v>0</v>
      </c>
      <c r="AP41" s="2081">
        <f ca="1">SUM(INDIRECT(AP$1&amp;AP$2&amp;$A41):INDIRECT(AP$1&amp;AP$3&amp;$A41))+SUM(INDIRECT(AP$1&amp;AP$2&amp;$B41):INDIRECT(AP$1&amp;AP$3&amp;$B41))</f>
        <v>153</v>
      </c>
      <c r="AQ41" s="2475">
        <f t="shared" ca="1" si="58"/>
        <v>-83140.152269999977</v>
      </c>
      <c r="AR41" s="2476">
        <f t="shared" ca="1" si="59"/>
        <v>-542.39968803921556</v>
      </c>
      <c r="AT41" s="2081">
        <f ca="1">SUM((INDIRECT(AT$2&amp;(ROW())):INDIRECT(AT$3&amp;(ROW()))))</f>
        <v>10262.562800000014</v>
      </c>
      <c r="AU41" s="2081">
        <f ca="1">SUM(INDIRECT(AU$1&amp;AU$2&amp;$C41):INDIRECT(AU$1&amp;AU$3&amp;$C41))</f>
        <v>0</v>
      </c>
      <c r="AV41" s="2475">
        <f t="shared" ca="1" si="60"/>
        <v>10262.562800000014</v>
      </c>
      <c r="AW41" s="2476">
        <f t="shared" ca="1" si="61"/>
        <v>0</v>
      </c>
      <c r="AX41" s="2081">
        <f ca="1">SUM(INDIRECT(AX$1&amp;AX$2&amp;$A41):INDIRECT(AX$1&amp;AX$3&amp;$A41))+SUM(INDIRECT(AX$1&amp;AX$2&amp;$B41):INDIRECT(AX$1&amp;AX$3&amp;$B41))</f>
        <v>-18753</v>
      </c>
      <c r="AY41" s="2475">
        <f t="shared" ca="1" si="62"/>
        <v>29015.562800000014</v>
      </c>
      <c r="AZ41" s="2476">
        <f t="shared" ca="1" si="63"/>
        <v>-0.54724912280701832</v>
      </c>
      <c r="BB41" s="2081">
        <f ca="1">SUM((INDIRECT(BB$2&amp;(ROW())):INDIRECT(BB$3&amp;(ROW()))))</f>
        <v>219492.07256000006</v>
      </c>
      <c r="BC41" s="2081">
        <f ca="1">SUM(INDIRECT(BC$1&amp;BC$2&amp;$C41):INDIRECT(BC$1&amp;BC$3&amp;$C41))</f>
        <v>0</v>
      </c>
      <c r="BD41" s="2475">
        <f t="shared" ca="1" si="64"/>
        <v>219492.07256000006</v>
      </c>
      <c r="BE41" s="2476">
        <f t="shared" ca="1" si="65"/>
        <v>0</v>
      </c>
      <c r="BF41" s="2081">
        <f ca="1">SUM(INDIRECT(BF$1&amp;BF$2&amp;$A41):INDIRECT(BF$1&amp;BF$3&amp;$A41))+SUM(INDIRECT(BF$1&amp;BF$2&amp;$B41):INDIRECT(BF$1&amp;BF$3&amp;$B41))</f>
        <v>63752</v>
      </c>
      <c r="BG41" s="2475">
        <f t="shared" ca="1" si="66"/>
        <v>155740.07256000006</v>
      </c>
      <c r="BH41" s="2476">
        <f t="shared" ca="1" si="67"/>
        <v>3.4429048901995243</v>
      </c>
    </row>
    <row r="42" spans="1:60" ht="14.5">
      <c r="A42" s="990">
        <f t="shared" si="1"/>
        <v>39</v>
      </c>
      <c r="B42" s="990">
        <v>1</v>
      </c>
      <c r="C42" s="990">
        <f t="shared" si="2"/>
        <v>39</v>
      </c>
      <c r="E42" s="1243">
        <v>1</v>
      </c>
      <c r="I42" s="195"/>
      <c r="J42" s="9" t="s">
        <v>183</v>
      </c>
      <c r="Q42" s="1847" t="str">
        <f>CHOOSE(2, "6722000002961", "SGA Variable Expenses Adverting Expenses")</f>
        <v>SGA Variable Expenses Adverting Expenses</v>
      </c>
      <c r="R42" s="2103">
        <v>3470</v>
      </c>
      <c r="S42" s="2103">
        <v>492</v>
      </c>
      <c r="T42" s="2103">
        <v>3349</v>
      </c>
      <c r="U42" s="2103">
        <v>971</v>
      </c>
      <c r="V42" s="2103">
        <v>754.53</v>
      </c>
      <c r="W42" s="2103">
        <v>2837.98533</v>
      </c>
      <c r="X42" s="2103">
        <v>837.79718000000003</v>
      </c>
      <c r="Y42" s="2103">
        <v>808.55200000000002</v>
      </c>
      <c r="Z42" s="2103">
        <v>2908.43028</v>
      </c>
      <c r="AA42" s="2103">
        <v>1874.3023500000002</v>
      </c>
      <c r="AB42" s="2103">
        <v>849.59840999999994</v>
      </c>
      <c r="AC42" s="2091">
        <v>41904.019930000002</v>
      </c>
      <c r="AD42" s="100">
        <f>SUM(R42,S42,T42)</f>
        <v>7311</v>
      </c>
      <c r="AE42" s="19">
        <f t="shared" si="68"/>
        <v>4563.5153300000002</v>
      </c>
      <c r="AF42" s="19">
        <f t="shared" si="69"/>
        <v>4554.7794599999997</v>
      </c>
      <c r="AG42" s="19">
        <f t="shared" si="70"/>
        <v>44627.920689999999</v>
      </c>
      <c r="AH42" s="19">
        <f>AD42+AE42</f>
        <v>11874.51533</v>
      </c>
      <c r="AI42" s="19">
        <f>AG42+AF42</f>
        <v>49182.700149999997</v>
      </c>
      <c r="AJ42" s="19">
        <f>AH42+AI42</f>
        <v>61057.215479999999</v>
      </c>
      <c r="AL42" s="19">
        <f ca="1">SUM((INDIRECT(AL$2&amp;(ROW())):INDIRECT(AL$3&amp;(ROW()))))</f>
        <v>41904.019930000002</v>
      </c>
      <c r="AM42" s="19">
        <f ca="1">SUM(INDIRECT(AM$1&amp;AM$2&amp;$C42):INDIRECT(AM$1&amp;AM$3&amp;$C42))</f>
        <v>0</v>
      </c>
      <c r="AN42" s="875">
        <f t="shared" ca="1" si="56"/>
        <v>41904.019930000002</v>
      </c>
      <c r="AO42" s="926">
        <f t="shared" ca="1" si="57"/>
        <v>0</v>
      </c>
      <c r="AP42" s="19">
        <f ca="1">SUM(INDIRECT(AP$1&amp;AP$2&amp;$A42):INDIRECT(AP$1&amp;AP$3&amp;$A42))+SUM(INDIRECT(AP$1&amp;AP$2&amp;$B42):INDIRECT(AP$1&amp;AP$3&amp;$B42))</f>
        <v>935</v>
      </c>
      <c r="AQ42" s="875">
        <f t="shared" ca="1" si="58"/>
        <v>40969.019930000002</v>
      </c>
      <c r="AR42" s="926">
        <f t="shared" ca="1" si="59"/>
        <v>44.817133614973265</v>
      </c>
      <c r="AT42" s="19">
        <f ca="1">SUM((INDIRECT(AT$2&amp;(ROW())):INDIRECT(AT$3&amp;(ROW()))))</f>
        <v>44627.920689999999</v>
      </c>
      <c r="AU42" s="19">
        <f ca="1">SUM(INDIRECT(AU$1&amp;AU$2&amp;$C42):INDIRECT(AU$1&amp;AU$3&amp;$C42))</f>
        <v>0</v>
      </c>
      <c r="AV42" s="875">
        <f t="shared" ca="1" si="60"/>
        <v>44627.920689999999</v>
      </c>
      <c r="AW42" s="926">
        <f t="shared" ca="1" si="61"/>
        <v>0</v>
      </c>
      <c r="AX42" s="19">
        <f ca="1">SUM(INDIRECT(AX$1&amp;AX$2&amp;$A42):INDIRECT(AX$1&amp;AX$3&amp;$A42))+SUM(INDIRECT(AX$1&amp;AX$2&amp;$B42):INDIRECT(AX$1&amp;AX$3&amp;$B42))</f>
        <v>1965</v>
      </c>
      <c r="AY42" s="875">
        <f t="shared" ca="1" si="62"/>
        <v>42662.920689999999</v>
      </c>
      <c r="AZ42" s="926">
        <f t="shared" ca="1" si="63"/>
        <v>22.711410020356233</v>
      </c>
      <c r="BB42" s="19">
        <f ca="1">SUM((INDIRECT(BB$2&amp;(ROW())):INDIRECT(BB$3&amp;(ROW()))))</f>
        <v>61057.215479999999</v>
      </c>
      <c r="BC42" s="19">
        <f ca="1">SUM(INDIRECT(BC$1&amp;BC$2&amp;$C42):INDIRECT(BC$1&amp;BC$3&amp;$C42))</f>
        <v>0</v>
      </c>
      <c r="BD42" s="875">
        <f t="shared" ca="1" si="64"/>
        <v>61057.215479999999</v>
      </c>
      <c r="BE42" s="926">
        <f t="shared" ca="1" si="65"/>
        <v>0</v>
      </c>
      <c r="BF42" s="19">
        <f ca="1">SUM(INDIRECT(BF$1&amp;BF$2&amp;$A42):INDIRECT(BF$1&amp;BF$3&amp;$A42))+SUM(INDIRECT(BF$1&amp;BF$2&amp;$B42):INDIRECT(BF$1&amp;BF$3&amp;$B42))</f>
        <v>13005</v>
      </c>
      <c r="BG42" s="875">
        <f t="shared" ca="1" si="66"/>
        <v>48052.215479999999</v>
      </c>
      <c r="BH42" s="926">
        <f t="shared" ca="1" si="67"/>
        <v>4.6949031510957324</v>
      </c>
    </row>
    <row r="43" spans="1:60" ht="14.5">
      <c r="A43" s="990">
        <f t="shared" si="1"/>
        <v>40</v>
      </c>
      <c r="B43" s="990">
        <v>1</v>
      </c>
      <c r="C43" s="990">
        <f t="shared" si="2"/>
        <v>40</v>
      </c>
      <c r="E43" s="1243">
        <v>1</v>
      </c>
      <c r="I43" s="195"/>
      <c r="J43" s="9" t="s">
        <v>184</v>
      </c>
      <c r="Q43" s="1847" t="str">
        <f>CHOOSE(2, "6722000002962", "SGA Variable Expenses Logistics Expense")</f>
        <v>SGA Variable Expenses Logistics Expense</v>
      </c>
      <c r="R43" s="2103">
        <v>29008</v>
      </c>
      <c r="S43" s="2103">
        <v>30769</v>
      </c>
      <c r="T43" s="2103">
        <v>33008</v>
      </c>
      <c r="U43" s="2103">
        <v>33212</v>
      </c>
      <c r="V43" s="2103">
        <v>34304.68</v>
      </c>
      <c r="W43" s="2103">
        <v>35242.9</v>
      </c>
      <c r="X43" s="2103">
        <v>31705.590820000001</v>
      </c>
      <c r="Y43" s="2103">
        <v>33292.834329999991</v>
      </c>
      <c r="Z43" s="2103">
        <v>35682.42</v>
      </c>
      <c r="AA43" s="2103">
        <v>34331.839999999997</v>
      </c>
      <c r="AB43" s="2103">
        <v>35736.71</v>
      </c>
      <c r="AC43" s="2091">
        <v>37051.345769999993</v>
      </c>
      <c r="AD43" s="99">
        <f>SUM(R43,S43,T43)</f>
        <v>92785</v>
      </c>
      <c r="AE43" s="17">
        <f t="shared" si="68"/>
        <v>102759.57999999999</v>
      </c>
      <c r="AF43" s="17">
        <f t="shared" si="69"/>
        <v>100680.84514999999</v>
      </c>
      <c r="AG43" s="17">
        <f t="shared" si="70"/>
        <v>107119.89576999997</v>
      </c>
      <c r="AH43" s="17">
        <f>AD43+AE43</f>
        <v>195544.58</v>
      </c>
      <c r="AI43" s="17">
        <f>AG43+AF43</f>
        <v>207800.74091999995</v>
      </c>
      <c r="AJ43" s="17">
        <f>AH43+AI43</f>
        <v>403345.32091999997</v>
      </c>
      <c r="AL43" s="17">
        <f ca="1">SUM((INDIRECT(AL$2&amp;(ROW())):INDIRECT(AL$3&amp;(ROW()))))</f>
        <v>37051.345769999993</v>
      </c>
      <c r="AM43" s="17">
        <f ca="1">SUM(INDIRECT(AM$1&amp;AM$2&amp;$C43):INDIRECT(AM$1&amp;AM$3&amp;$C43))</f>
        <v>0</v>
      </c>
      <c r="AN43" s="876">
        <f t="shared" ca="1" si="56"/>
        <v>37051.345769999993</v>
      </c>
      <c r="AO43" s="927">
        <f t="shared" ca="1" si="57"/>
        <v>0</v>
      </c>
      <c r="AP43" s="17">
        <f ca="1">SUM(INDIRECT(AP$1&amp;AP$2&amp;$A43):INDIRECT(AP$1&amp;AP$3&amp;$A43))+SUM(INDIRECT(AP$1&amp;AP$2&amp;$B43):INDIRECT(AP$1&amp;AP$3&amp;$B43))</f>
        <v>37364</v>
      </c>
      <c r="AQ43" s="876">
        <f t="shared" ca="1" si="58"/>
        <v>-312.65423000000737</v>
      </c>
      <c r="AR43" s="927">
        <f t="shared" ca="1" si="59"/>
        <v>0.99163220666952123</v>
      </c>
      <c r="AT43" s="17">
        <f ca="1">SUM((INDIRECT(AT$2&amp;(ROW())):INDIRECT(AT$3&amp;(ROW()))))</f>
        <v>107119.89576999997</v>
      </c>
      <c r="AU43" s="17">
        <f ca="1">SUM(INDIRECT(AU$1&amp;AU$2&amp;$C43):INDIRECT(AU$1&amp;AU$3&amp;$C43))</f>
        <v>0</v>
      </c>
      <c r="AV43" s="876">
        <f t="shared" ca="1" si="60"/>
        <v>107119.89576999997</v>
      </c>
      <c r="AW43" s="927">
        <f t="shared" ca="1" si="61"/>
        <v>0</v>
      </c>
      <c r="AX43" s="17">
        <f ca="1">SUM(INDIRECT(AX$1&amp;AX$2&amp;$A43):INDIRECT(AX$1&amp;AX$3&amp;$A43))+SUM(INDIRECT(AX$1&amp;AX$2&amp;$B43):INDIRECT(AX$1&amp;AX$3&amp;$B43))</f>
        <v>98165</v>
      </c>
      <c r="AY43" s="876">
        <f t="shared" ca="1" si="62"/>
        <v>8954.8957699999737</v>
      </c>
      <c r="AZ43" s="927">
        <f t="shared" ca="1" si="63"/>
        <v>1.0912228978760248</v>
      </c>
      <c r="BB43" s="17">
        <f ca="1">SUM((INDIRECT(BB$2&amp;(ROW())):INDIRECT(BB$3&amp;(ROW()))))</f>
        <v>403345.32092000003</v>
      </c>
      <c r="BC43" s="17">
        <f ca="1">SUM(INDIRECT(BC$1&amp;BC$2&amp;$C43):INDIRECT(BC$1&amp;BC$3&amp;$C43))</f>
        <v>0</v>
      </c>
      <c r="BD43" s="876">
        <f t="shared" ca="1" si="64"/>
        <v>403345.32092000003</v>
      </c>
      <c r="BE43" s="927">
        <f t="shared" ca="1" si="65"/>
        <v>0</v>
      </c>
      <c r="BF43" s="17">
        <f ca="1">SUM(INDIRECT(BF$1&amp;BF$2&amp;$A43):INDIRECT(BF$1&amp;BF$3&amp;$A43))+SUM(INDIRECT(BF$1&amp;BF$2&amp;$B43):INDIRECT(BF$1&amp;BF$3&amp;$B43))</f>
        <v>331408</v>
      </c>
      <c r="BG43" s="876">
        <f t="shared" ca="1" si="66"/>
        <v>71937.320920000027</v>
      </c>
      <c r="BH43" s="927">
        <f t="shared" ca="1" si="67"/>
        <v>1.2170657344421378</v>
      </c>
    </row>
    <row r="44" spans="1:60" ht="14.5">
      <c r="A44" s="990">
        <f t="shared" si="1"/>
        <v>41</v>
      </c>
      <c r="B44" s="990">
        <v>1</v>
      </c>
      <c r="C44" s="990">
        <f t="shared" si="2"/>
        <v>41</v>
      </c>
      <c r="E44" s="1243">
        <v>1</v>
      </c>
      <c r="I44" s="164" t="s">
        <v>171</v>
      </c>
      <c r="J44" s="22"/>
      <c r="K44" s="21"/>
      <c r="L44" s="21"/>
      <c r="M44" s="22"/>
      <c r="N44" s="22"/>
      <c r="O44" s="22"/>
      <c r="P44" s="303"/>
      <c r="Q44" s="1843" t="str">
        <f>CHOOSE(2, "6722000002963", "SGA Wages &amp; Salaries")</f>
        <v>SGA Wages &amp; Salaries</v>
      </c>
      <c r="R44" s="2203">
        <f>SUM(R45:R47)</f>
        <v>57774</v>
      </c>
      <c r="S44" s="2203">
        <f t="shared" ref="S44:AC44" si="71">SUM(S45:S47)</f>
        <v>56593</v>
      </c>
      <c r="T44" s="2203">
        <f t="shared" si="71"/>
        <v>57778.432999999997</v>
      </c>
      <c r="U44" s="2203">
        <f t="shared" si="71"/>
        <v>54815.107739999999</v>
      </c>
      <c r="V44" s="2203">
        <f t="shared" si="71"/>
        <v>57126.27</v>
      </c>
      <c r="W44" s="2203">
        <f t="shared" si="71"/>
        <v>61330.030000000006</v>
      </c>
      <c r="X44" s="2203">
        <f t="shared" si="71"/>
        <v>88176.45</v>
      </c>
      <c r="Y44" s="2203">
        <f t="shared" si="71"/>
        <v>66066.114000000001</v>
      </c>
      <c r="Z44" s="2203">
        <f t="shared" si="71"/>
        <v>68140.902099999992</v>
      </c>
      <c r="AA44" s="2203">
        <f t="shared" si="71"/>
        <v>65666.001000000004</v>
      </c>
      <c r="AB44" s="2203">
        <f t="shared" si="71"/>
        <v>63322.265999999996</v>
      </c>
      <c r="AC44" s="2058">
        <f t="shared" si="71"/>
        <v>55750.8968456277</v>
      </c>
      <c r="AD44" s="1516">
        <f t="shared" ref="AD44:AJ44" si="72">SUM(AD45:AD47)</f>
        <v>172145.43299999999</v>
      </c>
      <c r="AE44" s="20">
        <f t="shared" si="72"/>
        <v>173271.40774</v>
      </c>
      <c r="AF44" s="20">
        <f t="shared" si="72"/>
        <v>222383.46609999999</v>
      </c>
      <c r="AG44" s="20">
        <f t="shared" si="72"/>
        <v>184739.16384562771</v>
      </c>
      <c r="AH44" s="20">
        <f t="shared" si="72"/>
        <v>345416.84074000001</v>
      </c>
      <c r="AI44" s="20">
        <f t="shared" si="72"/>
        <v>407122.6299456277</v>
      </c>
      <c r="AJ44" s="20">
        <f t="shared" si="72"/>
        <v>752539.47068562778</v>
      </c>
      <c r="AL44" s="2058">
        <f ca="1">SUM((INDIRECT(AL$2&amp;(ROW())):INDIRECT(AL$3&amp;(ROW()))))</f>
        <v>55750.8968456277</v>
      </c>
      <c r="AM44" s="2058">
        <f ca="1">SUM(INDIRECT(AM$1&amp;AM$2&amp;$C44):INDIRECT(AM$1&amp;AM$3&amp;$C44))</f>
        <v>0</v>
      </c>
      <c r="AN44" s="2473">
        <f t="shared" ca="1" si="56"/>
        <v>55750.8968456277</v>
      </c>
      <c r="AO44" s="2474">
        <f t="shared" ca="1" si="57"/>
        <v>0</v>
      </c>
      <c r="AP44" s="2058">
        <f ca="1">SUM(INDIRECT(AP$1&amp;AP$2&amp;$A44):INDIRECT(AP$1&amp;AP$3&amp;$A44))+SUM(INDIRECT(AP$1&amp;AP$2&amp;$B44):INDIRECT(AP$1&amp;AP$3&amp;$B44))</f>
        <v>68997</v>
      </c>
      <c r="AQ44" s="2473">
        <f t="shared" ca="1" si="58"/>
        <v>-13246.1031543723</v>
      </c>
      <c r="AR44" s="2474">
        <f t="shared" ca="1" si="59"/>
        <v>0.80801914352258364</v>
      </c>
      <c r="AT44" s="2058">
        <f ca="1">SUM((INDIRECT(AT$2&amp;(ROW())):INDIRECT(AT$3&amp;(ROW()))))</f>
        <v>184739.16384562769</v>
      </c>
      <c r="AU44" s="2058">
        <f ca="1">SUM(INDIRECT(AU$1&amp;AU$2&amp;$C44):INDIRECT(AU$1&amp;AU$3&amp;$C44))</f>
        <v>0</v>
      </c>
      <c r="AV44" s="2473">
        <f t="shared" ca="1" si="60"/>
        <v>184739.16384562769</v>
      </c>
      <c r="AW44" s="2474">
        <f t="shared" ca="1" si="61"/>
        <v>0</v>
      </c>
      <c r="AX44" s="2058">
        <f ca="1">SUM(INDIRECT(AX$1&amp;AX$2&amp;$A44):INDIRECT(AX$1&amp;AX$3&amp;$A44))+SUM(INDIRECT(AX$1&amp;AX$2&amp;$B44):INDIRECT(AX$1&amp;AX$3&amp;$B44))</f>
        <v>195493</v>
      </c>
      <c r="AY44" s="2473">
        <f t="shared" ca="1" si="62"/>
        <v>-10753.836154372315</v>
      </c>
      <c r="AZ44" s="2474">
        <f t="shared" ca="1" si="63"/>
        <v>0.94499119582607916</v>
      </c>
      <c r="BB44" s="2058">
        <f ca="1">SUM((INDIRECT(BB$2&amp;(ROW())):INDIRECT(BB$3&amp;(ROW()))))</f>
        <v>752539.47068562766</v>
      </c>
      <c r="BC44" s="2058">
        <f ca="1">SUM(INDIRECT(BC$1&amp;BC$2&amp;$C44):INDIRECT(BC$1&amp;BC$3&amp;$C44))</f>
        <v>0</v>
      </c>
      <c r="BD44" s="2473">
        <f t="shared" ca="1" si="64"/>
        <v>752539.47068562766</v>
      </c>
      <c r="BE44" s="2474">
        <f t="shared" ca="1" si="65"/>
        <v>0</v>
      </c>
      <c r="BF44" s="2058">
        <f ca="1">SUM(INDIRECT(BF$1&amp;BF$2&amp;$A44):INDIRECT(BF$1&amp;BF$3&amp;$A44))+SUM(INDIRECT(BF$1&amp;BF$2&amp;$B44):INDIRECT(BF$1&amp;BF$3&amp;$B44))</f>
        <v>660760</v>
      </c>
      <c r="BG44" s="2473">
        <f t="shared" ca="1" si="66"/>
        <v>91779.470685627661</v>
      </c>
      <c r="BH44" s="2474">
        <f t="shared" ca="1" si="67"/>
        <v>1.1388998587772075</v>
      </c>
    </row>
    <row r="45" spans="1:60" ht="14.5">
      <c r="A45" s="990">
        <f t="shared" si="1"/>
        <v>42</v>
      </c>
      <c r="B45" s="990">
        <v>1</v>
      </c>
      <c r="C45" s="990">
        <f t="shared" si="2"/>
        <v>42</v>
      </c>
      <c r="E45" s="1243">
        <v>1</v>
      </c>
      <c r="I45" s="61"/>
      <c r="J45" s="9" t="s">
        <v>185</v>
      </c>
      <c r="Q45" s="1847" t="str">
        <f>CHOOSE(2, "6722000002964", "SGA Wages &amp; Salaries Variable Wages &amp; Salaries")</f>
        <v>SGA Wages &amp; Salaries Variable Wages &amp; Salaries</v>
      </c>
      <c r="R45" s="2103">
        <v>8793</v>
      </c>
      <c r="S45" s="2103">
        <v>6367</v>
      </c>
      <c r="T45" s="2103">
        <v>6645</v>
      </c>
      <c r="U45" s="2103">
        <v>5943</v>
      </c>
      <c r="V45" s="2103">
        <v>6480.5280000000002</v>
      </c>
      <c r="W45" s="2103">
        <v>6570.7890000000007</v>
      </c>
      <c r="X45" s="2103">
        <v>33442</v>
      </c>
      <c r="Y45" s="2103">
        <f>6637+8000</f>
        <v>14637</v>
      </c>
      <c r="Z45" s="2103">
        <v>12070.271999999999</v>
      </c>
      <c r="AA45" s="2103">
        <v>12883.630999999999</v>
      </c>
      <c r="AB45" s="2103">
        <v>10076.630999999999</v>
      </c>
      <c r="AC45" s="2091">
        <v>-1428.0319999999999</v>
      </c>
      <c r="AD45" s="1517">
        <f>SUM(R45,S45,T45)</f>
        <v>21805</v>
      </c>
      <c r="AE45" s="65">
        <f t="shared" ref="AE45:AE47" si="73">SUM(U45,V45,W45)</f>
        <v>18994.317000000003</v>
      </c>
      <c r="AF45" s="65">
        <f t="shared" ref="AF45:AF47" si="74">SUM(X45,Y45,Z45)</f>
        <v>60149.271999999997</v>
      </c>
      <c r="AG45" s="65">
        <f t="shared" ref="AG45:AG47" si="75">SUM(AA45,AB45,AC45)</f>
        <v>21532.23</v>
      </c>
      <c r="AH45" s="65">
        <f>AD45+AE45</f>
        <v>40799.317000000003</v>
      </c>
      <c r="AI45" s="65">
        <f>AG45+AF45</f>
        <v>81681.501999999993</v>
      </c>
      <c r="AJ45" s="65">
        <f>AH45+AI45</f>
        <v>122480.81899999999</v>
      </c>
      <c r="AL45" s="2081">
        <f ca="1">SUM((INDIRECT(AL$2&amp;(ROW())):INDIRECT(AL$3&amp;(ROW()))))</f>
        <v>-1428.0319999999999</v>
      </c>
      <c r="AM45" s="2081">
        <f ca="1">SUM(INDIRECT(AM$1&amp;AM$2&amp;$C45):INDIRECT(AM$1&amp;AM$3&amp;$C45))</f>
        <v>0</v>
      </c>
      <c r="AN45" s="2475">
        <f t="shared" ca="1" si="56"/>
        <v>-1428.0319999999999</v>
      </c>
      <c r="AO45" s="2476">
        <f t="shared" ca="1" si="57"/>
        <v>0</v>
      </c>
      <c r="AP45" s="2081">
        <f ca="1">SUM(INDIRECT(AP$1&amp;AP$2&amp;$A45):INDIRECT(AP$1&amp;AP$3&amp;$A45))+SUM(INDIRECT(AP$1&amp;AP$2&amp;$B45):INDIRECT(AP$1&amp;AP$3&amp;$B45))</f>
        <v>9481</v>
      </c>
      <c r="AQ45" s="2475">
        <f t="shared" ca="1" si="58"/>
        <v>-10909.031999999999</v>
      </c>
      <c r="AR45" s="2476">
        <f t="shared" ca="1" si="59"/>
        <v>-0.15062039869212107</v>
      </c>
      <c r="AT45" s="2081">
        <f ca="1">SUM((INDIRECT(AT$2&amp;(ROW())):INDIRECT(AT$3&amp;(ROW()))))</f>
        <v>21532.23</v>
      </c>
      <c r="AU45" s="2081">
        <f ca="1">SUM(INDIRECT(AU$1&amp;AU$2&amp;$C45):INDIRECT(AU$1&amp;AU$3&amp;$C45))</f>
        <v>0</v>
      </c>
      <c r="AV45" s="2475">
        <f t="shared" ca="1" si="60"/>
        <v>21532.23</v>
      </c>
      <c r="AW45" s="2476">
        <f t="shared" ca="1" si="61"/>
        <v>0</v>
      </c>
      <c r="AX45" s="2081">
        <f ca="1">SUM(INDIRECT(AX$1&amp;AX$2&amp;$A45):INDIRECT(AX$1&amp;AX$3&amp;$A45))+SUM(INDIRECT(AX$1&amp;AX$2&amp;$B45):INDIRECT(AX$1&amp;AX$3&amp;$B45))</f>
        <v>30955.800000000003</v>
      </c>
      <c r="AY45" s="2475">
        <f t="shared" ca="1" si="62"/>
        <v>-9423.5700000000033</v>
      </c>
      <c r="AZ45" s="2476">
        <f t="shared" ca="1" si="63"/>
        <v>0.69557982672067908</v>
      </c>
      <c r="BB45" s="2081">
        <f ca="1">SUM((INDIRECT(BB$2&amp;(ROW())):INDIRECT(BB$3&amp;(ROW()))))</f>
        <v>122480.81899999997</v>
      </c>
      <c r="BC45" s="2081">
        <f ca="1">SUM(INDIRECT(BC$1&amp;BC$2&amp;$C45):INDIRECT(BC$1&amp;BC$3&amp;$C45))</f>
        <v>0</v>
      </c>
      <c r="BD45" s="2475">
        <f t="shared" ca="1" si="64"/>
        <v>122480.81899999997</v>
      </c>
      <c r="BE45" s="2476">
        <f t="shared" ca="1" si="65"/>
        <v>0</v>
      </c>
      <c r="BF45" s="2081">
        <f ca="1">SUM(INDIRECT(BF$1&amp;BF$2&amp;$A45):INDIRECT(BF$1&amp;BF$3&amp;$A45))+SUM(INDIRECT(BF$1&amp;BF$2&amp;$B45):INDIRECT(BF$1&amp;BF$3&amp;$B45))</f>
        <v>102186.8</v>
      </c>
      <c r="BG45" s="2475">
        <f t="shared" ca="1" si="66"/>
        <v>20294.018999999971</v>
      </c>
      <c r="BH45" s="2476">
        <f t="shared" ca="1" si="67"/>
        <v>1.1985972650087875</v>
      </c>
    </row>
    <row r="46" spans="1:60" ht="14.5">
      <c r="A46" s="990">
        <f t="shared" ref="A46:A78" si="76">ROW()-3</f>
        <v>43</v>
      </c>
      <c r="B46" s="990">
        <v>1</v>
      </c>
      <c r="C46" s="990">
        <f t="shared" si="2"/>
        <v>43</v>
      </c>
      <c r="E46" s="1243">
        <v>1</v>
      </c>
      <c r="I46" s="195"/>
      <c r="J46" s="9" t="s">
        <v>186</v>
      </c>
      <c r="Q46" s="1847" t="str">
        <f>CHOOSE(2, "6722000002965", "SGA Wages &amp; Salaries Fixed Wages &amp; Salaries")</f>
        <v>SGA Wages &amp; Salaries Fixed Wages &amp; Salaries</v>
      </c>
      <c r="R46" s="2103">
        <v>45396</v>
      </c>
      <c r="S46" s="2103">
        <v>46738</v>
      </c>
      <c r="T46" s="2103">
        <v>47639.432999999997</v>
      </c>
      <c r="U46" s="2103">
        <v>47018.107739999999</v>
      </c>
      <c r="V46" s="2103">
        <v>47650.031999999999</v>
      </c>
      <c r="W46" s="2103">
        <v>51772.481</v>
      </c>
      <c r="X46" s="2103">
        <v>51362</v>
      </c>
      <c r="Y46" s="2103">
        <v>48339</v>
      </c>
      <c r="Z46" s="2103">
        <v>52987.470099999999</v>
      </c>
      <c r="AA46" s="2103">
        <v>49685</v>
      </c>
      <c r="AB46" s="2103">
        <v>50082.27</v>
      </c>
      <c r="AC46" s="2091">
        <v>57145.0748456277</v>
      </c>
      <c r="AD46" s="100">
        <f>SUM(R46,S46,T46)</f>
        <v>139773.43299999999</v>
      </c>
      <c r="AE46" s="19">
        <f t="shared" si="73"/>
        <v>146440.62073999998</v>
      </c>
      <c r="AF46" s="19">
        <f t="shared" si="74"/>
        <v>152688.47010000001</v>
      </c>
      <c r="AG46" s="19">
        <f t="shared" si="75"/>
        <v>156912.3448456277</v>
      </c>
      <c r="AH46" s="19">
        <f>AD46+AE46</f>
        <v>286214.05374</v>
      </c>
      <c r="AI46" s="19">
        <f>AG46+AF46</f>
        <v>309600.8149456277</v>
      </c>
      <c r="AJ46" s="19">
        <f>AH46+AI46</f>
        <v>595814.86868562771</v>
      </c>
      <c r="AL46" s="19">
        <f ca="1">SUM((INDIRECT(AL$2&amp;(ROW())):INDIRECT(AL$3&amp;(ROW()))))</f>
        <v>57145.0748456277</v>
      </c>
      <c r="AM46" s="19">
        <f ca="1">SUM(INDIRECT(AM$1&amp;AM$2&amp;$C46):INDIRECT(AM$1&amp;AM$3&amp;$C46))</f>
        <v>0</v>
      </c>
      <c r="AN46" s="875">
        <f t="shared" ca="1" si="56"/>
        <v>57145.0748456277</v>
      </c>
      <c r="AO46" s="926">
        <f t="shared" ca="1" si="57"/>
        <v>0</v>
      </c>
      <c r="AP46" s="19">
        <f ca="1">SUM(INDIRECT(AP$1&amp;AP$2&amp;$A46):INDIRECT(AP$1&amp;AP$3&amp;$A46))+SUM(INDIRECT(AP$1&amp;AP$2&amp;$B46):INDIRECT(AP$1&amp;AP$3&amp;$B46))</f>
        <v>59516</v>
      </c>
      <c r="AQ46" s="875">
        <f t="shared" ca="1" si="58"/>
        <v>-2370.9251543723003</v>
      </c>
      <c r="AR46" s="926">
        <f t="shared" ca="1" si="59"/>
        <v>0.96016323082242927</v>
      </c>
      <c r="AT46" s="19">
        <f ca="1">SUM((INDIRECT(AT$2&amp;(ROW())):INDIRECT(AT$3&amp;(ROW()))))</f>
        <v>156912.3448456277</v>
      </c>
      <c r="AU46" s="19">
        <f ca="1">SUM(INDIRECT(AU$1&amp;AU$2&amp;$C46):INDIRECT(AU$1&amp;AU$3&amp;$C46))</f>
        <v>0</v>
      </c>
      <c r="AV46" s="875">
        <f t="shared" ca="1" si="60"/>
        <v>156912.3448456277</v>
      </c>
      <c r="AW46" s="926">
        <f t="shared" ca="1" si="61"/>
        <v>0</v>
      </c>
      <c r="AX46" s="19">
        <f ca="1">SUM(INDIRECT(AX$1&amp;AX$2&amp;$A46):INDIRECT(AX$1&amp;AX$3&amp;$A46))+SUM(INDIRECT(AX$1&amp;AX$2&amp;$B46):INDIRECT(AX$1&amp;AX$3&amp;$B46))</f>
        <v>164537.20000000001</v>
      </c>
      <c r="AY46" s="875">
        <f t="shared" ca="1" si="62"/>
        <v>-7624.8551543723152</v>
      </c>
      <c r="AZ46" s="926">
        <f t="shared" ca="1" si="63"/>
        <v>0.95365877652973119</v>
      </c>
      <c r="BB46" s="19">
        <f ca="1">SUM((INDIRECT(BB$2&amp;(ROW())):INDIRECT(BB$3&amp;(ROW()))))</f>
        <v>595814.86868562759</v>
      </c>
      <c r="BC46" s="19">
        <f ca="1">SUM(INDIRECT(BC$1&amp;BC$2&amp;$C46):INDIRECT(BC$1&amp;BC$3&amp;$C46))</f>
        <v>0</v>
      </c>
      <c r="BD46" s="875">
        <f t="shared" ca="1" si="64"/>
        <v>595814.86868562759</v>
      </c>
      <c r="BE46" s="926">
        <f t="shared" ca="1" si="65"/>
        <v>0</v>
      </c>
      <c r="BF46" s="19">
        <f ca="1">SUM(INDIRECT(BF$1&amp;BF$2&amp;$A46):INDIRECT(BF$1&amp;BF$3&amp;$A46))+SUM(INDIRECT(BF$1&amp;BF$2&amp;$B46):INDIRECT(BF$1&amp;BF$3&amp;$B46))</f>
        <v>558573.19999999995</v>
      </c>
      <c r="BG46" s="875">
        <f t="shared" ca="1" si="66"/>
        <v>37241.668685627636</v>
      </c>
      <c r="BH46" s="926">
        <f t="shared" ca="1" si="67"/>
        <v>1.0666728526997493</v>
      </c>
    </row>
    <row r="47" spans="1:60" ht="14.5">
      <c r="A47" s="990">
        <f t="shared" si="76"/>
        <v>44</v>
      </c>
      <c r="B47" s="990">
        <v>1</v>
      </c>
      <c r="C47" s="990">
        <f t="shared" si="2"/>
        <v>44</v>
      </c>
      <c r="E47" s="1243">
        <v>1</v>
      </c>
      <c r="I47" s="194"/>
      <c r="J47" s="12" t="s">
        <v>187</v>
      </c>
      <c r="K47" s="18"/>
      <c r="L47" s="18"/>
      <c r="M47" s="12"/>
      <c r="N47" s="12"/>
      <c r="O47" s="12"/>
      <c r="P47" s="12"/>
      <c r="Q47" s="1847" t="str">
        <f>CHOOSE(2, "6722000002966", "SGA Wages &amp; Salaries Retirement Benefit Cost")</f>
        <v>SGA Wages &amp; Salaries Retirement Benefit Cost</v>
      </c>
      <c r="R47" s="2103">
        <v>3585</v>
      </c>
      <c r="S47" s="2103">
        <v>3488</v>
      </c>
      <c r="T47" s="2103">
        <v>3494</v>
      </c>
      <c r="U47" s="2103">
        <v>1854</v>
      </c>
      <c r="V47" s="2103">
        <v>2995.71</v>
      </c>
      <c r="W47" s="2103">
        <v>2986.76</v>
      </c>
      <c r="X47" s="2103">
        <v>3372.45</v>
      </c>
      <c r="Y47" s="2103">
        <v>3090.114</v>
      </c>
      <c r="Z47" s="2103">
        <v>3083.16</v>
      </c>
      <c r="AA47" s="2103">
        <v>3097.37</v>
      </c>
      <c r="AB47" s="2103">
        <v>3163.3649999999998</v>
      </c>
      <c r="AC47" s="2091">
        <v>33.854000000000042</v>
      </c>
      <c r="AD47" s="99">
        <f>SUM(R47,S47,T47)</f>
        <v>10567</v>
      </c>
      <c r="AE47" s="17">
        <f t="shared" si="73"/>
        <v>7836.47</v>
      </c>
      <c r="AF47" s="17">
        <f t="shared" si="74"/>
        <v>9545.7240000000002</v>
      </c>
      <c r="AG47" s="17">
        <f t="shared" si="75"/>
        <v>6294.5889999999999</v>
      </c>
      <c r="AH47" s="17">
        <f>AD47+AE47</f>
        <v>18403.47</v>
      </c>
      <c r="AI47" s="17">
        <f>AG47+AF47</f>
        <v>15840.313</v>
      </c>
      <c r="AJ47" s="17">
        <f>AH47+AI47</f>
        <v>34243.783000000003</v>
      </c>
      <c r="AL47" s="17">
        <f ca="1">SUM((INDIRECT(AL$2&amp;(ROW())):INDIRECT(AL$3&amp;(ROW()))))</f>
        <v>33.854000000000042</v>
      </c>
      <c r="AM47" s="17">
        <f ca="1">SUM(INDIRECT(AM$1&amp;AM$2&amp;$C47):INDIRECT(AM$1&amp;AM$3&amp;$C47))</f>
        <v>0</v>
      </c>
      <c r="AN47" s="876">
        <f t="shared" ca="1" si="56"/>
        <v>33.854000000000042</v>
      </c>
      <c r="AO47" s="927">
        <f t="shared" ca="1" si="57"/>
        <v>0</v>
      </c>
      <c r="AP47" s="17">
        <f ca="1">SUM(INDIRECT(AP$1&amp;AP$2&amp;$A47):INDIRECT(AP$1&amp;AP$3&amp;$A47))+SUM(INDIRECT(AP$1&amp;AP$2&amp;$B47):INDIRECT(AP$1&amp;AP$3&amp;$B47))</f>
        <v>0</v>
      </c>
      <c r="AQ47" s="876">
        <f t="shared" ca="1" si="58"/>
        <v>33.854000000000042</v>
      </c>
      <c r="AR47" s="927">
        <f t="shared" ca="1" si="59"/>
        <v>0</v>
      </c>
      <c r="AT47" s="17">
        <f ca="1">SUM((INDIRECT(AT$2&amp;(ROW())):INDIRECT(AT$3&amp;(ROW()))))</f>
        <v>6294.5889999999999</v>
      </c>
      <c r="AU47" s="17">
        <f ca="1">SUM(INDIRECT(AU$1&amp;AU$2&amp;$C47):INDIRECT(AU$1&amp;AU$3&amp;$C47))</f>
        <v>0</v>
      </c>
      <c r="AV47" s="876">
        <f t="shared" ca="1" si="60"/>
        <v>6294.5889999999999</v>
      </c>
      <c r="AW47" s="927">
        <f t="shared" ca="1" si="61"/>
        <v>0</v>
      </c>
      <c r="AX47" s="17">
        <f ca="1">SUM(INDIRECT(AX$1&amp;AX$2&amp;$A47):INDIRECT(AX$1&amp;AX$3&amp;$A47))+SUM(INDIRECT(AX$1&amp;AX$2&amp;$B47):INDIRECT(AX$1&amp;AX$3&amp;$B47))</f>
        <v>0</v>
      </c>
      <c r="AY47" s="876">
        <f t="shared" ca="1" si="62"/>
        <v>6294.5889999999999</v>
      </c>
      <c r="AZ47" s="927">
        <f t="shared" ca="1" si="63"/>
        <v>0</v>
      </c>
      <c r="BB47" s="17">
        <f ca="1">SUM((INDIRECT(BB$2&amp;(ROW())):INDIRECT(BB$3&amp;(ROW()))))</f>
        <v>34243.783000000003</v>
      </c>
      <c r="BC47" s="17">
        <f ca="1">SUM(INDIRECT(BC$1&amp;BC$2&amp;$C47):INDIRECT(BC$1&amp;BC$3&amp;$C47))</f>
        <v>0</v>
      </c>
      <c r="BD47" s="876">
        <f t="shared" ca="1" si="64"/>
        <v>34243.783000000003</v>
      </c>
      <c r="BE47" s="927">
        <f t="shared" ca="1" si="65"/>
        <v>0</v>
      </c>
      <c r="BF47" s="17">
        <f ca="1">SUM(INDIRECT(BF$1&amp;BF$2&amp;$A47):INDIRECT(BF$1&amp;BF$3&amp;$A47))+SUM(INDIRECT(BF$1&amp;BF$2&amp;$B47):INDIRECT(BF$1&amp;BF$3&amp;$B47))</f>
        <v>0</v>
      </c>
      <c r="BG47" s="876">
        <f t="shared" ca="1" si="66"/>
        <v>34243.783000000003</v>
      </c>
      <c r="BH47" s="927">
        <f t="shared" ca="1" si="67"/>
        <v>0</v>
      </c>
    </row>
    <row r="48" spans="1:60" ht="14.5">
      <c r="A48" s="990">
        <f t="shared" si="76"/>
        <v>45</v>
      </c>
      <c r="B48" s="990">
        <v>1</v>
      </c>
      <c r="C48" s="990">
        <f t="shared" si="2"/>
        <v>45</v>
      </c>
      <c r="E48" s="1243">
        <v>1</v>
      </c>
      <c r="I48" s="288" t="s">
        <v>142</v>
      </c>
      <c r="J48" s="22"/>
      <c r="K48" s="21"/>
      <c r="L48" s="21"/>
      <c r="M48" s="22"/>
      <c r="N48" s="22"/>
      <c r="O48" s="22"/>
      <c r="P48" s="303"/>
      <c r="Q48" s="1843" t="str">
        <f>CHOOSE(2, "6722000002967", "SGA Fixed Expenses")</f>
        <v>SGA Fixed Expenses</v>
      </c>
      <c r="R48" s="2203">
        <f>SUM(R49:R54)</f>
        <v>43777</v>
      </c>
      <c r="S48" s="2203">
        <f t="shared" ref="S48:AC48" si="77">SUM(S49:S54)</f>
        <v>47088</v>
      </c>
      <c r="T48" s="2203">
        <f t="shared" si="77"/>
        <v>63240</v>
      </c>
      <c r="U48" s="2203">
        <f t="shared" si="77"/>
        <v>47199</v>
      </c>
      <c r="V48" s="2203">
        <f t="shared" si="77"/>
        <v>62097.289520000013</v>
      </c>
      <c r="W48" s="2203">
        <f t="shared" si="77"/>
        <v>18762.187455808104</v>
      </c>
      <c r="X48" s="2203">
        <f t="shared" si="77"/>
        <v>86126.584520000004</v>
      </c>
      <c r="Y48" s="2203">
        <f t="shared" si="77"/>
        <v>54209.711240000019</v>
      </c>
      <c r="Z48" s="2203">
        <f t="shared" si="77"/>
        <v>48065.846520000006</v>
      </c>
      <c r="AA48" s="2203">
        <f t="shared" si="77"/>
        <v>71399.724520000018</v>
      </c>
      <c r="AB48" s="2203">
        <f t="shared" si="77"/>
        <v>28471.942510000066</v>
      </c>
      <c r="AC48" s="2058">
        <f t="shared" si="77"/>
        <v>70649.737239999973</v>
      </c>
      <c r="AD48" s="1516">
        <f t="shared" ref="AD48:AJ48" si="78">SUM(AD49:AD54)</f>
        <v>154105</v>
      </c>
      <c r="AE48" s="20">
        <f t="shared" si="78"/>
        <v>128058.47697580812</v>
      </c>
      <c r="AF48" s="20">
        <f t="shared" si="78"/>
        <v>188402.14228000003</v>
      </c>
      <c r="AG48" s="20">
        <f t="shared" si="78"/>
        <v>170521.40427000006</v>
      </c>
      <c r="AH48" s="20">
        <f t="shared" si="78"/>
        <v>282163.47697580809</v>
      </c>
      <c r="AI48" s="20">
        <f t="shared" si="78"/>
        <v>358923.54655000009</v>
      </c>
      <c r="AJ48" s="20">
        <f t="shared" si="78"/>
        <v>641087.02352580824</v>
      </c>
      <c r="AL48" s="2058">
        <f ca="1">SUM((INDIRECT(AL$2&amp;(ROW())):INDIRECT(AL$3&amp;(ROW()))))</f>
        <v>70649.737239999973</v>
      </c>
      <c r="AM48" s="2058">
        <f ca="1">SUM(INDIRECT(AM$1&amp;AM$2&amp;$C48):INDIRECT(AM$1&amp;AM$3&amp;$C48))</f>
        <v>0</v>
      </c>
      <c r="AN48" s="2473">
        <f t="shared" ca="1" si="56"/>
        <v>70649.737239999973</v>
      </c>
      <c r="AO48" s="2474">
        <f t="shared" ca="1" si="57"/>
        <v>0</v>
      </c>
      <c r="AP48" s="2058">
        <f ca="1">SUM(INDIRECT(AP$1&amp;AP$2&amp;$A48):INDIRECT(AP$1&amp;AP$3&amp;$A48))+SUM(INDIRECT(AP$1&amp;AP$2&amp;$B48):INDIRECT(AP$1&amp;AP$3&amp;$B48))</f>
        <v>93349</v>
      </c>
      <c r="AQ48" s="2473">
        <f t="shared" ca="1" si="58"/>
        <v>-22699.262760000027</v>
      </c>
      <c r="AR48" s="2474">
        <f t="shared" ca="1" si="59"/>
        <v>0.75683443036347442</v>
      </c>
      <c r="AT48" s="2058">
        <f ca="1">SUM((INDIRECT(AT$2&amp;(ROW())):INDIRECT(AT$3&amp;(ROW()))))</f>
        <v>170521.40427000006</v>
      </c>
      <c r="AU48" s="2058">
        <f ca="1">SUM(INDIRECT(AU$1&amp;AU$2&amp;$C48):INDIRECT(AU$1&amp;AU$3&amp;$C48))</f>
        <v>0</v>
      </c>
      <c r="AV48" s="2473">
        <f t="shared" ca="1" si="60"/>
        <v>170521.40427000006</v>
      </c>
      <c r="AW48" s="2474">
        <f t="shared" ca="1" si="61"/>
        <v>0</v>
      </c>
      <c r="AX48" s="2058">
        <f ca="1">SUM(INDIRECT(AX$1&amp;AX$2&amp;$A48):INDIRECT(AX$1&amp;AX$3&amp;$A48))+SUM(INDIRECT(AX$1&amp;AX$2&amp;$B48):INDIRECT(AX$1&amp;AX$3&amp;$B48))</f>
        <v>152715</v>
      </c>
      <c r="AY48" s="2473">
        <f t="shared" ca="1" si="62"/>
        <v>17806.404270000057</v>
      </c>
      <c r="AZ48" s="2474">
        <f t="shared" ca="1" si="63"/>
        <v>1.1165989213240353</v>
      </c>
      <c r="BB48" s="2058">
        <f ca="1">SUM((INDIRECT(BB$2&amp;(ROW())):INDIRECT(BB$3&amp;(ROW()))))</f>
        <v>641087.02352580812</v>
      </c>
      <c r="BC48" s="2058">
        <f ca="1">SUM(INDIRECT(BC$1&amp;BC$2&amp;$C48):INDIRECT(BC$1&amp;BC$3&amp;$C48))</f>
        <v>0</v>
      </c>
      <c r="BD48" s="2473">
        <f t="shared" ca="1" si="64"/>
        <v>641087.02352580812</v>
      </c>
      <c r="BE48" s="2474">
        <f t="shared" ca="1" si="65"/>
        <v>0</v>
      </c>
      <c r="BF48" s="2058">
        <f ca="1">SUM(INDIRECT(BF$1&amp;BF$2&amp;$A48):INDIRECT(BF$1&amp;BF$3&amp;$A48))+SUM(INDIRECT(BF$1&amp;BF$2&amp;$B48):INDIRECT(BF$1&amp;BF$3&amp;$B48))</f>
        <v>613089</v>
      </c>
      <c r="BG48" s="2473">
        <f t="shared" ca="1" si="66"/>
        <v>27998.023525808123</v>
      </c>
      <c r="BH48" s="2474">
        <f t="shared" ca="1" si="67"/>
        <v>1.0456671438009948</v>
      </c>
    </row>
    <row r="49" spans="1:60" ht="14.5">
      <c r="A49" s="990">
        <f t="shared" si="76"/>
        <v>46</v>
      </c>
      <c r="B49" s="990">
        <v>1</v>
      </c>
      <c r="C49" s="990">
        <f t="shared" si="2"/>
        <v>46</v>
      </c>
      <c r="E49" s="1243">
        <v>1</v>
      </c>
      <c r="I49" s="195"/>
      <c r="J49" s="9" t="s">
        <v>188</v>
      </c>
      <c r="Q49" s="1847" t="str">
        <f>CHOOSE(2, "6722000002968", "SGA Fixed Expenses Traveling Expenses")</f>
        <v>SGA Fixed Expenses Traveling Expenses</v>
      </c>
      <c r="R49" s="2103">
        <v>1570</v>
      </c>
      <c r="S49" s="2103">
        <v>3557</v>
      </c>
      <c r="T49" s="2103">
        <v>3976</v>
      </c>
      <c r="U49" s="2103">
        <v>4364</v>
      </c>
      <c r="V49" s="2103">
        <v>4496.3884399999997</v>
      </c>
      <c r="W49" s="2103">
        <v>4619.0248700000002</v>
      </c>
      <c r="X49" s="2103">
        <v>12323.040679999998</v>
      </c>
      <c r="Y49" s="2103">
        <v>2031.6005300000049</v>
      </c>
      <c r="Z49" s="2103">
        <v>5480.2983400000003</v>
      </c>
      <c r="AA49" s="2103">
        <v>11147.321520000023</v>
      </c>
      <c r="AB49" s="2103">
        <v>8785.6204500000586</v>
      </c>
      <c r="AC49" s="2091">
        <v>7713.8674500000698</v>
      </c>
      <c r="AD49" s="1517">
        <f t="shared" ref="AD49:AD54" si="79">SUM(R49,S49,T49)</f>
        <v>9103</v>
      </c>
      <c r="AE49" s="65">
        <f t="shared" ref="AE49:AE54" si="80">SUM(U49,V49,W49)</f>
        <v>13479.41331</v>
      </c>
      <c r="AF49" s="65">
        <f t="shared" ref="AF49:AF54" si="81">SUM(X49,Y49,Z49)</f>
        <v>19834.939550000003</v>
      </c>
      <c r="AG49" s="65">
        <f t="shared" ref="AG49:AG54" si="82">SUM(AA49,AB49,AC49)</f>
        <v>27646.809420000151</v>
      </c>
      <c r="AH49" s="65">
        <f t="shared" ref="AH49:AH54" si="83">AD49+AE49</f>
        <v>22582.41331</v>
      </c>
      <c r="AI49" s="65">
        <f t="shared" ref="AI49:AI54" si="84">AG49+AF49</f>
        <v>47481.748970000153</v>
      </c>
      <c r="AJ49" s="65">
        <f t="shared" ref="AJ49:AJ54" si="85">AH49+AI49</f>
        <v>70064.16228000015</v>
      </c>
      <c r="AL49" s="2081">
        <f ca="1">SUM((INDIRECT(AL$2&amp;(ROW())):INDIRECT(AL$3&amp;(ROW()))))</f>
        <v>7713.8674500000698</v>
      </c>
      <c r="AM49" s="2081">
        <f ca="1">SUM(INDIRECT(AM$1&amp;AM$2&amp;$C49):INDIRECT(AM$1&amp;AM$3&amp;$C49))</f>
        <v>0</v>
      </c>
      <c r="AN49" s="2475">
        <f t="shared" ca="1" si="56"/>
        <v>7713.8674500000698</v>
      </c>
      <c r="AO49" s="2476">
        <f t="shared" ca="1" si="57"/>
        <v>0</v>
      </c>
      <c r="AP49" s="2081">
        <f ca="1">SUM(INDIRECT(AP$1&amp;AP$2&amp;$A49):INDIRECT(AP$1&amp;AP$3&amp;$A49))+SUM(INDIRECT(AP$1&amp;AP$2&amp;$B49):INDIRECT(AP$1&amp;AP$3&amp;$B49))</f>
        <v>3093</v>
      </c>
      <c r="AQ49" s="2475">
        <f t="shared" ca="1" si="58"/>
        <v>4620.8674500000698</v>
      </c>
      <c r="AR49" s="2476">
        <f t="shared" ca="1" si="59"/>
        <v>2.4939758971872195</v>
      </c>
      <c r="AT49" s="2081">
        <f ca="1">SUM((INDIRECT(AT$2&amp;(ROW())):INDIRECT(AT$3&amp;(ROW()))))</f>
        <v>27646.809420000151</v>
      </c>
      <c r="AU49" s="2081">
        <f ca="1">SUM(INDIRECT(AU$1&amp;AU$2&amp;$C49):INDIRECT(AU$1&amp;AU$3&amp;$C49))</f>
        <v>0</v>
      </c>
      <c r="AV49" s="2475">
        <f t="shared" ca="1" si="60"/>
        <v>27646.809420000151</v>
      </c>
      <c r="AW49" s="2476">
        <f t="shared" ca="1" si="61"/>
        <v>0</v>
      </c>
      <c r="AX49" s="2081">
        <f ca="1">SUM(INDIRECT(AX$1&amp;AX$2&amp;$A49):INDIRECT(AX$1&amp;AX$3&amp;$A49))+SUM(INDIRECT(AX$1&amp;AX$2&amp;$B49):INDIRECT(AX$1&amp;AX$3&amp;$B49))</f>
        <v>7281</v>
      </c>
      <c r="AY49" s="2475">
        <f t="shared" ca="1" si="62"/>
        <v>20365.809420000151</v>
      </c>
      <c r="AZ49" s="2476">
        <f t="shared" ca="1" si="63"/>
        <v>3.7971170745776885</v>
      </c>
      <c r="BB49" s="2081">
        <f ca="1">SUM((INDIRECT(BB$2&amp;(ROW())):INDIRECT(BB$3&amp;(ROW()))))</f>
        <v>70064.16228000015</v>
      </c>
      <c r="BC49" s="2081">
        <f ca="1">SUM(INDIRECT(BC$1&amp;BC$2&amp;$C49):INDIRECT(BC$1&amp;BC$3&amp;$C49))</f>
        <v>0</v>
      </c>
      <c r="BD49" s="2475">
        <f t="shared" ca="1" si="64"/>
        <v>70064.16228000015</v>
      </c>
      <c r="BE49" s="2476">
        <f t="shared" ca="1" si="65"/>
        <v>0</v>
      </c>
      <c r="BF49" s="2081">
        <f ca="1">SUM(INDIRECT(BF$1&amp;BF$2&amp;$A49):INDIRECT(BF$1&amp;BF$3&amp;$A49))+SUM(INDIRECT(BF$1&amp;BF$2&amp;$B49):INDIRECT(BF$1&amp;BF$3&amp;$B49))</f>
        <v>20141</v>
      </c>
      <c r="BG49" s="2475">
        <f t="shared" ca="1" si="66"/>
        <v>49923.16228000015</v>
      </c>
      <c r="BH49" s="2476">
        <f t="shared" ca="1" si="67"/>
        <v>3.4786833960578001</v>
      </c>
    </row>
    <row r="50" spans="1:60" ht="14.5">
      <c r="A50" s="990">
        <f t="shared" si="76"/>
        <v>47</v>
      </c>
      <c r="B50" s="990">
        <v>1</v>
      </c>
      <c r="C50" s="990">
        <f t="shared" si="2"/>
        <v>47</v>
      </c>
      <c r="E50" s="1243">
        <v>1</v>
      </c>
      <c r="I50" s="195"/>
      <c r="J50" s="9" t="s">
        <v>189</v>
      </c>
      <c r="Q50" s="1847" t="str">
        <f>CHOOSE(2, "6722000002969", "SGA Fixed Expenses Depreciation &amp; Amortization")</f>
        <v>SGA Fixed Expenses Depreciation &amp; Amortization</v>
      </c>
      <c r="R50" s="2103">
        <v>1822</v>
      </c>
      <c r="S50" s="2103">
        <v>1408</v>
      </c>
      <c r="T50" s="2103">
        <v>19391</v>
      </c>
      <c r="U50" s="2103">
        <v>2521</v>
      </c>
      <c r="V50" s="2103">
        <v>262.18</v>
      </c>
      <c r="W50" s="2103">
        <v>18375.202606432402</v>
      </c>
      <c r="X50" s="2103">
        <v>1317.34</v>
      </c>
      <c r="Y50" s="2103">
        <v>1127.1558300000006</v>
      </c>
      <c r="Z50" s="2103">
        <v>12028.24072</v>
      </c>
      <c r="AA50" s="2103">
        <v>1554.34</v>
      </c>
      <c r="AB50" s="2103">
        <v>1203.76</v>
      </c>
      <c r="AC50" s="2091">
        <v>11904.312950000001</v>
      </c>
      <c r="AD50" s="100">
        <f t="shared" si="79"/>
        <v>22621</v>
      </c>
      <c r="AE50" s="19">
        <f t="shared" si="80"/>
        <v>21158.382606432402</v>
      </c>
      <c r="AF50" s="19">
        <f t="shared" si="81"/>
        <v>14472.736550000001</v>
      </c>
      <c r="AG50" s="19">
        <f t="shared" si="82"/>
        <v>14662.412950000002</v>
      </c>
      <c r="AH50" s="19">
        <f t="shared" si="83"/>
        <v>43779.382606432402</v>
      </c>
      <c r="AI50" s="19">
        <f t="shared" si="84"/>
        <v>29135.149500000003</v>
      </c>
      <c r="AJ50" s="19">
        <f t="shared" si="85"/>
        <v>72914.532106432409</v>
      </c>
      <c r="AL50" s="19">
        <f ca="1">SUM((INDIRECT(AL$2&amp;(ROW())):INDIRECT(AL$3&amp;(ROW()))))</f>
        <v>11904.312950000001</v>
      </c>
      <c r="AM50" s="19">
        <f ca="1">SUM(INDIRECT(AM$1&amp;AM$2&amp;$C50):INDIRECT(AM$1&amp;AM$3&amp;$C50))</f>
        <v>0</v>
      </c>
      <c r="AN50" s="875">
        <f t="shared" ca="1" si="56"/>
        <v>11904.312950000001</v>
      </c>
      <c r="AO50" s="926">
        <f t="shared" ca="1" si="57"/>
        <v>0</v>
      </c>
      <c r="AP50" s="19">
        <f ca="1">SUM(INDIRECT(AP$1&amp;AP$2&amp;$A50):INDIRECT(AP$1&amp;AP$3&amp;$A50))+SUM(INDIRECT(AP$1&amp;AP$2&amp;$B50):INDIRECT(AP$1&amp;AP$3&amp;$B50))</f>
        <v>24746</v>
      </c>
      <c r="AQ50" s="875">
        <f t="shared" ca="1" si="58"/>
        <v>-12841.687049999999</v>
      </c>
      <c r="AR50" s="926">
        <f t="shared" ca="1" si="59"/>
        <v>0.48106008849915144</v>
      </c>
      <c r="AT50" s="19">
        <f ca="1">SUM((INDIRECT(AT$2&amp;(ROW())):INDIRECT(AT$3&amp;(ROW()))))</f>
        <v>14662.412950000002</v>
      </c>
      <c r="AU50" s="19">
        <f ca="1">SUM(INDIRECT(AU$1&amp;AU$2&amp;$C50):INDIRECT(AU$1&amp;AU$3&amp;$C50))</f>
        <v>0</v>
      </c>
      <c r="AV50" s="875">
        <f t="shared" ca="1" si="60"/>
        <v>14662.412950000002</v>
      </c>
      <c r="AW50" s="926">
        <f t="shared" ca="1" si="61"/>
        <v>0</v>
      </c>
      <c r="AX50" s="19">
        <f ca="1">SUM(INDIRECT(AX$1&amp;AX$2&amp;$A50):INDIRECT(AX$1&amp;AX$3&amp;$A50))+SUM(INDIRECT(AX$1&amp;AX$2&amp;$B50):INDIRECT(AX$1&amp;AX$3&amp;$B50))</f>
        <v>39958</v>
      </c>
      <c r="AY50" s="875">
        <f t="shared" ca="1" si="62"/>
        <v>-25295.587049999998</v>
      </c>
      <c r="AZ50" s="926">
        <f t="shared" ca="1" si="63"/>
        <v>0.36694561664747988</v>
      </c>
      <c r="BB50" s="19">
        <f ca="1">SUM((INDIRECT(BB$2&amp;(ROW())):INDIRECT(BB$3&amp;(ROW()))))</f>
        <v>72914.532106432409</v>
      </c>
      <c r="BC50" s="19">
        <f ca="1">SUM(INDIRECT(BC$1&amp;BC$2&amp;$C50):INDIRECT(BC$1&amp;BC$3&amp;$C50))</f>
        <v>0</v>
      </c>
      <c r="BD50" s="875">
        <f t="shared" ca="1" si="64"/>
        <v>72914.532106432409</v>
      </c>
      <c r="BE50" s="926">
        <f t="shared" ca="1" si="65"/>
        <v>0</v>
      </c>
      <c r="BF50" s="19">
        <f ca="1">SUM(INDIRECT(BF$1&amp;BF$2&amp;$A50):INDIRECT(BF$1&amp;BF$3&amp;$A50))+SUM(INDIRECT(BF$1&amp;BF$2&amp;$B50):INDIRECT(BF$1&amp;BF$3&amp;$B50))</f>
        <v>149605</v>
      </c>
      <c r="BG50" s="875">
        <f t="shared" ca="1" si="66"/>
        <v>-76690.467893567591</v>
      </c>
      <c r="BH50" s="926">
        <f t="shared" ca="1" si="67"/>
        <v>0.48738031554047262</v>
      </c>
    </row>
    <row r="51" spans="1:60" ht="14.5">
      <c r="A51" s="990">
        <f t="shared" si="76"/>
        <v>48</v>
      </c>
      <c r="B51" s="990">
        <v>1</v>
      </c>
      <c r="C51" s="990">
        <f t="shared" si="2"/>
        <v>48</v>
      </c>
      <c r="E51" s="1243">
        <v>1</v>
      </c>
      <c r="I51" s="195"/>
      <c r="J51" s="9" t="s">
        <v>190</v>
      </c>
      <c r="Q51" s="1847" t="str">
        <f>CHOOSE(2, "6722000002970", "SGA Fixed Expenses Repair and Maintenance")</f>
        <v>SGA Fixed Expenses Repair and Maintenance</v>
      </c>
      <c r="R51" s="2103">
        <v>952</v>
      </c>
      <c r="S51" s="2103">
        <v>927.44159999999999</v>
      </c>
      <c r="T51" s="2103">
        <v>1355</v>
      </c>
      <c r="U51" s="2103">
        <v>896</v>
      </c>
      <c r="V51" s="2103">
        <v>918.75</v>
      </c>
      <c r="W51" s="2103">
        <v>928.26199999999994</v>
      </c>
      <c r="X51" s="2103">
        <v>887.06</v>
      </c>
      <c r="Y51" s="2103">
        <v>1200.67338</v>
      </c>
      <c r="Z51" s="2103">
        <v>1147.68</v>
      </c>
      <c r="AA51" s="2103">
        <v>947</v>
      </c>
      <c r="AB51" s="2103">
        <v>1500.08</v>
      </c>
      <c r="AC51" s="2091">
        <v>3005.2791400000006</v>
      </c>
      <c r="AD51" s="100">
        <f t="shared" si="79"/>
        <v>3234.4416000000001</v>
      </c>
      <c r="AE51" s="19">
        <f t="shared" si="80"/>
        <v>2743.0119999999997</v>
      </c>
      <c r="AF51" s="19">
        <f t="shared" si="81"/>
        <v>3235.41338</v>
      </c>
      <c r="AG51" s="19">
        <f t="shared" si="82"/>
        <v>5452.3591400000005</v>
      </c>
      <c r="AH51" s="19">
        <f t="shared" si="83"/>
        <v>5977.4535999999998</v>
      </c>
      <c r="AI51" s="19">
        <f t="shared" si="84"/>
        <v>8687.7725200000004</v>
      </c>
      <c r="AJ51" s="19">
        <f t="shared" si="85"/>
        <v>14665.226119999999</v>
      </c>
      <c r="AL51" s="19">
        <f ca="1">SUM((INDIRECT(AL$2&amp;(ROW())):INDIRECT(AL$3&amp;(ROW()))))</f>
        <v>3005.2791400000006</v>
      </c>
      <c r="AM51" s="19">
        <f ca="1">SUM(INDIRECT(AM$1&amp;AM$2&amp;$C51):INDIRECT(AM$1&amp;AM$3&amp;$C51))</f>
        <v>0</v>
      </c>
      <c r="AN51" s="875">
        <f t="shared" ca="1" si="56"/>
        <v>3005.2791400000006</v>
      </c>
      <c r="AO51" s="926">
        <f t="shared" ca="1" si="57"/>
        <v>0</v>
      </c>
      <c r="AP51" s="19">
        <f ca="1">SUM(INDIRECT(AP$1&amp;AP$2&amp;$A51):INDIRECT(AP$1&amp;AP$3&amp;$A51))+SUM(INDIRECT(AP$1&amp;AP$2&amp;$B51):INDIRECT(AP$1&amp;AP$3&amp;$B51))</f>
        <v>1754</v>
      </c>
      <c r="AQ51" s="875">
        <f t="shared" ca="1" si="58"/>
        <v>1251.2791400000006</v>
      </c>
      <c r="AR51" s="926">
        <f t="shared" ca="1" si="59"/>
        <v>1.7133860547320414</v>
      </c>
      <c r="AT51" s="19">
        <f ca="1">SUM((INDIRECT(AT$2&amp;(ROW())):INDIRECT(AT$3&amp;(ROW()))))</f>
        <v>5452.3591400000005</v>
      </c>
      <c r="AU51" s="19">
        <f ca="1">SUM(INDIRECT(AU$1&amp;AU$2&amp;$C51):INDIRECT(AU$1&amp;AU$3&amp;$C51))</f>
        <v>0</v>
      </c>
      <c r="AV51" s="875">
        <f t="shared" ca="1" si="60"/>
        <v>5452.3591400000005</v>
      </c>
      <c r="AW51" s="926">
        <f t="shared" ca="1" si="61"/>
        <v>0</v>
      </c>
      <c r="AX51" s="19">
        <f ca="1">SUM(INDIRECT(AX$1&amp;AX$2&amp;$A51):INDIRECT(AX$1&amp;AX$3&amp;$A51))+SUM(INDIRECT(AX$1&amp;AX$2&amp;$B51):INDIRECT(AX$1&amp;AX$3&amp;$B51))</f>
        <v>3287</v>
      </c>
      <c r="AY51" s="875">
        <f t="shared" ca="1" si="62"/>
        <v>2165.3591400000005</v>
      </c>
      <c r="AZ51" s="926">
        <f t="shared" ca="1" si="63"/>
        <v>1.6587645695162765</v>
      </c>
      <c r="BB51" s="19">
        <f ca="1">SUM((INDIRECT(BB$2&amp;(ROW())):INDIRECT(BB$3&amp;(ROW()))))</f>
        <v>14665.226120000001</v>
      </c>
      <c r="BC51" s="19">
        <f ca="1">SUM(INDIRECT(BC$1&amp;BC$2&amp;$C51):INDIRECT(BC$1&amp;BC$3&amp;$C51))</f>
        <v>0</v>
      </c>
      <c r="BD51" s="875">
        <f t="shared" ca="1" si="64"/>
        <v>14665.226120000001</v>
      </c>
      <c r="BE51" s="926">
        <f t="shared" ca="1" si="65"/>
        <v>0</v>
      </c>
      <c r="BF51" s="19">
        <f ca="1">SUM(INDIRECT(BF$1&amp;BF$2&amp;$A51):INDIRECT(BF$1&amp;BF$3&amp;$A51))+SUM(INDIRECT(BF$1&amp;BF$2&amp;$B51):INDIRECT(BF$1&amp;BF$3&amp;$B51))</f>
        <v>12199</v>
      </c>
      <c r="BG51" s="875">
        <f t="shared" ca="1" si="66"/>
        <v>2466.2261200000012</v>
      </c>
      <c r="BH51" s="926">
        <f t="shared" ca="1" si="67"/>
        <v>1.2021662529715551</v>
      </c>
    </row>
    <row r="52" spans="1:60" ht="14.5">
      <c r="A52" s="990">
        <f t="shared" si="76"/>
        <v>49</v>
      </c>
      <c r="B52" s="990">
        <v>1</v>
      </c>
      <c r="C52" s="990">
        <f t="shared" si="2"/>
        <v>49</v>
      </c>
      <c r="E52" s="1243">
        <v>1</v>
      </c>
      <c r="I52" s="195"/>
      <c r="J52" s="9" t="s">
        <v>191</v>
      </c>
      <c r="Q52" s="1847" t="str">
        <f>CHOOSE(2, "6722000002971", "SGA Fixed Expenses Rent Expenses")</f>
        <v>SGA Fixed Expenses Rent Expenses</v>
      </c>
      <c r="R52" s="2103">
        <v>9666</v>
      </c>
      <c r="S52" s="2103">
        <v>9819</v>
      </c>
      <c r="T52" s="2103">
        <v>-6006</v>
      </c>
      <c r="U52" s="2103">
        <v>9094</v>
      </c>
      <c r="V52" s="2103">
        <v>10386.624370000001</v>
      </c>
      <c r="W52" s="2103">
        <v>-4713.958740624299</v>
      </c>
      <c r="X52" s="2103">
        <v>16245.239740000001</v>
      </c>
      <c r="Y52" s="2103">
        <v>10549.3951</v>
      </c>
      <c r="Z52" s="2103">
        <v>2965</v>
      </c>
      <c r="AA52" s="2103">
        <v>11396</v>
      </c>
      <c r="AB52" s="2103">
        <v>11671</v>
      </c>
      <c r="AC52" s="2091">
        <v>17077.760577628433</v>
      </c>
      <c r="AD52" s="100">
        <f t="shared" si="79"/>
        <v>13479</v>
      </c>
      <c r="AE52" s="19">
        <f t="shared" si="80"/>
        <v>14766.665629375702</v>
      </c>
      <c r="AF52" s="19">
        <f t="shared" si="81"/>
        <v>29759.634839999999</v>
      </c>
      <c r="AG52" s="19">
        <f t="shared" si="82"/>
        <v>40144.760577628433</v>
      </c>
      <c r="AH52" s="19">
        <f t="shared" si="83"/>
        <v>28245.665629375704</v>
      </c>
      <c r="AI52" s="19">
        <f t="shared" si="84"/>
        <v>69904.395417628431</v>
      </c>
      <c r="AJ52" s="19">
        <f t="shared" si="85"/>
        <v>98150.061047004128</v>
      </c>
      <c r="AL52" s="19">
        <f ca="1">SUM((INDIRECT(AL$2&amp;(ROW())):INDIRECT(AL$3&amp;(ROW()))))</f>
        <v>17077.760577628433</v>
      </c>
      <c r="AM52" s="19">
        <f ca="1">SUM(INDIRECT(AM$1&amp;AM$2&amp;$C52):INDIRECT(AM$1&amp;AM$3&amp;$C52))</f>
        <v>0</v>
      </c>
      <c r="AN52" s="875">
        <f t="shared" ca="1" si="56"/>
        <v>17077.760577628433</v>
      </c>
      <c r="AO52" s="926">
        <f t="shared" ca="1" si="57"/>
        <v>0</v>
      </c>
      <c r="AP52" s="19">
        <f ca="1">SUM(INDIRECT(AP$1&amp;AP$2&amp;$A52):INDIRECT(AP$1&amp;AP$3&amp;$A52))+SUM(INDIRECT(AP$1&amp;AP$2&amp;$B52):INDIRECT(AP$1&amp;AP$3&amp;$B52))</f>
        <v>-8113</v>
      </c>
      <c r="AQ52" s="875">
        <f t="shared" ca="1" si="58"/>
        <v>25190.760577628433</v>
      </c>
      <c r="AR52" s="926">
        <f t="shared" ca="1" si="59"/>
        <v>-2.1049871290063393</v>
      </c>
      <c r="AT52" s="19">
        <f ca="1">SUM((INDIRECT(AT$2&amp;(ROW())):INDIRECT(AT$3&amp;(ROW()))))</f>
        <v>40144.760577628433</v>
      </c>
      <c r="AU52" s="19">
        <f ca="1">SUM(INDIRECT(AU$1&amp;AU$2&amp;$C52):INDIRECT(AU$1&amp;AU$3&amp;$C52))</f>
        <v>0</v>
      </c>
      <c r="AV52" s="875">
        <f t="shared" ca="1" si="60"/>
        <v>40144.760577628433</v>
      </c>
      <c r="AW52" s="926">
        <f t="shared" ca="1" si="61"/>
        <v>0</v>
      </c>
      <c r="AX52" s="19">
        <f ca="1">SUM(INDIRECT(AX$1&amp;AX$2&amp;$A52):INDIRECT(AX$1&amp;AX$3&amp;$A52))+SUM(INDIRECT(AX$1&amp;AX$2&amp;$B52):INDIRECT(AX$1&amp;AX$3&amp;$B52))</f>
        <v>9560</v>
      </c>
      <c r="AY52" s="875">
        <f t="shared" ca="1" si="62"/>
        <v>30584.760577628433</v>
      </c>
      <c r="AZ52" s="926">
        <f t="shared" ca="1" si="63"/>
        <v>4.1992427382456521</v>
      </c>
      <c r="BB52" s="19">
        <f ca="1">SUM((INDIRECT(BB$2&amp;(ROW())):INDIRECT(BB$3&amp;(ROW()))))</f>
        <v>98150.061047004143</v>
      </c>
      <c r="BC52" s="19">
        <f ca="1">SUM(INDIRECT(BC$1&amp;BC$2&amp;$C52):INDIRECT(BC$1&amp;BC$3&amp;$C52))</f>
        <v>0</v>
      </c>
      <c r="BD52" s="875">
        <f t="shared" ca="1" si="64"/>
        <v>98150.061047004143</v>
      </c>
      <c r="BE52" s="926">
        <f t="shared" ca="1" si="65"/>
        <v>0</v>
      </c>
      <c r="BF52" s="19">
        <f ca="1">SUM(INDIRECT(BF$1&amp;BF$2&amp;$A52):INDIRECT(BF$1&amp;BF$3&amp;$A52))+SUM(INDIRECT(BF$1&amp;BF$2&amp;$B52):INDIRECT(BF$1&amp;BF$3&amp;$B52))</f>
        <v>43058</v>
      </c>
      <c r="BG52" s="875">
        <f t="shared" ca="1" si="66"/>
        <v>55092.061047004143</v>
      </c>
      <c r="BH52" s="926">
        <f t="shared" ca="1" si="67"/>
        <v>2.2794849051745123</v>
      </c>
    </row>
    <row r="53" spans="1:60" ht="14.5">
      <c r="A53" s="990">
        <f t="shared" si="76"/>
        <v>50</v>
      </c>
      <c r="B53" s="990">
        <v>1</v>
      </c>
      <c r="C53" s="990">
        <f t="shared" si="2"/>
        <v>50</v>
      </c>
      <c r="E53" s="1243">
        <v>1</v>
      </c>
      <c r="I53" s="195"/>
      <c r="J53" s="9" t="s">
        <v>302</v>
      </c>
      <c r="Q53" s="1847" t="str">
        <f>CHOOSE(2, "6722000002972", "SGA Fixed Expenses Service Charges and Fees")</f>
        <v>SGA Fixed Expenses Service Charges and Fees</v>
      </c>
      <c r="R53" s="2103">
        <v>132</v>
      </c>
      <c r="S53" s="2103">
        <v>132</v>
      </c>
      <c r="T53" s="2103">
        <v>73</v>
      </c>
      <c r="U53" s="2103">
        <v>151</v>
      </c>
      <c r="V53" s="2103">
        <v>99.403650000000013</v>
      </c>
      <c r="W53" s="2103">
        <v>122.20672</v>
      </c>
      <c r="X53" s="2103">
        <v>99</v>
      </c>
      <c r="Y53" s="2103">
        <v>152.63130000000001</v>
      </c>
      <c r="Z53" s="2103">
        <v>-198</v>
      </c>
      <c r="AA53" s="2103">
        <v>844.33299999999997</v>
      </c>
      <c r="AB53" s="2103">
        <v>325.05858000000001</v>
      </c>
      <c r="AC53" s="2091">
        <v>2158.64842</v>
      </c>
      <c r="AD53" s="100">
        <f t="shared" si="79"/>
        <v>337</v>
      </c>
      <c r="AE53" s="19">
        <f t="shared" si="80"/>
        <v>372.61037000000005</v>
      </c>
      <c r="AF53" s="19">
        <f t="shared" si="81"/>
        <v>53.63130000000001</v>
      </c>
      <c r="AG53" s="19">
        <f t="shared" si="82"/>
        <v>3328.04</v>
      </c>
      <c r="AH53" s="19">
        <f t="shared" si="83"/>
        <v>709.6103700000001</v>
      </c>
      <c r="AI53" s="19">
        <f t="shared" si="84"/>
        <v>3381.6713</v>
      </c>
      <c r="AJ53" s="19">
        <f t="shared" si="85"/>
        <v>4091.2816700000003</v>
      </c>
      <c r="AL53" s="19">
        <f ca="1">SUM((INDIRECT(AL$2&amp;(ROW())):INDIRECT(AL$3&amp;(ROW()))))</f>
        <v>2158.64842</v>
      </c>
      <c r="AM53" s="19">
        <f ca="1">SUM(INDIRECT(AM$1&amp;AM$2&amp;$C53):INDIRECT(AM$1&amp;AM$3&amp;$C53))</f>
        <v>0</v>
      </c>
      <c r="AN53" s="875">
        <f t="shared" ca="1" si="56"/>
        <v>2158.64842</v>
      </c>
      <c r="AO53" s="926">
        <f t="shared" ca="1" si="57"/>
        <v>0</v>
      </c>
      <c r="AP53" s="19">
        <f ca="1">SUM(INDIRECT(AP$1&amp;AP$2&amp;$A53):INDIRECT(AP$1&amp;AP$3&amp;$A53))+SUM(INDIRECT(AP$1&amp;AP$2&amp;$B53):INDIRECT(AP$1&amp;AP$3&amp;$B53))</f>
        <v>43</v>
      </c>
      <c r="AQ53" s="875">
        <f t="shared" ca="1" si="58"/>
        <v>2115.64842</v>
      </c>
      <c r="AR53" s="926">
        <f t="shared" ca="1" si="59"/>
        <v>50.201126046511625</v>
      </c>
      <c r="AT53" s="19">
        <f ca="1">SUM((INDIRECT(AT$2&amp;(ROW())):INDIRECT(AT$3&amp;(ROW()))))</f>
        <v>3328.04</v>
      </c>
      <c r="AU53" s="19">
        <f ca="1">SUM(INDIRECT(AU$1&amp;AU$2&amp;$C53):INDIRECT(AU$1&amp;AU$3&amp;$C53))</f>
        <v>0</v>
      </c>
      <c r="AV53" s="875">
        <f t="shared" ca="1" si="60"/>
        <v>3328.04</v>
      </c>
      <c r="AW53" s="926">
        <f t="shared" ca="1" si="61"/>
        <v>0</v>
      </c>
      <c r="AX53" s="19">
        <f ca="1">SUM(INDIRECT(AX$1&amp;AX$2&amp;$A53):INDIRECT(AX$1&amp;AX$3&amp;$A53))+SUM(INDIRECT(AX$1&amp;AX$2&amp;$B53):INDIRECT(AX$1&amp;AX$3&amp;$B53))</f>
        <v>101</v>
      </c>
      <c r="AY53" s="875">
        <f t="shared" ca="1" si="62"/>
        <v>3227.04</v>
      </c>
      <c r="AZ53" s="926">
        <f t="shared" ca="1" si="63"/>
        <v>32.950891089108907</v>
      </c>
      <c r="BB53" s="19">
        <f ca="1">SUM((INDIRECT(BB$2&amp;(ROW())):INDIRECT(BB$3&amp;(ROW()))))</f>
        <v>4091.2816699999998</v>
      </c>
      <c r="BC53" s="19">
        <f ca="1">SUM(INDIRECT(BC$1&amp;BC$2&amp;$C53):INDIRECT(BC$1&amp;BC$3&amp;$C53))</f>
        <v>0</v>
      </c>
      <c r="BD53" s="875">
        <f t="shared" ca="1" si="64"/>
        <v>4091.2816699999998</v>
      </c>
      <c r="BE53" s="926">
        <f t="shared" ca="1" si="65"/>
        <v>0</v>
      </c>
      <c r="BF53" s="19">
        <f ca="1">SUM(INDIRECT(BF$1&amp;BF$2&amp;$A53):INDIRECT(BF$1&amp;BF$3&amp;$A53))+SUM(INDIRECT(BF$1&amp;BF$2&amp;$B53):INDIRECT(BF$1&amp;BF$3&amp;$B53))</f>
        <v>1446</v>
      </c>
      <c r="BG53" s="875">
        <f t="shared" ca="1" si="66"/>
        <v>2645.2816699999998</v>
      </c>
      <c r="BH53" s="926">
        <f t="shared" ca="1" si="67"/>
        <v>2.8293787482710924</v>
      </c>
    </row>
    <row r="54" spans="1:60" ht="14.5">
      <c r="A54" s="990">
        <f t="shared" si="76"/>
        <v>51</v>
      </c>
      <c r="B54" s="990">
        <v>1</v>
      </c>
      <c r="C54" s="990">
        <f t="shared" si="2"/>
        <v>51</v>
      </c>
      <c r="E54" s="1243">
        <v>1</v>
      </c>
      <c r="I54" s="194"/>
      <c r="J54" s="12" t="s">
        <v>192</v>
      </c>
      <c r="K54" s="18"/>
      <c r="L54" s="18"/>
      <c r="M54" s="12"/>
      <c r="N54" s="12"/>
      <c r="O54" s="12"/>
      <c r="P54" s="12"/>
      <c r="Q54" s="1847" t="str">
        <f>CHOOSE(2, "6722000002973", "SGA Fixed Expenses Other Expenses")</f>
        <v>SGA Fixed Expenses Other Expenses</v>
      </c>
      <c r="R54" s="2104">
        <v>29635</v>
      </c>
      <c r="S54" s="2104">
        <v>31244.558400000002</v>
      </c>
      <c r="T54" s="2104">
        <v>44451</v>
      </c>
      <c r="U54" s="2104">
        <v>30173</v>
      </c>
      <c r="V54" s="2104">
        <v>45933.943060000012</v>
      </c>
      <c r="W54" s="2104">
        <v>-568.54999999999995</v>
      </c>
      <c r="X54" s="2104">
        <v>55254.904100000007</v>
      </c>
      <c r="Y54" s="2104">
        <v>39148.255100000009</v>
      </c>
      <c r="Z54" s="2104">
        <v>26642.627460000003</v>
      </c>
      <c r="AA54" s="2104">
        <v>45510.73</v>
      </c>
      <c r="AB54" s="2104">
        <v>4986.4234800000086</v>
      </c>
      <c r="AC54" s="2092">
        <v>28789.86870237147</v>
      </c>
      <c r="AD54" s="99">
        <f t="shared" si="79"/>
        <v>105330.55840000001</v>
      </c>
      <c r="AE54" s="17">
        <f t="shared" si="80"/>
        <v>75538.393060000017</v>
      </c>
      <c r="AF54" s="17">
        <f t="shared" si="81"/>
        <v>121045.78666000003</v>
      </c>
      <c r="AG54" s="17">
        <f t="shared" si="82"/>
        <v>79287.022182371482</v>
      </c>
      <c r="AH54" s="17">
        <f t="shared" si="83"/>
        <v>180868.95146000001</v>
      </c>
      <c r="AI54" s="17">
        <f t="shared" si="84"/>
        <v>200332.80884237151</v>
      </c>
      <c r="AJ54" s="17">
        <f t="shared" si="85"/>
        <v>381201.76030237152</v>
      </c>
      <c r="AL54" s="17">
        <f ca="1">SUM((INDIRECT(AL$2&amp;(ROW())):INDIRECT(AL$3&amp;(ROW()))))</f>
        <v>28789.86870237147</v>
      </c>
      <c r="AM54" s="17">
        <f ca="1">SUM(INDIRECT(AM$1&amp;AM$2&amp;$C54):INDIRECT(AM$1&amp;AM$3&amp;$C54))</f>
        <v>0</v>
      </c>
      <c r="AN54" s="876">
        <f t="shared" ca="1" si="56"/>
        <v>28789.86870237147</v>
      </c>
      <c r="AO54" s="927">
        <f t="shared" ca="1" si="57"/>
        <v>0</v>
      </c>
      <c r="AP54" s="17">
        <f ca="1">SUM(INDIRECT(AP$1&amp;AP$2&amp;$A54):INDIRECT(AP$1&amp;AP$3&amp;$A54))+SUM(INDIRECT(AP$1&amp;AP$2&amp;$B54):INDIRECT(AP$1&amp;AP$3&amp;$B54))</f>
        <v>71826</v>
      </c>
      <c r="AQ54" s="876">
        <f t="shared" ca="1" si="58"/>
        <v>-43036.131297628526</v>
      </c>
      <c r="AR54" s="927">
        <f t="shared" ca="1" si="59"/>
        <v>0.40082795509107383</v>
      </c>
      <c r="AT54" s="17">
        <f ca="1">SUM((INDIRECT(AT$2&amp;(ROW())):INDIRECT(AT$3&amp;(ROW()))))</f>
        <v>79287.022182371482</v>
      </c>
      <c r="AU54" s="17">
        <f ca="1">SUM(INDIRECT(AU$1&amp;AU$2&amp;$C54):INDIRECT(AU$1&amp;AU$3&amp;$C54))</f>
        <v>0</v>
      </c>
      <c r="AV54" s="876">
        <f t="shared" ca="1" si="60"/>
        <v>79287.022182371482</v>
      </c>
      <c r="AW54" s="927">
        <f t="shared" ca="1" si="61"/>
        <v>0</v>
      </c>
      <c r="AX54" s="17">
        <f ca="1">SUM(INDIRECT(AX$1&amp;AX$2&amp;$A54):INDIRECT(AX$1&amp;AX$3&amp;$A54))+SUM(INDIRECT(AX$1&amp;AX$2&amp;$B54):INDIRECT(AX$1&amp;AX$3&amp;$B54))</f>
        <v>92528</v>
      </c>
      <c r="AY54" s="876">
        <f t="shared" ca="1" si="62"/>
        <v>-13240.977817628518</v>
      </c>
      <c r="AZ54" s="927">
        <f t="shared" ca="1" si="63"/>
        <v>0.85689761134328513</v>
      </c>
      <c r="BB54" s="17">
        <f ca="1">SUM((INDIRECT(BB$2&amp;(ROW())):INDIRECT(BB$3&amp;(ROW()))))</f>
        <v>381201.76030237152</v>
      </c>
      <c r="BC54" s="17">
        <f ca="1">SUM(INDIRECT(BC$1&amp;BC$2&amp;$C54):INDIRECT(BC$1&amp;BC$3&amp;$C54))</f>
        <v>0</v>
      </c>
      <c r="BD54" s="876">
        <f t="shared" ca="1" si="64"/>
        <v>381201.76030237152</v>
      </c>
      <c r="BE54" s="927">
        <f t="shared" ca="1" si="65"/>
        <v>0</v>
      </c>
      <c r="BF54" s="17">
        <f ca="1">SUM(INDIRECT(BF$1&amp;BF$2&amp;$A54):INDIRECT(BF$1&amp;BF$3&amp;$A54))+SUM(INDIRECT(BF$1&amp;BF$2&amp;$B54):INDIRECT(BF$1&amp;BF$3&amp;$B54))</f>
        <v>386640</v>
      </c>
      <c r="BG54" s="876">
        <f t="shared" ca="1" si="66"/>
        <v>-5438.2396976284799</v>
      </c>
      <c r="BH54" s="927">
        <f t="shared" ca="1" si="67"/>
        <v>0.98593461696247553</v>
      </c>
    </row>
    <row r="55" spans="1:60" ht="14.5">
      <c r="A55" s="990">
        <f t="shared" si="76"/>
        <v>52</v>
      </c>
      <c r="B55" s="990">
        <v>1</v>
      </c>
      <c r="C55" s="990">
        <f t="shared" si="2"/>
        <v>52</v>
      </c>
      <c r="E55" s="1243">
        <v>1</v>
      </c>
      <c r="I55" s="289"/>
      <c r="Q55" s="1843" t="str">
        <f>CHOOSE(2, "6722000002974", "▷ Blank 3")</f>
        <v>▷ Blank 3</v>
      </c>
      <c r="R55" s="2204"/>
      <c r="S55" s="2044"/>
      <c r="T55" s="2044"/>
      <c r="U55" s="2044"/>
      <c r="V55" s="2044"/>
      <c r="W55" s="2044"/>
      <c r="X55" s="2044"/>
      <c r="Y55" s="2044"/>
      <c r="Z55" s="2044"/>
      <c r="AA55" s="2044"/>
      <c r="AB55" s="2044"/>
      <c r="AC55" s="2044"/>
      <c r="AD55" s="2044"/>
      <c r="AE55" s="163"/>
      <c r="AF55" s="163"/>
      <c r="AG55" s="163"/>
      <c r="AH55" s="163"/>
      <c r="AI55" s="163"/>
      <c r="AJ55" s="868"/>
      <c r="AL55" s="163"/>
      <c r="AM55" s="163"/>
      <c r="AN55" s="163"/>
      <c r="AO55" s="163"/>
      <c r="AP55" s="163"/>
      <c r="AQ55" s="163"/>
      <c r="AR55" s="163"/>
      <c r="AT55" s="163"/>
      <c r="AU55" s="163"/>
      <c r="AV55" s="163"/>
      <c r="AW55" s="163"/>
      <c r="AX55" s="163"/>
      <c r="AY55" s="163"/>
      <c r="AZ55" s="163"/>
      <c r="BB55" s="163"/>
      <c r="BC55" s="163"/>
      <c r="BD55" s="163"/>
      <c r="BE55" s="163"/>
      <c r="BF55" s="163"/>
      <c r="BG55" s="163"/>
      <c r="BH55" s="163"/>
    </row>
    <row r="56" spans="1:60" ht="15.5">
      <c r="A56" s="990">
        <f t="shared" si="76"/>
        <v>53</v>
      </c>
      <c r="B56" s="990">
        <v>1</v>
      </c>
      <c r="C56" s="990">
        <f t="shared" si="2"/>
        <v>53</v>
      </c>
      <c r="D56" s="1121" t="s">
        <v>887</v>
      </c>
      <c r="E56" s="1243">
        <v>1</v>
      </c>
      <c r="G56" s="462" t="s">
        <v>499</v>
      </c>
      <c r="I56" s="152"/>
      <c r="J56" s="152"/>
      <c r="Q56" s="1838" t="str">
        <f>CHOOSE(2, "6722000002975", "1-3.Total Personnel Costs")</f>
        <v>1-3.Total Personnel Costs</v>
      </c>
      <c r="R56" s="2200"/>
      <c r="AA56" s="163"/>
      <c r="AB56" s="163"/>
      <c r="AC56" s="163"/>
      <c r="AD56" s="163"/>
      <c r="AE56" s="163"/>
      <c r="AF56" s="163"/>
      <c r="AG56" s="163"/>
      <c r="AH56" s="163"/>
      <c r="AI56" s="163"/>
      <c r="AJ56" s="868"/>
      <c r="AL56" s="163"/>
      <c r="AM56" s="163"/>
      <c r="AN56" s="163"/>
      <c r="AO56" s="163"/>
      <c r="AP56" s="163"/>
      <c r="AQ56" s="163"/>
      <c r="AR56" s="163"/>
      <c r="AT56" s="163"/>
      <c r="AU56" s="163"/>
      <c r="AV56" s="163"/>
      <c r="AW56" s="163"/>
      <c r="AX56" s="163"/>
      <c r="AY56" s="163"/>
      <c r="AZ56" s="163"/>
      <c r="BB56" s="163"/>
      <c r="BC56" s="163"/>
      <c r="BD56" s="163"/>
      <c r="BE56" s="163"/>
      <c r="BF56" s="163"/>
      <c r="BG56" s="163"/>
      <c r="BH56" s="163"/>
    </row>
    <row r="57" spans="1:60" ht="14.5">
      <c r="A57" s="990">
        <f t="shared" si="76"/>
        <v>54</v>
      </c>
      <c r="B57" s="990">
        <v>1</v>
      </c>
      <c r="C57" s="990">
        <f t="shared" si="2"/>
        <v>54</v>
      </c>
      <c r="D57" s="1121" t="s">
        <v>887</v>
      </c>
      <c r="E57" s="1243">
        <v>1</v>
      </c>
      <c r="I57" s="162" t="s">
        <v>141</v>
      </c>
      <c r="J57" s="161"/>
      <c r="K57" s="21"/>
      <c r="L57" s="21"/>
      <c r="M57" s="22"/>
      <c r="N57" s="22"/>
      <c r="O57" s="22"/>
      <c r="P57" s="303"/>
      <c r="Q57" s="1843" t="str">
        <f>CHOOSE(2, "6722000002976", "Total PC Personnel Costs Total")</f>
        <v>Total PC Personnel Costs Total</v>
      </c>
      <c r="R57" s="2058">
        <f t="shared" ref="R57:AC57" si="86">SUM(R58:R59)</f>
        <v>74516</v>
      </c>
      <c r="S57" s="2058">
        <f t="shared" si="86"/>
        <v>73638</v>
      </c>
      <c r="T57" s="2058">
        <f t="shared" si="86"/>
        <v>74787.43299999999</v>
      </c>
      <c r="U57" s="2058">
        <f t="shared" si="86"/>
        <v>73620.107740000007</v>
      </c>
      <c r="V57" s="2058">
        <f t="shared" si="86"/>
        <v>74471.545249999996</v>
      </c>
      <c r="W57" s="2058">
        <f t="shared" si="86"/>
        <v>77883.632988523314</v>
      </c>
      <c r="X57" s="2058">
        <f t="shared" si="86"/>
        <v>117139.45</v>
      </c>
      <c r="Y57" s="2058">
        <f t="shared" si="86"/>
        <v>82402.114000000001</v>
      </c>
      <c r="Z57" s="2058">
        <f t="shared" si="86"/>
        <v>84778.902099999992</v>
      </c>
      <c r="AA57" s="2115">
        <f t="shared" si="86"/>
        <v>81920.001000000004</v>
      </c>
      <c r="AB57" s="2115">
        <f t="shared" si="86"/>
        <v>89097.266000000003</v>
      </c>
      <c r="AC57" s="2115">
        <f t="shared" si="86"/>
        <v>69127.896845627693</v>
      </c>
      <c r="AD57" s="840">
        <f>SUM(R57,S57,T57)</f>
        <v>222941.43299999999</v>
      </c>
      <c r="AE57" s="148">
        <f t="shared" ref="AE57:AE59" si="87">SUM(U57,V57,W57)</f>
        <v>225975.28597852332</v>
      </c>
      <c r="AF57" s="148">
        <f t="shared" ref="AF57:AF59" si="88">SUM(X57,Y57,Z57)</f>
        <v>284320.46610000002</v>
      </c>
      <c r="AG57" s="148">
        <f t="shared" ref="AG57:AG59" si="89">SUM(AA57,AB57,AC57)</f>
        <v>240145.16384562769</v>
      </c>
      <c r="AH57" s="148">
        <f>AD57+AE57</f>
        <v>448916.71897852328</v>
      </c>
      <c r="AI57" s="148">
        <f>AG57+AF57</f>
        <v>524465.62994562765</v>
      </c>
      <c r="AJ57" s="148">
        <f>AH57+AI57</f>
        <v>973382.34892415092</v>
      </c>
      <c r="AL57" s="2115">
        <f ca="1">SUM((INDIRECT(AL$2&amp;(ROW())):INDIRECT(AL$3&amp;(ROW()))))</f>
        <v>69127.896845627693</v>
      </c>
      <c r="AM57" s="2115">
        <f ca="1">SUM(INDIRECT(AM$1&amp;AM$2&amp;$C57):INDIRECT(AM$1&amp;AM$3&amp;$C57))</f>
        <v>0</v>
      </c>
      <c r="AN57" s="2477">
        <f ca="1">AL57-AM57</f>
        <v>69127.896845627693</v>
      </c>
      <c r="AO57" s="2478">
        <f ca="1">IFERROR(AL57/AM57,0)</f>
        <v>0</v>
      </c>
      <c r="AP57" s="2115">
        <f ca="1">SUM(INDIRECT(AP$1&amp;AP$2&amp;$A57):INDIRECT(AP$1&amp;AP$3&amp;$A57))+SUM(INDIRECT(AP$1&amp;AP$2&amp;$B57):INDIRECT(AP$1&amp;AP$3&amp;$B57))</f>
        <v>83701</v>
      </c>
      <c r="AQ57" s="2477">
        <f ca="1">AL57-AP57</f>
        <v>-14573.103154372307</v>
      </c>
      <c r="AR57" s="2478">
        <f ca="1">IFERROR(AL57/AP57,0)</f>
        <v>0.8258909313583791</v>
      </c>
      <c r="AT57" s="2115">
        <f ca="1">SUM((INDIRECT(AT$2&amp;(ROW())):INDIRECT(AT$3&amp;(ROW()))))</f>
        <v>240145.16384562769</v>
      </c>
      <c r="AU57" s="2115">
        <f ca="1">SUM(INDIRECT(AU$1&amp;AU$2&amp;$C57):INDIRECT(AU$1&amp;AU$3&amp;$C57))</f>
        <v>0</v>
      </c>
      <c r="AV57" s="2477">
        <f ca="1">AT57-AU57</f>
        <v>240145.16384562769</v>
      </c>
      <c r="AW57" s="2478">
        <f ca="1">IFERROR(AT57/AU57,0)</f>
        <v>0</v>
      </c>
      <c r="AX57" s="2115">
        <f ca="1">SUM(INDIRECT(AX$1&amp;AX$2&amp;$A57):INDIRECT(AX$1&amp;AX$3&amp;$A57))+SUM(INDIRECT(AX$1&amp;AX$2&amp;$B57):INDIRECT(AX$1&amp;AX$3&amp;$B57))</f>
        <v>239293</v>
      </c>
      <c r="AY57" s="2477">
        <f ca="1">AT57-AX57</f>
        <v>852.16384562768508</v>
      </c>
      <c r="AZ57" s="2478">
        <f ca="1">IFERROR(AT57/AX57,0)</f>
        <v>1.0035611733131671</v>
      </c>
      <c r="BB57" s="2115">
        <f ca="1">SUM((INDIRECT(BB$2&amp;(ROW())):INDIRECT(BB$3&amp;(ROW()))))</f>
        <v>973382.34892415104</v>
      </c>
      <c r="BC57" s="2115">
        <f ca="1">SUM(INDIRECT(BC$1&amp;BC$2&amp;$C57):INDIRECT(BC$1&amp;BC$3&amp;$C57))</f>
        <v>0</v>
      </c>
      <c r="BD57" s="2477">
        <f ca="1">BB57-BC57</f>
        <v>973382.34892415104</v>
      </c>
      <c r="BE57" s="2478">
        <f ca="1">IFERROR(BB57/BC57,0)</f>
        <v>0</v>
      </c>
      <c r="BF57" s="2115">
        <f ca="1">SUM(INDIRECT(BF$1&amp;BF$2&amp;$A57):INDIRECT(BF$1&amp;BF$3&amp;$A57))+SUM(INDIRECT(BF$1&amp;BF$2&amp;$B57):INDIRECT(BF$1&amp;BF$3&amp;$B57))</f>
        <v>841567</v>
      </c>
      <c r="BG57" s="2477">
        <f ca="1">BB57-BF57</f>
        <v>131815.34892415104</v>
      </c>
      <c r="BH57" s="2478">
        <f ca="1">IFERROR(BB57/BF57,0)</f>
        <v>1.1566308433245969</v>
      </c>
    </row>
    <row r="58" spans="1:60" ht="14.5">
      <c r="A58" s="990">
        <f t="shared" si="76"/>
        <v>55</v>
      </c>
      <c r="B58" s="990">
        <v>1</v>
      </c>
      <c r="C58" s="990">
        <f t="shared" si="2"/>
        <v>55</v>
      </c>
      <c r="D58" s="1121" t="s">
        <v>887</v>
      </c>
      <c r="E58" s="1243">
        <v>1</v>
      </c>
      <c r="I58" s="160"/>
      <c r="J58" s="159" t="s">
        <v>541</v>
      </c>
      <c r="K58" s="158"/>
      <c r="L58" s="158"/>
      <c r="M58" s="71"/>
      <c r="N58" s="71"/>
      <c r="O58" s="71"/>
      <c r="P58" s="596"/>
      <c r="Q58" s="1848" t="str">
        <f>CHOOSE(2, "6722000002977", "Total PC Personnel Costs Total Included in COGS")</f>
        <v>Total PC Personnel Costs Total Included in COGS</v>
      </c>
      <c r="R58" s="2206">
        <f>R835</f>
        <v>16742</v>
      </c>
      <c r="S58" s="2206">
        <f t="shared" ref="S58:AC58" si="90">S835</f>
        <v>17045</v>
      </c>
      <c r="T58" s="2206">
        <f t="shared" si="90"/>
        <v>17009</v>
      </c>
      <c r="U58" s="2206">
        <f t="shared" si="90"/>
        <v>18805</v>
      </c>
      <c r="V58" s="2206">
        <f t="shared" si="90"/>
        <v>17345.275249999995</v>
      </c>
      <c r="W58" s="2206">
        <f t="shared" si="90"/>
        <v>16553.602988523315</v>
      </c>
      <c r="X58" s="2206">
        <f t="shared" si="90"/>
        <v>28963</v>
      </c>
      <c r="Y58" s="2206">
        <f t="shared" si="90"/>
        <v>16336</v>
      </c>
      <c r="Z58" s="2206">
        <f t="shared" si="90"/>
        <v>16638</v>
      </c>
      <c r="AA58" s="2207">
        <f t="shared" si="90"/>
        <v>16254</v>
      </c>
      <c r="AB58" s="2207">
        <f t="shared" si="90"/>
        <v>25775</v>
      </c>
      <c r="AC58" s="2207">
        <f t="shared" si="90"/>
        <v>13377</v>
      </c>
      <c r="AD58" s="1518">
        <f>SUM(R58,S58,T58)</f>
        <v>50796</v>
      </c>
      <c r="AE58" s="157">
        <f t="shared" si="87"/>
        <v>52703.878238523306</v>
      </c>
      <c r="AF58" s="157">
        <f t="shared" si="88"/>
        <v>61937</v>
      </c>
      <c r="AG58" s="157">
        <f t="shared" si="89"/>
        <v>55406</v>
      </c>
      <c r="AH58" s="157">
        <f>AD58+AE58</f>
        <v>103499.87823852331</v>
      </c>
      <c r="AI58" s="157">
        <f>AG58+AF58</f>
        <v>117343</v>
      </c>
      <c r="AJ58" s="157">
        <f>AH58+AI58</f>
        <v>220842.87823852332</v>
      </c>
      <c r="AL58" s="2207">
        <f ca="1">SUM((INDIRECT(AL$2&amp;(ROW())):INDIRECT(AL$3&amp;(ROW()))))</f>
        <v>13377</v>
      </c>
      <c r="AM58" s="2207">
        <f ca="1">SUM(INDIRECT(AM$1&amp;AM$2&amp;$C58):INDIRECT(AM$1&amp;AM$3&amp;$C58))</f>
        <v>0</v>
      </c>
      <c r="AN58" s="2479">
        <f ca="1">AL58-AM58</f>
        <v>13377</v>
      </c>
      <c r="AO58" s="2480">
        <f ca="1">IFERROR(AL58/AM58,0)</f>
        <v>0</v>
      </c>
      <c r="AP58" s="2207">
        <f ca="1">SUM(INDIRECT(AP$1&amp;AP$2&amp;$A58):INDIRECT(AP$1&amp;AP$3&amp;$A58))+SUM(INDIRECT(AP$1&amp;AP$2&amp;$B58):INDIRECT(AP$1&amp;AP$3&amp;$B58))</f>
        <v>14704</v>
      </c>
      <c r="AQ58" s="2479">
        <f ca="1">AL58-AP58</f>
        <v>-1327</v>
      </c>
      <c r="AR58" s="2480">
        <f ca="1">IFERROR(AL58/AP58,0)</f>
        <v>0.90975244831338409</v>
      </c>
      <c r="AT58" s="2207">
        <f ca="1">SUM((INDIRECT(AT$2&amp;(ROW())):INDIRECT(AT$3&amp;(ROW()))))</f>
        <v>55406</v>
      </c>
      <c r="AU58" s="2207">
        <f ca="1">SUM(INDIRECT(AU$1&amp;AU$2&amp;$C58):INDIRECT(AU$1&amp;AU$3&amp;$C58))</f>
        <v>0</v>
      </c>
      <c r="AV58" s="2479">
        <f ca="1">AT58-AU58</f>
        <v>55406</v>
      </c>
      <c r="AW58" s="2480">
        <f ca="1">IFERROR(AT58/AU58,0)</f>
        <v>0</v>
      </c>
      <c r="AX58" s="2207">
        <f ca="1">SUM(INDIRECT(AX$1&amp;AX$2&amp;$A58):INDIRECT(AX$1&amp;AX$3&amp;$A58))+SUM(INDIRECT(AX$1&amp;AX$2&amp;$B58):INDIRECT(AX$1&amp;AX$3&amp;$B58))</f>
        <v>43800</v>
      </c>
      <c r="AY58" s="2479">
        <f ca="1">AT58-AX58</f>
        <v>11606</v>
      </c>
      <c r="AZ58" s="2480">
        <f ca="1">IFERROR(AT58/AX58,0)</f>
        <v>1.2649771689497717</v>
      </c>
      <c r="BB58" s="2207">
        <f ca="1">SUM((INDIRECT(BB$2&amp;(ROW())):INDIRECT(BB$3&amp;(ROW()))))</f>
        <v>220842.87823852332</v>
      </c>
      <c r="BC58" s="2207">
        <f ca="1">SUM(INDIRECT(BC$1&amp;BC$2&amp;$C58):INDIRECT(BC$1&amp;BC$3&amp;$C58))</f>
        <v>0</v>
      </c>
      <c r="BD58" s="2479">
        <f ca="1">BB58-BC58</f>
        <v>220842.87823852332</v>
      </c>
      <c r="BE58" s="2480">
        <f ca="1">IFERROR(BB58/BC58,0)</f>
        <v>0</v>
      </c>
      <c r="BF58" s="2207">
        <f ca="1">SUM(INDIRECT(BF$1&amp;BF$2&amp;$A58):INDIRECT(BF$1&amp;BF$3&amp;$A58))+SUM(INDIRECT(BF$1&amp;BF$2&amp;$B58):INDIRECT(BF$1&amp;BF$3&amp;$B58))</f>
        <v>180807</v>
      </c>
      <c r="BG58" s="2479">
        <f ca="1">BB58-BF58</f>
        <v>40035.878238523321</v>
      </c>
      <c r="BH58" s="2480">
        <f ca="1">IFERROR(BB58/BF58,0)</f>
        <v>1.2214288066198948</v>
      </c>
    </row>
    <row r="59" spans="1:60" ht="14.5">
      <c r="A59" s="990">
        <f t="shared" si="76"/>
        <v>56</v>
      </c>
      <c r="B59" s="990">
        <v>1</v>
      </c>
      <c r="C59" s="990">
        <f t="shared" si="2"/>
        <v>56</v>
      </c>
      <c r="D59" s="1121" t="s">
        <v>887</v>
      </c>
      <c r="E59" s="1243">
        <v>1</v>
      </c>
      <c r="I59" s="156"/>
      <c r="J59" s="155" t="s">
        <v>311</v>
      </c>
      <c r="K59" s="18"/>
      <c r="L59" s="18"/>
      <c r="M59" s="12"/>
      <c r="N59" s="12"/>
      <c r="O59" s="12"/>
      <c r="P59" s="12"/>
      <c r="Q59" s="1843" t="str">
        <f>CHOOSE(2, "6722000002978", "Total PC Personnel Costs Total Included in SG&amp;A")</f>
        <v>Total PC Personnel Costs Total Included in SG&amp;A</v>
      </c>
      <c r="R59" s="17">
        <f t="shared" ref="R59:AC59" si="91">R44</f>
        <v>57774</v>
      </c>
      <c r="S59" s="17">
        <f t="shared" si="91"/>
        <v>56593</v>
      </c>
      <c r="T59" s="17">
        <f t="shared" si="91"/>
        <v>57778.432999999997</v>
      </c>
      <c r="U59" s="17">
        <f t="shared" si="91"/>
        <v>54815.107739999999</v>
      </c>
      <c r="V59" s="17">
        <f t="shared" si="91"/>
        <v>57126.27</v>
      </c>
      <c r="W59" s="17">
        <f t="shared" si="91"/>
        <v>61330.030000000006</v>
      </c>
      <c r="X59" s="17">
        <f t="shared" si="91"/>
        <v>88176.45</v>
      </c>
      <c r="Y59" s="17">
        <f t="shared" si="91"/>
        <v>66066.114000000001</v>
      </c>
      <c r="Z59" s="17">
        <f t="shared" si="91"/>
        <v>68140.902099999992</v>
      </c>
      <c r="AA59" s="142">
        <f t="shared" si="91"/>
        <v>65666.001000000004</v>
      </c>
      <c r="AB59" s="142">
        <f t="shared" si="91"/>
        <v>63322.265999999996</v>
      </c>
      <c r="AC59" s="142">
        <f t="shared" si="91"/>
        <v>55750.8968456277</v>
      </c>
      <c r="AD59" s="141">
        <f>SUM(R59,S59,T59)</f>
        <v>172145.43299999999</v>
      </c>
      <c r="AE59" s="142">
        <f t="shared" si="87"/>
        <v>173271.40774</v>
      </c>
      <c r="AF59" s="142">
        <f t="shared" si="88"/>
        <v>222383.46610000002</v>
      </c>
      <c r="AG59" s="142">
        <f t="shared" si="89"/>
        <v>184739.16384562769</v>
      </c>
      <c r="AH59" s="142">
        <f>AD59+AE59</f>
        <v>345416.84074000001</v>
      </c>
      <c r="AI59" s="142">
        <f>AG59+AF59</f>
        <v>407122.6299456277</v>
      </c>
      <c r="AJ59" s="142">
        <f>AH59+AI59</f>
        <v>752539.47068562778</v>
      </c>
      <c r="AL59" s="142">
        <f ca="1">SUM((INDIRECT(AL$2&amp;(ROW())):INDIRECT(AL$3&amp;(ROW()))))</f>
        <v>55750.8968456277</v>
      </c>
      <c r="AM59" s="142">
        <f ca="1">SUM(INDIRECT(AM$1&amp;AM$2&amp;$C59):INDIRECT(AM$1&amp;AM$3&amp;$C59))</f>
        <v>0</v>
      </c>
      <c r="AN59" s="877">
        <f ca="1">AL59-AM59</f>
        <v>55750.8968456277</v>
      </c>
      <c r="AO59" s="928">
        <f ca="1">IFERROR(AL59/AM59,0)</f>
        <v>0</v>
      </c>
      <c r="AP59" s="142">
        <f ca="1">SUM(INDIRECT(AP$1&amp;AP$2&amp;$A59):INDIRECT(AP$1&amp;AP$3&amp;$A59))+SUM(INDIRECT(AP$1&amp;AP$2&amp;$B59):INDIRECT(AP$1&amp;AP$3&amp;$B59))</f>
        <v>68997</v>
      </c>
      <c r="AQ59" s="877">
        <f ca="1">AL59-AP59</f>
        <v>-13246.1031543723</v>
      </c>
      <c r="AR59" s="928">
        <f ca="1">IFERROR(AL59/AP59,0)</f>
        <v>0.80801914352258364</v>
      </c>
      <c r="AT59" s="142">
        <f ca="1">SUM((INDIRECT(AT$2&amp;(ROW())):INDIRECT(AT$3&amp;(ROW()))))</f>
        <v>184739.16384562769</v>
      </c>
      <c r="AU59" s="142">
        <f ca="1">SUM(INDIRECT(AU$1&amp;AU$2&amp;$C59):INDIRECT(AU$1&amp;AU$3&amp;$C59))</f>
        <v>0</v>
      </c>
      <c r="AV59" s="877">
        <f ca="1">AT59-AU59</f>
        <v>184739.16384562769</v>
      </c>
      <c r="AW59" s="928">
        <f ca="1">IFERROR(AT59/AU59,0)</f>
        <v>0</v>
      </c>
      <c r="AX59" s="142">
        <f ca="1">SUM(INDIRECT(AX$1&amp;AX$2&amp;$A59):INDIRECT(AX$1&amp;AX$3&amp;$A59))+SUM(INDIRECT(AX$1&amp;AX$2&amp;$B59):INDIRECT(AX$1&amp;AX$3&amp;$B59))</f>
        <v>195493</v>
      </c>
      <c r="AY59" s="877">
        <f ca="1">AT59-AX59</f>
        <v>-10753.836154372315</v>
      </c>
      <c r="AZ59" s="928">
        <f ca="1">IFERROR(AT59/AX59,0)</f>
        <v>0.94499119582607916</v>
      </c>
      <c r="BB59" s="142">
        <f ca="1">SUM((INDIRECT(BB$2&amp;(ROW())):INDIRECT(BB$3&amp;(ROW()))))</f>
        <v>752539.47068562766</v>
      </c>
      <c r="BC59" s="142">
        <f ca="1">SUM(INDIRECT(BC$1&amp;BC$2&amp;$C59):INDIRECT(BC$1&amp;BC$3&amp;$C59))</f>
        <v>0</v>
      </c>
      <c r="BD59" s="877">
        <f ca="1">BB59-BC59</f>
        <v>752539.47068562766</v>
      </c>
      <c r="BE59" s="928">
        <f ca="1">IFERROR(BB59/BC59,0)</f>
        <v>0</v>
      </c>
      <c r="BF59" s="142">
        <f ca="1">SUM(INDIRECT(BF$1&amp;BF$2&amp;$A59):INDIRECT(BF$1&amp;BF$3&amp;$A59))+SUM(INDIRECT(BF$1&amp;BF$2&amp;$B59):INDIRECT(BF$1&amp;BF$3&amp;$B59))</f>
        <v>660760</v>
      </c>
      <c r="BG59" s="877">
        <f ca="1">BB59-BF59</f>
        <v>91779.470685627661</v>
      </c>
      <c r="BH59" s="928">
        <f ca="1">IFERROR(BB59/BF59,0)</f>
        <v>1.1388998587772075</v>
      </c>
    </row>
    <row r="60" spans="1:60" ht="14.5">
      <c r="A60" s="990">
        <f t="shared" si="76"/>
        <v>57</v>
      </c>
      <c r="B60" s="990">
        <v>1</v>
      </c>
      <c r="C60" s="990">
        <f t="shared" si="2"/>
        <v>57</v>
      </c>
      <c r="D60" s="1121" t="s">
        <v>887</v>
      </c>
      <c r="E60" s="1243">
        <v>1</v>
      </c>
      <c r="I60" s="289"/>
      <c r="Q60" s="1838" t="str">
        <f>CHOOSE(2, "6722000002979", "▷ Blank 4")</f>
        <v>▷ Blank 4</v>
      </c>
      <c r="R60" s="2200"/>
      <c r="AA60" s="163"/>
      <c r="AB60" s="163"/>
      <c r="AC60" s="163"/>
      <c r="AD60" s="163"/>
      <c r="AE60" s="163"/>
      <c r="AF60" s="163"/>
      <c r="AG60" s="163"/>
      <c r="AH60" s="163"/>
      <c r="AI60" s="163"/>
      <c r="AJ60" s="868"/>
      <c r="AL60" s="163"/>
      <c r="AM60" s="163"/>
      <c r="AN60" s="163"/>
      <c r="AO60" s="163"/>
      <c r="AP60" s="163"/>
      <c r="AQ60" s="163"/>
      <c r="AR60" s="163"/>
      <c r="AT60" s="163"/>
      <c r="AU60" s="163"/>
      <c r="AV60" s="163"/>
      <c r="AW60" s="163"/>
      <c r="AX60" s="163"/>
      <c r="AY60" s="163"/>
      <c r="AZ60" s="163"/>
      <c r="BB60" s="163"/>
      <c r="BC60" s="163"/>
      <c r="BD60" s="163"/>
      <c r="BE60" s="163"/>
      <c r="BF60" s="163"/>
      <c r="BG60" s="163"/>
      <c r="BH60" s="163"/>
    </row>
    <row r="61" spans="1:60" ht="16.5" customHeight="1">
      <c r="A61" s="990">
        <f t="shared" si="76"/>
        <v>58</v>
      </c>
      <c r="B61" s="990">
        <v>1</v>
      </c>
      <c r="C61" s="990">
        <f t="shared" si="2"/>
        <v>58</v>
      </c>
      <c r="D61" s="1121" t="s">
        <v>887</v>
      </c>
      <c r="E61" s="1243">
        <v>1</v>
      </c>
      <c r="G61" s="462" t="s">
        <v>500</v>
      </c>
      <c r="I61" s="152"/>
      <c r="J61" s="152"/>
      <c r="K61" s="152"/>
      <c r="L61" s="152"/>
      <c r="M61" s="152"/>
      <c r="N61" s="152"/>
      <c r="O61" s="152"/>
      <c r="P61" s="152"/>
      <c r="Q61" s="1843" t="str">
        <f>CHOOSE(2, "6722000002980", "1-4.Break-down of Other Income, Other Expense")</f>
        <v>1-4.Break-down of Other Income, Other Expense</v>
      </c>
      <c r="R61" s="2208"/>
      <c r="AA61" s="163"/>
      <c r="AB61" s="163"/>
      <c r="AC61" s="163"/>
      <c r="AD61" s="163"/>
      <c r="AE61" s="163"/>
      <c r="AF61" s="163"/>
      <c r="AG61" s="163"/>
      <c r="AH61" s="163"/>
      <c r="AI61" s="163"/>
      <c r="AJ61" s="868"/>
      <c r="AL61" s="163"/>
      <c r="AM61" s="163"/>
      <c r="AN61" s="163"/>
      <c r="AO61" s="163"/>
      <c r="AP61" s="163"/>
      <c r="AQ61" s="163"/>
      <c r="AR61" s="163"/>
      <c r="AT61" s="163"/>
      <c r="AU61" s="163"/>
      <c r="AV61" s="163"/>
      <c r="AW61" s="163"/>
      <c r="AX61" s="163"/>
      <c r="AY61" s="163"/>
      <c r="AZ61" s="163"/>
      <c r="BB61" s="163"/>
      <c r="BC61" s="163"/>
      <c r="BD61" s="163"/>
      <c r="BE61" s="163"/>
      <c r="BF61" s="163"/>
      <c r="BG61" s="163"/>
      <c r="BH61" s="163"/>
    </row>
    <row r="62" spans="1:60" ht="14.5">
      <c r="A62" s="990">
        <f t="shared" si="76"/>
        <v>59</v>
      </c>
      <c r="B62" s="990">
        <v>1</v>
      </c>
      <c r="C62" s="990">
        <f t="shared" si="2"/>
        <v>59</v>
      </c>
      <c r="D62" s="1121" t="s">
        <v>887</v>
      </c>
      <c r="E62" s="1243">
        <v>1</v>
      </c>
      <c r="I62" s="149" t="s">
        <v>138</v>
      </c>
      <c r="J62" s="154"/>
      <c r="K62" s="154"/>
      <c r="L62" s="154"/>
      <c r="M62" s="154"/>
      <c r="N62" s="154"/>
      <c r="O62" s="154"/>
      <c r="P62" s="1157"/>
      <c r="Q62" s="1843" t="str">
        <f>CHOOSE(2, "6722000002981", "BO,OE Other income")</f>
        <v>BO,OE Other income</v>
      </c>
      <c r="R62" s="2058">
        <f t="shared" ref="R62:AC62" si="92">R26</f>
        <v>9951</v>
      </c>
      <c r="S62" s="2058">
        <f t="shared" si="92"/>
        <v>376</v>
      </c>
      <c r="T62" s="2058">
        <f t="shared" si="92"/>
        <v>21.466273979496748</v>
      </c>
      <c r="U62" s="2058">
        <f t="shared" si="92"/>
        <v>236</v>
      </c>
      <c r="V62" s="2058">
        <f t="shared" si="92"/>
        <v>440.28</v>
      </c>
      <c r="W62" s="2058">
        <f t="shared" si="92"/>
        <v>20</v>
      </c>
      <c r="X62" s="2058">
        <f t="shared" si="92"/>
        <v>0</v>
      </c>
      <c r="Y62" s="2058">
        <f t="shared" si="92"/>
        <v>277</v>
      </c>
      <c r="Z62" s="2058">
        <f t="shared" si="92"/>
        <v>90965.32</v>
      </c>
      <c r="AA62" s="2058">
        <f t="shared" si="92"/>
        <v>5293</v>
      </c>
      <c r="AB62" s="2058">
        <f t="shared" si="92"/>
        <v>1273.2400000000002</v>
      </c>
      <c r="AC62" s="2058">
        <f t="shared" si="92"/>
        <v>34895.301446465513</v>
      </c>
      <c r="AD62" s="840">
        <f t="shared" ref="AD62:AJ62" si="93">AD26</f>
        <v>10348.466273979497</v>
      </c>
      <c r="AE62" s="148">
        <f t="shared" si="93"/>
        <v>696.28</v>
      </c>
      <c r="AF62" s="148">
        <f t="shared" si="93"/>
        <v>91242.32</v>
      </c>
      <c r="AG62" s="148">
        <f t="shared" si="93"/>
        <v>41461.541446465511</v>
      </c>
      <c r="AH62" s="148">
        <f t="shared" si="93"/>
        <v>11044.746273979497</v>
      </c>
      <c r="AI62" s="148">
        <f t="shared" si="93"/>
        <v>132703.86144646551</v>
      </c>
      <c r="AJ62" s="147">
        <f t="shared" si="93"/>
        <v>143748.607720445</v>
      </c>
      <c r="AL62" s="2115">
        <f ca="1">SUM((INDIRECT(AL$2&amp;(ROW())):INDIRECT(AL$3&amp;(ROW()))))</f>
        <v>34895.301446465513</v>
      </c>
      <c r="AM62" s="2481">
        <f ca="1">SUM(INDIRECT(AM$1&amp;AM$2&amp;$C62):INDIRECT(AM$1&amp;AM$3&amp;$C62))</f>
        <v>0</v>
      </c>
      <c r="AN62" s="2482">
        <f t="shared" ref="AN62:AN73" ca="1" si="94">AL62-AM62</f>
        <v>34895.301446465513</v>
      </c>
      <c r="AO62" s="2483">
        <f t="shared" ref="AO62:AO73" ca="1" si="95">IFERROR(AL62/AM62,0)</f>
        <v>0</v>
      </c>
      <c r="AP62" s="2481">
        <f ca="1">SUM(INDIRECT(AP$1&amp;AP$2&amp;$A62):INDIRECT(AP$1&amp;AP$3&amp;$A62))+SUM(INDIRECT(AP$1&amp;AP$2&amp;$B62):INDIRECT(AP$1&amp;AP$3&amp;$B62))</f>
        <v>36050</v>
      </c>
      <c r="AQ62" s="2482">
        <f t="shared" ref="AQ62:AQ73" ca="1" si="96">AL62-AP62</f>
        <v>-1154.6985535344866</v>
      </c>
      <c r="AR62" s="2483">
        <f t="shared" ref="AR62:AR73" ca="1" si="97">IFERROR(AL62/AP62,0)</f>
        <v>0.96796952694772576</v>
      </c>
      <c r="AT62" s="2115">
        <f ca="1">SUM((INDIRECT(AT$2&amp;(ROW())):INDIRECT(AT$3&amp;(ROW()))))</f>
        <v>41461.541446465511</v>
      </c>
      <c r="AU62" s="2481">
        <f ca="1">SUM(INDIRECT(AU$1&amp;AU$2&amp;$C62):INDIRECT(AU$1&amp;AU$3&amp;$C62))</f>
        <v>0</v>
      </c>
      <c r="AV62" s="2482">
        <f t="shared" ref="AV62:AV73" ca="1" si="98">AT62-AU62</f>
        <v>41461.541446465511</v>
      </c>
      <c r="AW62" s="2483">
        <f t="shared" ref="AW62:AW73" ca="1" si="99">IFERROR(AT62/AU62,0)</f>
        <v>0</v>
      </c>
      <c r="AX62" s="2481">
        <f ca="1">SUM(INDIRECT(AX$1&amp;AX$2&amp;$A62):INDIRECT(AX$1&amp;AX$3&amp;$A62))+SUM(INDIRECT(AX$1&amp;AX$2&amp;$B62):INDIRECT(AX$1&amp;AX$3&amp;$B62))</f>
        <v>36450</v>
      </c>
      <c r="AY62" s="2482">
        <f t="shared" ref="AY62:AY73" ca="1" si="100">AT62-AX62</f>
        <v>5011.5414464655114</v>
      </c>
      <c r="AZ62" s="2483">
        <f t="shared" ref="AZ62:AZ73" ca="1" si="101">IFERROR(AT62/AX62,0)</f>
        <v>1.1374908490113995</v>
      </c>
      <c r="BB62" s="2115">
        <f ca="1">SUM((INDIRECT(BB$2&amp;(ROW())):INDIRECT(BB$3&amp;(ROW()))))</f>
        <v>143748.60772044503</v>
      </c>
      <c r="BC62" s="2481">
        <f ca="1">SUM(INDIRECT(BC$1&amp;BC$2&amp;$C62):INDIRECT(BC$1&amp;BC$3&amp;$C62))</f>
        <v>0</v>
      </c>
      <c r="BD62" s="2482">
        <f t="shared" ref="BD62:BD73" ca="1" si="102">BB62-BC62</f>
        <v>143748.60772044503</v>
      </c>
      <c r="BE62" s="2483">
        <f t="shared" ref="BE62:BE73" ca="1" si="103">IFERROR(BB62/BC62,0)</f>
        <v>0</v>
      </c>
      <c r="BF62" s="2481">
        <f ca="1">SUM(INDIRECT(BF$1&amp;BF$2&amp;$A62):INDIRECT(BF$1&amp;BF$3&amp;$A62))+SUM(INDIRECT(BF$1&amp;BF$2&amp;$B62):INDIRECT(BF$1&amp;BF$3&amp;$B62))</f>
        <v>53624</v>
      </c>
      <c r="BG62" s="2482">
        <f t="shared" ref="BG62:BG73" ca="1" si="104">BB62-BF62</f>
        <v>90124.607720445027</v>
      </c>
      <c r="BH62" s="2483">
        <f t="shared" ref="BH62:BH73" ca="1" si="105">IFERROR(BB62/BF62,0)</f>
        <v>2.6806767067067923</v>
      </c>
    </row>
    <row r="63" spans="1:60" ht="14.5">
      <c r="A63" s="990">
        <f t="shared" si="76"/>
        <v>60</v>
      </c>
      <c r="B63" s="990">
        <v>1</v>
      </c>
      <c r="C63" s="990">
        <f t="shared" si="2"/>
        <v>60</v>
      </c>
      <c r="D63" s="1121" t="s">
        <v>887</v>
      </c>
      <c r="E63" s="1243">
        <v>1</v>
      </c>
      <c r="I63" s="153"/>
      <c r="J63" s="9" t="s">
        <v>193</v>
      </c>
      <c r="K63" s="152"/>
      <c r="L63" s="152"/>
      <c r="M63" s="152"/>
      <c r="N63" s="152"/>
      <c r="O63" s="152"/>
      <c r="P63" s="152"/>
      <c r="Q63" s="1847" t="str">
        <f>CHOOSE(2, "6722000002982", "BO,OE Other income  RP,PE")</f>
        <v>BO,OE Other income  RP,PE</v>
      </c>
      <c r="R63" s="2091">
        <v>0</v>
      </c>
      <c r="S63" s="2091">
        <v>0</v>
      </c>
      <c r="T63" s="2091">
        <v>0</v>
      </c>
      <c r="U63" s="2091">
        <v>0</v>
      </c>
      <c r="V63" s="2091">
        <v>0</v>
      </c>
      <c r="W63" s="2091">
        <v>0</v>
      </c>
      <c r="X63" s="2091">
        <v>0</v>
      </c>
      <c r="Y63" s="2091">
        <v>0</v>
      </c>
      <c r="Z63" s="2091">
        <v>0</v>
      </c>
      <c r="AA63" s="2091">
        <v>0</v>
      </c>
      <c r="AB63" s="2091">
        <v>0</v>
      </c>
      <c r="AC63" s="2091">
        <v>0</v>
      </c>
      <c r="AD63" s="144">
        <f>SUM(R63,S63,T63)</f>
        <v>0</v>
      </c>
      <c r="AE63" s="145">
        <f t="shared" ref="AE63:AE66" si="106">SUM(U63,V63,W63)</f>
        <v>0</v>
      </c>
      <c r="AF63" s="145">
        <f t="shared" ref="AF63:AF66" si="107">SUM(X63,Y63,Z63)</f>
        <v>0</v>
      </c>
      <c r="AG63" s="145">
        <f t="shared" ref="AG63:AG66" si="108">SUM(AA63,AB63,AC63)</f>
        <v>0</v>
      </c>
      <c r="AH63" s="145">
        <f>AD63+AE63</f>
        <v>0</v>
      </c>
      <c r="AI63" s="145">
        <f>AG63+AF63</f>
        <v>0</v>
      </c>
      <c r="AJ63" s="144">
        <f>AH63+AI63</f>
        <v>0</v>
      </c>
      <c r="AL63" s="145">
        <f ca="1">SUM((INDIRECT(AL$2&amp;(ROW())):INDIRECT(AL$3&amp;(ROW()))))</f>
        <v>0</v>
      </c>
      <c r="AM63" s="144">
        <f ca="1">SUM(INDIRECT(AM$1&amp;AM$2&amp;$C63):INDIRECT(AM$1&amp;AM$3&amp;$C63))</f>
        <v>0</v>
      </c>
      <c r="AN63" s="878">
        <f t="shared" ca="1" si="94"/>
        <v>0</v>
      </c>
      <c r="AO63" s="929">
        <f t="shared" ca="1" si="95"/>
        <v>0</v>
      </c>
      <c r="AP63" s="144">
        <f ca="1">SUM(INDIRECT(AP$1&amp;AP$2&amp;$A63):INDIRECT(AP$1&amp;AP$3&amp;$A63))+SUM(INDIRECT(AP$1&amp;AP$2&amp;$B63):INDIRECT(AP$1&amp;AP$3&amp;$B63))</f>
        <v>0</v>
      </c>
      <c r="AQ63" s="878">
        <f t="shared" ca="1" si="96"/>
        <v>0</v>
      </c>
      <c r="AR63" s="929">
        <f t="shared" ca="1" si="97"/>
        <v>0</v>
      </c>
      <c r="AT63" s="145">
        <f ca="1">SUM((INDIRECT(AT$2&amp;(ROW())):INDIRECT(AT$3&amp;(ROW()))))</f>
        <v>0</v>
      </c>
      <c r="AU63" s="144">
        <f ca="1">SUM(INDIRECT(AU$1&amp;AU$2&amp;$C63):INDIRECT(AU$1&amp;AU$3&amp;$C63))</f>
        <v>0</v>
      </c>
      <c r="AV63" s="878">
        <f t="shared" ca="1" si="98"/>
        <v>0</v>
      </c>
      <c r="AW63" s="929">
        <f t="shared" ca="1" si="99"/>
        <v>0</v>
      </c>
      <c r="AX63" s="144">
        <f ca="1">SUM(INDIRECT(AX$1&amp;AX$2&amp;$A63):INDIRECT(AX$1&amp;AX$3&amp;$A63))+SUM(INDIRECT(AX$1&amp;AX$2&amp;$B63):INDIRECT(AX$1&amp;AX$3&amp;$B63))</f>
        <v>0</v>
      </c>
      <c r="AY63" s="878">
        <f t="shared" ca="1" si="100"/>
        <v>0</v>
      </c>
      <c r="AZ63" s="929">
        <f t="shared" ca="1" si="101"/>
        <v>0</v>
      </c>
      <c r="BB63" s="145">
        <f ca="1">SUM((INDIRECT(BB$2&amp;(ROW())):INDIRECT(BB$3&amp;(ROW()))))</f>
        <v>0</v>
      </c>
      <c r="BC63" s="144">
        <f ca="1">SUM(INDIRECT(BC$1&amp;BC$2&amp;$C63):INDIRECT(BC$1&amp;BC$3&amp;$C63))</f>
        <v>0</v>
      </c>
      <c r="BD63" s="878">
        <f t="shared" ca="1" si="102"/>
        <v>0</v>
      </c>
      <c r="BE63" s="929">
        <f t="shared" ca="1" si="103"/>
        <v>0</v>
      </c>
      <c r="BF63" s="144">
        <f ca="1">SUM(INDIRECT(BF$1&amp;BF$2&amp;$A63):INDIRECT(BF$1&amp;BF$3&amp;$A63))+SUM(INDIRECT(BF$1&amp;BF$2&amp;$B63):INDIRECT(BF$1&amp;BF$3&amp;$B63))</f>
        <v>0</v>
      </c>
      <c r="BG63" s="878">
        <f t="shared" ca="1" si="104"/>
        <v>0</v>
      </c>
      <c r="BH63" s="929">
        <f t="shared" ca="1" si="105"/>
        <v>0</v>
      </c>
    </row>
    <row r="64" spans="1:60" ht="14.5">
      <c r="A64" s="990">
        <f t="shared" si="76"/>
        <v>61</v>
      </c>
      <c r="B64" s="990">
        <v>1</v>
      </c>
      <c r="C64" s="990">
        <f t="shared" si="2"/>
        <v>61</v>
      </c>
      <c r="D64" s="1121" t="s">
        <v>887</v>
      </c>
      <c r="E64" s="1243">
        <v>1</v>
      </c>
      <c r="I64" s="153"/>
      <c r="J64" s="9" t="s">
        <v>140</v>
      </c>
      <c r="K64" s="152"/>
      <c r="L64" s="152"/>
      <c r="M64" s="152"/>
      <c r="N64" s="152"/>
      <c r="O64" s="152"/>
      <c r="P64" s="152"/>
      <c r="Q64" s="1847" t="str">
        <f>CHOOSE(2, "6722000002983", "BO,OE Other income  Commissions and Fees Income")</f>
        <v>BO,OE Other income  Commissions and Fees Income</v>
      </c>
      <c r="R64" s="2091">
        <v>0</v>
      </c>
      <c r="S64" s="2091">
        <v>0</v>
      </c>
      <c r="T64" s="2091">
        <v>0</v>
      </c>
      <c r="U64" s="2091">
        <v>0</v>
      </c>
      <c r="V64" s="2091">
        <v>0</v>
      </c>
      <c r="W64" s="2091">
        <v>0</v>
      </c>
      <c r="X64" s="2091">
        <v>0</v>
      </c>
      <c r="Y64" s="2091">
        <v>0</v>
      </c>
      <c r="Z64" s="2091">
        <v>0</v>
      </c>
      <c r="AA64" s="2091">
        <v>0</v>
      </c>
      <c r="AB64" s="2091">
        <v>0</v>
      </c>
      <c r="AC64" s="2091">
        <v>0</v>
      </c>
      <c r="AD64" s="144">
        <f>SUM(R64,S64,T64)</f>
        <v>0</v>
      </c>
      <c r="AE64" s="145">
        <f t="shared" si="106"/>
        <v>0</v>
      </c>
      <c r="AF64" s="145">
        <f t="shared" si="107"/>
        <v>0</v>
      </c>
      <c r="AG64" s="145">
        <f t="shared" si="108"/>
        <v>0</v>
      </c>
      <c r="AH64" s="145">
        <f>AD64+AE64</f>
        <v>0</v>
      </c>
      <c r="AI64" s="145">
        <f>AG64+AF64</f>
        <v>0</v>
      </c>
      <c r="AJ64" s="144">
        <f>AH64+AI64</f>
        <v>0</v>
      </c>
      <c r="AL64" s="145">
        <f ca="1">SUM((INDIRECT(AL$2&amp;(ROW())):INDIRECT(AL$3&amp;(ROW()))))</f>
        <v>0</v>
      </c>
      <c r="AM64" s="144">
        <f ca="1">SUM(INDIRECT(AM$1&amp;AM$2&amp;$C64):INDIRECT(AM$1&amp;AM$3&amp;$C64))</f>
        <v>0</v>
      </c>
      <c r="AN64" s="878">
        <f t="shared" ca="1" si="94"/>
        <v>0</v>
      </c>
      <c r="AO64" s="929">
        <f t="shared" ca="1" si="95"/>
        <v>0</v>
      </c>
      <c r="AP64" s="144">
        <f ca="1">SUM(INDIRECT(AP$1&amp;AP$2&amp;$A64):INDIRECT(AP$1&amp;AP$3&amp;$A64))+SUM(INDIRECT(AP$1&amp;AP$2&amp;$B64):INDIRECT(AP$1&amp;AP$3&amp;$B64))</f>
        <v>0</v>
      </c>
      <c r="AQ64" s="878">
        <f t="shared" ca="1" si="96"/>
        <v>0</v>
      </c>
      <c r="AR64" s="929">
        <f t="shared" ca="1" si="97"/>
        <v>0</v>
      </c>
      <c r="AT64" s="145">
        <f ca="1">SUM((INDIRECT(AT$2&amp;(ROW())):INDIRECT(AT$3&amp;(ROW()))))</f>
        <v>0</v>
      </c>
      <c r="AU64" s="144">
        <f ca="1">SUM(INDIRECT(AU$1&amp;AU$2&amp;$C64):INDIRECT(AU$1&amp;AU$3&amp;$C64))</f>
        <v>0</v>
      </c>
      <c r="AV64" s="878">
        <f t="shared" ca="1" si="98"/>
        <v>0</v>
      </c>
      <c r="AW64" s="929">
        <f t="shared" ca="1" si="99"/>
        <v>0</v>
      </c>
      <c r="AX64" s="144">
        <f ca="1">SUM(INDIRECT(AX$1&amp;AX$2&amp;$A64):INDIRECT(AX$1&amp;AX$3&amp;$A64))+SUM(INDIRECT(AX$1&amp;AX$2&amp;$B64):INDIRECT(AX$1&amp;AX$3&amp;$B64))</f>
        <v>0</v>
      </c>
      <c r="AY64" s="878">
        <f t="shared" ca="1" si="100"/>
        <v>0</v>
      </c>
      <c r="AZ64" s="929">
        <f t="shared" ca="1" si="101"/>
        <v>0</v>
      </c>
      <c r="BB64" s="145">
        <f ca="1">SUM((INDIRECT(BB$2&amp;(ROW())):INDIRECT(BB$3&amp;(ROW()))))</f>
        <v>0</v>
      </c>
      <c r="BC64" s="144">
        <f ca="1">SUM(INDIRECT(BC$1&amp;BC$2&amp;$C64):INDIRECT(BC$1&amp;BC$3&amp;$C64))</f>
        <v>0</v>
      </c>
      <c r="BD64" s="878">
        <f t="shared" ca="1" si="102"/>
        <v>0</v>
      </c>
      <c r="BE64" s="929">
        <f t="shared" ca="1" si="103"/>
        <v>0</v>
      </c>
      <c r="BF64" s="144">
        <f ca="1">SUM(INDIRECT(BF$1&amp;BF$2&amp;$A64):INDIRECT(BF$1&amp;BF$3&amp;$A64))+SUM(INDIRECT(BF$1&amp;BF$2&amp;$B64):INDIRECT(BF$1&amp;BF$3&amp;$B64))</f>
        <v>0</v>
      </c>
      <c r="BG64" s="878">
        <f t="shared" ca="1" si="104"/>
        <v>0</v>
      </c>
      <c r="BH64" s="929">
        <f t="shared" ca="1" si="105"/>
        <v>0</v>
      </c>
    </row>
    <row r="65" spans="1:60" ht="14.5">
      <c r="A65" s="990">
        <f t="shared" si="76"/>
        <v>62</v>
      </c>
      <c r="B65" s="990">
        <v>1</v>
      </c>
      <c r="C65" s="990">
        <f t="shared" si="2"/>
        <v>62</v>
      </c>
      <c r="D65" s="1121" t="s">
        <v>887</v>
      </c>
      <c r="E65" s="1243">
        <v>1</v>
      </c>
      <c r="I65" s="153"/>
      <c r="J65" s="9" t="s">
        <v>139</v>
      </c>
      <c r="K65" s="152"/>
      <c r="L65" s="152"/>
      <c r="M65" s="152"/>
      <c r="N65" s="152"/>
      <c r="O65" s="152"/>
      <c r="P65" s="152"/>
      <c r="Q65" s="1847" t="str">
        <f>CHOOSE(2, "6722000002984", "BO,OE Other income  Gains on Sales of Asset")</f>
        <v>BO,OE Other income  Gains on Sales of Asset</v>
      </c>
      <c r="R65" s="2091">
        <v>0</v>
      </c>
      <c r="S65" s="2091">
        <v>0</v>
      </c>
      <c r="T65" s="2091">
        <v>0</v>
      </c>
      <c r="U65" s="2091">
        <v>0</v>
      </c>
      <c r="V65" s="2091">
        <v>0</v>
      </c>
      <c r="W65" s="2091">
        <v>0</v>
      </c>
      <c r="X65" s="2091">
        <v>0</v>
      </c>
      <c r="Y65" s="2091">
        <v>0</v>
      </c>
      <c r="Z65" s="2091">
        <v>0</v>
      </c>
      <c r="AA65" s="2091">
        <v>0</v>
      </c>
      <c r="AB65" s="2091">
        <v>0</v>
      </c>
      <c r="AC65" s="2091">
        <v>0</v>
      </c>
      <c r="AD65" s="144">
        <f>SUM(R65,S65,T65)</f>
        <v>0</v>
      </c>
      <c r="AE65" s="145">
        <f t="shared" si="106"/>
        <v>0</v>
      </c>
      <c r="AF65" s="145">
        <f t="shared" si="107"/>
        <v>0</v>
      </c>
      <c r="AG65" s="145">
        <f t="shared" si="108"/>
        <v>0</v>
      </c>
      <c r="AH65" s="145">
        <f>AD65+AE65</f>
        <v>0</v>
      </c>
      <c r="AI65" s="145">
        <f>AG65+AF65</f>
        <v>0</v>
      </c>
      <c r="AJ65" s="144">
        <f>AH65+AI65</f>
        <v>0</v>
      </c>
      <c r="AL65" s="145">
        <f ca="1">SUM((INDIRECT(AL$2&amp;(ROW())):INDIRECT(AL$3&amp;(ROW()))))</f>
        <v>0</v>
      </c>
      <c r="AM65" s="144">
        <f ca="1">SUM(INDIRECT(AM$1&amp;AM$2&amp;$C65):INDIRECT(AM$1&amp;AM$3&amp;$C65))</f>
        <v>0</v>
      </c>
      <c r="AN65" s="878">
        <f t="shared" ca="1" si="94"/>
        <v>0</v>
      </c>
      <c r="AO65" s="929">
        <f t="shared" ca="1" si="95"/>
        <v>0</v>
      </c>
      <c r="AP65" s="144">
        <f ca="1">SUM(INDIRECT(AP$1&amp;AP$2&amp;$A65):INDIRECT(AP$1&amp;AP$3&amp;$A65))+SUM(INDIRECT(AP$1&amp;AP$2&amp;$B65):INDIRECT(AP$1&amp;AP$3&amp;$B65))</f>
        <v>0</v>
      </c>
      <c r="AQ65" s="878">
        <f t="shared" ca="1" si="96"/>
        <v>0</v>
      </c>
      <c r="AR65" s="929">
        <f t="shared" ca="1" si="97"/>
        <v>0</v>
      </c>
      <c r="AT65" s="145">
        <f ca="1">SUM((INDIRECT(AT$2&amp;(ROW())):INDIRECT(AT$3&amp;(ROW()))))</f>
        <v>0</v>
      </c>
      <c r="AU65" s="144">
        <f ca="1">SUM(INDIRECT(AU$1&amp;AU$2&amp;$C65):INDIRECT(AU$1&amp;AU$3&amp;$C65))</f>
        <v>0</v>
      </c>
      <c r="AV65" s="878">
        <f t="shared" ca="1" si="98"/>
        <v>0</v>
      </c>
      <c r="AW65" s="929">
        <f t="shared" ca="1" si="99"/>
        <v>0</v>
      </c>
      <c r="AX65" s="144">
        <f ca="1">SUM(INDIRECT(AX$1&amp;AX$2&amp;$A65):INDIRECT(AX$1&amp;AX$3&amp;$A65))+SUM(INDIRECT(AX$1&amp;AX$2&amp;$B65):INDIRECT(AX$1&amp;AX$3&amp;$B65))</f>
        <v>0</v>
      </c>
      <c r="AY65" s="878">
        <f t="shared" ca="1" si="100"/>
        <v>0</v>
      </c>
      <c r="AZ65" s="929">
        <f t="shared" ca="1" si="101"/>
        <v>0</v>
      </c>
      <c r="BB65" s="145">
        <f ca="1">SUM((INDIRECT(BB$2&amp;(ROW())):INDIRECT(BB$3&amp;(ROW()))))</f>
        <v>0</v>
      </c>
      <c r="BC65" s="144">
        <f ca="1">SUM(INDIRECT(BC$1&amp;BC$2&amp;$C65):INDIRECT(BC$1&amp;BC$3&amp;$C65))</f>
        <v>0</v>
      </c>
      <c r="BD65" s="878">
        <f t="shared" ca="1" si="102"/>
        <v>0</v>
      </c>
      <c r="BE65" s="929">
        <f t="shared" ca="1" si="103"/>
        <v>0</v>
      </c>
      <c r="BF65" s="144">
        <f ca="1">SUM(INDIRECT(BF$1&amp;BF$2&amp;$A65):INDIRECT(BF$1&amp;BF$3&amp;$A65))+SUM(INDIRECT(BF$1&amp;BF$2&amp;$B65):INDIRECT(BF$1&amp;BF$3&amp;$B65))</f>
        <v>1398</v>
      </c>
      <c r="BG65" s="878">
        <f t="shared" ca="1" si="104"/>
        <v>-1398</v>
      </c>
      <c r="BH65" s="929">
        <f t="shared" ca="1" si="105"/>
        <v>0</v>
      </c>
    </row>
    <row r="66" spans="1:60" ht="14.5">
      <c r="A66" s="990">
        <f t="shared" si="76"/>
        <v>63</v>
      </c>
      <c r="B66" s="990">
        <v>1</v>
      </c>
      <c r="C66" s="990">
        <f t="shared" si="2"/>
        <v>63</v>
      </c>
      <c r="D66" s="1121" t="s">
        <v>887</v>
      </c>
      <c r="E66" s="1255">
        <v>1</v>
      </c>
      <c r="F66" s="9"/>
      <c r="I66" s="153"/>
      <c r="J66" s="9" t="s">
        <v>960</v>
      </c>
      <c r="K66" s="152"/>
      <c r="L66" s="152"/>
      <c r="M66" s="152"/>
      <c r="N66" s="152"/>
      <c r="O66" s="152"/>
      <c r="P66" s="152"/>
      <c r="Q66" s="1847" t="str">
        <f>CHOOSE(2, "6722000002985", "BO,OE Other income  Government support")</f>
        <v>BO,OE Other income  Government support</v>
      </c>
      <c r="R66" s="2091">
        <v>0</v>
      </c>
      <c r="S66" s="2091">
        <v>0</v>
      </c>
      <c r="T66" s="2091">
        <v>0</v>
      </c>
      <c r="U66" s="2091">
        <v>0</v>
      </c>
      <c r="V66" s="2091">
        <v>0</v>
      </c>
      <c r="W66" s="2091">
        <v>0</v>
      </c>
      <c r="X66" s="2091">
        <v>0</v>
      </c>
      <c r="Y66" s="2091">
        <v>0</v>
      </c>
      <c r="Z66" s="2091">
        <v>0</v>
      </c>
      <c r="AA66" s="2091">
        <v>0</v>
      </c>
      <c r="AB66" s="2091">
        <v>0</v>
      </c>
      <c r="AC66" s="2091">
        <v>0</v>
      </c>
      <c r="AD66" s="144">
        <f>SUM(R66,S66,T66)</f>
        <v>0</v>
      </c>
      <c r="AE66" s="145">
        <f t="shared" si="106"/>
        <v>0</v>
      </c>
      <c r="AF66" s="145">
        <f t="shared" si="107"/>
        <v>0</v>
      </c>
      <c r="AG66" s="145">
        <f t="shared" si="108"/>
        <v>0</v>
      </c>
      <c r="AH66" s="145">
        <f>AD66+AE66</f>
        <v>0</v>
      </c>
      <c r="AI66" s="145">
        <f>AG66+AF66</f>
        <v>0</v>
      </c>
      <c r="AJ66" s="144">
        <f>AH66+AI66</f>
        <v>0</v>
      </c>
      <c r="AL66" s="145">
        <f ca="1">SUM((INDIRECT(AL$2&amp;(ROW())):INDIRECT(AL$3&amp;(ROW()))))</f>
        <v>0</v>
      </c>
      <c r="AM66" s="144">
        <f ca="1">SUM(INDIRECT(AM$1&amp;AM$2&amp;$C66):INDIRECT(AM$1&amp;AM$3&amp;$C66))</f>
        <v>0</v>
      </c>
      <c r="AN66" s="878">
        <f t="shared" ca="1" si="94"/>
        <v>0</v>
      </c>
      <c r="AO66" s="929">
        <f t="shared" ca="1" si="95"/>
        <v>0</v>
      </c>
      <c r="AP66" s="144">
        <f ca="1">SUM(INDIRECT(AP$1&amp;AP$2&amp;$A66):INDIRECT(AP$1&amp;AP$3&amp;$A66))+SUM(INDIRECT(AP$1&amp;AP$2&amp;$B66):INDIRECT(AP$1&amp;AP$3&amp;$B66))</f>
        <v>0</v>
      </c>
      <c r="AQ66" s="878">
        <f t="shared" ca="1" si="96"/>
        <v>0</v>
      </c>
      <c r="AR66" s="929">
        <f t="shared" ca="1" si="97"/>
        <v>0</v>
      </c>
      <c r="AT66" s="145">
        <f ca="1">SUM((INDIRECT(AT$2&amp;(ROW())):INDIRECT(AT$3&amp;(ROW()))))</f>
        <v>0</v>
      </c>
      <c r="AU66" s="144">
        <f ca="1">SUM(INDIRECT(AU$1&amp;AU$2&amp;$C66):INDIRECT(AU$1&amp;AU$3&amp;$C66))</f>
        <v>0</v>
      </c>
      <c r="AV66" s="878">
        <f t="shared" ca="1" si="98"/>
        <v>0</v>
      </c>
      <c r="AW66" s="929">
        <f t="shared" ca="1" si="99"/>
        <v>0</v>
      </c>
      <c r="AX66" s="144">
        <f ca="1">SUM(INDIRECT(AX$1&amp;AX$2&amp;$A66):INDIRECT(AX$1&amp;AX$3&amp;$A66))+SUM(INDIRECT(AX$1&amp;AX$2&amp;$B66):INDIRECT(AX$1&amp;AX$3&amp;$B66))</f>
        <v>0</v>
      </c>
      <c r="AY66" s="878">
        <f t="shared" ca="1" si="100"/>
        <v>0</v>
      </c>
      <c r="AZ66" s="929">
        <f t="shared" ca="1" si="101"/>
        <v>0</v>
      </c>
      <c r="BB66" s="145">
        <f ca="1">SUM((INDIRECT(BB$2&amp;(ROW())):INDIRECT(BB$3&amp;(ROW()))))</f>
        <v>0</v>
      </c>
      <c r="BC66" s="144">
        <f ca="1">SUM(INDIRECT(BC$1&amp;BC$2&amp;$C66):INDIRECT(BC$1&amp;BC$3&amp;$C66))</f>
        <v>0</v>
      </c>
      <c r="BD66" s="878">
        <f t="shared" ca="1" si="102"/>
        <v>0</v>
      </c>
      <c r="BE66" s="929">
        <f t="shared" ca="1" si="103"/>
        <v>0</v>
      </c>
      <c r="BF66" s="144">
        <f ca="1">SUM(INDIRECT(BF$1&amp;BF$2&amp;$A66):INDIRECT(BF$1&amp;BF$3&amp;$A66))+SUM(INDIRECT(BF$1&amp;BF$2&amp;$B66):INDIRECT(BF$1&amp;BF$3&amp;$B66))</f>
        <v>0</v>
      </c>
      <c r="BG66" s="878">
        <f t="shared" ca="1" si="104"/>
        <v>0</v>
      </c>
      <c r="BH66" s="929">
        <f t="shared" ca="1" si="105"/>
        <v>0</v>
      </c>
    </row>
    <row r="67" spans="1:60" ht="14.5">
      <c r="A67" s="990">
        <f t="shared" si="76"/>
        <v>64</v>
      </c>
      <c r="B67" s="990">
        <v>1</v>
      </c>
      <c r="C67" s="990">
        <f t="shared" si="2"/>
        <v>64</v>
      </c>
      <c r="D67" s="1121" t="s">
        <v>887</v>
      </c>
      <c r="E67" s="1243">
        <v>1</v>
      </c>
      <c r="I67" s="151"/>
      <c r="J67" s="12" t="s">
        <v>138</v>
      </c>
      <c r="K67" s="150"/>
      <c r="L67" s="150"/>
      <c r="M67" s="150"/>
      <c r="N67" s="150"/>
      <c r="O67" s="150"/>
      <c r="P67" s="150"/>
      <c r="Q67" s="1848" t="str">
        <f>CHOOSE(2, "6722000002986", "BO,OE Other income  Other income")</f>
        <v>BO,OE Other income  Other income</v>
      </c>
      <c r="R67" s="107">
        <f>R62-SUM(R63:R66)</f>
        <v>9951</v>
      </c>
      <c r="S67" s="107">
        <f t="shared" ref="S67:AC67" si="109">S62-SUM(S63:S66)</f>
        <v>376</v>
      </c>
      <c r="T67" s="107">
        <f t="shared" si="109"/>
        <v>21.466273979496748</v>
      </c>
      <c r="U67" s="107">
        <f t="shared" si="109"/>
        <v>236</v>
      </c>
      <c r="V67" s="107">
        <f t="shared" si="109"/>
        <v>440.28</v>
      </c>
      <c r="W67" s="107">
        <f t="shared" si="109"/>
        <v>20</v>
      </c>
      <c r="X67" s="107">
        <f t="shared" si="109"/>
        <v>0</v>
      </c>
      <c r="Y67" s="107">
        <f t="shared" si="109"/>
        <v>277</v>
      </c>
      <c r="Z67" s="107">
        <f t="shared" si="109"/>
        <v>90965.32</v>
      </c>
      <c r="AA67" s="107">
        <f t="shared" si="109"/>
        <v>5293</v>
      </c>
      <c r="AB67" s="107">
        <f t="shared" si="109"/>
        <v>1273.2400000000002</v>
      </c>
      <c r="AC67" s="107">
        <f t="shared" si="109"/>
        <v>34895.301446465513</v>
      </c>
      <c r="AD67" s="144">
        <f>AD62-SUM(AD63:AD66)</f>
        <v>10348.466273979497</v>
      </c>
      <c r="AE67" s="145">
        <f t="shared" ref="AE67" si="110">AE62-SUM(AE63:AE66)</f>
        <v>696.28</v>
      </c>
      <c r="AF67" s="145">
        <f>AF62-SUM(AF63:AF66)</f>
        <v>91242.32</v>
      </c>
      <c r="AG67" s="145">
        <f t="shared" ref="AG67" si="111">AG62-SUM(AG63:AG66)</f>
        <v>41461.541446465511</v>
      </c>
      <c r="AH67" s="145">
        <f t="shared" ref="AH67" si="112">AH62-SUM(AH63:AH66)</f>
        <v>11044.746273979497</v>
      </c>
      <c r="AI67" s="145">
        <f t="shared" ref="AI67" si="113">AI62-SUM(AI63:AI66)</f>
        <v>132703.86144646551</v>
      </c>
      <c r="AJ67" s="144">
        <f t="shared" ref="AJ67" si="114">AJ62-SUM(AJ63:AJ66)</f>
        <v>143748.607720445</v>
      </c>
      <c r="AL67" s="145">
        <f ca="1">SUM((INDIRECT(AL$2&amp;(ROW())):INDIRECT(AL$3&amp;(ROW()))))</f>
        <v>34895.301446465513</v>
      </c>
      <c r="AM67" s="144">
        <f ca="1">SUM(INDIRECT(AM$1&amp;AM$2&amp;$C67):INDIRECT(AM$1&amp;AM$3&amp;$C67))</f>
        <v>0</v>
      </c>
      <c r="AN67" s="878">
        <f t="shared" ca="1" si="94"/>
        <v>34895.301446465513</v>
      </c>
      <c r="AO67" s="929">
        <f t="shared" ca="1" si="95"/>
        <v>0</v>
      </c>
      <c r="AP67" s="144">
        <f ca="1">SUM(INDIRECT(AP$1&amp;AP$2&amp;$A67):INDIRECT(AP$1&amp;AP$3&amp;$A67))+SUM(INDIRECT(AP$1&amp;AP$2&amp;$B67):INDIRECT(AP$1&amp;AP$3&amp;$B67))</f>
        <v>36050</v>
      </c>
      <c r="AQ67" s="878">
        <f t="shared" ca="1" si="96"/>
        <v>-1154.6985535344866</v>
      </c>
      <c r="AR67" s="929">
        <f t="shared" ca="1" si="97"/>
        <v>0.96796952694772576</v>
      </c>
      <c r="AT67" s="145">
        <f ca="1">SUM((INDIRECT(AT$2&amp;(ROW())):INDIRECT(AT$3&amp;(ROW()))))</f>
        <v>41461.541446465511</v>
      </c>
      <c r="AU67" s="144">
        <f ca="1">SUM(INDIRECT(AU$1&amp;AU$2&amp;$C67):INDIRECT(AU$1&amp;AU$3&amp;$C67))</f>
        <v>0</v>
      </c>
      <c r="AV67" s="878">
        <f t="shared" ca="1" si="98"/>
        <v>41461.541446465511</v>
      </c>
      <c r="AW67" s="929">
        <f t="shared" ca="1" si="99"/>
        <v>0</v>
      </c>
      <c r="AX67" s="144">
        <f ca="1">SUM(INDIRECT(AX$1&amp;AX$2&amp;$A67):INDIRECT(AX$1&amp;AX$3&amp;$A67))+SUM(INDIRECT(AX$1&amp;AX$2&amp;$B67):INDIRECT(AX$1&amp;AX$3&amp;$B67))</f>
        <v>36450</v>
      </c>
      <c r="AY67" s="878">
        <f t="shared" ca="1" si="100"/>
        <v>5011.5414464655114</v>
      </c>
      <c r="AZ67" s="929">
        <f t="shared" ca="1" si="101"/>
        <v>1.1374908490113995</v>
      </c>
      <c r="BB67" s="145">
        <f ca="1">SUM((INDIRECT(BB$2&amp;(ROW())):INDIRECT(BB$3&amp;(ROW()))))</f>
        <v>143748.60772044503</v>
      </c>
      <c r="BC67" s="144">
        <f ca="1">SUM(INDIRECT(BC$1&amp;BC$2&amp;$C67):INDIRECT(BC$1&amp;BC$3&amp;$C67))</f>
        <v>0</v>
      </c>
      <c r="BD67" s="878">
        <f t="shared" ca="1" si="102"/>
        <v>143748.60772044503</v>
      </c>
      <c r="BE67" s="929">
        <f t="shared" ca="1" si="103"/>
        <v>0</v>
      </c>
      <c r="BF67" s="144">
        <f ca="1">SUM(INDIRECT(BF$1&amp;BF$2&amp;$A67):INDIRECT(BF$1&amp;BF$3&amp;$A67))+SUM(INDIRECT(BF$1&amp;BF$2&amp;$B67):INDIRECT(BF$1&amp;BF$3&amp;$B67))</f>
        <v>52226</v>
      </c>
      <c r="BG67" s="878">
        <f t="shared" ca="1" si="104"/>
        <v>91522.607720445027</v>
      </c>
      <c r="BH67" s="929">
        <f t="shared" ca="1" si="105"/>
        <v>2.7524338015633023</v>
      </c>
    </row>
    <row r="68" spans="1:60" ht="14.5">
      <c r="A68" s="990">
        <f t="shared" si="76"/>
        <v>65</v>
      </c>
      <c r="B68" s="990">
        <v>1</v>
      </c>
      <c r="C68" s="990">
        <f t="shared" si="2"/>
        <v>65</v>
      </c>
      <c r="D68" s="1121" t="s">
        <v>887</v>
      </c>
      <c r="E68" s="1243">
        <v>1</v>
      </c>
      <c r="I68" s="149" t="s">
        <v>194</v>
      </c>
      <c r="J68" s="22"/>
      <c r="K68" s="21"/>
      <c r="L68" s="21"/>
      <c r="M68" s="22"/>
      <c r="N68" s="22"/>
      <c r="O68" s="22"/>
      <c r="P68" s="303"/>
      <c r="Q68" s="1843" t="str">
        <f>CHOOSE(2, "6722000002987", "BO,OE Other Expense")</f>
        <v>BO,OE Other Expense</v>
      </c>
      <c r="R68" s="2058">
        <f>R27</f>
        <v>0</v>
      </c>
      <c r="S68" s="2058">
        <f t="shared" ref="S68:AC68" si="115">S27</f>
        <v>0</v>
      </c>
      <c r="T68" s="2058">
        <f t="shared" si="115"/>
        <v>0</v>
      </c>
      <c r="U68" s="2058">
        <f t="shared" si="115"/>
        <v>0</v>
      </c>
      <c r="V68" s="2058">
        <f t="shared" si="115"/>
        <v>0</v>
      </c>
      <c r="W68" s="2058">
        <f t="shared" si="115"/>
        <v>0</v>
      </c>
      <c r="X68" s="2058">
        <f t="shared" si="115"/>
        <v>0</v>
      </c>
      <c r="Y68" s="2058">
        <f t="shared" si="115"/>
        <v>0</v>
      </c>
      <c r="Z68" s="2058">
        <f t="shared" si="115"/>
        <v>0</v>
      </c>
      <c r="AA68" s="2058">
        <f t="shared" si="115"/>
        <v>0</v>
      </c>
      <c r="AB68" s="2058">
        <f t="shared" si="115"/>
        <v>0</v>
      </c>
      <c r="AC68" s="2058">
        <f t="shared" si="115"/>
        <v>0</v>
      </c>
      <c r="AD68" s="840">
        <f t="shared" ref="AD68:AJ68" si="116">AD27</f>
        <v>0</v>
      </c>
      <c r="AE68" s="148">
        <f t="shared" si="116"/>
        <v>0</v>
      </c>
      <c r="AF68" s="148">
        <f t="shared" si="116"/>
        <v>0</v>
      </c>
      <c r="AG68" s="148">
        <f t="shared" si="116"/>
        <v>0</v>
      </c>
      <c r="AH68" s="148">
        <f t="shared" si="116"/>
        <v>0</v>
      </c>
      <c r="AI68" s="148">
        <f t="shared" si="116"/>
        <v>0</v>
      </c>
      <c r="AJ68" s="147">
        <f t="shared" si="116"/>
        <v>0</v>
      </c>
      <c r="AL68" s="2115">
        <f ca="1">SUM((INDIRECT(AL$2&amp;(ROW())):INDIRECT(AL$3&amp;(ROW()))))</f>
        <v>0</v>
      </c>
      <c r="AM68" s="2481">
        <f ca="1">SUM(INDIRECT(AM$1&amp;AM$2&amp;$C68):INDIRECT(AM$1&amp;AM$3&amp;$C68))</f>
        <v>0</v>
      </c>
      <c r="AN68" s="2482">
        <f t="shared" ca="1" si="94"/>
        <v>0</v>
      </c>
      <c r="AO68" s="2483">
        <f t="shared" ca="1" si="95"/>
        <v>0</v>
      </c>
      <c r="AP68" s="2481">
        <f ca="1">SUM(INDIRECT(AP$1&amp;AP$2&amp;$A68):INDIRECT(AP$1&amp;AP$3&amp;$A68))+SUM(INDIRECT(AP$1&amp;AP$2&amp;$B68):INDIRECT(AP$1&amp;AP$3&amp;$B68))</f>
        <v>0</v>
      </c>
      <c r="AQ68" s="2482">
        <f t="shared" ca="1" si="96"/>
        <v>0</v>
      </c>
      <c r="AR68" s="2483">
        <f t="shared" ca="1" si="97"/>
        <v>0</v>
      </c>
      <c r="AT68" s="2115">
        <f ca="1">SUM((INDIRECT(AT$2&amp;(ROW())):INDIRECT(AT$3&amp;(ROW()))))</f>
        <v>0</v>
      </c>
      <c r="AU68" s="2481">
        <f ca="1">SUM(INDIRECT(AU$1&amp;AU$2&amp;$C68):INDIRECT(AU$1&amp;AU$3&amp;$C68))</f>
        <v>0</v>
      </c>
      <c r="AV68" s="2482">
        <f t="shared" ca="1" si="98"/>
        <v>0</v>
      </c>
      <c r="AW68" s="2483">
        <f t="shared" ca="1" si="99"/>
        <v>0</v>
      </c>
      <c r="AX68" s="2481">
        <f ca="1">SUM(INDIRECT(AX$1&amp;AX$2&amp;$A68):INDIRECT(AX$1&amp;AX$3&amp;$A68))+SUM(INDIRECT(AX$1&amp;AX$2&amp;$B68):INDIRECT(AX$1&amp;AX$3&amp;$B68))</f>
        <v>0</v>
      </c>
      <c r="AY68" s="2482">
        <f t="shared" ca="1" si="100"/>
        <v>0</v>
      </c>
      <c r="AZ68" s="2483">
        <f t="shared" ca="1" si="101"/>
        <v>0</v>
      </c>
      <c r="BB68" s="2115">
        <f ca="1">SUM((INDIRECT(BB$2&amp;(ROW())):INDIRECT(BB$3&amp;(ROW()))))</f>
        <v>0</v>
      </c>
      <c r="BC68" s="2481">
        <f ca="1">SUM(INDIRECT(BC$1&amp;BC$2&amp;$C68):INDIRECT(BC$1&amp;BC$3&amp;$C68))</f>
        <v>0</v>
      </c>
      <c r="BD68" s="2482">
        <f t="shared" ca="1" si="102"/>
        <v>0</v>
      </c>
      <c r="BE68" s="2483">
        <f t="shared" ca="1" si="103"/>
        <v>0</v>
      </c>
      <c r="BF68" s="2481">
        <f ca="1">SUM(INDIRECT(BF$1&amp;BF$2&amp;$A68):INDIRECT(BF$1&amp;BF$3&amp;$A68))+SUM(INDIRECT(BF$1&amp;BF$2&amp;$B68):INDIRECT(BF$1&amp;BF$3&amp;$B68))</f>
        <v>1057</v>
      </c>
      <c r="BG68" s="2482">
        <f t="shared" ca="1" si="104"/>
        <v>-1057</v>
      </c>
      <c r="BH68" s="2483">
        <f t="shared" ca="1" si="105"/>
        <v>0</v>
      </c>
    </row>
    <row r="69" spans="1:60" ht="14.5">
      <c r="A69" s="990">
        <f t="shared" si="76"/>
        <v>66</v>
      </c>
      <c r="B69" s="990">
        <v>1</v>
      </c>
      <c r="C69" s="990">
        <f t="shared" si="2"/>
        <v>66</v>
      </c>
      <c r="D69" s="1121" t="s">
        <v>887</v>
      </c>
      <c r="E69" s="1243">
        <v>1</v>
      </c>
      <c r="I69" s="146"/>
      <c r="J69" s="9" t="s">
        <v>195</v>
      </c>
      <c r="Q69" s="1847" t="str">
        <f>CHOOSE(2, "6722000002988", "BO,OE Other Expense LSA, DA")</f>
        <v>BO,OE Other Expense LSA, DA</v>
      </c>
      <c r="R69" s="2091">
        <v>0</v>
      </c>
      <c r="S69" s="2091">
        <v>0</v>
      </c>
      <c r="T69" s="2091">
        <v>0</v>
      </c>
      <c r="U69" s="2091">
        <v>0</v>
      </c>
      <c r="V69" s="2091">
        <v>0</v>
      </c>
      <c r="W69" s="2091">
        <v>0</v>
      </c>
      <c r="X69" s="2091">
        <v>0</v>
      </c>
      <c r="Y69" s="2091">
        <v>0</v>
      </c>
      <c r="Z69" s="2091">
        <v>0</v>
      </c>
      <c r="AA69" s="2091">
        <v>0</v>
      </c>
      <c r="AB69" s="2091">
        <v>0</v>
      </c>
      <c r="AC69" s="2091">
        <v>0</v>
      </c>
      <c r="AD69" s="144">
        <f>SUM(R69,S69,T69)</f>
        <v>0</v>
      </c>
      <c r="AE69" s="145">
        <f t="shared" ref="AE69:AE72" si="117">SUM(U69,V69,W69)</f>
        <v>0</v>
      </c>
      <c r="AF69" s="145">
        <f t="shared" ref="AF69:AF72" si="118">SUM(X69,Y69,Z69)</f>
        <v>0</v>
      </c>
      <c r="AG69" s="145">
        <f t="shared" ref="AG69:AG72" si="119">SUM(AA69,AB69,AC69)</f>
        <v>0</v>
      </c>
      <c r="AH69" s="145">
        <f>AD69+AE69</f>
        <v>0</v>
      </c>
      <c r="AI69" s="145">
        <f>AG69+AF69</f>
        <v>0</v>
      </c>
      <c r="AJ69" s="144">
        <f>AH69+AI69</f>
        <v>0</v>
      </c>
      <c r="AL69" s="145">
        <f ca="1">SUM((INDIRECT(AL$2&amp;(ROW())):INDIRECT(AL$3&amp;(ROW()))))</f>
        <v>0</v>
      </c>
      <c r="AM69" s="144">
        <f ca="1">SUM(INDIRECT(AM$1&amp;AM$2&amp;$C69):INDIRECT(AM$1&amp;AM$3&amp;$C69))</f>
        <v>0</v>
      </c>
      <c r="AN69" s="878">
        <f t="shared" ca="1" si="94"/>
        <v>0</v>
      </c>
      <c r="AO69" s="929">
        <f t="shared" ca="1" si="95"/>
        <v>0</v>
      </c>
      <c r="AP69" s="144">
        <f ca="1">SUM(INDIRECT(AP$1&amp;AP$2&amp;$A69):INDIRECT(AP$1&amp;AP$3&amp;$A69))+SUM(INDIRECT(AP$1&amp;AP$2&amp;$B69):INDIRECT(AP$1&amp;AP$3&amp;$B69))</f>
        <v>0</v>
      </c>
      <c r="AQ69" s="878">
        <f t="shared" ca="1" si="96"/>
        <v>0</v>
      </c>
      <c r="AR69" s="929">
        <f t="shared" ca="1" si="97"/>
        <v>0</v>
      </c>
      <c r="AT69" s="145">
        <f ca="1">SUM((INDIRECT(AT$2&amp;(ROW())):INDIRECT(AT$3&amp;(ROW()))))</f>
        <v>0</v>
      </c>
      <c r="AU69" s="144">
        <f ca="1">SUM(INDIRECT(AU$1&amp;AU$2&amp;$C69):INDIRECT(AU$1&amp;AU$3&amp;$C69))</f>
        <v>0</v>
      </c>
      <c r="AV69" s="878">
        <f t="shared" ca="1" si="98"/>
        <v>0</v>
      </c>
      <c r="AW69" s="929">
        <f t="shared" ca="1" si="99"/>
        <v>0</v>
      </c>
      <c r="AX69" s="144">
        <f ca="1">SUM(INDIRECT(AX$1&amp;AX$2&amp;$A69):INDIRECT(AX$1&amp;AX$3&amp;$A69))+SUM(INDIRECT(AX$1&amp;AX$2&amp;$B69):INDIRECT(AX$1&amp;AX$3&amp;$B69))</f>
        <v>0</v>
      </c>
      <c r="AY69" s="878">
        <f t="shared" ca="1" si="100"/>
        <v>0</v>
      </c>
      <c r="AZ69" s="929">
        <f t="shared" ca="1" si="101"/>
        <v>0</v>
      </c>
      <c r="BB69" s="145">
        <f ca="1">SUM((INDIRECT(BB$2&amp;(ROW())):INDIRECT(BB$3&amp;(ROW()))))</f>
        <v>0</v>
      </c>
      <c r="BC69" s="144">
        <f ca="1">SUM(INDIRECT(BC$1&amp;BC$2&amp;$C69):INDIRECT(BC$1&amp;BC$3&amp;$C69))</f>
        <v>0</v>
      </c>
      <c r="BD69" s="878">
        <f t="shared" ca="1" si="102"/>
        <v>0</v>
      </c>
      <c r="BE69" s="929">
        <f t="shared" ca="1" si="103"/>
        <v>0</v>
      </c>
      <c r="BF69" s="144">
        <f ca="1">SUM(INDIRECT(BF$1&amp;BF$2&amp;$A69):INDIRECT(BF$1&amp;BF$3&amp;$A69))+SUM(INDIRECT(BF$1&amp;BF$2&amp;$B69):INDIRECT(BF$1&amp;BF$3&amp;$B69))</f>
        <v>1398</v>
      </c>
      <c r="BG69" s="878">
        <f t="shared" ca="1" si="104"/>
        <v>-1398</v>
      </c>
      <c r="BH69" s="929">
        <f t="shared" ca="1" si="105"/>
        <v>0</v>
      </c>
    </row>
    <row r="70" spans="1:60" ht="14.5">
      <c r="A70" s="990">
        <f t="shared" si="76"/>
        <v>67</v>
      </c>
      <c r="B70" s="990">
        <v>1</v>
      </c>
      <c r="C70" s="990">
        <f t="shared" si="2"/>
        <v>67</v>
      </c>
      <c r="D70" s="1121" t="s">
        <v>887</v>
      </c>
      <c r="E70" s="1243">
        <v>1</v>
      </c>
      <c r="I70" s="146"/>
      <c r="J70" s="9" t="s">
        <v>196</v>
      </c>
      <c r="Q70" s="1847" t="str">
        <f>CHOOSE(2, "6722000002989", "BO,OE Other Expense Impairment Loss")</f>
        <v>BO,OE Other Expense Impairment Loss</v>
      </c>
      <c r="R70" s="2091">
        <v>0</v>
      </c>
      <c r="S70" s="2091">
        <v>0</v>
      </c>
      <c r="T70" s="2091">
        <v>0</v>
      </c>
      <c r="U70" s="2091">
        <v>0</v>
      </c>
      <c r="V70" s="2091">
        <v>0</v>
      </c>
      <c r="W70" s="2091">
        <v>0</v>
      </c>
      <c r="X70" s="2091">
        <v>0</v>
      </c>
      <c r="Y70" s="2091">
        <v>0</v>
      </c>
      <c r="Z70" s="2091">
        <v>0</v>
      </c>
      <c r="AA70" s="2091">
        <v>0</v>
      </c>
      <c r="AB70" s="2091">
        <v>0</v>
      </c>
      <c r="AC70" s="2091">
        <v>0</v>
      </c>
      <c r="AD70" s="144">
        <f>SUM(R70,S70,T70)</f>
        <v>0</v>
      </c>
      <c r="AE70" s="145">
        <f t="shared" si="117"/>
        <v>0</v>
      </c>
      <c r="AF70" s="145">
        <f t="shared" si="118"/>
        <v>0</v>
      </c>
      <c r="AG70" s="145">
        <f t="shared" si="119"/>
        <v>0</v>
      </c>
      <c r="AH70" s="145">
        <f>AD70+AE70</f>
        <v>0</v>
      </c>
      <c r="AI70" s="145">
        <f>AG70+AF70</f>
        <v>0</v>
      </c>
      <c r="AJ70" s="144">
        <f>AH70+AI70</f>
        <v>0</v>
      </c>
      <c r="AL70" s="145">
        <f ca="1">SUM((INDIRECT(AL$2&amp;(ROW())):INDIRECT(AL$3&amp;(ROW()))))</f>
        <v>0</v>
      </c>
      <c r="AM70" s="144">
        <f ca="1">SUM(INDIRECT(AM$1&amp;AM$2&amp;$C70):INDIRECT(AM$1&amp;AM$3&amp;$C70))</f>
        <v>0</v>
      </c>
      <c r="AN70" s="878">
        <f t="shared" ca="1" si="94"/>
        <v>0</v>
      </c>
      <c r="AO70" s="929">
        <f t="shared" ca="1" si="95"/>
        <v>0</v>
      </c>
      <c r="AP70" s="144">
        <f ca="1">SUM(INDIRECT(AP$1&amp;AP$2&amp;$A70):INDIRECT(AP$1&amp;AP$3&amp;$A70))+SUM(INDIRECT(AP$1&amp;AP$2&amp;$B70):INDIRECT(AP$1&amp;AP$3&amp;$B70))</f>
        <v>0</v>
      </c>
      <c r="AQ70" s="878">
        <f t="shared" ca="1" si="96"/>
        <v>0</v>
      </c>
      <c r="AR70" s="929">
        <f t="shared" ca="1" si="97"/>
        <v>0</v>
      </c>
      <c r="AT70" s="145">
        <f ca="1">SUM((INDIRECT(AT$2&amp;(ROW())):INDIRECT(AT$3&amp;(ROW()))))</f>
        <v>0</v>
      </c>
      <c r="AU70" s="144">
        <f ca="1">SUM(INDIRECT(AU$1&amp;AU$2&amp;$C70):INDIRECT(AU$1&amp;AU$3&amp;$C70))</f>
        <v>0</v>
      </c>
      <c r="AV70" s="878">
        <f t="shared" ca="1" si="98"/>
        <v>0</v>
      </c>
      <c r="AW70" s="929">
        <f t="shared" ca="1" si="99"/>
        <v>0</v>
      </c>
      <c r="AX70" s="144">
        <f ca="1">SUM(INDIRECT(AX$1&amp;AX$2&amp;$A70):INDIRECT(AX$1&amp;AX$3&amp;$A70))+SUM(INDIRECT(AX$1&amp;AX$2&amp;$B70):INDIRECT(AX$1&amp;AX$3&amp;$B70))</f>
        <v>0</v>
      </c>
      <c r="AY70" s="878">
        <f t="shared" ca="1" si="100"/>
        <v>0</v>
      </c>
      <c r="AZ70" s="929">
        <f t="shared" ca="1" si="101"/>
        <v>0</v>
      </c>
      <c r="BB70" s="145">
        <f ca="1">SUM((INDIRECT(BB$2&amp;(ROW())):INDIRECT(BB$3&amp;(ROW()))))</f>
        <v>0</v>
      </c>
      <c r="BC70" s="144">
        <f ca="1">SUM(INDIRECT(BC$1&amp;BC$2&amp;$C70):INDIRECT(BC$1&amp;BC$3&amp;$C70))</f>
        <v>0</v>
      </c>
      <c r="BD70" s="878">
        <f t="shared" ca="1" si="102"/>
        <v>0</v>
      </c>
      <c r="BE70" s="929">
        <f t="shared" ca="1" si="103"/>
        <v>0</v>
      </c>
      <c r="BF70" s="144">
        <f ca="1">SUM(INDIRECT(BF$1&amp;BF$2&amp;$A70):INDIRECT(BF$1&amp;BF$3&amp;$A70))+SUM(INDIRECT(BF$1&amp;BF$2&amp;$B70):INDIRECT(BF$1&amp;BF$3&amp;$B70))</f>
        <v>0</v>
      </c>
      <c r="BG70" s="878">
        <f t="shared" ca="1" si="104"/>
        <v>0</v>
      </c>
      <c r="BH70" s="929">
        <f t="shared" ca="1" si="105"/>
        <v>0</v>
      </c>
    </row>
    <row r="71" spans="1:60" ht="14.5">
      <c r="A71" s="990">
        <f t="shared" si="76"/>
        <v>68</v>
      </c>
      <c r="B71" s="990">
        <v>1</v>
      </c>
      <c r="C71" s="990">
        <f t="shared" si="2"/>
        <v>68</v>
      </c>
      <c r="D71" s="1121" t="s">
        <v>887</v>
      </c>
      <c r="E71" s="1243">
        <v>1</v>
      </c>
      <c r="I71" s="146"/>
      <c r="J71" s="9" t="s">
        <v>303</v>
      </c>
      <c r="Q71" s="1847" t="str">
        <f>CHOOSE(2, "6722000002990", "BO,OE Other Expense Restructuring Expense")</f>
        <v>BO,OE Other Expense Restructuring Expense</v>
      </c>
      <c r="R71" s="2091">
        <v>0</v>
      </c>
      <c r="S71" s="2091">
        <v>0</v>
      </c>
      <c r="T71" s="2091">
        <v>0</v>
      </c>
      <c r="U71" s="2091">
        <v>0</v>
      </c>
      <c r="V71" s="2091">
        <v>0</v>
      </c>
      <c r="W71" s="2091">
        <v>0</v>
      </c>
      <c r="X71" s="2091">
        <v>0</v>
      </c>
      <c r="Y71" s="2091">
        <v>0</v>
      </c>
      <c r="Z71" s="2091">
        <v>0</v>
      </c>
      <c r="AA71" s="2091">
        <v>0</v>
      </c>
      <c r="AB71" s="2091">
        <v>0</v>
      </c>
      <c r="AC71" s="2091">
        <v>0</v>
      </c>
      <c r="AD71" s="144">
        <f>SUM(R71,S71,T71)</f>
        <v>0</v>
      </c>
      <c r="AE71" s="145">
        <f t="shared" si="117"/>
        <v>0</v>
      </c>
      <c r="AF71" s="145">
        <f t="shared" si="118"/>
        <v>0</v>
      </c>
      <c r="AG71" s="145">
        <f t="shared" si="119"/>
        <v>0</v>
      </c>
      <c r="AH71" s="145">
        <f>AD71+AE71</f>
        <v>0</v>
      </c>
      <c r="AI71" s="145">
        <f>AG71+AF71</f>
        <v>0</v>
      </c>
      <c r="AJ71" s="144">
        <f>AH71+AI71</f>
        <v>0</v>
      </c>
      <c r="AL71" s="145">
        <f ca="1">SUM((INDIRECT(AL$2&amp;(ROW())):INDIRECT(AL$3&amp;(ROW()))))</f>
        <v>0</v>
      </c>
      <c r="AM71" s="144">
        <f ca="1">SUM(INDIRECT(AM$1&amp;AM$2&amp;$C71):INDIRECT(AM$1&amp;AM$3&amp;$C71))</f>
        <v>0</v>
      </c>
      <c r="AN71" s="878">
        <f t="shared" ca="1" si="94"/>
        <v>0</v>
      </c>
      <c r="AO71" s="929">
        <f t="shared" ca="1" si="95"/>
        <v>0</v>
      </c>
      <c r="AP71" s="144">
        <f ca="1">SUM(INDIRECT(AP$1&amp;AP$2&amp;$A71):INDIRECT(AP$1&amp;AP$3&amp;$A71))+SUM(INDIRECT(AP$1&amp;AP$2&amp;$B71):INDIRECT(AP$1&amp;AP$3&amp;$B71))</f>
        <v>0</v>
      </c>
      <c r="AQ71" s="878">
        <f t="shared" ca="1" si="96"/>
        <v>0</v>
      </c>
      <c r="AR71" s="929">
        <f t="shared" ca="1" si="97"/>
        <v>0</v>
      </c>
      <c r="AT71" s="145">
        <f ca="1">SUM((INDIRECT(AT$2&amp;(ROW())):INDIRECT(AT$3&amp;(ROW()))))</f>
        <v>0</v>
      </c>
      <c r="AU71" s="144">
        <f ca="1">SUM(INDIRECT(AU$1&amp;AU$2&amp;$C71):INDIRECT(AU$1&amp;AU$3&amp;$C71))</f>
        <v>0</v>
      </c>
      <c r="AV71" s="878">
        <f t="shared" ca="1" si="98"/>
        <v>0</v>
      </c>
      <c r="AW71" s="929">
        <f t="shared" ca="1" si="99"/>
        <v>0</v>
      </c>
      <c r="AX71" s="144">
        <f ca="1">SUM(INDIRECT(AX$1&amp;AX$2&amp;$A71):INDIRECT(AX$1&amp;AX$3&amp;$A71))+SUM(INDIRECT(AX$1&amp;AX$2&amp;$B71):INDIRECT(AX$1&amp;AX$3&amp;$B71))</f>
        <v>0</v>
      </c>
      <c r="AY71" s="878">
        <f t="shared" ca="1" si="100"/>
        <v>0</v>
      </c>
      <c r="AZ71" s="929">
        <f t="shared" ca="1" si="101"/>
        <v>0</v>
      </c>
      <c r="BB71" s="145">
        <f ca="1">SUM((INDIRECT(BB$2&amp;(ROW())):INDIRECT(BB$3&amp;(ROW()))))</f>
        <v>0</v>
      </c>
      <c r="BC71" s="144">
        <f ca="1">SUM(INDIRECT(BC$1&amp;BC$2&amp;$C71):INDIRECT(BC$1&amp;BC$3&amp;$C71))</f>
        <v>0</v>
      </c>
      <c r="BD71" s="878">
        <f t="shared" ca="1" si="102"/>
        <v>0</v>
      </c>
      <c r="BE71" s="929">
        <f t="shared" ca="1" si="103"/>
        <v>0</v>
      </c>
      <c r="BF71" s="144">
        <f ca="1">SUM(INDIRECT(BF$1&amp;BF$2&amp;$A71):INDIRECT(BF$1&amp;BF$3&amp;$A71))+SUM(INDIRECT(BF$1&amp;BF$2&amp;$B71):INDIRECT(BF$1&amp;BF$3&amp;$B71))</f>
        <v>0</v>
      </c>
      <c r="BG71" s="878">
        <f t="shared" ca="1" si="104"/>
        <v>0</v>
      </c>
      <c r="BH71" s="929">
        <f t="shared" ca="1" si="105"/>
        <v>0</v>
      </c>
    </row>
    <row r="72" spans="1:60" ht="14.5">
      <c r="A72" s="990">
        <f t="shared" si="76"/>
        <v>69</v>
      </c>
      <c r="B72" s="990">
        <v>1</v>
      </c>
      <c r="C72" s="990">
        <f t="shared" si="2"/>
        <v>69</v>
      </c>
      <c r="D72" s="1121" t="s">
        <v>887</v>
      </c>
      <c r="E72" s="1255">
        <v>1</v>
      </c>
      <c r="F72" s="9"/>
      <c r="I72" s="146"/>
      <c r="J72" s="9" t="s">
        <v>961</v>
      </c>
      <c r="Q72" s="1847" t="str">
        <f>CHOOSE(2, "6722000002991", "BO,OE Other Expense Expense for layoff benefit")</f>
        <v>BO,OE Other Expense Expense for layoff benefit</v>
      </c>
      <c r="R72" s="2091">
        <v>0</v>
      </c>
      <c r="S72" s="2091">
        <v>0</v>
      </c>
      <c r="T72" s="2091">
        <v>0</v>
      </c>
      <c r="U72" s="2091">
        <v>0</v>
      </c>
      <c r="V72" s="2091">
        <v>0</v>
      </c>
      <c r="W72" s="2091">
        <v>0</v>
      </c>
      <c r="X72" s="2091">
        <v>0</v>
      </c>
      <c r="Y72" s="2091">
        <v>0</v>
      </c>
      <c r="Z72" s="2091">
        <v>0</v>
      </c>
      <c r="AA72" s="2091">
        <v>0</v>
      </c>
      <c r="AB72" s="2091">
        <v>0</v>
      </c>
      <c r="AC72" s="2091">
        <v>0</v>
      </c>
      <c r="AD72" s="144">
        <f>SUM(R72,S72,T72)</f>
        <v>0</v>
      </c>
      <c r="AE72" s="145">
        <f t="shared" si="117"/>
        <v>0</v>
      </c>
      <c r="AF72" s="145">
        <f t="shared" si="118"/>
        <v>0</v>
      </c>
      <c r="AG72" s="145">
        <f t="shared" si="119"/>
        <v>0</v>
      </c>
      <c r="AH72" s="145">
        <f>AD72+AE72</f>
        <v>0</v>
      </c>
      <c r="AI72" s="145">
        <f>AG72+AF72</f>
        <v>0</v>
      </c>
      <c r="AJ72" s="144">
        <f>AH72+AI72</f>
        <v>0</v>
      </c>
      <c r="AL72" s="145">
        <f ca="1">SUM((INDIRECT(AL$2&amp;(ROW())):INDIRECT(AL$3&amp;(ROW()))))</f>
        <v>0</v>
      </c>
      <c r="AM72" s="144">
        <f ca="1">SUM(INDIRECT(AM$1&amp;AM$2&amp;$C72):INDIRECT(AM$1&amp;AM$3&amp;$C72))</f>
        <v>0</v>
      </c>
      <c r="AN72" s="878">
        <f t="shared" ca="1" si="94"/>
        <v>0</v>
      </c>
      <c r="AO72" s="929">
        <f t="shared" ca="1" si="95"/>
        <v>0</v>
      </c>
      <c r="AP72" s="144">
        <f ca="1">SUM(INDIRECT(AP$1&amp;AP$2&amp;$A72):INDIRECT(AP$1&amp;AP$3&amp;$A72))+SUM(INDIRECT(AP$1&amp;AP$2&amp;$B72):INDIRECT(AP$1&amp;AP$3&amp;$B72))</f>
        <v>0</v>
      </c>
      <c r="AQ72" s="878">
        <f t="shared" ca="1" si="96"/>
        <v>0</v>
      </c>
      <c r="AR72" s="929">
        <f t="shared" ca="1" si="97"/>
        <v>0</v>
      </c>
      <c r="AT72" s="145">
        <f ca="1">SUM((INDIRECT(AT$2&amp;(ROW())):INDIRECT(AT$3&amp;(ROW()))))</f>
        <v>0</v>
      </c>
      <c r="AU72" s="144">
        <f ca="1">SUM(INDIRECT(AU$1&amp;AU$2&amp;$C72):INDIRECT(AU$1&amp;AU$3&amp;$C72))</f>
        <v>0</v>
      </c>
      <c r="AV72" s="878">
        <f t="shared" ca="1" si="98"/>
        <v>0</v>
      </c>
      <c r="AW72" s="929">
        <f t="shared" ca="1" si="99"/>
        <v>0</v>
      </c>
      <c r="AX72" s="144">
        <f ca="1">SUM(INDIRECT(AX$1&amp;AX$2&amp;$A72):INDIRECT(AX$1&amp;AX$3&amp;$A72))+SUM(INDIRECT(AX$1&amp;AX$2&amp;$B72):INDIRECT(AX$1&amp;AX$3&amp;$B72))</f>
        <v>0</v>
      </c>
      <c r="AY72" s="878">
        <f t="shared" ca="1" si="100"/>
        <v>0</v>
      </c>
      <c r="AZ72" s="929">
        <f t="shared" ca="1" si="101"/>
        <v>0</v>
      </c>
      <c r="BB72" s="145">
        <f ca="1">SUM((INDIRECT(BB$2&amp;(ROW())):INDIRECT(BB$3&amp;(ROW()))))</f>
        <v>0</v>
      </c>
      <c r="BC72" s="144">
        <f ca="1">SUM(INDIRECT(BC$1&amp;BC$2&amp;$C72):INDIRECT(BC$1&amp;BC$3&amp;$C72))</f>
        <v>0</v>
      </c>
      <c r="BD72" s="878">
        <f t="shared" ca="1" si="102"/>
        <v>0</v>
      </c>
      <c r="BE72" s="929">
        <f t="shared" ca="1" si="103"/>
        <v>0</v>
      </c>
      <c r="BF72" s="144">
        <f ca="1">SUM(INDIRECT(BF$1&amp;BF$2&amp;$A72):INDIRECT(BF$1&amp;BF$3&amp;$A72))+SUM(INDIRECT(BF$1&amp;BF$2&amp;$B72):INDIRECT(BF$1&amp;BF$3&amp;$B72))</f>
        <v>0</v>
      </c>
      <c r="BG72" s="878">
        <f t="shared" ca="1" si="104"/>
        <v>0</v>
      </c>
      <c r="BH72" s="929">
        <f t="shared" ca="1" si="105"/>
        <v>0</v>
      </c>
    </row>
    <row r="73" spans="1:60" ht="14.5">
      <c r="A73" s="990">
        <f t="shared" si="76"/>
        <v>70</v>
      </c>
      <c r="B73" s="990">
        <v>1</v>
      </c>
      <c r="C73" s="990">
        <f t="shared" si="2"/>
        <v>70</v>
      </c>
      <c r="D73" s="1121" t="s">
        <v>887</v>
      </c>
      <c r="E73" s="1243">
        <v>1</v>
      </c>
      <c r="I73" s="143"/>
      <c r="J73" s="12" t="s">
        <v>197</v>
      </c>
      <c r="K73" s="18"/>
      <c r="L73" s="18"/>
      <c r="M73" s="12"/>
      <c r="N73" s="12"/>
      <c r="O73" s="12"/>
      <c r="P73" s="12"/>
      <c r="Q73" s="1848" t="str">
        <f>CHOOSE(2, "6722000002992", "BO,OE Other Expense Other Expense")</f>
        <v>BO,OE Other Expense Other Expense</v>
      </c>
      <c r="R73" s="113">
        <f>R68-SUM(R69:R72)</f>
        <v>0</v>
      </c>
      <c r="S73" s="113">
        <f t="shared" ref="S73:AC73" si="120">S68-SUM(S69:S72)</f>
        <v>0</v>
      </c>
      <c r="T73" s="113">
        <f t="shared" si="120"/>
        <v>0</v>
      </c>
      <c r="U73" s="113">
        <f t="shared" si="120"/>
        <v>0</v>
      </c>
      <c r="V73" s="113">
        <f t="shared" si="120"/>
        <v>0</v>
      </c>
      <c r="W73" s="113">
        <f t="shared" si="120"/>
        <v>0</v>
      </c>
      <c r="X73" s="113">
        <f t="shared" si="120"/>
        <v>0</v>
      </c>
      <c r="Y73" s="113">
        <f t="shared" si="120"/>
        <v>0</v>
      </c>
      <c r="Z73" s="113">
        <f t="shared" si="120"/>
        <v>0</v>
      </c>
      <c r="AA73" s="113">
        <f t="shared" si="120"/>
        <v>0</v>
      </c>
      <c r="AB73" s="113">
        <f t="shared" si="120"/>
        <v>0</v>
      </c>
      <c r="AC73" s="113">
        <f t="shared" si="120"/>
        <v>0</v>
      </c>
      <c r="AD73" s="141">
        <f t="shared" ref="AD73" si="121">AD68-SUM(AD69:AD72)</f>
        <v>0</v>
      </c>
      <c r="AE73" s="142">
        <f t="shared" ref="AE73" si="122">AE68-SUM(AE69:AE72)</f>
        <v>0</v>
      </c>
      <c r="AF73" s="142">
        <f t="shared" ref="AF73" si="123">AF68-SUM(AF69:AF72)</f>
        <v>0</v>
      </c>
      <c r="AG73" s="142">
        <f t="shared" ref="AG73" si="124">AG68-SUM(AG69:AG72)</f>
        <v>0</v>
      </c>
      <c r="AH73" s="142">
        <f t="shared" ref="AH73" si="125">AH68-SUM(AH69:AH72)</f>
        <v>0</v>
      </c>
      <c r="AI73" s="142">
        <f t="shared" ref="AI73" si="126">AI68-SUM(AI69:AI72)</f>
        <v>0</v>
      </c>
      <c r="AJ73" s="141">
        <f t="shared" ref="AJ73" si="127">AJ68-SUM(AJ69:AJ72)</f>
        <v>0</v>
      </c>
      <c r="AL73" s="142">
        <f ca="1">SUM((INDIRECT(AL$2&amp;(ROW())):INDIRECT(AL$3&amp;(ROW()))))</f>
        <v>0</v>
      </c>
      <c r="AM73" s="141">
        <f ca="1">SUM(INDIRECT(AM$1&amp;AM$2&amp;$C73):INDIRECT(AM$1&amp;AM$3&amp;$C73))</f>
        <v>0</v>
      </c>
      <c r="AN73" s="879">
        <f t="shared" ca="1" si="94"/>
        <v>0</v>
      </c>
      <c r="AO73" s="930">
        <f t="shared" ca="1" si="95"/>
        <v>0</v>
      </c>
      <c r="AP73" s="141">
        <f ca="1">SUM(INDIRECT(AP$1&amp;AP$2&amp;$A73):INDIRECT(AP$1&amp;AP$3&amp;$A73))+SUM(INDIRECT(AP$1&amp;AP$2&amp;$B73):INDIRECT(AP$1&amp;AP$3&amp;$B73))</f>
        <v>0</v>
      </c>
      <c r="AQ73" s="879">
        <f t="shared" ca="1" si="96"/>
        <v>0</v>
      </c>
      <c r="AR73" s="930">
        <f t="shared" ca="1" si="97"/>
        <v>0</v>
      </c>
      <c r="AT73" s="142">
        <f ca="1">SUM((INDIRECT(AT$2&amp;(ROW())):INDIRECT(AT$3&amp;(ROW()))))</f>
        <v>0</v>
      </c>
      <c r="AU73" s="141">
        <f ca="1">SUM(INDIRECT(AU$1&amp;AU$2&amp;$C73):INDIRECT(AU$1&amp;AU$3&amp;$C73))</f>
        <v>0</v>
      </c>
      <c r="AV73" s="879">
        <f t="shared" ca="1" si="98"/>
        <v>0</v>
      </c>
      <c r="AW73" s="930">
        <f t="shared" ca="1" si="99"/>
        <v>0</v>
      </c>
      <c r="AX73" s="141">
        <f ca="1">SUM(INDIRECT(AX$1&amp;AX$2&amp;$A73):INDIRECT(AX$1&amp;AX$3&amp;$A73))+SUM(INDIRECT(AX$1&amp;AX$2&amp;$B73):INDIRECT(AX$1&amp;AX$3&amp;$B73))</f>
        <v>0</v>
      </c>
      <c r="AY73" s="879">
        <f t="shared" ca="1" si="100"/>
        <v>0</v>
      </c>
      <c r="AZ73" s="930">
        <f t="shared" ca="1" si="101"/>
        <v>0</v>
      </c>
      <c r="BB73" s="142">
        <f ca="1">SUM((INDIRECT(BB$2&amp;(ROW())):INDIRECT(BB$3&amp;(ROW()))))</f>
        <v>0</v>
      </c>
      <c r="BC73" s="141">
        <f ca="1">SUM(INDIRECT(BC$1&amp;BC$2&amp;$C73):INDIRECT(BC$1&amp;BC$3&amp;$C73))</f>
        <v>0</v>
      </c>
      <c r="BD73" s="879">
        <f t="shared" ca="1" si="102"/>
        <v>0</v>
      </c>
      <c r="BE73" s="930">
        <f t="shared" ca="1" si="103"/>
        <v>0</v>
      </c>
      <c r="BF73" s="141">
        <f ca="1">SUM(INDIRECT(BF$1&amp;BF$2&amp;$A73):INDIRECT(BF$1&amp;BF$3&amp;$A73))+SUM(INDIRECT(BF$1&amp;BF$2&amp;$B73):INDIRECT(BF$1&amp;BF$3&amp;$B73))</f>
        <v>-341</v>
      </c>
      <c r="BG73" s="879">
        <f t="shared" ca="1" si="104"/>
        <v>341</v>
      </c>
      <c r="BH73" s="930">
        <f t="shared" ca="1" si="105"/>
        <v>0</v>
      </c>
    </row>
    <row r="74" spans="1:60" ht="14.5">
      <c r="A74" s="990">
        <f t="shared" si="76"/>
        <v>71</v>
      </c>
      <c r="B74" s="990">
        <v>1</v>
      </c>
      <c r="C74" s="990">
        <f t="shared" si="2"/>
        <v>71</v>
      </c>
      <c r="D74" s="1121" t="s">
        <v>887</v>
      </c>
      <c r="E74" s="1243">
        <v>1</v>
      </c>
      <c r="J74" s="1411"/>
      <c r="Q74" s="1838" t="str">
        <f>CHOOSE(2, "6722000002993", "▷ Blank 5")</f>
        <v>▷ Blank 5</v>
      </c>
      <c r="R74" s="2200"/>
      <c r="AA74" s="163"/>
      <c r="AB74" s="163"/>
      <c r="AC74" s="163"/>
      <c r="AD74" s="163"/>
      <c r="AE74" s="163"/>
      <c r="AF74" s="163"/>
      <c r="AG74" s="163"/>
      <c r="AH74" s="163"/>
      <c r="AI74" s="163"/>
      <c r="AJ74" s="868"/>
      <c r="AL74" s="163"/>
      <c r="AM74" s="163"/>
      <c r="AN74" s="163"/>
      <c r="AO74" s="163"/>
      <c r="AP74" s="163"/>
      <c r="AQ74" s="163"/>
      <c r="AR74" s="163"/>
      <c r="AT74" s="163"/>
      <c r="AU74" s="163"/>
      <c r="AV74" s="163"/>
      <c r="AW74" s="163"/>
      <c r="AX74" s="163"/>
      <c r="AY74" s="163"/>
      <c r="AZ74" s="163"/>
      <c r="BB74" s="163"/>
      <c r="BC74" s="163"/>
      <c r="BD74" s="163"/>
      <c r="BE74" s="163"/>
      <c r="BF74" s="163"/>
      <c r="BG74" s="163"/>
      <c r="BH74" s="163"/>
    </row>
    <row r="75" spans="1:60" ht="18">
      <c r="A75" s="990">
        <f t="shared" si="76"/>
        <v>72</v>
      </c>
      <c r="B75" s="990">
        <v>1</v>
      </c>
      <c r="C75" s="990">
        <f t="shared" si="2"/>
        <v>72</v>
      </c>
      <c r="D75" s="1121" t="s">
        <v>887</v>
      </c>
      <c r="E75" s="1243">
        <v>1</v>
      </c>
      <c r="F75" s="313" t="s">
        <v>1289</v>
      </c>
      <c r="G75" s="313"/>
      <c r="H75" s="14"/>
      <c r="Q75" s="1838" t="str">
        <f>CHOOSE(2, "6722000002994", "2. P/L (2) - Overview by BU")</f>
        <v>2. P/L (2) - Overview by BU</v>
      </c>
      <c r="R75" s="2200"/>
      <c r="AB75" s="1"/>
      <c r="AC75" s="1"/>
      <c r="AD75" s="1"/>
      <c r="AE75" s="1"/>
      <c r="AF75" s="1"/>
      <c r="AG75" s="1"/>
      <c r="AH75" s="1"/>
      <c r="AI75" s="1"/>
      <c r="AJ75" s="1"/>
      <c r="AL75" s="1"/>
      <c r="AM75" s="1"/>
      <c r="AN75" s="1"/>
      <c r="AO75" s="1"/>
      <c r="AP75" s="1"/>
      <c r="AQ75" s="1"/>
      <c r="AR75" s="1"/>
      <c r="AT75" s="1"/>
      <c r="AU75" s="1"/>
      <c r="AV75" s="1"/>
      <c r="AW75" s="1"/>
      <c r="AX75" s="1"/>
      <c r="AY75" s="1"/>
      <c r="AZ75" s="1"/>
      <c r="BB75" s="1"/>
      <c r="BC75" s="1"/>
      <c r="BD75" s="1"/>
      <c r="BE75" s="1"/>
      <c r="BF75" s="1"/>
      <c r="BG75" s="1"/>
      <c r="BH75" s="1"/>
    </row>
    <row r="76" spans="1:60" ht="15.5">
      <c r="A76" s="990">
        <f t="shared" si="76"/>
        <v>73</v>
      </c>
      <c r="B76" s="990">
        <v>1</v>
      </c>
      <c r="C76" s="990">
        <f t="shared" si="2"/>
        <v>73</v>
      </c>
      <c r="D76" s="1121" t="s">
        <v>887</v>
      </c>
      <c r="E76" s="1243">
        <v>1</v>
      </c>
      <c r="F76" s="9"/>
      <c r="G76" s="460" t="s">
        <v>395</v>
      </c>
      <c r="I76" s="39"/>
      <c r="J76" s="40"/>
      <c r="K76" s="39"/>
      <c r="L76" s="39"/>
      <c r="M76" s="40"/>
      <c r="N76" s="67"/>
      <c r="O76" s="40"/>
      <c r="P76" s="40"/>
      <c r="Q76" s="1839" t="str">
        <f>CHOOSE(2, "6722000002995", "2-1. P/L Statement by BU")</f>
        <v>2-1. P/L Statement by BU</v>
      </c>
      <c r="R76" s="2225"/>
      <c r="S76" s="1151"/>
      <c r="T76" s="1151"/>
      <c r="U76" s="1151"/>
      <c r="V76" s="1151"/>
      <c r="W76" s="1151"/>
      <c r="AH76" s="186"/>
      <c r="AI76" s="186"/>
      <c r="AJ76" s="186"/>
      <c r="AL76" s="186"/>
      <c r="AM76" s="186"/>
      <c r="AN76" s="186"/>
      <c r="AO76" s="186"/>
      <c r="AP76" s="186"/>
      <c r="AQ76" s="186"/>
      <c r="AR76" s="186"/>
      <c r="AT76" s="186"/>
      <c r="AU76" s="186"/>
      <c r="AV76" s="186"/>
      <c r="AW76" s="186"/>
      <c r="AX76" s="186"/>
      <c r="AY76" s="186"/>
      <c r="AZ76" s="186"/>
      <c r="BB76" s="186"/>
      <c r="BC76" s="186"/>
      <c r="BD76" s="186"/>
      <c r="BE76" s="186"/>
      <c r="BF76" s="186"/>
      <c r="BG76" s="186"/>
      <c r="BH76" s="186"/>
    </row>
    <row r="77" spans="1:60" ht="14.5">
      <c r="A77" s="990">
        <f t="shared" si="76"/>
        <v>74</v>
      </c>
      <c r="B77" s="990">
        <v>1</v>
      </c>
      <c r="C77" s="990">
        <f t="shared" si="2"/>
        <v>74</v>
      </c>
      <c r="D77" s="1121" t="s">
        <v>887</v>
      </c>
      <c r="E77" s="1243">
        <v>1</v>
      </c>
      <c r="F77" s="5"/>
      <c r="G77" s="5"/>
      <c r="H77" s="5" t="s">
        <v>98</v>
      </c>
      <c r="I77" s="5"/>
      <c r="J77" s="4"/>
      <c r="K77" s="5"/>
      <c r="L77" s="4"/>
      <c r="M77" s="4"/>
      <c r="N77" s="4"/>
      <c r="O77" s="4"/>
      <c r="P77" s="4"/>
      <c r="Q77" s="1839" t="str">
        <f>CHOOSE(2, "6722000002996", "PL (1) Office")</f>
        <v>PL (1) Office</v>
      </c>
      <c r="R77" s="2225"/>
      <c r="S77" s="1151"/>
      <c r="T77" s="1151"/>
      <c r="U77" s="1151"/>
      <c r="V77" s="1151"/>
      <c r="W77" s="1151"/>
      <c r="AB77" s="1"/>
      <c r="AC77" s="1"/>
      <c r="AD77" s="1"/>
      <c r="AE77" s="1"/>
      <c r="AF77" s="1"/>
      <c r="AG77" s="1"/>
      <c r="AH77" s="1"/>
      <c r="AI77" s="1"/>
      <c r="AJ77" s="1"/>
      <c r="AL77" s="1"/>
      <c r="AM77" s="1"/>
      <c r="AN77" s="1"/>
      <c r="AO77" s="1"/>
      <c r="AP77" s="1"/>
      <c r="AQ77" s="1"/>
      <c r="AR77" s="1"/>
      <c r="AT77" s="1"/>
      <c r="AU77" s="1"/>
      <c r="AV77" s="1"/>
      <c r="AW77" s="1"/>
      <c r="AX77" s="1"/>
      <c r="AY77" s="1"/>
      <c r="AZ77" s="1"/>
      <c r="BB77" s="1"/>
      <c r="BC77" s="1"/>
      <c r="BD77" s="1"/>
      <c r="BE77" s="1"/>
      <c r="BF77" s="1"/>
      <c r="BG77" s="1"/>
      <c r="BH77" s="1"/>
    </row>
    <row r="78" spans="1:60" ht="14.5">
      <c r="A78" s="990">
        <f t="shared" si="76"/>
        <v>75</v>
      </c>
      <c r="B78" s="990">
        <v>1</v>
      </c>
      <c r="C78" s="990">
        <f t="shared" ref="C78:C141" si="128">ROW()-3</f>
        <v>75</v>
      </c>
      <c r="D78" s="1121" t="s">
        <v>887</v>
      </c>
      <c r="E78" s="1662" t="s">
        <v>1324</v>
      </c>
      <c r="F78" s="1690"/>
      <c r="G78" s="93"/>
      <c r="H78" s="14"/>
      <c r="I78" s="1622"/>
      <c r="J78" s="1623"/>
      <c r="K78" s="1624"/>
      <c r="L78" s="1624"/>
      <c r="M78" s="1623"/>
      <c r="N78" s="1623"/>
      <c r="O78" s="1623"/>
      <c r="P78" s="1625"/>
      <c r="Q78" s="1839" t="str">
        <f>CHOOSE(2, "6722000002997", "▷ Blank 6")</f>
        <v>▷ Blank 6</v>
      </c>
      <c r="R78" s="2175">
        <f>R13</f>
        <v>44652</v>
      </c>
      <c r="S78" s="2175">
        <f t="shared" ref="S78:AC78" si="129">S13</f>
        <v>44682</v>
      </c>
      <c r="T78" s="2175">
        <f t="shared" si="129"/>
        <v>44713</v>
      </c>
      <c r="U78" s="2175">
        <f t="shared" si="129"/>
        <v>44743</v>
      </c>
      <c r="V78" s="2175">
        <f t="shared" si="129"/>
        <v>44774</v>
      </c>
      <c r="W78" s="2175">
        <f t="shared" si="129"/>
        <v>44805</v>
      </c>
      <c r="X78" s="2175">
        <f t="shared" si="129"/>
        <v>44835</v>
      </c>
      <c r="Y78" s="2175">
        <f t="shared" si="129"/>
        <v>44866</v>
      </c>
      <c r="Z78" s="2175">
        <f t="shared" si="129"/>
        <v>44896</v>
      </c>
      <c r="AA78" s="2175">
        <f t="shared" si="129"/>
        <v>44927</v>
      </c>
      <c r="AB78" s="2175">
        <f t="shared" si="129"/>
        <v>44958</v>
      </c>
      <c r="AC78" s="2175">
        <f t="shared" si="129"/>
        <v>44986</v>
      </c>
      <c r="AD78" s="1505" t="str">
        <f t="shared" ref="AD78:AJ78" si="130">AD$13</f>
        <v>Q1</v>
      </c>
      <c r="AE78" s="26" t="str">
        <f t="shared" si="130"/>
        <v>Q2</v>
      </c>
      <c r="AF78" s="26" t="str">
        <f t="shared" si="130"/>
        <v>Q3</v>
      </c>
      <c r="AG78" s="26" t="str">
        <f t="shared" si="130"/>
        <v>Q4</v>
      </c>
      <c r="AH78" s="26" t="str">
        <f t="shared" si="130"/>
        <v>1st H</v>
      </c>
      <c r="AI78" s="26" t="str">
        <f t="shared" si="130"/>
        <v>2nd H</v>
      </c>
      <c r="AJ78" s="26" t="str">
        <f t="shared" si="130"/>
        <v>Yr.</v>
      </c>
      <c r="AL78" s="2484">
        <f>AL$10</f>
        <v>0</v>
      </c>
      <c r="AM78" s="2485">
        <f t="shared" ref="AM78:AR78" si="131">AM$10</f>
        <v>0</v>
      </c>
      <c r="AN78" s="2486">
        <f t="shared" si="131"/>
        <v>0</v>
      </c>
      <c r="AO78" s="2487">
        <f t="shared" si="131"/>
        <v>0</v>
      </c>
      <c r="AP78" s="2485">
        <f t="shared" si="131"/>
        <v>0</v>
      </c>
      <c r="AQ78" s="2486">
        <f t="shared" si="131"/>
        <v>0</v>
      </c>
      <c r="AR78" s="2488">
        <f t="shared" si="131"/>
        <v>0</v>
      </c>
      <c r="AT78" s="2484">
        <f>AT$10</f>
        <v>0</v>
      </c>
      <c r="AU78" s="2485">
        <f t="shared" ref="AU78:AZ78" si="132">AU$10</f>
        <v>0</v>
      </c>
      <c r="AV78" s="2486">
        <f t="shared" si="132"/>
        <v>0</v>
      </c>
      <c r="AW78" s="2487">
        <f t="shared" si="132"/>
        <v>0</v>
      </c>
      <c r="AX78" s="2485">
        <f t="shared" si="132"/>
        <v>0</v>
      </c>
      <c r="AY78" s="2486">
        <f t="shared" si="132"/>
        <v>0</v>
      </c>
      <c r="AZ78" s="2488">
        <f t="shared" si="132"/>
        <v>0</v>
      </c>
      <c r="BB78" s="2484">
        <f>BB$10</f>
        <v>0</v>
      </c>
      <c r="BC78" s="2485">
        <f t="shared" ref="BC78:BH78" si="133">BC$10</f>
        <v>0</v>
      </c>
      <c r="BD78" s="2486">
        <f t="shared" si="133"/>
        <v>0</v>
      </c>
      <c r="BE78" s="2487">
        <f t="shared" si="133"/>
        <v>0</v>
      </c>
      <c r="BF78" s="2485">
        <f t="shared" si="133"/>
        <v>0</v>
      </c>
      <c r="BG78" s="2486">
        <f t="shared" si="133"/>
        <v>0</v>
      </c>
      <c r="BH78" s="2488">
        <f t="shared" si="133"/>
        <v>0</v>
      </c>
    </row>
    <row r="79" spans="1:60" ht="14.5">
      <c r="A79" s="990">
        <v>1</v>
      </c>
      <c r="B79" s="990">
        <v>1</v>
      </c>
      <c r="C79" s="990">
        <f t="shared" si="128"/>
        <v>76</v>
      </c>
      <c r="D79" s="1121" t="s">
        <v>887</v>
      </c>
      <c r="E79" s="1662" t="s">
        <v>1324</v>
      </c>
      <c r="F79" s="1677"/>
      <c r="G79" s="5"/>
      <c r="H79" s="5"/>
      <c r="I79" s="1639" t="s">
        <v>9</v>
      </c>
      <c r="J79" s="1640"/>
      <c r="K79" s="1640"/>
      <c r="L79" s="1640"/>
      <c r="M79" s="1641"/>
      <c r="N79" s="1641"/>
      <c r="O79" s="1641"/>
      <c r="P79" s="1654"/>
      <c r="Q79" s="1849" t="str">
        <f>CHOOSE(2, "6722000002998", "PL Net Sales")</f>
        <v>PL Net Sales</v>
      </c>
      <c r="R79" s="2258">
        <f>R102+R143</f>
        <v>164198</v>
      </c>
      <c r="S79" s="2258">
        <f t="shared" ref="S79:AC79" si="134">S102+S143</f>
        <v>184650</v>
      </c>
      <c r="T79" s="2258">
        <f t="shared" si="134"/>
        <v>198667</v>
      </c>
      <c r="U79" s="2258">
        <f t="shared" si="134"/>
        <v>210290</v>
      </c>
      <c r="V79" s="2258">
        <f t="shared" si="134"/>
        <v>262526.24494</v>
      </c>
      <c r="W79" s="2258">
        <f t="shared" si="134"/>
        <v>271607</v>
      </c>
      <c r="X79" s="2261">
        <f t="shared" si="134"/>
        <v>234197</v>
      </c>
      <c r="Y79" s="2261">
        <f t="shared" si="134"/>
        <v>255561</v>
      </c>
      <c r="Z79" s="2261">
        <f t="shared" si="134"/>
        <v>330439</v>
      </c>
      <c r="AA79" s="2262">
        <f t="shared" si="134"/>
        <v>242787</v>
      </c>
      <c r="AB79" s="2262">
        <f t="shared" si="134"/>
        <v>263940.37031000003</v>
      </c>
      <c r="AC79" s="2262">
        <f t="shared" si="134"/>
        <v>282292</v>
      </c>
      <c r="AD79" s="1655">
        <f>SUM(R79,S79,T79)</f>
        <v>547515</v>
      </c>
      <c r="AE79" s="1655">
        <f t="shared" ref="AE79:AE81" si="135">SUM(U79,V79,W79)</f>
        <v>744423.24494</v>
      </c>
      <c r="AF79" s="1655">
        <f t="shared" ref="AF79:AF81" si="136">SUM(X79,Y79,Z79)</f>
        <v>820197</v>
      </c>
      <c r="AG79" s="1655">
        <f t="shared" ref="AG79:AG81" si="137">SUM(AA79,AB79,AC79)</f>
        <v>789019.37031000003</v>
      </c>
      <c r="AH79" s="1655">
        <f t="shared" ref="AH79:AH81" si="138">AD79+AE79</f>
        <v>1291938.2449400001</v>
      </c>
      <c r="AI79" s="1655">
        <f t="shared" ref="AI79:AI81" si="139">AG79+AF79</f>
        <v>1609216.3703100001</v>
      </c>
      <c r="AJ79" s="1655">
        <f t="shared" ref="AJ79:AJ81" si="140">AH79+AI79</f>
        <v>2901154.6152500003</v>
      </c>
      <c r="AL79" s="2262">
        <f ca="1">AL102+AL143</f>
        <v>282292</v>
      </c>
      <c r="AM79" s="2262">
        <f ca="1">AM102+AM143</f>
        <v>0</v>
      </c>
      <c r="AN79" s="2489">
        <f t="shared" ref="AN79:AN99" ca="1" si="141">AL79-AM79</f>
        <v>282292</v>
      </c>
      <c r="AO79" s="2490">
        <f t="shared" ref="AO79:AO89" ca="1" si="142">IFERROR(AL79/AM79,0)</f>
        <v>0</v>
      </c>
      <c r="AP79" s="2262">
        <f ca="1">AP102+AP143</f>
        <v>242639</v>
      </c>
      <c r="AQ79" s="2489">
        <f t="shared" ref="AQ79:AQ95" ca="1" si="143">AL79-AP79</f>
        <v>39653</v>
      </c>
      <c r="AR79" s="2490">
        <f t="shared" ref="AR79:AR89" ca="1" si="144">IFERROR(AL79/AP79,0)</f>
        <v>1.1634238518952023</v>
      </c>
      <c r="AT79" s="2262">
        <f ca="1">AT102+AT143</f>
        <v>789019.37031000003</v>
      </c>
      <c r="AU79" s="2262">
        <f ca="1">AU102+AU143</f>
        <v>0</v>
      </c>
      <c r="AV79" s="2489">
        <f t="shared" ref="AV79:AV99" ca="1" si="145">AT79-AU79</f>
        <v>789019.37031000003</v>
      </c>
      <c r="AW79" s="2490">
        <f t="shared" ref="AW79:AW89" ca="1" si="146">IFERROR(AT79/AU79,0)</f>
        <v>0</v>
      </c>
      <c r="AX79" s="2262">
        <f ca="1">AX102+AX143</f>
        <v>584564</v>
      </c>
      <c r="AY79" s="2489">
        <f t="shared" ref="AY79:AY95" ca="1" si="147">AT79-AX79</f>
        <v>204455.37031000003</v>
      </c>
      <c r="AZ79" s="2490">
        <f t="shared" ref="AZ79:AZ89" ca="1" si="148">IFERROR(AT79/AX79,0)</f>
        <v>1.3497570331221218</v>
      </c>
      <c r="BB79" s="2262">
        <f ca="1">BB102+BB143</f>
        <v>2901154.6152499998</v>
      </c>
      <c r="BC79" s="2262">
        <f ca="1">BC102+BC143</f>
        <v>0</v>
      </c>
      <c r="BD79" s="2489">
        <f t="shared" ref="BD79:BD99" ca="1" si="149">BB79-BC79</f>
        <v>2901154.6152499998</v>
      </c>
      <c r="BE79" s="2490">
        <f t="shared" ref="BE79:BE89" ca="1" si="150">IFERROR(BB79/BC79,0)</f>
        <v>0</v>
      </c>
      <c r="BF79" s="2262">
        <f ca="1">BF102+BF143</f>
        <v>2171354</v>
      </c>
      <c r="BG79" s="2489">
        <f t="shared" ref="BG79:BG95" ca="1" si="151">BB79-BF79</f>
        <v>729800.6152499998</v>
      </c>
      <c r="BH79" s="2490">
        <f t="shared" ref="BH79:BH89" ca="1" si="152">IFERROR(BB79/BF79,0)</f>
        <v>1.3361039311185554</v>
      </c>
    </row>
    <row r="80" spans="1:60" ht="14.5">
      <c r="A80" s="990">
        <v>1</v>
      </c>
      <c r="B80" s="990">
        <v>1</v>
      </c>
      <c r="C80" s="990">
        <f t="shared" si="128"/>
        <v>77</v>
      </c>
      <c r="D80" s="1121" t="s">
        <v>887</v>
      </c>
      <c r="E80" s="1662" t="s">
        <v>1324</v>
      </c>
      <c r="F80" s="1677"/>
      <c r="G80" s="5"/>
      <c r="H80" s="5"/>
      <c r="I80" s="1642" t="s">
        <v>128</v>
      </c>
      <c r="J80" s="1643"/>
      <c r="K80" s="1643"/>
      <c r="L80" s="1643"/>
      <c r="M80" s="1644"/>
      <c r="N80" s="1644"/>
      <c r="O80" s="1644"/>
      <c r="P80" s="1656"/>
      <c r="Q80" s="1849" t="str">
        <f>CHOOSE(2, "6722000002999", "PL BT Cons. Sales")</f>
        <v>PL BT Cons. Sales</v>
      </c>
      <c r="R80" s="2259">
        <f>R106+R144</f>
        <v>164198</v>
      </c>
      <c r="S80" s="2259">
        <f t="shared" ref="S80:AC80" si="153">S106+S144</f>
        <v>184650</v>
      </c>
      <c r="T80" s="2259">
        <f t="shared" si="153"/>
        <v>198667</v>
      </c>
      <c r="U80" s="2259">
        <f t="shared" si="153"/>
        <v>210290</v>
      </c>
      <c r="V80" s="2259">
        <f t="shared" si="153"/>
        <v>262526.24494</v>
      </c>
      <c r="W80" s="2259">
        <f t="shared" si="153"/>
        <v>271607</v>
      </c>
      <c r="X80" s="2263">
        <f t="shared" si="153"/>
        <v>234197</v>
      </c>
      <c r="Y80" s="2263">
        <f t="shared" si="153"/>
        <v>255561</v>
      </c>
      <c r="Z80" s="2263">
        <f t="shared" si="153"/>
        <v>330439</v>
      </c>
      <c r="AA80" s="1657">
        <f t="shared" si="153"/>
        <v>242787</v>
      </c>
      <c r="AB80" s="1657">
        <f t="shared" si="153"/>
        <v>263940.37031000003</v>
      </c>
      <c r="AC80" s="1657">
        <f t="shared" si="153"/>
        <v>282292</v>
      </c>
      <c r="AD80" s="1657">
        <f>SUM(R80,S80,T80)</f>
        <v>547515</v>
      </c>
      <c r="AE80" s="1657">
        <f t="shared" si="135"/>
        <v>744423.24494</v>
      </c>
      <c r="AF80" s="1657">
        <f t="shared" si="136"/>
        <v>820197</v>
      </c>
      <c r="AG80" s="1657">
        <f t="shared" si="137"/>
        <v>789019.37031000003</v>
      </c>
      <c r="AH80" s="1657">
        <f t="shared" si="138"/>
        <v>1291938.2449400001</v>
      </c>
      <c r="AI80" s="1657">
        <f t="shared" si="139"/>
        <v>1609216.3703100001</v>
      </c>
      <c r="AJ80" s="1657">
        <f t="shared" si="140"/>
        <v>2901154.6152500003</v>
      </c>
      <c r="AL80" s="1657">
        <f ca="1">AL106+AL144</f>
        <v>282292</v>
      </c>
      <c r="AM80" s="1657">
        <f ca="1">AM106+AM144</f>
        <v>0</v>
      </c>
      <c r="AN80" s="1783">
        <f t="shared" ca="1" si="141"/>
        <v>282292</v>
      </c>
      <c r="AO80" s="1788">
        <f t="shared" ca="1" si="142"/>
        <v>0</v>
      </c>
      <c r="AP80" s="1657">
        <f ca="1">AP106+AP144</f>
        <v>242639</v>
      </c>
      <c r="AQ80" s="1783">
        <f t="shared" ca="1" si="143"/>
        <v>39653</v>
      </c>
      <c r="AR80" s="1788">
        <f t="shared" ca="1" si="144"/>
        <v>1.1634238518952023</v>
      </c>
      <c r="AT80" s="1657">
        <f ca="1">AT106+AT144</f>
        <v>789019.37031000003</v>
      </c>
      <c r="AU80" s="1657">
        <f ca="1">AU106+AU144</f>
        <v>0</v>
      </c>
      <c r="AV80" s="1783">
        <f t="shared" ca="1" si="145"/>
        <v>789019.37031000003</v>
      </c>
      <c r="AW80" s="1788">
        <f t="shared" ca="1" si="146"/>
        <v>0</v>
      </c>
      <c r="AX80" s="1657">
        <f ca="1">AX106+AX144</f>
        <v>584564</v>
      </c>
      <c r="AY80" s="1783">
        <f t="shared" ca="1" si="147"/>
        <v>204455.37031000003</v>
      </c>
      <c r="AZ80" s="1788">
        <f t="shared" ca="1" si="148"/>
        <v>1.3497570331221218</v>
      </c>
      <c r="BB80" s="1657">
        <f ca="1">BB106+BB144</f>
        <v>2901154.6152499998</v>
      </c>
      <c r="BC80" s="1657">
        <f ca="1">BC106+BC144</f>
        <v>0</v>
      </c>
      <c r="BD80" s="1783">
        <f t="shared" ca="1" si="149"/>
        <v>2901154.6152499998</v>
      </c>
      <c r="BE80" s="1788">
        <f t="shared" ca="1" si="150"/>
        <v>0</v>
      </c>
      <c r="BF80" s="1657">
        <f ca="1">BF106+BF144</f>
        <v>2171354</v>
      </c>
      <c r="BG80" s="1783">
        <f t="shared" ca="1" si="151"/>
        <v>729800.6152499998</v>
      </c>
      <c r="BH80" s="1788">
        <f t="shared" ca="1" si="152"/>
        <v>1.3361039311185554</v>
      </c>
    </row>
    <row r="81" spans="1:60" ht="14.5">
      <c r="A81" s="990">
        <v>1</v>
      </c>
      <c r="B81" s="990">
        <v>1</v>
      </c>
      <c r="C81" s="990">
        <f t="shared" si="128"/>
        <v>78</v>
      </c>
      <c r="D81" s="1121" t="s">
        <v>887</v>
      </c>
      <c r="E81" s="1662" t="s">
        <v>1324</v>
      </c>
      <c r="F81" s="1677"/>
      <c r="G81" s="5"/>
      <c r="H81" s="5"/>
      <c r="I81" s="1642" t="s">
        <v>134</v>
      </c>
      <c r="J81" s="1643"/>
      <c r="K81" s="1643"/>
      <c r="L81" s="1643"/>
      <c r="M81" s="1644"/>
      <c r="N81" s="1644"/>
      <c r="O81" s="1644"/>
      <c r="P81" s="1656"/>
      <c r="Q81" s="1849" t="str">
        <f>CHOOSE(2, "6722000003000", "PL Gross Profit")</f>
        <v>PL Gross Profit</v>
      </c>
      <c r="R81" s="2259">
        <f>R123+R145</f>
        <v>62999</v>
      </c>
      <c r="S81" s="2259">
        <f t="shared" ref="S81:AC81" si="154">S123+S145</f>
        <v>52860</v>
      </c>
      <c r="T81" s="2259">
        <f t="shared" si="154"/>
        <v>69205</v>
      </c>
      <c r="U81" s="2259">
        <f t="shared" si="154"/>
        <v>67825</v>
      </c>
      <c r="V81" s="2259">
        <f t="shared" si="154"/>
        <v>81997.624250359484</v>
      </c>
      <c r="W81" s="2259">
        <f t="shared" si="154"/>
        <v>87385</v>
      </c>
      <c r="X81" s="2263">
        <f t="shared" si="154"/>
        <v>87342</v>
      </c>
      <c r="Y81" s="2263">
        <f t="shared" si="154"/>
        <v>86003</v>
      </c>
      <c r="Z81" s="2263">
        <f t="shared" si="154"/>
        <v>97835</v>
      </c>
      <c r="AA81" s="1657">
        <f t="shared" si="154"/>
        <v>83248</v>
      </c>
      <c r="AB81" s="1657">
        <f t="shared" si="154"/>
        <v>67819.856589999996</v>
      </c>
      <c r="AC81" s="1657">
        <f t="shared" si="154"/>
        <v>76027</v>
      </c>
      <c r="AD81" s="1657">
        <f>SUM(R81,S81,T81)</f>
        <v>185064</v>
      </c>
      <c r="AE81" s="1657">
        <f t="shared" si="135"/>
        <v>237207.62425035948</v>
      </c>
      <c r="AF81" s="1657">
        <f t="shared" si="136"/>
        <v>271180</v>
      </c>
      <c r="AG81" s="1657">
        <f t="shared" si="137"/>
        <v>227094.85658999998</v>
      </c>
      <c r="AH81" s="1657">
        <f t="shared" si="138"/>
        <v>422271.62425035948</v>
      </c>
      <c r="AI81" s="1657">
        <f t="shared" si="139"/>
        <v>498274.85658999998</v>
      </c>
      <c r="AJ81" s="1657">
        <f t="shared" si="140"/>
        <v>920546.48084035947</v>
      </c>
      <c r="AL81" s="1657">
        <f ca="1">AL123+AL145</f>
        <v>76027</v>
      </c>
      <c r="AM81" s="1657">
        <f ca="1">AM123+AM145</f>
        <v>0</v>
      </c>
      <c r="AN81" s="1783">
        <f t="shared" ca="1" si="141"/>
        <v>76027</v>
      </c>
      <c r="AO81" s="1788">
        <f t="shared" ca="1" si="142"/>
        <v>0</v>
      </c>
      <c r="AP81" s="1657">
        <f ca="1">AP123+AP145</f>
        <v>53000</v>
      </c>
      <c r="AQ81" s="1783">
        <f t="shared" ca="1" si="143"/>
        <v>23027</v>
      </c>
      <c r="AR81" s="1788">
        <f t="shared" ca="1" si="144"/>
        <v>1.4344716981132075</v>
      </c>
      <c r="AT81" s="1657">
        <f ca="1">AT123+AT145</f>
        <v>227094.85659000001</v>
      </c>
      <c r="AU81" s="1657">
        <f ca="1">AU123+AU145</f>
        <v>0</v>
      </c>
      <c r="AV81" s="1783">
        <f t="shared" ca="1" si="145"/>
        <v>227094.85659000001</v>
      </c>
      <c r="AW81" s="1788">
        <f t="shared" ca="1" si="146"/>
        <v>0</v>
      </c>
      <c r="AX81" s="1657">
        <f ca="1">AX123+AX145</f>
        <v>151457</v>
      </c>
      <c r="AY81" s="1783">
        <f t="shared" ca="1" si="147"/>
        <v>75637.85659000001</v>
      </c>
      <c r="AZ81" s="1788">
        <f t="shared" ca="1" si="148"/>
        <v>1.4994015237988341</v>
      </c>
      <c r="BB81" s="1657">
        <f ca="1">BB123+BB145</f>
        <v>920546.48084035947</v>
      </c>
      <c r="BC81" s="1657">
        <f ca="1">BC123+BC145</f>
        <v>0</v>
      </c>
      <c r="BD81" s="1783">
        <f t="shared" ca="1" si="149"/>
        <v>920546.48084035947</v>
      </c>
      <c r="BE81" s="1788">
        <f t="shared" ca="1" si="150"/>
        <v>0</v>
      </c>
      <c r="BF81" s="1657">
        <f ca="1">BF123+BF145</f>
        <v>720975</v>
      </c>
      <c r="BG81" s="1783">
        <f t="shared" ca="1" si="151"/>
        <v>199571.48084035947</v>
      </c>
      <c r="BH81" s="1788">
        <f t="shared" ca="1" si="152"/>
        <v>1.2768077684252013</v>
      </c>
    </row>
    <row r="82" spans="1:60" ht="14.5">
      <c r="A82" s="990">
        <v>1</v>
      </c>
      <c r="B82" s="990">
        <v>1</v>
      </c>
      <c r="C82" s="990">
        <f t="shared" si="128"/>
        <v>79</v>
      </c>
      <c r="D82" s="1121" t="s">
        <v>887</v>
      </c>
      <c r="E82" s="1662" t="s">
        <v>1324</v>
      </c>
      <c r="F82" s="1677"/>
      <c r="G82" s="5"/>
      <c r="H82" s="5"/>
      <c r="I82" s="1642" t="s">
        <v>97</v>
      </c>
      <c r="J82" s="1645"/>
      <c r="K82" s="1645"/>
      <c r="L82" s="1645"/>
      <c r="M82" s="1646"/>
      <c r="N82" s="1646"/>
      <c r="O82" s="1646"/>
      <c r="P82" s="1658"/>
      <c r="Q82" s="1849" t="str">
        <f>CHOOSE(2, "6722000003001", "PL SGA Expenses")</f>
        <v>PL SGA Expenses</v>
      </c>
      <c r="R82" s="2260">
        <f>SUM(R83:R85)</f>
        <v>55371.654876761728</v>
      </c>
      <c r="S82" s="2260">
        <f t="shared" ref="S82:AC82" si="155">SUM(S83:S85)</f>
        <v>52157.793796559039</v>
      </c>
      <c r="T82" s="2260">
        <f t="shared" si="155"/>
        <v>58591.5778311959</v>
      </c>
      <c r="U82" s="2260">
        <f t="shared" si="155"/>
        <v>55458.902587087199</v>
      </c>
      <c r="V82" s="2260">
        <f t="shared" si="155"/>
        <v>62478.339588787901</v>
      </c>
      <c r="W82" s="2260">
        <f t="shared" si="155"/>
        <v>54871.735920402934</v>
      </c>
      <c r="X82" s="2264">
        <f t="shared" si="155"/>
        <v>71558.631602188849</v>
      </c>
      <c r="Y82" s="2264">
        <f t="shared" si="155"/>
        <v>55803.411853054764</v>
      </c>
      <c r="Z82" s="2264">
        <f t="shared" si="155"/>
        <v>79071.59049255529</v>
      </c>
      <c r="AA82" s="1659">
        <f t="shared" si="155"/>
        <v>73310.614334476399</v>
      </c>
      <c r="AB82" s="1659">
        <f t="shared" si="155"/>
        <v>64190.329965214056</v>
      </c>
      <c r="AC82" s="1659">
        <f t="shared" si="155"/>
        <v>76193.514538089483</v>
      </c>
      <c r="AD82" s="1659">
        <f t="shared" ref="AD82" si="156">SUM(AD83:AD85)</f>
        <v>166121.02650451669</v>
      </c>
      <c r="AE82" s="1659">
        <f t="shared" ref="AE82" si="157">SUM(AE83:AE85)</f>
        <v>172808.97809627804</v>
      </c>
      <c r="AF82" s="1659">
        <f t="shared" ref="AF82" si="158">SUM(AF83:AF85)</f>
        <v>206433.63394779889</v>
      </c>
      <c r="AG82" s="1659">
        <f t="shared" ref="AG82" si="159">SUM(AG83:AG85)</f>
        <v>213694.45883777994</v>
      </c>
      <c r="AH82" s="1659">
        <f t="shared" ref="AH82" si="160">SUM(AH83:AH85)</f>
        <v>338930.00460079469</v>
      </c>
      <c r="AI82" s="1659">
        <f t="shared" ref="AI82" si="161">SUM(AI83:AI85)</f>
        <v>420128.0927855788</v>
      </c>
      <c r="AJ82" s="1659">
        <f t="shared" ref="AJ82" si="162">SUM(AJ83:AJ85)</f>
        <v>759058.09738637344</v>
      </c>
      <c r="AL82" s="1659">
        <f ca="1">SUM(AL83:AL85)</f>
        <v>76193.514538089483</v>
      </c>
      <c r="AM82" s="1659">
        <f ca="1">SUM(AM83:AM85)</f>
        <v>0</v>
      </c>
      <c r="AN82" s="1784">
        <f t="shared" ca="1" si="141"/>
        <v>76193.514538089483</v>
      </c>
      <c r="AO82" s="1789">
        <f t="shared" ca="1" si="142"/>
        <v>0</v>
      </c>
      <c r="AP82" s="1659">
        <f ca="1">SUM(AP83:AP85)</f>
        <v>65602.6662293564</v>
      </c>
      <c r="AQ82" s="1784">
        <f t="shared" ca="1" si="143"/>
        <v>10590.848308733082</v>
      </c>
      <c r="AR82" s="1789">
        <f t="shared" ca="1" si="144"/>
        <v>1.1614392968679954</v>
      </c>
      <c r="AT82" s="1659">
        <f ca="1">SUM(AT83:AT85)</f>
        <v>213694.45883777994</v>
      </c>
      <c r="AU82" s="1659">
        <f ca="1">SUM(AU83:AU85)</f>
        <v>0</v>
      </c>
      <c r="AV82" s="1784">
        <f t="shared" ca="1" si="145"/>
        <v>213694.45883777994</v>
      </c>
      <c r="AW82" s="1789">
        <f t="shared" ca="1" si="146"/>
        <v>0</v>
      </c>
      <c r="AX82" s="1659">
        <f ca="1">SUM(AX83:AX85)</f>
        <v>144042.10374765983</v>
      </c>
      <c r="AY82" s="1784">
        <f t="shared" ca="1" si="147"/>
        <v>69652.355090120109</v>
      </c>
      <c r="AZ82" s="1789">
        <f t="shared" ca="1" si="148"/>
        <v>1.4835555249327697</v>
      </c>
      <c r="BB82" s="1659">
        <f ca="1">SUM(BB83:BB85)</f>
        <v>759058.09738637344</v>
      </c>
      <c r="BC82" s="1659">
        <f ca="1">SUM(BC83:BC85)</f>
        <v>0</v>
      </c>
      <c r="BD82" s="1784">
        <f t="shared" ca="1" si="149"/>
        <v>759058.09738637344</v>
      </c>
      <c r="BE82" s="1789">
        <f t="shared" ca="1" si="150"/>
        <v>0</v>
      </c>
      <c r="BF82" s="1659">
        <f ca="1">SUM(BF83:BF85)</f>
        <v>569856.10374765983</v>
      </c>
      <c r="BG82" s="1784">
        <f t="shared" ca="1" si="151"/>
        <v>189201.99363871361</v>
      </c>
      <c r="BH82" s="1789">
        <f t="shared" ca="1" si="152"/>
        <v>1.3320171397558547</v>
      </c>
    </row>
    <row r="83" spans="1:60" ht="14.5">
      <c r="A83" s="990">
        <v>1</v>
      </c>
      <c r="B83" s="990">
        <v>1</v>
      </c>
      <c r="C83" s="990">
        <f t="shared" si="128"/>
        <v>80</v>
      </c>
      <c r="D83" s="1121" t="s">
        <v>887</v>
      </c>
      <c r="E83" s="1662" t="s">
        <v>1324</v>
      </c>
      <c r="F83" s="1677"/>
      <c r="G83" s="5"/>
      <c r="H83" s="5"/>
      <c r="I83" s="613"/>
      <c r="J83" s="4" t="s">
        <v>143</v>
      </c>
      <c r="K83" s="4"/>
      <c r="L83" s="4"/>
      <c r="M83" s="4"/>
      <c r="N83" s="4"/>
      <c r="O83" s="4"/>
      <c r="P83" s="29"/>
      <c r="Q83" s="1880" t="str">
        <f>CHOOSE(2, "6722000003002", "PL SGA Expenses Variable Expenses")</f>
        <v>PL SGA Expenses Variable Expenses</v>
      </c>
      <c r="R83" s="2097">
        <f t="shared" ref="R83:AC85" si="163">R132+R147</f>
        <v>18592.978492826012</v>
      </c>
      <c r="S83" s="2097">
        <f t="shared" si="163"/>
        <v>14058.431285831692</v>
      </c>
      <c r="T83" s="2097">
        <f t="shared" si="163"/>
        <v>15547.272797424426</v>
      </c>
      <c r="U83" s="2097">
        <f t="shared" si="163"/>
        <v>18483.014427324466</v>
      </c>
      <c r="V83" s="2097">
        <f t="shared" si="163"/>
        <v>19971.517369946348</v>
      </c>
      <c r="W83" s="2097">
        <f t="shared" si="163"/>
        <v>25256.466210752336</v>
      </c>
      <c r="X83" s="107">
        <f t="shared" si="163"/>
        <v>12764.062763541016</v>
      </c>
      <c r="Y83" s="107">
        <f t="shared" si="163"/>
        <v>13148.810395254335</v>
      </c>
      <c r="Z83" s="107">
        <f t="shared" si="163"/>
        <v>37688.057048356502</v>
      </c>
      <c r="AA83" s="2266">
        <f t="shared" si="163"/>
        <v>26041.715238789289</v>
      </c>
      <c r="AB83" s="2266">
        <f t="shared" si="163"/>
        <v>27432.584783883085</v>
      </c>
      <c r="AC83" s="2266">
        <f t="shared" si="163"/>
        <v>17353.73228769144</v>
      </c>
      <c r="AD83" s="145">
        <f>SUM(R83,S83,T83)</f>
        <v>48198.68257608213</v>
      </c>
      <c r="AE83" s="145">
        <f t="shared" ref="AE83:AE85" si="164">SUM(U83,V83,W83)</f>
        <v>63710.998008023147</v>
      </c>
      <c r="AF83" s="145">
        <f t="shared" ref="AF83:AF85" si="165">SUM(X83,Y83,Z83)</f>
        <v>63600.930207151854</v>
      </c>
      <c r="AG83" s="145">
        <f t="shared" ref="AG83:AG85" si="166">SUM(AA83,AB83,AC83)</f>
        <v>70828.032310363807</v>
      </c>
      <c r="AH83" s="145">
        <f t="shared" ref="AH83:AH85" si="167">AD83+AE83</f>
        <v>111909.68058410528</v>
      </c>
      <c r="AI83" s="145">
        <f t="shared" ref="AI83:AI85" si="168">AG83+AF83</f>
        <v>134428.96251751567</v>
      </c>
      <c r="AJ83" s="145">
        <f t="shared" ref="AJ83:AJ85" si="169">AH83+AI83</f>
        <v>246338.64310162095</v>
      </c>
      <c r="AL83" s="2266">
        <f t="shared" ref="AL83:AM85" ca="1" si="170">AL132+AL147</f>
        <v>17353.73228769144</v>
      </c>
      <c r="AM83" s="2266">
        <f t="shared" ca="1" si="170"/>
        <v>0</v>
      </c>
      <c r="AN83" s="1785">
        <f t="shared" ca="1" si="141"/>
        <v>17353.73228769144</v>
      </c>
      <c r="AO83" s="1790">
        <f t="shared" ca="1" si="142"/>
        <v>0</v>
      </c>
      <c r="AP83" s="2266">
        <f ca="1">AP132+AP147</f>
        <v>14626.873553411262</v>
      </c>
      <c r="AQ83" s="1785">
        <f t="shared" ca="1" si="143"/>
        <v>2726.8587342801784</v>
      </c>
      <c r="AR83" s="1790">
        <f t="shared" ca="1" si="144"/>
        <v>1.1864279966817806</v>
      </c>
      <c r="AT83" s="2266">
        <f t="shared" ref="AT83:AU85" ca="1" si="171">AT132+AT147</f>
        <v>70828.032310363822</v>
      </c>
      <c r="AU83" s="2266">
        <f t="shared" ca="1" si="171"/>
        <v>0</v>
      </c>
      <c r="AV83" s="1785">
        <f t="shared" ca="1" si="145"/>
        <v>70828.032310363822</v>
      </c>
      <c r="AW83" s="1790">
        <f t="shared" ca="1" si="146"/>
        <v>0</v>
      </c>
      <c r="AX83" s="2266">
        <f ca="1">AX132+AX147</f>
        <v>26978.939142873613</v>
      </c>
      <c r="AY83" s="1785">
        <f t="shared" ca="1" si="147"/>
        <v>43849.093167490209</v>
      </c>
      <c r="AZ83" s="1790">
        <f t="shared" ca="1" si="148"/>
        <v>2.6253082797391158</v>
      </c>
      <c r="BB83" s="2266">
        <f t="shared" ref="BB83:BC85" ca="1" si="172">BB132+BB147</f>
        <v>246338.64310162095</v>
      </c>
      <c r="BC83" s="2266">
        <f t="shared" ca="1" si="172"/>
        <v>0</v>
      </c>
      <c r="BD83" s="1785">
        <f t="shared" ca="1" si="149"/>
        <v>246338.64310162095</v>
      </c>
      <c r="BE83" s="1790">
        <f t="shared" ca="1" si="150"/>
        <v>0</v>
      </c>
      <c r="BF83" s="2266">
        <f ca="1">BF132+BF147</f>
        <v>135175.9391428736</v>
      </c>
      <c r="BG83" s="1785">
        <f t="shared" ca="1" si="151"/>
        <v>111162.70395874736</v>
      </c>
      <c r="BH83" s="1790">
        <f t="shared" ca="1" si="152"/>
        <v>1.8223556992731853</v>
      </c>
    </row>
    <row r="84" spans="1:60" ht="14.5">
      <c r="A84" s="990">
        <v>1</v>
      </c>
      <c r="B84" s="990">
        <v>1</v>
      </c>
      <c r="C84" s="990">
        <f t="shared" si="128"/>
        <v>81</v>
      </c>
      <c r="D84" s="1121" t="s">
        <v>887</v>
      </c>
      <c r="E84" s="1662" t="s">
        <v>1324</v>
      </c>
      <c r="F84" s="1677"/>
      <c r="G84" s="5"/>
      <c r="H84" s="5"/>
      <c r="I84" s="613"/>
      <c r="J84" s="4" t="s">
        <v>96</v>
      </c>
      <c r="K84" s="4"/>
      <c r="L84" s="4"/>
      <c r="M84" s="4"/>
      <c r="N84" s="4"/>
      <c r="O84" s="4"/>
      <c r="P84" s="29"/>
      <c r="Q84" s="1880" t="str">
        <f>CHOOSE(2, "6722000003003", "PL SGA Expenses Wages &amp; Salaries")</f>
        <v>PL SGA Expenses Wages &amp; Salaries</v>
      </c>
      <c r="R84" s="2097">
        <f t="shared" si="163"/>
        <v>22847</v>
      </c>
      <c r="S84" s="2097">
        <f t="shared" si="163"/>
        <v>22453.8663966288</v>
      </c>
      <c r="T84" s="2097">
        <f t="shared" si="163"/>
        <v>23353.626969484001</v>
      </c>
      <c r="U84" s="2097">
        <f t="shared" si="163"/>
        <v>22175.008818655566</v>
      </c>
      <c r="V84" s="2097">
        <f t="shared" si="163"/>
        <v>22767.418176601943</v>
      </c>
      <c r="W84" s="2097">
        <f t="shared" si="163"/>
        <v>23771.478800583944</v>
      </c>
      <c r="X84" s="107">
        <f t="shared" si="163"/>
        <v>31546.754196601556</v>
      </c>
      <c r="Y84" s="107">
        <f t="shared" si="163"/>
        <v>25279.657007676753</v>
      </c>
      <c r="Z84" s="107">
        <f t="shared" si="163"/>
        <v>27271.93337931775</v>
      </c>
      <c r="AA84" s="2266">
        <f t="shared" si="163"/>
        <v>24910.371068526183</v>
      </c>
      <c r="AB84" s="2266">
        <f t="shared" si="163"/>
        <v>27619.163973104827</v>
      </c>
      <c r="AC84" s="2266">
        <f t="shared" si="163"/>
        <v>22981.892605307599</v>
      </c>
      <c r="AD84" s="145">
        <f>SUM(R84,S84,T84)</f>
        <v>68654.493366112802</v>
      </c>
      <c r="AE84" s="145">
        <f t="shared" si="164"/>
        <v>68713.905795841449</v>
      </c>
      <c r="AF84" s="145">
        <f t="shared" si="165"/>
        <v>84098.344583596059</v>
      </c>
      <c r="AG84" s="145">
        <f t="shared" si="166"/>
        <v>75511.42764693861</v>
      </c>
      <c r="AH84" s="145">
        <f t="shared" si="167"/>
        <v>137368.39916195424</v>
      </c>
      <c r="AI84" s="145">
        <f t="shared" si="168"/>
        <v>159609.77223053467</v>
      </c>
      <c r="AJ84" s="145">
        <f t="shared" si="169"/>
        <v>296978.17139248888</v>
      </c>
      <c r="AL84" s="2266">
        <f t="shared" ca="1" si="170"/>
        <v>22981.892605307599</v>
      </c>
      <c r="AM84" s="2266">
        <f t="shared" ca="1" si="170"/>
        <v>0</v>
      </c>
      <c r="AN84" s="1785">
        <f t="shared" ca="1" si="141"/>
        <v>22981.892605307599</v>
      </c>
      <c r="AO84" s="1790">
        <f t="shared" ca="1" si="142"/>
        <v>0</v>
      </c>
      <c r="AP84" s="2266">
        <f ca="1">AP133+AP148</f>
        <v>25405.79267594514</v>
      </c>
      <c r="AQ84" s="1785">
        <f t="shared" ca="1" si="143"/>
        <v>-2423.9000706375409</v>
      </c>
      <c r="AR84" s="1790">
        <f t="shared" ca="1" si="144"/>
        <v>0.90459262178689859</v>
      </c>
      <c r="AT84" s="2266">
        <f t="shared" ca="1" si="171"/>
        <v>75511.42764693861</v>
      </c>
      <c r="AU84" s="2266">
        <f t="shared" ca="1" si="171"/>
        <v>0</v>
      </c>
      <c r="AV84" s="1785">
        <f t="shared" ca="1" si="145"/>
        <v>75511.42764693861</v>
      </c>
      <c r="AW84" s="1790">
        <f t="shared" ca="1" si="146"/>
        <v>0</v>
      </c>
      <c r="AX84" s="2266">
        <f ca="1">AX133+AX148</f>
        <v>76328.781671301345</v>
      </c>
      <c r="AY84" s="1785">
        <f t="shared" ca="1" si="147"/>
        <v>-817.3540243627358</v>
      </c>
      <c r="AZ84" s="1790">
        <f t="shared" ca="1" si="148"/>
        <v>0.98929166683306236</v>
      </c>
      <c r="BB84" s="2266">
        <f t="shared" ca="1" si="172"/>
        <v>296978.17139248888</v>
      </c>
      <c r="BC84" s="2266">
        <f t="shared" ca="1" si="172"/>
        <v>0</v>
      </c>
      <c r="BD84" s="1785">
        <f t="shared" ca="1" si="149"/>
        <v>296978.17139248888</v>
      </c>
      <c r="BE84" s="1790">
        <f t="shared" ca="1" si="150"/>
        <v>0</v>
      </c>
      <c r="BF84" s="2266">
        <f ca="1">BF133+BF148</f>
        <v>263731.78167130135</v>
      </c>
      <c r="BG84" s="1785">
        <f t="shared" ca="1" si="151"/>
        <v>33246.38972118753</v>
      </c>
      <c r="BH84" s="1790">
        <f t="shared" ca="1" si="152"/>
        <v>1.1260613700423248</v>
      </c>
    </row>
    <row r="85" spans="1:60" ht="14.5">
      <c r="A85" s="990">
        <v>1</v>
      </c>
      <c r="B85" s="990">
        <v>1</v>
      </c>
      <c r="C85" s="990">
        <f t="shared" si="128"/>
        <v>82</v>
      </c>
      <c r="D85" s="1121" t="s">
        <v>887</v>
      </c>
      <c r="E85" s="1662" t="s">
        <v>1324</v>
      </c>
      <c r="F85" s="1677"/>
      <c r="G85" s="5"/>
      <c r="H85" s="5"/>
      <c r="I85" s="1627"/>
      <c r="J85" s="51" t="s">
        <v>142</v>
      </c>
      <c r="K85" s="51"/>
      <c r="L85" s="51"/>
      <c r="M85" s="51"/>
      <c r="N85" s="51"/>
      <c r="O85" s="51"/>
      <c r="P85" s="50"/>
      <c r="Q85" s="1880" t="str">
        <f>CHOOSE(2, "6722000003004", "PL SGA Expenses Fixed Expenses")</f>
        <v>PL SGA Expenses Fixed Expenses</v>
      </c>
      <c r="R85" s="2059">
        <f t="shared" si="163"/>
        <v>13931.676383935717</v>
      </c>
      <c r="S85" s="2059">
        <f t="shared" si="163"/>
        <v>15645.496114098551</v>
      </c>
      <c r="T85" s="2059">
        <f t="shared" si="163"/>
        <v>19690.678064287476</v>
      </c>
      <c r="U85" s="2059">
        <f t="shared" si="163"/>
        <v>14800.879341107169</v>
      </c>
      <c r="V85" s="2059">
        <f t="shared" si="163"/>
        <v>19739.40404223961</v>
      </c>
      <c r="W85" s="2059">
        <f t="shared" si="163"/>
        <v>5843.7909090666544</v>
      </c>
      <c r="X85" s="378">
        <f t="shared" si="163"/>
        <v>27247.814642046273</v>
      </c>
      <c r="Y85" s="378">
        <f t="shared" si="163"/>
        <v>17374.944450123679</v>
      </c>
      <c r="Z85" s="378">
        <f t="shared" si="163"/>
        <v>14111.600064881033</v>
      </c>
      <c r="AA85" s="2267">
        <f t="shared" si="163"/>
        <v>22358.528027160923</v>
      </c>
      <c r="AB85" s="2267">
        <f t="shared" si="163"/>
        <v>9138.5812082261364</v>
      </c>
      <c r="AC85" s="2267">
        <f t="shared" si="163"/>
        <v>35857.88964509045</v>
      </c>
      <c r="AD85" s="1626">
        <f>SUM(R85,S85,T85)</f>
        <v>49267.85056232175</v>
      </c>
      <c r="AE85" s="1626">
        <f t="shared" si="164"/>
        <v>40384.074292413439</v>
      </c>
      <c r="AF85" s="1626">
        <f t="shared" si="165"/>
        <v>58734.359157050989</v>
      </c>
      <c r="AG85" s="1626">
        <f t="shared" si="166"/>
        <v>67354.998880477506</v>
      </c>
      <c r="AH85" s="1626">
        <f t="shared" si="167"/>
        <v>89651.924854735189</v>
      </c>
      <c r="AI85" s="1626">
        <f t="shared" si="168"/>
        <v>126089.35803752849</v>
      </c>
      <c r="AJ85" s="1626">
        <f t="shared" si="169"/>
        <v>215741.28289226367</v>
      </c>
      <c r="AL85" s="2267">
        <f t="shared" ca="1" si="170"/>
        <v>35857.88964509045</v>
      </c>
      <c r="AM85" s="2267">
        <f t="shared" ca="1" si="170"/>
        <v>0</v>
      </c>
      <c r="AN85" s="1786">
        <f t="shared" ca="1" si="141"/>
        <v>35857.88964509045</v>
      </c>
      <c r="AO85" s="1791">
        <f t="shared" ca="1" si="142"/>
        <v>0</v>
      </c>
      <c r="AP85" s="2267">
        <f ca="1">AP134+AP149</f>
        <v>25570</v>
      </c>
      <c r="AQ85" s="1786">
        <f t="shared" ca="1" si="143"/>
        <v>10287.88964509045</v>
      </c>
      <c r="AR85" s="1791">
        <f t="shared" ca="1" si="144"/>
        <v>1.4023421840082304</v>
      </c>
      <c r="AT85" s="2267">
        <f t="shared" ca="1" si="171"/>
        <v>67354.998880477506</v>
      </c>
      <c r="AU85" s="2267">
        <f t="shared" ca="1" si="171"/>
        <v>0</v>
      </c>
      <c r="AV85" s="1786">
        <f t="shared" ca="1" si="145"/>
        <v>67354.998880477506</v>
      </c>
      <c r="AW85" s="1791">
        <f t="shared" ca="1" si="146"/>
        <v>0</v>
      </c>
      <c r="AX85" s="2267">
        <f ca="1">AX134+AX149</f>
        <v>40734.382933484863</v>
      </c>
      <c r="AY85" s="1786">
        <f t="shared" ca="1" si="147"/>
        <v>26620.615946992642</v>
      </c>
      <c r="AZ85" s="1791">
        <f t="shared" ca="1" si="148"/>
        <v>1.6535171034862961</v>
      </c>
      <c r="BB85" s="2267">
        <f t="shared" ca="1" si="172"/>
        <v>215741.28289226367</v>
      </c>
      <c r="BC85" s="2267">
        <f t="shared" ca="1" si="172"/>
        <v>0</v>
      </c>
      <c r="BD85" s="1786">
        <f t="shared" ca="1" si="149"/>
        <v>215741.28289226367</v>
      </c>
      <c r="BE85" s="1791">
        <f t="shared" ca="1" si="150"/>
        <v>0</v>
      </c>
      <c r="BF85" s="2267">
        <f ca="1">BF134+BF149</f>
        <v>170948.38293348486</v>
      </c>
      <c r="BG85" s="1786">
        <f t="shared" ca="1" si="151"/>
        <v>44792.899958778813</v>
      </c>
      <c r="BH85" s="1791">
        <f t="shared" ca="1" si="152"/>
        <v>1.2620258769935688</v>
      </c>
    </row>
    <row r="86" spans="1:60" ht="14.5">
      <c r="A86" s="990">
        <v>1</v>
      </c>
      <c r="B86" s="990">
        <v>1</v>
      </c>
      <c r="C86" s="990">
        <f t="shared" si="128"/>
        <v>83</v>
      </c>
      <c r="D86" s="1121" t="s">
        <v>887</v>
      </c>
      <c r="E86" s="1662" t="s">
        <v>1324</v>
      </c>
      <c r="F86" s="1677"/>
      <c r="G86" s="5"/>
      <c r="H86" s="5"/>
      <c r="I86" s="1647" t="s">
        <v>136</v>
      </c>
      <c r="J86" s="1648"/>
      <c r="K86" s="1648"/>
      <c r="L86" s="1648"/>
      <c r="M86" s="1649"/>
      <c r="N86" s="1649"/>
      <c r="O86" s="1649"/>
      <c r="P86" s="1660"/>
      <c r="Q86" s="1849" t="str">
        <f>CHOOSE(2, "6722000003005", "PL Business Contribution Profit")</f>
        <v>PL Business Contribution Profit</v>
      </c>
      <c r="R86" s="2257">
        <f>R81-R82</f>
        <v>7627.3451232382722</v>
      </c>
      <c r="S86" s="2257">
        <f t="shared" ref="S86:AC86" si="173">S81-S82</f>
        <v>702.20620344096096</v>
      </c>
      <c r="T86" s="2257">
        <f t="shared" si="173"/>
        <v>10613.4221688041</v>
      </c>
      <c r="U86" s="2257">
        <f t="shared" si="173"/>
        <v>12366.097412912801</v>
      </c>
      <c r="V86" s="2257">
        <f t="shared" si="173"/>
        <v>19519.284661571583</v>
      </c>
      <c r="W86" s="2257">
        <f t="shared" si="173"/>
        <v>32513.264079597066</v>
      </c>
      <c r="X86" s="2265">
        <f t="shared" si="173"/>
        <v>15783.368397811151</v>
      </c>
      <c r="Y86" s="2265">
        <f t="shared" si="173"/>
        <v>30199.588146945236</v>
      </c>
      <c r="Z86" s="2265">
        <f t="shared" si="173"/>
        <v>18763.40950744471</v>
      </c>
      <c r="AA86" s="1661">
        <f t="shared" si="173"/>
        <v>9937.3856655236013</v>
      </c>
      <c r="AB86" s="1661">
        <f t="shared" si="173"/>
        <v>3629.5266247859399</v>
      </c>
      <c r="AC86" s="1661">
        <f t="shared" si="173"/>
        <v>-166.51453808948281</v>
      </c>
      <c r="AD86" s="1661">
        <f t="shared" ref="AD86:AJ86" si="174">AD81-AD82</f>
        <v>18942.973495483311</v>
      </c>
      <c r="AE86" s="1661">
        <f t="shared" si="174"/>
        <v>64398.646154081449</v>
      </c>
      <c r="AF86" s="1661">
        <f t="shared" si="174"/>
        <v>64746.366052201105</v>
      </c>
      <c r="AG86" s="1661">
        <f t="shared" si="174"/>
        <v>13400.397752220044</v>
      </c>
      <c r="AH86" s="1661">
        <f t="shared" si="174"/>
        <v>83341.619649564789</v>
      </c>
      <c r="AI86" s="1661">
        <f t="shared" si="174"/>
        <v>78146.763804421178</v>
      </c>
      <c r="AJ86" s="1661">
        <f t="shared" si="174"/>
        <v>161488.38345398603</v>
      </c>
      <c r="AL86" s="1661">
        <f ca="1">AL81-AL82</f>
        <v>-166.51453808948281</v>
      </c>
      <c r="AM86" s="1661">
        <f ca="1">AM81-AM82</f>
        <v>0</v>
      </c>
      <c r="AN86" s="1787">
        <f t="shared" ca="1" si="141"/>
        <v>-166.51453808948281</v>
      </c>
      <c r="AO86" s="1792">
        <f t="shared" ca="1" si="142"/>
        <v>0</v>
      </c>
      <c r="AP86" s="1661">
        <f ca="1">AP81-AP82</f>
        <v>-12602.6662293564</v>
      </c>
      <c r="AQ86" s="1787">
        <f t="shared" ca="1" si="143"/>
        <v>12436.151691266918</v>
      </c>
      <c r="AR86" s="1792">
        <f t="shared" ca="1" si="144"/>
        <v>1.3212643662783607E-2</v>
      </c>
      <c r="AT86" s="1661">
        <f ca="1">AT81-AT82</f>
        <v>13400.397752220073</v>
      </c>
      <c r="AU86" s="1661">
        <f ca="1">AU81-AU82</f>
        <v>0</v>
      </c>
      <c r="AV86" s="1787">
        <f t="shared" ca="1" si="145"/>
        <v>13400.397752220073</v>
      </c>
      <c r="AW86" s="1792">
        <f t="shared" ca="1" si="146"/>
        <v>0</v>
      </c>
      <c r="AX86" s="1661">
        <f ca="1">AX81-AX82</f>
        <v>7414.8962523401715</v>
      </c>
      <c r="AY86" s="1787">
        <f t="shared" ca="1" si="147"/>
        <v>5985.5014998799015</v>
      </c>
      <c r="AZ86" s="1792">
        <f t="shared" ca="1" si="148"/>
        <v>1.8072266011801383</v>
      </c>
      <c r="BB86" s="1661">
        <f ca="1">BB81-BB82</f>
        <v>161488.38345398603</v>
      </c>
      <c r="BC86" s="1661">
        <f ca="1">BC81-BC82</f>
        <v>0</v>
      </c>
      <c r="BD86" s="1787">
        <f t="shared" ca="1" si="149"/>
        <v>161488.38345398603</v>
      </c>
      <c r="BE86" s="1792">
        <f t="shared" ca="1" si="150"/>
        <v>0</v>
      </c>
      <c r="BF86" s="1661">
        <f ca="1">BF81-BF82</f>
        <v>151118.89625234017</v>
      </c>
      <c r="BG86" s="1787">
        <f t="shared" ca="1" si="151"/>
        <v>10369.487201645854</v>
      </c>
      <c r="BH86" s="1792">
        <f t="shared" ca="1" si="152"/>
        <v>1.0686180713253144</v>
      </c>
    </row>
    <row r="87" spans="1:60" ht="14.5">
      <c r="A87" s="990">
        <v>1</v>
      </c>
      <c r="B87" s="990">
        <v>1</v>
      </c>
      <c r="C87" s="990">
        <f t="shared" si="128"/>
        <v>84</v>
      </c>
      <c r="D87" s="1121" t="s">
        <v>887</v>
      </c>
      <c r="E87" s="1662" t="s">
        <v>1324</v>
      </c>
      <c r="F87" s="1677"/>
      <c r="G87" s="5"/>
      <c r="H87" s="5"/>
      <c r="I87" s="58" t="s">
        <v>174</v>
      </c>
      <c r="J87" s="56"/>
      <c r="K87" s="57"/>
      <c r="L87" s="57"/>
      <c r="M87" s="56"/>
      <c r="N87" s="56"/>
      <c r="O87" s="56"/>
      <c r="P87" s="555"/>
      <c r="Q87" s="1880" t="str">
        <f>CHOOSE(2, "6722000003006", "PL Other Income")</f>
        <v>PL Other Income</v>
      </c>
      <c r="R87" s="2268">
        <f>R137</f>
        <v>3064</v>
      </c>
      <c r="S87" s="2018">
        <f t="shared" ref="S87:AC88" si="175">S137</f>
        <v>116</v>
      </c>
      <c r="T87" s="2018">
        <f t="shared" si="175"/>
        <v>6.4662739794967461</v>
      </c>
      <c r="U87" s="2018">
        <f t="shared" si="175"/>
        <v>73</v>
      </c>
      <c r="V87" s="2018">
        <f t="shared" si="175"/>
        <v>135.57005274727749</v>
      </c>
      <c r="W87" s="2018">
        <f t="shared" si="175"/>
        <v>6</v>
      </c>
      <c r="X87" s="2018">
        <f t="shared" si="175"/>
        <v>0</v>
      </c>
      <c r="Y87" s="2018">
        <f t="shared" si="175"/>
        <v>85</v>
      </c>
      <c r="Z87" s="2018">
        <f t="shared" si="175"/>
        <v>28009.810918185489</v>
      </c>
      <c r="AA87" s="2018">
        <f t="shared" si="175"/>
        <v>1629.8089606417275</v>
      </c>
      <c r="AB87" s="2018">
        <f t="shared" si="175"/>
        <v>392.05327055497321</v>
      </c>
      <c r="AC87" s="2018">
        <f t="shared" si="175"/>
        <v>10745</v>
      </c>
      <c r="AD87" s="1521">
        <f>SUM(R87:T87)</f>
        <v>3186.4662739794967</v>
      </c>
      <c r="AE87" s="122">
        <f>SUM(U87:W87)</f>
        <v>214.57005274727749</v>
      </c>
      <c r="AF87" s="122">
        <f>SUM(X87:Z87)</f>
        <v>28094.810918185489</v>
      </c>
      <c r="AG87" s="122">
        <f>SUM(AA87:AC87)</f>
        <v>12766.862231196701</v>
      </c>
      <c r="AH87" s="122">
        <f>AD87+AE87</f>
        <v>3401.036326726774</v>
      </c>
      <c r="AI87" s="122">
        <f>AG87+AF87</f>
        <v>40861.673149382186</v>
      </c>
      <c r="AJ87" s="122">
        <f>AH87+AI87</f>
        <v>44262.709476108961</v>
      </c>
      <c r="AL87" s="2491">
        <f ca="1">AL137</f>
        <v>10745</v>
      </c>
      <c r="AM87" s="2491">
        <f ca="1">AM137</f>
        <v>0</v>
      </c>
      <c r="AN87" s="2492">
        <f t="shared" ca="1" si="141"/>
        <v>10745</v>
      </c>
      <c r="AO87" s="2493">
        <f t="shared" ca="1" si="142"/>
        <v>0</v>
      </c>
      <c r="AP87" s="2491">
        <f ca="1">AP137</f>
        <v>31178</v>
      </c>
      <c r="AQ87" s="2492">
        <f t="shared" ca="1" si="143"/>
        <v>-20433</v>
      </c>
      <c r="AR87" s="2493">
        <f t="shared" ca="1" si="144"/>
        <v>0.34463403682083521</v>
      </c>
      <c r="AT87" s="2491">
        <f ca="1">AT137</f>
        <v>12766.862231196701</v>
      </c>
      <c r="AU87" s="2491">
        <f ca="1">AU137</f>
        <v>0</v>
      </c>
      <c r="AV87" s="2492">
        <f t="shared" ca="1" si="145"/>
        <v>12766.862231196701</v>
      </c>
      <c r="AW87" s="2493">
        <f t="shared" ca="1" si="146"/>
        <v>0</v>
      </c>
      <c r="AX87" s="2491">
        <f ca="1">AX137</f>
        <v>31302</v>
      </c>
      <c r="AY87" s="2492">
        <f t="shared" ca="1" si="147"/>
        <v>-18535.137768803299</v>
      </c>
      <c r="AZ87" s="2493">
        <f t="shared" ca="1" si="148"/>
        <v>0.40786091084265225</v>
      </c>
      <c r="BB87" s="2491">
        <f ca="1">BB137</f>
        <v>44262.709476108961</v>
      </c>
      <c r="BC87" s="2491">
        <f ca="1">BC137</f>
        <v>0</v>
      </c>
      <c r="BD87" s="2492">
        <f t="shared" ca="1" si="149"/>
        <v>44262.709476108961</v>
      </c>
      <c r="BE87" s="2493">
        <f t="shared" ca="1" si="150"/>
        <v>0</v>
      </c>
      <c r="BF87" s="2491">
        <f ca="1">BF137</f>
        <v>36590</v>
      </c>
      <c r="BG87" s="2492">
        <f t="shared" ca="1" si="151"/>
        <v>7672.7094761089611</v>
      </c>
      <c r="BH87" s="2493">
        <f t="shared" ca="1" si="152"/>
        <v>1.2096941644194852</v>
      </c>
    </row>
    <row r="88" spans="1:60" ht="14.5">
      <c r="A88" s="990">
        <v>1</v>
      </c>
      <c r="B88" s="990">
        <v>1</v>
      </c>
      <c r="C88" s="990">
        <f t="shared" si="128"/>
        <v>85</v>
      </c>
      <c r="D88" s="1121" t="s">
        <v>887</v>
      </c>
      <c r="E88" s="1662" t="s">
        <v>1324</v>
      </c>
      <c r="F88" s="1677"/>
      <c r="G88" s="5"/>
      <c r="H88" s="5"/>
      <c r="I88" s="121" t="s">
        <v>153</v>
      </c>
      <c r="J88" s="119"/>
      <c r="K88" s="120"/>
      <c r="L88" s="120"/>
      <c r="M88" s="119"/>
      <c r="N88" s="119"/>
      <c r="O88" s="119"/>
      <c r="P88" s="119"/>
      <c r="Q88" s="1880" t="str">
        <f>CHOOSE(2, "6722000003007", "PL Other Expenses")</f>
        <v>PL Other Expenses</v>
      </c>
      <c r="R88" s="2098">
        <f>R138</f>
        <v>0</v>
      </c>
      <c r="S88" s="285">
        <f t="shared" si="175"/>
        <v>0</v>
      </c>
      <c r="T88" s="285">
        <f t="shared" si="175"/>
        <v>0</v>
      </c>
      <c r="U88" s="285">
        <f t="shared" si="175"/>
        <v>0</v>
      </c>
      <c r="V88" s="285">
        <f t="shared" si="175"/>
        <v>0</v>
      </c>
      <c r="W88" s="285">
        <f t="shared" si="175"/>
        <v>0</v>
      </c>
      <c r="X88" s="285">
        <f t="shared" si="175"/>
        <v>0</v>
      </c>
      <c r="Y88" s="285">
        <f t="shared" si="175"/>
        <v>0</v>
      </c>
      <c r="Z88" s="285">
        <f t="shared" si="175"/>
        <v>0</v>
      </c>
      <c r="AA88" s="285">
        <f t="shared" si="175"/>
        <v>0</v>
      </c>
      <c r="AB88" s="285">
        <f t="shared" si="175"/>
        <v>0</v>
      </c>
      <c r="AC88" s="285">
        <f t="shared" si="175"/>
        <v>0</v>
      </c>
      <c r="AD88" s="92">
        <f>SUM(R88:T88)</f>
        <v>0</v>
      </c>
      <c r="AE88" s="92">
        <f>SUM(U88:W88)</f>
        <v>0</v>
      </c>
      <c r="AF88" s="92">
        <f>SUM(X88:Z88)</f>
        <v>0</v>
      </c>
      <c r="AG88" s="92">
        <f>SUM(AA88:AC88)</f>
        <v>0</v>
      </c>
      <c r="AH88" s="92">
        <f>AD88+AE88</f>
        <v>0</v>
      </c>
      <c r="AI88" s="92">
        <f>AG88+AF88</f>
        <v>0</v>
      </c>
      <c r="AJ88" s="92">
        <f>AH88+AI88</f>
        <v>0</v>
      </c>
      <c r="AL88" s="285">
        <f ca="1">AL138</f>
        <v>0</v>
      </c>
      <c r="AM88" s="285">
        <f ca="1">AM138</f>
        <v>0</v>
      </c>
      <c r="AN88" s="889">
        <f t="shared" ca="1" si="141"/>
        <v>0</v>
      </c>
      <c r="AO88" s="944">
        <f t="shared" ca="1" si="142"/>
        <v>0</v>
      </c>
      <c r="AP88" s="285">
        <f ca="1">AP138</f>
        <v>0</v>
      </c>
      <c r="AQ88" s="889">
        <f t="shared" ca="1" si="143"/>
        <v>0</v>
      </c>
      <c r="AR88" s="944">
        <f t="shared" ca="1" si="144"/>
        <v>0</v>
      </c>
      <c r="AT88" s="285">
        <f ca="1">AT138</f>
        <v>0</v>
      </c>
      <c r="AU88" s="285">
        <f ca="1">AU138</f>
        <v>0</v>
      </c>
      <c r="AV88" s="889">
        <f t="shared" ca="1" si="145"/>
        <v>0</v>
      </c>
      <c r="AW88" s="944">
        <f t="shared" ca="1" si="146"/>
        <v>0</v>
      </c>
      <c r="AX88" s="285">
        <f ca="1">AX138</f>
        <v>0</v>
      </c>
      <c r="AY88" s="889">
        <f t="shared" ca="1" si="147"/>
        <v>0</v>
      </c>
      <c r="AZ88" s="944">
        <f t="shared" ca="1" si="148"/>
        <v>0</v>
      </c>
      <c r="BB88" s="285">
        <f ca="1">BB138</f>
        <v>0</v>
      </c>
      <c r="BC88" s="285">
        <f ca="1">BC138</f>
        <v>0</v>
      </c>
      <c r="BD88" s="889">
        <f t="shared" ca="1" si="149"/>
        <v>0</v>
      </c>
      <c r="BE88" s="944">
        <f t="shared" ca="1" si="150"/>
        <v>0</v>
      </c>
      <c r="BF88" s="285">
        <f ca="1">BF138</f>
        <v>326</v>
      </c>
      <c r="BG88" s="889">
        <f t="shared" ca="1" si="151"/>
        <v>-326</v>
      </c>
      <c r="BH88" s="944">
        <f t="shared" ca="1" si="152"/>
        <v>0</v>
      </c>
    </row>
    <row r="89" spans="1:60" ht="14.5">
      <c r="A89" s="990">
        <v>1</v>
      </c>
      <c r="B89" s="990">
        <v>1</v>
      </c>
      <c r="C89" s="990">
        <f t="shared" si="128"/>
        <v>86</v>
      </c>
      <c r="D89" s="1121" t="s">
        <v>887</v>
      </c>
      <c r="E89" s="1662" t="s">
        <v>1324</v>
      </c>
      <c r="F89" s="1677"/>
      <c r="G89" s="5"/>
      <c r="H89" s="5"/>
      <c r="I89" s="1650" t="s">
        <v>176</v>
      </c>
      <c r="J89" s="1651"/>
      <c r="K89" s="1652"/>
      <c r="L89" s="1652"/>
      <c r="M89" s="1652"/>
      <c r="N89" s="1652"/>
      <c r="O89" s="1652"/>
      <c r="P89" s="1652"/>
      <c r="Q89" s="1849" t="str">
        <f>CHOOSE(2, "6722000003008", "PL Operating Profit")</f>
        <v>PL Operating Profit</v>
      </c>
      <c r="R89" s="2255">
        <f>R86+R87-R88</f>
        <v>10691.345123238272</v>
      </c>
      <c r="S89" s="2256">
        <f t="shared" ref="S89:AC89" si="176">S86+S87-S88</f>
        <v>818.20620344096096</v>
      </c>
      <c r="T89" s="2256">
        <f t="shared" si="176"/>
        <v>10619.888442783596</v>
      </c>
      <c r="U89" s="2256">
        <f t="shared" si="176"/>
        <v>12439.097412912801</v>
      </c>
      <c r="V89" s="2256">
        <f t="shared" si="176"/>
        <v>19654.854714318859</v>
      </c>
      <c r="W89" s="2256">
        <f t="shared" si="176"/>
        <v>32519.264079597066</v>
      </c>
      <c r="X89" s="2256">
        <f t="shared" si="176"/>
        <v>15783.368397811151</v>
      </c>
      <c r="Y89" s="2256">
        <f t="shared" si="176"/>
        <v>30284.588146945236</v>
      </c>
      <c r="Z89" s="2256">
        <f t="shared" si="176"/>
        <v>46773.220425630199</v>
      </c>
      <c r="AA89" s="2256">
        <f t="shared" si="176"/>
        <v>11567.194626165328</v>
      </c>
      <c r="AB89" s="2256">
        <f t="shared" si="176"/>
        <v>4021.579895340913</v>
      </c>
      <c r="AC89" s="2256">
        <f t="shared" si="176"/>
        <v>10578.485461910517</v>
      </c>
      <c r="AD89" s="1653">
        <f>R89+S89+T89</f>
        <v>22129.439769462828</v>
      </c>
      <c r="AE89" s="1653">
        <f>U89+V89+W89</f>
        <v>64613.216206828729</v>
      </c>
      <c r="AF89" s="1653">
        <f>X89+Y89+Z89</f>
        <v>92841.176970386587</v>
      </c>
      <c r="AG89" s="1653">
        <f>AA89+AB89+AC89</f>
        <v>26167.259983416759</v>
      </c>
      <c r="AH89" s="1653">
        <f>AD89+AE89</f>
        <v>86742.655976291557</v>
      </c>
      <c r="AI89" s="1653">
        <f>AF89+AG89</f>
        <v>119008.43695380335</v>
      </c>
      <c r="AJ89" s="1653">
        <f>AH89+AI89</f>
        <v>205751.09293009492</v>
      </c>
      <c r="AL89" s="2256">
        <f ca="1">AL86+AL87-AL88</f>
        <v>10578.485461910517</v>
      </c>
      <c r="AM89" s="2256">
        <f ca="1">AM86+AM87-AM88</f>
        <v>0</v>
      </c>
      <c r="AN89" s="2494">
        <f t="shared" ca="1" si="141"/>
        <v>10578.485461910517</v>
      </c>
      <c r="AO89" s="2495">
        <f t="shared" ca="1" si="142"/>
        <v>0</v>
      </c>
      <c r="AP89" s="2256">
        <f ca="1">AP86+AP87-AP88</f>
        <v>18575.3337706436</v>
      </c>
      <c r="AQ89" s="2494">
        <f t="shared" ca="1" si="143"/>
        <v>-7996.8483087330824</v>
      </c>
      <c r="AR89" s="2495">
        <f t="shared" ca="1" si="144"/>
        <v>0.56949100309727529</v>
      </c>
      <c r="AT89" s="2256">
        <f ca="1">AT86+AT87-AT88</f>
        <v>26167.259983416774</v>
      </c>
      <c r="AU89" s="2256">
        <f ca="1">AU86+AU87-AU88</f>
        <v>0</v>
      </c>
      <c r="AV89" s="2494">
        <f t="shared" ca="1" si="145"/>
        <v>26167.259983416774</v>
      </c>
      <c r="AW89" s="2495">
        <f t="shared" ca="1" si="146"/>
        <v>0</v>
      </c>
      <c r="AX89" s="2256">
        <f ca="1">AX86+AX87-AX88</f>
        <v>38716.896252340171</v>
      </c>
      <c r="AY89" s="2494">
        <f t="shared" ca="1" si="147"/>
        <v>-12549.636268923397</v>
      </c>
      <c r="AZ89" s="2495">
        <f t="shared" ca="1" si="148"/>
        <v>0.67586151051132215</v>
      </c>
      <c r="BB89" s="2256">
        <f ca="1">BB86+BB87-BB88</f>
        <v>205751.09293009498</v>
      </c>
      <c r="BC89" s="2256">
        <f ca="1">BC86+BC87-BC88</f>
        <v>0</v>
      </c>
      <c r="BD89" s="2494">
        <f t="shared" ca="1" si="149"/>
        <v>205751.09293009498</v>
      </c>
      <c r="BE89" s="2495">
        <f t="shared" ca="1" si="150"/>
        <v>0</v>
      </c>
      <c r="BF89" s="2256">
        <f ca="1">BF86+BF87-BF88</f>
        <v>187382.89625234017</v>
      </c>
      <c r="BG89" s="2494">
        <f t="shared" ca="1" si="151"/>
        <v>18368.196677754808</v>
      </c>
      <c r="BH89" s="2495">
        <f t="shared" ca="1" si="152"/>
        <v>1.0980249374148812</v>
      </c>
    </row>
    <row r="90" spans="1:60" ht="14.5">
      <c r="A90" s="990">
        <v>115</v>
      </c>
      <c r="B90" s="990">
        <v>1</v>
      </c>
      <c r="C90" s="990">
        <f t="shared" si="128"/>
        <v>87</v>
      </c>
      <c r="D90" s="1121" t="s">
        <v>887</v>
      </c>
      <c r="E90" s="1463" t="s">
        <v>1262</v>
      </c>
      <c r="F90" s="1459"/>
      <c r="G90" s="1241"/>
      <c r="H90" s="5"/>
      <c r="I90" s="5"/>
      <c r="J90" s="4"/>
      <c r="K90" s="617" t="s">
        <v>886</v>
      </c>
      <c r="L90" s="5"/>
      <c r="M90" s="4"/>
      <c r="N90" s="4"/>
      <c r="O90" s="4"/>
      <c r="P90" s="4"/>
      <c r="Q90" s="1850" t="str">
        <f>CHOOSE(2, "6722000003009", "PL Operating Profit CAR (%)")</f>
        <v>PL Operating Profit CAR (%)</v>
      </c>
      <c r="R90" s="1638">
        <f t="shared" ref="R90:AC90" si="177">R431</f>
        <v>0.31133270804391594</v>
      </c>
      <c r="S90" s="1638">
        <f t="shared" si="177"/>
        <v>0.30025090598260118</v>
      </c>
      <c r="T90" s="1638">
        <f t="shared" si="177"/>
        <v>0.31141097852724886</v>
      </c>
      <c r="U90" s="1638">
        <f t="shared" si="177"/>
        <v>0.30879087962902235</v>
      </c>
      <c r="V90" s="1638">
        <f t="shared" si="177"/>
        <v>0.30791780854746414</v>
      </c>
      <c r="W90" s="1638">
        <f t="shared" si="177"/>
        <v>0.30791592898514969</v>
      </c>
      <c r="X90" s="1638">
        <f t="shared" si="177"/>
        <v>0.30791812411357894</v>
      </c>
      <c r="Y90" s="1638">
        <f t="shared" si="177"/>
        <v>0.30791439663539188</v>
      </c>
      <c r="Z90" s="1638">
        <f t="shared" si="177"/>
        <v>0.30791702034842688</v>
      </c>
      <c r="AA90" s="1638">
        <f t="shared" si="177"/>
        <v>0.37816569656021842</v>
      </c>
      <c r="AB90" s="1638">
        <f t="shared" si="177"/>
        <v>0.30791457759737079</v>
      </c>
      <c r="AC90" s="1638">
        <f t="shared" si="177"/>
        <v>0.49211546507267895</v>
      </c>
      <c r="AD90" s="938">
        <f t="shared" ref="AD90:AJ90" si="178">AD431</f>
        <v>0.30855265310020785</v>
      </c>
      <c r="AE90" s="1638">
        <f t="shared" si="178"/>
        <v>0.3082731463056691</v>
      </c>
      <c r="AF90" s="1638">
        <f t="shared" si="178"/>
        <v>0.30791668712096948</v>
      </c>
      <c r="AG90" s="1638">
        <f t="shared" si="178"/>
        <v>0.39420300970745104</v>
      </c>
      <c r="AH90" s="1638">
        <f t="shared" si="178"/>
        <v>0.30842356615705718</v>
      </c>
      <c r="AI90" s="1638">
        <f t="shared" si="178"/>
        <v>0.34302740324580477</v>
      </c>
      <c r="AJ90" s="1638">
        <f t="shared" si="178"/>
        <v>0.32676090217483339</v>
      </c>
      <c r="AL90" s="2496">
        <f ca="1">AL431</f>
        <v>0</v>
      </c>
      <c r="AM90" s="2496">
        <f ca="1">AM431</f>
        <v>0</v>
      </c>
      <c r="AN90" s="2496">
        <f t="shared" ca="1" si="141"/>
        <v>0</v>
      </c>
      <c r="AO90" s="2497"/>
      <c r="AP90" s="2496">
        <f ca="1">AP431</f>
        <v>0</v>
      </c>
      <c r="AQ90" s="2496">
        <f t="shared" ca="1" si="143"/>
        <v>0</v>
      </c>
      <c r="AR90" s="2498"/>
      <c r="AT90" s="2496">
        <f ca="1">AT431</f>
        <v>0</v>
      </c>
      <c r="AU90" s="2496">
        <f ca="1">AU431</f>
        <v>0</v>
      </c>
      <c r="AV90" s="2496">
        <f t="shared" ca="1" si="145"/>
        <v>0</v>
      </c>
      <c r="AW90" s="2497"/>
      <c r="AX90" s="2496">
        <f ca="1">AX431</f>
        <v>0</v>
      </c>
      <c r="AY90" s="2496">
        <f t="shared" ca="1" si="147"/>
        <v>0</v>
      </c>
      <c r="AZ90" s="2498"/>
      <c r="BA90" s="75"/>
      <c r="BB90" s="2496">
        <f ca="1">BB431</f>
        <v>0</v>
      </c>
      <c r="BC90" s="2496">
        <f ca="1">BC431</f>
        <v>0</v>
      </c>
      <c r="BD90" s="2496">
        <f t="shared" ca="1" si="149"/>
        <v>0</v>
      </c>
      <c r="BE90" s="2499"/>
      <c r="BF90" s="2496">
        <f ca="1">BF431</f>
        <v>0</v>
      </c>
      <c r="BG90" s="2496">
        <f t="shared" ca="1" si="151"/>
        <v>0</v>
      </c>
      <c r="BH90" s="2498"/>
    </row>
    <row r="91" spans="1:60" ht="14.5">
      <c r="A91" s="990">
        <f>A90+1</f>
        <v>116</v>
      </c>
      <c r="B91" s="990">
        <v>1</v>
      </c>
      <c r="C91" s="990">
        <f t="shared" si="128"/>
        <v>88</v>
      </c>
      <c r="D91" s="1121" t="s">
        <v>887</v>
      </c>
      <c r="E91" s="1463" t="s">
        <v>1262</v>
      </c>
      <c r="F91" s="1459"/>
      <c r="G91" s="1241"/>
      <c r="H91" s="5"/>
      <c r="I91" s="5"/>
      <c r="J91" s="4"/>
      <c r="K91" s="30"/>
      <c r="L91" s="764" t="s">
        <v>884</v>
      </c>
      <c r="M91" s="323"/>
      <c r="N91" s="323"/>
      <c r="O91" s="323"/>
      <c r="P91" s="323"/>
      <c r="Q91" s="1851" t="str">
        <f>CHOOSE(2, "6722000003010", "PL Operating Profit CAR Directly assigned")</f>
        <v>PL Operating Profit CAR Directly assigned</v>
      </c>
      <c r="R91" s="325">
        <f>SUM(R92:R94)</f>
        <v>20047.31588891986</v>
      </c>
      <c r="S91" s="325">
        <f t="shared" ref="S91:AC91" si="179">SUM(S92:S94)</f>
        <v>27988.396486893151</v>
      </c>
      <c r="T91" s="325">
        <f t="shared" si="179"/>
        <v>22673.291865933039</v>
      </c>
      <c r="U91" s="325">
        <f t="shared" si="179"/>
        <v>21997.591846306044</v>
      </c>
      <c r="V91" s="325">
        <f t="shared" si="179"/>
        <v>28671.985463392237</v>
      </c>
      <c r="W91" s="325">
        <f t="shared" si="179"/>
        <v>39348.655569556773</v>
      </c>
      <c r="X91" s="361">
        <f t="shared" si="179"/>
        <v>22618.91875601247</v>
      </c>
      <c r="Y91" s="361">
        <f t="shared" si="179"/>
        <v>20173.850332796337</v>
      </c>
      <c r="Z91" s="361">
        <f t="shared" si="179"/>
        <v>44820.748372608461</v>
      </c>
      <c r="AA91" s="1117">
        <f t="shared" si="179"/>
        <v>19763.33526546248</v>
      </c>
      <c r="AB91" s="1117">
        <f t="shared" si="179"/>
        <v>46450.394075289638</v>
      </c>
      <c r="AC91" s="1117">
        <f t="shared" si="179"/>
        <v>42023.135441722596</v>
      </c>
      <c r="AD91" s="1523">
        <f>SUM(R91,S91,T91)</f>
        <v>70709.00424174605</v>
      </c>
      <c r="AE91" s="1117">
        <f t="shared" ref="AE91" si="180">SUM(U91,V91,W91)</f>
        <v>90018.232879255054</v>
      </c>
      <c r="AF91" s="1117">
        <f t="shared" ref="AF91" si="181">SUM(X91,Y91,Z91)</f>
        <v>87613.517461417272</v>
      </c>
      <c r="AG91" s="1117">
        <f t="shared" ref="AG91" si="182">SUM(AA91,AB91,AC91)</f>
        <v>108236.86478247472</v>
      </c>
      <c r="AH91" s="1117">
        <f t="shared" ref="AH91:AJ91" si="183">SUM(AH92:AH94)</f>
        <v>160727.23712100109</v>
      </c>
      <c r="AI91" s="1117">
        <f t="shared" si="183"/>
        <v>195850.382243892</v>
      </c>
      <c r="AJ91" s="1117">
        <f t="shared" si="183"/>
        <v>356577.61936489306</v>
      </c>
      <c r="AL91" s="325">
        <f ca="1">SUM((INDIRECT(AL$2&amp;(ROW())):INDIRECT(AL$3&amp;(ROW()))))</f>
        <v>42023.135441722596</v>
      </c>
      <c r="AM91" s="1278">
        <f ca="1">SUM(INDIRECT(AM$1&amp;AM$2&amp;$C91):INDIRECT(AM$1&amp;AM$3&amp;$C91))</f>
        <v>0</v>
      </c>
      <c r="AN91" s="1279">
        <f t="shared" ca="1" si="141"/>
        <v>42023.135441722596</v>
      </c>
      <c r="AO91" s="1280">
        <f ca="1">IFERROR(AL91/AM91,0)</f>
        <v>0</v>
      </c>
      <c r="AP91" s="1371">
        <f ca="1">SUM(INDIRECT(AP$1&amp;AP$2&amp;$A91):INDIRECT(AP$1&amp;AP$3&amp;$A91))+SUM(INDIRECT(AP$1&amp;AP$2&amp;$B91):INDIRECT(AP$1&amp;AP$3&amp;$B91))</f>
        <v>21713</v>
      </c>
      <c r="AQ91" s="1372">
        <f t="shared" ca="1" si="143"/>
        <v>20310.135441722596</v>
      </c>
      <c r="AR91" s="1373">
        <f ca="1">IFERROR(AL91/AP91,0)</f>
        <v>1.9353905697841198</v>
      </c>
      <c r="AT91" s="325">
        <f ca="1">SUM((INDIRECT(AT$2&amp;(ROW())):INDIRECT(AT$3&amp;(ROW()))))</f>
        <v>108236.86478247472</v>
      </c>
      <c r="AU91" s="1278">
        <f ca="1">SUM(INDIRECT(AU$1&amp;AU$2&amp;$C91):INDIRECT(AU$1&amp;AU$3&amp;$C91))</f>
        <v>0</v>
      </c>
      <c r="AV91" s="1279">
        <f t="shared" ca="1" si="145"/>
        <v>108236.86478247472</v>
      </c>
      <c r="AW91" s="1280">
        <f ca="1">IFERROR(AT91/AU91,0)</f>
        <v>0</v>
      </c>
      <c r="AX91" s="1371">
        <f ca="1">SUM(INDIRECT(AX$1&amp;AX$2&amp;$A91):INDIRECT(AX$1&amp;AX$3&amp;$A91))+SUM(INDIRECT(AX$1&amp;AX$2&amp;$B91):INDIRECT(AX$1&amp;AX$3&amp;$B91))</f>
        <v>66307</v>
      </c>
      <c r="AY91" s="1372">
        <f t="shared" ca="1" si="147"/>
        <v>41929.864782474717</v>
      </c>
      <c r="AZ91" s="1373">
        <f ca="1">IFERROR(AT91/AX91,0)</f>
        <v>1.632359551517558</v>
      </c>
      <c r="BA91" s="75"/>
      <c r="BB91" s="2193">
        <f ca="1">SUM((INDIRECT(BB$2&amp;(ROW())):INDIRECT(BB$3&amp;(ROW()))))</f>
        <v>356577.61936489306</v>
      </c>
      <c r="BC91" s="1371">
        <f ca="1">SUM(INDIRECT(BC$1&amp;BC$2&amp;$C91):INDIRECT(BC$1&amp;BC$3&amp;$C91))</f>
        <v>0</v>
      </c>
      <c r="BD91" s="1372">
        <f t="shared" ca="1" si="149"/>
        <v>356577.61936489306</v>
      </c>
      <c r="BE91" s="1373">
        <f ca="1">IFERROR(BB91/BC91,0)</f>
        <v>0</v>
      </c>
      <c r="BF91" s="1371">
        <f ca="1">SUM(INDIRECT(BF$1&amp;BF$2&amp;$A91):INDIRECT(BF$1&amp;BF$3&amp;$A91))+SUM(INDIRECT(BF$1&amp;BF$2&amp;$B91):INDIRECT(BF$1&amp;BF$3&amp;$B91))</f>
        <v>244076</v>
      </c>
      <c r="BG91" s="1372">
        <f t="shared" ca="1" si="151"/>
        <v>112501.61936489306</v>
      </c>
      <c r="BH91" s="1373">
        <f ca="1">IFERROR(BB91/BF91,0)</f>
        <v>1.460928642574006</v>
      </c>
    </row>
    <row r="92" spans="1:60" ht="14.5">
      <c r="A92" s="990">
        <f t="shared" ref="A92:A99" si="184">A91+1</f>
        <v>117</v>
      </c>
      <c r="B92" s="990">
        <v>1</v>
      </c>
      <c r="C92" s="990">
        <f t="shared" si="128"/>
        <v>89</v>
      </c>
      <c r="D92" s="1121" t="s">
        <v>887</v>
      </c>
      <c r="E92" s="1463" t="s">
        <v>1262</v>
      </c>
      <c r="F92" s="1459"/>
      <c r="G92" s="1241"/>
      <c r="H92" s="5"/>
      <c r="I92" s="5"/>
      <c r="J92" s="4"/>
      <c r="K92" s="30"/>
      <c r="L92" s="30"/>
      <c r="M92" s="40" t="s">
        <v>170</v>
      </c>
      <c r="N92" s="4"/>
      <c r="O92" s="4"/>
      <c r="P92" s="4"/>
      <c r="Q92" s="1852" t="str">
        <f>CHOOSE(2, "6722000003011", "PL Operating Profit CAR Directly assigned Variable Expenses")</f>
        <v>PL Operating Profit CAR Directly assigned Variable Expenses</v>
      </c>
      <c r="R92" s="2159">
        <v>1286.5372142159508</v>
      </c>
      <c r="S92" s="2159">
        <v>7132.1638090855495</v>
      </c>
      <c r="T92" s="2159">
        <v>3082.4276100000011</v>
      </c>
      <c r="U92" s="2159">
        <v>2088.8784483447671</v>
      </c>
      <c r="V92" s="2159">
        <v>7181.6346276779359</v>
      </c>
      <c r="W92" s="2159">
        <v>19572.962341824001</v>
      </c>
      <c r="X92" s="2091">
        <v>1181.1243968235092</v>
      </c>
      <c r="Y92" s="2091">
        <v>943</v>
      </c>
      <c r="Z92" s="2091">
        <v>22242.989045066683</v>
      </c>
      <c r="AA92" s="2160">
        <v>388.70108987796942</v>
      </c>
      <c r="AB92" s="2160">
        <v>20351.158846242855</v>
      </c>
      <c r="AC92" s="2160">
        <v>19648.783339999998</v>
      </c>
      <c r="AD92" s="144">
        <f>SUM(R92,S92,T92)</f>
        <v>11501.128633301501</v>
      </c>
      <c r="AE92" s="145">
        <f t="shared" ref="AE92:AE95" si="185">SUM(U92,V92,W92)</f>
        <v>28843.475417846705</v>
      </c>
      <c r="AF92" s="145">
        <f t="shared" ref="AF92:AF95" si="186">SUM(X92,Y92,Z92)</f>
        <v>24367.113441890193</v>
      </c>
      <c r="AG92" s="145">
        <f t="shared" ref="AG92:AG95" si="187">SUM(AA92,AB92,AC92)</f>
        <v>40388.643276120827</v>
      </c>
      <c r="AH92" s="145">
        <f>AD92+AE92</f>
        <v>40344.604051148206</v>
      </c>
      <c r="AI92" s="145">
        <f>AG92+AF92</f>
        <v>64755.75671801102</v>
      </c>
      <c r="AJ92" s="145">
        <f>AH92+AI92</f>
        <v>105100.36076915922</v>
      </c>
      <c r="AL92" s="41">
        <f ca="1">SUM((INDIRECT(AL$2&amp;(ROW())):INDIRECT(AL$3&amp;(ROW()))))</f>
        <v>19648.783339999998</v>
      </c>
      <c r="AM92" s="1275">
        <f ca="1">SUM(INDIRECT(AM$1&amp;AM$2&amp;$C92):INDIRECT(AM$1&amp;AM$3&amp;$C92))</f>
        <v>0</v>
      </c>
      <c r="AN92" s="1276">
        <f t="shared" ca="1" si="141"/>
        <v>19648.783339999998</v>
      </c>
      <c r="AO92" s="1277">
        <f ca="1">IFERROR(AL92/AM92,0)</f>
        <v>0</v>
      </c>
      <c r="AP92" s="135">
        <f ca="1">SUM(INDIRECT(AP$1&amp;AP$2&amp;$A92):INDIRECT(AP$1&amp;AP$3&amp;$A92))+SUM(INDIRECT(AP$1&amp;AP$2&amp;$B92):INDIRECT(AP$1&amp;AP$3&amp;$B92))</f>
        <v>4277</v>
      </c>
      <c r="AQ92" s="886">
        <f t="shared" ca="1" si="143"/>
        <v>15371.783339999998</v>
      </c>
      <c r="AR92" s="941">
        <f ca="1">IFERROR(AL92/AP92,0)</f>
        <v>4.5940573626373622</v>
      </c>
      <c r="AT92" s="41">
        <f ca="1">SUM((INDIRECT(AT$2&amp;(ROW())):INDIRECT(AT$3&amp;(ROW()))))</f>
        <v>40388.643276120827</v>
      </c>
      <c r="AU92" s="1275">
        <f ca="1">SUM(INDIRECT(AU$1&amp;AU$2&amp;$C92):INDIRECT(AU$1&amp;AU$3&amp;$C92))</f>
        <v>0</v>
      </c>
      <c r="AV92" s="1276">
        <f t="shared" ca="1" si="145"/>
        <v>40388.643276120827</v>
      </c>
      <c r="AW92" s="1277">
        <f ca="1">IFERROR(AT92/AU92,0)</f>
        <v>0</v>
      </c>
      <c r="AX92" s="135">
        <f ca="1">SUM(INDIRECT(AX$1&amp;AX$2&amp;$A92):INDIRECT(AX$1&amp;AX$3&amp;$A92))+SUM(INDIRECT(AX$1&amp;AX$2&amp;$B92):INDIRECT(AX$1&amp;AX$3&amp;$B92))</f>
        <v>4018</v>
      </c>
      <c r="AY92" s="886">
        <f t="shared" ca="1" si="147"/>
        <v>36370.643276120827</v>
      </c>
      <c r="AZ92" s="941">
        <f ca="1">IFERROR(AT92/AX92,0)</f>
        <v>10.051927146869295</v>
      </c>
      <c r="BA92" s="75"/>
      <c r="BB92" s="2097">
        <f ca="1">SUM((INDIRECT(BB$2&amp;(ROW())):INDIRECT(BB$3&amp;(ROW()))))</f>
        <v>105100.36076915922</v>
      </c>
      <c r="BC92" s="135">
        <f ca="1">SUM(INDIRECT(BC$1&amp;BC$2&amp;$C92):INDIRECT(BC$1&amp;BC$3&amp;$C92))</f>
        <v>0</v>
      </c>
      <c r="BD92" s="886">
        <f t="shared" ca="1" si="149"/>
        <v>105100.36076915922</v>
      </c>
      <c r="BE92" s="941">
        <f ca="1">IFERROR(BB92/BC92,0)</f>
        <v>0</v>
      </c>
      <c r="BF92" s="135">
        <f ca="1">SUM(INDIRECT(BF$1&amp;BF$2&amp;$A92):INDIRECT(BF$1&amp;BF$3&amp;$A92))+SUM(INDIRECT(BF$1&amp;BF$2&amp;$B92):INDIRECT(BF$1&amp;BF$3&amp;$B92))</f>
        <v>25980</v>
      </c>
      <c r="BG92" s="886">
        <f t="shared" ca="1" si="151"/>
        <v>79120.360769159219</v>
      </c>
      <c r="BH92" s="941">
        <f ca="1">IFERROR(BB92/BF92,0)</f>
        <v>4.0454334399214478</v>
      </c>
    </row>
    <row r="93" spans="1:60" ht="14.5">
      <c r="A93" s="990">
        <f t="shared" si="184"/>
        <v>118</v>
      </c>
      <c r="B93" s="990">
        <v>1</v>
      </c>
      <c r="C93" s="990">
        <f t="shared" si="128"/>
        <v>90</v>
      </c>
      <c r="D93" s="1121" t="s">
        <v>887</v>
      </c>
      <c r="E93" s="1463" t="s">
        <v>1262</v>
      </c>
      <c r="F93" s="1459"/>
      <c r="G93" s="1241"/>
      <c r="H93" s="5"/>
      <c r="I93" s="5"/>
      <c r="J93" s="4"/>
      <c r="K93" s="30"/>
      <c r="L93" s="30"/>
      <c r="M93" s="40" t="s">
        <v>171</v>
      </c>
      <c r="N93" s="4"/>
      <c r="O93" s="4"/>
      <c r="P93" s="4"/>
      <c r="Q93" s="1852" t="str">
        <f>CHOOSE(2, "6722000003012", "PL Operating Profit CAR Directly assigned Wages &amp; Salaries")</f>
        <v>PL Operating Profit CAR Directly assigned Wages &amp; Salaries</v>
      </c>
      <c r="R93" s="2159">
        <v>14878</v>
      </c>
      <c r="S93" s="2159">
        <v>15388.954210528078</v>
      </c>
      <c r="T93" s="2159">
        <v>14889.791380766274</v>
      </c>
      <c r="U93" s="2159">
        <v>14934.10716322078</v>
      </c>
      <c r="V93" s="2159">
        <v>14350.780322798391</v>
      </c>
      <c r="W93" s="2159">
        <v>14794.795769683273</v>
      </c>
      <c r="X93" s="2091">
        <v>13586.958132781321</v>
      </c>
      <c r="Y93" s="2091">
        <v>13910</v>
      </c>
      <c r="Z93" s="2091">
        <v>18331.457102288208</v>
      </c>
      <c r="AA93" s="2160">
        <v>13867.597412060188</v>
      </c>
      <c r="AB93" s="2160">
        <v>20121.991006939592</v>
      </c>
      <c r="AC93" s="2160">
        <v>15860.539980333513</v>
      </c>
      <c r="AD93" s="144">
        <f>SUM(R93,S93,T93)</f>
        <v>45156.745591294355</v>
      </c>
      <c r="AE93" s="145">
        <f t="shared" si="185"/>
        <v>44079.683255702446</v>
      </c>
      <c r="AF93" s="145">
        <f t="shared" si="186"/>
        <v>45828.415235069529</v>
      </c>
      <c r="AG93" s="145">
        <f t="shared" si="187"/>
        <v>49850.128399333291</v>
      </c>
      <c r="AH93" s="145">
        <f>AD93+AE93</f>
        <v>89236.428846996801</v>
      </c>
      <c r="AI93" s="145">
        <f>AG93+AF93</f>
        <v>95678.543634402828</v>
      </c>
      <c r="AJ93" s="145">
        <f>AH93+AI93</f>
        <v>184914.97248139963</v>
      </c>
      <c r="AL93" s="41">
        <f ca="1">SUM((INDIRECT(AL$2&amp;(ROW())):INDIRECT(AL$3&amp;(ROW()))))</f>
        <v>15860.539980333513</v>
      </c>
      <c r="AM93" s="1275">
        <f ca="1">SUM(INDIRECT(AM$1&amp;AM$2&amp;$C93):INDIRECT(AM$1&amp;AM$3&amp;$C93))</f>
        <v>0</v>
      </c>
      <c r="AN93" s="1276">
        <f t="shared" ca="1" si="141"/>
        <v>15860.539980333513</v>
      </c>
      <c r="AO93" s="1277">
        <f ca="1">IFERROR(AL93/AM93,0)</f>
        <v>0</v>
      </c>
      <c r="AP93" s="135">
        <f ca="1">SUM(INDIRECT(AP$1&amp;AP$2&amp;$A93):INDIRECT(AP$1&amp;AP$3&amp;$A93))+SUM(INDIRECT(AP$1&amp;AP$2&amp;$B93):INDIRECT(AP$1&amp;AP$3&amp;$B93))</f>
        <v>13236</v>
      </c>
      <c r="AQ93" s="886">
        <f t="shared" ca="1" si="143"/>
        <v>2624.5399803335131</v>
      </c>
      <c r="AR93" s="941">
        <f ca="1">IFERROR(AL93/AP93,0)</f>
        <v>1.1982880009318158</v>
      </c>
      <c r="AT93" s="41">
        <f ca="1">SUM((INDIRECT(AT$2&amp;(ROW())):INDIRECT(AT$3&amp;(ROW()))))</f>
        <v>49850.128399333291</v>
      </c>
      <c r="AU93" s="1275">
        <f ca="1">SUM(INDIRECT(AU$1&amp;AU$2&amp;$C93):INDIRECT(AU$1&amp;AU$3&amp;$C93))</f>
        <v>0</v>
      </c>
      <c r="AV93" s="1276">
        <f t="shared" ca="1" si="145"/>
        <v>49850.128399333291</v>
      </c>
      <c r="AW93" s="1277">
        <f ca="1">IFERROR(AT93/AU93,0)</f>
        <v>0</v>
      </c>
      <c r="AX93" s="135">
        <f ca="1">SUM(INDIRECT(AX$1&amp;AX$2&amp;$A93):INDIRECT(AX$1&amp;AX$3&amp;$A93))+SUM(INDIRECT(AX$1&amp;AX$2&amp;$B93):INDIRECT(AX$1&amp;AX$3&amp;$B93))</f>
        <v>49972</v>
      </c>
      <c r="AY93" s="886">
        <f t="shared" ca="1" si="147"/>
        <v>-121.87160066670913</v>
      </c>
      <c r="AZ93" s="941">
        <f ca="1">IFERROR(AT93/AX93,0)</f>
        <v>0.99756120225993139</v>
      </c>
      <c r="BA93" s="75"/>
      <c r="BB93" s="2097">
        <f ca="1">SUM((INDIRECT(BB$2&amp;(ROW())):INDIRECT(BB$3&amp;(ROW()))))</f>
        <v>184914.9724813996</v>
      </c>
      <c r="BC93" s="135">
        <f ca="1">SUM(INDIRECT(BC$1&amp;BC$2&amp;$C93):INDIRECT(BC$1&amp;BC$3&amp;$C93))</f>
        <v>0</v>
      </c>
      <c r="BD93" s="886">
        <f t="shared" ca="1" si="149"/>
        <v>184914.9724813996</v>
      </c>
      <c r="BE93" s="941">
        <f ca="1">IFERROR(BB93/BC93,0)</f>
        <v>0</v>
      </c>
      <c r="BF93" s="135">
        <f ca="1">SUM(INDIRECT(BF$1&amp;BF$2&amp;$A93):INDIRECT(BF$1&amp;BF$3&amp;$A93))+SUM(INDIRECT(BF$1&amp;BF$2&amp;$B93):INDIRECT(BF$1&amp;BF$3&amp;$B93))</f>
        <v>181779</v>
      </c>
      <c r="BG93" s="886">
        <f t="shared" ca="1" si="151"/>
        <v>3135.9724813995999</v>
      </c>
      <c r="BH93" s="941">
        <f ca="1">IFERROR(BB93/BF93,0)</f>
        <v>1.0172515663602484</v>
      </c>
    </row>
    <row r="94" spans="1:60" ht="14.5">
      <c r="A94" s="990">
        <f t="shared" si="184"/>
        <v>119</v>
      </c>
      <c r="B94" s="990">
        <v>1</v>
      </c>
      <c r="C94" s="990">
        <f t="shared" si="128"/>
        <v>91</v>
      </c>
      <c r="D94" s="1121" t="s">
        <v>887</v>
      </c>
      <c r="E94" s="1463" t="s">
        <v>1262</v>
      </c>
      <c r="F94" s="1459"/>
      <c r="G94" s="1241"/>
      <c r="H94" s="5"/>
      <c r="I94" s="5"/>
      <c r="J94" s="4"/>
      <c r="K94" s="30"/>
      <c r="L94" s="28"/>
      <c r="M94" s="119" t="s">
        <v>172</v>
      </c>
      <c r="N94" s="2"/>
      <c r="O94" s="2"/>
      <c r="P94" s="2"/>
      <c r="Q94" s="1852" t="str">
        <f>CHOOSE(2, "6722000003013", "PL Operating Profit CAR Directly assigned Fixed Expenses")</f>
        <v>PL Operating Profit CAR Directly assigned Fixed Expenses</v>
      </c>
      <c r="R94" s="2161">
        <v>3882.7786747039095</v>
      </c>
      <c r="S94" s="2161">
        <v>5467.2784672795251</v>
      </c>
      <c r="T94" s="2161">
        <v>4701.0728751667639</v>
      </c>
      <c r="U94" s="2161">
        <v>4974.606234740495</v>
      </c>
      <c r="V94" s="2161">
        <v>7139.5705129159087</v>
      </c>
      <c r="W94" s="2161">
        <v>4980.8974580494969</v>
      </c>
      <c r="X94" s="2092">
        <v>7850.8362264076413</v>
      </c>
      <c r="Y94" s="2092">
        <v>5320.8503327963381</v>
      </c>
      <c r="Z94" s="2092">
        <v>4246.3022252535739</v>
      </c>
      <c r="AA94" s="2162">
        <v>5507.036763524321</v>
      </c>
      <c r="AB94" s="2162">
        <v>5977.2442221071888</v>
      </c>
      <c r="AC94" s="2162">
        <v>6513.8121213890845</v>
      </c>
      <c r="AD94" s="141">
        <f>SUM(R94,S94,T94)</f>
        <v>14051.130017150197</v>
      </c>
      <c r="AE94" s="142">
        <f t="shared" si="185"/>
        <v>17095.0742057059</v>
      </c>
      <c r="AF94" s="142">
        <f t="shared" si="186"/>
        <v>17417.988784457553</v>
      </c>
      <c r="AG94" s="142">
        <f t="shared" si="187"/>
        <v>17998.093107020595</v>
      </c>
      <c r="AH94" s="142">
        <f>AD94+AE94</f>
        <v>31146.204222856097</v>
      </c>
      <c r="AI94" s="142">
        <f>AG94+AF94</f>
        <v>35416.081891478148</v>
      </c>
      <c r="AJ94" s="142">
        <f>AH94+AI94</f>
        <v>66562.286114334245</v>
      </c>
      <c r="AL94" s="66">
        <f ca="1">SUM((INDIRECT(AL$2&amp;(ROW())):INDIRECT(AL$3&amp;(ROW()))))</f>
        <v>6513.8121213890845</v>
      </c>
      <c r="AM94" s="92">
        <f ca="1">SUM(INDIRECT(AM$1&amp;AM$2&amp;$C94):INDIRECT(AM$1&amp;AM$3&amp;$C94))</f>
        <v>0</v>
      </c>
      <c r="AN94" s="884">
        <f t="shared" ca="1" si="141"/>
        <v>6513.8121213890845</v>
      </c>
      <c r="AO94" s="937">
        <f ca="1">IFERROR(AL94/AM94,0)</f>
        <v>0</v>
      </c>
      <c r="AP94" s="285">
        <f ca="1">SUM(INDIRECT(AP$1&amp;AP$2&amp;$A94):INDIRECT(AP$1&amp;AP$3&amp;$A94))+SUM(INDIRECT(AP$1&amp;AP$2&amp;$B94):INDIRECT(AP$1&amp;AP$3&amp;$B94))</f>
        <v>4200</v>
      </c>
      <c r="AQ94" s="889">
        <f t="shared" ca="1" si="143"/>
        <v>2313.8121213890845</v>
      </c>
      <c r="AR94" s="944">
        <f ca="1">IFERROR(AL94/AP94,0)</f>
        <v>1.5509076479497821</v>
      </c>
      <c r="AT94" s="66">
        <f ca="1">SUM((INDIRECT(AT$2&amp;(ROW())):INDIRECT(AT$3&amp;(ROW()))))</f>
        <v>17998.093107020595</v>
      </c>
      <c r="AU94" s="92">
        <f ca="1">SUM(INDIRECT(AU$1&amp;AU$2&amp;$C94):INDIRECT(AU$1&amp;AU$3&amp;$C94))</f>
        <v>0</v>
      </c>
      <c r="AV94" s="884">
        <f t="shared" ca="1" si="145"/>
        <v>17998.093107020595</v>
      </c>
      <c r="AW94" s="937">
        <f ca="1">IFERROR(AT94/AU94,0)</f>
        <v>0</v>
      </c>
      <c r="AX94" s="285">
        <f ca="1">SUM(INDIRECT(AX$1&amp;AX$2&amp;$A94):INDIRECT(AX$1&amp;AX$3&amp;$A94))+SUM(INDIRECT(AX$1&amp;AX$2&amp;$B94):INDIRECT(AX$1&amp;AX$3&amp;$B94))</f>
        <v>12317</v>
      </c>
      <c r="AY94" s="889">
        <f t="shared" ca="1" si="147"/>
        <v>5681.0931070205952</v>
      </c>
      <c r="AZ94" s="944">
        <f ca="1">IFERROR(AT94/AX94,0)</f>
        <v>1.4612400021937644</v>
      </c>
      <c r="BA94" s="75"/>
      <c r="BB94" s="2098">
        <f ca="1">SUM((INDIRECT(BB$2&amp;(ROW())):INDIRECT(BB$3&amp;(ROW()))))</f>
        <v>66562.286114334245</v>
      </c>
      <c r="BC94" s="285">
        <f ca="1">SUM(INDIRECT(BC$1&amp;BC$2&amp;$C94):INDIRECT(BC$1&amp;BC$3&amp;$C94))</f>
        <v>0</v>
      </c>
      <c r="BD94" s="889">
        <f t="shared" ca="1" si="149"/>
        <v>66562.286114334245</v>
      </c>
      <c r="BE94" s="944">
        <f ca="1">IFERROR(BB94/BC94,0)</f>
        <v>0</v>
      </c>
      <c r="BF94" s="285">
        <f ca="1">SUM(INDIRECT(BF$1&amp;BF$2&amp;$A94):INDIRECT(BF$1&amp;BF$3&amp;$A94))+SUM(INDIRECT(BF$1&amp;BF$2&amp;$B94):INDIRECT(BF$1&amp;BF$3&amp;$B94))</f>
        <v>36317</v>
      </c>
      <c r="BG94" s="889">
        <f t="shared" ca="1" si="151"/>
        <v>30245.286114334245</v>
      </c>
      <c r="BH94" s="944">
        <f ca="1">IFERROR(BB94/BF94,0)</f>
        <v>1.8328134513956067</v>
      </c>
    </row>
    <row r="95" spans="1:60" ht="14.5">
      <c r="A95" s="990">
        <f t="shared" si="184"/>
        <v>120</v>
      </c>
      <c r="B95" s="990">
        <v>1</v>
      </c>
      <c r="C95" s="990">
        <f t="shared" si="128"/>
        <v>92</v>
      </c>
      <c r="D95" s="1121" t="s">
        <v>887</v>
      </c>
      <c r="E95" s="1463" t="s">
        <v>1262</v>
      </c>
      <c r="F95" s="1459"/>
      <c r="G95" s="1241"/>
      <c r="H95" s="5"/>
      <c r="I95" s="5"/>
      <c r="J95" s="4"/>
      <c r="K95" s="30"/>
      <c r="L95" s="764" t="s">
        <v>885</v>
      </c>
      <c r="M95" s="798"/>
      <c r="N95" s="798"/>
      <c r="O95" s="798"/>
      <c r="P95" s="798"/>
      <c r="Q95" s="1851" t="str">
        <f>CHOOSE(2, "6722000003014", "PL Operating Profit CAR Allocation")</f>
        <v>PL Operating Profit CAR Allocation</v>
      </c>
      <c r="R95" s="2120">
        <f>SUM(R97:R99)</f>
        <v>35324.338987841867</v>
      </c>
      <c r="S95" s="2120">
        <f t="shared" ref="S95:AC95" si="188">SUM(S97:S99)</f>
        <v>23077.385262601903</v>
      </c>
      <c r="T95" s="2120">
        <f t="shared" si="188"/>
        <v>35151.801674366492</v>
      </c>
      <c r="U95" s="2120">
        <f t="shared" si="188"/>
        <v>32733.162264984516</v>
      </c>
      <c r="V95" s="2120">
        <f t="shared" si="188"/>
        <v>32694.737628132229</v>
      </c>
      <c r="W95" s="2120">
        <f t="shared" si="188"/>
        <v>14784.910234755189</v>
      </c>
      <c r="X95" s="2081">
        <f t="shared" si="188"/>
        <v>47834.575734657403</v>
      </c>
      <c r="Y95" s="2081">
        <f t="shared" si="188"/>
        <v>34854.315207895255</v>
      </c>
      <c r="Z95" s="2081">
        <f t="shared" si="188"/>
        <v>33299.480266991333</v>
      </c>
      <c r="AA95" s="2158">
        <f t="shared" si="188"/>
        <v>52754.269249231627</v>
      </c>
      <c r="AB95" s="2158">
        <f t="shared" si="188"/>
        <v>15727.220800773355</v>
      </c>
      <c r="AC95" s="2158">
        <f t="shared" si="188"/>
        <v>33395.909168125596</v>
      </c>
      <c r="AD95" s="1524">
        <f>SUM(R95,S95,T95)</f>
        <v>93553.525924810267</v>
      </c>
      <c r="AE95" s="1118">
        <f t="shared" si="185"/>
        <v>80212.810127871926</v>
      </c>
      <c r="AF95" s="1118">
        <f t="shared" si="186"/>
        <v>115988.37120954398</v>
      </c>
      <c r="AG95" s="1118">
        <f t="shared" si="187"/>
        <v>101877.39921813058</v>
      </c>
      <c r="AH95" s="1118">
        <f t="shared" ref="AH95:AJ95" si="189">SUM(AH97:AH99)</f>
        <v>173766.33605268219</v>
      </c>
      <c r="AI95" s="1118">
        <f t="shared" si="189"/>
        <v>217865.77042767455</v>
      </c>
      <c r="AJ95" s="1118">
        <f t="shared" si="189"/>
        <v>391632.10648035677</v>
      </c>
      <c r="AL95" s="41">
        <f ca="1">SUM((INDIRECT(AL$2&amp;(ROW())):INDIRECT(AL$3&amp;(ROW()))))</f>
        <v>33395.909168125596</v>
      </c>
      <c r="AM95" s="1275">
        <f ca="1">SUM(INDIRECT(AM$1&amp;AM$2&amp;$C95):INDIRECT(AM$1&amp;AM$3&amp;$C95))</f>
        <v>0</v>
      </c>
      <c r="AN95" s="1276">
        <f t="shared" ca="1" si="141"/>
        <v>33395.909168125596</v>
      </c>
      <c r="AO95" s="1277">
        <f ca="1">IFERROR(AL95/AM95,0)</f>
        <v>0</v>
      </c>
      <c r="AP95" s="135">
        <f ca="1">SUM(INDIRECT(AP$1&amp;AP$2&amp;$A95):INDIRECT(AP$1&amp;AP$3&amp;$A95))+SUM(INDIRECT(AP$1&amp;AP$2&amp;$B95):INDIRECT(AP$1&amp;AP$3&amp;$B95))</f>
        <v>43889.6662293564</v>
      </c>
      <c r="AQ95" s="886">
        <f t="shared" ca="1" si="143"/>
        <v>-10493.757061230805</v>
      </c>
      <c r="AR95" s="941">
        <f ca="1">IFERROR(AL95/AP95,0)</f>
        <v>0.76090597257238046</v>
      </c>
      <c r="AT95" s="41">
        <f ca="1">SUM((INDIRECT(AT$2&amp;(ROW())):INDIRECT(AT$3&amp;(ROW()))))</f>
        <v>101877.39921813058</v>
      </c>
      <c r="AU95" s="1275">
        <f ca="1">SUM(INDIRECT(AU$1&amp;AU$2&amp;$C95):INDIRECT(AU$1&amp;AU$3&amp;$C95))</f>
        <v>0</v>
      </c>
      <c r="AV95" s="1276">
        <f t="shared" ca="1" si="145"/>
        <v>101877.39921813058</v>
      </c>
      <c r="AW95" s="1277">
        <f ca="1">IFERROR(AT95/AU95,0)</f>
        <v>0</v>
      </c>
      <c r="AX95" s="135">
        <f ca="1">SUM(INDIRECT(AX$1&amp;AX$2&amp;$A95):INDIRECT(AX$1&amp;AX$3&amp;$A95))+SUM(INDIRECT(AX$1&amp;AX$2&amp;$B95):INDIRECT(AX$1&amp;AX$3&amp;$B95))</f>
        <v>77735.103747659814</v>
      </c>
      <c r="AY95" s="886">
        <f t="shared" ca="1" si="147"/>
        <v>24142.295470470766</v>
      </c>
      <c r="AZ95" s="941">
        <f ca="1">IFERROR(AT95/AX95,0)</f>
        <v>1.3105713417305056</v>
      </c>
      <c r="BA95" s="75"/>
      <c r="BB95" s="2097">
        <f ca="1">SUM((INDIRECT(BB$2&amp;(ROW())):INDIRECT(BB$3&amp;(ROW()))))</f>
        <v>391632.10648035671</v>
      </c>
      <c r="BC95" s="135">
        <f ca="1">SUM(INDIRECT(BC$1&amp;BC$2&amp;$C95):INDIRECT(BC$1&amp;BC$3&amp;$C95))</f>
        <v>0</v>
      </c>
      <c r="BD95" s="886">
        <f t="shared" ca="1" si="149"/>
        <v>391632.10648035671</v>
      </c>
      <c r="BE95" s="941">
        <f ca="1">IFERROR(BB95/BC95,0)</f>
        <v>0</v>
      </c>
      <c r="BF95" s="135">
        <f ca="1">SUM(INDIRECT(BF$1&amp;BF$2&amp;$A95):INDIRECT(BF$1&amp;BF$3&amp;$A95))+SUM(INDIRECT(BF$1&amp;BF$2&amp;$B95):INDIRECT(BF$1&amp;BF$3&amp;$B95))</f>
        <v>325780.10374765983</v>
      </c>
      <c r="BG95" s="886">
        <f t="shared" ca="1" si="151"/>
        <v>65852.002732696885</v>
      </c>
      <c r="BH95" s="941">
        <f ca="1">IFERROR(BB95/BF95,0)</f>
        <v>1.2021363550909296</v>
      </c>
    </row>
    <row r="96" spans="1:60" ht="14.5">
      <c r="A96" s="990">
        <f t="shared" si="184"/>
        <v>121</v>
      </c>
      <c r="B96" s="990">
        <v>1</v>
      </c>
      <c r="C96" s="990">
        <f t="shared" si="128"/>
        <v>93</v>
      </c>
      <c r="D96" s="1121" t="s">
        <v>887</v>
      </c>
      <c r="E96" s="1463" t="s">
        <v>1262</v>
      </c>
      <c r="F96" s="1459"/>
      <c r="G96" s="1241"/>
      <c r="H96" s="5"/>
      <c r="I96" s="5"/>
      <c r="J96" s="4"/>
      <c r="K96" s="30"/>
      <c r="L96" s="613"/>
      <c r="M96" s="676" t="s">
        <v>888</v>
      </c>
      <c r="N96" s="51"/>
      <c r="O96" s="51"/>
      <c r="P96" s="51"/>
      <c r="Q96" s="1842" t="str">
        <f>CHOOSE(2, "6722000003015", "PL Operating Profit CAR Allocation SGA (%)")</f>
        <v>PL Operating Profit CAR Allocation SGA (%)</v>
      </c>
      <c r="R96" s="1119">
        <f>IFERROR(R95/R82,0)</f>
        <v>0.63794985117316261</v>
      </c>
      <c r="S96" s="1119">
        <f t="shared" ref="S96:AC96" si="190">IFERROR(S95/S131,0)</f>
        <v>0.45191485319482244</v>
      </c>
      <c r="T96" s="1119">
        <f t="shared" si="190"/>
        <v>0.60789874295436219</v>
      </c>
      <c r="U96" s="1119">
        <f t="shared" si="190"/>
        <v>0.59807621503669173</v>
      </c>
      <c r="V96" s="1119">
        <f t="shared" si="190"/>
        <v>0.5327763318789267</v>
      </c>
      <c r="W96" s="1119">
        <f t="shared" si="190"/>
        <v>0.27311909007068419</v>
      </c>
      <c r="X96" s="1119">
        <f t="shared" si="190"/>
        <v>0.67895249313704531</v>
      </c>
      <c r="Y96" s="1119">
        <f t="shared" si="190"/>
        <v>0.63339046223740803</v>
      </c>
      <c r="Z96" s="1119">
        <f t="shared" si="190"/>
        <v>0.42625938053273377</v>
      </c>
      <c r="AA96" s="1119">
        <f t="shared" si="190"/>
        <v>0.72746844855502824</v>
      </c>
      <c r="AB96" s="1119">
        <f t="shared" si="190"/>
        <v>0.25294023953993755</v>
      </c>
      <c r="AC96" s="1119">
        <f t="shared" si="190"/>
        <v>0.4428047231423663</v>
      </c>
      <c r="AD96" s="1525">
        <f t="shared" ref="AD96:AJ96" si="191">IFERROR(AD95/AD131,0)</f>
        <v>0.57337277410773979</v>
      </c>
      <c r="AE96" s="1119">
        <f t="shared" si="191"/>
        <v>0.47119966318078482</v>
      </c>
      <c r="AF96" s="1119">
        <f t="shared" si="191"/>
        <v>0.5696821967943112</v>
      </c>
      <c r="AG96" s="1119">
        <f t="shared" si="191"/>
        <v>0.48486664959517983</v>
      </c>
      <c r="AH96" s="1119">
        <f t="shared" si="191"/>
        <v>0.52120325294604575</v>
      </c>
      <c r="AI96" s="1119">
        <f t="shared" si="191"/>
        <v>0.52660687531973127</v>
      </c>
      <c r="AJ96" s="1119">
        <f t="shared" si="191"/>
        <v>0.5241955347880739</v>
      </c>
      <c r="AL96" s="1283">
        <f ca="1">IFERROR(AL95/AL131,0)</f>
        <v>0.4428047231423663</v>
      </c>
      <c r="AM96" s="1283">
        <f ca="1">IFERROR(AM95/AM131,0)</f>
        <v>0</v>
      </c>
      <c r="AN96" s="1283">
        <f t="shared" ca="1" si="141"/>
        <v>0.4428047231423663</v>
      </c>
      <c r="AO96" s="1281"/>
      <c r="AP96" s="1283">
        <f ca="1">IFERROR(AP95/AP131,0)</f>
        <v>0.66902259850097834</v>
      </c>
      <c r="AQ96" s="1283">
        <f ca="1">IFERROR(AQ95/AQ127,0)</f>
        <v>0</v>
      </c>
      <c r="AR96" s="1374"/>
      <c r="AT96" s="1283">
        <f ca="1">IFERROR(AT95/AT131,0)</f>
        <v>0.48486664959517983</v>
      </c>
      <c r="AU96" s="1283">
        <f ca="1">IFERROR(AU95/AU131,0)</f>
        <v>0</v>
      </c>
      <c r="AV96" s="1283">
        <f t="shared" ca="1" si="145"/>
        <v>0.48486664959517983</v>
      </c>
      <c r="AW96" s="1281"/>
      <c r="AX96" s="1283">
        <f ca="1">IFERROR(AX95/AX131,0)</f>
        <v>0.539669316992482</v>
      </c>
      <c r="AY96" s="1283">
        <f ca="1">IFERROR(AY95/AY127,0)</f>
        <v>0</v>
      </c>
      <c r="AZ96" s="1374"/>
      <c r="BA96" s="75"/>
      <c r="BB96" s="1283">
        <f ca="1">IFERROR(BB95/BB131,0)</f>
        <v>0.5241955347880739</v>
      </c>
      <c r="BC96" s="1283">
        <f ca="1">IFERROR(BC95/BC131,0)</f>
        <v>0</v>
      </c>
      <c r="BD96" s="1283">
        <f t="shared" ca="1" si="149"/>
        <v>0.5241955347880739</v>
      </c>
      <c r="BE96" s="1377"/>
      <c r="BF96" s="1283">
        <f ca="1">IFERROR(BF95/BF131,0)</f>
        <v>0.57168836414169522</v>
      </c>
      <c r="BG96" s="1283">
        <f ca="1">IFERROR(BG95/BG127,0)</f>
        <v>0</v>
      </c>
      <c r="BH96" s="1374"/>
    </row>
    <row r="97" spans="1:60" ht="14.5">
      <c r="A97" s="990">
        <f t="shared" si="184"/>
        <v>122</v>
      </c>
      <c r="B97" s="990">
        <v>1</v>
      </c>
      <c r="C97" s="990">
        <f t="shared" si="128"/>
        <v>94</v>
      </c>
      <c r="D97" s="1121" t="s">
        <v>887</v>
      </c>
      <c r="E97" s="1463" t="s">
        <v>1262</v>
      </c>
      <c r="F97" s="1459"/>
      <c r="G97" s="1241"/>
      <c r="H97" s="5"/>
      <c r="I97" s="5"/>
      <c r="J97" s="4"/>
      <c r="K97" s="30"/>
      <c r="L97" s="30"/>
      <c r="M97" s="40" t="s">
        <v>170</v>
      </c>
      <c r="N97" s="4"/>
      <c r="O97" s="4"/>
      <c r="P97" s="4"/>
      <c r="Q97" s="1851" t="str">
        <f>CHOOSE(2, "6722000003016", "PL Operating Profit CAR Allocation Variable Expenses")</f>
        <v>PL Operating Profit CAR Allocation Variable Expenses</v>
      </c>
      <c r="R97" s="41">
        <f>R83-R92</f>
        <v>17306.441278610062</v>
      </c>
      <c r="S97" s="41">
        <f t="shared" ref="S97:AC99" si="192">S132-S92</f>
        <v>6849.2674767461422</v>
      </c>
      <c r="T97" s="41">
        <f t="shared" si="192"/>
        <v>12307.360896528049</v>
      </c>
      <c r="U97" s="41">
        <f t="shared" si="192"/>
        <v>16274.987503183056</v>
      </c>
      <c r="V97" s="41">
        <f t="shared" si="192"/>
        <v>12287.266245004972</v>
      </c>
      <c r="W97" s="41">
        <f t="shared" si="192"/>
        <v>5554.3337528373595</v>
      </c>
      <c r="X97" s="19">
        <f t="shared" si="192"/>
        <v>11086.801255198539</v>
      </c>
      <c r="Y97" s="19">
        <f t="shared" si="192"/>
        <v>12039.564082891164</v>
      </c>
      <c r="Z97" s="19">
        <f t="shared" si="192"/>
        <v>15102.706150334332</v>
      </c>
      <c r="AA97" s="145">
        <f t="shared" si="192"/>
        <v>25469.004329129028</v>
      </c>
      <c r="AB97" s="145">
        <f t="shared" si="192"/>
        <v>5677.7108484891723</v>
      </c>
      <c r="AC97" s="145">
        <f t="shared" si="192"/>
        <v>-2460.5209805498598</v>
      </c>
      <c r="AD97" s="144">
        <f>SUM(R97,S97,T97)</f>
        <v>36463.069651884252</v>
      </c>
      <c r="AE97" s="145">
        <f t="shared" ref="AE97:AE99" si="193">SUM(U97,V97,W97)</f>
        <v>34116.587501025388</v>
      </c>
      <c r="AF97" s="145">
        <f t="shared" ref="AF97:AF99" si="194">SUM(X97,Y97,Z97)</f>
        <v>38229.07148842403</v>
      </c>
      <c r="AG97" s="145">
        <f t="shared" ref="AG97:AG99" si="195">SUM(AA97,AB97,AC97)</f>
        <v>28686.19419706834</v>
      </c>
      <c r="AH97" s="145">
        <f>AD97+AE97</f>
        <v>70579.65715290964</v>
      </c>
      <c r="AI97" s="145">
        <f>AG97+AF97</f>
        <v>66915.26568549237</v>
      </c>
      <c r="AJ97" s="145">
        <f>AH97+AI97</f>
        <v>137494.92283840201</v>
      </c>
      <c r="AL97" s="41">
        <f ca="1">SUM((INDIRECT(AL$2&amp;(ROW())):INDIRECT(AL$3&amp;(ROW()))))</f>
        <v>-2460.5209805498598</v>
      </c>
      <c r="AM97" s="1275">
        <f ca="1">SUM(INDIRECT(AM$1&amp;AM$2&amp;$C97):INDIRECT(AM$1&amp;AM$3&amp;$C97))</f>
        <v>0</v>
      </c>
      <c r="AN97" s="1276">
        <f t="shared" ca="1" si="141"/>
        <v>-2460.5209805498598</v>
      </c>
      <c r="AO97" s="1277">
        <f ca="1">IFERROR(AL97/AM97,0)</f>
        <v>0</v>
      </c>
      <c r="AP97" s="135">
        <f ca="1">SUM(INDIRECT(AP$1&amp;AP$2&amp;$A97):INDIRECT(AP$1&amp;AP$3&amp;$A97))+SUM(INDIRECT(AP$1&amp;AP$2&amp;$B97):INDIRECT(AP$1&amp;AP$3&amp;$B97))</f>
        <v>10349.873553411262</v>
      </c>
      <c r="AQ97" s="886">
        <f ca="1">AL97-AP97</f>
        <v>-12810.394533961122</v>
      </c>
      <c r="AR97" s="941">
        <f ca="1">IFERROR(AL97/AP97,0)</f>
        <v>-0.23773440012113825</v>
      </c>
      <c r="AT97" s="41">
        <f ca="1">SUM((INDIRECT(AT$2&amp;(ROW())):INDIRECT(AT$3&amp;(ROW()))))</f>
        <v>28686.19419706834</v>
      </c>
      <c r="AU97" s="1275">
        <f ca="1">SUM(INDIRECT(AU$1&amp;AU$2&amp;$C97):INDIRECT(AU$1&amp;AU$3&amp;$C97))</f>
        <v>0</v>
      </c>
      <c r="AV97" s="1276">
        <f t="shared" ca="1" si="145"/>
        <v>28686.19419706834</v>
      </c>
      <c r="AW97" s="1277">
        <f ca="1">IFERROR(AT97/AU97,0)</f>
        <v>0</v>
      </c>
      <c r="AX97" s="135">
        <f ca="1">SUM(INDIRECT(AX$1&amp;AX$2&amp;$A97):INDIRECT(AX$1&amp;AX$3&amp;$A97))+SUM(INDIRECT(AX$1&amp;AX$2&amp;$B97):INDIRECT(AX$1&amp;AX$3&amp;$B97))</f>
        <v>22960.939142873613</v>
      </c>
      <c r="AY97" s="886">
        <f ca="1">AT97-AX97</f>
        <v>5725.2550541947276</v>
      </c>
      <c r="AZ97" s="941">
        <f ca="1">IFERROR(AT97/AX97,0)</f>
        <v>1.2493475993542571</v>
      </c>
      <c r="BA97" s="75"/>
      <c r="BB97" s="2097">
        <f ca="1">SUM((INDIRECT(BB$2&amp;(ROW())):INDIRECT(BB$3&amp;(ROW()))))</f>
        <v>137494.92283840201</v>
      </c>
      <c r="BC97" s="135">
        <f ca="1">SUM(INDIRECT(BC$1&amp;BC$2&amp;$C97):INDIRECT(BC$1&amp;BC$3&amp;$C97))</f>
        <v>0</v>
      </c>
      <c r="BD97" s="886">
        <f t="shared" ca="1" si="149"/>
        <v>137494.92283840201</v>
      </c>
      <c r="BE97" s="941">
        <f ca="1">IFERROR(BB97/BC97,0)</f>
        <v>0</v>
      </c>
      <c r="BF97" s="135">
        <f ca="1">SUM(INDIRECT(BF$1&amp;BF$2&amp;$A97):INDIRECT(BF$1&amp;BF$3&amp;$A97))+SUM(INDIRECT(BF$1&amp;BF$2&amp;$B97):INDIRECT(BF$1&amp;BF$3&amp;$B97))</f>
        <v>109195.93914287361</v>
      </c>
      <c r="BG97" s="886">
        <f ca="1">BB97-BF97</f>
        <v>28298.983695528397</v>
      </c>
      <c r="BH97" s="941">
        <f ca="1">IFERROR(BB97/BF97,0)</f>
        <v>1.2591578397297503</v>
      </c>
    </row>
    <row r="98" spans="1:60" ht="14.5">
      <c r="A98" s="990">
        <f t="shared" si="184"/>
        <v>123</v>
      </c>
      <c r="B98" s="990">
        <v>1</v>
      </c>
      <c r="C98" s="990">
        <f t="shared" si="128"/>
        <v>95</v>
      </c>
      <c r="D98" s="1121" t="s">
        <v>887</v>
      </c>
      <c r="E98" s="1463" t="s">
        <v>1262</v>
      </c>
      <c r="F98" s="1459"/>
      <c r="G98" s="1241"/>
      <c r="H98" s="5"/>
      <c r="I98" s="5"/>
      <c r="J98" s="4"/>
      <c r="K98" s="30"/>
      <c r="L98" s="30"/>
      <c r="M98" s="40" t="s">
        <v>171</v>
      </c>
      <c r="N98" s="4"/>
      <c r="O98" s="4"/>
      <c r="P98" s="4"/>
      <c r="Q98" s="1851" t="str">
        <f>CHOOSE(2, "6722000003017", "PL Operating Profit CAR Allocation Wages &amp; Salaries")</f>
        <v>PL Operating Profit CAR Allocation Wages &amp; Salaries</v>
      </c>
      <c r="R98" s="41">
        <f>R84-R93</f>
        <v>7969</v>
      </c>
      <c r="S98" s="41">
        <f t="shared" si="192"/>
        <v>6178.9121861007225</v>
      </c>
      <c r="T98" s="41">
        <f t="shared" si="192"/>
        <v>7854.8355887177277</v>
      </c>
      <c r="U98" s="41">
        <f t="shared" si="192"/>
        <v>6631.9016554347854</v>
      </c>
      <c r="V98" s="41">
        <f t="shared" si="192"/>
        <v>7807.6378538035515</v>
      </c>
      <c r="W98" s="41">
        <f t="shared" si="192"/>
        <v>8367.6830309006709</v>
      </c>
      <c r="X98" s="19">
        <f t="shared" si="192"/>
        <v>17350.796063820235</v>
      </c>
      <c r="Y98" s="19">
        <f t="shared" si="192"/>
        <v>10760.657007676753</v>
      </c>
      <c r="Z98" s="19">
        <f t="shared" si="192"/>
        <v>8331.476277029542</v>
      </c>
      <c r="AA98" s="145">
        <f t="shared" si="192"/>
        <v>10433.773656465995</v>
      </c>
      <c r="AB98" s="145">
        <f t="shared" si="192"/>
        <v>6888.1729661652353</v>
      </c>
      <c r="AC98" s="145">
        <f t="shared" si="192"/>
        <v>6512.3526249740862</v>
      </c>
      <c r="AD98" s="144">
        <f>SUM(R98,S98,T98)</f>
        <v>22002.74777481845</v>
      </c>
      <c r="AE98" s="145">
        <f t="shared" si="193"/>
        <v>22807.22254013901</v>
      </c>
      <c r="AF98" s="145">
        <f t="shared" si="194"/>
        <v>36442.92934852653</v>
      </c>
      <c r="AG98" s="145">
        <f t="shared" si="195"/>
        <v>23834.299247605315</v>
      </c>
      <c r="AH98" s="145">
        <f>AD98+AE98</f>
        <v>44809.970314957463</v>
      </c>
      <c r="AI98" s="145">
        <f>AG98+AF98</f>
        <v>60277.228596131841</v>
      </c>
      <c r="AJ98" s="145">
        <f>AH98+AI98</f>
        <v>105087.1989110893</v>
      </c>
      <c r="AL98" s="41">
        <f ca="1">SUM((INDIRECT(AL$2&amp;(ROW())):INDIRECT(AL$3&amp;(ROW()))))</f>
        <v>6512.3526249740862</v>
      </c>
      <c r="AM98" s="1275">
        <f ca="1">SUM(INDIRECT(AM$1&amp;AM$2&amp;$C98):INDIRECT(AM$1&amp;AM$3&amp;$C98))</f>
        <v>0</v>
      </c>
      <c r="AN98" s="1276">
        <f t="shared" ca="1" si="141"/>
        <v>6512.3526249740862</v>
      </c>
      <c r="AO98" s="1277">
        <f ca="1">IFERROR(AL98/AM98,0)</f>
        <v>0</v>
      </c>
      <c r="AP98" s="135">
        <f ca="1">SUM(INDIRECT(AP$1&amp;AP$2&amp;$A98):INDIRECT(AP$1&amp;AP$3&amp;$A98))+SUM(INDIRECT(AP$1&amp;AP$2&amp;$B98):INDIRECT(AP$1&amp;AP$3&amp;$B98))</f>
        <v>12169.79267594514</v>
      </c>
      <c r="AQ98" s="886">
        <f ca="1">AL98-AP98</f>
        <v>-5657.440050971054</v>
      </c>
      <c r="AR98" s="941">
        <f ca="1">IFERROR(AL98/AP98,0)</f>
        <v>0.53512436886837256</v>
      </c>
      <c r="AT98" s="41">
        <f ca="1">SUM((INDIRECT(AT$2&amp;(ROW())):INDIRECT(AT$3&amp;(ROW()))))</f>
        <v>23834.299247605315</v>
      </c>
      <c r="AU98" s="1275">
        <f ca="1">SUM(INDIRECT(AU$1&amp;AU$2&amp;$C98):INDIRECT(AU$1&amp;AU$3&amp;$C98))</f>
        <v>0</v>
      </c>
      <c r="AV98" s="1276">
        <f t="shared" ca="1" si="145"/>
        <v>23834.299247605315</v>
      </c>
      <c r="AW98" s="1277">
        <f ca="1">IFERROR(AT98/AU98,0)</f>
        <v>0</v>
      </c>
      <c r="AX98" s="135">
        <f ca="1">SUM(INDIRECT(AX$1&amp;AX$2&amp;$A98):INDIRECT(AX$1&amp;AX$3&amp;$A98))+SUM(INDIRECT(AX$1&amp;AX$2&amp;$B98):INDIRECT(AX$1&amp;AX$3&amp;$B98))</f>
        <v>26356.781671301342</v>
      </c>
      <c r="AY98" s="886">
        <f ca="1">AT98-AX98</f>
        <v>-2522.4824236960267</v>
      </c>
      <c r="AZ98" s="941">
        <f ca="1">IFERROR(AT98/AX98,0)</f>
        <v>0.90429474830598766</v>
      </c>
      <c r="BA98" s="75"/>
      <c r="BB98" s="2097">
        <f ca="1">SUM((INDIRECT(BB$2&amp;(ROW())):INDIRECT(BB$3&amp;(ROW()))))</f>
        <v>105087.1989110893</v>
      </c>
      <c r="BC98" s="135">
        <f ca="1">SUM(INDIRECT(BC$1&amp;BC$2&amp;$C98):INDIRECT(BC$1&amp;BC$3&amp;$C98))</f>
        <v>0</v>
      </c>
      <c r="BD98" s="886">
        <f t="shared" ca="1" si="149"/>
        <v>105087.1989110893</v>
      </c>
      <c r="BE98" s="941">
        <f ca="1">IFERROR(BB98/BC98,0)</f>
        <v>0</v>
      </c>
      <c r="BF98" s="135">
        <f ca="1">SUM(INDIRECT(BF$1&amp;BF$2&amp;$A98):INDIRECT(BF$1&amp;BF$3&amp;$A98))+SUM(INDIRECT(BF$1&amp;BF$2&amp;$B98):INDIRECT(BF$1&amp;BF$3&amp;$B98))</f>
        <v>81952.781671301331</v>
      </c>
      <c r="BG98" s="886">
        <f ca="1">BB98-BF98</f>
        <v>23134.417239787974</v>
      </c>
      <c r="BH98" s="941">
        <f ca="1">IFERROR(BB98/BF98,0)</f>
        <v>1.282289591249949</v>
      </c>
    </row>
    <row r="99" spans="1:60" ht="14.5">
      <c r="A99" s="990">
        <f t="shared" si="184"/>
        <v>124</v>
      </c>
      <c r="B99" s="990">
        <v>1</v>
      </c>
      <c r="C99" s="990">
        <f t="shared" si="128"/>
        <v>96</v>
      </c>
      <c r="D99" s="1121" t="s">
        <v>887</v>
      </c>
      <c r="E99" s="1463" t="s">
        <v>1262</v>
      </c>
      <c r="F99" s="1459"/>
      <c r="G99" s="1241"/>
      <c r="H99" s="5"/>
      <c r="I99" s="5"/>
      <c r="J99" s="4"/>
      <c r="K99" s="28"/>
      <c r="L99" s="28"/>
      <c r="M99" s="119" t="s">
        <v>172</v>
      </c>
      <c r="N99" s="2"/>
      <c r="O99" s="2"/>
      <c r="P99" s="2"/>
      <c r="Q99" s="1851" t="str">
        <f>CHOOSE(2, "6722000003018", "PL Operating Profit CAR Allocation Fixed Expenses")</f>
        <v>PL Operating Profit CAR Allocation Fixed Expenses</v>
      </c>
      <c r="R99" s="66">
        <f>R85-R94</f>
        <v>10048.897709231807</v>
      </c>
      <c r="S99" s="66">
        <f t="shared" si="192"/>
        <v>10049.205599755038</v>
      </c>
      <c r="T99" s="66">
        <f t="shared" si="192"/>
        <v>14989.605189120713</v>
      </c>
      <c r="U99" s="66">
        <f t="shared" si="192"/>
        <v>9826.2731063666743</v>
      </c>
      <c r="V99" s="66">
        <f t="shared" si="192"/>
        <v>12599.833529323701</v>
      </c>
      <c r="W99" s="66">
        <f t="shared" si="192"/>
        <v>862.89345101715753</v>
      </c>
      <c r="X99" s="17">
        <f t="shared" si="192"/>
        <v>19396.97841563863</v>
      </c>
      <c r="Y99" s="17">
        <f t="shared" si="192"/>
        <v>12054.094117327342</v>
      </c>
      <c r="Z99" s="17">
        <f t="shared" si="192"/>
        <v>9865.2978396274593</v>
      </c>
      <c r="AA99" s="142">
        <f t="shared" si="192"/>
        <v>16851.491263636603</v>
      </c>
      <c r="AB99" s="142">
        <f t="shared" si="192"/>
        <v>3161.3369861189476</v>
      </c>
      <c r="AC99" s="142">
        <f t="shared" si="192"/>
        <v>29344.077523701366</v>
      </c>
      <c r="AD99" s="141">
        <f>SUM(R99,S99,T99)</f>
        <v>35087.70849810756</v>
      </c>
      <c r="AE99" s="142">
        <f t="shared" si="193"/>
        <v>23289.000086707532</v>
      </c>
      <c r="AF99" s="142">
        <f t="shared" si="194"/>
        <v>41316.370372593432</v>
      </c>
      <c r="AG99" s="142">
        <f t="shared" si="195"/>
        <v>49356.905773456914</v>
      </c>
      <c r="AH99" s="142">
        <f>AD99+AE99</f>
        <v>58376.708584815089</v>
      </c>
      <c r="AI99" s="142">
        <f>AG99+AF99</f>
        <v>90673.276146050339</v>
      </c>
      <c r="AJ99" s="142">
        <f>AH99+AI99</f>
        <v>149049.98473086543</v>
      </c>
      <c r="AL99" s="66">
        <f ca="1">SUM((INDIRECT(AL$2&amp;(ROW())):INDIRECT(AL$3&amp;(ROW()))))</f>
        <v>29344.077523701366</v>
      </c>
      <c r="AM99" s="92">
        <f ca="1">SUM(INDIRECT(AM$1&amp;AM$2&amp;$C99):INDIRECT(AM$1&amp;AM$3&amp;$C99))</f>
        <v>0</v>
      </c>
      <c r="AN99" s="884">
        <f t="shared" ca="1" si="141"/>
        <v>29344.077523701366</v>
      </c>
      <c r="AO99" s="937">
        <f ca="1">IFERROR(AL99/AM99,0)</f>
        <v>0</v>
      </c>
      <c r="AP99" s="285">
        <f ca="1">SUM(INDIRECT(AP$1&amp;AP$2&amp;$A99):INDIRECT(AP$1&amp;AP$3&amp;$A99))+SUM(INDIRECT(AP$1&amp;AP$2&amp;$B99):INDIRECT(AP$1&amp;AP$3&amp;$B99))</f>
        <v>21370</v>
      </c>
      <c r="AQ99" s="889">
        <f ca="1">AL99-AP99</f>
        <v>7974.0775237013659</v>
      </c>
      <c r="AR99" s="944">
        <f ca="1">IFERROR(AL99/AP99,0)</f>
        <v>1.3731435434581827</v>
      </c>
      <c r="AT99" s="66">
        <f ca="1">SUM((INDIRECT(AT$2&amp;(ROW())):INDIRECT(AT$3&amp;(ROW()))))</f>
        <v>49356.905773456914</v>
      </c>
      <c r="AU99" s="92">
        <f ca="1">SUM(INDIRECT(AU$1&amp;AU$2&amp;$C99):INDIRECT(AU$1&amp;AU$3&amp;$C99))</f>
        <v>0</v>
      </c>
      <c r="AV99" s="884">
        <f t="shared" ca="1" si="145"/>
        <v>49356.905773456914</v>
      </c>
      <c r="AW99" s="937">
        <f ca="1">IFERROR(AT99/AU99,0)</f>
        <v>0</v>
      </c>
      <c r="AX99" s="285">
        <f ca="1">SUM(INDIRECT(AX$1&amp;AX$2&amp;$A99):INDIRECT(AX$1&amp;AX$3&amp;$A99))+SUM(INDIRECT(AX$1&amp;AX$2&amp;$B99):INDIRECT(AX$1&amp;AX$3&amp;$B99))</f>
        <v>28417.382933484863</v>
      </c>
      <c r="AY99" s="889">
        <f ca="1">AT99-AX99</f>
        <v>20939.522839972051</v>
      </c>
      <c r="AZ99" s="944">
        <f ca="1">IFERROR(AT99/AX99,0)</f>
        <v>1.7368561309457713</v>
      </c>
      <c r="BA99" s="75"/>
      <c r="BB99" s="2098">
        <f ca="1">SUM((INDIRECT(BB$2&amp;(ROW())):INDIRECT(BB$3&amp;(ROW()))))</f>
        <v>149049.98473086546</v>
      </c>
      <c r="BC99" s="285">
        <f ca="1">SUM(INDIRECT(BC$1&amp;BC$2&amp;$C99):INDIRECT(BC$1&amp;BC$3&amp;$C99))</f>
        <v>0</v>
      </c>
      <c r="BD99" s="889">
        <f t="shared" ca="1" si="149"/>
        <v>149049.98473086546</v>
      </c>
      <c r="BE99" s="944">
        <f ca="1">IFERROR(BB99/BC99,0)</f>
        <v>0</v>
      </c>
      <c r="BF99" s="285">
        <f ca="1">SUM(INDIRECT(BF$1&amp;BF$2&amp;$A99):INDIRECT(BF$1&amp;BF$3&amp;$A99))+SUM(INDIRECT(BF$1&amp;BF$2&amp;$B99):INDIRECT(BF$1&amp;BF$3&amp;$B99))</f>
        <v>134631.38293348486</v>
      </c>
      <c r="BG99" s="889">
        <f ca="1">BB99-BF99</f>
        <v>14418.601797380601</v>
      </c>
      <c r="BH99" s="944">
        <f ca="1">IFERROR(BB99/BF99,0)</f>
        <v>1.1070968854602361</v>
      </c>
    </row>
    <row r="100" spans="1:60" ht="14.5">
      <c r="A100" s="990">
        <v>1</v>
      </c>
      <c r="B100" s="990">
        <v>1</v>
      </c>
      <c r="C100" s="990">
        <f t="shared" si="128"/>
        <v>97</v>
      </c>
      <c r="D100" s="1121" t="s">
        <v>887</v>
      </c>
      <c r="E100" s="1243">
        <v>1</v>
      </c>
      <c r="F100" s="5"/>
      <c r="G100" s="5"/>
      <c r="H100" s="5"/>
      <c r="I100" s="5"/>
      <c r="J100" s="4"/>
      <c r="K100" s="5"/>
      <c r="L100" s="5"/>
      <c r="M100" s="4"/>
      <c r="N100" s="4"/>
      <c r="O100" s="4"/>
      <c r="P100" s="4"/>
      <c r="Q100" s="1839" t="str">
        <f>CHOOSE(2, "6722000003019", "▷ Blank 7")</f>
        <v>▷ Blank 7</v>
      </c>
      <c r="R100" s="2225"/>
      <c r="S100" s="1151"/>
      <c r="T100" s="1151"/>
      <c r="U100" s="1151"/>
      <c r="V100" s="1151"/>
      <c r="W100" s="1151"/>
      <c r="AA100" s="163"/>
      <c r="AB100" s="163"/>
      <c r="AC100" s="163"/>
      <c r="AD100" s="163"/>
      <c r="AE100" s="163"/>
      <c r="AF100" s="163"/>
      <c r="AG100" s="163"/>
      <c r="AH100" s="163"/>
      <c r="AI100" s="163"/>
      <c r="AJ100" s="868"/>
      <c r="AL100" s="163"/>
      <c r="AM100" s="163"/>
      <c r="AN100" s="163"/>
      <c r="AO100" s="163"/>
      <c r="AP100" s="163"/>
      <c r="AQ100" s="163"/>
      <c r="AR100" s="163"/>
      <c r="AT100" s="163"/>
      <c r="AU100" s="163"/>
      <c r="AV100" s="163"/>
      <c r="AW100" s="163"/>
      <c r="AX100" s="163"/>
      <c r="AY100" s="163"/>
      <c r="AZ100" s="163"/>
      <c r="BB100" s="163"/>
      <c r="BC100" s="163"/>
      <c r="BD100" s="163"/>
      <c r="BE100" s="163"/>
      <c r="BF100" s="163"/>
      <c r="BG100" s="163"/>
      <c r="BH100" s="163"/>
    </row>
    <row r="101" spans="1:60" ht="14.5">
      <c r="A101" s="990">
        <v>1</v>
      </c>
      <c r="B101" s="990">
        <v>1</v>
      </c>
      <c r="C101" s="990">
        <f t="shared" si="128"/>
        <v>98</v>
      </c>
      <c r="D101" s="1121" t="s">
        <v>887</v>
      </c>
      <c r="E101" s="1243">
        <v>1</v>
      </c>
      <c r="F101" s="5"/>
      <c r="G101" s="5"/>
      <c r="H101" s="5" t="s">
        <v>1322</v>
      </c>
      <c r="I101" s="5"/>
      <c r="J101" s="4"/>
      <c r="K101" s="5"/>
      <c r="L101" s="5"/>
      <c r="M101" s="4"/>
      <c r="N101" s="4"/>
      <c r="O101" s="4"/>
      <c r="P101" s="4"/>
      <c r="Q101" s="1839" t="str">
        <f>CHOOSE(2, "6722000003020", "PL (1)-1 Office: Excluding ""Office Solution""")</f>
        <v>PL (1)-1 Office: Excluding "Office Solution"</v>
      </c>
      <c r="R101" s="2225"/>
      <c r="S101" s="1151"/>
      <c r="T101" s="1151"/>
      <c r="U101" s="1151"/>
      <c r="V101" s="1151"/>
      <c r="W101" s="1151"/>
      <c r="AA101" s="163"/>
      <c r="AB101" s="163"/>
      <c r="AC101" s="163"/>
      <c r="AD101" s="163"/>
      <c r="AE101" s="163"/>
      <c r="AF101" s="163"/>
      <c r="AG101" s="163"/>
      <c r="AH101" s="163"/>
      <c r="AI101" s="163"/>
      <c r="AJ101" s="868"/>
      <c r="AL101" s="163"/>
      <c r="AM101" s="163"/>
      <c r="AN101" s="163"/>
      <c r="AO101" s="163"/>
      <c r="AP101" s="163"/>
      <c r="AQ101" s="163"/>
      <c r="AR101" s="163"/>
      <c r="AT101" s="163"/>
      <c r="AU101" s="163"/>
      <c r="AV101" s="163"/>
      <c r="AW101" s="163"/>
      <c r="AX101" s="163"/>
      <c r="AY101" s="163"/>
      <c r="AZ101" s="163"/>
      <c r="BB101" s="163"/>
      <c r="BC101" s="163"/>
      <c r="BD101" s="163"/>
      <c r="BE101" s="163"/>
      <c r="BF101" s="163"/>
      <c r="BG101" s="163"/>
      <c r="BH101" s="163"/>
    </row>
    <row r="102" spans="1:60" ht="14.5">
      <c r="A102" s="990">
        <v>76</v>
      </c>
      <c r="B102" s="990">
        <v>1</v>
      </c>
      <c r="C102" s="990">
        <f t="shared" si="128"/>
        <v>99</v>
      </c>
      <c r="D102" s="1121" t="s">
        <v>887</v>
      </c>
      <c r="E102" s="1243"/>
      <c r="F102" s="5"/>
      <c r="G102" s="5"/>
      <c r="H102" s="5"/>
      <c r="I102" s="140" t="s">
        <v>211</v>
      </c>
      <c r="J102" s="139"/>
      <c r="K102" s="138"/>
      <c r="L102" s="138"/>
      <c r="M102" s="138"/>
      <c r="N102" s="138"/>
      <c r="O102" s="605" t="s">
        <v>531</v>
      </c>
      <c r="P102" s="1162"/>
      <c r="Q102" s="1853" t="str">
        <f>CHOOSE(2, "6722000003021", "PL (1)-1 Net Sales")</f>
        <v>PL (1)-1 Net Sales</v>
      </c>
      <c r="R102" s="2062">
        <f t="shared" ref="R102:AC102" si="196">SUM(R103:R105)</f>
        <v>162913</v>
      </c>
      <c r="S102" s="2010">
        <f t="shared" si="196"/>
        <v>182873</v>
      </c>
      <c r="T102" s="2010">
        <f t="shared" si="196"/>
        <v>197175</v>
      </c>
      <c r="U102" s="2010">
        <f t="shared" si="196"/>
        <v>209023</v>
      </c>
      <c r="V102" s="2010">
        <f t="shared" si="196"/>
        <v>260971.35993999999</v>
      </c>
      <c r="W102" s="2010">
        <f t="shared" si="196"/>
        <v>269233</v>
      </c>
      <c r="X102" s="2010">
        <f t="shared" si="196"/>
        <v>232877</v>
      </c>
      <c r="Y102" s="2010">
        <f t="shared" si="196"/>
        <v>251690</v>
      </c>
      <c r="Z102" s="2010">
        <f t="shared" si="196"/>
        <v>327190</v>
      </c>
      <c r="AA102" s="2010">
        <f t="shared" si="196"/>
        <v>240979</v>
      </c>
      <c r="AB102" s="2010">
        <f t="shared" si="196"/>
        <v>261070.37031000003</v>
      </c>
      <c r="AC102" s="2010">
        <f t="shared" si="196"/>
        <v>279063</v>
      </c>
      <c r="AD102" s="1519">
        <f t="shared" ref="AD102:AD109" si="197">SUM(R102,S102,T102)</f>
        <v>542961</v>
      </c>
      <c r="AE102" s="137">
        <f t="shared" ref="AE102" si="198">SUM(U102,V102,W102)</f>
        <v>739227.35993999999</v>
      </c>
      <c r="AF102" s="137">
        <f t="shared" ref="AF102" si="199">SUM(X102,Y102,Z102)</f>
        <v>811757</v>
      </c>
      <c r="AG102" s="137">
        <f t="shared" ref="AG102" si="200">SUM(AA102,AB102,AC102)</f>
        <v>781112.37031000003</v>
      </c>
      <c r="AH102" s="137">
        <f>SUM(AH103:AH105)</f>
        <v>1282188.3599399999</v>
      </c>
      <c r="AI102" s="137">
        <f>SUM(AI103:AI105)</f>
        <v>1592869.3703100001</v>
      </c>
      <c r="AJ102" s="137">
        <f>SUM(AJ103:AJ105)</f>
        <v>2875057.73025</v>
      </c>
      <c r="AL102" s="2062">
        <f ca="1">SUM((INDIRECT(AL$2&amp;(ROW())):INDIRECT(AL$3&amp;(ROW()))))</f>
        <v>279063</v>
      </c>
      <c r="AM102" s="137">
        <f ca="1">SUM(INDIRECT(AM$1&amp;AM$2&amp;$C102):INDIRECT(AM$1&amp;AM$3&amp;$C102))</f>
        <v>0</v>
      </c>
      <c r="AN102" s="2500">
        <f t="shared" ref="AN102:AN140" ca="1" si="201">AL102-AM102</f>
        <v>279063</v>
      </c>
      <c r="AO102" s="1710">
        <f t="shared" ref="AO102:AO123" ca="1" si="202">IFERROR(AL102/AM102,0)</f>
        <v>0</v>
      </c>
      <c r="AP102" s="137">
        <f ca="1">SUM(INDIRECT(AP$1&amp;AP$2&amp;$A102):INDIRECT(AP$1&amp;AP$3&amp;$A102))+SUM(INDIRECT(AP$1&amp;AP$2&amp;$B102):INDIRECT(AP$1&amp;AP$3&amp;$B102))</f>
        <v>241345</v>
      </c>
      <c r="AQ102" s="2500">
        <f t="shared" ref="AQ102:AQ140" ca="1" si="203">AL102-AP102</f>
        <v>37718</v>
      </c>
      <c r="AR102" s="1710">
        <f t="shared" ref="AR102:AR123" ca="1" si="204">IFERROR(AL102/AP102,0)</f>
        <v>1.1562825001553791</v>
      </c>
      <c r="AT102" s="2062">
        <f ca="1">SUM((INDIRECT(AT$2&amp;(ROW())):INDIRECT(AT$3&amp;(ROW()))))</f>
        <v>781112.37031000003</v>
      </c>
      <c r="AU102" s="137">
        <f ca="1">SUM(INDIRECT(AU$1&amp;AU$2&amp;$C102):INDIRECT(AU$1&amp;AU$3&amp;$C102))</f>
        <v>0</v>
      </c>
      <c r="AV102" s="2500">
        <f t="shared" ref="AV102:AV140" ca="1" si="205">AT102-AU102</f>
        <v>781112.37031000003</v>
      </c>
      <c r="AW102" s="1710">
        <f t="shared" ref="AW102:AW123" ca="1" si="206">IFERROR(AT102/AU102,0)</f>
        <v>0</v>
      </c>
      <c r="AX102" s="137">
        <f ca="1">SUM(INDIRECT(AX$1&amp;AX$2&amp;$A102):INDIRECT(AX$1&amp;AX$3&amp;$A102))+SUM(INDIRECT(AX$1&amp;AX$2&amp;$B102):INDIRECT(AX$1&amp;AX$3&amp;$B102))</f>
        <v>580237</v>
      </c>
      <c r="AY102" s="2500">
        <f t="shared" ref="AY102:AY140" ca="1" si="207">AT102-AX102</f>
        <v>200875.37031000003</v>
      </c>
      <c r="AZ102" s="1710">
        <f t="shared" ref="AZ102:AZ123" ca="1" si="208">IFERROR(AT102/AX102,0)</f>
        <v>1.3461953827660078</v>
      </c>
      <c r="BB102" s="2062">
        <f ca="1">SUM((INDIRECT(BB$2&amp;(ROW())):INDIRECT(BB$3&amp;(ROW()))))</f>
        <v>2875057.73025</v>
      </c>
      <c r="BC102" s="137">
        <f ca="1">SUM(INDIRECT(BC$1&amp;BC$2&amp;$C102):INDIRECT(BC$1&amp;BC$3&amp;$C102))</f>
        <v>0</v>
      </c>
      <c r="BD102" s="2500">
        <f t="shared" ref="BD102:BD140" ca="1" si="209">BB102-BC102</f>
        <v>2875057.73025</v>
      </c>
      <c r="BE102" s="1710">
        <f t="shared" ref="BE102:BE123" ca="1" si="210">IFERROR(BB102/BC102,0)</f>
        <v>0</v>
      </c>
      <c r="BF102" s="137">
        <f ca="1">SUM(INDIRECT(BF$1&amp;BF$2&amp;$A102):INDIRECT(BF$1&amp;BF$3&amp;$A102))+SUM(INDIRECT(BF$1&amp;BF$2&amp;$B102):INDIRECT(BF$1&amp;BF$3&amp;$B102))</f>
        <v>2152431</v>
      </c>
      <c r="BG102" s="2500">
        <f t="shared" ref="BG102:BG140" ca="1" si="211">BB102-BF102</f>
        <v>722626.73025000002</v>
      </c>
      <c r="BH102" s="1710">
        <f t="shared" ref="BH102:BH123" ca="1" si="212">IFERROR(BB102/BF102,0)</f>
        <v>1.3357258514907098</v>
      </c>
    </row>
    <row r="103" spans="1:60" ht="14.5">
      <c r="A103" s="990">
        <f t="shared" ref="A103:A140" si="213">A102+1</f>
        <v>77</v>
      </c>
      <c r="B103" s="990">
        <v>1</v>
      </c>
      <c r="C103" s="990">
        <f t="shared" si="128"/>
        <v>100</v>
      </c>
      <c r="D103" s="1121" t="s">
        <v>887</v>
      </c>
      <c r="E103" s="1243">
        <v>1</v>
      </c>
      <c r="F103" s="5"/>
      <c r="G103" s="5"/>
      <c r="H103" s="5"/>
      <c r="I103" s="30"/>
      <c r="J103" s="4"/>
      <c r="K103" s="5"/>
      <c r="L103" s="5"/>
      <c r="M103" s="4" t="s">
        <v>137</v>
      </c>
      <c r="N103" s="4"/>
      <c r="O103" s="4"/>
      <c r="P103" s="4"/>
      <c r="Q103" s="1854" t="str">
        <f>CHOOSE(2, "6722000003022", "PL (1)-1 Net Sales HW")</f>
        <v>PL (1)-1 Net Sales HW</v>
      </c>
      <c r="R103" s="13">
        <f>R454+R470</f>
        <v>74186</v>
      </c>
      <c r="S103" s="89">
        <f t="shared" ref="S103:AC103" si="214">S454+S470</f>
        <v>121660</v>
      </c>
      <c r="T103" s="89">
        <f t="shared" si="214"/>
        <v>104326</v>
      </c>
      <c r="U103" s="89">
        <f t="shared" si="214"/>
        <v>128638</v>
      </c>
      <c r="V103" s="89">
        <f t="shared" si="214"/>
        <v>166445.136</v>
      </c>
      <c r="W103" s="89">
        <f t="shared" si="214"/>
        <v>191924</v>
      </c>
      <c r="X103" s="89">
        <f t="shared" si="214"/>
        <v>147071</v>
      </c>
      <c r="Y103" s="89">
        <f t="shared" si="214"/>
        <v>149635</v>
      </c>
      <c r="Z103" s="89">
        <f t="shared" si="214"/>
        <v>242547</v>
      </c>
      <c r="AA103" s="89">
        <f t="shared" si="214"/>
        <v>156409</v>
      </c>
      <c r="AB103" s="89">
        <f t="shared" si="214"/>
        <v>179970.37031000003</v>
      </c>
      <c r="AC103" s="89">
        <f t="shared" si="214"/>
        <v>199726</v>
      </c>
      <c r="AD103" s="89">
        <f t="shared" si="197"/>
        <v>300172</v>
      </c>
      <c r="AE103" s="89">
        <f t="shared" ref="AE103:AE106" si="215">SUM(U103,V103,W103)</f>
        <v>487007.136</v>
      </c>
      <c r="AF103" s="89">
        <f t="shared" ref="AF103:AF106" si="216">SUM(X103,Y103,Z103)</f>
        <v>539253</v>
      </c>
      <c r="AG103" s="89">
        <f t="shared" ref="AG103:AG106" si="217">SUM(AA103,AB103,AC103)</f>
        <v>536105.37031000003</v>
      </c>
      <c r="AH103" s="89">
        <f>AD103+AE103</f>
        <v>787179.13599999994</v>
      </c>
      <c r="AI103" s="89">
        <f>AG103+AF103</f>
        <v>1075358.3703100001</v>
      </c>
      <c r="AJ103" s="89">
        <f>AH103+AI103</f>
        <v>1862537.5063100001</v>
      </c>
      <c r="AL103" s="13">
        <f ca="1">SUM((INDIRECT(AL$2&amp;(ROW())):INDIRECT(AL$3&amp;(ROW()))))</f>
        <v>199726</v>
      </c>
      <c r="AM103" s="89">
        <f ca="1">SUM(INDIRECT(AM$1&amp;AM$2&amp;$C103):INDIRECT(AM$1&amp;AM$3&amp;$C103))</f>
        <v>0</v>
      </c>
      <c r="AN103" s="880">
        <f t="shared" ca="1" si="201"/>
        <v>199726</v>
      </c>
      <c r="AO103" s="931">
        <f t="shared" ca="1" si="202"/>
        <v>0</v>
      </c>
      <c r="AP103" s="89">
        <f ca="1">SUM(INDIRECT(AP$1&amp;AP$2&amp;$A103):INDIRECT(AP$1&amp;AP$3&amp;$A103))+SUM(INDIRECT(AP$1&amp;AP$2&amp;$B103):INDIRECT(AP$1&amp;AP$3&amp;$B103))</f>
        <v>183181</v>
      </c>
      <c r="AQ103" s="880">
        <f t="shared" ca="1" si="203"/>
        <v>16545</v>
      </c>
      <c r="AR103" s="931">
        <f t="shared" ca="1" si="204"/>
        <v>1.0903205026722205</v>
      </c>
      <c r="AT103" s="13">
        <f ca="1">SUM((INDIRECT(AT$2&amp;(ROW())):INDIRECT(AT$3&amp;(ROW()))))</f>
        <v>536105.37031000003</v>
      </c>
      <c r="AU103" s="89">
        <f ca="1">SUM(INDIRECT(AU$1&amp;AU$2&amp;$C103):INDIRECT(AU$1&amp;AU$3&amp;$C103))</f>
        <v>0</v>
      </c>
      <c r="AV103" s="880">
        <f t="shared" ca="1" si="205"/>
        <v>536105.37031000003</v>
      </c>
      <c r="AW103" s="931">
        <f t="shared" ca="1" si="206"/>
        <v>0</v>
      </c>
      <c r="AX103" s="89">
        <f ca="1">SUM(INDIRECT(AX$1&amp;AX$2&amp;$A103):INDIRECT(AX$1&amp;AX$3&amp;$A103))+SUM(INDIRECT(AX$1&amp;AX$2&amp;$B103):INDIRECT(AX$1&amp;AX$3&amp;$B103))</f>
        <v>395294</v>
      </c>
      <c r="AY103" s="880">
        <f t="shared" ca="1" si="207"/>
        <v>140811.37031000003</v>
      </c>
      <c r="AZ103" s="931">
        <f t="shared" ca="1" si="208"/>
        <v>1.3562193463852221</v>
      </c>
      <c r="BB103" s="13">
        <f ca="1">SUM((INDIRECT(BB$2&amp;(ROW())):INDIRECT(BB$3&amp;(ROW()))))</f>
        <v>1862537.5063100001</v>
      </c>
      <c r="BC103" s="89">
        <f ca="1">SUM(INDIRECT(BC$1&amp;BC$2&amp;$C103):INDIRECT(BC$1&amp;BC$3&amp;$C103))</f>
        <v>0</v>
      </c>
      <c r="BD103" s="880">
        <f t="shared" ca="1" si="209"/>
        <v>1862537.5063100001</v>
      </c>
      <c r="BE103" s="931">
        <f t="shared" ca="1" si="210"/>
        <v>0</v>
      </c>
      <c r="BF103" s="89">
        <f ca="1">SUM(INDIRECT(BF$1&amp;BF$2&amp;$A103):INDIRECT(BF$1&amp;BF$3&amp;$A103))+SUM(INDIRECT(BF$1&amp;BF$2&amp;$B103):INDIRECT(BF$1&amp;BF$3&amp;$B103))</f>
        <v>1422906</v>
      </c>
      <c r="BG103" s="880">
        <f t="shared" ca="1" si="211"/>
        <v>439631.50631000008</v>
      </c>
      <c r="BH103" s="931">
        <f t="shared" ca="1" si="212"/>
        <v>1.3089673571620333</v>
      </c>
    </row>
    <row r="104" spans="1:60" ht="14.5">
      <c r="A104" s="990">
        <f t="shared" si="213"/>
        <v>78</v>
      </c>
      <c r="B104" s="990">
        <v>1</v>
      </c>
      <c r="C104" s="990">
        <f t="shared" si="128"/>
        <v>101</v>
      </c>
      <c r="D104" s="1121" t="s">
        <v>887</v>
      </c>
      <c r="E104" s="1243">
        <v>1</v>
      </c>
      <c r="F104" s="5"/>
      <c r="G104" s="5"/>
      <c r="H104" s="5"/>
      <c r="I104" s="30"/>
      <c r="J104" s="4"/>
      <c r="K104" s="5"/>
      <c r="L104" s="5"/>
      <c r="M104" s="4" t="s">
        <v>95</v>
      </c>
      <c r="N104" s="4"/>
      <c r="O104" s="4"/>
      <c r="P104" s="4"/>
      <c r="Q104" s="1854" t="str">
        <f>CHOOSE(2, "6722000003023", "PL (1)-1 Net Sales NH")</f>
        <v>PL (1)-1 Net Sales NH</v>
      </c>
      <c r="R104" s="13">
        <f>R459+R475</f>
        <v>88727</v>
      </c>
      <c r="S104" s="89">
        <f t="shared" ref="S104:AC104" si="218">S459+S475</f>
        <v>61213</v>
      </c>
      <c r="T104" s="89">
        <f t="shared" si="218"/>
        <v>92849</v>
      </c>
      <c r="U104" s="89">
        <f t="shared" si="218"/>
        <v>80385</v>
      </c>
      <c r="V104" s="89">
        <f t="shared" si="218"/>
        <v>94526.223939999996</v>
      </c>
      <c r="W104" s="89">
        <f t="shared" si="218"/>
        <v>77309</v>
      </c>
      <c r="X104" s="89">
        <f t="shared" si="218"/>
        <v>85806</v>
      </c>
      <c r="Y104" s="89">
        <f t="shared" si="218"/>
        <v>102055</v>
      </c>
      <c r="Z104" s="89">
        <f t="shared" si="218"/>
        <v>84643</v>
      </c>
      <c r="AA104" s="89">
        <f t="shared" si="218"/>
        <v>84570</v>
      </c>
      <c r="AB104" s="89">
        <f t="shared" si="218"/>
        <v>81100</v>
      </c>
      <c r="AC104" s="89">
        <f t="shared" si="218"/>
        <v>79337</v>
      </c>
      <c r="AD104" s="89">
        <f t="shared" si="197"/>
        <v>242789</v>
      </c>
      <c r="AE104" s="89">
        <f t="shared" si="215"/>
        <v>252220.22394</v>
      </c>
      <c r="AF104" s="89">
        <f t="shared" si="216"/>
        <v>272504</v>
      </c>
      <c r="AG104" s="89">
        <f t="shared" si="217"/>
        <v>245007</v>
      </c>
      <c r="AH104" s="89">
        <f>AD104+AE104</f>
        <v>495009.22394</v>
      </c>
      <c r="AI104" s="89">
        <f>AG104+AF104</f>
        <v>517511</v>
      </c>
      <c r="AJ104" s="89">
        <f>AH104+AI104</f>
        <v>1012520.2239399999</v>
      </c>
      <c r="AL104" s="13">
        <f ca="1">SUM((INDIRECT(AL$2&amp;(ROW())):INDIRECT(AL$3&amp;(ROW()))))</f>
        <v>79337</v>
      </c>
      <c r="AM104" s="89">
        <f ca="1">SUM(INDIRECT(AM$1&amp;AM$2&amp;$C104):INDIRECT(AM$1&amp;AM$3&amp;$C104))</f>
        <v>0</v>
      </c>
      <c r="AN104" s="880">
        <f t="shared" ca="1" si="201"/>
        <v>79337</v>
      </c>
      <c r="AO104" s="931">
        <f t="shared" ca="1" si="202"/>
        <v>0</v>
      </c>
      <c r="AP104" s="89">
        <f ca="1">SUM(INDIRECT(AP$1&amp;AP$2&amp;$A104):INDIRECT(AP$1&amp;AP$3&amp;$A104))+SUM(INDIRECT(AP$1&amp;AP$2&amp;$B104):INDIRECT(AP$1&amp;AP$3&amp;$B104))</f>
        <v>58164</v>
      </c>
      <c r="AQ104" s="880">
        <f t="shared" ca="1" si="203"/>
        <v>21173</v>
      </c>
      <c r="AR104" s="931">
        <f t="shared" ca="1" si="204"/>
        <v>1.3640224193659307</v>
      </c>
      <c r="AT104" s="13">
        <f ca="1">SUM((INDIRECT(AT$2&amp;(ROW())):INDIRECT(AT$3&amp;(ROW()))))</f>
        <v>245007</v>
      </c>
      <c r="AU104" s="89">
        <f ca="1">SUM(INDIRECT(AU$1&amp;AU$2&amp;$C104):INDIRECT(AU$1&amp;AU$3&amp;$C104))</f>
        <v>0</v>
      </c>
      <c r="AV104" s="880">
        <f t="shared" ca="1" si="205"/>
        <v>245007</v>
      </c>
      <c r="AW104" s="931">
        <f t="shared" ca="1" si="206"/>
        <v>0</v>
      </c>
      <c r="AX104" s="89">
        <f ca="1">SUM(INDIRECT(AX$1&amp;AX$2&amp;$A104):INDIRECT(AX$1&amp;AX$3&amp;$A104))+SUM(INDIRECT(AX$1&amp;AX$2&amp;$B104):INDIRECT(AX$1&amp;AX$3&amp;$B104))</f>
        <v>184943</v>
      </c>
      <c r="AY104" s="880">
        <f t="shared" ca="1" si="207"/>
        <v>60064</v>
      </c>
      <c r="AZ104" s="931">
        <f t="shared" ca="1" si="208"/>
        <v>1.324770334643647</v>
      </c>
      <c r="BB104" s="13">
        <f ca="1">SUM((INDIRECT(BB$2&amp;(ROW())):INDIRECT(BB$3&amp;(ROW()))))</f>
        <v>1012520.2239399999</v>
      </c>
      <c r="BC104" s="89">
        <f ca="1">SUM(INDIRECT(BC$1&amp;BC$2&amp;$C104):INDIRECT(BC$1&amp;BC$3&amp;$C104))</f>
        <v>0</v>
      </c>
      <c r="BD104" s="880">
        <f t="shared" ca="1" si="209"/>
        <v>1012520.2239399999</v>
      </c>
      <c r="BE104" s="931">
        <f t="shared" ca="1" si="210"/>
        <v>0</v>
      </c>
      <c r="BF104" s="89">
        <f ca="1">SUM(INDIRECT(BF$1&amp;BF$2&amp;$A104):INDIRECT(BF$1&amp;BF$3&amp;$A104))+SUM(INDIRECT(BF$1&amp;BF$2&amp;$B104):INDIRECT(BF$1&amp;BF$3&amp;$B104))</f>
        <v>729525</v>
      </c>
      <c r="BG104" s="880">
        <f t="shared" ca="1" si="211"/>
        <v>282995.22393999994</v>
      </c>
      <c r="BH104" s="931">
        <f t="shared" ca="1" si="212"/>
        <v>1.3879171021418044</v>
      </c>
    </row>
    <row r="105" spans="1:60" ht="14.5">
      <c r="A105" s="990">
        <f t="shared" si="213"/>
        <v>79</v>
      </c>
      <c r="B105" s="990">
        <v>1</v>
      </c>
      <c r="C105" s="990">
        <f t="shared" si="128"/>
        <v>102</v>
      </c>
      <c r="D105" s="1121" t="s">
        <v>887</v>
      </c>
      <c r="E105" s="1243">
        <v>1</v>
      </c>
      <c r="F105" s="5"/>
      <c r="G105" s="5"/>
      <c r="H105" s="5"/>
      <c r="I105" s="30"/>
      <c r="J105" s="4"/>
      <c r="K105" s="5"/>
      <c r="L105" s="5"/>
      <c r="M105" s="4" t="s">
        <v>11</v>
      </c>
      <c r="N105" s="4"/>
      <c r="O105" s="4"/>
      <c r="P105" s="4"/>
      <c r="Q105" s="1854" t="str">
        <f>CHOOSE(2, "6722000003024", "PL (1)-1 Net Sales Others")</f>
        <v>PL (1)-1 Net Sales Others</v>
      </c>
      <c r="R105" s="13">
        <f t="shared" ref="R105:AC105" si="219">R468+R484</f>
        <v>0</v>
      </c>
      <c r="S105" s="89">
        <f t="shared" si="219"/>
        <v>0</v>
      </c>
      <c r="T105" s="89">
        <f t="shared" si="219"/>
        <v>0</v>
      </c>
      <c r="U105" s="89">
        <f t="shared" si="219"/>
        <v>0</v>
      </c>
      <c r="V105" s="89">
        <f t="shared" si="219"/>
        <v>0</v>
      </c>
      <c r="W105" s="89">
        <f t="shared" si="219"/>
        <v>0</v>
      </c>
      <c r="X105" s="89">
        <f t="shared" si="219"/>
        <v>0</v>
      </c>
      <c r="Y105" s="89">
        <f t="shared" si="219"/>
        <v>0</v>
      </c>
      <c r="Z105" s="89">
        <f t="shared" si="219"/>
        <v>0</v>
      </c>
      <c r="AA105" s="89">
        <f t="shared" si="219"/>
        <v>0</v>
      </c>
      <c r="AB105" s="89">
        <f t="shared" si="219"/>
        <v>0</v>
      </c>
      <c r="AC105" s="89">
        <f t="shared" si="219"/>
        <v>0</v>
      </c>
      <c r="AD105" s="89">
        <f t="shared" si="197"/>
        <v>0</v>
      </c>
      <c r="AE105" s="89">
        <f t="shared" si="215"/>
        <v>0</v>
      </c>
      <c r="AF105" s="89">
        <f t="shared" si="216"/>
        <v>0</v>
      </c>
      <c r="AG105" s="89">
        <f t="shared" si="217"/>
        <v>0</v>
      </c>
      <c r="AH105" s="89">
        <f>AD105+AE105</f>
        <v>0</v>
      </c>
      <c r="AI105" s="89">
        <f>AG105+AF105</f>
        <v>0</v>
      </c>
      <c r="AJ105" s="89">
        <f>AH105+AI105</f>
        <v>0</v>
      </c>
      <c r="AL105" s="13">
        <f ca="1">SUM((INDIRECT(AL$2&amp;(ROW())):INDIRECT(AL$3&amp;(ROW()))))</f>
        <v>0</v>
      </c>
      <c r="AM105" s="89">
        <f ca="1">SUM(INDIRECT(AM$1&amp;AM$2&amp;$C105):INDIRECT(AM$1&amp;AM$3&amp;$C105))</f>
        <v>0</v>
      </c>
      <c r="AN105" s="880">
        <f t="shared" ca="1" si="201"/>
        <v>0</v>
      </c>
      <c r="AO105" s="931">
        <f t="shared" ca="1" si="202"/>
        <v>0</v>
      </c>
      <c r="AP105" s="89">
        <f ca="1">SUM(INDIRECT(AP$1&amp;AP$2&amp;$A105):INDIRECT(AP$1&amp;AP$3&amp;$A105))+SUM(INDIRECT(AP$1&amp;AP$2&amp;$B105):INDIRECT(AP$1&amp;AP$3&amp;$B105))</f>
        <v>0</v>
      </c>
      <c r="AQ105" s="880">
        <f t="shared" ca="1" si="203"/>
        <v>0</v>
      </c>
      <c r="AR105" s="931">
        <f t="shared" ca="1" si="204"/>
        <v>0</v>
      </c>
      <c r="AT105" s="13">
        <f ca="1">SUM((INDIRECT(AT$2&amp;(ROW())):INDIRECT(AT$3&amp;(ROW()))))</f>
        <v>0</v>
      </c>
      <c r="AU105" s="89">
        <f ca="1">SUM(INDIRECT(AU$1&amp;AU$2&amp;$C105):INDIRECT(AU$1&amp;AU$3&amp;$C105))</f>
        <v>0</v>
      </c>
      <c r="AV105" s="880">
        <f t="shared" ca="1" si="205"/>
        <v>0</v>
      </c>
      <c r="AW105" s="931">
        <f t="shared" ca="1" si="206"/>
        <v>0</v>
      </c>
      <c r="AX105" s="89">
        <f ca="1">SUM(INDIRECT(AX$1&amp;AX$2&amp;$A105):INDIRECT(AX$1&amp;AX$3&amp;$A105))+SUM(INDIRECT(AX$1&amp;AX$2&amp;$B105):INDIRECT(AX$1&amp;AX$3&amp;$B105))</f>
        <v>0</v>
      </c>
      <c r="AY105" s="880">
        <f t="shared" ca="1" si="207"/>
        <v>0</v>
      </c>
      <c r="AZ105" s="931">
        <f t="shared" ca="1" si="208"/>
        <v>0</v>
      </c>
      <c r="BB105" s="13">
        <f ca="1">SUM((INDIRECT(BB$2&amp;(ROW())):INDIRECT(BB$3&amp;(ROW()))))</f>
        <v>0</v>
      </c>
      <c r="BC105" s="89">
        <f ca="1">SUM(INDIRECT(BC$1&amp;BC$2&amp;$C105):INDIRECT(BC$1&amp;BC$3&amp;$C105))</f>
        <v>0</v>
      </c>
      <c r="BD105" s="880">
        <f t="shared" ca="1" si="209"/>
        <v>0</v>
      </c>
      <c r="BE105" s="931">
        <f t="shared" ca="1" si="210"/>
        <v>0</v>
      </c>
      <c r="BF105" s="89">
        <f ca="1">SUM(INDIRECT(BF$1&amp;BF$2&amp;$A105):INDIRECT(BF$1&amp;BF$3&amp;$A105))+SUM(INDIRECT(BF$1&amp;BF$2&amp;$B105):INDIRECT(BF$1&amp;BF$3&amp;$B105))</f>
        <v>0</v>
      </c>
      <c r="BG105" s="880">
        <f t="shared" ca="1" si="211"/>
        <v>0</v>
      </c>
      <c r="BH105" s="931">
        <f t="shared" ca="1" si="212"/>
        <v>0</v>
      </c>
    </row>
    <row r="106" spans="1:60" ht="14.5">
      <c r="A106" s="990">
        <f t="shared" si="213"/>
        <v>80</v>
      </c>
      <c r="B106" s="990">
        <v>1</v>
      </c>
      <c r="C106" s="990">
        <f t="shared" si="128"/>
        <v>103</v>
      </c>
      <c r="D106" s="1121" t="s">
        <v>887</v>
      </c>
      <c r="E106" s="1243">
        <v>1</v>
      </c>
      <c r="F106" s="5"/>
      <c r="G106" s="5"/>
      <c r="H106" s="5"/>
      <c r="I106" s="140" t="s">
        <v>129</v>
      </c>
      <c r="J106" s="139"/>
      <c r="K106" s="138"/>
      <c r="L106" s="138"/>
      <c r="M106" s="138"/>
      <c r="N106" s="138"/>
      <c r="O106" s="605" t="s">
        <v>533</v>
      </c>
      <c r="P106" s="1162"/>
      <c r="Q106" s="1853" t="str">
        <f>CHOOSE(2, "6722000003025", "PL (1)-1 BT Cons. Sales")</f>
        <v>PL (1)-1 BT Cons. Sales</v>
      </c>
      <c r="R106" s="2062">
        <f t="shared" ref="R106:AC106" si="220">SUM(R107:R109)</f>
        <v>162913</v>
      </c>
      <c r="S106" s="2010">
        <f t="shared" si="220"/>
        <v>182873</v>
      </c>
      <c r="T106" s="2010">
        <f t="shared" si="220"/>
        <v>197175</v>
      </c>
      <c r="U106" s="2010">
        <f t="shared" si="220"/>
        <v>209023</v>
      </c>
      <c r="V106" s="2010">
        <f t="shared" si="220"/>
        <v>260971.35993999999</v>
      </c>
      <c r="W106" s="2010">
        <f t="shared" si="220"/>
        <v>269233</v>
      </c>
      <c r="X106" s="2010">
        <f t="shared" si="220"/>
        <v>232877</v>
      </c>
      <c r="Y106" s="2010">
        <f t="shared" si="220"/>
        <v>251690</v>
      </c>
      <c r="Z106" s="2010">
        <f t="shared" si="220"/>
        <v>327190</v>
      </c>
      <c r="AA106" s="2010">
        <f t="shared" si="220"/>
        <v>240979</v>
      </c>
      <c r="AB106" s="2010">
        <f t="shared" si="220"/>
        <v>261070.37031000003</v>
      </c>
      <c r="AC106" s="2010">
        <f t="shared" si="220"/>
        <v>279063</v>
      </c>
      <c r="AD106" s="1519">
        <f t="shared" si="197"/>
        <v>542961</v>
      </c>
      <c r="AE106" s="137">
        <f t="shared" si="215"/>
        <v>739227.35993999999</v>
      </c>
      <c r="AF106" s="137">
        <f t="shared" si="216"/>
        <v>811757</v>
      </c>
      <c r="AG106" s="137">
        <f t="shared" si="217"/>
        <v>781112.37031000003</v>
      </c>
      <c r="AH106" s="137">
        <f>SUM(AH107:AH109)</f>
        <v>1282188.3599399999</v>
      </c>
      <c r="AI106" s="137">
        <f>SUM(AI107:AI109)</f>
        <v>1592869.3703100001</v>
      </c>
      <c r="AJ106" s="137">
        <f>SUM(AJ107:AJ109)</f>
        <v>2875057.73025</v>
      </c>
      <c r="AL106" s="2062">
        <f ca="1">SUM((INDIRECT(AL$2&amp;(ROW())):INDIRECT(AL$3&amp;(ROW()))))</f>
        <v>279063</v>
      </c>
      <c r="AM106" s="137">
        <f ca="1">SUM(INDIRECT(AM$1&amp;AM$2&amp;$C106):INDIRECT(AM$1&amp;AM$3&amp;$C106))</f>
        <v>0</v>
      </c>
      <c r="AN106" s="2500">
        <f t="shared" ca="1" si="201"/>
        <v>279063</v>
      </c>
      <c r="AO106" s="1710">
        <f t="shared" ca="1" si="202"/>
        <v>0</v>
      </c>
      <c r="AP106" s="137">
        <f ca="1">SUM(INDIRECT(AP$1&amp;AP$2&amp;$A106):INDIRECT(AP$1&amp;AP$3&amp;$A106))+SUM(INDIRECT(AP$1&amp;AP$2&amp;$B106):INDIRECT(AP$1&amp;AP$3&amp;$B106))</f>
        <v>241345</v>
      </c>
      <c r="AQ106" s="2500">
        <f t="shared" ca="1" si="203"/>
        <v>37718</v>
      </c>
      <c r="AR106" s="1710">
        <f t="shared" ca="1" si="204"/>
        <v>1.1562825001553791</v>
      </c>
      <c r="AT106" s="2062">
        <f ca="1">SUM((INDIRECT(AT$2&amp;(ROW())):INDIRECT(AT$3&amp;(ROW()))))</f>
        <v>781112.37031000003</v>
      </c>
      <c r="AU106" s="137">
        <f ca="1">SUM(INDIRECT(AU$1&amp;AU$2&amp;$C106):INDIRECT(AU$1&amp;AU$3&amp;$C106))</f>
        <v>0</v>
      </c>
      <c r="AV106" s="2500">
        <f t="shared" ca="1" si="205"/>
        <v>781112.37031000003</v>
      </c>
      <c r="AW106" s="1710">
        <f t="shared" ca="1" si="206"/>
        <v>0</v>
      </c>
      <c r="AX106" s="137">
        <f ca="1">SUM(INDIRECT(AX$1&amp;AX$2&amp;$A106):INDIRECT(AX$1&amp;AX$3&amp;$A106))+SUM(INDIRECT(AX$1&amp;AX$2&amp;$B106):INDIRECT(AX$1&amp;AX$3&amp;$B106))</f>
        <v>580237</v>
      </c>
      <c r="AY106" s="2500">
        <f t="shared" ca="1" si="207"/>
        <v>200875.37031000003</v>
      </c>
      <c r="AZ106" s="1710">
        <f t="shared" ca="1" si="208"/>
        <v>1.3461953827660078</v>
      </c>
      <c r="BB106" s="2062">
        <f ca="1">SUM((INDIRECT(BB$2&amp;(ROW())):INDIRECT(BB$3&amp;(ROW()))))</f>
        <v>2875057.73025</v>
      </c>
      <c r="BC106" s="137">
        <f ca="1">SUM(INDIRECT(BC$1&amp;BC$2&amp;$C106):INDIRECT(BC$1&amp;BC$3&amp;$C106))</f>
        <v>0</v>
      </c>
      <c r="BD106" s="2500">
        <f t="shared" ca="1" si="209"/>
        <v>2875057.73025</v>
      </c>
      <c r="BE106" s="1710">
        <f t="shared" ca="1" si="210"/>
        <v>0</v>
      </c>
      <c r="BF106" s="137">
        <f ca="1">SUM(INDIRECT(BF$1&amp;BF$2&amp;$A106):INDIRECT(BF$1&amp;BF$3&amp;$A106))+SUM(INDIRECT(BF$1&amp;BF$2&amp;$B106):INDIRECT(BF$1&amp;BF$3&amp;$B106))</f>
        <v>2152431</v>
      </c>
      <c r="BG106" s="2500">
        <f t="shared" ca="1" si="211"/>
        <v>722626.73025000002</v>
      </c>
      <c r="BH106" s="1710">
        <f t="shared" ca="1" si="212"/>
        <v>1.3357258514907098</v>
      </c>
    </row>
    <row r="107" spans="1:60" ht="14.5">
      <c r="A107" s="990">
        <f t="shared" si="213"/>
        <v>81</v>
      </c>
      <c r="B107" s="990">
        <v>1</v>
      </c>
      <c r="C107" s="990">
        <f t="shared" si="128"/>
        <v>104</v>
      </c>
      <c r="D107" s="1121" t="s">
        <v>887</v>
      </c>
      <c r="E107" s="1243">
        <v>1</v>
      </c>
      <c r="F107" s="5"/>
      <c r="G107" s="5"/>
      <c r="H107" s="5"/>
      <c r="I107" s="30"/>
      <c r="J107" s="4"/>
      <c r="K107" s="5"/>
      <c r="L107" s="5"/>
      <c r="M107" s="4" t="s">
        <v>137</v>
      </c>
      <c r="N107" s="4"/>
      <c r="O107" s="4"/>
      <c r="P107" s="4"/>
      <c r="Q107" s="1855" t="str">
        <f>CHOOSE(2, "6722000003026", "PL (1)-1 BT Cons. Sales HW")</f>
        <v>PL (1)-1 BT Cons. Sales HW</v>
      </c>
      <c r="R107" s="2032">
        <v>74186</v>
      </c>
      <c r="S107" s="2039">
        <v>121660</v>
      </c>
      <c r="T107" s="2039">
        <v>104326</v>
      </c>
      <c r="U107" s="2039">
        <v>128638</v>
      </c>
      <c r="V107" s="2039">
        <v>166445.136</v>
      </c>
      <c r="W107" s="2039">
        <v>191924</v>
      </c>
      <c r="X107" s="2039">
        <v>147071</v>
      </c>
      <c r="Y107" s="2039">
        <v>149635</v>
      </c>
      <c r="Z107" s="2039">
        <v>242547</v>
      </c>
      <c r="AA107" s="2039">
        <v>156409</v>
      </c>
      <c r="AB107" s="2039">
        <v>179970.37031000003</v>
      </c>
      <c r="AC107" s="2039">
        <v>199726</v>
      </c>
      <c r="AD107" s="89">
        <f t="shared" si="197"/>
        <v>300172</v>
      </c>
      <c r="AE107" s="89">
        <f t="shared" ref="AE107:AE109" si="221">SUM(U107,V107,W107)</f>
        <v>487007.136</v>
      </c>
      <c r="AF107" s="89">
        <f t="shared" ref="AF107:AF109" si="222">SUM(X107,Y107,Z107)</f>
        <v>539253</v>
      </c>
      <c r="AG107" s="89">
        <f t="shared" ref="AG107:AG109" si="223">SUM(AA107,AB107,AC107)</f>
        <v>536105.37031000003</v>
      </c>
      <c r="AH107" s="89">
        <f>AD107+AE107</f>
        <v>787179.13599999994</v>
      </c>
      <c r="AI107" s="89">
        <f>AG107+AF107</f>
        <v>1075358.3703100001</v>
      </c>
      <c r="AJ107" s="89">
        <f>AH107+AI107</f>
        <v>1862537.5063100001</v>
      </c>
      <c r="AL107" s="13">
        <f ca="1">SUM((INDIRECT(AL$2&amp;(ROW())):INDIRECT(AL$3&amp;(ROW()))))</f>
        <v>199726</v>
      </c>
      <c r="AM107" s="89">
        <f ca="1">SUM(INDIRECT(AM$1&amp;AM$2&amp;$C107):INDIRECT(AM$1&amp;AM$3&amp;$C107))</f>
        <v>0</v>
      </c>
      <c r="AN107" s="880">
        <f t="shared" ca="1" si="201"/>
        <v>199726</v>
      </c>
      <c r="AO107" s="931">
        <f t="shared" ca="1" si="202"/>
        <v>0</v>
      </c>
      <c r="AP107" s="89">
        <f ca="1">SUM(INDIRECT(AP$1&amp;AP$2&amp;$A107):INDIRECT(AP$1&amp;AP$3&amp;$A107))+SUM(INDIRECT(AP$1&amp;AP$2&amp;$B107):INDIRECT(AP$1&amp;AP$3&amp;$B107))</f>
        <v>183181</v>
      </c>
      <c r="AQ107" s="880">
        <f t="shared" ca="1" si="203"/>
        <v>16545</v>
      </c>
      <c r="AR107" s="931">
        <f t="shared" ca="1" si="204"/>
        <v>1.0903205026722205</v>
      </c>
      <c r="AT107" s="13">
        <f ca="1">SUM((INDIRECT(AT$2&amp;(ROW())):INDIRECT(AT$3&amp;(ROW()))))</f>
        <v>536105.37031000003</v>
      </c>
      <c r="AU107" s="89">
        <f ca="1">SUM(INDIRECT(AU$1&amp;AU$2&amp;$C107):INDIRECT(AU$1&amp;AU$3&amp;$C107))</f>
        <v>0</v>
      </c>
      <c r="AV107" s="880">
        <f t="shared" ca="1" si="205"/>
        <v>536105.37031000003</v>
      </c>
      <c r="AW107" s="931">
        <f t="shared" ca="1" si="206"/>
        <v>0</v>
      </c>
      <c r="AX107" s="89">
        <f ca="1">SUM(INDIRECT(AX$1&amp;AX$2&amp;$A107):INDIRECT(AX$1&amp;AX$3&amp;$A107))+SUM(INDIRECT(AX$1&amp;AX$2&amp;$B107):INDIRECT(AX$1&amp;AX$3&amp;$B107))</f>
        <v>395294</v>
      </c>
      <c r="AY107" s="880">
        <f t="shared" ca="1" si="207"/>
        <v>140811.37031000003</v>
      </c>
      <c r="AZ107" s="931">
        <f t="shared" ca="1" si="208"/>
        <v>1.3562193463852221</v>
      </c>
      <c r="BB107" s="13">
        <f ca="1">SUM((INDIRECT(BB$2&amp;(ROW())):INDIRECT(BB$3&amp;(ROW()))))</f>
        <v>1862537.5063100001</v>
      </c>
      <c r="BC107" s="89">
        <f ca="1">SUM(INDIRECT(BC$1&amp;BC$2&amp;$C107):INDIRECT(BC$1&amp;BC$3&amp;$C107))</f>
        <v>0</v>
      </c>
      <c r="BD107" s="880">
        <f t="shared" ca="1" si="209"/>
        <v>1862537.5063100001</v>
      </c>
      <c r="BE107" s="931">
        <f t="shared" ca="1" si="210"/>
        <v>0</v>
      </c>
      <c r="BF107" s="89">
        <f ca="1">SUM(INDIRECT(BF$1&amp;BF$2&amp;$A107):INDIRECT(BF$1&amp;BF$3&amp;$A107))+SUM(INDIRECT(BF$1&amp;BF$2&amp;$B107):INDIRECT(BF$1&amp;BF$3&amp;$B107))</f>
        <v>1422906</v>
      </c>
      <c r="BG107" s="880">
        <f t="shared" ca="1" si="211"/>
        <v>439631.50631000008</v>
      </c>
      <c r="BH107" s="931">
        <f t="shared" ca="1" si="212"/>
        <v>1.3089673571620333</v>
      </c>
    </row>
    <row r="108" spans="1:60" ht="14.5">
      <c r="A108" s="990">
        <f t="shared" si="213"/>
        <v>82</v>
      </c>
      <c r="B108" s="990">
        <v>1</v>
      </c>
      <c r="C108" s="990">
        <f t="shared" si="128"/>
        <v>105</v>
      </c>
      <c r="D108" s="1121" t="s">
        <v>887</v>
      </c>
      <c r="E108" s="1243">
        <v>1</v>
      </c>
      <c r="F108" s="5"/>
      <c r="G108" s="5"/>
      <c r="H108" s="5"/>
      <c r="I108" s="30"/>
      <c r="J108" s="4"/>
      <c r="K108" s="5"/>
      <c r="L108" s="5"/>
      <c r="M108" s="4" t="s">
        <v>95</v>
      </c>
      <c r="N108" s="4"/>
      <c r="O108" s="4"/>
      <c r="P108" s="4"/>
      <c r="Q108" s="1855" t="str">
        <f>CHOOSE(2, "6722000003027", "PL (1)-1 BT Cons. Sales NH")</f>
        <v>PL (1)-1 BT Cons. Sales NH</v>
      </c>
      <c r="R108" s="2032">
        <v>88727</v>
      </c>
      <c r="S108" s="2039">
        <v>61213</v>
      </c>
      <c r="T108" s="2039">
        <v>92849</v>
      </c>
      <c r="U108" s="2039">
        <v>80385</v>
      </c>
      <c r="V108" s="2039">
        <v>94526.223939999996</v>
      </c>
      <c r="W108" s="2039">
        <v>77309</v>
      </c>
      <c r="X108" s="2039">
        <v>85806</v>
      </c>
      <c r="Y108" s="2039">
        <v>102055</v>
      </c>
      <c r="Z108" s="2039">
        <v>84643</v>
      </c>
      <c r="AA108" s="2039">
        <v>84570</v>
      </c>
      <c r="AB108" s="2039">
        <v>81100</v>
      </c>
      <c r="AC108" s="2039">
        <v>79337</v>
      </c>
      <c r="AD108" s="89">
        <f t="shared" si="197"/>
        <v>242789</v>
      </c>
      <c r="AE108" s="89">
        <f t="shared" si="221"/>
        <v>252220.22394</v>
      </c>
      <c r="AF108" s="89">
        <f t="shared" si="222"/>
        <v>272504</v>
      </c>
      <c r="AG108" s="89">
        <f t="shared" si="223"/>
        <v>245007</v>
      </c>
      <c r="AH108" s="89">
        <f>AD108+AE108</f>
        <v>495009.22394</v>
      </c>
      <c r="AI108" s="89">
        <f>AG108+AF108</f>
        <v>517511</v>
      </c>
      <c r="AJ108" s="89">
        <f>AH108+AI108</f>
        <v>1012520.2239399999</v>
      </c>
      <c r="AL108" s="13">
        <f ca="1">SUM((INDIRECT(AL$2&amp;(ROW())):INDIRECT(AL$3&amp;(ROW()))))</f>
        <v>79337</v>
      </c>
      <c r="AM108" s="89">
        <f ca="1">SUM(INDIRECT(AM$1&amp;AM$2&amp;$C108):INDIRECT(AM$1&amp;AM$3&amp;$C108))</f>
        <v>0</v>
      </c>
      <c r="AN108" s="880">
        <f t="shared" ca="1" si="201"/>
        <v>79337</v>
      </c>
      <c r="AO108" s="931">
        <f t="shared" ca="1" si="202"/>
        <v>0</v>
      </c>
      <c r="AP108" s="89">
        <f ca="1">SUM(INDIRECT(AP$1&amp;AP$2&amp;$A108):INDIRECT(AP$1&amp;AP$3&amp;$A108))+SUM(INDIRECT(AP$1&amp;AP$2&amp;$B108):INDIRECT(AP$1&amp;AP$3&amp;$B108))</f>
        <v>58164</v>
      </c>
      <c r="AQ108" s="880">
        <f t="shared" ca="1" si="203"/>
        <v>21173</v>
      </c>
      <c r="AR108" s="931">
        <f t="shared" ca="1" si="204"/>
        <v>1.3640224193659307</v>
      </c>
      <c r="AT108" s="13">
        <f ca="1">SUM((INDIRECT(AT$2&amp;(ROW())):INDIRECT(AT$3&amp;(ROW()))))</f>
        <v>245007</v>
      </c>
      <c r="AU108" s="89">
        <f ca="1">SUM(INDIRECT(AU$1&amp;AU$2&amp;$C108):INDIRECT(AU$1&amp;AU$3&amp;$C108))</f>
        <v>0</v>
      </c>
      <c r="AV108" s="880">
        <f t="shared" ca="1" si="205"/>
        <v>245007</v>
      </c>
      <c r="AW108" s="931">
        <f t="shared" ca="1" si="206"/>
        <v>0</v>
      </c>
      <c r="AX108" s="89">
        <f ca="1">SUM(INDIRECT(AX$1&amp;AX$2&amp;$A108):INDIRECT(AX$1&amp;AX$3&amp;$A108))+SUM(INDIRECT(AX$1&amp;AX$2&amp;$B108):INDIRECT(AX$1&amp;AX$3&amp;$B108))</f>
        <v>184943</v>
      </c>
      <c r="AY108" s="880">
        <f t="shared" ca="1" si="207"/>
        <v>60064</v>
      </c>
      <c r="AZ108" s="931">
        <f t="shared" ca="1" si="208"/>
        <v>1.324770334643647</v>
      </c>
      <c r="BB108" s="13">
        <f ca="1">SUM((INDIRECT(BB$2&amp;(ROW())):INDIRECT(BB$3&amp;(ROW()))))</f>
        <v>1012520.2239399999</v>
      </c>
      <c r="BC108" s="89">
        <f ca="1">SUM(INDIRECT(BC$1&amp;BC$2&amp;$C108):INDIRECT(BC$1&amp;BC$3&amp;$C108))</f>
        <v>0</v>
      </c>
      <c r="BD108" s="880">
        <f t="shared" ca="1" si="209"/>
        <v>1012520.2239399999</v>
      </c>
      <c r="BE108" s="931">
        <f t="shared" ca="1" si="210"/>
        <v>0</v>
      </c>
      <c r="BF108" s="89">
        <f ca="1">SUM(INDIRECT(BF$1&amp;BF$2&amp;$A108):INDIRECT(BF$1&amp;BF$3&amp;$A108))+SUM(INDIRECT(BF$1&amp;BF$2&amp;$B108):INDIRECT(BF$1&amp;BF$3&amp;$B108))</f>
        <v>729525</v>
      </c>
      <c r="BG108" s="880">
        <f t="shared" ca="1" si="211"/>
        <v>282995.22393999994</v>
      </c>
      <c r="BH108" s="931">
        <f t="shared" ca="1" si="212"/>
        <v>1.3879171021418044</v>
      </c>
    </row>
    <row r="109" spans="1:60" ht="14.5">
      <c r="A109" s="990">
        <f t="shared" si="213"/>
        <v>83</v>
      </c>
      <c r="B109" s="990">
        <v>1</v>
      </c>
      <c r="C109" s="990">
        <f t="shared" si="128"/>
        <v>106</v>
      </c>
      <c r="D109" s="1121" t="s">
        <v>887</v>
      </c>
      <c r="E109" s="1243">
        <v>1</v>
      </c>
      <c r="F109" s="5"/>
      <c r="G109" s="5"/>
      <c r="H109" s="5"/>
      <c r="I109" s="30"/>
      <c r="J109" s="4"/>
      <c r="K109" s="5"/>
      <c r="L109" s="5"/>
      <c r="M109" s="4" t="s">
        <v>11</v>
      </c>
      <c r="N109" s="4"/>
      <c r="O109" s="4"/>
      <c r="P109" s="4"/>
      <c r="Q109" s="1855" t="str">
        <f>CHOOSE(2, "6722000003028", "PL (1)-1 BT Cons. Sales Others")</f>
        <v>PL (1)-1 BT Cons. Sales Others</v>
      </c>
      <c r="R109" s="2032">
        <v>0</v>
      </c>
      <c r="S109" s="2039">
        <v>0</v>
      </c>
      <c r="T109" s="2039">
        <v>0</v>
      </c>
      <c r="U109" s="2039">
        <v>0</v>
      </c>
      <c r="V109" s="2039">
        <v>0</v>
      </c>
      <c r="W109" s="2039">
        <v>0</v>
      </c>
      <c r="X109" s="2039">
        <v>0</v>
      </c>
      <c r="Y109" s="2039">
        <v>0</v>
      </c>
      <c r="Z109" s="2039">
        <v>0</v>
      </c>
      <c r="AA109" s="2039">
        <v>0</v>
      </c>
      <c r="AB109" s="2039">
        <v>0</v>
      </c>
      <c r="AC109" s="2039">
        <v>0</v>
      </c>
      <c r="AD109" s="89">
        <f t="shared" si="197"/>
        <v>0</v>
      </c>
      <c r="AE109" s="89">
        <f t="shared" si="221"/>
        <v>0</v>
      </c>
      <c r="AF109" s="89">
        <f t="shared" si="222"/>
        <v>0</v>
      </c>
      <c r="AG109" s="89">
        <f t="shared" si="223"/>
        <v>0</v>
      </c>
      <c r="AH109" s="89">
        <f>AD109+AE109</f>
        <v>0</v>
      </c>
      <c r="AI109" s="89">
        <f>AG109+AF109</f>
        <v>0</v>
      </c>
      <c r="AJ109" s="89">
        <f>AH109+AI109</f>
        <v>0</v>
      </c>
      <c r="AL109" s="13">
        <f ca="1">SUM((INDIRECT(AL$2&amp;(ROW())):INDIRECT(AL$3&amp;(ROW()))))</f>
        <v>0</v>
      </c>
      <c r="AM109" s="89">
        <f ca="1">SUM(INDIRECT(AM$1&amp;AM$2&amp;$C109):INDIRECT(AM$1&amp;AM$3&amp;$C109))</f>
        <v>0</v>
      </c>
      <c r="AN109" s="880">
        <f t="shared" ca="1" si="201"/>
        <v>0</v>
      </c>
      <c r="AO109" s="931">
        <f t="shared" ca="1" si="202"/>
        <v>0</v>
      </c>
      <c r="AP109" s="89">
        <f ca="1">SUM(INDIRECT(AP$1&amp;AP$2&amp;$A109):INDIRECT(AP$1&amp;AP$3&amp;$A109))+SUM(INDIRECT(AP$1&amp;AP$2&amp;$B109):INDIRECT(AP$1&amp;AP$3&amp;$B109))</f>
        <v>0</v>
      </c>
      <c r="AQ109" s="880">
        <f t="shared" ca="1" si="203"/>
        <v>0</v>
      </c>
      <c r="AR109" s="931">
        <f t="shared" ca="1" si="204"/>
        <v>0</v>
      </c>
      <c r="AT109" s="13">
        <f ca="1">SUM((INDIRECT(AT$2&amp;(ROW())):INDIRECT(AT$3&amp;(ROW()))))</f>
        <v>0</v>
      </c>
      <c r="AU109" s="89">
        <f ca="1">SUM(INDIRECT(AU$1&amp;AU$2&amp;$C109):INDIRECT(AU$1&amp;AU$3&amp;$C109))</f>
        <v>0</v>
      </c>
      <c r="AV109" s="880">
        <f t="shared" ca="1" si="205"/>
        <v>0</v>
      </c>
      <c r="AW109" s="931">
        <f t="shared" ca="1" si="206"/>
        <v>0</v>
      </c>
      <c r="AX109" s="89">
        <f ca="1">SUM(INDIRECT(AX$1&amp;AX$2&amp;$A109):INDIRECT(AX$1&amp;AX$3&amp;$A109))+SUM(INDIRECT(AX$1&amp;AX$2&amp;$B109):INDIRECT(AX$1&amp;AX$3&amp;$B109))</f>
        <v>0</v>
      </c>
      <c r="AY109" s="880">
        <f t="shared" ca="1" si="207"/>
        <v>0</v>
      </c>
      <c r="AZ109" s="931">
        <f t="shared" ca="1" si="208"/>
        <v>0</v>
      </c>
      <c r="BB109" s="13">
        <f ca="1">SUM((INDIRECT(BB$2&amp;(ROW())):INDIRECT(BB$3&amp;(ROW()))))</f>
        <v>0</v>
      </c>
      <c r="BC109" s="89">
        <f ca="1">SUM(INDIRECT(BC$1&amp;BC$2&amp;$C109):INDIRECT(BC$1&amp;BC$3&amp;$C109))</f>
        <v>0</v>
      </c>
      <c r="BD109" s="880">
        <f t="shared" ca="1" si="209"/>
        <v>0</v>
      </c>
      <c r="BE109" s="931">
        <f t="shared" ca="1" si="210"/>
        <v>0</v>
      </c>
      <c r="BF109" s="89">
        <f ca="1">SUM(INDIRECT(BF$1&amp;BF$2&amp;$A109):INDIRECT(BF$1&amp;BF$3&amp;$A109))+SUM(INDIRECT(BF$1&amp;BF$2&amp;$B109):INDIRECT(BF$1&amp;BF$3&amp;$B109))</f>
        <v>0</v>
      </c>
      <c r="BG109" s="880">
        <f t="shared" ca="1" si="211"/>
        <v>0</v>
      </c>
      <c r="BH109" s="931">
        <f t="shared" ca="1" si="212"/>
        <v>0</v>
      </c>
    </row>
    <row r="110" spans="1:60" ht="14.5">
      <c r="A110" s="990">
        <f t="shared" si="213"/>
        <v>84</v>
      </c>
      <c r="B110" s="990">
        <v>1</v>
      </c>
      <c r="C110" s="990">
        <f t="shared" si="128"/>
        <v>107</v>
      </c>
      <c r="E110" s="1243">
        <v>1</v>
      </c>
      <c r="F110" s="5"/>
      <c r="G110" s="5"/>
      <c r="H110" s="5"/>
      <c r="I110" s="140" t="s">
        <v>465</v>
      </c>
      <c r="J110" s="139"/>
      <c r="K110" s="138"/>
      <c r="L110" s="138"/>
      <c r="M110" s="138"/>
      <c r="N110" s="138"/>
      <c r="O110" s="138"/>
      <c r="P110" s="1162"/>
      <c r="Q110" s="1853" t="str">
        <f>CHOOSE(2, "6722000003029", "PL (1)-1 Cost of Sales")</f>
        <v>PL (1)-1 Cost of Sales</v>
      </c>
      <c r="R110" s="2062">
        <f>R111+R114+R122</f>
        <v>100749</v>
      </c>
      <c r="S110" s="2010">
        <f t="shared" ref="S110:AC110" si="224">S111+S114+S122</f>
        <v>131154</v>
      </c>
      <c r="T110" s="2010">
        <f t="shared" si="224"/>
        <v>128985</v>
      </c>
      <c r="U110" s="2010">
        <f t="shared" si="224"/>
        <v>142243</v>
      </c>
      <c r="V110" s="2010">
        <f t="shared" si="224"/>
        <v>180088.73568964051</v>
      </c>
      <c r="W110" s="2010">
        <f t="shared" si="224"/>
        <v>183401</v>
      </c>
      <c r="X110" s="2010">
        <f t="shared" si="224"/>
        <v>146511</v>
      </c>
      <c r="Y110" s="2010">
        <f t="shared" si="224"/>
        <v>168045</v>
      </c>
      <c r="Z110" s="2010">
        <f t="shared" si="224"/>
        <v>230971</v>
      </c>
      <c r="AA110" s="2010">
        <f t="shared" si="224"/>
        <v>159158</v>
      </c>
      <c r="AB110" s="2010">
        <f t="shared" si="224"/>
        <v>195239.37031000003</v>
      </c>
      <c r="AC110" s="2010">
        <f t="shared" si="224"/>
        <v>204939</v>
      </c>
      <c r="AD110" s="1519">
        <f t="shared" ref="AD110:AJ110" si="225">AD111+AD114+AD122</f>
        <v>360888</v>
      </c>
      <c r="AE110" s="137">
        <f t="shared" si="225"/>
        <v>505732.73568964051</v>
      </c>
      <c r="AF110" s="137">
        <f t="shared" si="225"/>
        <v>545527</v>
      </c>
      <c r="AG110" s="137">
        <f t="shared" si="225"/>
        <v>559336.37031000003</v>
      </c>
      <c r="AH110" s="137">
        <f t="shared" si="225"/>
        <v>866620.73568964051</v>
      </c>
      <c r="AI110" s="137">
        <f t="shared" si="225"/>
        <v>1104863.3703100001</v>
      </c>
      <c r="AJ110" s="137">
        <f t="shared" si="225"/>
        <v>1971484.1059996404</v>
      </c>
      <c r="AL110" s="2062">
        <f ca="1">SUM((INDIRECT(AL$2&amp;(ROW())):INDIRECT(AL$3&amp;(ROW()))))</f>
        <v>204939</v>
      </c>
      <c r="AM110" s="137">
        <f ca="1">SUM(INDIRECT(AM$1&amp;AM$2&amp;$C110):INDIRECT(AM$1&amp;AM$3&amp;$C110))</f>
        <v>0</v>
      </c>
      <c r="AN110" s="2500">
        <f t="shared" ca="1" si="201"/>
        <v>204939</v>
      </c>
      <c r="AO110" s="1710">
        <f t="shared" ca="1" si="202"/>
        <v>0</v>
      </c>
      <c r="AP110" s="137">
        <f ca="1">SUM(INDIRECT(AP$1&amp;AP$2&amp;$A110):INDIRECT(AP$1&amp;AP$3&amp;$A110))+SUM(INDIRECT(AP$1&amp;AP$2&amp;$B110):INDIRECT(AP$1&amp;AP$3&amp;$B110))</f>
        <v>189150</v>
      </c>
      <c r="AQ110" s="2500">
        <f t="shared" ca="1" si="203"/>
        <v>15789</v>
      </c>
      <c r="AR110" s="1710">
        <f t="shared" ca="1" si="204"/>
        <v>1.0834734337827121</v>
      </c>
      <c r="AT110" s="2062">
        <f ca="1">SUM((INDIRECT(AT$2&amp;(ROW())):INDIRECT(AT$3&amp;(ROW()))))</f>
        <v>559336.37031000003</v>
      </c>
      <c r="AU110" s="137">
        <f ca="1">SUM(INDIRECT(AU$1&amp;AU$2&amp;$C110):INDIRECT(AU$1&amp;AU$3&amp;$C110))</f>
        <v>0</v>
      </c>
      <c r="AV110" s="2500">
        <f t="shared" ca="1" si="205"/>
        <v>559336.37031000003</v>
      </c>
      <c r="AW110" s="1710">
        <f t="shared" ca="1" si="206"/>
        <v>0</v>
      </c>
      <c r="AX110" s="137">
        <f ca="1">SUM(INDIRECT(AX$1&amp;AX$2&amp;$A110):INDIRECT(AX$1&amp;AX$3&amp;$A110))+SUM(INDIRECT(AX$1&amp;AX$2&amp;$B110):INDIRECT(AX$1&amp;AX$3&amp;$B110))</f>
        <v>431222</v>
      </c>
      <c r="AY110" s="2500">
        <f t="shared" ca="1" si="207"/>
        <v>128114.37031000003</v>
      </c>
      <c r="AZ110" s="1710">
        <f t="shared" ca="1" si="208"/>
        <v>1.2970960904360167</v>
      </c>
      <c r="BB110" s="2062">
        <f ca="1">SUM((INDIRECT(BB$2&amp;(ROW())):INDIRECT(BB$3&amp;(ROW()))))</f>
        <v>1971484.1059996407</v>
      </c>
      <c r="BC110" s="137">
        <f ca="1">SUM(INDIRECT(BC$1&amp;BC$2&amp;$C110):INDIRECT(BC$1&amp;BC$3&amp;$C110))</f>
        <v>0</v>
      </c>
      <c r="BD110" s="2500">
        <f t="shared" ca="1" si="209"/>
        <v>1971484.1059996407</v>
      </c>
      <c r="BE110" s="1710">
        <f t="shared" ca="1" si="210"/>
        <v>0</v>
      </c>
      <c r="BF110" s="137">
        <f ca="1">SUM(INDIRECT(BF$1&amp;BF$2&amp;$A110):INDIRECT(BF$1&amp;BF$3&amp;$A110))+SUM(INDIRECT(BF$1&amp;BF$2&amp;$B110):INDIRECT(BF$1&amp;BF$3&amp;$B110))</f>
        <v>1442008</v>
      </c>
      <c r="BG110" s="2500">
        <f t="shared" ca="1" si="211"/>
        <v>529476.10599964065</v>
      </c>
      <c r="BH110" s="1710">
        <f t="shared" ca="1" si="212"/>
        <v>1.3671797285449461</v>
      </c>
    </row>
    <row r="111" spans="1:60" ht="14.5">
      <c r="A111" s="990">
        <f t="shared" si="213"/>
        <v>85</v>
      </c>
      <c r="B111" s="990">
        <v>1</v>
      </c>
      <c r="C111" s="990">
        <f t="shared" si="128"/>
        <v>108</v>
      </c>
      <c r="E111" s="1243">
        <v>1</v>
      </c>
      <c r="F111" s="5"/>
      <c r="G111" s="5"/>
      <c r="H111" s="5"/>
      <c r="I111" s="30"/>
      <c r="J111" s="4"/>
      <c r="K111" s="5"/>
      <c r="L111" s="5"/>
      <c r="M111" s="277" t="s">
        <v>137</v>
      </c>
      <c r="N111" s="277"/>
      <c r="O111" s="278"/>
      <c r="P111" s="277"/>
      <c r="Q111" s="1856" t="str">
        <f>CHOOSE(2, "6722000003030", "PL (1)-1 Cost of Sales HW")</f>
        <v>PL (1)-1 Cost of Sales HW</v>
      </c>
      <c r="R111" s="2118">
        <f>SUM(R112:R113)</f>
        <v>48660</v>
      </c>
      <c r="S111" s="279">
        <f t="shared" ref="S111:AC111" si="226">SUM(S112:S113)</f>
        <v>89316</v>
      </c>
      <c r="T111" s="279">
        <f t="shared" si="226"/>
        <v>76223</v>
      </c>
      <c r="U111" s="279">
        <f t="shared" si="226"/>
        <v>94449</v>
      </c>
      <c r="V111" s="279">
        <f t="shared" si="226"/>
        <v>124743.89874018426</v>
      </c>
      <c r="W111" s="279">
        <f t="shared" si="226"/>
        <v>137455</v>
      </c>
      <c r="X111" s="279">
        <f t="shared" si="226"/>
        <v>93261</v>
      </c>
      <c r="Y111" s="279">
        <f t="shared" si="226"/>
        <v>110667</v>
      </c>
      <c r="Z111" s="279">
        <f t="shared" si="226"/>
        <v>179395</v>
      </c>
      <c r="AA111" s="279">
        <f t="shared" si="226"/>
        <v>108170</v>
      </c>
      <c r="AB111" s="279">
        <f t="shared" si="226"/>
        <v>143595.37031000003</v>
      </c>
      <c r="AC111" s="279">
        <f t="shared" si="226"/>
        <v>158586</v>
      </c>
      <c r="AD111" s="279">
        <f t="shared" ref="AD111:AD116" si="227">SUM(R111,S111,T111)</f>
        <v>214199</v>
      </c>
      <c r="AE111" s="279">
        <f t="shared" ref="AE111" si="228">SUM(U111,V111,W111)</f>
        <v>356647.89874018426</v>
      </c>
      <c r="AF111" s="279">
        <f t="shared" ref="AF111" si="229">SUM(X111,Y111,Z111)</f>
        <v>383323</v>
      </c>
      <c r="AG111" s="279">
        <f t="shared" ref="AG111" si="230">SUM(AA111,AB111,AC111)</f>
        <v>410351.37031000003</v>
      </c>
      <c r="AH111" s="279">
        <f t="shared" ref="AH111:AH122" si="231">AD111+AE111</f>
        <v>570846.89874018426</v>
      </c>
      <c r="AI111" s="279">
        <f t="shared" ref="AI111:AI122" si="232">AG111+AF111</f>
        <v>793674.37031000003</v>
      </c>
      <c r="AJ111" s="279">
        <f t="shared" ref="AJ111:AJ122" si="233">AH111+AI111</f>
        <v>1364521.2690501842</v>
      </c>
      <c r="AL111" s="2118">
        <f ca="1">SUM((INDIRECT(AL$2&amp;(ROW())):INDIRECT(AL$3&amp;(ROW()))))</f>
        <v>158586</v>
      </c>
      <c r="AM111" s="279">
        <f ca="1">SUM(INDIRECT(AM$1&amp;AM$2&amp;$C111):INDIRECT(AM$1&amp;AM$3&amp;$C111))</f>
        <v>0</v>
      </c>
      <c r="AN111" s="881">
        <f t="shared" ca="1" si="201"/>
        <v>158586</v>
      </c>
      <c r="AO111" s="932">
        <f t="shared" ca="1" si="202"/>
        <v>0</v>
      </c>
      <c r="AP111" s="279">
        <f ca="1">SUM(INDIRECT(AP$1&amp;AP$2&amp;$A111):INDIRECT(AP$1&amp;AP$3&amp;$A111))+SUM(INDIRECT(AP$1&amp;AP$2&amp;$B111):INDIRECT(AP$1&amp;AP$3&amp;$B111))</f>
        <v>151110</v>
      </c>
      <c r="AQ111" s="881">
        <f t="shared" ca="1" si="203"/>
        <v>7476</v>
      </c>
      <c r="AR111" s="932">
        <f t="shared" ca="1" si="204"/>
        <v>1.0494738931903911</v>
      </c>
      <c r="AT111" s="2118">
        <f ca="1">SUM((INDIRECT(AT$2&amp;(ROW())):INDIRECT(AT$3&amp;(ROW()))))</f>
        <v>410351.37031000003</v>
      </c>
      <c r="AU111" s="279">
        <f ca="1">SUM(INDIRECT(AU$1&amp;AU$2&amp;$C111):INDIRECT(AU$1&amp;AU$3&amp;$C111))</f>
        <v>0</v>
      </c>
      <c r="AV111" s="881">
        <f t="shared" ca="1" si="205"/>
        <v>410351.37031000003</v>
      </c>
      <c r="AW111" s="932">
        <f t="shared" ca="1" si="206"/>
        <v>0</v>
      </c>
      <c r="AX111" s="279">
        <f ca="1">SUM(INDIRECT(AX$1&amp;AX$2&amp;$A111):INDIRECT(AX$1&amp;AX$3&amp;$A111))+SUM(INDIRECT(AX$1&amp;AX$2&amp;$B111):INDIRECT(AX$1&amp;AX$3&amp;$B111))</f>
        <v>315933</v>
      </c>
      <c r="AY111" s="881">
        <f t="shared" ca="1" si="207"/>
        <v>94418.370310000028</v>
      </c>
      <c r="AZ111" s="932">
        <f t="shared" ca="1" si="208"/>
        <v>1.2988556760768899</v>
      </c>
      <c r="BB111" s="2118">
        <f ca="1">SUM((INDIRECT(BB$2&amp;(ROW())):INDIRECT(BB$3&amp;(ROW()))))</f>
        <v>1364521.2690501842</v>
      </c>
      <c r="BC111" s="279">
        <f ca="1">SUM(INDIRECT(BC$1&amp;BC$2&amp;$C111):INDIRECT(BC$1&amp;BC$3&amp;$C111))</f>
        <v>0</v>
      </c>
      <c r="BD111" s="881">
        <f t="shared" ca="1" si="209"/>
        <v>1364521.2690501842</v>
      </c>
      <c r="BE111" s="932">
        <f t="shared" ca="1" si="210"/>
        <v>0</v>
      </c>
      <c r="BF111" s="279">
        <f ca="1">SUM(INDIRECT(BF$1&amp;BF$2&amp;$A111):INDIRECT(BF$1&amp;BF$3&amp;$A111))+SUM(INDIRECT(BF$1&amp;BF$2&amp;$B111):INDIRECT(BF$1&amp;BF$3&amp;$B111))</f>
        <v>1010000</v>
      </c>
      <c r="BG111" s="881">
        <f t="shared" ca="1" si="211"/>
        <v>354521.26905018417</v>
      </c>
      <c r="BH111" s="932">
        <f t="shared" ca="1" si="212"/>
        <v>1.3510111574754298</v>
      </c>
    </row>
    <row r="112" spans="1:60" ht="14.5">
      <c r="A112" s="990">
        <f t="shared" si="213"/>
        <v>86</v>
      </c>
      <c r="B112" s="990">
        <v>1</v>
      </c>
      <c r="C112" s="990">
        <f t="shared" si="128"/>
        <v>109</v>
      </c>
      <c r="E112" s="1243">
        <v>1</v>
      </c>
      <c r="F112" s="5"/>
      <c r="G112" s="5"/>
      <c r="H112" s="5"/>
      <c r="I112" s="30"/>
      <c r="J112" s="4"/>
      <c r="K112" s="5"/>
      <c r="L112" s="5"/>
      <c r="M112" s="4"/>
      <c r="N112" s="4"/>
      <c r="O112" s="4" t="s">
        <v>299</v>
      </c>
      <c r="P112" s="4"/>
      <c r="Q112" s="1854" t="str">
        <f>CHOOSE(2, "6722000003031", "PL (1)-1 Cost of Sales HW KMI")</f>
        <v>PL (1)-1 Cost of Sales HW KMI</v>
      </c>
      <c r="R112" s="13">
        <f t="shared" ref="R112:AC112" si="234">R455+R471-R488-R512</f>
        <v>48660</v>
      </c>
      <c r="S112" s="89">
        <f t="shared" si="234"/>
        <v>89316</v>
      </c>
      <c r="T112" s="89">
        <f t="shared" si="234"/>
        <v>76223</v>
      </c>
      <c r="U112" s="89">
        <f t="shared" si="234"/>
        <v>94449</v>
      </c>
      <c r="V112" s="89">
        <f t="shared" si="234"/>
        <v>124743.89874018426</v>
      </c>
      <c r="W112" s="89">
        <f t="shared" si="234"/>
        <v>137455</v>
      </c>
      <c r="X112" s="89">
        <f t="shared" si="234"/>
        <v>93261</v>
      </c>
      <c r="Y112" s="89">
        <f t="shared" si="234"/>
        <v>110667</v>
      </c>
      <c r="Z112" s="89">
        <f t="shared" si="234"/>
        <v>179395</v>
      </c>
      <c r="AA112" s="89">
        <f t="shared" si="234"/>
        <v>108170</v>
      </c>
      <c r="AB112" s="89">
        <f t="shared" si="234"/>
        <v>143595.37031000003</v>
      </c>
      <c r="AC112" s="89">
        <f t="shared" si="234"/>
        <v>158586</v>
      </c>
      <c r="AD112" s="89">
        <f t="shared" si="227"/>
        <v>214199</v>
      </c>
      <c r="AE112" s="89">
        <f t="shared" ref="AE112:AE114" si="235">SUM(U112,V112,W112)</f>
        <v>356647.89874018426</v>
      </c>
      <c r="AF112" s="89">
        <f t="shared" ref="AF112:AF114" si="236">SUM(X112,Y112,Z112)</f>
        <v>383323</v>
      </c>
      <c r="AG112" s="89">
        <f t="shared" ref="AG112:AG114" si="237">SUM(AA112,AB112,AC112)</f>
        <v>410351.37031000003</v>
      </c>
      <c r="AH112" s="89">
        <f t="shared" si="231"/>
        <v>570846.89874018426</v>
      </c>
      <c r="AI112" s="89">
        <f t="shared" si="232"/>
        <v>793674.37031000003</v>
      </c>
      <c r="AJ112" s="89">
        <f t="shared" si="233"/>
        <v>1364521.2690501842</v>
      </c>
      <c r="AL112" s="13">
        <f ca="1">SUM((INDIRECT(AL$2&amp;(ROW())):INDIRECT(AL$3&amp;(ROW()))))</f>
        <v>158586</v>
      </c>
      <c r="AM112" s="89">
        <f ca="1">SUM(INDIRECT(AM$1&amp;AM$2&amp;$C112):INDIRECT(AM$1&amp;AM$3&amp;$C112))</f>
        <v>0</v>
      </c>
      <c r="AN112" s="880">
        <f t="shared" ca="1" si="201"/>
        <v>158586</v>
      </c>
      <c r="AO112" s="931">
        <f t="shared" ca="1" si="202"/>
        <v>0</v>
      </c>
      <c r="AP112" s="89">
        <f ca="1">SUM(INDIRECT(AP$1&amp;AP$2&amp;$A112):INDIRECT(AP$1&amp;AP$3&amp;$A112))+SUM(INDIRECT(AP$1&amp;AP$2&amp;$B112):INDIRECT(AP$1&amp;AP$3&amp;$B112))</f>
        <v>151110</v>
      </c>
      <c r="AQ112" s="880">
        <f t="shared" ca="1" si="203"/>
        <v>7476</v>
      </c>
      <c r="AR112" s="931">
        <f t="shared" ca="1" si="204"/>
        <v>1.0494738931903911</v>
      </c>
      <c r="AT112" s="13">
        <f ca="1">SUM((INDIRECT(AT$2&amp;(ROW())):INDIRECT(AT$3&amp;(ROW()))))</f>
        <v>410351.37031000003</v>
      </c>
      <c r="AU112" s="89">
        <f ca="1">SUM(INDIRECT(AU$1&amp;AU$2&amp;$C112):INDIRECT(AU$1&amp;AU$3&amp;$C112))</f>
        <v>0</v>
      </c>
      <c r="AV112" s="880">
        <f t="shared" ca="1" si="205"/>
        <v>410351.37031000003</v>
      </c>
      <c r="AW112" s="931">
        <f t="shared" ca="1" si="206"/>
        <v>0</v>
      </c>
      <c r="AX112" s="89">
        <f ca="1">SUM(INDIRECT(AX$1&amp;AX$2&amp;$A112):INDIRECT(AX$1&amp;AX$3&amp;$A112))+SUM(INDIRECT(AX$1&amp;AX$2&amp;$B112):INDIRECT(AX$1&amp;AX$3&amp;$B112))</f>
        <v>315933</v>
      </c>
      <c r="AY112" s="880">
        <f t="shared" ca="1" si="207"/>
        <v>94418.370310000028</v>
      </c>
      <c r="AZ112" s="931">
        <f t="shared" ca="1" si="208"/>
        <v>1.2988556760768899</v>
      </c>
      <c r="BB112" s="13">
        <f ca="1">SUM((INDIRECT(BB$2&amp;(ROW())):INDIRECT(BB$3&amp;(ROW()))))</f>
        <v>1364521.2690501842</v>
      </c>
      <c r="BC112" s="89">
        <f ca="1">SUM(INDIRECT(BC$1&amp;BC$2&amp;$C112):INDIRECT(BC$1&amp;BC$3&amp;$C112))</f>
        <v>0</v>
      </c>
      <c r="BD112" s="880">
        <f t="shared" ca="1" si="209"/>
        <v>1364521.2690501842</v>
      </c>
      <c r="BE112" s="931">
        <f t="shared" ca="1" si="210"/>
        <v>0</v>
      </c>
      <c r="BF112" s="89">
        <f ca="1">SUM(INDIRECT(BF$1&amp;BF$2&amp;$A112):INDIRECT(BF$1&amp;BF$3&amp;$A112))+SUM(INDIRECT(BF$1&amp;BF$2&amp;$B112):INDIRECT(BF$1&amp;BF$3&amp;$B112))</f>
        <v>1010000</v>
      </c>
      <c r="BG112" s="880">
        <f t="shared" ca="1" si="211"/>
        <v>354521.26905018417</v>
      </c>
      <c r="BH112" s="931">
        <f t="shared" ca="1" si="212"/>
        <v>1.3510111574754298</v>
      </c>
    </row>
    <row r="113" spans="1:60" ht="14.5">
      <c r="A113" s="990">
        <f t="shared" si="213"/>
        <v>87</v>
      </c>
      <c r="B113" s="990">
        <v>1</v>
      </c>
      <c r="C113" s="990">
        <f t="shared" si="128"/>
        <v>110</v>
      </c>
      <c r="E113" s="1243">
        <v>1</v>
      </c>
      <c r="F113" s="5"/>
      <c r="G113" s="5"/>
      <c r="H113" s="5"/>
      <c r="I113" s="30"/>
      <c r="J113" s="4"/>
      <c r="K113" s="5"/>
      <c r="L113" s="5"/>
      <c r="M113" s="4"/>
      <c r="N113" s="4"/>
      <c r="O113" s="4" t="s">
        <v>146</v>
      </c>
      <c r="P113" s="4"/>
      <c r="Q113" s="1854" t="str">
        <f>CHOOSE(2, "6722000003032", "PL (1)-1 Cost of Sales HW 3rd Party")</f>
        <v>PL (1)-1 Cost of Sales HW 3rd Party</v>
      </c>
      <c r="R113" s="13">
        <f t="shared" ref="R113:AC113" si="238">R458+R474-R491-R515</f>
        <v>0</v>
      </c>
      <c r="S113" s="89">
        <f t="shared" si="238"/>
        <v>0</v>
      </c>
      <c r="T113" s="89">
        <f t="shared" si="238"/>
        <v>0</v>
      </c>
      <c r="U113" s="89">
        <f t="shared" si="238"/>
        <v>0</v>
      </c>
      <c r="V113" s="89">
        <f t="shared" si="238"/>
        <v>0</v>
      </c>
      <c r="W113" s="89">
        <f t="shared" si="238"/>
        <v>0</v>
      </c>
      <c r="X113" s="89">
        <f t="shared" si="238"/>
        <v>0</v>
      </c>
      <c r="Y113" s="89">
        <f t="shared" si="238"/>
        <v>0</v>
      </c>
      <c r="Z113" s="89">
        <f t="shared" si="238"/>
        <v>0</v>
      </c>
      <c r="AA113" s="89">
        <f t="shared" si="238"/>
        <v>0</v>
      </c>
      <c r="AB113" s="89">
        <f t="shared" si="238"/>
        <v>0</v>
      </c>
      <c r="AC113" s="89">
        <f t="shared" si="238"/>
        <v>0</v>
      </c>
      <c r="AD113" s="89">
        <f t="shared" si="227"/>
        <v>0</v>
      </c>
      <c r="AE113" s="89">
        <f t="shared" si="235"/>
        <v>0</v>
      </c>
      <c r="AF113" s="89">
        <f t="shared" si="236"/>
        <v>0</v>
      </c>
      <c r="AG113" s="89">
        <f t="shared" si="237"/>
        <v>0</v>
      </c>
      <c r="AH113" s="89">
        <f t="shared" si="231"/>
        <v>0</v>
      </c>
      <c r="AI113" s="89">
        <f t="shared" si="232"/>
        <v>0</v>
      </c>
      <c r="AJ113" s="89">
        <f t="shared" si="233"/>
        <v>0</v>
      </c>
      <c r="AL113" s="13">
        <f ca="1">SUM((INDIRECT(AL$2&amp;(ROW())):INDIRECT(AL$3&amp;(ROW()))))</f>
        <v>0</v>
      </c>
      <c r="AM113" s="89">
        <f ca="1">SUM(INDIRECT(AM$1&amp;AM$2&amp;$C113):INDIRECT(AM$1&amp;AM$3&amp;$C113))</f>
        <v>0</v>
      </c>
      <c r="AN113" s="880">
        <f t="shared" ca="1" si="201"/>
        <v>0</v>
      </c>
      <c r="AO113" s="931">
        <f t="shared" ca="1" si="202"/>
        <v>0</v>
      </c>
      <c r="AP113" s="89">
        <f ca="1">SUM(INDIRECT(AP$1&amp;AP$2&amp;$A113):INDIRECT(AP$1&amp;AP$3&amp;$A113))+SUM(INDIRECT(AP$1&amp;AP$2&amp;$B113):INDIRECT(AP$1&amp;AP$3&amp;$B113))</f>
        <v>0</v>
      </c>
      <c r="AQ113" s="880">
        <f t="shared" ca="1" si="203"/>
        <v>0</v>
      </c>
      <c r="AR113" s="931">
        <f t="shared" ca="1" si="204"/>
        <v>0</v>
      </c>
      <c r="AT113" s="13">
        <f ca="1">SUM((INDIRECT(AT$2&amp;(ROW())):INDIRECT(AT$3&amp;(ROW()))))</f>
        <v>0</v>
      </c>
      <c r="AU113" s="89">
        <f ca="1">SUM(INDIRECT(AU$1&amp;AU$2&amp;$C113):INDIRECT(AU$1&amp;AU$3&amp;$C113))</f>
        <v>0</v>
      </c>
      <c r="AV113" s="880">
        <f t="shared" ca="1" si="205"/>
        <v>0</v>
      </c>
      <c r="AW113" s="931">
        <f t="shared" ca="1" si="206"/>
        <v>0</v>
      </c>
      <c r="AX113" s="89">
        <f ca="1">SUM(INDIRECT(AX$1&amp;AX$2&amp;$A113):INDIRECT(AX$1&amp;AX$3&amp;$A113))+SUM(INDIRECT(AX$1&amp;AX$2&amp;$B113):INDIRECT(AX$1&amp;AX$3&amp;$B113))</f>
        <v>0</v>
      </c>
      <c r="AY113" s="880">
        <f t="shared" ca="1" si="207"/>
        <v>0</v>
      </c>
      <c r="AZ113" s="931">
        <f t="shared" ca="1" si="208"/>
        <v>0</v>
      </c>
      <c r="BB113" s="13">
        <f ca="1">SUM((INDIRECT(BB$2&amp;(ROW())):INDIRECT(BB$3&amp;(ROW()))))</f>
        <v>0</v>
      </c>
      <c r="BC113" s="89">
        <f ca="1">SUM(INDIRECT(BC$1&amp;BC$2&amp;$C113):INDIRECT(BC$1&amp;BC$3&amp;$C113))</f>
        <v>0</v>
      </c>
      <c r="BD113" s="880">
        <f t="shared" ca="1" si="209"/>
        <v>0</v>
      </c>
      <c r="BE113" s="931">
        <f t="shared" ca="1" si="210"/>
        <v>0</v>
      </c>
      <c r="BF113" s="89">
        <f ca="1">SUM(INDIRECT(BF$1&amp;BF$2&amp;$A113):INDIRECT(BF$1&amp;BF$3&amp;$A113))+SUM(INDIRECT(BF$1&amp;BF$2&amp;$B113):INDIRECT(BF$1&amp;BF$3&amp;$B113))</f>
        <v>0</v>
      </c>
      <c r="BG113" s="880">
        <f t="shared" ca="1" si="211"/>
        <v>0</v>
      </c>
      <c r="BH113" s="931">
        <f t="shared" ca="1" si="212"/>
        <v>0</v>
      </c>
    </row>
    <row r="114" spans="1:60" ht="14.5">
      <c r="A114" s="990">
        <f t="shared" si="213"/>
        <v>88</v>
      </c>
      <c r="B114" s="990">
        <v>1</v>
      </c>
      <c r="C114" s="990">
        <f t="shared" si="128"/>
        <v>111</v>
      </c>
      <c r="E114" s="1243">
        <v>1</v>
      </c>
      <c r="F114" s="5"/>
      <c r="G114" s="5"/>
      <c r="H114" s="5"/>
      <c r="I114" s="30"/>
      <c r="J114" s="4"/>
      <c r="K114" s="5"/>
      <c r="L114" s="5"/>
      <c r="M114" s="277" t="s">
        <v>95</v>
      </c>
      <c r="N114" s="277"/>
      <c r="O114" s="278"/>
      <c r="P114" s="277"/>
      <c r="Q114" s="1856" t="str">
        <f>CHOOSE(2, "6722000003033", "PL (1)-1 Cost of Sales NH")</f>
        <v>PL (1)-1 Cost of Sales NH</v>
      </c>
      <c r="R114" s="2118">
        <f t="shared" ref="R114:AC114" si="239">R104-R129</f>
        <v>52089</v>
      </c>
      <c r="S114" s="279">
        <f t="shared" si="239"/>
        <v>41838</v>
      </c>
      <c r="T114" s="279">
        <f t="shared" si="239"/>
        <v>52762</v>
      </c>
      <c r="U114" s="279">
        <f t="shared" si="239"/>
        <v>47794</v>
      </c>
      <c r="V114" s="279">
        <f t="shared" si="239"/>
        <v>55344.836949456265</v>
      </c>
      <c r="W114" s="279">
        <f t="shared" si="239"/>
        <v>45946</v>
      </c>
      <c r="X114" s="279">
        <f t="shared" si="239"/>
        <v>53250</v>
      </c>
      <c r="Y114" s="279">
        <f t="shared" si="239"/>
        <v>57378</v>
      </c>
      <c r="Z114" s="279">
        <f t="shared" si="239"/>
        <v>51576</v>
      </c>
      <c r="AA114" s="279">
        <f t="shared" si="239"/>
        <v>50988</v>
      </c>
      <c r="AB114" s="279">
        <f t="shared" si="239"/>
        <v>51644</v>
      </c>
      <c r="AC114" s="279">
        <f t="shared" si="239"/>
        <v>46353</v>
      </c>
      <c r="AD114" s="279">
        <f t="shared" si="227"/>
        <v>146689</v>
      </c>
      <c r="AE114" s="279">
        <f t="shared" si="235"/>
        <v>149084.83694945625</v>
      </c>
      <c r="AF114" s="279">
        <f t="shared" si="236"/>
        <v>162204</v>
      </c>
      <c r="AG114" s="279">
        <f t="shared" si="237"/>
        <v>148985</v>
      </c>
      <c r="AH114" s="279">
        <f t="shared" si="231"/>
        <v>295773.83694945625</v>
      </c>
      <c r="AI114" s="279">
        <f t="shared" si="232"/>
        <v>311189</v>
      </c>
      <c r="AJ114" s="279">
        <f t="shared" si="233"/>
        <v>606962.83694945625</v>
      </c>
      <c r="AL114" s="2118">
        <f ca="1">SUM((INDIRECT(AL$2&amp;(ROW())):INDIRECT(AL$3&amp;(ROW()))))</f>
        <v>46353</v>
      </c>
      <c r="AM114" s="279">
        <f ca="1">SUM(INDIRECT(AM$1&amp;AM$2&amp;$C114):INDIRECT(AM$1&amp;AM$3&amp;$C114))</f>
        <v>0</v>
      </c>
      <c r="AN114" s="881">
        <f t="shared" ca="1" si="201"/>
        <v>46353</v>
      </c>
      <c r="AO114" s="932">
        <f t="shared" ca="1" si="202"/>
        <v>0</v>
      </c>
      <c r="AP114" s="279">
        <f ca="1">SUM(INDIRECT(AP$1&amp;AP$2&amp;$A114):INDIRECT(AP$1&amp;AP$3&amp;$A114))+SUM(INDIRECT(AP$1&amp;AP$2&amp;$B114):INDIRECT(AP$1&amp;AP$3&amp;$B114))</f>
        <v>38040</v>
      </c>
      <c r="AQ114" s="881">
        <f t="shared" ca="1" si="203"/>
        <v>8313</v>
      </c>
      <c r="AR114" s="932">
        <f t="shared" ca="1" si="204"/>
        <v>1.2185331230283911</v>
      </c>
      <c r="AT114" s="2118">
        <f ca="1">SUM((INDIRECT(AT$2&amp;(ROW())):INDIRECT(AT$3&amp;(ROW()))))</f>
        <v>148985</v>
      </c>
      <c r="AU114" s="279">
        <f ca="1">SUM(INDIRECT(AU$1&amp;AU$2&amp;$C114):INDIRECT(AU$1&amp;AU$3&amp;$C114))</f>
        <v>0</v>
      </c>
      <c r="AV114" s="881">
        <f t="shared" ca="1" si="205"/>
        <v>148985</v>
      </c>
      <c r="AW114" s="932">
        <f t="shared" ca="1" si="206"/>
        <v>0</v>
      </c>
      <c r="AX114" s="279">
        <f ca="1">SUM(INDIRECT(AX$1&amp;AX$2&amp;$A114):INDIRECT(AX$1&amp;AX$3&amp;$A114))+SUM(INDIRECT(AX$1&amp;AX$2&amp;$B114):INDIRECT(AX$1&amp;AX$3&amp;$B114))</f>
        <v>115289</v>
      </c>
      <c r="AY114" s="881">
        <f t="shared" ca="1" si="207"/>
        <v>33696</v>
      </c>
      <c r="AZ114" s="932">
        <f t="shared" ca="1" si="208"/>
        <v>1.2922741978853143</v>
      </c>
      <c r="BB114" s="2118">
        <f ca="1">SUM((INDIRECT(BB$2&amp;(ROW())):INDIRECT(BB$3&amp;(ROW()))))</f>
        <v>606962.83694945625</v>
      </c>
      <c r="BC114" s="279">
        <f ca="1">SUM(INDIRECT(BC$1&amp;BC$2&amp;$C114):INDIRECT(BC$1&amp;BC$3&amp;$C114))</f>
        <v>0</v>
      </c>
      <c r="BD114" s="881">
        <f t="shared" ca="1" si="209"/>
        <v>606962.83694945625</v>
      </c>
      <c r="BE114" s="932">
        <f t="shared" ca="1" si="210"/>
        <v>0</v>
      </c>
      <c r="BF114" s="279">
        <f ca="1">SUM(INDIRECT(BF$1&amp;BF$2&amp;$A114):INDIRECT(BF$1&amp;BF$3&amp;$A114))+SUM(INDIRECT(BF$1&amp;BF$2&amp;$B114):INDIRECT(BF$1&amp;BF$3&amp;$B114))</f>
        <v>432008</v>
      </c>
      <c r="BG114" s="881">
        <f t="shared" ca="1" si="211"/>
        <v>174954.83694945625</v>
      </c>
      <c r="BH114" s="932">
        <f t="shared" ca="1" si="212"/>
        <v>1.4049805488543181</v>
      </c>
    </row>
    <row r="115" spans="1:60" ht="14.5">
      <c r="A115" s="990">
        <f t="shared" si="213"/>
        <v>89</v>
      </c>
      <c r="B115" s="990">
        <v>1</v>
      </c>
      <c r="C115" s="990">
        <f t="shared" si="128"/>
        <v>112</v>
      </c>
      <c r="E115" s="1243">
        <v>1</v>
      </c>
      <c r="F115" s="5"/>
      <c r="G115" s="5"/>
      <c r="H115" s="5"/>
      <c r="I115" s="30"/>
      <c r="J115" s="4"/>
      <c r="K115" s="5"/>
      <c r="L115" s="5"/>
      <c r="M115" s="4"/>
      <c r="N115" s="4"/>
      <c r="O115" s="374" t="s">
        <v>542</v>
      </c>
      <c r="P115" s="1141"/>
      <c r="Q115" s="1855" t="str">
        <f>CHOOSE(2, "6722000003034", "PL (1)-1 Cost of Sales NH MC(T, P, C)")</f>
        <v>PL (1)-1 Cost of Sales NH MC(T, P, C)</v>
      </c>
      <c r="R115" s="2210">
        <v>44542</v>
      </c>
      <c r="S115" s="2087">
        <v>34017</v>
      </c>
      <c r="T115" s="2087">
        <v>44829</v>
      </c>
      <c r="U115" s="2087">
        <v>40052</v>
      </c>
      <c r="V115" s="2087">
        <v>47838.249475932134</v>
      </c>
      <c r="W115" s="2087">
        <v>38405</v>
      </c>
      <c r="X115" s="2087">
        <v>41562</v>
      </c>
      <c r="Y115" s="2087">
        <v>50033</v>
      </c>
      <c r="Z115" s="2087">
        <v>43851</v>
      </c>
      <c r="AA115" s="2087">
        <v>43080</v>
      </c>
      <c r="AB115" s="2087">
        <v>43502</v>
      </c>
      <c r="AC115" s="2087">
        <v>37509</v>
      </c>
      <c r="AD115" s="581">
        <f t="shared" si="227"/>
        <v>123388</v>
      </c>
      <c r="AE115" s="581">
        <f t="shared" ref="AE115:AE116" si="240">SUM(U115,V115,W115)</f>
        <v>126295.24947593213</v>
      </c>
      <c r="AF115" s="581">
        <f t="shared" ref="AF115:AF116" si="241">SUM(X115,Y115,Z115)</f>
        <v>135446</v>
      </c>
      <c r="AG115" s="581">
        <f t="shared" ref="AG115:AG116" si="242">SUM(AA115,AB115,AC115)</f>
        <v>124091</v>
      </c>
      <c r="AH115" s="581">
        <f t="shared" si="231"/>
        <v>249683.24947593213</v>
      </c>
      <c r="AI115" s="581">
        <f t="shared" si="232"/>
        <v>259537</v>
      </c>
      <c r="AJ115" s="581">
        <f t="shared" si="233"/>
        <v>509220.2494759321</v>
      </c>
      <c r="AL115" s="859">
        <f ca="1">SUM((INDIRECT(AL$2&amp;(ROW())):INDIRECT(AL$3&amp;(ROW()))))</f>
        <v>37509</v>
      </c>
      <c r="AM115" s="581">
        <f ca="1">SUM(INDIRECT(AM$1&amp;AM$2&amp;$C115):INDIRECT(AM$1&amp;AM$3&amp;$C115))</f>
        <v>0</v>
      </c>
      <c r="AN115" s="882">
        <f t="shared" ca="1" si="201"/>
        <v>37509</v>
      </c>
      <c r="AO115" s="933">
        <f t="shared" ca="1" si="202"/>
        <v>0</v>
      </c>
      <c r="AP115" s="581">
        <f ca="1">SUM(INDIRECT(AP$1&amp;AP$2&amp;$A115):INDIRECT(AP$1&amp;AP$3&amp;$A115))+SUM(INDIRECT(AP$1&amp;AP$2&amp;$B115):INDIRECT(AP$1&amp;AP$3&amp;$B115))</f>
        <v>27315</v>
      </c>
      <c r="AQ115" s="882">
        <f t="shared" ca="1" si="203"/>
        <v>10194</v>
      </c>
      <c r="AR115" s="933">
        <f t="shared" ca="1" si="204"/>
        <v>1.3732015376166942</v>
      </c>
      <c r="AT115" s="859">
        <f ca="1">SUM((INDIRECT(AT$2&amp;(ROW())):INDIRECT(AT$3&amp;(ROW()))))</f>
        <v>124091</v>
      </c>
      <c r="AU115" s="581">
        <f ca="1">SUM(INDIRECT(AU$1&amp;AU$2&amp;$C115):INDIRECT(AU$1&amp;AU$3&amp;$C115))</f>
        <v>0</v>
      </c>
      <c r="AV115" s="882">
        <f t="shared" ca="1" si="205"/>
        <v>124091</v>
      </c>
      <c r="AW115" s="933">
        <f t="shared" ca="1" si="206"/>
        <v>0</v>
      </c>
      <c r="AX115" s="581">
        <f ca="1">SUM(INDIRECT(AX$1&amp;AX$2&amp;$A115):INDIRECT(AX$1&amp;AX$3&amp;$A115))+SUM(INDIRECT(AX$1&amp;AX$2&amp;$B115):INDIRECT(AX$1&amp;AX$3&amp;$B115))</f>
        <v>90923</v>
      </c>
      <c r="AY115" s="882">
        <f t="shared" ca="1" si="207"/>
        <v>33168</v>
      </c>
      <c r="AZ115" s="933">
        <f t="shared" ca="1" si="208"/>
        <v>1.3647921867954202</v>
      </c>
      <c r="BB115" s="859">
        <f ca="1">SUM((INDIRECT(BB$2&amp;(ROW())):INDIRECT(BB$3&amp;(ROW()))))</f>
        <v>509220.2494759321</v>
      </c>
      <c r="BC115" s="581">
        <f ca="1">SUM(INDIRECT(BC$1&amp;BC$2&amp;$C115):INDIRECT(BC$1&amp;BC$3&amp;$C115))</f>
        <v>0</v>
      </c>
      <c r="BD115" s="882">
        <f t="shared" ca="1" si="209"/>
        <v>509220.2494759321</v>
      </c>
      <c r="BE115" s="933">
        <f t="shared" ca="1" si="210"/>
        <v>0</v>
      </c>
      <c r="BF115" s="581">
        <f ca="1">SUM(INDIRECT(BF$1&amp;BF$2&amp;$A115):INDIRECT(BF$1&amp;BF$3&amp;$A115))+SUM(INDIRECT(BF$1&amp;BF$2&amp;$B115):INDIRECT(BF$1&amp;BF$3&amp;$B115))</f>
        <v>350708</v>
      </c>
      <c r="BG115" s="882">
        <f t="shared" ca="1" si="211"/>
        <v>158512.2494759321</v>
      </c>
      <c r="BH115" s="933">
        <f t="shared" ca="1" si="212"/>
        <v>1.4519778547279563</v>
      </c>
    </row>
    <row r="116" spans="1:60" ht="14.5">
      <c r="A116" s="990">
        <f t="shared" si="213"/>
        <v>90</v>
      </c>
      <c r="B116" s="990">
        <v>1</v>
      </c>
      <c r="C116" s="990">
        <f t="shared" si="128"/>
        <v>113</v>
      </c>
      <c r="E116" s="1243">
        <v>1</v>
      </c>
      <c r="F116" s="5"/>
      <c r="G116" s="5"/>
      <c r="H116" s="5"/>
      <c r="I116" s="30"/>
      <c r="J116" s="4"/>
      <c r="K116" s="5"/>
      <c r="L116" s="5"/>
      <c r="M116" s="4"/>
      <c r="N116" s="4"/>
      <c r="O116" s="4"/>
      <c r="P116" s="4" t="s">
        <v>462</v>
      </c>
      <c r="Q116" s="1855" t="str">
        <f>CHOOSE(2, "6722000003035", "PL (1)-1 Cost of Sales NH MC(T, P, C) Direct")</f>
        <v>PL (1)-1 Cost of Sales NH MC(T, P, C) Direct</v>
      </c>
      <c r="R116" s="2032">
        <f>R462-R495</f>
        <v>4050</v>
      </c>
      <c r="S116" s="2032">
        <f>S462-S495</f>
        <v>6676</v>
      </c>
      <c r="T116" s="2032">
        <f t="shared" ref="T116:AC116" si="243">T462-T495</f>
        <v>5960</v>
      </c>
      <c r="U116" s="2032">
        <f t="shared" si="243"/>
        <v>5800</v>
      </c>
      <c r="V116" s="2032">
        <f t="shared" si="243"/>
        <v>8075.1177085886011</v>
      </c>
      <c r="W116" s="2032">
        <f t="shared" si="243"/>
        <v>6168</v>
      </c>
      <c r="X116" s="2032">
        <f t="shared" si="243"/>
        <v>5662</v>
      </c>
      <c r="Y116" s="2032">
        <f t="shared" si="243"/>
        <v>6474</v>
      </c>
      <c r="Z116" s="2032">
        <f t="shared" si="243"/>
        <v>6956</v>
      </c>
      <c r="AA116" s="2032">
        <f t="shared" si="243"/>
        <v>6114</v>
      </c>
      <c r="AB116" s="2032">
        <f t="shared" si="243"/>
        <v>7693</v>
      </c>
      <c r="AC116" s="2032">
        <f t="shared" si="243"/>
        <v>2345</v>
      </c>
      <c r="AD116" s="89">
        <f t="shared" si="227"/>
        <v>16686</v>
      </c>
      <c r="AE116" s="89">
        <f t="shared" si="240"/>
        <v>20043.117708588601</v>
      </c>
      <c r="AF116" s="89">
        <f t="shared" si="241"/>
        <v>19092</v>
      </c>
      <c r="AG116" s="89">
        <f t="shared" si="242"/>
        <v>16152</v>
      </c>
      <c r="AH116" s="89">
        <f t="shared" si="231"/>
        <v>36729.117708588601</v>
      </c>
      <c r="AI116" s="89">
        <f t="shared" si="232"/>
        <v>35244</v>
      </c>
      <c r="AJ116" s="89">
        <f t="shared" si="233"/>
        <v>71973.117708588601</v>
      </c>
      <c r="AL116" s="13">
        <f ca="1">SUM((INDIRECT(AL$2&amp;(ROW())):INDIRECT(AL$3&amp;(ROW()))))</f>
        <v>2345</v>
      </c>
      <c r="AM116" s="89">
        <f ca="1">SUM(INDIRECT(AM$1&amp;AM$2&amp;$C116):INDIRECT(AM$1&amp;AM$3&amp;$C116))</f>
        <v>0</v>
      </c>
      <c r="AN116" s="880">
        <f t="shared" ca="1" si="201"/>
        <v>2345</v>
      </c>
      <c r="AO116" s="931">
        <f t="shared" ca="1" si="202"/>
        <v>0</v>
      </c>
      <c r="AP116" s="89">
        <f ca="1">SUM(INDIRECT(AP$1&amp;AP$2&amp;$A116):INDIRECT(AP$1&amp;AP$3&amp;$A116))+SUM(INDIRECT(AP$1&amp;AP$2&amp;$B116):INDIRECT(AP$1&amp;AP$3&amp;$B116))</f>
        <v>5125</v>
      </c>
      <c r="AQ116" s="880">
        <f t="shared" ca="1" si="203"/>
        <v>-2780</v>
      </c>
      <c r="AR116" s="931">
        <f t="shared" ca="1" si="204"/>
        <v>0.45756097560975612</v>
      </c>
      <c r="AT116" s="13">
        <f ca="1">SUM((INDIRECT(AT$2&amp;(ROW())):INDIRECT(AT$3&amp;(ROW()))))</f>
        <v>16152</v>
      </c>
      <c r="AU116" s="89">
        <f ca="1">SUM(INDIRECT(AU$1&amp;AU$2&amp;$C116):INDIRECT(AU$1&amp;AU$3&amp;$C116))</f>
        <v>0</v>
      </c>
      <c r="AV116" s="880">
        <f t="shared" ca="1" si="205"/>
        <v>16152</v>
      </c>
      <c r="AW116" s="931">
        <f t="shared" ca="1" si="206"/>
        <v>0</v>
      </c>
      <c r="AX116" s="89">
        <f ca="1">SUM(INDIRECT(AX$1&amp;AX$2&amp;$A116):INDIRECT(AX$1&amp;AX$3&amp;$A116))+SUM(INDIRECT(AX$1&amp;AX$2&amp;$B116):INDIRECT(AX$1&amp;AX$3&amp;$B116))</f>
        <v>15478</v>
      </c>
      <c r="AY116" s="880">
        <f t="shared" ca="1" si="207"/>
        <v>674</v>
      </c>
      <c r="AZ116" s="931">
        <f t="shared" ca="1" si="208"/>
        <v>1.0435456777361416</v>
      </c>
      <c r="BB116" s="13">
        <f ca="1">SUM((INDIRECT(BB$2&amp;(ROW())):INDIRECT(BB$3&amp;(ROW()))))</f>
        <v>71973.117708588601</v>
      </c>
      <c r="BC116" s="89">
        <f ca="1">SUM(INDIRECT(BC$1&amp;BC$2&amp;$C116):INDIRECT(BC$1&amp;BC$3&amp;$C116))</f>
        <v>0</v>
      </c>
      <c r="BD116" s="880">
        <f t="shared" ca="1" si="209"/>
        <v>71973.117708588601</v>
      </c>
      <c r="BE116" s="931">
        <f t="shared" ca="1" si="210"/>
        <v>0</v>
      </c>
      <c r="BF116" s="89">
        <f ca="1">SUM(INDIRECT(BF$1&amp;BF$2&amp;$A116):INDIRECT(BF$1&amp;BF$3&amp;$A116))+SUM(INDIRECT(BF$1&amp;BF$2&amp;$B116):INDIRECT(BF$1&amp;BF$3&amp;$B116))</f>
        <v>52136</v>
      </c>
      <c r="BG116" s="880">
        <f t="shared" ca="1" si="211"/>
        <v>19837.117708588601</v>
      </c>
      <c r="BH116" s="931">
        <f t="shared" ca="1" si="212"/>
        <v>1.3804879106296724</v>
      </c>
    </row>
    <row r="117" spans="1:60" ht="14.5">
      <c r="A117" s="990">
        <f t="shared" si="213"/>
        <v>91</v>
      </c>
      <c r="B117" s="990">
        <v>1</v>
      </c>
      <c r="C117" s="990">
        <f t="shared" si="128"/>
        <v>114</v>
      </c>
      <c r="E117" s="1243">
        <v>1</v>
      </c>
      <c r="F117" s="5"/>
      <c r="G117" s="5"/>
      <c r="H117" s="5"/>
      <c r="I117" s="30"/>
      <c r="J117" s="4"/>
      <c r="K117" s="5"/>
      <c r="L117" s="5"/>
      <c r="M117" s="4"/>
      <c r="N117" s="4"/>
      <c r="O117" s="4"/>
      <c r="P117" s="51" t="s">
        <v>463</v>
      </c>
      <c r="Q117" s="1854" t="str">
        <f>CHOOSE(2, "6722000003036", "PL (1)-1 Cost of Sales NH MC(T, P, C) Indirect")</f>
        <v>PL (1)-1 Cost of Sales NH MC(T, P, C) Indirect</v>
      </c>
      <c r="R117" s="2061">
        <f>R115-R116</f>
        <v>40492</v>
      </c>
      <c r="S117" s="134">
        <f t="shared" ref="S117:AC117" si="244">S115-S116</f>
        <v>27341</v>
      </c>
      <c r="T117" s="134">
        <f t="shared" si="244"/>
        <v>38869</v>
      </c>
      <c r="U117" s="134">
        <f t="shared" si="244"/>
        <v>34252</v>
      </c>
      <c r="V117" s="134">
        <f t="shared" si="244"/>
        <v>39763.131767343533</v>
      </c>
      <c r="W117" s="134">
        <f t="shared" si="244"/>
        <v>32237</v>
      </c>
      <c r="X117" s="134">
        <f t="shared" si="244"/>
        <v>35900</v>
      </c>
      <c r="Y117" s="134">
        <f t="shared" si="244"/>
        <v>43559</v>
      </c>
      <c r="Z117" s="134">
        <f t="shared" si="244"/>
        <v>36895</v>
      </c>
      <c r="AA117" s="134">
        <f t="shared" si="244"/>
        <v>36966</v>
      </c>
      <c r="AB117" s="134">
        <f t="shared" si="244"/>
        <v>35809</v>
      </c>
      <c r="AC117" s="134">
        <f t="shared" si="244"/>
        <v>35164</v>
      </c>
      <c r="AD117" s="134">
        <f t="shared" ref="AD117:AJ117" si="245">AD115-AD116</f>
        <v>106702</v>
      </c>
      <c r="AE117" s="134">
        <f t="shared" si="245"/>
        <v>106252.13176734353</v>
      </c>
      <c r="AF117" s="134">
        <f t="shared" si="245"/>
        <v>116354</v>
      </c>
      <c r="AG117" s="134">
        <f t="shared" si="245"/>
        <v>107939</v>
      </c>
      <c r="AH117" s="134">
        <f t="shared" si="245"/>
        <v>212954.13176734353</v>
      </c>
      <c r="AI117" s="134">
        <f t="shared" si="245"/>
        <v>224293</v>
      </c>
      <c r="AJ117" s="134">
        <f t="shared" si="245"/>
        <v>437247.1317673435</v>
      </c>
      <c r="AL117" s="2061">
        <f ca="1">SUM((INDIRECT(AL$2&amp;(ROW())):INDIRECT(AL$3&amp;(ROW()))))</f>
        <v>35164</v>
      </c>
      <c r="AM117" s="134">
        <f ca="1">SUM(INDIRECT(AM$1&amp;AM$2&amp;$C117):INDIRECT(AM$1&amp;AM$3&amp;$C117))</f>
        <v>0</v>
      </c>
      <c r="AN117" s="883">
        <f t="shared" ca="1" si="201"/>
        <v>35164</v>
      </c>
      <c r="AO117" s="934">
        <f t="shared" ca="1" si="202"/>
        <v>0</v>
      </c>
      <c r="AP117" s="134">
        <f ca="1">SUM(INDIRECT(AP$1&amp;AP$2&amp;$A117):INDIRECT(AP$1&amp;AP$3&amp;$A117))+SUM(INDIRECT(AP$1&amp;AP$2&amp;$B117):INDIRECT(AP$1&amp;AP$3&amp;$B117))</f>
        <v>22190</v>
      </c>
      <c r="AQ117" s="883">
        <f t="shared" ca="1" si="203"/>
        <v>12974</v>
      </c>
      <c r="AR117" s="934">
        <f t="shared" ca="1" si="204"/>
        <v>1.5846777827850382</v>
      </c>
      <c r="AT117" s="2061">
        <f ca="1">SUM((INDIRECT(AT$2&amp;(ROW())):INDIRECT(AT$3&amp;(ROW()))))</f>
        <v>107939</v>
      </c>
      <c r="AU117" s="134">
        <f ca="1">SUM(INDIRECT(AU$1&amp;AU$2&amp;$C117):INDIRECT(AU$1&amp;AU$3&amp;$C117))</f>
        <v>0</v>
      </c>
      <c r="AV117" s="883">
        <f t="shared" ca="1" si="205"/>
        <v>107939</v>
      </c>
      <c r="AW117" s="934">
        <f t="shared" ca="1" si="206"/>
        <v>0</v>
      </c>
      <c r="AX117" s="134">
        <f ca="1">SUM(INDIRECT(AX$1&amp;AX$2&amp;$A117):INDIRECT(AX$1&amp;AX$3&amp;$A117))+SUM(INDIRECT(AX$1&amp;AX$2&amp;$B117):INDIRECT(AX$1&amp;AX$3&amp;$B117))</f>
        <v>75445</v>
      </c>
      <c r="AY117" s="883">
        <f t="shared" ca="1" si="207"/>
        <v>32494</v>
      </c>
      <c r="AZ117" s="934">
        <f t="shared" ca="1" si="208"/>
        <v>1.4306978593677513</v>
      </c>
      <c r="BB117" s="2061">
        <f ca="1">SUM((INDIRECT(BB$2&amp;(ROW())):INDIRECT(BB$3&amp;(ROW()))))</f>
        <v>437247.1317673435</v>
      </c>
      <c r="BC117" s="134">
        <f ca="1">SUM(INDIRECT(BC$1&amp;BC$2&amp;$C117):INDIRECT(BC$1&amp;BC$3&amp;$C117))</f>
        <v>0</v>
      </c>
      <c r="BD117" s="883">
        <f t="shared" ca="1" si="209"/>
        <v>437247.1317673435</v>
      </c>
      <c r="BE117" s="934">
        <f t="shared" ca="1" si="210"/>
        <v>0</v>
      </c>
      <c r="BF117" s="134">
        <f ca="1">SUM(INDIRECT(BF$1&amp;BF$2&amp;$A117):INDIRECT(BF$1&amp;BF$3&amp;$A117))+SUM(INDIRECT(BF$1&amp;BF$2&amp;$B117):INDIRECT(BF$1&amp;BF$3&amp;$B117))</f>
        <v>298572</v>
      </c>
      <c r="BG117" s="883">
        <f t="shared" ca="1" si="211"/>
        <v>138675.1317673435</v>
      </c>
      <c r="BH117" s="934">
        <f t="shared" ca="1" si="212"/>
        <v>1.4644612748929688</v>
      </c>
    </row>
    <row r="118" spans="1:60" ht="14.5">
      <c r="A118" s="990">
        <f t="shared" si="213"/>
        <v>92</v>
      </c>
      <c r="B118" s="990">
        <v>1</v>
      </c>
      <c r="C118" s="990">
        <f t="shared" si="128"/>
        <v>115</v>
      </c>
      <c r="E118" s="1243">
        <v>1</v>
      </c>
      <c r="F118" s="5"/>
      <c r="G118" s="5"/>
      <c r="H118" s="5"/>
      <c r="I118" s="30"/>
      <c r="J118" s="4"/>
      <c r="K118" s="5"/>
      <c r="L118" s="5"/>
      <c r="M118" s="4"/>
      <c r="N118" s="4"/>
      <c r="O118" s="4" t="s">
        <v>372</v>
      </c>
      <c r="P118" s="4"/>
      <c r="Q118" s="1854" t="str">
        <f>CHOOSE(2, "6722000003037", "PL (1)-1 Cost of Sales NH Field Service Cost")</f>
        <v>PL (1)-1 Cost of Sales NH Field Service Cost</v>
      </c>
      <c r="R118" s="13">
        <f t="shared" ref="R118:AC118" si="246">(R501+R525)*-1</f>
        <v>7512</v>
      </c>
      <c r="S118" s="89">
        <f t="shared" si="246"/>
        <v>7786</v>
      </c>
      <c r="T118" s="89">
        <f t="shared" si="246"/>
        <v>7914</v>
      </c>
      <c r="U118" s="89">
        <f t="shared" si="246"/>
        <v>7712</v>
      </c>
      <c r="V118" s="89">
        <f t="shared" si="246"/>
        <v>7474.6154735241298</v>
      </c>
      <c r="W118" s="89">
        <f t="shared" si="246"/>
        <v>7509</v>
      </c>
      <c r="X118" s="89">
        <f t="shared" si="246"/>
        <v>11656</v>
      </c>
      <c r="Y118" s="89">
        <f t="shared" si="246"/>
        <v>7319</v>
      </c>
      <c r="Z118" s="89">
        <f t="shared" si="246"/>
        <v>7693</v>
      </c>
      <c r="AA118" s="89">
        <f t="shared" si="246"/>
        <v>7876</v>
      </c>
      <c r="AB118" s="89">
        <f t="shared" si="246"/>
        <v>8110</v>
      </c>
      <c r="AC118" s="89">
        <f t="shared" si="246"/>
        <v>8798</v>
      </c>
      <c r="AD118" s="89">
        <f t="shared" ref="AD118:AD123" si="247">SUM(R118,S118,T118)</f>
        <v>23212</v>
      </c>
      <c r="AE118" s="89">
        <f t="shared" ref="AE118:AE123" si="248">SUM(U118,V118,W118)</f>
        <v>22695.615473524129</v>
      </c>
      <c r="AF118" s="89">
        <f t="shared" ref="AF118:AF123" si="249">SUM(X118,Y118,Z118)</f>
        <v>26668</v>
      </c>
      <c r="AG118" s="89">
        <f t="shared" ref="AG118:AG123" si="250">SUM(AA118,AB118,AC118)</f>
        <v>24784</v>
      </c>
      <c r="AH118" s="89">
        <f t="shared" si="231"/>
        <v>45907.615473524129</v>
      </c>
      <c r="AI118" s="89">
        <f t="shared" si="232"/>
        <v>51452</v>
      </c>
      <c r="AJ118" s="89">
        <f t="shared" si="233"/>
        <v>97359.615473524129</v>
      </c>
      <c r="AL118" s="13">
        <f ca="1">SUM((INDIRECT(AL$2&amp;(ROW())):INDIRECT(AL$3&amp;(ROW()))))</f>
        <v>8798</v>
      </c>
      <c r="AM118" s="89">
        <f ca="1">SUM(INDIRECT(AM$1&amp;AM$2&amp;$C118):INDIRECT(AM$1&amp;AM$3&amp;$C118))</f>
        <v>0</v>
      </c>
      <c r="AN118" s="880">
        <f t="shared" ca="1" si="201"/>
        <v>8798</v>
      </c>
      <c r="AO118" s="931">
        <f t="shared" ca="1" si="202"/>
        <v>0</v>
      </c>
      <c r="AP118" s="89">
        <f ca="1">SUM(INDIRECT(AP$1&amp;AP$2&amp;$A118):INDIRECT(AP$1&amp;AP$3&amp;$A118))+SUM(INDIRECT(AP$1&amp;AP$2&amp;$B118):INDIRECT(AP$1&amp;AP$3&amp;$B118))</f>
        <v>10718</v>
      </c>
      <c r="AQ118" s="880">
        <f t="shared" ca="1" si="203"/>
        <v>-1920</v>
      </c>
      <c r="AR118" s="931">
        <f t="shared" ca="1" si="204"/>
        <v>0.82086210113827207</v>
      </c>
      <c r="AT118" s="13">
        <f ca="1">SUM((INDIRECT(AT$2&amp;(ROW())):INDIRECT(AT$3&amp;(ROW()))))</f>
        <v>24784</v>
      </c>
      <c r="AU118" s="89">
        <f ca="1">SUM(INDIRECT(AU$1&amp;AU$2&amp;$C118):INDIRECT(AU$1&amp;AU$3&amp;$C118))</f>
        <v>0</v>
      </c>
      <c r="AV118" s="880">
        <f t="shared" ca="1" si="205"/>
        <v>24784</v>
      </c>
      <c r="AW118" s="931">
        <f t="shared" ca="1" si="206"/>
        <v>0</v>
      </c>
      <c r="AX118" s="89">
        <f ca="1">SUM(INDIRECT(AX$1&amp;AX$2&amp;$A118):INDIRECT(AX$1&amp;AX$3&amp;$A118))+SUM(INDIRECT(AX$1&amp;AX$2&amp;$B118):INDIRECT(AX$1&amp;AX$3&amp;$B118))</f>
        <v>24296</v>
      </c>
      <c r="AY118" s="880">
        <f t="shared" ca="1" si="207"/>
        <v>488</v>
      </c>
      <c r="AZ118" s="931">
        <f t="shared" ca="1" si="208"/>
        <v>1.0200856108001317</v>
      </c>
      <c r="BB118" s="13">
        <f ca="1">SUM((INDIRECT(BB$2&amp;(ROW())):INDIRECT(BB$3&amp;(ROW()))))</f>
        <v>97359.615473524129</v>
      </c>
      <c r="BC118" s="89">
        <f ca="1">SUM(INDIRECT(BC$1&amp;BC$2&amp;$C118):INDIRECT(BC$1&amp;BC$3&amp;$C118))</f>
        <v>0</v>
      </c>
      <c r="BD118" s="880">
        <f t="shared" ca="1" si="209"/>
        <v>97359.615473524129</v>
      </c>
      <c r="BE118" s="931">
        <f t="shared" ca="1" si="210"/>
        <v>0</v>
      </c>
      <c r="BF118" s="89">
        <f ca="1">SUM(INDIRECT(BF$1&amp;BF$2&amp;$A118):INDIRECT(BF$1&amp;BF$3&amp;$A118))+SUM(INDIRECT(BF$1&amp;BF$2&amp;$B118):INDIRECT(BF$1&amp;BF$3&amp;$B118))</f>
        <v>80923</v>
      </c>
      <c r="BG118" s="880">
        <f t="shared" ca="1" si="211"/>
        <v>16436.615473524129</v>
      </c>
      <c r="BH118" s="931">
        <f t="shared" ca="1" si="212"/>
        <v>1.2031142626141409</v>
      </c>
    </row>
    <row r="119" spans="1:60" ht="14.5">
      <c r="A119" s="990">
        <f t="shared" si="213"/>
        <v>93</v>
      </c>
      <c r="B119" s="990">
        <v>1</v>
      </c>
      <c r="C119" s="990">
        <f t="shared" si="128"/>
        <v>116</v>
      </c>
      <c r="E119" s="1243">
        <v>1</v>
      </c>
      <c r="F119" s="5"/>
      <c r="G119" s="5"/>
      <c r="H119" s="5"/>
      <c r="I119" s="30"/>
      <c r="J119" s="4"/>
      <c r="K119" s="5"/>
      <c r="L119" s="5"/>
      <c r="M119" s="4"/>
      <c r="N119" s="4"/>
      <c r="O119" s="4" t="s">
        <v>373</v>
      </c>
      <c r="P119" s="4"/>
      <c r="Q119" s="1854" t="str">
        <f>CHOOSE(2, "6722000003038", "PL (1)-1 Cost of Sales NH Service Desk Cost")</f>
        <v>PL (1)-1 Cost of Sales NH Service Desk Cost</v>
      </c>
      <c r="R119" s="13">
        <f t="shared" ref="R119:AC119" si="251">(R505+R529)*-1</f>
        <v>35</v>
      </c>
      <c r="S119" s="89">
        <f t="shared" si="251"/>
        <v>35</v>
      </c>
      <c r="T119" s="89">
        <f t="shared" si="251"/>
        <v>19</v>
      </c>
      <c r="U119" s="89">
        <f t="shared" si="251"/>
        <v>30</v>
      </c>
      <c r="V119" s="89">
        <f t="shared" si="251"/>
        <v>31.972000000000001</v>
      </c>
      <c r="W119" s="89">
        <f t="shared" si="251"/>
        <v>32</v>
      </c>
      <c r="X119" s="89">
        <f t="shared" si="251"/>
        <v>32</v>
      </c>
      <c r="Y119" s="89">
        <f t="shared" si="251"/>
        <v>26</v>
      </c>
      <c r="Z119" s="89">
        <f t="shared" si="251"/>
        <v>32</v>
      </c>
      <c r="AA119" s="89">
        <f t="shared" si="251"/>
        <v>32</v>
      </c>
      <c r="AB119" s="89">
        <f t="shared" si="251"/>
        <v>32</v>
      </c>
      <c r="AC119" s="89">
        <f t="shared" si="251"/>
        <v>42</v>
      </c>
      <c r="AD119" s="89">
        <f t="shared" si="247"/>
        <v>89</v>
      </c>
      <c r="AE119" s="89">
        <f t="shared" si="248"/>
        <v>93.972000000000008</v>
      </c>
      <c r="AF119" s="89">
        <f t="shared" si="249"/>
        <v>90</v>
      </c>
      <c r="AG119" s="89">
        <f t="shared" si="250"/>
        <v>106</v>
      </c>
      <c r="AH119" s="89">
        <f t="shared" si="231"/>
        <v>182.97200000000001</v>
      </c>
      <c r="AI119" s="89">
        <f t="shared" si="232"/>
        <v>196</v>
      </c>
      <c r="AJ119" s="89">
        <f t="shared" si="233"/>
        <v>378.97199999999998</v>
      </c>
      <c r="AL119" s="13">
        <f ca="1">SUM((INDIRECT(AL$2&amp;(ROW())):INDIRECT(AL$3&amp;(ROW()))))</f>
        <v>42</v>
      </c>
      <c r="AM119" s="89">
        <f ca="1">SUM(INDIRECT(AM$1&amp;AM$2&amp;$C119):INDIRECT(AM$1&amp;AM$3&amp;$C119))</f>
        <v>0</v>
      </c>
      <c r="AN119" s="880">
        <f t="shared" ca="1" si="201"/>
        <v>42</v>
      </c>
      <c r="AO119" s="931">
        <f t="shared" ca="1" si="202"/>
        <v>0</v>
      </c>
      <c r="AP119" s="89">
        <f ca="1">SUM(INDIRECT(AP$1&amp;AP$2&amp;$A119):INDIRECT(AP$1&amp;AP$3&amp;$A119))+SUM(INDIRECT(AP$1&amp;AP$2&amp;$B119):INDIRECT(AP$1&amp;AP$3&amp;$B119))</f>
        <v>7</v>
      </c>
      <c r="AQ119" s="880">
        <f t="shared" ca="1" si="203"/>
        <v>35</v>
      </c>
      <c r="AR119" s="931">
        <f t="shared" ca="1" si="204"/>
        <v>6</v>
      </c>
      <c r="AT119" s="13">
        <f ca="1">SUM((INDIRECT(AT$2&amp;(ROW())):INDIRECT(AT$3&amp;(ROW()))))</f>
        <v>106</v>
      </c>
      <c r="AU119" s="89">
        <f ca="1">SUM(INDIRECT(AU$1&amp;AU$2&amp;$C119):INDIRECT(AU$1&amp;AU$3&amp;$C119))</f>
        <v>0</v>
      </c>
      <c r="AV119" s="880">
        <f t="shared" ca="1" si="205"/>
        <v>106</v>
      </c>
      <c r="AW119" s="931">
        <f t="shared" ca="1" si="206"/>
        <v>0</v>
      </c>
      <c r="AX119" s="89">
        <f ca="1">SUM(INDIRECT(AX$1&amp;AX$2&amp;$A119):INDIRECT(AX$1&amp;AX$3&amp;$A119))+SUM(INDIRECT(AX$1&amp;AX$2&amp;$B119):INDIRECT(AX$1&amp;AX$3&amp;$B119))</f>
        <v>70</v>
      </c>
      <c r="AY119" s="880">
        <f t="shared" ca="1" si="207"/>
        <v>36</v>
      </c>
      <c r="AZ119" s="931">
        <f t="shared" ca="1" si="208"/>
        <v>1.5142857142857142</v>
      </c>
      <c r="BB119" s="13">
        <f ca="1">SUM((INDIRECT(BB$2&amp;(ROW())):INDIRECT(BB$3&amp;(ROW()))))</f>
        <v>378.97199999999998</v>
      </c>
      <c r="BC119" s="89">
        <f ca="1">SUM(INDIRECT(BC$1&amp;BC$2&amp;$C119):INDIRECT(BC$1&amp;BC$3&amp;$C119))</f>
        <v>0</v>
      </c>
      <c r="BD119" s="880">
        <f t="shared" ca="1" si="209"/>
        <v>378.97199999999998</v>
      </c>
      <c r="BE119" s="931">
        <f t="shared" ca="1" si="210"/>
        <v>0</v>
      </c>
      <c r="BF119" s="89">
        <f ca="1">SUM(INDIRECT(BF$1&amp;BF$2&amp;$A119):INDIRECT(BF$1&amp;BF$3&amp;$A119))+SUM(INDIRECT(BF$1&amp;BF$2&amp;$B119):INDIRECT(BF$1&amp;BF$3&amp;$B119))</f>
        <v>377</v>
      </c>
      <c r="BG119" s="880">
        <f t="shared" ca="1" si="211"/>
        <v>1.97199999999998</v>
      </c>
      <c r="BH119" s="931">
        <f t="shared" ca="1" si="212"/>
        <v>1.0052307692307692</v>
      </c>
    </row>
    <row r="120" spans="1:60" ht="14.5">
      <c r="A120" s="990">
        <f t="shared" si="213"/>
        <v>94</v>
      </c>
      <c r="B120" s="990">
        <v>1</v>
      </c>
      <c r="C120" s="990">
        <f t="shared" si="128"/>
        <v>117</v>
      </c>
      <c r="E120" s="1243">
        <v>1</v>
      </c>
      <c r="F120" s="5"/>
      <c r="G120" s="5"/>
      <c r="H120" s="5"/>
      <c r="I120" s="30"/>
      <c r="J120" s="4"/>
      <c r="K120" s="5"/>
      <c r="L120" s="5"/>
      <c r="M120" s="4"/>
      <c r="N120" s="4"/>
      <c r="O120" s="4" t="s">
        <v>466</v>
      </c>
      <c r="P120" s="4"/>
      <c r="Q120" s="1854" t="str">
        <f>CHOOSE(2, "6722000003039", "PL (1)-1 Cost of Sales NH D&amp;A")</f>
        <v>PL (1)-1 Cost of Sales NH D&amp;A</v>
      </c>
      <c r="R120" s="13">
        <f>(R508+R532)*-1</f>
        <v>0</v>
      </c>
      <c r="S120" s="89">
        <f t="shared" ref="S120:AC120" si="252">(S508+S532)*-1</f>
        <v>0</v>
      </c>
      <c r="T120" s="89">
        <f t="shared" si="252"/>
        <v>0</v>
      </c>
      <c r="U120" s="89">
        <f t="shared" si="252"/>
        <v>0</v>
      </c>
      <c r="V120" s="89">
        <f t="shared" si="252"/>
        <v>0</v>
      </c>
      <c r="W120" s="89">
        <f t="shared" si="252"/>
        <v>0</v>
      </c>
      <c r="X120" s="89">
        <f t="shared" si="252"/>
        <v>0</v>
      </c>
      <c r="Y120" s="89">
        <f t="shared" si="252"/>
        <v>0</v>
      </c>
      <c r="Z120" s="89">
        <f t="shared" si="252"/>
        <v>0</v>
      </c>
      <c r="AA120" s="89">
        <f t="shared" si="252"/>
        <v>0</v>
      </c>
      <c r="AB120" s="89">
        <f t="shared" si="252"/>
        <v>0</v>
      </c>
      <c r="AC120" s="89">
        <f t="shared" si="252"/>
        <v>0</v>
      </c>
      <c r="AD120" s="89">
        <f t="shared" si="247"/>
        <v>0</v>
      </c>
      <c r="AE120" s="89">
        <f t="shared" si="248"/>
        <v>0</v>
      </c>
      <c r="AF120" s="89">
        <f t="shared" si="249"/>
        <v>0</v>
      </c>
      <c r="AG120" s="89">
        <f t="shared" si="250"/>
        <v>0</v>
      </c>
      <c r="AH120" s="89">
        <f>AD120+AE120</f>
        <v>0</v>
      </c>
      <c r="AI120" s="89">
        <f>AG120+AF120</f>
        <v>0</v>
      </c>
      <c r="AJ120" s="89">
        <f>AH120+AI120</f>
        <v>0</v>
      </c>
      <c r="AL120" s="13">
        <f ca="1">SUM((INDIRECT(AL$2&amp;(ROW())):INDIRECT(AL$3&amp;(ROW()))))</f>
        <v>0</v>
      </c>
      <c r="AM120" s="89">
        <f ca="1">SUM(INDIRECT(AM$1&amp;AM$2&amp;$C120):INDIRECT(AM$1&amp;AM$3&amp;$C120))</f>
        <v>0</v>
      </c>
      <c r="AN120" s="880">
        <f t="shared" ca="1" si="201"/>
        <v>0</v>
      </c>
      <c r="AO120" s="931">
        <f t="shared" ca="1" si="202"/>
        <v>0</v>
      </c>
      <c r="AP120" s="89">
        <f ca="1">SUM(INDIRECT(AP$1&amp;AP$2&amp;$A120):INDIRECT(AP$1&amp;AP$3&amp;$A120))+SUM(INDIRECT(AP$1&amp;AP$2&amp;$B120):INDIRECT(AP$1&amp;AP$3&amp;$B120))</f>
        <v>0</v>
      </c>
      <c r="AQ120" s="880">
        <f t="shared" ca="1" si="203"/>
        <v>0</v>
      </c>
      <c r="AR120" s="931">
        <f t="shared" ca="1" si="204"/>
        <v>0</v>
      </c>
      <c r="AT120" s="13">
        <f ca="1">SUM((INDIRECT(AT$2&amp;(ROW())):INDIRECT(AT$3&amp;(ROW()))))</f>
        <v>0</v>
      </c>
      <c r="AU120" s="89">
        <f ca="1">SUM(INDIRECT(AU$1&amp;AU$2&amp;$C120):INDIRECT(AU$1&amp;AU$3&amp;$C120))</f>
        <v>0</v>
      </c>
      <c r="AV120" s="880">
        <f t="shared" ca="1" si="205"/>
        <v>0</v>
      </c>
      <c r="AW120" s="931">
        <f t="shared" ca="1" si="206"/>
        <v>0</v>
      </c>
      <c r="AX120" s="89">
        <f ca="1">SUM(INDIRECT(AX$1&amp;AX$2&amp;$A120):INDIRECT(AX$1&amp;AX$3&amp;$A120))+SUM(INDIRECT(AX$1&amp;AX$2&amp;$B120):INDIRECT(AX$1&amp;AX$3&amp;$B120))</f>
        <v>0</v>
      </c>
      <c r="AY120" s="880">
        <f t="shared" ca="1" si="207"/>
        <v>0</v>
      </c>
      <c r="AZ120" s="931">
        <f t="shared" ca="1" si="208"/>
        <v>0</v>
      </c>
      <c r="BB120" s="13">
        <f ca="1">SUM((INDIRECT(BB$2&amp;(ROW())):INDIRECT(BB$3&amp;(ROW()))))</f>
        <v>0</v>
      </c>
      <c r="BC120" s="89">
        <f ca="1">SUM(INDIRECT(BC$1&amp;BC$2&amp;$C120):INDIRECT(BC$1&amp;BC$3&amp;$C120))</f>
        <v>0</v>
      </c>
      <c r="BD120" s="880">
        <f t="shared" ca="1" si="209"/>
        <v>0</v>
      </c>
      <c r="BE120" s="931">
        <f t="shared" ca="1" si="210"/>
        <v>0</v>
      </c>
      <c r="BF120" s="89">
        <f ca="1">SUM(INDIRECT(BF$1&amp;BF$2&amp;$A120):INDIRECT(BF$1&amp;BF$3&amp;$A120))+SUM(INDIRECT(BF$1&amp;BF$2&amp;$B120):INDIRECT(BF$1&amp;BF$3&amp;$B120))</f>
        <v>0</v>
      </c>
      <c r="BG120" s="880">
        <f t="shared" ca="1" si="211"/>
        <v>0</v>
      </c>
      <c r="BH120" s="931">
        <f t="shared" ca="1" si="212"/>
        <v>0</v>
      </c>
    </row>
    <row r="121" spans="1:60" ht="14.5">
      <c r="A121" s="990">
        <f t="shared" si="213"/>
        <v>95</v>
      </c>
      <c r="B121" s="990">
        <v>1</v>
      </c>
      <c r="C121" s="990">
        <f t="shared" si="128"/>
        <v>118</v>
      </c>
      <c r="E121" s="1243">
        <v>1</v>
      </c>
      <c r="F121" s="5"/>
      <c r="G121" s="5"/>
      <c r="H121" s="5"/>
      <c r="I121" s="30"/>
      <c r="J121" s="4"/>
      <c r="K121" s="5"/>
      <c r="L121" s="5"/>
      <c r="M121" s="4"/>
      <c r="N121" s="4"/>
      <c r="O121" s="4" t="s">
        <v>464</v>
      </c>
      <c r="P121" s="4"/>
      <c r="Q121" s="1854" t="str">
        <f>CHOOSE(2, "6722000003040", "PL (1)-1 Cost of Sales NH Others")</f>
        <v>PL (1)-1 Cost of Sales NH Others</v>
      </c>
      <c r="R121" s="13">
        <f>R114-R115-R118-R119-R120</f>
        <v>0</v>
      </c>
      <c r="S121" s="89">
        <f t="shared" ref="S121:AC121" si="253">S114-S115-S118-S119-S120</f>
        <v>0</v>
      </c>
      <c r="T121" s="89">
        <f t="shared" si="253"/>
        <v>0</v>
      </c>
      <c r="U121" s="89">
        <f t="shared" si="253"/>
        <v>0</v>
      </c>
      <c r="V121" s="89">
        <f t="shared" si="253"/>
        <v>6.6080474425689317E-13</v>
      </c>
      <c r="W121" s="89">
        <f t="shared" si="253"/>
        <v>0</v>
      </c>
      <c r="X121" s="89">
        <f t="shared" si="253"/>
        <v>0</v>
      </c>
      <c r="Y121" s="89">
        <f t="shared" si="253"/>
        <v>0</v>
      </c>
      <c r="Z121" s="89">
        <f t="shared" si="253"/>
        <v>0</v>
      </c>
      <c r="AA121" s="89">
        <f t="shared" si="253"/>
        <v>0</v>
      </c>
      <c r="AB121" s="89">
        <f t="shared" si="253"/>
        <v>0</v>
      </c>
      <c r="AC121" s="89">
        <f t="shared" si="253"/>
        <v>4</v>
      </c>
      <c r="AD121" s="89">
        <f t="shared" si="247"/>
        <v>0</v>
      </c>
      <c r="AE121" s="89">
        <f t="shared" si="248"/>
        <v>6.6080474425689317E-13</v>
      </c>
      <c r="AF121" s="89">
        <f t="shared" si="249"/>
        <v>0</v>
      </c>
      <c r="AG121" s="89">
        <f t="shared" si="250"/>
        <v>4</v>
      </c>
      <c r="AH121" s="89">
        <f>AD121+AE121</f>
        <v>6.6080474425689317E-13</v>
      </c>
      <c r="AI121" s="89">
        <f>AG121+AF121</f>
        <v>4</v>
      </c>
      <c r="AJ121" s="89">
        <f>AH121+AI121</f>
        <v>4.0000000000006608</v>
      </c>
      <c r="AL121" s="13">
        <f ca="1">SUM((INDIRECT(AL$2&amp;(ROW())):INDIRECT(AL$3&amp;(ROW()))))</f>
        <v>4</v>
      </c>
      <c r="AM121" s="89">
        <f ca="1">SUM(INDIRECT(AM$1&amp;AM$2&amp;$C121):INDIRECT(AM$1&amp;AM$3&amp;$C121))</f>
        <v>0</v>
      </c>
      <c r="AN121" s="880">
        <f t="shared" ca="1" si="201"/>
        <v>4</v>
      </c>
      <c r="AO121" s="931">
        <f t="shared" ca="1" si="202"/>
        <v>0</v>
      </c>
      <c r="AP121" s="89">
        <f ca="1">SUM(INDIRECT(AP$1&amp;AP$2&amp;$A121):INDIRECT(AP$1&amp;AP$3&amp;$A121))+SUM(INDIRECT(AP$1&amp;AP$2&amp;$B121):INDIRECT(AP$1&amp;AP$3&amp;$B121))</f>
        <v>0</v>
      </c>
      <c r="AQ121" s="880">
        <f t="shared" ca="1" si="203"/>
        <v>4</v>
      </c>
      <c r="AR121" s="931">
        <f t="shared" ca="1" si="204"/>
        <v>0</v>
      </c>
      <c r="AT121" s="13">
        <f ca="1">SUM((INDIRECT(AT$2&amp;(ROW())):INDIRECT(AT$3&amp;(ROW()))))</f>
        <v>4</v>
      </c>
      <c r="AU121" s="89">
        <f ca="1">SUM(INDIRECT(AU$1&amp;AU$2&amp;$C121):INDIRECT(AU$1&amp;AU$3&amp;$C121))</f>
        <v>0</v>
      </c>
      <c r="AV121" s="880">
        <f t="shared" ca="1" si="205"/>
        <v>4</v>
      </c>
      <c r="AW121" s="931">
        <f t="shared" ca="1" si="206"/>
        <v>0</v>
      </c>
      <c r="AX121" s="89">
        <f ca="1">SUM(INDIRECT(AX$1&amp;AX$2&amp;$A121):INDIRECT(AX$1&amp;AX$3&amp;$A121))+SUM(INDIRECT(AX$1&amp;AX$2&amp;$B121):INDIRECT(AX$1&amp;AX$3&amp;$B121))</f>
        <v>0</v>
      </c>
      <c r="AY121" s="880">
        <f t="shared" ca="1" si="207"/>
        <v>4</v>
      </c>
      <c r="AZ121" s="931">
        <f t="shared" ca="1" si="208"/>
        <v>0</v>
      </c>
      <c r="BB121" s="13">
        <f ca="1">SUM((INDIRECT(BB$2&amp;(ROW())):INDIRECT(BB$3&amp;(ROW()))))</f>
        <v>4.0000000000006608</v>
      </c>
      <c r="BC121" s="89">
        <f ca="1">SUM(INDIRECT(BC$1&amp;BC$2&amp;$C121):INDIRECT(BC$1&amp;BC$3&amp;$C121))</f>
        <v>0</v>
      </c>
      <c r="BD121" s="880">
        <f t="shared" ca="1" si="209"/>
        <v>4.0000000000006608</v>
      </c>
      <c r="BE121" s="931">
        <f t="shared" ca="1" si="210"/>
        <v>0</v>
      </c>
      <c r="BF121" s="89">
        <f ca="1">SUM(INDIRECT(BF$1&amp;BF$2&amp;$A121):INDIRECT(BF$1&amp;BF$3&amp;$A121))+SUM(INDIRECT(BF$1&amp;BF$2&amp;$B121):INDIRECT(BF$1&amp;BF$3&amp;$B121))</f>
        <v>0</v>
      </c>
      <c r="BG121" s="880">
        <f t="shared" ca="1" si="211"/>
        <v>4.0000000000006608</v>
      </c>
      <c r="BH121" s="931">
        <f t="shared" ca="1" si="212"/>
        <v>0</v>
      </c>
    </row>
    <row r="122" spans="1:60" ht="14.5">
      <c r="A122" s="990">
        <f t="shared" si="213"/>
        <v>96</v>
      </c>
      <c r="B122" s="990">
        <v>1</v>
      </c>
      <c r="C122" s="990">
        <f t="shared" si="128"/>
        <v>119</v>
      </c>
      <c r="E122" s="1243">
        <v>1</v>
      </c>
      <c r="F122" s="5"/>
      <c r="G122" s="5"/>
      <c r="H122" s="5"/>
      <c r="I122" s="30"/>
      <c r="J122" s="4"/>
      <c r="K122" s="5"/>
      <c r="L122" s="5"/>
      <c r="M122" s="277" t="s">
        <v>11</v>
      </c>
      <c r="N122" s="277"/>
      <c r="O122" s="277" t="s">
        <v>308</v>
      </c>
      <c r="P122" s="277"/>
      <c r="Q122" s="1856" t="str">
        <f>CHOOSE(2, "6722000003041", "PL (1)-1 Cost of Sales Others For KMJ Only")</f>
        <v>PL (1)-1 Cost of Sales Others For KMJ Only</v>
      </c>
      <c r="R122" s="2118">
        <f t="shared" ref="R122:AC122" si="254">R468+R484-R509-R533</f>
        <v>0</v>
      </c>
      <c r="S122" s="279">
        <f t="shared" si="254"/>
        <v>0</v>
      </c>
      <c r="T122" s="279">
        <f t="shared" si="254"/>
        <v>0</v>
      </c>
      <c r="U122" s="279">
        <f t="shared" si="254"/>
        <v>0</v>
      </c>
      <c r="V122" s="279">
        <f t="shared" si="254"/>
        <v>0</v>
      </c>
      <c r="W122" s="279">
        <f t="shared" si="254"/>
        <v>0</v>
      </c>
      <c r="X122" s="279">
        <f t="shared" si="254"/>
        <v>0</v>
      </c>
      <c r="Y122" s="279">
        <f t="shared" si="254"/>
        <v>0</v>
      </c>
      <c r="Z122" s="279">
        <f t="shared" si="254"/>
        <v>0</v>
      </c>
      <c r="AA122" s="279">
        <f t="shared" si="254"/>
        <v>0</v>
      </c>
      <c r="AB122" s="279">
        <f t="shared" si="254"/>
        <v>0</v>
      </c>
      <c r="AC122" s="279">
        <f t="shared" si="254"/>
        <v>0</v>
      </c>
      <c r="AD122" s="279">
        <f t="shared" si="247"/>
        <v>0</v>
      </c>
      <c r="AE122" s="279">
        <f t="shared" si="248"/>
        <v>0</v>
      </c>
      <c r="AF122" s="279">
        <f t="shared" si="249"/>
        <v>0</v>
      </c>
      <c r="AG122" s="279">
        <f t="shared" si="250"/>
        <v>0</v>
      </c>
      <c r="AH122" s="279">
        <f t="shared" si="231"/>
        <v>0</v>
      </c>
      <c r="AI122" s="279">
        <f t="shared" si="232"/>
        <v>0</v>
      </c>
      <c r="AJ122" s="279">
        <f t="shared" si="233"/>
        <v>0</v>
      </c>
      <c r="AL122" s="2118">
        <f ca="1">SUM((INDIRECT(AL$2&amp;(ROW())):INDIRECT(AL$3&amp;(ROW()))))</f>
        <v>0</v>
      </c>
      <c r="AM122" s="279">
        <f ca="1">SUM(INDIRECT(AM$1&amp;AM$2&amp;$C122):INDIRECT(AM$1&amp;AM$3&amp;$C122))</f>
        <v>0</v>
      </c>
      <c r="AN122" s="881">
        <f t="shared" ca="1" si="201"/>
        <v>0</v>
      </c>
      <c r="AO122" s="932">
        <f t="shared" ca="1" si="202"/>
        <v>0</v>
      </c>
      <c r="AP122" s="279">
        <f ca="1">SUM(INDIRECT(AP$1&amp;AP$2&amp;$A122):INDIRECT(AP$1&amp;AP$3&amp;$A122))+SUM(INDIRECT(AP$1&amp;AP$2&amp;$B122):INDIRECT(AP$1&amp;AP$3&amp;$B122))</f>
        <v>0</v>
      </c>
      <c r="AQ122" s="881">
        <f t="shared" ca="1" si="203"/>
        <v>0</v>
      </c>
      <c r="AR122" s="932">
        <f t="shared" ca="1" si="204"/>
        <v>0</v>
      </c>
      <c r="AT122" s="2118">
        <f ca="1">SUM((INDIRECT(AT$2&amp;(ROW())):INDIRECT(AT$3&amp;(ROW()))))</f>
        <v>0</v>
      </c>
      <c r="AU122" s="279">
        <f ca="1">SUM(INDIRECT(AU$1&amp;AU$2&amp;$C122):INDIRECT(AU$1&amp;AU$3&amp;$C122))</f>
        <v>0</v>
      </c>
      <c r="AV122" s="881">
        <f t="shared" ca="1" si="205"/>
        <v>0</v>
      </c>
      <c r="AW122" s="932">
        <f t="shared" ca="1" si="206"/>
        <v>0</v>
      </c>
      <c r="AX122" s="279">
        <f ca="1">SUM(INDIRECT(AX$1&amp;AX$2&amp;$A122):INDIRECT(AX$1&amp;AX$3&amp;$A122))+SUM(INDIRECT(AX$1&amp;AX$2&amp;$B122):INDIRECT(AX$1&amp;AX$3&amp;$B122))</f>
        <v>0</v>
      </c>
      <c r="AY122" s="881">
        <f t="shared" ca="1" si="207"/>
        <v>0</v>
      </c>
      <c r="AZ122" s="932">
        <f t="shared" ca="1" si="208"/>
        <v>0</v>
      </c>
      <c r="BB122" s="2118">
        <f ca="1">SUM((INDIRECT(BB$2&amp;(ROW())):INDIRECT(BB$3&amp;(ROW()))))</f>
        <v>0</v>
      </c>
      <c r="BC122" s="279">
        <f ca="1">SUM(INDIRECT(BC$1&amp;BC$2&amp;$C122):INDIRECT(BC$1&amp;BC$3&amp;$C122))</f>
        <v>0</v>
      </c>
      <c r="BD122" s="881">
        <f t="shared" ca="1" si="209"/>
        <v>0</v>
      </c>
      <c r="BE122" s="932">
        <f t="shared" ca="1" si="210"/>
        <v>0</v>
      </c>
      <c r="BF122" s="279">
        <f ca="1">SUM(INDIRECT(BF$1&amp;BF$2&amp;$A122):INDIRECT(BF$1&amp;BF$3&amp;$A122))+SUM(INDIRECT(BF$1&amp;BF$2&amp;$B122):INDIRECT(BF$1&amp;BF$3&amp;$B122))</f>
        <v>0</v>
      </c>
      <c r="BG122" s="881">
        <f t="shared" ca="1" si="211"/>
        <v>0</v>
      </c>
      <c r="BH122" s="932">
        <f t="shared" ca="1" si="212"/>
        <v>0</v>
      </c>
    </row>
    <row r="123" spans="1:60" ht="14.5">
      <c r="A123" s="990">
        <f t="shared" si="213"/>
        <v>97</v>
      </c>
      <c r="B123" s="990">
        <v>1</v>
      </c>
      <c r="C123" s="990">
        <f t="shared" si="128"/>
        <v>120</v>
      </c>
      <c r="D123" s="1121" t="s">
        <v>887</v>
      </c>
      <c r="E123" s="1243">
        <v>1</v>
      </c>
      <c r="F123" s="5"/>
      <c r="G123" s="5"/>
      <c r="H123" s="5"/>
      <c r="I123" s="140" t="s">
        <v>134</v>
      </c>
      <c r="J123" s="139"/>
      <c r="K123" s="138"/>
      <c r="L123" s="138"/>
      <c r="M123" s="138"/>
      <c r="N123" s="138"/>
      <c r="O123" s="138"/>
      <c r="P123" s="1162"/>
      <c r="Q123" s="1853" t="str">
        <f>CHOOSE(2, "6722000003042", "PL (1)-1 Gross Profit")</f>
        <v>PL (1)-1 Gross Profit</v>
      </c>
      <c r="R123" s="2062">
        <f t="shared" ref="R123:AC123" si="255">SUM(R128:R130)</f>
        <v>62164</v>
      </c>
      <c r="S123" s="2010">
        <f t="shared" si="255"/>
        <v>51719</v>
      </c>
      <c r="T123" s="2010">
        <f t="shared" si="255"/>
        <v>68190</v>
      </c>
      <c r="U123" s="2010">
        <f t="shared" si="255"/>
        <v>66780</v>
      </c>
      <c r="V123" s="2010">
        <f t="shared" si="255"/>
        <v>80882.624250359484</v>
      </c>
      <c r="W123" s="2010">
        <f t="shared" si="255"/>
        <v>85832</v>
      </c>
      <c r="X123" s="2010">
        <f t="shared" si="255"/>
        <v>86366</v>
      </c>
      <c r="Y123" s="2010">
        <f t="shared" si="255"/>
        <v>83645</v>
      </c>
      <c r="Z123" s="2010">
        <f t="shared" si="255"/>
        <v>96219</v>
      </c>
      <c r="AA123" s="2010">
        <f t="shared" si="255"/>
        <v>81821</v>
      </c>
      <c r="AB123" s="2010">
        <f t="shared" si="255"/>
        <v>65831</v>
      </c>
      <c r="AC123" s="2010">
        <f t="shared" si="255"/>
        <v>74124</v>
      </c>
      <c r="AD123" s="1519">
        <f t="shared" si="247"/>
        <v>182073</v>
      </c>
      <c r="AE123" s="137">
        <f t="shared" si="248"/>
        <v>233494.62425035948</v>
      </c>
      <c r="AF123" s="137">
        <f t="shared" si="249"/>
        <v>266230</v>
      </c>
      <c r="AG123" s="137">
        <f t="shared" si="250"/>
        <v>221776</v>
      </c>
      <c r="AH123" s="137">
        <f>SUM(AH128:AH130)</f>
        <v>415567.62425035948</v>
      </c>
      <c r="AI123" s="137">
        <f>SUM(AI128:AI130)</f>
        <v>488006</v>
      </c>
      <c r="AJ123" s="137">
        <f>SUM(AJ128:AJ130)</f>
        <v>903573.62425035948</v>
      </c>
      <c r="AL123" s="2062">
        <f ca="1">SUM((INDIRECT(AL$2&amp;(ROW())):INDIRECT(AL$3&amp;(ROW()))))</f>
        <v>74124</v>
      </c>
      <c r="AM123" s="137">
        <f ca="1">SUM(INDIRECT(AM$1&amp;AM$2&amp;$C123):INDIRECT(AM$1&amp;AM$3&amp;$C123))</f>
        <v>0</v>
      </c>
      <c r="AN123" s="2500">
        <f t="shared" ca="1" si="201"/>
        <v>74124</v>
      </c>
      <c r="AO123" s="1710">
        <f t="shared" ca="1" si="202"/>
        <v>0</v>
      </c>
      <c r="AP123" s="137">
        <f ca="1">SUM(INDIRECT(AP$1&amp;AP$2&amp;$A123):INDIRECT(AP$1&amp;AP$3&amp;$A123))+SUM(INDIRECT(AP$1&amp;AP$2&amp;$B123):INDIRECT(AP$1&amp;AP$3&amp;$B123))</f>
        <v>52195</v>
      </c>
      <c r="AQ123" s="2500">
        <f t="shared" ca="1" si="203"/>
        <v>21929</v>
      </c>
      <c r="AR123" s="1710">
        <f t="shared" ca="1" si="204"/>
        <v>1.4201360283552065</v>
      </c>
      <c r="AT123" s="2062">
        <f ca="1">SUM((INDIRECT(AT$2&amp;(ROW())):INDIRECT(AT$3&amp;(ROW()))))</f>
        <v>221776</v>
      </c>
      <c r="AU123" s="137">
        <f ca="1">SUM(INDIRECT(AU$1&amp;AU$2&amp;$C123):INDIRECT(AU$1&amp;AU$3&amp;$C123))</f>
        <v>0</v>
      </c>
      <c r="AV123" s="2500">
        <f t="shared" ca="1" si="205"/>
        <v>221776</v>
      </c>
      <c r="AW123" s="1710">
        <f t="shared" ca="1" si="206"/>
        <v>0</v>
      </c>
      <c r="AX123" s="137">
        <f ca="1">SUM(INDIRECT(AX$1&amp;AX$2&amp;$A123):INDIRECT(AX$1&amp;AX$3&amp;$A123))+SUM(INDIRECT(AX$1&amp;AX$2&amp;$B123):INDIRECT(AX$1&amp;AX$3&amp;$B123))</f>
        <v>149015</v>
      </c>
      <c r="AY123" s="2500">
        <f t="shared" ca="1" si="207"/>
        <v>72761</v>
      </c>
      <c r="AZ123" s="1710">
        <f t="shared" ca="1" si="208"/>
        <v>1.4882797033855653</v>
      </c>
      <c r="BB123" s="2062">
        <f ca="1">SUM((INDIRECT(BB$2&amp;(ROW())):INDIRECT(BB$3&amp;(ROW()))))</f>
        <v>903573.62425035948</v>
      </c>
      <c r="BC123" s="137">
        <f ca="1">SUM(INDIRECT(BC$1&amp;BC$2&amp;$C123):INDIRECT(BC$1&amp;BC$3&amp;$C123))</f>
        <v>0</v>
      </c>
      <c r="BD123" s="2500">
        <f t="shared" ca="1" si="209"/>
        <v>903573.62425035948</v>
      </c>
      <c r="BE123" s="1710">
        <f t="shared" ca="1" si="210"/>
        <v>0</v>
      </c>
      <c r="BF123" s="137">
        <f ca="1">SUM(INDIRECT(BF$1&amp;BF$2&amp;$A123):INDIRECT(BF$1&amp;BF$3&amp;$A123))+SUM(INDIRECT(BF$1&amp;BF$2&amp;$B123):INDIRECT(BF$1&amp;BF$3&amp;$B123))</f>
        <v>710423</v>
      </c>
      <c r="BG123" s="2500">
        <f t="shared" ca="1" si="211"/>
        <v>193150.62425035948</v>
      </c>
      <c r="BH123" s="1710">
        <f t="shared" ca="1" si="212"/>
        <v>1.2718811528488794</v>
      </c>
    </row>
    <row r="124" spans="1:60" s="619" customFormat="1" ht="14.5">
      <c r="A124" s="990">
        <f t="shared" si="213"/>
        <v>98</v>
      </c>
      <c r="B124" s="990">
        <v>1</v>
      </c>
      <c r="C124" s="990">
        <f t="shared" si="128"/>
        <v>121</v>
      </c>
      <c r="D124" s="1121" t="s">
        <v>887</v>
      </c>
      <c r="E124" s="1243">
        <v>1</v>
      </c>
      <c r="F124" s="5"/>
      <c r="G124" s="5"/>
      <c r="H124" s="616"/>
      <c r="I124" s="617"/>
      <c r="J124" s="618" t="s">
        <v>198</v>
      </c>
      <c r="K124" s="616"/>
      <c r="L124" s="616"/>
      <c r="M124" s="616"/>
      <c r="N124" s="616"/>
      <c r="O124" s="587" t="s">
        <v>529</v>
      </c>
      <c r="P124" s="616"/>
      <c r="Q124" s="1842" t="str">
        <f>CHOOSE(2, "6722000003043", "PL (1)-1 Gross Profit (%)")</f>
        <v>PL (1)-1 Gross Profit (%)</v>
      </c>
      <c r="R124" s="631">
        <f t="shared" ref="R124:AC124" si="256">IFERROR(R123/R102,0)</f>
        <v>0.38157789740536358</v>
      </c>
      <c r="S124" s="631">
        <f t="shared" si="256"/>
        <v>0.28281375599459735</v>
      </c>
      <c r="T124" s="631">
        <f t="shared" si="256"/>
        <v>0.34583491821985546</v>
      </c>
      <c r="U124" s="631">
        <f t="shared" si="256"/>
        <v>0.31948637231309474</v>
      </c>
      <c r="V124" s="631">
        <f t="shared" si="256"/>
        <v>0.30992912122217253</v>
      </c>
      <c r="W124" s="631">
        <f t="shared" si="256"/>
        <v>0.31880192992686635</v>
      </c>
      <c r="X124" s="631">
        <f t="shared" si="256"/>
        <v>0.3708653065781507</v>
      </c>
      <c r="Y124" s="631">
        <f t="shared" si="256"/>
        <v>0.33233342603996979</v>
      </c>
      <c r="Z124" s="631">
        <f t="shared" si="256"/>
        <v>0.29407683608912255</v>
      </c>
      <c r="AA124" s="631">
        <f t="shared" si="256"/>
        <v>0.33953581017433054</v>
      </c>
      <c r="AB124" s="631">
        <f t="shared" si="256"/>
        <v>0.25215806727447082</v>
      </c>
      <c r="AC124" s="631">
        <f t="shared" si="256"/>
        <v>0.26561744122294967</v>
      </c>
      <c r="AD124" s="1520">
        <f t="shared" ref="AD124:AJ124" si="257">IFERROR(AD123/AD102,0)</f>
        <v>0.33533347699006005</v>
      </c>
      <c r="AE124" s="631">
        <f t="shared" si="257"/>
        <v>0.31586307123333646</v>
      </c>
      <c r="AF124" s="631">
        <f t="shared" si="257"/>
        <v>0.32796760606930397</v>
      </c>
      <c r="AG124" s="631">
        <f t="shared" si="257"/>
        <v>0.2839232976325593</v>
      </c>
      <c r="AH124" s="631">
        <f t="shared" si="257"/>
        <v>0.32410809303385502</v>
      </c>
      <c r="AI124" s="631">
        <f t="shared" si="257"/>
        <v>0.30636912800013572</v>
      </c>
      <c r="AJ124" s="631">
        <f t="shared" si="257"/>
        <v>0.31428016722703839</v>
      </c>
      <c r="AL124" s="631">
        <f ca="1">IFERROR(AL123/AL102,0)</f>
        <v>0.26561744122294967</v>
      </c>
      <c r="AM124" s="631">
        <f ca="1">IFERROR(AM123/AM102,0)</f>
        <v>0</v>
      </c>
      <c r="AN124" s="631">
        <f t="shared" ca="1" si="201"/>
        <v>0.26561744122294967</v>
      </c>
      <c r="AO124" s="935"/>
      <c r="AP124" s="631">
        <f ca="1">IFERROR(AP123/AP102,0)</f>
        <v>0.21626716940479396</v>
      </c>
      <c r="AQ124" s="631">
        <f t="shared" ca="1" si="203"/>
        <v>4.9350271818155711E-2</v>
      </c>
      <c r="AR124" s="935"/>
      <c r="AT124" s="631">
        <f ca="1">IFERROR(AT123/AT102,0)</f>
        <v>0.2839232976325593</v>
      </c>
      <c r="AU124" s="631">
        <f ca="1">IFERROR(AU123/AU102,0)</f>
        <v>0</v>
      </c>
      <c r="AV124" s="631">
        <f t="shared" ca="1" si="205"/>
        <v>0.2839232976325593</v>
      </c>
      <c r="AW124" s="935"/>
      <c r="AX124" s="631">
        <f ca="1">IFERROR(AX123/AX102,0)</f>
        <v>0.25681747286022782</v>
      </c>
      <c r="AY124" s="631">
        <f t="shared" ca="1" si="207"/>
        <v>2.7105824772331477E-2</v>
      </c>
      <c r="AZ124" s="935"/>
      <c r="BB124" s="631">
        <f ca="1">IFERROR(BB123/BB102,0)</f>
        <v>0.31428016722703839</v>
      </c>
      <c r="BC124" s="631">
        <f ca="1">IFERROR(BC123/BC102,0)</f>
        <v>0</v>
      </c>
      <c r="BD124" s="631">
        <f t="shared" ca="1" si="209"/>
        <v>0.31428016722703839</v>
      </c>
      <c r="BE124" s="935"/>
      <c r="BF124" s="631">
        <f ca="1">IFERROR(BF123/BF102,0)</f>
        <v>0.33005610865110196</v>
      </c>
      <c r="BG124" s="631">
        <f t="shared" ca="1" si="211"/>
        <v>-1.5775941424063578E-2</v>
      </c>
      <c r="BH124" s="935"/>
    </row>
    <row r="125" spans="1:60" s="619" customFormat="1" ht="14.5" hidden="1" outlineLevel="1">
      <c r="A125" s="990">
        <f t="shared" si="213"/>
        <v>99</v>
      </c>
      <c r="B125" s="990">
        <v>1</v>
      </c>
      <c r="C125" s="990">
        <f t="shared" si="128"/>
        <v>122</v>
      </c>
      <c r="D125" s="1121" t="s">
        <v>887</v>
      </c>
      <c r="E125" s="1243">
        <v>1</v>
      </c>
      <c r="F125" s="5"/>
      <c r="G125" s="5"/>
      <c r="H125" s="616"/>
      <c r="I125" s="617"/>
      <c r="J125" s="620"/>
      <c r="K125" s="616"/>
      <c r="L125" s="616"/>
      <c r="M125" s="618" t="s">
        <v>558</v>
      </c>
      <c r="N125" s="620"/>
      <c r="O125" s="620"/>
      <c r="P125" s="620"/>
      <c r="Q125" s="1857" t="str">
        <f>CHOOSE(2, "6722000003044", "PL (1)-1 Gross Profit HW (%)")</f>
        <v>PL (1)-1 Gross Profit HW (%)</v>
      </c>
      <c r="R125" s="2119">
        <f t="shared" ref="R125:AC127" si="258">IFERROR(R128/R103,0)</f>
        <v>0.34408109346777022</v>
      </c>
      <c r="S125" s="621">
        <f t="shared" si="258"/>
        <v>0.26585566332401778</v>
      </c>
      <c r="T125" s="621">
        <f t="shared" si="258"/>
        <v>0.26937676130590649</v>
      </c>
      <c r="U125" s="621">
        <f t="shared" si="258"/>
        <v>0.26577683110744882</v>
      </c>
      <c r="V125" s="621">
        <f t="shared" si="258"/>
        <v>0.25054043790030461</v>
      </c>
      <c r="W125" s="621">
        <f t="shared" si="258"/>
        <v>0.28380504783143329</v>
      </c>
      <c r="X125" s="621">
        <f t="shared" si="258"/>
        <v>0.365877705325999</v>
      </c>
      <c r="Y125" s="621">
        <f t="shared" si="258"/>
        <v>0.26042035620008686</v>
      </c>
      <c r="Z125" s="621">
        <f t="shared" si="258"/>
        <v>0.26037015506273009</v>
      </c>
      <c r="AA125" s="621">
        <f t="shared" si="258"/>
        <v>0.30841575612656563</v>
      </c>
      <c r="AB125" s="621">
        <f t="shared" si="258"/>
        <v>0.20211660362394013</v>
      </c>
      <c r="AC125" s="621">
        <f t="shared" si="258"/>
        <v>0.20598219560798295</v>
      </c>
      <c r="AD125" s="621">
        <f t="shared" ref="AD125:AJ125" si="259">IFERROR(AD128/AD103,0)</f>
        <v>0.28641245685806804</v>
      </c>
      <c r="AE125" s="621">
        <f t="shared" si="259"/>
        <v>0.26767418303253726</v>
      </c>
      <c r="AF125" s="621">
        <f t="shared" si="259"/>
        <v>0.28915926290627963</v>
      </c>
      <c r="AG125" s="621">
        <f t="shared" si="259"/>
        <v>0.23456955845691946</v>
      </c>
      <c r="AH125" s="621">
        <f t="shared" si="259"/>
        <v>0.27481957710298838</v>
      </c>
      <c r="AI125" s="621">
        <f t="shared" si="259"/>
        <v>0.26194430412886194</v>
      </c>
      <c r="AJ125" s="621">
        <f t="shared" si="259"/>
        <v>0.26738588381313705</v>
      </c>
      <c r="AL125" s="2119">
        <f t="shared" ref="AL125:AM127" ca="1" si="260">IFERROR(AL128/AL103,0)</f>
        <v>0.20598219560798295</v>
      </c>
      <c r="AM125" s="621">
        <f t="shared" ca="1" si="260"/>
        <v>0</v>
      </c>
      <c r="AN125" s="621">
        <f t="shared" ca="1" si="201"/>
        <v>0.20598219560798295</v>
      </c>
      <c r="AO125" s="936"/>
      <c r="AP125" s="621">
        <f ca="1">IFERROR(AP128/AP103,0)</f>
        <v>0.17507820134184221</v>
      </c>
      <c r="AQ125" s="621">
        <f t="shared" ca="1" si="203"/>
        <v>3.0903994266140739E-2</v>
      </c>
      <c r="AR125" s="936"/>
      <c r="AT125" s="2119">
        <f t="shared" ref="AT125:AU127" ca="1" si="261">IFERROR(AT128/AT103,0)</f>
        <v>0.23456955845691946</v>
      </c>
      <c r="AU125" s="621">
        <f t="shared" ca="1" si="261"/>
        <v>0</v>
      </c>
      <c r="AV125" s="621">
        <f t="shared" ca="1" si="205"/>
        <v>0.23456955845691946</v>
      </c>
      <c r="AW125" s="936"/>
      <c r="AX125" s="621">
        <f ca="1">IFERROR(AX128/AX103,0)</f>
        <v>0.20076449427514712</v>
      </c>
      <c r="AY125" s="621">
        <f t="shared" ca="1" si="207"/>
        <v>3.3805064181772343E-2</v>
      </c>
      <c r="AZ125" s="936"/>
      <c r="BB125" s="2119">
        <f t="shared" ref="BB125:BC127" ca="1" si="262">IFERROR(BB128/BB103,0)</f>
        <v>0.26738588381313705</v>
      </c>
      <c r="BC125" s="621">
        <f t="shared" ca="1" si="262"/>
        <v>0</v>
      </c>
      <c r="BD125" s="621">
        <f t="shared" ca="1" si="209"/>
        <v>0.26738588381313705</v>
      </c>
      <c r="BE125" s="936"/>
      <c r="BF125" s="621">
        <f ca="1">IFERROR(BF128/BF103,0)</f>
        <v>0.29018501573540345</v>
      </c>
      <c r="BG125" s="621">
        <f t="shared" ca="1" si="211"/>
        <v>-2.2799131922266402E-2</v>
      </c>
      <c r="BH125" s="936"/>
    </row>
    <row r="126" spans="1:60" s="619" customFormat="1" ht="14.5" hidden="1" outlineLevel="1">
      <c r="A126" s="990">
        <f t="shared" si="213"/>
        <v>100</v>
      </c>
      <c r="B126" s="990">
        <v>1</v>
      </c>
      <c r="C126" s="990">
        <f t="shared" si="128"/>
        <v>123</v>
      </c>
      <c r="D126" s="1121" t="s">
        <v>887</v>
      </c>
      <c r="E126" s="1243">
        <v>1</v>
      </c>
      <c r="F126" s="5"/>
      <c r="G126" s="5"/>
      <c r="H126" s="616"/>
      <c r="I126" s="617"/>
      <c r="J126" s="620"/>
      <c r="K126" s="616"/>
      <c r="L126" s="616"/>
      <c r="M126" s="618" t="s">
        <v>559</v>
      </c>
      <c r="N126" s="620"/>
      <c r="O126" s="620"/>
      <c r="P126" s="620"/>
      <c r="Q126" s="1857" t="str">
        <f>CHOOSE(2, "6722000003045", "PL (1)-1 Gross Profit NH (%)")</f>
        <v>PL (1)-1 Gross Profit NH (%)</v>
      </c>
      <c r="R126" s="2119">
        <f t="shared" si="258"/>
        <v>0.41292954793918424</v>
      </c>
      <c r="S126" s="621">
        <f t="shared" si="258"/>
        <v>0.31651773316125659</v>
      </c>
      <c r="T126" s="621">
        <f t="shared" si="258"/>
        <v>0.43174401447511551</v>
      </c>
      <c r="U126" s="621">
        <f t="shared" si="258"/>
        <v>0.40543633762517883</v>
      </c>
      <c r="V126" s="621">
        <f t="shared" si="258"/>
        <v>0.41450282638407204</v>
      </c>
      <c r="W126" s="621">
        <f t="shared" si="258"/>
        <v>0.40568368495259283</v>
      </c>
      <c r="X126" s="621">
        <f t="shared" si="258"/>
        <v>0.37941402699111948</v>
      </c>
      <c r="Y126" s="621">
        <f t="shared" si="258"/>
        <v>0.43777374944882663</v>
      </c>
      <c r="Z126" s="621">
        <f t="shared" si="258"/>
        <v>0.39066431955389103</v>
      </c>
      <c r="AA126" s="621">
        <f t="shared" si="258"/>
        <v>0.397091167080525</v>
      </c>
      <c r="AB126" s="621">
        <f t="shared" si="258"/>
        <v>0.36320591861898888</v>
      </c>
      <c r="AC126" s="621">
        <f t="shared" si="258"/>
        <v>0.41574549075462897</v>
      </c>
      <c r="AD126" s="621">
        <f t="shared" ref="AD126:AJ126" si="263">IFERROR(AD129/AD104,0)</f>
        <v>0.39581694393073819</v>
      </c>
      <c r="AE126" s="621">
        <f t="shared" si="263"/>
        <v>0.40891006034107058</v>
      </c>
      <c r="AF126" s="621">
        <f t="shared" si="263"/>
        <v>0.40476470070164106</v>
      </c>
      <c r="AG126" s="621">
        <f t="shared" si="263"/>
        <v>0.39191533303130116</v>
      </c>
      <c r="AH126" s="621">
        <f t="shared" si="263"/>
        <v>0.40248823123888505</v>
      </c>
      <c r="AI126" s="621">
        <f t="shared" si="263"/>
        <v>0.39868138068562792</v>
      </c>
      <c r="AJ126" s="621">
        <f t="shared" si="263"/>
        <v>0.4005425051288421</v>
      </c>
      <c r="AL126" s="2119">
        <f t="shared" ca="1" si="260"/>
        <v>0.41574549075462897</v>
      </c>
      <c r="AM126" s="621">
        <f t="shared" ca="1" si="260"/>
        <v>0</v>
      </c>
      <c r="AN126" s="621">
        <f t="shared" ca="1" si="201"/>
        <v>0.41574549075462897</v>
      </c>
      <c r="AO126" s="936"/>
      <c r="AP126" s="621">
        <f ca="1">IFERROR(AP129/AP104,0)</f>
        <v>0.34598720858262844</v>
      </c>
      <c r="AQ126" s="621">
        <f t="shared" ca="1" si="203"/>
        <v>6.975828217200053E-2</v>
      </c>
      <c r="AR126" s="936"/>
      <c r="AT126" s="2119">
        <f t="shared" ca="1" si="261"/>
        <v>0.39191533303130116</v>
      </c>
      <c r="AU126" s="621">
        <f t="shared" ca="1" si="261"/>
        <v>0</v>
      </c>
      <c r="AV126" s="621">
        <f t="shared" ca="1" si="205"/>
        <v>0.39191533303130116</v>
      </c>
      <c r="AW126" s="936"/>
      <c r="AX126" s="621">
        <f ca="1">IFERROR(AX129/AX104,0)</f>
        <v>0.37662414906214348</v>
      </c>
      <c r="AY126" s="621">
        <f t="shared" ca="1" si="207"/>
        <v>1.5291183969157685E-2</v>
      </c>
      <c r="AZ126" s="936"/>
      <c r="BB126" s="2119">
        <f t="shared" ca="1" si="262"/>
        <v>0.4005425051288421</v>
      </c>
      <c r="BC126" s="621">
        <f t="shared" ca="1" si="262"/>
        <v>0</v>
      </c>
      <c r="BD126" s="621">
        <f t="shared" ca="1" si="209"/>
        <v>0.4005425051288421</v>
      </c>
      <c r="BE126" s="936"/>
      <c r="BF126" s="621">
        <f ca="1">IFERROR(BF129/BF104,0)</f>
        <v>0.40782289846132758</v>
      </c>
      <c r="BG126" s="621">
        <f t="shared" ca="1" si="211"/>
        <v>-7.2803933324854797E-3</v>
      </c>
      <c r="BH126" s="936"/>
    </row>
    <row r="127" spans="1:60" s="619" customFormat="1" ht="14.5" hidden="1" outlineLevel="1">
      <c r="A127" s="990">
        <f t="shared" si="213"/>
        <v>101</v>
      </c>
      <c r="B127" s="990">
        <v>1</v>
      </c>
      <c r="C127" s="990">
        <f t="shared" si="128"/>
        <v>124</v>
      </c>
      <c r="D127" s="1121" t="s">
        <v>887</v>
      </c>
      <c r="E127" s="1243">
        <v>1</v>
      </c>
      <c r="F127" s="5"/>
      <c r="G127" s="5"/>
      <c r="H127" s="616"/>
      <c r="I127" s="617"/>
      <c r="J127" s="620"/>
      <c r="K127" s="616"/>
      <c r="L127" s="616"/>
      <c r="M127" s="618" t="s">
        <v>560</v>
      </c>
      <c r="N127" s="620"/>
      <c r="O127" s="620"/>
      <c r="P127" s="620"/>
      <c r="Q127" s="1857" t="str">
        <f>CHOOSE(2, "6722000003046", "PL (1)-1 Gross Profit Others (%)")</f>
        <v>PL (1)-1 Gross Profit Others (%)</v>
      </c>
      <c r="R127" s="2119">
        <f t="shared" si="258"/>
        <v>0</v>
      </c>
      <c r="S127" s="621">
        <f t="shared" si="258"/>
        <v>0</v>
      </c>
      <c r="T127" s="621">
        <f t="shared" si="258"/>
        <v>0</v>
      </c>
      <c r="U127" s="621">
        <f t="shared" si="258"/>
        <v>0</v>
      </c>
      <c r="V127" s="621">
        <f t="shared" si="258"/>
        <v>0</v>
      </c>
      <c r="W127" s="621">
        <f t="shared" si="258"/>
        <v>0</v>
      </c>
      <c r="X127" s="621">
        <f t="shared" si="258"/>
        <v>0</v>
      </c>
      <c r="Y127" s="621">
        <f t="shared" si="258"/>
        <v>0</v>
      </c>
      <c r="Z127" s="621">
        <f t="shared" si="258"/>
        <v>0</v>
      </c>
      <c r="AA127" s="621">
        <f t="shared" si="258"/>
        <v>0</v>
      </c>
      <c r="AB127" s="621">
        <f t="shared" si="258"/>
        <v>0</v>
      </c>
      <c r="AC127" s="621">
        <f t="shared" si="258"/>
        <v>0</v>
      </c>
      <c r="AD127" s="621">
        <f t="shared" ref="AD127:AJ127" si="264">IFERROR(AD130/AD105,0)</f>
        <v>0</v>
      </c>
      <c r="AE127" s="621">
        <f t="shared" si="264"/>
        <v>0</v>
      </c>
      <c r="AF127" s="621">
        <f t="shared" si="264"/>
        <v>0</v>
      </c>
      <c r="AG127" s="621">
        <f t="shared" si="264"/>
        <v>0</v>
      </c>
      <c r="AH127" s="621">
        <f t="shared" si="264"/>
        <v>0</v>
      </c>
      <c r="AI127" s="621">
        <f t="shared" si="264"/>
        <v>0</v>
      </c>
      <c r="AJ127" s="621">
        <f t="shared" si="264"/>
        <v>0</v>
      </c>
      <c r="AL127" s="2119">
        <f t="shared" ca="1" si="260"/>
        <v>0</v>
      </c>
      <c r="AM127" s="621">
        <f t="shared" ca="1" si="260"/>
        <v>0</v>
      </c>
      <c r="AN127" s="621">
        <f t="shared" ca="1" si="201"/>
        <v>0</v>
      </c>
      <c r="AO127" s="936"/>
      <c r="AP127" s="621">
        <f ca="1">IFERROR(AP130/AP105,0)</f>
        <v>0</v>
      </c>
      <c r="AQ127" s="621">
        <f t="shared" ca="1" si="203"/>
        <v>0</v>
      </c>
      <c r="AR127" s="936"/>
      <c r="AT127" s="2119">
        <f t="shared" ca="1" si="261"/>
        <v>0</v>
      </c>
      <c r="AU127" s="621">
        <f t="shared" ca="1" si="261"/>
        <v>0</v>
      </c>
      <c r="AV127" s="621">
        <f t="shared" ca="1" si="205"/>
        <v>0</v>
      </c>
      <c r="AW127" s="936"/>
      <c r="AX127" s="621">
        <f ca="1">IFERROR(AX130/AX105,0)</f>
        <v>0</v>
      </c>
      <c r="AY127" s="621">
        <f t="shared" ca="1" si="207"/>
        <v>0</v>
      </c>
      <c r="AZ127" s="936"/>
      <c r="BB127" s="2119">
        <f t="shared" ca="1" si="262"/>
        <v>0</v>
      </c>
      <c r="BC127" s="621">
        <f t="shared" ca="1" si="262"/>
        <v>0</v>
      </c>
      <c r="BD127" s="621">
        <f t="shared" ca="1" si="209"/>
        <v>0</v>
      </c>
      <c r="BE127" s="936"/>
      <c r="BF127" s="621">
        <f ca="1">IFERROR(BF130/BF105,0)</f>
        <v>0</v>
      </c>
      <c r="BG127" s="621">
        <f t="shared" ca="1" si="211"/>
        <v>0</v>
      </c>
      <c r="BH127" s="936"/>
    </row>
    <row r="128" spans="1:60" ht="14.5" collapsed="1">
      <c r="A128" s="990">
        <f t="shared" si="213"/>
        <v>102</v>
      </c>
      <c r="B128" s="990">
        <v>1</v>
      </c>
      <c r="C128" s="990">
        <f t="shared" si="128"/>
        <v>125</v>
      </c>
      <c r="D128" s="1121" t="s">
        <v>887</v>
      </c>
      <c r="E128" s="1243">
        <v>1</v>
      </c>
      <c r="F128" s="5"/>
      <c r="G128" s="5"/>
      <c r="H128" s="5"/>
      <c r="I128" s="30"/>
      <c r="J128" s="4"/>
      <c r="K128" s="5"/>
      <c r="L128" s="5"/>
      <c r="M128" s="4" t="s">
        <v>137</v>
      </c>
      <c r="N128" s="4"/>
      <c r="O128" s="4"/>
      <c r="P128" s="4"/>
      <c r="Q128" s="1854" t="str">
        <f>CHOOSE(2, "6722000003047", "PL (1)-1 Gross Profit HW")</f>
        <v>PL (1)-1 Gross Profit HW</v>
      </c>
      <c r="R128" s="13">
        <f t="shared" ref="R128:AC128" si="265">R487+R511</f>
        <v>25526</v>
      </c>
      <c r="S128" s="89">
        <f t="shared" si="265"/>
        <v>32344</v>
      </c>
      <c r="T128" s="89">
        <f t="shared" si="265"/>
        <v>28103</v>
      </c>
      <c r="U128" s="89">
        <f t="shared" si="265"/>
        <v>34189</v>
      </c>
      <c r="V128" s="89">
        <f t="shared" si="265"/>
        <v>41701.237259815753</v>
      </c>
      <c r="W128" s="89">
        <f t="shared" si="265"/>
        <v>54469</v>
      </c>
      <c r="X128" s="89">
        <f t="shared" si="265"/>
        <v>53810</v>
      </c>
      <c r="Y128" s="89">
        <f t="shared" si="265"/>
        <v>38968</v>
      </c>
      <c r="Z128" s="89">
        <f t="shared" si="265"/>
        <v>63152</v>
      </c>
      <c r="AA128" s="89">
        <f t="shared" si="265"/>
        <v>48239</v>
      </c>
      <c r="AB128" s="89">
        <f t="shared" si="265"/>
        <v>36375</v>
      </c>
      <c r="AC128" s="89">
        <f t="shared" si="265"/>
        <v>41140</v>
      </c>
      <c r="AD128" s="89">
        <f t="shared" ref="AD128:AD134" si="266">SUM(R128,S128,T128)</f>
        <v>85973</v>
      </c>
      <c r="AE128" s="89">
        <f t="shared" ref="AE128:AE131" si="267">SUM(U128,V128,W128)</f>
        <v>130359.23725981575</v>
      </c>
      <c r="AF128" s="89">
        <f t="shared" ref="AF128:AF131" si="268">SUM(X128,Y128,Z128)</f>
        <v>155930</v>
      </c>
      <c r="AG128" s="89">
        <f t="shared" ref="AG128:AG131" si="269">SUM(AA128,AB128,AC128)</f>
        <v>125754</v>
      </c>
      <c r="AH128" s="89">
        <f>AD128+AE128</f>
        <v>216332.23725981574</v>
      </c>
      <c r="AI128" s="89">
        <f>AG128+AF128</f>
        <v>281684</v>
      </c>
      <c r="AJ128" s="89">
        <f>AH128+AI128</f>
        <v>498016.23725981574</v>
      </c>
      <c r="AL128" s="13">
        <f ca="1">SUM((INDIRECT(AL$2&amp;(ROW())):INDIRECT(AL$3&amp;(ROW()))))</f>
        <v>41140</v>
      </c>
      <c r="AM128" s="89">
        <f ca="1">SUM(INDIRECT(AM$1&amp;AM$2&amp;$C128):INDIRECT(AM$1&amp;AM$3&amp;$C128))</f>
        <v>0</v>
      </c>
      <c r="AN128" s="880">
        <f t="shared" ca="1" si="201"/>
        <v>41140</v>
      </c>
      <c r="AO128" s="931">
        <f t="shared" ref="AO128:AO135" ca="1" si="270">IFERROR(AL128/AM128,0)</f>
        <v>0</v>
      </c>
      <c r="AP128" s="89">
        <f ca="1">SUM(INDIRECT(AP$1&amp;AP$2&amp;$A128):INDIRECT(AP$1&amp;AP$3&amp;$A128))+SUM(INDIRECT(AP$1&amp;AP$2&amp;$B128):INDIRECT(AP$1&amp;AP$3&amp;$B128))</f>
        <v>32071</v>
      </c>
      <c r="AQ128" s="880">
        <f t="shared" ca="1" si="203"/>
        <v>9069</v>
      </c>
      <c r="AR128" s="931">
        <f t="shared" ref="AR128:AR135" ca="1" si="271">IFERROR(AL128/AP128,0)</f>
        <v>1.2827788344610396</v>
      </c>
      <c r="AT128" s="13">
        <f ca="1">SUM((INDIRECT(AT$2&amp;(ROW())):INDIRECT(AT$3&amp;(ROW()))))</f>
        <v>125754</v>
      </c>
      <c r="AU128" s="89">
        <f ca="1">SUM(INDIRECT(AU$1&amp;AU$2&amp;$C128):INDIRECT(AU$1&amp;AU$3&amp;$C128))</f>
        <v>0</v>
      </c>
      <c r="AV128" s="880">
        <f t="shared" ca="1" si="205"/>
        <v>125754</v>
      </c>
      <c r="AW128" s="931">
        <f t="shared" ref="AW128:AW135" ca="1" si="272">IFERROR(AT128/AU128,0)</f>
        <v>0</v>
      </c>
      <c r="AX128" s="89">
        <f ca="1">SUM(INDIRECT(AX$1&amp;AX$2&amp;$A128):INDIRECT(AX$1&amp;AX$3&amp;$A128))+SUM(INDIRECT(AX$1&amp;AX$2&amp;$B128):INDIRECT(AX$1&amp;AX$3&amp;$B128))</f>
        <v>79361</v>
      </c>
      <c r="AY128" s="880">
        <f t="shared" ca="1" si="207"/>
        <v>46393</v>
      </c>
      <c r="AZ128" s="931">
        <f t="shared" ref="AZ128:AZ135" ca="1" si="273">IFERROR(AT128/AX128,0)</f>
        <v>1.584581847506962</v>
      </c>
      <c r="BB128" s="13">
        <f ca="1">SUM((INDIRECT(BB$2&amp;(ROW())):INDIRECT(BB$3&amp;(ROW()))))</f>
        <v>498016.23725981574</v>
      </c>
      <c r="BC128" s="89">
        <f ca="1">SUM(INDIRECT(BC$1&amp;BC$2&amp;$C128):INDIRECT(BC$1&amp;BC$3&amp;$C128))</f>
        <v>0</v>
      </c>
      <c r="BD128" s="880">
        <f t="shared" ca="1" si="209"/>
        <v>498016.23725981574</v>
      </c>
      <c r="BE128" s="931">
        <f t="shared" ref="BE128:BE135" ca="1" si="274">IFERROR(BB128/BC128,0)</f>
        <v>0</v>
      </c>
      <c r="BF128" s="89">
        <f ca="1">SUM(INDIRECT(BF$1&amp;BF$2&amp;$A128):INDIRECT(BF$1&amp;BF$3&amp;$A128))+SUM(INDIRECT(BF$1&amp;BF$2&amp;$B128):INDIRECT(BF$1&amp;BF$3&amp;$B128))</f>
        <v>412906</v>
      </c>
      <c r="BG128" s="880">
        <f t="shared" ca="1" si="211"/>
        <v>85110.237259815738</v>
      </c>
      <c r="BH128" s="931">
        <f t="shared" ref="BH128:BH135" ca="1" si="275">IFERROR(BB128/BF128,0)</f>
        <v>1.2061249709614676</v>
      </c>
    </row>
    <row r="129" spans="1:60" ht="14.5">
      <c r="A129" s="990">
        <f t="shared" si="213"/>
        <v>103</v>
      </c>
      <c r="B129" s="990">
        <v>1</v>
      </c>
      <c r="C129" s="990">
        <f t="shared" si="128"/>
        <v>126</v>
      </c>
      <c r="D129" s="1121" t="s">
        <v>887</v>
      </c>
      <c r="E129" s="1243">
        <v>1</v>
      </c>
      <c r="F129" s="5"/>
      <c r="G129" s="5"/>
      <c r="H129" s="5"/>
      <c r="I129" s="30"/>
      <c r="J129" s="4"/>
      <c r="K129" s="5"/>
      <c r="L129" s="5"/>
      <c r="M129" s="4" t="s">
        <v>95</v>
      </c>
      <c r="N129" s="4"/>
      <c r="O129" s="4"/>
      <c r="P129" s="4"/>
      <c r="Q129" s="1854" t="str">
        <f>CHOOSE(2, "6722000003048", "PL (1)-1 Gross Profit NH")</f>
        <v>PL (1)-1 Gross Profit NH</v>
      </c>
      <c r="R129" s="13">
        <f t="shared" ref="R129:AC129" si="276">R492+R516</f>
        <v>36638</v>
      </c>
      <c r="S129" s="89">
        <f t="shared" si="276"/>
        <v>19375</v>
      </c>
      <c r="T129" s="89">
        <f t="shared" si="276"/>
        <v>40087</v>
      </c>
      <c r="U129" s="89">
        <f t="shared" si="276"/>
        <v>32591</v>
      </c>
      <c r="V129" s="89">
        <f t="shared" si="276"/>
        <v>39181.386990543731</v>
      </c>
      <c r="W129" s="89">
        <f t="shared" si="276"/>
        <v>31363</v>
      </c>
      <c r="X129" s="89">
        <f t="shared" si="276"/>
        <v>32556</v>
      </c>
      <c r="Y129" s="89">
        <f t="shared" si="276"/>
        <v>44677</v>
      </c>
      <c r="Z129" s="89">
        <f t="shared" si="276"/>
        <v>33067</v>
      </c>
      <c r="AA129" s="89">
        <f t="shared" si="276"/>
        <v>33582</v>
      </c>
      <c r="AB129" s="89">
        <f t="shared" si="276"/>
        <v>29456</v>
      </c>
      <c r="AC129" s="89">
        <f t="shared" si="276"/>
        <v>32984</v>
      </c>
      <c r="AD129" s="89">
        <f t="shared" si="266"/>
        <v>96100</v>
      </c>
      <c r="AE129" s="89">
        <f t="shared" si="267"/>
        <v>103135.38699054373</v>
      </c>
      <c r="AF129" s="89">
        <f t="shared" si="268"/>
        <v>110300</v>
      </c>
      <c r="AG129" s="89">
        <f t="shared" si="269"/>
        <v>96022</v>
      </c>
      <c r="AH129" s="89">
        <f>AD129+AE129</f>
        <v>199235.38699054375</v>
      </c>
      <c r="AI129" s="89">
        <f>AG129+AF129</f>
        <v>206322</v>
      </c>
      <c r="AJ129" s="89">
        <f>AH129+AI129</f>
        <v>405557.38699054375</v>
      </c>
      <c r="AL129" s="13">
        <f ca="1">SUM((INDIRECT(AL$2&amp;(ROW())):INDIRECT(AL$3&amp;(ROW()))))</f>
        <v>32984</v>
      </c>
      <c r="AM129" s="89">
        <f ca="1">SUM(INDIRECT(AM$1&amp;AM$2&amp;$C129):INDIRECT(AM$1&amp;AM$3&amp;$C129))</f>
        <v>0</v>
      </c>
      <c r="AN129" s="880">
        <f t="shared" ca="1" si="201"/>
        <v>32984</v>
      </c>
      <c r="AO129" s="931">
        <f t="shared" ca="1" si="270"/>
        <v>0</v>
      </c>
      <c r="AP129" s="89">
        <f ca="1">SUM(INDIRECT(AP$1&amp;AP$2&amp;$A129):INDIRECT(AP$1&amp;AP$3&amp;$A129))+SUM(INDIRECT(AP$1&amp;AP$2&amp;$B129):INDIRECT(AP$1&amp;AP$3&amp;$B129))</f>
        <v>20124</v>
      </c>
      <c r="AQ129" s="880">
        <f t="shared" ca="1" si="203"/>
        <v>12860</v>
      </c>
      <c r="AR129" s="931">
        <f t="shared" ca="1" si="271"/>
        <v>1.63903796461936</v>
      </c>
      <c r="AT129" s="13">
        <f ca="1">SUM((INDIRECT(AT$2&amp;(ROW())):INDIRECT(AT$3&amp;(ROW()))))</f>
        <v>96022</v>
      </c>
      <c r="AU129" s="89">
        <f ca="1">SUM(INDIRECT(AU$1&amp;AU$2&amp;$C129):INDIRECT(AU$1&amp;AU$3&amp;$C129))</f>
        <v>0</v>
      </c>
      <c r="AV129" s="880">
        <f t="shared" ca="1" si="205"/>
        <v>96022</v>
      </c>
      <c r="AW129" s="931">
        <f t="shared" ca="1" si="272"/>
        <v>0</v>
      </c>
      <c r="AX129" s="89">
        <f ca="1">SUM(INDIRECT(AX$1&amp;AX$2&amp;$A129):INDIRECT(AX$1&amp;AX$3&amp;$A129))+SUM(INDIRECT(AX$1&amp;AX$2&amp;$B129):INDIRECT(AX$1&amp;AX$3&amp;$B129))</f>
        <v>69654</v>
      </c>
      <c r="AY129" s="880">
        <f t="shared" ca="1" si="207"/>
        <v>26368</v>
      </c>
      <c r="AZ129" s="931">
        <f t="shared" ca="1" si="273"/>
        <v>1.378556866798748</v>
      </c>
      <c r="BB129" s="13">
        <f ca="1">SUM((INDIRECT(BB$2&amp;(ROW())):INDIRECT(BB$3&amp;(ROW()))))</f>
        <v>405557.38699054375</v>
      </c>
      <c r="BC129" s="89">
        <f ca="1">SUM(INDIRECT(BC$1&amp;BC$2&amp;$C129):INDIRECT(BC$1&amp;BC$3&amp;$C129))</f>
        <v>0</v>
      </c>
      <c r="BD129" s="880">
        <f t="shared" ca="1" si="209"/>
        <v>405557.38699054375</v>
      </c>
      <c r="BE129" s="931">
        <f t="shared" ca="1" si="274"/>
        <v>0</v>
      </c>
      <c r="BF129" s="89">
        <f ca="1">SUM(INDIRECT(BF$1&amp;BF$2&amp;$A129):INDIRECT(BF$1&amp;BF$3&amp;$A129))+SUM(INDIRECT(BF$1&amp;BF$2&amp;$B129):INDIRECT(BF$1&amp;BF$3&amp;$B129))</f>
        <v>297517</v>
      </c>
      <c r="BG129" s="880">
        <f t="shared" ca="1" si="211"/>
        <v>108040.38699054375</v>
      </c>
      <c r="BH129" s="931">
        <f t="shared" ca="1" si="275"/>
        <v>1.3631402138047364</v>
      </c>
    </row>
    <row r="130" spans="1:60" ht="14.5">
      <c r="A130" s="990">
        <f t="shared" si="213"/>
        <v>104</v>
      </c>
      <c r="B130" s="990">
        <v>1</v>
      </c>
      <c r="C130" s="990">
        <f t="shared" si="128"/>
        <v>127</v>
      </c>
      <c r="D130" s="1121" t="s">
        <v>887</v>
      </c>
      <c r="E130" s="1243">
        <v>1</v>
      </c>
      <c r="F130" s="5"/>
      <c r="G130" s="5"/>
      <c r="H130" s="5"/>
      <c r="I130" s="30"/>
      <c r="J130" s="4"/>
      <c r="K130" s="5"/>
      <c r="L130" s="5"/>
      <c r="M130" s="4" t="s">
        <v>11</v>
      </c>
      <c r="N130" s="4"/>
      <c r="O130" s="4"/>
      <c r="P130" s="4"/>
      <c r="Q130" s="1854" t="str">
        <f>CHOOSE(2, "6722000003049", "PL (1)-1 Gross Profit Others")</f>
        <v>PL (1)-1 Gross Profit Others</v>
      </c>
      <c r="R130" s="13">
        <f t="shared" ref="R130:AC130" si="277">R509+R533</f>
        <v>0</v>
      </c>
      <c r="S130" s="89">
        <f t="shared" si="277"/>
        <v>0</v>
      </c>
      <c r="T130" s="89">
        <f t="shared" si="277"/>
        <v>0</v>
      </c>
      <c r="U130" s="89">
        <f t="shared" si="277"/>
        <v>0</v>
      </c>
      <c r="V130" s="89">
        <f t="shared" si="277"/>
        <v>0</v>
      </c>
      <c r="W130" s="89">
        <f t="shared" si="277"/>
        <v>0</v>
      </c>
      <c r="X130" s="89">
        <f t="shared" si="277"/>
        <v>0</v>
      </c>
      <c r="Y130" s="89">
        <f t="shared" si="277"/>
        <v>0</v>
      </c>
      <c r="Z130" s="89">
        <f t="shared" si="277"/>
        <v>0</v>
      </c>
      <c r="AA130" s="89">
        <f t="shared" si="277"/>
        <v>0</v>
      </c>
      <c r="AB130" s="89">
        <f t="shared" si="277"/>
        <v>0</v>
      </c>
      <c r="AC130" s="89">
        <f t="shared" si="277"/>
        <v>0</v>
      </c>
      <c r="AD130" s="89">
        <f t="shared" si="266"/>
        <v>0</v>
      </c>
      <c r="AE130" s="89">
        <f t="shared" si="267"/>
        <v>0</v>
      </c>
      <c r="AF130" s="89">
        <f t="shared" si="268"/>
        <v>0</v>
      </c>
      <c r="AG130" s="89">
        <f t="shared" si="269"/>
        <v>0</v>
      </c>
      <c r="AH130" s="89">
        <f>AD130+AE130</f>
        <v>0</v>
      </c>
      <c r="AI130" s="89">
        <f>AG130+AF130</f>
        <v>0</v>
      </c>
      <c r="AJ130" s="89">
        <f>AH130+AI130</f>
        <v>0</v>
      </c>
      <c r="AL130" s="13">
        <f ca="1">SUM((INDIRECT(AL$2&amp;(ROW())):INDIRECT(AL$3&amp;(ROW()))))</f>
        <v>0</v>
      </c>
      <c r="AM130" s="89">
        <f ca="1">SUM(INDIRECT(AM$1&amp;AM$2&amp;$C130):INDIRECT(AM$1&amp;AM$3&amp;$C130))</f>
        <v>0</v>
      </c>
      <c r="AN130" s="880">
        <f t="shared" ca="1" si="201"/>
        <v>0</v>
      </c>
      <c r="AO130" s="931">
        <f t="shared" ca="1" si="270"/>
        <v>0</v>
      </c>
      <c r="AP130" s="89">
        <f ca="1">SUM(INDIRECT(AP$1&amp;AP$2&amp;$A130):INDIRECT(AP$1&amp;AP$3&amp;$A130))+SUM(INDIRECT(AP$1&amp;AP$2&amp;$B130):INDIRECT(AP$1&amp;AP$3&amp;$B130))</f>
        <v>0</v>
      </c>
      <c r="AQ130" s="880">
        <f t="shared" ca="1" si="203"/>
        <v>0</v>
      </c>
      <c r="AR130" s="931">
        <f t="shared" ca="1" si="271"/>
        <v>0</v>
      </c>
      <c r="AT130" s="13">
        <f ca="1">SUM((INDIRECT(AT$2&amp;(ROW())):INDIRECT(AT$3&amp;(ROW()))))</f>
        <v>0</v>
      </c>
      <c r="AU130" s="89">
        <f ca="1">SUM(INDIRECT(AU$1&amp;AU$2&amp;$C130):INDIRECT(AU$1&amp;AU$3&amp;$C130))</f>
        <v>0</v>
      </c>
      <c r="AV130" s="880">
        <f t="shared" ca="1" si="205"/>
        <v>0</v>
      </c>
      <c r="AW130" s="931">
        <f t="shared" ca="1" si="272"/>
        <v>0</v>
      </c>
      <c r="AX130" s="89">
        <f ca="1">SUM(INDIRECT(AX$1&amp;AX$2&amp;$A130):INDIRECT(AX$1&amp;AX$3&amp;$A130))+SUM(INDIRECT(AX$1&amp;AX$2&amp;$B130):INDIRECT(AX$1&amp;AX$3&amp;$B130))</f>
        <v>0</v>
      </c>
      <c r="AY130" s="880">
        <f t="shared" ca="1" si="207"/>
        <v>0</v>
      </c>
      <c r="AZ130" s="931">
        <f t="shared" ca="1" si="273"/>
        <v>0</v>
      </c>
      <c r="BB130" s="13">
        <f ca="1">SUM((INDIRECT(BB$2&amp;(ROW())):INDIRECT(BB$3&amp;(ROW()))))</f>
        <v>0</v>
      </c>
      <c r="BC130" s="89">
        <f ca="1">SUM(INDIRECT(BC$1&amp;BC$2&amp;$C130):INDIRECT(BC$1&amp;BC$3&amp;$C130))</f>
        <v>0</v>
      </c>
      <c r="BD130" s="880">
        <f t="shared" ca="1" si="209"/>
        <v>0</v>
      </c>
      <c r="BE130" s="931">
        <f t="shared" ca="1" si="274"/>
        <v>0</v>
      </c>
      <c r="BF130" s="89">
        <f ca="1">SUM(INDIRECT(BF$1&amp;BF$2&amp;$A130):INDIRECT(BF$1&amp;BF$3&amp;$A130))+SUM(INDIRECT(BF$1&amp;BF$2&amp;$B130):INDIRECT(BF$1&amp;BF$3&amp;$B130))</f>
        <v>0</v>
      </c>
      <c r="BG130" s="880">
        <f t="shared" ca="1" si="211"/>
        <v>0</v>
      </c>
      <c r="BH130" s="931">
        <f t="shared" ca="1" si="275"/>
        <v>0</v>
      </c>
    </row>
    <row r="131" spans="1:60" ht="14.5">
      <c r="A131" s="990">
        <f t="shared" si="213"/>
        <v>105</v>
      </c>
      <c r="B131" s="990">
        <v>1</v>
      </c>
      <c r="C131" s="990">
        <f t="shared" si="128"/>
        <v>128</v>
      </c>
      <c r="D131" s="1121" t="s">
        <v>887</v>
      </c>
      <c r="E131" s="1243">
        <v>1</v>
      </c>
      <c r="F131" s="5"/>
      <c r="G131" s="5"/>
      <c r="H131" s="5"/>
      <c r="I131" s="140" t="s">
        <v>97</v>
      </c>
      <c r="J131" s="787"/>
      <c r="K131" s="138"/>
      <c r="L131" s="138"/>
      <c r="M131" s="138"/>
      <c r="N131" s="138"/>
      <c r="O131" s="138"/>
      <c r="P131" s="1162"/>
      <c r="Q131" s="1853" t="str">
        <f>CHOOSE(2, "6722000003050", "PL (1)-1 SGA Expenses")</f>
        <v>PL (1)-1 SGA Expenses</v>
      </c>
      <c r="R131" s="2062">
        <f>SUM(R132:R134)</f>
        <v>54272.654876761728</v>
      </c>
      <c r="S131" s="2010">
        <f t="shared" ref="S131:AC131" si="278">SUM(S132:S134)</f>
        <v>51065.781749495058</v>
      </c>
      <c r="T131" s="2010">
        <f t="shared" si="278"/>
        <v>57825.093540299524</v>
      </c>
      <c r="U131" s="2010">
        <f t="shared" si="278"/>
        <v>54730.75411129056</v>
      </c>
      <c r="V131" s="2010">
        <f t="shared" si="278"/>
        <v>61366.723091524458</v>
      </c>
      <c r="W131" s="2010">
        <f t="shared" si="278"/>
        <v>54133.565804311962</v>
      </c>
      <c r="X131" s="2010">
        <f t="shared" si="278"/>
        <v>70453.49449066988</v>
      </c>
      <c r="Y131" s="2010">
        <f t="shared" si="278"/>
        <v>55028.165540691596</v>
      </c>
      <c r="Z131" s="2010">
        <f t="shared" si="278"/>
        <v>78120.228639599794</v>
      </c>
      <c r="AA131" s="2010">
        <f t="shared" si="278"/>
        <v>72517.604514694103</v>
      </c>
      <c r="AB131" s="2010">
        <f t="shared" si="278"/>
        <v>62177.614876062988</v>
      </c>
      <c r="AC131" s="2010">
        <f t="shared" si="278"/>
        <v>75419.044609848177</v>
      </c>
      <c r="AD131" s="1519">
        <f t="shared" si="266"/>
        <v>163163.5301665563</v>
      </c>
      <c r="AE131" s="137">
        <f t="shared" si="267"/>
        <v>170231.04300712698</v>
      </c>
      <c r="AF131" s="137">
        <f t="shared" si="268"/>
        <v>203601.88867096126</v>
      </c>
      <c r="AG131" s="137">
        <f t="shared" si="269"/>
        <v>210114.26400060527</v>
      </c>
      <c r="AH131" s="137">
        <f t="shared" ref="AH131:AJ131" si="279">SUM(AH132:AH134)</f>
        <v>333394.57317368325</v>
      </c>
      <c r="AI131" s="137">
        <f t="shared" si="279"/>
        <v>413716.15267156658</v>
      </c>
      <c r="AJ131" s="137">
        <f t="shared" si="279"/>
        <v>747110.72584524984</v>
      </c>
      <c r="AL131" s="2062">
        <f ca="1">SUM((INDIRECT(AL$2&amp;(ROW())):INDIRECT(AL$3&amp;(ROW()))))</f>
        <v>75419.044609848177</v>
      </c>
      <c r="AM131" s="137">
        <f ca="1">SUM(INDIRECT(AM$1&amp;AM$2&amp;$C131):INDIRECT(AM$1&amp;AM$3&amp;$C131))</f>
        <v>0</v>
      </c>
      <c r="AN131" s="2500">
        <f t="shared" ca="1" si="201"/>
        <v>75419.044609848177</v>
      </c>
      <c r="AO131" s="1710">
        <f t="shared" ca="1" si="270"/>
        <v>0</v>
      </c>
      <c r="AP131" s="137">
        <f ca="1">SUM(INDIRECT(AP$1&amp;AP$2&amp;$A131):INDIRECT(AP$1&amp;AP$3&amp;$A131))+SUM(INDIRECT(AP$1&amp;AP$2&amp;$B131):INDIRECT(AP$1&amp;AP$3&amp;$B131))</f>
        <v>65602.6662293564</v>
      </c>
      <c r="AQ131" s="2500">
        <f t="shared" ca="1" si="203"/>
        <v>9816.3783804917766</v>
      </c>
      <c r="AR131" s="1710">
        <f t="shared" ca="1" si="271"/>
        <v>1.1496338326581468</v>
      </c>
      <c r="AT131" s="2062">
        <f ca="1">SUM((INDIRECT(AT$2&amp;(ROW())):INDIRECT(AT$3&amp;(ROW()))))</f>
        <v>210114.26400060527</v>
      </c>
      <c r="AU131" s="137">
        <f ca="1">SUM(INDIRECT(AU$1&amp;AU$2&amp;$C131):INDIRECT(AU$1&amp;AU$3&amp;$C131))</f>
        <v>0</v>
      </c>
      <c r="AV131" s="2500">
        <f t="shared" ca="1" si="205"/>
        <v>210114.26400060527</v>
      </c>
      <c r="AW131" s="1710">
        <f t="shared" ca="1" si="272"/>
        <v>0</v>
      </c>
      <c r="AX131" s="137">
        <f ca="1">SUM(INDIRECT(AX$1&amp;AX$2&amp;$A131):INDIRECT(AX$1&amp;AX$3&amp;$A131))+SUM(INDIRECT(AX$1&amp;AX$2&amp;$B131):INDIRECT(AX$1&amp;AX$3&amp;$B131))</f>
        <v>144042.10374765983</v>
      </c>
      <c r="AY131" s="2500">
        <f t="shared" ca="1" si="207"/>
        <v>66072.160252945439</v>
      </c>
      <c r="AZ131" s="1710">
        <f t="shared" ca="1" si="273"/>
        <v>1.4587003281255455</v>
      </c>
      <c r="BB131" s="2062">
        <f ca="1">SUM((INDIRECT(BB$2&amp;(ROW())):INDIRECT(BB$3&amp;(ROW()))))</f>
        <v>747110.72584524972</v>
      </c>
      <c r="BC131" s="137">
        <f ca="1">SUM(INDIRECT(BC$1&amp;BC$2&amp;$C131):INDIRECT(BC$1&amp;BC$3&amp;$C131))</f>
        <v>0</v>
      </c>
      <c r="BD131" s="2500">
        <f t="shared" ca="1" si="209"/>
        <v>747110.72584524972</v>
      </c>
      <c r="BE131" s="1710">
        <f t="shared" ca="1" si="274"/>
        <v>0</v>
      </c>
      <c r="BF131" s="137">
        <f ca="1">SUM(INDIRECT(BF$1&amp;BF$2&amp;$A131):INDIRECT(BF$1&amp;BF$3&amp;$A131))+SUM(INDIRECT(BF$1&amp;BF$2&amp;$B131):INDIRECT(BF$1&amp;BF$3&amp;$B131))</f>
        <v>569856.10374765983</v>
      </c>
      <c r="BG131" s="2500">
        <f t="shared" ca="1" si="211"/>
        <v>177254.62209758989</v>
      </c>
      <c r="BH131" s="1710">
        <f t="shared" ca="1" si="275"/>
        <v>1.3110515460514935</v>
      </c>
    </row>
    <row r="132" spans="1:60" ht="14.5">
      <c r="A132" s="990">
        <f t="shared" si="213"/>
        <v>106</v>
      </c>
      <c r="B132" s="990">
        <v>1</v>
      </c>
      <c r="C132" s="990">
        <f t="shared" si="128"/>
        <v>129</v>
      </c>
      <c r="D132" s="1121" t="s">
        <v>887</v>
      </c>
      <c r="E132" s="1243">
        <v>1</v>
      </c>
      <c r="F132" s="5"/>
      <c r="G132" s="5"/>
      <c r="H132" s="5"/>
      <c r="I132" s="30"/>
      <c r="J132" s="40" t="s">
        <v>199</v>
      </c>
      <c r="K132" s="5"/>
      <c r="L132" s="5"/>
      <c r="M132" s="4"/>
      <c r="N132" s="4"/>
      <c r="O132" s="4"/>
      <c r="P132" s="4"/>
      <c r="Q132" s="1855" t="str">
        <f>CHOOSE(2, "6722000003051", "PL (1)-1 SGA Expenses Variable Expenses")</f>
        <v>PL (1)-1 SGA Expenses Variable Expenses</v>
      </c>
      <c r="R132" s="2032">
        <v>18484.978492826012</v>
      </c>
      <c r="S132" s="2039">
        <v>13981.431285831692</v>
      </c>
      <c r="T132" s="2039">
        <v>15389.78850652805</v>
      </c>
      <c r="U132" s="2039">
        <v>18363.865951527823</v>
      </c>
      <c r="V132" s="2039">
        <v>19468.900872682909</v>
      </c>
      <c r="W132" s="2039">
        <v>25127.29609466136</v>
      </c>
      <c r="X132" s="2039">
        <v>12267.925652022048</v>
      </c>
      <c r="Y132" s="2039">
        <v>12982.564082891164</v>
      </c>
      <c r="Z132" s="2039">
        <v>37345.695195401015</v>
      </c>
      <c r="AA132" s="2039">
        <f>16057.705419007+9800</f>
        <v>25857.705419006998</v>
      </c>
      <c r="AB132" s="2039">
        <v>26028.869694732028</v>
      </c>
      <c r="AC132" s="2039">
        <v>17188.262359450138</v>
      </c>
      <c r="AD132" s="89">
        <f t="shared" si="266"/>
        <v>47856.198285185754</v>
      </c>
      <c r="AE132" s="89">
        <f t="shared" ref="AE132:AE134" si="280">SUM(U132,V132,W132)</f>
        <v>62960.062918872092</v>
      </c>
      <c r="AF132" s="89">
        <f t="shared" ref="AF132:AF134" si="281">SUM(X132,Y132,Z132)</f>
        <v>62596.184930314223</v>
      </c>
      <c r="AG132" s="89">
        <f t="shared" ref="AG132:AG134" si="282">SUM(AA132,AB132,AC132)</f>
        <v>69074.837473189167</v>
      </c>
      <c r="AH132" s="89">
        <f>AD132+AE132</f>
        <v>110816.26120405784</v>
      </c>
      <c r="AI132" s="89">
        <f>AG132+AF132</f>
        <v>131671.02240350339</v>
      </c>
      <c r="AJ132" s="89">
        <f>AH132+AI132</f>
        <v>242487.28360756123</v>
      </c>
      <c r="AL132" s="13">
        <f ca="1">SUM((INDIRECT(AL$2&amp;(ROW())):INDIRECT(AL$3&amp;(ROW()))))</f>
        <v>17188.262359450138</v>
      </c>
      <c r="AM132" s="89">
        <f ca="1">SUM(INDIRECT(AM$1&amp;AM$2&amp;$C132):INDIRECT(AM$1&amp;AM$3&amp;$C132))</f>
        <v>0</v>
      </c>
      <c r="AN132" s="880">
        <f t="shared" ca="1" si="201"/>
        <v>17188.262359450138</v>
      </c>
      <c r="AO132" s="931">
        <f t="shared" ca="1" si="270"/>
        <v>0</v>
      </c>
      <c r="AP132" s="89">
        <f ca="1">SUM(INDIRECT(AP$1&amp;AP$2&amp;$A132):INDIRECT(AP$1&amp;AP$3&amp;$A132))+SUM(INDIRECT(AP$1&amp;AP$2&amp;$B132):INDIRECT(AP$1&amp;AP$3&amp;$B132))</f>
        <v>14626.873553411262</v>
      </c>
      <c r="AQ132" s="880">
        <f t="shared" ca="1" si="203"/>
        <v>2561.3888060388763</v>
      </c>
      <c r="AR132" s="931">
        <f t="shared" ca="1" si="271"/>
        <v>1.175115262785704</v>
      </c>
      <c r="AT132" s="13">
        <f ca="1">SUM((INDIRECT(AT$2&amp;(ROW())):INDIRECT(AT$3&amp;(ROW()))))</f>
        <v>69074.837473189167</v>
      </c>
      <c r="AU132" s="89">
        <f ca="1">SUM(INDIRECT(AU$1&amp;AU$2&amp;$C132):INDIRECT(AU$1&amp;AU$3&amp;$C132))</f>
        <v>0</v>
      </c>
      <c r="AV132" s="880">
        <f t="shared" ca="1" si="205"/>
        <v>69074.837473189167</v>
      </c>
      <c r="AW132" s="931">
        <f t="shared" ca="1" si="272"/>
        <v>0</v>
      </c>
      <c r="AX132" s="89">
        <f ca="1">SUM(INDIRECT(AX$1&amp;AX$2&amp;$A132):INDIRECT(AX$1&amp;AX$3&amp;$A132))+SUM(INDIRECT(AX$1&amp;AX$2&amp;$B132):INDIRECT(AX$1&amp;AX$3&amp;$B132))</f>
        <v>26978.939142873613</v>
      </c>
      <c r="AY132" s="880">
        <f t="shared" ca="1" si="207"/>
        <v>42095.898330315555</v>
      </c>
      <c r="AZ132" s="931">
        <f t="shared" ca="1" si="273"/>
        <v>2.5603244481699732</v>
      </c>
      <c r="BB132" s="13">
        <f ca="1">SUM((INDIRECT(BB$2&amp;(ROW())):INDIRECT(BB$3&amp;(ROW()))))</f>
        <v>242487.28360756123</v>
      </c>
      <c r="BC132" s="89">
        <f ca="1">SUM(INDIRECT(BC$1&amp;BC$2&amp;$C132):INDIRECT(BC$1&amp;BC$3&amp;$C132))</f>
        <v>0</v>
      </c>
      <c r="BD132" s="880">
        <f t="shared" ca="1" si="209"/>
        <v>242487.28360756123</v>
      </c>
      <c r="BE132" s="931">
        <f t="shared" ca="1" si="274"/>
        <v>0</v>
      </c>
      <c r="BF132" s="89">
        <f ca="1">SUM(INDIRECT(BF$1&amp;BF$2&amp;$A132):INDIRECT(BF$1&amp;BF$3&amp;$A132))+SUM(INDIRECT(BF$1&amp;BF$2&amp;$B132):INDIRECT(BF$1&amp;BF$3&amp;$B132))</f>
        <v>135175.9391428736</v>
      </c>
      <c r="BG132" s="880">
        <f t="shared" ca="1" si="211"/>
        <v>107311.34446468763</v>
      </c>
      <c r="BH132" s="931">
        <f t="shared" ca="1" si="275"/>
        <v>1.793864242002901</v>
      </c>
    </row>
    <row r="133" spans="1:60" ht="14.5">
      <c r="A133" s="990">
        <f t="shared" si="213"/>
        <v>107</v>
      </c>
      <c r="B133" s="990">
        <v>1</v>
      </c>
      <c r="C133" s="990">
        <f t="shared" si="128"/>
        <v>130</v>
      </c>
      <c r="D133" s="1121" t="s">
        <v>887</v>
      </c>
      <c r="E133" s="1243">
        <v>1</v>
      </c>
      <c r="F133" s="5"/>
      <c r="G133" s="5"/>
      <c r="H133" s="5"/>
      <c r="I133" s="30"/>
      <c r="J133" s="40" t="s">
        <v>200</v>
      </c>
      <c r="K133" s="5"/>
      <c r="L133" s="5"/>
      <c r="M133" s="4"/>
      <c r="N133" s="4"/>
      <c r="O133" s="4"/>
      <c r="P133" s="4"/>
      <c r="Q133" s="1855" t="str">
        <f>CHOOSE(2, "6722000003052", "PL (1)-1 SGA Expenses Wages &amp; Salaries")</f>
        <v>PL (1)-1 SGA Expenses Wages &amp; Salaries</v>
      </c>
      <c r="R133" s="2032">
        <v>21961</v>
      </c>
      <c r="S133" s="2039">
        <f>22453.8663966288-886</f>
        <v>21567.8663966288</v>
      </c>
      <c r="T133" s="2039">
        <f>22174.626969484+570</f>
        <v>22744.626969484001</v>
      </c>
      <c r="U133" s="2039">
        <v>21566.008818655566</v>
      </c>
      <c r="V133" s="2039">
        <v>22158.418176601943</v>
      </c>
      <c r="W133" s="2039">
        <v>23162.478800583944</v>
      </c>
      <c r="X133" s="2039">
        <v>30937.754196601556</v>
      </c>
      <c r="Y133" s="2039">
        <v>24670.657007676753</v>
      </c>
      <c r="Z133" s="2039">
        <v>26662.93337931775</v>
      </c>
      <c r="AA133" s="2039">
        <v>24301.371068526183</v>
      </c>
      <c r="AB133" s="2039">
        <v>27010.163973104827</v>
      </c>
      <c r="AC133" s="2039">
        <v>22372.892605307599</v>
      </c>
      <c r="AD133" s="89">
        <f t="shared" si="266"/>
        <v>66273.493366112802</v>
      </c>
      <c r="AE133" s="89">
        <f t="shared" si="280"/>
        <v>66886.905795841449</v>
      </c>
      <c r="AF133" s="89">
        <f t="shared" si="281"/>
        <v>82271.344583596059</v>
      </c>
      <c r="AG133" s="89">
        <f t="shared" si="282"/>
        <v>73684.42764693861</v>
      </c>
      <c r="AH133" s="89">
        <f>AD133+AE133</f>
        <v>133160.39916195424</v>
      </c>
      <c r="AI133" s="89">
        <f>AG133+AF133</f>
        <v>155955.77223053467</v>
      </c>
      <c r="AJ133" s="89">
        <f>AH133+AI133</f>
        <v>289116.17139248888</v>
      </c>
      <c r="AL133" s="13">
        <f ca="1">SUM((INDIRECT(AL$2&amp;(ROW())):INDIRECT(AL$3&amp;(ROW()))))</f>
        <v>22372.892605307599</v>
      </c>
      <c r="AM133" s="89">
        <f ca="1">SUM(INDIRECT(AM$1&amp;AM$2&amp;$C133):INDIRECT(AM$1&amp;AM$3&amp;$C133))</f>
        <v>0</v>
      </c>
      <c r="AN133" s="880">
        <f t="shared" ca="1" si="201"/>
        <v>22372.892605307599</v>
      </c>
      <c r="AO133" s="931">
        <f t="shared" ca="1" si="270"/>
        <v>0</v>
      </c>
      <c r="AP133" s="89">
        <f ca="1">SUM(INDIRECT(AP$1&amp;AP$2&amp;$A133):INDIRECT(AP$1&amp;AP$3&amp;$A133))+SUM(INDIRECT(AP$1&amp;AP$2&amp;$B133):INDIRECT(AP$1&amp;AP$3&amp;$B133))</f>
        <v>25405.79267594514</v>
      </c>
      <c r="AQ133" s="880">
        <f t="shared" ca="1" si="203"/>
        <v>-3032.9000706375409</v>
      </c>
      <c r="AR133" s="931">
        <f t="shared" ca="1" si="271"/>
        <v>0.88062171059479799</v>
      </c>
      <c r="AT133" s="13">
        <f ca="1">SUM((INDIRECT(AT$2&amp;(ROW())):INDIRECT(AT$3&amp;(ROW()))))</f>
        <v>73684.42764693861</v>
      </c>
      <c r="AU133" s="89">
        <f ca="1">SUM(INDIRECT(AU$1&amp;AU$2&amp;$C133):INDIRECT(AU$1&amp;AU$3&amp;$C133))</f>
        <v>0</v>
      </c>
      <c r="AV133" s="880">
        <f t="shared" ca="1" si="205"/>
        <v>73684.42764693861</v>
      </c>
      <c r="AW133" s="931">
        <f t="shared" ca="1" si="272"/>
        <v>0</v>
      </c>
      <c r="AX133" s="89">
        <f ca="1">SUM(INDIRECT(AX$1&amp;AX$2&amp;$A133):INDIRECT(AX$1&amp;AX$3&amp;$A133))+SUM(INDIRECT(AX$1&amp;AX$2&amp;$B133):INDIRECT(AX$1&amp;AX$3&amp;$B133))</f>
        <v>76328.781671301345</v>
      </c>
      <c r="AY133" s="880">
        <f t="shared" ca="1" si="207"/>
        <v>-2644.3540243627358</v>
      </c>
      <c r="AZ133" s="931">
        <f t="shared" ca="1" si="273"/>
        <v>0.96535574174693028</v>
      </c>
      <c r="BB133" s="13">
        <f ca="1">SUM((INDIRECT(BB$2&amp;(ROW())):INDIRECT(BB$3&amp;(ROW()))))</f>
        <v>289116.17139248888</v>
      </c>
      <c r="BC133" s="89">
        <f ca="1">SUM(INDIRECT(BC$1&amp;BC$2&amp;$C133):INDIRECT(BC$1&amp;BC$3&amp;$C133))</f>
        <v>0</v>
      </c>
      <c r="BD133" s="880">
        <f t="shared" ca="1" si="209"/>
        <v>289116.17139248888</v>
      </c>
      <c r="BE133" s="931">
        <f t="shared" ca="1" si="274"/>
        <v>0</v>
      </c>
      <c r="BF133" s="89">
        <f ca="1">SUM(INDIRECT(BF$1&amp;BF$2&amp;$A133):INDIRECT(BF$1&amp;BF$3&amp;$A133))+SUM(INDIRECT(BF$1&amp;BF$2&amp;$B133):INDIRECT(BF$1&amp;BF$3&amp;$B133))</f>
        <v>263731.78167130135</v>
      </c>
      <c r="BG133" s="880">
        <f t="shared" ca="1" si="211"/>
        <v>25384.38972118753</v>
      </c>
      <c r="BH133" s="931">
        <f t="shared" ca="1" si="275"/>
        <v>1.0962507800930303</v>
      </c>
    </row>
    <row r="134" spans="1:60" ht="14.5">
      <c r="A134" s="990">
        <f t="shared" si="213"/>
        <v>108</v>
      </c>
      <c r="B134" s="990">
        <v>1</v>
      </c>
      <c r="C134" s="990">
        <f t="shared" si="128"/>
        <v>131</v>
      </c>
      <c r="D134" s="1121" t="s">
        <v>887</v>
      </c>
      <c r="E134" s="1243">
        <v>1</v>
      </c>
      <c r="F134" s="5"/>
      <c r="G134" s="5"/>
      <c r="H134" s="5"/>
      <c r="I134" s="30"/>
      <c r="J134" s="40" t="s">
        <v>201</v>
      </c>
      <c r="K134" s="52"/>
      <c r="L134" s="52"/>
      <c r="M134" s="51"/>
      <c r="N134" s="51"/>
      <c r="O134" s="51"/>
      <c r="P134" s="51"/>
      <c r="Q134" s="1855" t="str">
        <f>CHOOSE(2, "6722000003053", "PL (1)-1 SGA Expenses Fixed Expenses")</f>
        <v>PL (1)-1 SGA Expenses Fixed Expenses</v>
      </c>
      <c r="R134" s="2211">
        <v>13826.676383935717</v>
      </c>
      <c r="S134" s="2043">
        <v>15516.484067034562</v>
      </c>
      <c r="T134" s="2043">
        <v>19690.678064287476</v>
      </c>
      <c r="U134" s="2043">
        <v>14800.879341107169</v>
      </c>
      <c r="V134" s="2043">
        <v>19739.40404223961</v>
      </c>
      <c r="W134" s="2043">
        <v>5843.7909090666544</v>
      </c>
      <c r="X134" s="2043">
        <v>27247.814642046273</v>
      </c>
      <c r="Y134" s="2043">
        <v>17374.944450123679</v>
      </c>
      <c r="Z134" s="2043">
        <v>14111.600064881033</v>
      </c>
      <c r="AA134" s="2043">
        <v>22358.528027160923</v>
      </c>
      <c r="AB134" s="2043">
        <v>9138.5812082261364</v>
      </c>
      <c r="AC134" s="2043">
        <v>35857.88964509045</v>
      </c>
      <c r="AD134" s="134">
        <f t="shared" si="266"/>
        <v>49033.838515257754</v>
      </c>
      <c r="AE134" s="134">
        <f t="shared" si="280"/>
        <v>40384.074292413439</v>
      </c>
      <c r="AF134" s="134">
        <f t="shared" si="281"/>
        <v>58734.359157050989</v>
      </c>
      <c r="AG134" s="134">
        <f t="shared" si="282"/>
        <v>67354.998880477506</v>
      </c>
      <c r="AH134" s="134">
        <f>AD134+AE134</f>
        <v>89417.912807671193</v>
      </c>
      <c r="AI134" s="134">
        <f>AG134+AF134</f>
        <v>126089.35803752849</v>
      </c>
      <c r="AJ134" s="134">
        <f>AH134+AI134</f>
        <v>215507.2708451997</v>
      </c>
      <c r="AL134" s="2061">
        <f ca="1">SUM((INDIRECT(AL$2&amp;(ROW())):INDIRECT(AL$3&amp;(ROW()))))</f>
        <v>35857.88964509045</v>
      </c>
      <c r="AM134" s="134">
        <f ca="1">SUM(INDIRECT(AM$1&amp;AM$2&amp;$C134):INDIRECT(AM$1&amp;AM$3&amp;$C134))</f>
        <v>0</v>
      </c>
      <c r="AN134" s="883">
        <f t="shared" ca="1" si="201"/>
        <v>35857.88964509045</v>
      </c>
      <c r="AO134" s="934">
        <f t="shared" ca="1" si="270"/>
        <v>0</v>
      </c>
      <c r="AP134" s="134">
        <f ca="1">SUM(INDIRECT(AP$1&amp;AP$2&amp;$A134):INDIRECT(AP$1&amp;AP$3&amp;$A134))+SUM(INDIRECT(AP$1&amp;AP$2&amp;$B134):INDIRECT(AP$1&amp;AP$3&amp;$B134))</f>
        <v>25570</v>
      </c>
      <c r="AQ134" s="883">
        <f t="shared" ca="1" si="203"/>
        <v>10287.88964509045</v>
      </c>
      <c r="AR134" s="934">
        <f t="shared" ca="1" si="271"/>
        <v>1.4023421840082304</v>
      </c>
      <c r="AT134" s="2061">
        <f ca="1">SUM((INDIRECT(AT$2&amp;(ROW())):INDIRECT(AT$3&amp;(ROW()))))</f>
        <v>67354.998880477506</v>
      </c>
      <c r="AU134" s="134">
        <f ca="1">SUM(INDIRECT(AU$1&amp;AU$2&amp;$C134):INDIRECT(AU$1&amp;AU$3&amp;$C134))</f>
        <v>0</v>
      </c>
      <c r="AV134" s="883">
        <f t="shared" ca="1" si="205"/>
        <v>67354.998880477506</v>
      </c>
      <c r="AW134" s="934">
        <f t="shared" ca="1" si="272"/>
        <v>0</v>
      </c>
      <c r="AX134" s="134">
        <f ca="1">SUM(INDIRECT(AX$1&amp;AX$2&amp;$A134):INDIRECT(AX$1&amp;AX$3&amp;$A134))+SUM(INDIRECT(AX$1&amp;AX$2&amp;$B134):INDIRECT(AX$1&amp;AX$3&amp;$B134))</f>
        <v>40734.382933484863</v>
      </c>
      <c r="AY134" s="883">
        <f t="shared" ca="1" si="207"/>
        <v>26620.615946992642</v>
      </c>
      <c r="AZ134" s="934">
        <f t="shared" ca="1" si="273"/>
        <v>1.6535171034862961</v>
      </c>
      <c r="BB134" s="2061">
        <f ca="1">SUM((INDIRECT(BB$2&amp;(ROW())):INDIRECT(BB$3&amp;(ROW()))))</f>
        <v>215507.27084519967</v>
      </c>
      <c r="BC134" s="134">
        <f ca="1">SUM(INDIRECT(BC$1&amp;BC$2&amp;$C134):INDIRECT(BC$1&amp;BC$3&amp;$C134))</f>
        <v>0</v>
      </c>
      <c r="BD134" s="883">
        <f t="shared" ca="1" si="209"/>
        <v>215507.27084519967</v>
      </c>
      <c r="BE134" s="934">
        <f t="shared" ca="1" si="274"/>
        <v>0</v>
      </c>
      <c r="BF134" s="134">
        <f ca="1">SUM(INDIRECT(BF$1&amp;BF$2&amp;$A134):INDIRECT(BF$1&amp;BF$3&amp;$A134))+SUM(INDIRECT(BF$1&amp;BF$2&amp;$B134):INDIRECT(BF$1&amp;BF$3&amp;$B134))</f>
        <v>170948.38293348486</v>
      </c>
      <c r="BG134" s="883">
        <f t="shared" ca="1" si="211"/>
        <v>44558.887911714817</v>
      </c>
      <c r="BH134" s="934">
        <f t="shared" ca="1" si="275"/>
        <v>1.2606569722806471</v>
      </c>
    </row>
    <row r="135" spans="1:60" ht="14.5">
      <c r="A135" s="990">
        <f t="shared" si="213"/>
        <v>109</v>
      </c>
      <c r="B135" s="990">
        <v>1</v>
      </c>
      <c r="C135" s="990">
        <f t="shared" si="128"/>
        <v>132</v>
      </c>
      <c r="D135" s="1121" t="s">
        <v>887</v>
      </c>
      <c r="E135" s="1243">
        <v>1</v>
      </c>
      <c r="F135" s="5"/>
      <c r="G135" s="5"/>
      <c r="H135" s="5"/>
      <c r="I135" s="140" t="s">
        <v>136</v>
      </c>
      <c r="J135" s="139"/>
      <c r="K135" s="138"/>
      <c r="L135" s="138"/>
      <c r="M135" s="139"/>
      <c r="N135" s="139"/>
      <c r="O135" s="139"/>
      <c r="P135" s="787"/>
      <c r="Q135" s="1853" t="str">
        <f>CHOOSE(2, "6722000003054", "PL (1)-1 Business Contribution Profit")</f>
        <v>PL (1)-1 Business Contribution Profit</v>
      </c>
      <c r="R135" s="2062">
        <f t="shared" ref="R135:AC135" si="283">R123-R131</f>
        <v>7891.3451232382722</v>
      </c>
      <c r="S135" s="2010">
        <f t="shared" si="283"/>
        <v>653.21825050494226</v>
      </c>
      <c r="T135" s="2010">
        <f t="shared" si="283"/>
        <v>10364.906459700476</v>
      </c>
      <c r="U135" s="2010">
        <f t="shared" si="283"/>
        <v>12049.24588870944</v>
      </c>
      <c r="V135" s="2010">
        <f t="shared" si="283"/>
        <v>19515.901158835026</v>
      </c>
      <c r="W135" s="2010">
        <f t="shared" si="283"/>
        <v>31698.434195688038</v>
      </c>
      <c r="X135" s="2010">
        <f t="shared" si="283"/>
        <v>15912.50550933012</v>
      </c>
      <c r="Y135" s="2010">
        <f t="shared" si="283"/>
        <v>28616.834459308404</v>
      </c>
      <c r="Z135" s="2010">
        <f t="shared" si="283"/>
        <v>18098.771360400206</v>
      </c>
      <c r="AA135" s="2010">
        <f t="shared" si="283"/>
        <v>9303.3954853058967</v>
      </c>
      <c r="AB135" s="2010">
        <f t="shared" si="283"/>
        <v>3653.3851239370124</v>
      </c>
      <c r="AC135" s="2010">
        <f t="shared" si="283"/>
        <v>-1295.0446098481771</v>
      </c>
      <c r="AD135" s="1519">
        <f t="shared" ref="AD135:AJ135" si="284">AD123-AD131</f>
        <v>18909.469833443698</v>
      </c>
      <c r="AE135" s="137">
        <f t="shared" si="284"/>
        <v>63263.581243232504</v>
      </c>
      <c r="AF135" s="137">
        <f t="shared" si="284"/>
        <v>62628.111329038744</v>
      </c>
      <c r="AG135" s="137">
        <f t="shared" si="284"/>
        <v>11661.735999394732</v>
      </c>
      <c r="AH135" s="137">
        <f t="shared" si="284"/>
        <v>82173.051076676231</v>
      </c>
      <c r="AI135" s="137">
        <f t="shared" si="284"/>
        <v>74289.847328433418</v>
      </c>
      <c r="AJ135" s="137">
        <f t="shared" si="284"/>
        <v>156462.89840510965</v>
      </c>
      <c r="AK135" s="290"/>
      <c r="AL135" s="2501">
        <f ca="1">SUM((INDIRECT(AL$2&amp;(ROW())):INDIRECT(AL$3&amp;(ROW()))))</f>
        <v>-1295.0446098481771</v>
      </c>
      <c r="AM135" s="2502">
        <f ca="1">SUM(INDIRECT(AM$1&amp;AM$2&amp;$C135):INDIRECT(AM$1&amp;AM$3&amp;$C135))</f>
        <v>0</v>
      </c>
      <c r="AN135" s="2503">
        <f t="shared" ca="1" si="201"/>
        <v>-1295.0446098481771</v>
      </c>
      <c r="AO135" s="1711">
        <f t="shared" ca="1" si="270"/>
        <v>0</v>
      </c>
      <c r="AP135" s="2502">
        <f ca="1">SUM(INDIRECT(AP$1&amp;AP$2&amp;$A135):INDIRECT(AP$1&amp;AP$3&amp;$A135))+SUM(INDIRECT(AP$1&amp;AP$2&amp;$B135):INDIRECT(AP$1&amp;AP$3&amp;$B135))</f>
        <v>-13407.6662293564</v>
      </c>
      <c r="AQ135" s="2503">
        <f t="shared" ca="1" si="203"/>
        <v>12112.621619508223</v>
      </c>
      <c r="AR135" s="1711">
        <f t="shared" ca="1" si="271"/>
        <v>9.6589860434670313E-2</v>
      </c>
      <c r="AT135" s="2501">
        <f ca="1">SUM((INDIRECT(AT$2&amp;(ROW())):INDIRECT(AT$3&amp;(ROW()))))</f>
        <v>11661.735999394732</v>
      </c>
      <c r="AU135" s="2502">
        <f ca="1">SUM(INDIRECT(AU$1&amp;AU$2&amp;$C135):INDIRECT(AU$1&amp;AU$3&amp;$C135))</f>
        <v>0</v>
      </c>
      <c r="AV135" s="2503">
        <f t="shared" ca="1" si="205"/>
        <v>11661.735999394732</v>
      </c>
      <c r="AW135" s="1711">
        <f t="shared" ca="1" si="272"/>
        <v>0</v>
      </c>
      <c r="AX135" s="2502">
        <f ca="1">SUM(INDIRECT(AX$1&amp;AX$2&amp;$A135):INDIRECT(AX$1&amp;AX$3&amp;$A135))+SUM(INDIRECT(AX$1&amp;AX$2&amp;$B135):INDIRECT(AX$1&amp;AX$3&amp;$B135))</f>
        <v>4972.896252340186</v>
      </c>
      <c r="AY135" s="2503">
        <f t="shared" ca="1" si="207"/>
        <v>6688.839747054546</v>
      </c>
      <c r="AZ135" s="1711">
        <f t="shared" ca="1" si="273"/>
        <v>2.3450591783222619</v>
      </c>
      <c r="BB135" s="2501">
        <f ca="1">SUM((INDIRECT(BB$2&amp;(ROW())):INDIRECT(BB$3&amp;(ROW()))))</f>
        <v>156462.89840510965</v>
      </c>
      <c r="BC135" s="2502">
        <f ca="1">SUM(INDIRECT(BC$1&amp;BC$2&amp;$C135):INDIRECT(BC$1&amp;BC$3&amp;$C135))</f>
        <v>0</v>
      </c>
      <c r="BD135" s="2503">
        <f t="shared" ca="1" si="209"/>
        <v>156462.89840510965</v>
      </c>
      <c r="BE135" s="1711">
        <f t="shared" ca="1" si="274"/>
        <v>0</v>
      </c>
      <c r="BF135" s="2502">
        <f ca="1">SUM(INDIRECT(BF$1&amp;BF$2&amp;$A135):INDIRECT(BF$1&amp;BF$3&amp;$A135))+SUM(INDIRECT(BF$1&amp;BF$2&amp;$B135):INDIRECT(BF$1&amp;BF$3&amp;$B135))</f>
        <v>140566.8962523402</v>
      </c>
      <c r="BG135" s="2503">
        <f t="shared" ca="1" si="211"/>
        <v>15896.002152769448</v>
      </c>
      <c r="BH135" s="1711">
        <f t="shared" ca="1" si="275"/>
        <v>1.113084962224915</v>
      </c>
    </row>
    <row r="136" spans="1:60" ht="14.5">
      <c r="A136" s="990">
        <f t="shared" si="213"/>
        <v>110</v>
      </c>
      <c r="B136" s="990">
        <v>1</v>
      </c>
      <c r="C136" s="990">
        <f t="shared" si="128"/>
        <v>133</v>
      </c>
      <c r="D136" s="1121" t="s">
        <v>887</v>
      </c>
      <c r="E136" s="1243">
        <v>1</v>
      </c>
      <c r="F136" s="5"/>
      <c r="G136" s="5"/>
      <c r="H136" s="5"/>
      <c r="I136" s="28"/>
      <c r="J136" s="629" t="s">
        <v>135</v>
      </c>
      <c r="K136" s="3"/>
      <c r="L136" s="3"/>
      <c r="M136" s="2"/>
      <c r="N136" s="2"/>
      <c r="O136" s="2"/>
      <c r="P136" s="2"/>
      <c r="Q136" s="1842" t="str">
        <f>CHOOSE(2, "6722000003055", "PL (1)-1 Business Contribution Profit (%)")</f>
        <v>PL (1)-1 Business Contribution Profit (%)</v>
      </c>
      <c r="R136" s="863">
        <f t="shared" ref="R136:AC136" si="285">IFERROR(R135/R102,0)</f>
        <v>4.8439014217639305E-2</v>
      </c>
      <c r="S136" s="2797">
        <f t="shared" si="285"/>
        <v>3.5719775500207373E-3</v>
      </c>
      <c r="T136" s="863">
        <f t="shared" si="285"/>
        <v>5.2567041763410559E-2</v>
      </c>
      <c r="U136" s="863">
        <f t="shared" si="285"/>
        <v>5.7645550435643157E-2</v>
      </c>
      <c r="V136" s="863">
        <f t="shared" si="285"/>
        <v>7.478177361424615E-2</v>
      </c>
      <c r="W136" s="863">
        <f t="shared" si="285"/>
        <v>0.11773606577086776</v>
      </c>
      <c r="X136" s="863">
        <f t="shared" si="285"/>
        <v>6.833008630878154E-2</v>
      </c>
      <c r="Y136" s="863">
        <f t="shared" si="285"/>
        <v>0.1136987343927387</v>
      </c>
      <c r="Z136" s="863">
        <f t="shared" si="285"/>
        <v>5.5315783979951114E-2</v>
      </c>
      <c r="AA136" s="863">
        <f t="shared" si="285"/>
        <v>3.8606664835134585E-2</v>
      </c>
      <c r="AB136" s="863">
        <f t="shared" si="285"/>
        <v>1.3993871152819495E-2</v>
      </c>
      <c r="AC136" s="863">
        <f t="shared" si="285"/>
        <v>-4.6406890553322266E-3</v>
      </c>
      <c r="AD136" s="1508">
        <f t="shared" ref="AD136:AJ136" si="286">IFERROR(AD135/AD102,0)</f>
        <v>3.4826571030780663E-2</v>
      </c>
      <c r="AE136" s="863">
        <f t="shared" si="286"/>
        <v>8.5580681494753313E-2</v>
      </c>
      <c r="AF136" s="863">
        <f t="shared" si="286"/>
        <v>7.7151304305400195E-2</v>
      </c>
      <c r="AG136" s="863">
        <f t="shared" si="286"/>
        <v>1.4929652176378335E-2</v>
      </c>
      <c r="AH136" s="863">
        <f t="shared" si="286"/>
        <v>6.4088127488945171E-2</v>
      </c>
      <c r="AI136" s="863">
        <f t="shared" si="286"/>
        <v>4.6639008014809975E-2</v>
      </c>
      <c r="AJ136" s="863">
        <f t="shared" si="286"/>
        <v>5.4420784932031417E-2</v>
      </c>
      <c r="AK136" s="619"/>
      <c r="AL136" s="863">
        <f ca="1">IFERROR(AL135/AL102,0)</f>
        <v>-4.6406890553322266E-3</v>
      </c>
      <c r="AM136" s="863">
        <f ca="1">IFERROR(AM135/AM102,0)</f>
        <v>0</v>
      </c>
      <c r="AN136" s="863">
        <f t="shared" ca="1" si="201"/>
        <v>-4.6406890553322266E-3</v>
      </c>
      <c r="AO136" s="919"/>
      <c r="AP136" s="863">
        <f ca="1">IFERROR(AP135/AP102,0)</f>
        <v>-5.5553942403432435E-2</v>
      </c>
      <c r="AQ136" s="863">
        <f t="shared" ca="1" si="203"/>
        <v>5.0913253348100207E-2</v>
      </c>
      <c r="AR136" s="919"/>
      <c r="AS136" s="619"/>
      <c r="AT136" s="863">
        <f ca="1">IFERROR(AT135/AT102,0)</f>
        <v>1.4929652176378335E-2</v>
      </c>
      <c r="AU136" s="863">
        <f ca="1">IFERROR(AU135/AU102,0)</f>
        <v>0</v>
      </c>
      <c r="AV136" s="863">
        <f t="shared" ca="1" si="205"/>
        <v>1.4929652176378335E-2</v>
      </c>
      <c r="AW136" s="919"/>
      <c r="AX136" s="863">
        <f ca="1">IFERROR(AX135/AX102,0)</f>
        <v>8.5704569897131454E-3</v>
      </c>
      <c r="AY136" s="863">
        <f t="shared" ca="1" si="207"/>
        <v>6.35919518666519E-3</v>
      </c>
      <c r="AZ136" s="919"/>
      <c r="BA136" s="619"/>
      <c r="BB136" s="863">
        <f ca="1">IFERROR(BB135/BB102,0)</f>
        <v>5.4420784932031417E-2</v>
      </c>
      <c r="BC136" s="863">
        <f ca="1">IFERROR(BC135/BC102,0)</f>
        <v>0</v>
      </c>
      <c r="BD136" s="863">
        <f t="shared" ca="1" si="209"/>
        <v>5.4420784932031417E-2</v>
      </c>
      <c r="BE136" s="919"/>
      <c r="BF136" s="863">
        <f ca="1">IFERROR(BF135/BF102,0)</f>
        <v>6.5306110278257556E-2</v>
      </c>
      <c r="BG136" s="863">
        <f t="shared" ca="1" si="211"/>
        <v>-1.0885325346226139E-2</v>
      </c>
      <c r="BH136" s="919"/>
    </row>
    <row r="137" spans="1:60" ht="14.5">
      <c r="A137" s="990">
        <f t="shared" si="213"/>
        <v>111</v>
      </c>
      <c r="B137" s="990">
        <v>1</v>
      </c>
      <c r="C137" s="990">
        <f t="shared" si="128"/>
        <v>134</v>
      </c>
      <c r="D137" s="1121" t="s">
        <v>887</v>
      </c>
      <c r="E137" s="1243">
        <v>1</v>
      </c>
      <c r="F137" s="5"/>
      <c r="G137" s="5"/>
      <c r="H137" s="5"/>
      <c r="I137" s="58" t="s">
        <v>202</v>
      </c>
      <c r="J137" s="56"/>
      <c r="K137" s="57"/>
      <c r="L137" s="57"/>
      <c r="M137" s="56"/>
      <c r="N137" s="56"/>
      <c r="O137" s="56"/>
      <c r="P137" s="555"/>
      <c r="Q137" s="1855" t="str">
        <f>CHOOSE(2, "6722000003056", "PL (1)-1 Other Income")</f>
        <v>PL (1)-1 Other Income</v>
      </c>
      <c r="R137" s="2212">
        <v>3064</v>
      </c>
      <c r="S137" s="2015">
        <v>116</v>
      </c>
      <c r="T137" s="2015">
        <v>6.4662739794967461</v>
      </c>
      <c r="U137" s="2015">
        <v>73</v>
      </c>
      <c r="V137" s="2015">
        <v>135.57005274727749</v>
      </c>
      <c r="W137" s="2015">
        <v>6</v>
      </c>
      <c r="X137" s="2015">
        <v>0</v>
      </c>
      <c r="Y137" s="2015">
        <v>85</v>
      </c>
      <c r="Z137" s="2015">
        <f>867.810918185489+27142</f>
        <v>28009.810918185489</v>
      </c>
      <c r="AA137" s="2015">
        <v>1629.8089606417275</v>
      </c>
      <c r="AB137" s="2015">
        <v>392.05327055497321</v>
      </c>
      <c r="AC137" s="2015">
        <v>10745</v>
      </c>
      <c r="AD137" s="1521">
        <f>SUM(R137:T137)</f>
        <v>3186.4662739794967</v>
      </c>
      <c r="AE137" s="122">
        <f>SUM(U137:W137)</f>
        <v>214.57005274727749</v>
      </c>
      <c r="AF137" s="122">
        <f>SUM(X137:Z137)</f>
        <v>28094.810918185489</v>
      </c>
      <c r="AG137" s="122">
        <f>SUM(AA137:AC137)</f>
        <v>12766.862231196701</v>
      </c>
      <c r="AH137" s="122">
        <f>AD137+AE137</f>
        <v>3401.036326726774</v>
      </c>
      <c r="AI137" s="122">
        <f>AG137+AF137</f>
        <v>40861.673149382186</v>
      </c>
      <c r="AJ137" s="122">
        <f>AH137+AI137</f>
        <v>44262.709476108961</v>
      </c>
      <c r="AL137" s="2120">
        <f ca="1">SUM((INDIRECT(AL$2&amp;(ROW())):INDIRECT(AL$3&amp;(ROW()))))</f>
        <v>10745</v>
      </c>
      <c r="AM137" s="122">
        <f ca="1">SUM(INDIRECT(AM$1&amp;AM$2&amp;$C137):INDIRECT(AM$1&amp;AM$3&amp;$C137))</f>
        <v>0</v>
      </c>
      <c r="AN137" s="2504">
        <f t="shared" ca="1" si="201"/>
        <v>10745</v>
      </c>
      <c r="AO137" s="1712">
        <f ca="1">IFERROR(AL137/AM137,0)</f>
        <v>0</v>
      </c>
      <c r="AP137" s="122">
        <f ca="1">SUM(INDIRECT(AP$1&amp;AP$2&amp;$A137):INDIRECT(AP$1&amp;AP$3&amp;$A137))+SUM(INDIRECT(AP$1&amp;AP$2&amp;$B137):INDIRECT(AP$1&amp;AP$3&amp;$B137))</f>
        <v>31178</v>
      </c>
      <c r="AQ137" s="2504">
        <f t="shared" ca="1" si="203"/>
        <v>-20433</v>
      </c>
      <c r="AR137" s="1712">
        <f ca="1">IFERROR(AL137/AP137,0)</f>
        <v>0.34463403682083521</v>
      </c>
      <c r="AT137" s="2120">
        <f ca="1">SUM((INDIRECT(AT$2&amp;(ROW())):INDIRECT(AT$3&amp;(ROW()))))</f>
        <v>12766.862231196701</v>
      </c>
      <c r="AU137" s="122">
        <f ca="1">SUM(INDIRECT(AU$1&amp;AU$2&amp;$C137):INDIRECT(AU$1&amp;AU$3&amp;$C137))</f>
        <v>0</v>
      </c>
      <c r="AV137" s="2504">
        <f t="shared" ca="1" si="205"/>
        <v>12766.862231196701</v>
      </c>
      <c r="AW137" s="1712">
        <f ca="1">IFERROR(AT137/AU137,0)</f>
        <v>0</v>
      </c>
      <c r="AX137" s="122">
        <f ca="1">SUM(INDIRECT(AX$1&amp;AX$2&amp;$A137):INDIRECT(AX$1&amp;AX$3&amp;$A137))+SUM(INDIRECT(AX$1&amp;AX$2&amp;$B137):INDIRECT(AX$1&amp;AX$3&amp;$B137))</f>
        <v>31302</v>
      </c>
      <c r="AY137" s="2504">
        <f t="shared" ca="1" si="207"/>
        <v>-18535.137768803299</v>
      </c>
      <c r="AZ137" s="1712">
        <f ca="1">IFERROR(AT137/AX137,0)</f>
        <v>0.40786091084265225</v>
      </c>
      <c r="BB137" s="2120">
        <f ca="1">SUM((INDIRECT(BB$2&amp;(ROW())):INDIRECT(BB$3&amp;(ROW()))))</f>
        <v>44262.709476108961</v>
      </c>
      <c r="BC137" s="122">
        <f ca="1">SUM(INDIRECT(BC$1&amp;BC$2&amp;$C137):INDIRECT(BC$1&amp;BC$3&amp;$C137))</f>
        <v>0</v>
      </c>
      <c r="BD137" s="2504">
        <f t="shared" ca="1" si="209"/>
        <v>44262.709476108961</v>
      </c>
      <c r="BE137" s="1712">
        <f ca="1">IFERROR(BB137/BC137,0)</f>
        <v>0</v>
      </c>
      <c r="BF137" s="122">
        <f ca="1">SUM(INDIRECT(BF$1&amp;BF$2&amp;$A137):INDIRECT(BF$1&amp;BF$3&amp;$A137))+SUM(INDIRECT(BF$1&amp;BF$2&amp;$B137):INDIRECT(BF$1&amp;BF$3&amp;$B137))</f>
        <v>36590</v>
      </c>
      <c r="BG137" s="2504">
        <f t="shared" ca="1" si="211"/>
        <v>7672.7094761089611</v>
      </c>
      <c r="BH137" s="1712">
        <f ca="1">IFERROR(BB137/BF137,0)</f>
        <v>1.2096941644194852</v>
      </c>
    </row>
    <row r="138" spans="1:60" ht="14.5">
      <c r="A138" s="990">
        <f t="shared" si="213"/>
        <v>112</v>
      </c>
      <c r="B138" s="990">
        <v>1</v>
      </c>
      <c r="C138" s="990">
        <f t="shared" si="128"/>
        <v>135</v>
      </c>
      <c r="D138" s="1121" t="s">
        <v>887</v>
      </c>
      <c r="E138" s="1243">
        <v>1</v>
      </c>
      <c r="F138" s="5"/>
      <c r="G138" s="5"/>
      <c r="H138" s="5"/>
      <c r="I138" s="121" t="s">
        <v>203</v>
      </c>
      <c r="J138" s="119"/>
      <c r="K138" s="120"/>
      <c r="L138" s="120"/>
      <c r="M138" s="119"/>
      <c r="N138" s="119"/>
      <c r="O138" s="119"/>
      <c r="P138" s="119"/>
      <c r="Q138" s="1855" t="str">
        <f>CHOOSE(2, "6722000003057", "PL (1)-1 Other Expenses")</f>
        <v>PL (1)-1 Other Expenses</v>
      </c>
      <c r="R138" s="2031">
        <v>0</v>
      </c>
      <c r="S138" s="2035">
        <v>0</v>
      </c>
      <c r="T138" s="2035">
        <v>0</v>
      </c>
      <c r="U138" s="2035">
        <v>0</v>
      </c>
      <c r="V138" s="2035">
        <v>0</v>
      </c>
      <c r="W138" s="2035">
        <v>0</v>
      </c>
      <c r="X138" s="2035">
        <v>0</v>
      </c>
      <c r="Y138" s="2035">
        <v>0</v>
      </c>
      <c r="Z138" s="2035">
        <v>0</v>
      </c>
      <c r="AA138" s="2035">
        <v>0</v>
      </c>
      <c r="AB138" s="2035">
        <v>0</v>
      </c>
      <c r="AC138" s="2035">
        <v>0</v>
      </c>
      <c r="AD138" s="92">
        <f>SUM(R138:T138)</f>
        <v>0</v>
      </c>
      <c r="AE138" s="92">
        <f>SUM(U138:W138)</f>
        <v>0</v>
      </c>
      <c r="AF138" s="92">
        <f>SUM(X138:Z138)</f>
        <v>0</v>
      </c>
      <c r="AG138" s="92">
        <f>SUM(AA138:AC138)</f>
        <v>0</v>
      </c>
      <c r="AH138" s="92">
        <f>AD138+AE138</f>
        <v>0</v>
      </c>
      <c r="AI138" s="92">
        <f>AG138+AF138</f>
        <v>0</v>
      </c>
      <c r="AJ138" s="92">
        <f>AH138+AI138</f>
        <v>0</v>
      </c>
      <c r="AL138" s="66">
        <f ca="1">SUM((INDIRECT(AL$2&amp;(ROW())):INDIRECT(AL$3&amp;(ROW()))))</f>
        <v>0</v>
      </c>
      <c r="AM138" s="92">
        <f ca="1">SUM(INDIRECT(AM$1&amp;AM$2&amp;$C138):INDIRECT(AM$1&amp;AM$3&amp;$C138))</f>
        <v>0</v>
      </c>
      <c r="AN138" s="884">
        <f t="shared" ca="1" si="201"/>
        <v>0</v>
      </c>
      <c r="AO138" s="937">
        <f ca="1">IFERROR(AL138/AM138,0)</f>
        <v>0</v>
      </c>
      <c r="AP138" s="92">
        <f ca="1">SUM(INDIRECT(AP$1&amp;AP$2&amp;$A138):INDIRECT(AP$1&amp;AP$3&amp;$A138))+SUM(INDIRECT(AP$1&amp;AP$2&amp;$B138):INDIRECT(AP$1&amp;AP$3&amp;$B138))</f>
        <v>0</v>
      </c>
      <c r="AQ138" s="884">
        <f t="shared" ca="1" si="203"/>
        <v>0</v>
      </c>
      <c r="AR138" s="937">
        <f ca="1">IFERROR(AL138/AP138,0)</f>
        <v>0</v>
      </c>
      <c r="AT138" s="66">
        <f ca="1">SUM((INDIRECT(AT$2&amp;(ROW())):INDIRECT(AT$3&amp;(ROW()))))</f>
        <v>0</v>
      </c>
      <c r="AU138" s="92">
        <f ca="1">SUM(INDIRECT(AU$1&amp;AU$2&amp;$C138):INDIRECT(AU$1&amp;AU$3&amp;$C138))</f>
        <v>0</v>
      </c>
      <c r="AV138" s="884">
        <f t="shared" ca="1" si="205"/>
        <v>0</v>
      </c>
      <c r="AW138" s="937">
        <f ca="1">IFERROR(AT138/AU138,0)</f>
        <v>0</v>
      </c>
      <c r="AX138" s="92">
        <f ca="1">SUM(INDIRECT(AX$1&amp;AX$2&amp;$A138):INDIRECT(AX$1&amp;AX$3&amp;$A138))+SUM(INDIRECT(AX$1&amp;AX$2&amp;$B138):INDIRECT(AX$1&amp;AX$3&amp;$B138))</f>
        <v>0</v>
      </c>
      <c r="AY138" s="884">
        <f t="shared" ca="1" si="207"/>
        <v>0</v>
      </c>
      <c r="AZ138" s="937">
        <f ca="1">IFERROR(AT138/AX138,0)</f>
        <v>0</v>
      </c>
      <c r="BB138" s="66">
        <f ca="1">SUM((INDIRECT(BB$2&amp;(ROW())):INDIRECT(BB$3&amp;(ROW()))))</f>
        <v>0</v>
      </c>
      <c r="BC138" s="92">
        <f ca="1">SUM(INDIRECT(BC$1&amp;BC$2&amp;$C138):INDIRECT(BC$1&amp;BC$3&amp;$C138))</f>
        <v>0</v>
      </c>
      <c r="BD138" s="884">
        <f t="shared" ca="1" si="209"/>
        <v>0</v>
      </c>
      <c r="BE138" s="937">
        <f ca="1">IFERROR(BB138/BC138,0)</f>
        <v>0</v>
      </c>
      <c r="BF138" s="92">
        <f ca="1">SUM(INDIRECT(BF$1&amp;BF$2&amp;$A138):INDIRECT(BF$1&amp;BF$3&amp;$A138))+SUM(INDIRECT(BF$1&amp;BF$2&amp;$B138):INDIRECT(BF$1&amp;BF$3&amp;$B138))</f>
        <v>326</v>
      </c>
      <c r="BG138" s="884">
        <f t="shared" ca="1" si="211"/>
        <v>-326</v>
      </c>
      <c r="BH138" s="937">
        <f ca="1">IFERROR(BB138/BF138,0)</f>
        <v>0</v>
      </c>
    </row>
    <row r="139" spans="1:60" ht="14.5">
      <c r="A139" s="990">
        <f t="shared" si="213"/>
        <v>113</v>
      </c>
      <c r="B139" s="990">
        <v>1</v>
      </c>
      <c r="C139" s="990">
        <f t="shared" si="128"/>
        <v>136</v>
      </c>
      <c r="D139" s="1121" t="s">
        <v>887</v>
      </c>
      <c r="E139" s="1243">
        <v>1</v>
      </c>
      <c r="F139" s="5"/>
      <c r="G139" s="5"/>
      <c r="H139" s="5"/>
      <c r="I139" s="140" t="s">
        <v>204</v>
      </c>
      <c r="J139" s="139"/>
      <c r="K139" s="138"/>
      <c r="L139" s="138"/>
      <c r="M139" s="138"/>
      <c r="N139" s="138"/>
      <c r="O139" s="138"/>
      <c r="P139" s="1162"/>
      <c r="Q139" s="1853" t="str">
        <f>CHOOSE(2, "6722000003058", "PL (1)-1 Operating Profit")</f>
        <v>PL (1)-1 Operating Profit</v>
      </c>
      <c r="R139" s="2062">
        <f>R135+R137-R138</f>
        <v>10955.345123238272</v>
      </c>
      <c r="S139" s="2010">
        <f t="shared" ref="S139:AC139" si="287">S135+S137-S138</f>
        <v>769.21825050494226</v>
      </c>
      <c r="T139" s="2010">
        <f t="shared" si="287"/>
        <v>10371.372733679973</v>
      </c>
      <c r="U139" s="2010">
        <f t="shared" si="287"/>
        <v>12122.24588870944</v>
      </c>
      <c r="V139" s="2010">
        <f t="shared" si="287"/>
        <v>19651.471211582302</v>
      </c>
      <c r="W139" s="2010">
        <f t="shared" si="287"/>
        <v>31704.434195688038</v>
      </c>
      <c r="X139" s="2010">
        <f t="shared" si="287"/>
        <v>15912.50550933012</v>
      </c>
      <c r="Y139" s="2010">
        <f t="shared" si="287"/>
        <v>28701.834459308404</v>
      </c>
      <c r="Z139" s="2010">
        <f t="shared" si="287"/>
        <v>46108.582278585694</v>
      </c>
      <c r="AA139" s="2010">
        <f t="shared" si="287"/>
        <v>10933.204445947624</v>
      </c>
      <c r="AB139" s="2010">
        <f t="shared" si="287"/>
        <v>4045.4383944919855</v>
      </c>
      <c r="AC139" s="2010">
        <f t="shared" si="287"/>
        <v>9449.9553901518229</v>
      </c>
      <c r="AD139" s="1519">
        <f t="shared" ref="AD139:AJ139" si="288">AD135+AD137-AD138</f>
        <v>22095.936107423193</v>
      </c>
      <c r="AE139" s="137">
        <f t="shared" si="288"/>
        <v>63478.151295979784</v>
      </c>
      <c r="AF139" s="137">
        <f t="shared" si="288"/>
        <v>90722.922247224225</v>
      </c>
      <c r="AG139" s="137">
        <f t="shared" si="288"/>
        <v>24428.598230591433</v>
      </c>
      <c r="AH139" s="137">
        <f t="shared" si="288"/>
        <v>85574.087403402998</v>
      </c>
      <c r="AI139" s="137">
        <f t="shared" si="288"/>
        <v>115151.5204778156</v>
      </c>
      <c r="AJ139" s="137">
        <f t="shared" si="288"/>
        <v>200725.6078812186</v>
      </c>
      <c r="AL139" s="2062">
        <f ca="1">SUM((INDIRECT(AL$2&amp;(ROW())):INDIRECT(AL$3&amp;(ROW()))))</f>
        <v>9449.9553901518229</v>
      </c>
      <c r="AM139" s="137">
        <f ca="1">SUM(INDIRECT(AM$1&amp;AM$2&amp;$C139):INDIRECT(AM$1&amp;AM$3&amp;$C139))</f>
        <v>0</v>
      </c>
      <c r="AN139" s="2500">
        <f t="shared" ca="1" si="201"/>
        <v>9449.9553901518229</v>
      </c>
      <c r="AO139" s="1710">
        <f ca="1">IFERROR(AL139/AM139,0)</f>
        <v>0</v>
      </c>
      <c r="AP139" s="137">
        <f ca="1">SUM(INDIRECT(AP$1&amp;AP$2&amp;$A139):INDIRECT(AP$1&amp;AP$3&amp;$A139))+SUM(INDIRECT(AP$1&amp;AP$2&amp;$B139):INDIRECT(AP$1&amp;AP$3&amp;$B139))</f>
        <v>17770.3337706436</v>
      </c>
      <c r="AQ139" s="2500">
        <f t="shared" ca="1" si="203"/>
        <v>-8320.3783804917766</v>
      </c>
      <c r="AR139" s="1710">
        <f ca="1">IFERROR(AL139/AP139,0)</f>
        <v>0.53178266160442345</v>
      </c>
      <c r="AT139" s="2062">
        <f ca="1">SUM((INDIRECT(AT$2&amp;(ROW())):INDIRECT(AT$3&amp;(ROW()))))</f>
        <v>24428.598230591433</v>
      </c>
      <c r="AU139" s="137">
        <f ca="1">SUM(INDIRECT(AU$1&amp;AU$2&amp;$C139):INDIRECT(AU$1&amp;AU$3&amp;$C139))</f>
        <v>0</v>
      </c>
      <c r="AV139" s="2500">
        <f t="shared" ca="1" si="205"/>
        <v>24428.598230591433</v>
      </c>
      <c r="AW139" s="1710">
        <f ca="1">IFERROR(AT139/AU139,0)</f>
        <v>0</v>
      </c>
      <c r="AX139" s="137">
        <f ca="1">SUM(INDIRECT(AX$1&amp;AX$2&amp;$A139):INDIRECT(AX$1&amp;AX$3&amp;$A139))+SUM(INDIRECT(AX$1&amp;AX$2&amp;$B139):INDIRECT(AX$1&amp;AX$3&amp;$B139))</f>
        <v>36274.896252340186</v>
      </c>
      <c r="AY139" s="2500">
        <f t="shared" ca="1" si="207"/>
        <v>-11846.298021748753</v>
      </c>
      <c r="AZ139" s="1710">
        <f ca="1">IFERROR(AT139/AX139,0)</f>
        <v>0.67342985795625765</v>
      </c>
      <c r="BB139" s="2062">
        <f ca="1">SUM((INDIRECT(BB$2&amp;(ROW())):INDIRECT(BB$3&amp;(ROW()))))</f>
        <v>200725.60788121863</v>
      </c>
      <c r="BC139" s="137">
        <f ca="1">SUM(INDIRECT(BC$1&amp;BC$2&amp;$C139):INDIRECT(BC$1&amp;BC$3&amp;$C139))</f>
        <v>0</v>
      </c>
      <c r="BD139" s="2500">
        <f t="shared" ca="1" si="209"/>
        <v>200725.60788121863</v>
      </c>
      <c r="BE139" s="1710">
        <f ca="1">IFERROR(BB139/BC139,0)</f>
        <v>0</v>
      </c>
      <c r="BF139" s="137">
        <f ca="1">SUM(INDIRECT(BF$1&amp;BF$2&amp;$A139):INDIRECT(BF$1&amp;BF$3&amp;$A139))+SUM(INDIRECT(BF$1&amp;BF$2&amp;$B139):INDIRECT(BF$1&amp;BF$3&amp;$B139))</f>
        <v>176830.8962523402</v>
      </c>
      <c r="BG139" s="2500">
        <f t="shared" ca="1" si="211"/>
        <v>23894.711628878431</v>
      </c>
      <c r="BH139" s="1710">
        <f ca="1">IFERROR(BB139/BF139,0)</f>
        <v>1.1351274700026421</v>
      </c>
    </row>
    <row r="140" spans="1:60" ht="14.5">
      <c r="A140" s="990">
        <f t="shared" si="213"/>
        <v>114</v>
      </c>
      <c r="B140" s="990">
        <v>1</v>
      </c>
      <c r="C140" s="990">
        <f t="shared" si="128"/>
        <v>137</v>
      </c>
      <c r="D140" s="1121" t="s">
        <v>887</v>
      </c>
      <c r="E140" s="1243">
        <v>1</v>
      </c>
      <c r="F140" s="5"/>
      <c r="G140" s="5"/>
      <c r="H140" s="5"/>
      <c r="I140" s="28"/>
      <c r="J140" s="629" t="s">
        <v>135</v>
      </c>
      <c r="K140" s="3"/>
      <c r="L140" s="3"/>
      <c r="M140" s="2"/>
      <c r="N140" s="2"/>
      <c r="O140" s="2"/>
      <c r="P140" s="2"/>
      <c r="Q140" s="1842" t="str">
        <f>CHOOSE(2, "6722000003059", "PL (1)-1 Operating Profit (%)")</f>
        <v>PL (1)-1 Operating Profit (%)</v>
      </c>
      <c r="R140" s="863">
        <f t="shared" ref="R140:AC140" si="289">IFERROR(R139/R102,0)</f>
        <v>6.7246598633861468E-2</v>
      </c>
      <c r="S140" s="863">
        <f t="shared" si="289"/>
        <v>4.2062975425838818E-3</v>
      </c>
      <c r="T140" s="863">
        <f t="shared" si="289"/>
        <v>5.2599836356941668E-2</v>
      </c>
      <c r="U140" s="863">
        <f t="shared" si="289"/>
        <v>5.7994794298758701E-2</v>
      </c>
      <c r="V140" s="863">
        <f t="shared" si="289"/>
        <v>7.5301256107568187E-2</v>
      </c>
      <c r="W140" s="863">
        <f t="shared" si="289"/>
        <v>0.11775835130050194</v>
      </c>
      <c r="X140" s="863">
        <f t="shared" si="289"/>
        <v>6.833008630878154E-2</v>
      </c>
      <c r="Y140" s="863">
        <f t="shared" si="289"/>
        <v>0.11403645142559658</v>
      </c>
      <c r="Z140" s="863">
        <f t="shared" si="289"/>
        <v>0.14092295693201409</v>
      </c>
      <c r="AA140" s="863">
        <f t="shared" si="289"/>
        <v>4.5369946949516862E-2</v>
      </c>
      <c r="AB140" s="863">
        <f t="shared" si="289"/>
        <v>1.5495586073932302E-2</v>
      </c>
      <c r="AC140" s="863">
        <f t="shared" si="289"/>
        <v>3.3863161329706279E-2</v>
      </c>
      <c r="AD140" s="1508">
        <f t="shared" ref="AD140:AJ140" si="290">IFERROR(AD139/AD102,0)</f>
        <v>4.0695254553132165E-2</v>
      </c>
      <c r="AE140" s="863">
        <f t="shared" si="290"/>
        <v>8.5870944091046689E-2</v>
      </c>
      <c r="AF140" s="863">
        <f t="shared" si="290"/>
        <v>0.1117611825302698</v>
      </c>
      <c r="AG140" s="863">
        <f t="shared" si="290"/>
        <v>3.1274115171030327E-2</v>
      </c>
      <c r="AH140" s="863">
        <f t="shared" si="290"/>
        <v>6.6740652213850588E-2</v>
      </c>
      <c r="AI140" s="863">
        <f t="shared" si="290"/>
        <v>7.2291879437298187E-2</v>
      </c>
      <c r="AJ140" s="863">
        <f t="shared" si="290"/>
        <v>6.9816200825909863E-2</v>
      </c>
      <c r="AK140" s="619"/>
      <c r="AL140" s="863">
        <f ca="1">IFERROR(AL139/AL102,0)</f>
        <v>3.3863161329706279E-2</v>
      </c>
      <c r="AM140" s="863">
        <f ca="1">IFERROR(AM139/AM102,0)</f>
        <v>0</v>
      </c>
      <c r="AN140" s="863">
        <f t="shared" ca="1" si="201"/>
        <v>3.3863161329706279E-2</v>
      </c>
      <c r="AO140" s="919"/>
      <c r="AP140" s="863">
        <f ca="1">IFERROR(AP139/AP102,0)</f>
        <v>7.3630420230970606E-2</v>
      </c>
      <c r="AQ140" s="863">
        <f t="shared" ca="1" si="203"/>
        <v>-3.9767258901264327E-2</v>
      </c>
      <c r="AR140" s="919"/>
      <c r="AS140" s="619"/>
      <c r="AT140" s="863">
        <f ca="1">IFERROR(AT139/AT102,0)</f>
        <v>3.1274115171030327E-2</v>
      </c>
      <c r="AU140" s="863">
        <f ca="1">IFERROR(AU139/AU102,0)</f>
        <v>0</v>
      </c>
      <c r="AV140" s="863">
        <f t="shared" ca="1" si="205"/>
        <v>3.1274115171030327E-2</v>
      </c>
      <c r="AW140" s="919"/>
      <c r="AX140" s="863">
        <f ca="1">IFERROR(AX139/AX102,0)</f>
        <v>6.2517378678609237E-2</v>
      </c>
      <c r="AY140" s="863">
        <f t="shared" ca="1" si="207"/>
        <v>-3.124326350757891E-2</v>
      </c>
      <c r="AZ140" s="919"/>
      <c r="BA140" s="619"/>
      <c r="BB140" s="863">
        <f ca="1">IFERROR(BB139/BB102,0)</f>
        <v>6.9816200825909877E-2</v>
      </c>
      <c r="BC140" s="863">
        <f ca="1">IFERROR(BC139/BC102,0)</f>
        <v>0</v>
      </c>
      <c r="BD140" s="863">
        <f t="shared" ca="1" si="209"/>
        <v>6.9816200825909877E-2</v>
      </c>
      <c r="BE140" s="919"/>
      <c r="BF140" s="863">
        <f ca="1">IFERROR(BF139/BF102,0)</f>
        <v>8.2154037110755321E-2</v>
      </c>
      <c r="BG140" s="863">
        <f t="shared" ca="1" si="211"/>
        <v>-1.2337836284845444E-2</v>
      </c>
      <c r="BH140" s="919"/>
    </row>
    <row r="141" spans="1:60" ht="14.5">
      <c r="A141" s="990">
        <v>1</v>
      </c>
      <c r="B141" s="990">
        <v>1</v>
      </c>
      <c r="C141" s="990">
        <f t="shared" si="128"/>
        <v>138</v>
      </c>
      <c r="D141" s="1121" t="s">
        <v>887</v>
      </c>
      <c r="E141" s="1243">
        <v>1</v>
      </c>
      <c r="F141" s="5"/>
      <c r="G141" s="5"/>
      <c r="H141" s="5"/>
      <c r="I141" s="5"/>
      <c r="J141" s="4"/>
      <c r="K141" s="5"/>
      <c r="L141" s="5"/>
      <c r="M141" s="4"/>
      <c r="N141" s="4"/>
      <c r="O141" s="4"/>
      <c r="P141" s="4"/>
      <c r="Q141" s="1839" t="str">
        <f>CHOOSE(2, "6722000003060", "▷ Blank 9")</f>
        <v>▷ Blank 9</v>
      </c>
      <c r="R141" s="2225"/>
      <c r="S141" s="1151"/>
      <c r="T141" s="1151"/>
      <c r="U141" s="1151"/>
      <c r="V141" s="1151"/>
      <c r="W141" s="1151"/>
      <c r="AA141" s="163"/>
      <c r="AB141" s="163"/>
      <c r="AC141" s="163"/>
      <c r="AD141" s="163"/>
      <c r="AE141" s="163"/>
      <c r="AF141" s="163"/>
      <c r="AG141" s="163"/>
      <c r="AH141" s="163"/>
      <c r="AI141" s="163"/>
      <c r="AJ141" s="868"/>
      <c r="AL141" s="163"/>
      <c r="AM141" s="163"/>
      <c r="AN141" s="163"/>
      <c r="AO141" s="163"/>
      <c r="AP141" s="163"/>
      <c r="AQ141" s="163"/>
      <c r="AR141" s="163"/>
      <c r="AT141" s="163"/>
      <c r="AU141" s="163"/>
      <c r="AV141" s="163"/>
      <c r="AW141" s="163"/>
      <c r="AX141" s="163"/>
      <c r="AY141" s="163"/>
      <c r="AZ141" s="163"/>
      <c r="BB141" s="163"/>
      <c r="BC141" s="163"/>
      <c r="BD141" s="163"/>
      <c r="BE141" s="163"/>
      <c r="BF141" s="163"/>
      <c r="BG141" s="163"/>
      <c r="BH141" s="163"/>
    </row>
    <row r="142" spans="1:60" ht="14.5">
      <c r="A142" s="990">
        <v>1</v>
      </c>
      <c r="B142" s="990">
        <v>1</v>
      </c>
      <c r="C142" s="990">
        <f t="shared" ref="C142:C205" si="291">ROW()-3</f>
        <v>139</v>
      </c>
      <c r="D142" s="1121" t="s">
        <v>887</v>
      </c>
      <c r="E142" s="1662" t="s">
        <v>1324</v>
      </c>
      <c r="F142" s="5"/>
      <c r="G142" s="5"/>
      <c r="H142" s="5" t="s">
        <v>1323</v>
      </c>
      <c r="I142" s="5"/>
      <c r="J142" s="4"/>
      <c r="K142" s="5"/>
      <c r="L142" s="5"/>
      <c r="M142" s="4"/>
      <c r="N142" s="4"/>
      <c r="O142" s="4"/>
      <c r="P142" s="4"/>
      <c r="Q142" s="1839" t="str">
        <f>CHOOSE(2, "6722000003061", "PL (1)-2 ""Office Solution"" only")</f>
        <v>PL (1)-2 "Office Solution" only</v>
      </c>
      <c r="R142" s="2225">
        <f>R143-R145</f>
        <v>450</v>
      </c>
      <c r="S142" s="2225">
        <f t="shared" ref="S142:W142" si="292">S143-S145</f>
        <v>636</v>
      </c>
      <c r="T142" s="2225">
        <f t="shared" si="292"/>
        <v>477</v>
      </c>
      <c r="U142" s="2225">
        <f t="shared" si="292"/>
        <v>222</v>
      </c>
      <c r="V142" s="2225">
        <f t="shared" si="292"/>
        <v>439.88499999999999</v>
      </c>
      <c r="W142" s="2225">
        <f t="shared" si="292"/>
        <v>821</v>
      </c>
      <c r="AA142" s="163"/>
      <c r="AB142" s="163"/>
      <c r="AC142" s="163"/>
      <c r="AD142" s="163"/>
      <c r="AE142" s="163"/>
      <c r="AF142" s="163"/>
      <c r="AG142" s="163"/>
      <c r="AH142" s="163"/>
      <c r="AI142" s="163"/>
      <c r="AJ142" s="868"/>
      <c r="AL142" s="163"/>
      <c r="AM142" s="163"/>
      <c r="AN142" s="163"/>
      <c r="AO142" s="163"/>
      <c r="AP142" s="163"/>
      <c r="AQ142" s="163"/>
      <c r="AR142" s="163"/>
      <c r="AT142" s="163"/>
      <c r="AU142" s="163"/>
      <c r="AV142" s="163"/>
      <c r="AW142" s="163"/>
      <c r="AX142" s="163"/>
      <c r="AY142" s="163"/>
      <c r="AZ142" s="163"/>
      <c r="BB142" s="163"/>
      <c r="BC142" s="163"/>
      <c r="BD142" s="163"/>
      <c r="BE142" s="163"/>
      <c r="BF142" s="163"/>
      <c r="BG142" s="163"/>
      <c r="BH142" s="163"/>
    </row>
    <row r="143" spans="1:60" ht="14.5">
      <c r="A143" s="990">
        <v>331</v>
      </c>
      <c r="B143" s="990">
        <v>1</v>
      </c>
      <c r="C143" s="990">
        <f t="shared" si="291"/>
        <v>140</v>
      </c>
      <c r="D143" s="1121" t="s">
        <v>887</v>
      </c>
      <c r="E143" s="1662" t="s">
        <v>1324</v>
      </c>
      <c r="F143" s="5"/>
      <c r="G143" s="5"/>
      <c r="H143" s="5"/>
      <c r="I143" s="1628" t="s">
        <v>9</v>
      </c>
      <c r="J143" s="1207"/>
      <c r="K143" s="1207"/>
      <c r="L143" s="1207"/>
      <c r="M143" s="1207"/>
      <c r="N143" s="1207"/>
      <c r="O143" s="1207"/>
      <c r="P143" s="1629"/>
      <c r="Q143" s="1880" t="str">
        <f>CHOOSE(2, "6722000003062", "PL (1)-2 Net Sales")</f>
        <v>PL (1)-2 Net Sales</v>
      </c>
      <c r="R143" s="2268">
        <f>R536</f>
        <v>1285</v>
      </c>
      <c r="S143" s="2268">
        <f t="shared" ref="S143:AC143" si="293">S536</f>
        <v>1777</v>
      </c>
      <c r="T143" s="2268">
        <f t="shared" si="293"/>
        <v>1492</v>
      </c>
      <c r="U143" s="2268">
        <f t="shared" si="293"/>
        <v>1267</v>
      </c>
      <c r="V143" s="2268">
        <f t="shared" si="293"/>
        <v>1554.885</v>
      </c>
      <c r="W143" s="2268">
        <f t="shared" si="293"/>
        <v>2374</v>
      </c>
      <c r="X143" s="2206">
        <f t="shared" si="293"/>
        <v>1320</v>
      </c>
      <c r="Y143" s="2206">
        <f t="shared" si="293"/>
        <v>3871</v>
      </c>
      <c r="Z143" s="2206">
        <f t="shared" si="293"/>
        <v>3249</v>
      </c>
      <c r="AA143" s="2207">
        <f t="shared" si="293"/>
        <v>1808</v>
      </c>
      <c r="AB143" s="2207">
        <f t="shared" si="293"/>
        <v>2870</v>
      </c>
      <c r="AC143" s="2207">
        <f t="shared" si="293"/>
        <v>3229</v>
      </c>
      <c r="AD143" s="1118">
        <f>SUM(R143,S143,T143)</f>
        <v>4554</v>
      </c>
      <c r="AE143" s="1118">
        <f t="shared" ref="AE143:AE145" si="294">SUM(U143,V143,W143)</f>
        <v>5195.8850000000002</v>
      </c>
      <c r="AF143" s="1118">
        <f t="shared" ref="AF143:AF145" si="295">SUM(X143,Y143,Z143)</f>
        <v>8440</v>
      </c>
      <c r="AG143" s="1118">
        <f t="shared" ref="AG143:AG145" si="296">SUM(AA143,AB143,AC143)</f>
        <v>7907</v>
      </c>
      <c r="AH143" s="1118">
        <f t="shared" ref="AH143:AH145" si="297">AD143+AE143</f>
        <v>9749.8850000000002</v>
      </c>
      <c r="AI143" s="1118">
        <f t="shared" ref="AI143:AI145" si="298">AG143+AF143</f>
        <v>16347</v>
      </c>
      <c r="AJ143" s="1118">
        <f t="shared" ref="AJ143:AJ145" si="299">AH143+AI143</f>
        <v>26096.885000000002</v>
      </c>
      <c r="AL143" s="2158">
        <f ca="1">SUM((INDIRECT(AL$2&amp;(ROW())):INDIRECT(AL$3&amp;(ROW()))))</f>
        <v>3229</v>
      </c>
      <c r="AM143" s="2158">
        <f ca="1">SUM(INDIRECT(AM$1&amp;AM$2&amp;$C143):INDIRECT(AM$1&amp;AM$3&amp;$C143))</f>
        <v>0</v>
      </c>
      <c r="AN143" s="2505">
        <f t="shared" ref="AN143:AN151" ca="1" si="300">AL143-AM143</f>
        <v>3229</v>
      </c>
      <c r="AO143" s="2506">
        <f t="shared" ref="AO143:AO151" ca="1" si="301">IFERROR(AL143/AM143,0)</f>
        <v>0</v>
      </c>
      <c r="AP143" s="2158">
        <f ca="1">SUM(INDIRECT(AP$1&amp;AP$2&amp;$A143):INDIRECT(AP$1&amp;AP$3&amp;$A143))+SUM(INDIRECT(AP$1&amp;AP$2&amp;$B143):INDIRECT(AP$1&amp;AP$3&amp;$B143))</f>
        <v>1294</v>
      </c>
      <c r="AQ143" s="2505">
        <f t="shared" ref="AQ143:AQ151" ca="1" si="302">AL143-AP143</f>
        <v>1935</v>
      </c>
      <c r="AR143" s="2506">
        <f t="shared" ref="AR143:AR151" ca="1" si="303">IFERROR(AL143/AP143,0)</f>
        <v>2.4953632148377127</v>
      </c>
      <c r="AT143" s="2158">
        <f ca="1">SUM((INDIRECT(AT$2&amp;(ROW())):INDIRECT(AT$3&amp;(ROW()))))</f>
        <v>7907</v>
      </c>
      <c r="AU143" s="2158">
        <f ca="1">SUM(INDIRECT(AU$1&amp;AU$2&amp;$C143):INDIRECT(AU$1&amp;AU$3&amp;$C143))</f>
        <v>0</v>
      </c>
      <c r="AV143" s="2505">
        <f t="shared" ref="AV143:AV151" ca="1" si="304">AT143-AU143</f>
        <v>7907</v>
      </c>
      <c r="AW143" s="2506">
        <f t="shared" ref="AW143:AW151" ca="1" si="305">IFERROR(AT143/AU143,0)</f>
        <v>0</v>
      </c>
      <c r="AX143" s="2158">
        <f ca="1">SUM(INDIRECT(AX$1&amp;AX$2&amp;$A143):INDIRECT(AX$1&amp;AX$3&amp;$A143))+SUM(INDIRECT(AX$1&amp;AX$2&amp;$B143):INDIRECT(AX$1&amp;AX$3&amp;$B143))</f>
        <v>4327</v>
      </c>
      <c r="AY143" s="2505">
        <f t="shared" ref="AY143:AY151" ca="1" si="306">AT143-AX143</f>
        <v>3580</v>
      </c>
      <c r="AZ143" s="2506">
        <f t="shared" ref="AZ143:AZ151" ca="1" si="307">IFERROR(AT143/AX143,0)</f>
        <v>1.8273630691009937</v>
      </c>
      <c r="BB143" s="2158">
        <f ca="1">SUM((INDIRECT(BB$2&amp;(ROW())):INDIRECT(BB$3&amp;(ROW()))))</f>
        <v>26096.885000000002</v>
      </c>
      <c r="BC143" s="2158">
        <f ca="1">SUM(INDIRECT(BC$1&amp;BC$2&amp;$C143):INDIRECT(BC$1&amp;BC$3&amp;$C143))</f>
        <v>0</v>
      </c>
      <c r="BD143" s="2505">
        <f t="shared" ref="BD143:BD151" ca="1" si="308">BB143-BC143</f>
        <v>26096.885000000002</v>
      </c>
      <c r="BE143" s="2506">
        <f t="shared" ref="BE143:BE151" ca="1" si="309">IFERROR(BB143/BC143,0)</f>
        <v>0</v>
      </c>
      <c r="BF143" s="2158">
        <f ca="1">SUM(INDIRECT(BF$1&amp;BF$2&amp;$A143):INDIRECT(BF$1&amp;BF$3&amp;$A143))+SUM(INDIRECT(BF$1&amp;BF$2&amp;$B143):INDIRECT(BF$1&amp;BF$3&amp;$B143))</f>
        <v>18923</v>
      </c>
      <c r="BG143" s="2505">
        <f t="shared" ref="BG143:BG151" ca="1" si="310">BB143-BF143</f>
        <v>7173.885000000002</v>
      </c>
      <c r="BH143" s="2506">
        <f t="shared" ref="BH143:BH151" ca="1" si="311">IFERROR(BB143/BF143,0)</f>
        <v>1.3791092849970936</v>
      </c>
    </row>
    <row r="144" spans="1:60" ht="14.5">
      <c r="A144" s="990">
        <v>337</v>
      </c>
      <c r="B144" s="990">
        <v>1</v>
      </c>
      <c r="C144" s="990">
        <f t="shared" si="291"/>
        <v>141</v>
      </c>
      <c r="D144" s="1121" t="s">
        <v>887</v>
      </c>
      <c r="E144" s="1662" t="s">
        <v>1324</v>
      </c>
      <c r="F144" s="5"/>
      <c r="G144" s="5"/>
      <c r="H144" s="5"/>
      <c r="I144" s="1630" t="s">
        <v>128</v>
      </c>
      <c r="J144" s="1631"/>
      <c r="K144" s="1631"/>
      <c r="L144" s="1631"/>
      <c r="M144" s="1631"/>
      <c r="N144" s="1631"/>
      <c r="O144" s="1631"/>
      <c r="P144" s="1632"/>
      <c r="Q144" s="1855" t="str">
        <f>CHOOSE(2, "6722000003063", "PL (1)-2 BT Cons. Sales")</f>
        <v>PL (1)-2 BT Cons. Sales</v>
      </c>
      <c r="R144" s="2032">
        <v>1285</v>
      </c>
      <c r="S144" s="2032">
        <v>1777</v>
      </c>
      <c r="T144" s="2032">
        <v>1492</v>
      </c>
      <c r="U144" s="2032">
        <v>1267</v>
      </c>
      <c r="V144" s="2032">
        <v>1554.885</v>
      </c>
      <c r="W144" s="2032">
        <v>2374</v>
      </c>
      <c r="X144" s="2036">
        <v>1320</v>
      </c>
      <c r="Y144" s="2036">
        <v>3871</v>
      </c>
      <c r="Z144" s="2036">
        <v>3249</v>
      </c>
      <c r="AA144" s="2253">
        <v>1808</v>
      </c>
      <c r="AB144" s="2253">
        <v>2870</v>
      </c>
      <c r="AC144" s="2253">
        <v>3229</v>
      </c>
      <c r="AD144" s="145">
        <f>SUM(R144,S144,T144)</f>
        <v>4554</v>
      </c>
      <c r="AE144" s="145">
        <f t="shared" si="294"/>
        <v>5195.8850000000002</v>
      </c>
      <c r="AF144" s="145">
        <f t="shared" si="295"/>
        <v>8440</v>
      </c>
      <c r="AG144" s="145">
        <f t="shared" si="296"/>
        <v>7907</v>
      </c>
      <c r="AH144" s="145">
        <f t="shared" si="297"/>
        <v>9749.8850000000002</v>
      </c>
      <c r="AI144" s="145">
        <f t="shared" si="298"/>
        <v>16347</v>
      </c>
      <c r="AJ144" s="145">
        <f t="shared" si="299"/>
        <v>26096.885000000002</v>
      </c>
      <c r="AL144" s="145">
        <f ca="1">SUM((INDIRECT(AL$2&amp;(ROW())):INDIRECT(AL$3&amp;(ROW()))))</f>
        <v>3229</v>
      </c>
      <c r="AM144" s="145">
        <f ca="1">SUM(INDIRECT(AM$1&amp;AM$2&amp;$C144):INDIRECT(AM$1&amp;AM$3&amp;$C144))</f>
        <v>0</v>
      </c>
      <c r="AN144" s="912">
        <f t="shared" ca="1" si="300"/>
        <v>3229</v>
      </c>
      <c r="AO144" s="973">
        <f t="shared" ca="1" si="301"/>
        <v>0</v>
      </c>
      <c r="AP144" s="145">
        <f ca="1">SUM(INDIRECT(AP$1&amp;AP$2&amp;$A144):INDIRECT(AP$1&amp;AP$3&amp;$A144))+SUM(INDIRECT(AP$1&amp;AP$2&amp;$B144):INDIRECT(AP$1&amp;AP$3&amp;$B144))</f>
        <v>1294</v>
      </c>
      <c r="AQ144" s="912">
        <f t="shared" ca="1" si="302"/>
        <v>1935</v>
      </c>
      <c r="AR144" s="973">
        <f t="shared" ca="1" si="303"/>
        <v>2.4953632148377127</v>
      </c>
      <c r="AT144" s="145">
        <f ca="1">SUM((INDIRECT(AT$2&amp;(ROW())):INDIRECT(AT$3&amp;(ROW()))))</f>
        <v>7907</v>
      </c>
      <c r="AU144" s="145">
        <f ca="1">SUM(INDIRECT(AU$1&amp;AU$2&amp;$C144):INDIRECT(AU$1&amp;AU$3&amp;$C144))</f>
        <v>0</v>
      </c>
      <c r="AV144" s="912">
        <f t="shared" ca="1" si="304"/>
        <v>7907</v>
      </c>
      <c r="AW144" s="973">
        <f t="shared" ca="1" si="305"/>
        <v>0</v>
      </c>
      <c r="AX144" s="145">
        <f ca="1">SUM(INDIRECT(AX$1&amp;AX$2&amp;$A144):INDIRECT(AX$1&amp;AX$3&amp;$A144))+SUM(INDIRECT(AX$1&amp;AX$2&amp;$B144):INDIRECT(AX$1&amp;AX$3&amp;$B144))</f>
        <v>4327</v>
      </c>
      <c r="AY144" s="912">
        <f t="shared" ca="1" si="306"/>
        <v>3580</v>
      </c>
      <c r="AZ144" s="973">
        <f t="shared" ca="1" si="307"/>
        <v>1.8273630691009937</v>
      </c>
      <c r="BB144" s="145">
        <f ca="1">SUM((INDIRECT(BB$2&amp;(ROW())):INDIRECT(BB$3&amp;(ROW()))))</f>
        <v>26096.885000000002</v>
      </c>
      <c r="BC144" s="145">
        <f ca="1">SUM(INDIRECT(BC$1&amp;BC$2&amp;$C144):INDIRECT(BC$1&amp;BC$3&amp;$C144))</f>
        <v>0</v>
      </c>
      <c r="BD144" s="912">
        <f t="shared" ca="1" si="308"/>
        <v>26096.885000000002</v>
      </c>
      <c r="BE144" s="973">
        <f t="shared" ca="1" si="309"/>
        <v>0</v>
      </c>
      <c r="BF144" s="145">
        <f ca="1">SUM(INDIRECT(BF$1&amp;BF$2&amp;$A144):INDIRECT(BF$1&amp;BF$3&amp;$A144))+SUM(INDIRECT(BF$1&amp;BF$2&amp;$B144):INDIRECT(BF$1&amp;BF$3&amp;$B144))</f>
        <v>18923</v>
      </c>
      <c r="BG144" s="912">
        <f t="shared" ca="1" si="310"/>
        <v>7173.885000000002</v>
      </c>
      <c r="BH144" s="973">
        <f t="shared" ca="1" si="311"/>
        <v>1.3791092849970936</v>
      </c>
    </row>
    <row r="145" spans="1:60" ht="14.5">
      <c r="A145" s="990">
        <v>349</v>
      </c>
      <c r="B145" s="990">
        <v>1</v>
      </c>
      <c r="C145" s="990">
        <f t="shared" si="291"/>
        <v>142</v>
      </c>
      <c r="D145" s="1121" t="s">
        <v>887</v>
      </c>
      <c r="E145" s="1662" t="s">
        <v>1324</v>
      </c>
      <c r="F145" s="5"/>
      <c r="G145" s="5"/>
      <c r="H145" s="5"/>
      <c r="I145" s="1630" t="s">
        <v>134</v>
      </c>
      <c r="J145" s="1631"/>
      <c r="K145" s="1631"/>
      <c r="L145" s="1631"/>
      <c r="M145" s="1631"/>
      <c r="N145" s="1631"/>
      <c r="O145" s="1631"/>
      <c r="P145" s="1632"/>
      <c r="Q145" s="1880" t="str">
        <f>CHOOSE(2, "6722000003064", "PL (1)-2 Gross Profit")</f>
        <v>PL (1)-2 Gross Profit</v>
      </c>
      <c r="R145" s="2097">
        <f>R543</f>
        <v>835</v>
      </c>
      <c r="S145" s="2097">
        <f t="shared" ref="S145:AC145" si="312">S543</f>
        <v>1141</v>
      </c>
      <c r="T145" s="2097">
        <f t="shared" si="312"/>
        <v>1015</v>
      </c>
      <c r="U145" s="2097">
        <f t="shared" si="312"/>
        <v>1045</v>
      </c>
      <c r="V145" s="2097">
        <f t="shared" si="312"/>
        <v>1115</v>
      </c>
      <c r="W145" s="2097">
        <f t="shared" si="312"/>
        <v>1553</v>
      </c>
      <c r="X145" s="107">
        <f t="shared" si="312"/>
        <v>976</v>
      </c>
      <c r="Y145" s="107">
        <f t="shared" si="312"/>
        <v>2358</v>
      </c>
      <c r="Z145" s="107">
        <f t="shared" si="312"/>
        <v>1616</v>
      </c>
      <c r="AA145" s="2266">
        <f t="shared" si="312"/>
        <v>1427</v>
      </c>
      <c r="AB145" s="2266">
        <f t="shared" si="312"/>
        <v>1988.8565899999999</v>
      </c>
      <c r="AC145" s="2266">
        <f t="shared" si="312"/>
        <v>1903</v>
      </c>
      <c r="AD145" s="145">
        <f>SUM(R145,S145,T145)</f>
        <v>2991</v>
      </c>
      <c r="AE145" s="145">
        <f t="shared" si="294"/>
        <v>3713</v>
      </c>
      <c r="AF145" s="145">
        <f t="shared" si="295"/>
        <v>4950</v>
      </c>
      <c r="AG145" s="145">
        <f t="shared" si="296"/>
        <v>5318.8565899999994</v>
      </c>
      <c r="AH145" s="145">
        <f t="shared" si="297"/>
        <v>6704</v>
      </c>
      <c r="AI145" s="145">
        <f t="shared" si="298"/>
        <v>10268.856589999999</v>
      </c>
      <c r="AJ145" s="145">
        <f t="shared" si="299"/>
        <v>16972.856589999999</v>
      </c>
      <c r="AL145" s="145">
        <f ca="1">SUM((INDIRECT(AL$2&amp;(ROW())):INDIRECT(AL$3&amp;(ROW()))))</f>
        <v>1903</v>
      </c>
      <c r="AM145" s="145">
        <f ca="1">SUM(INDIRECT(AM$1&amp;AM$2&amp;$C145):INDIRECT(AM$1&amp;AM$3&amp;$C145))</f>
        <v>0</v>
      </c>
      <c r="AN145" s="912">
        <f t="shared" ca="1" si="300"/>
        <v>1903</v>
      </c>
      <c r="AO145" s="973">
        <f t="shared" ca="1" si="301"/>
        <v>0</v>
      </c>
      <c r="AP145" s="145">
        <f ca="1">SUM(INDIRECT(AP$1&amp;AP$2&amp;$A145):INDIRECT(AP$1&amp;AP$3&amp;$A145))+SUM(INDIRECT(AP$1&amp;AP$2&amp;$B145):INDIRECT(AP$1&amp;AP$3&amp;$B145))</f>
        <v>805</v>
      </c>
      <c r="AQ145" s="912">
        <f t="shared" ca="1" si="302"/>
        <v>1098</v>
      </c>
      <c r="AR145" s="973">
        <f t="shared" ca="1" si="303"/>
        <v>2.363975155279503</v>
      </c>
      <c r="AT145" s="145">
        <f ca="1">SUM((INDIRECT(AT$2&amp;(ROW())):INDIRECT(AT$3&amp;(ROW()))))</f>
        <v>5318.8565899999994</v>
      </c>
      <c r="AU145" s="145">
        <f ca="1">SUM(INDIRECT(AU$1&amp;AU$2&amp;$C145):INDIRECT(AU$1&amp;AU$3&amp;$C145))</f>
        <v>0</v>
      </c>
      <c r="AV145" s="912">
        <f t="shared" ca="1" si="304"/>
        <v>5318.8565899999994</v>
      </c>
      <c r="AW145" s="973">
        <f t="shared" ca="1" si="305"/>
        <v>0</v>
      </c>
      <c r="AX145" s="145">
        <f ca="1">SUM(INDIRECT(AX$1&amp;AX$2&amp;$A145):INDIRECT(AX$1&amp;AX$3&amp;$A145))+SUM(INDIRECT(AX$1&amp;AX$2&amp;$B145):INDIRECT(AX$1&amp;AX$3&amp;$B145))</f>
        <v>2442</v>
      </c>
      <c r="AY145" s="912">
        <f t="shared" ca="1" si="306"/>
        <v>2876.8565899999994</v>
      </c>
      <c r="AZ145" s="973">
        <f t="shared" ca="1" si="307"/>
        <v>2.1780739516789516</v>
      </c>
      <c r="BB145" s="145">
        <f ca="1">SUM((INDIRECT(BB$2&amp;(ROW())):INDIRECT(BB$3&amp;(ROW()))))</f>
        <v>16972.856589999999</v>
      </c>
      <c r="BC145" s="145">
        <f ca="1">SUM(INDIRECT(BC$1&amp;BC$2&amp;$C145):INDIRECT(BC$1&amp;BC$3&amp;$C145))</f>
        <v>0</v>
      </c>
      <c r="BD145" s="912">
        <f t="shared" ca="1" si="308"/>
        <v>16972.856589999999</v>
      </c>
      <c r="BE145" s="973">
        <f t="shared" ca="1" si="309"/>
        <v>0</v>
      </c>
      <c r="BF145" s="145">
        <f ca="1">SUM(INDIRECT(BF$1&amp;BF$2&amp;$A145):INDIRECT(BF$1&amp;BF$3&amp;$A145))+SUM(INDIRECT(BF$1&amp;BF$2&amp;$B145):INDIRECT(BF$1&amp;BF$3&amp;$B145))</f>
        <v>10552</v>
      </c>
      <c r="BG145" s="912">
        <f t="shared" ca="1" si="310"/>
        <v>6420.8565899999994</v>
      </c>
      <c r="BH145" s="973">
        <f t="shared" ca="1" si="311"/>
        <v>1.608496644238059</v>
      </c>
    </row>
    <row r="146" spans="1:60" ht="14.5">
      <c r="A146" s="990">
        <v>1</v>
      </c>
      <c r="B146" s="990">
        <v>1</v>
      </c>
      <c r="C146" s="990">
        <f t="shared" si="291"/>
        <v>143</v>
      </c>
      <c r="D146" s="1121" t="s">
        <v>887</v>
      </c>
      <c r="E146" s="1662" t="s">
        <v>1324</v>
      </c>
      <c r="F146" s="5"/>
      <c r="G146" s="5"/>
      <c r="H146" s="5"/>
      <c r="I146" s="1630" t="s">
        <v>97</v>
      </c>
      <c r="J146" s="1633"/>
      <c r="K146" s="1633"/>
      <c r="L146" s="1633"/>
      <c r="M146" s="1633"/>
      <c r="N146" s="1681" t="s">
        <v>1385</v>
      </c>
      <c r="O146" s="1633"/>
      <c r="P146" s="1634"/>
      <c r="Q146" s="1851" t="str">
        <f>CHOOSE(2, "6722000003065", "PL (1)-2 SGA Expenses *Allocation is acceptable")</f>
        <v>PL (1)-2 SGA Expenses *Allocation is acceptable</v>
      </c>
      <c r="R146" s="49">
        <f>SUM(R147:R149)</f>
        <v>1099</v>
      </c>
      <c r="S146" s="49">
        <f t="shared" ref="S146:AC146" si="313">SUM(S147:S149)</f>
        <v>1092.0120470639893</v>
      </c>
      <c r="T146" s="49">
        <f t="shared" si="313"/>
        <v>766.48429089637557</v>
      </c>
      <c r="U146" s="49">
        <f t="shared" si="313"/>
        <v>728.1484757966432</v>
      </c>
      <c r="V146" s="49">
        <f t="shared" si="313"/>
        <v>1111.6164972634394</v>
      </c>
      <c r="W146" s="49">
        <f t="shared" si="313"/>
        <v>738.1701160909754</v>
      </c>
      <c r="X146" s="365">
        <f t="shared" si="313"/>
        <v>1105.1371115189681</v>
      </c>
      <c r="Y146" s="365">
        <f t="shared" si="313"/>
        <v>775.24631236317191</v>
      </c>
      <c r="Z146" s="365">
        <f t="shared" si="313"/>
        <v>951.36185295548523</v>
      </c>
      <c r="AA146" s="1626">
        <f t="shared" si="313"/>
        <v>793.0098197822914</v>
      </c>
      <c r="AB146" s="1626">
        <f t="shared" si="313"/>
        <v>2012.7150891510582</v>
      </c>
      <c r="AC146" s="1626">
        <f t="shared" si="313"/>
        <v>774.46992824130382</v>
      </c>
      <c r="AD146" s="1626">
        <f t="shared" ref="AD146:AJ146" si="314">SUM(AD147:AD149)</f>
        <v>2957.4963379603646</v>
      </c>
      <c r="AE146" s="1626">
        <f t="shared" si="314"/>
        <v>2577.935089151058</v>
      </c>
      <c r="AF146" s="1626">
        <f t="shared" si="314"/>
        <v>2831.7452768376252</v>
      </c>
      <c r="AG146" s="1626">
        <f t="shared" si="314"/>
        <v>3580.1948371746535</v>
      </c>
      <c r="AH146" s="1626">
        <f t="shared" si="314"/>
        <v>5535.4314271114226</v>
      </c>
      <c r="AI146" s="1626">
        <f t="shared" si="314"/>
        <v>6411.9401140122791</v>
      </c>
      <c r="AJ146" s="1626">
        <f t="shared" si="314"/>
        <v>11947.371541123701</v>
      </c>
      <c r="AL146" s="1626">
        <f ca="1">SUM((INDIRECT(AL$2&amp;(ROW())):INDIRECT(AL$3&amp;(ROW()))))</f>
        <v>774.46992824130382</v>
      </c>
      <c r="AM146" s="1626">
        <f ca="1">SUM(INDIRECT(AM$1&amp;AM$2&amp;$C146):INDIRECT(AM$1&amp;AM$3&amp;$C146))</f>
        <v>0</v>
      </c>
      <c r="AN146" s="2507">
        <f t="shared" ca="1" si="300"/>
        <v>774.46992824130382</v>
      </c>
      <c r="AO146" s="2508">
        <f t="shared" ca="1" si="301"/>
        <v>0</v>
      </c>
      <c r="AP146" s="1626">
        <f ca="1">SUM(INDIRECT(AP$1&amp;AP$2&amp;$A146):INDIRECT(AP$1&amp;AP$3&amp;$A146))+SUM(INDIRECT(AP$1&amp;AP$2&amp;$B146):INDIRECT(AP$1&amp;AP$3&amp;$B146))</f>
        <v>0</v>
      </c>
      <c r="AQ146" s="2507">
        <f t="shared" ca="1" si="302"/>
        <v>774.46992824130382</v>
      </c>
      <c r="AR146" s="2508">
        <f t="shared" ca="1" si="303"/>
        <v>0</v>
      </c>
      <c r="AT146" s="1626">
        <f ca="1">SUM((INDIRECT(AT$2&amp;(ROW())):INDIRECT(AT$3&amp;(ROW()))))</f>
        <v>3580.1948371746535</v>
      </c>
      <c r="AU146" s="1626">
        <f ca="1">SUM(INDIRECT(AU$1&amp;AU$2&amp;$C146):INDIRECT(AU$1&amp;AU$3&amp;$C146))</f>
        <v>0</v>
      </c>
      <c r="AV146" s="2507">
        <f t="shared" ca="1" si="304"/>
        <v>3580.1948371746535</v>
      </c>
      <c r="AW146" s="2508">
        <f t="shared" ca="1" si="305"/>
        <v>0</v>
      </c>
      <c r="AX146" s="1626">
        <f ca="1">SUM(INDIRECT(AX$1&amp;AX$2&amp;$A146):INDIRECT(AX$1&amp;AX$3&amp;$A146))+SUM(INDIRECT(AX$1&amp;AX$2&amp;$B146):INDIRECT(AX$1&amp;AX$3&amp;$B146))</f>
        <v>0</v>
      </c>
      <c r="AY146" s="2507">
        <f t="shared" ca="1" si="306"/>
        <v>3580.1948371746535</v>
      </c>
      <c r="AZ146" s="2508">
        <f t="shared" ca="1" si="307"/>
        <v>0</v>
      </c>
      <c r="BB146" s="1626">
        <f ca="1">SUM((INDIRECT(BB$2&amp;(ROW())):INDIRECT(BB$3&amp;(ROW()))))</f>
        <v>11947.371541123701</v>
      </c>
      <c r="BC146" s="1626">
        <f ca="1">SUM(INDIRECT(BC$1&amp;BC$2&amp;$C146):INDIRECT(BC$1&amp;BC$3&amp;$C146))</f>
        <v>0</v>
      </c>
      <c r="BD146" s="2507">
        <f t="shared" ca="1" si="308"/>
        <v>11947.371541123701</v>
      </c>
      <c r="BE146" s="2508">
        <f t="shared" ca="1" si="309"/>
        <v>0</v>
      </c>
      <c r="BF146" s="1626">
        <f ca="1">SUM(INDIRECT(BF$1&amp;BF$2&amp;$A146):INDIRECT(BF$1&amp;BF$3&amp;$A146))+SUM(INDIRECT(BF$1&amp;BF$2&amp;$B146):INDIRECT(BF$1&amp;BF$3&amp;$B146))</f>
        <v>0</v>
      </c>
      <c r="BG146" s="2507">
        <f t="shared" ca="1" si="310"/>
        <v>11947.371541123701</v>
      </c>
      <c r="BH146" s="2508">
        <f t="shared" ca="1" si="311"/>
        <v>0</v>
      </c>
    </row>
    <row r="147" spans="1:60" ht="14.5">
      <c r="A147" s="990">
        <v>1</v>
      </c>
      <c r="B147" s="990">
        <v>1</v>
      </c>
      <c r="C147" s="990">
        <f t="shared" si="291"/>
        <v>144</v>
      </c>
      <c r="D147" s="1121" t="s">
        <v>887</v>
      </c>
      <c r="E147" s="1662" t="s">
        <v>1324</v>
      </c>
      <c r="F147" s="5"/>
      <c r="G147" s="5"/>
      <c r="H147" s="5"/>
      <c r="I147" s="613"/>
      <c r="J147" s="4" t="s">
        <v>143</v>
      </c>
      <c r="K147" s="4"/>
      <c r="L147" s="4"/>
      <c r="M147" s="4"/>
      <c r="N147" s="4"/>
      <c r="O147" s="4"/>
      <c r="P147" s="29"/>
      <c r="Q147" s="1855" t="str">
        <f>CHOOSE(2, "6722000003066", "PL (1)-2 SGA Expenses Variable Expenses")</f>
        <v>PL (1)-2 SGA Expenses Variable Expenses</v>
      </c>
      <c r="R147" s="2032">
        <v>108</v>
      </c>
      <c r="S147" s="2032">
        <v>77</v>
      </c>
      <c r="T147" s="2032">
        <v>157.4842908963756</v>
      </c>
      <c r="U147" s="2032">
        <v>119.14847579664318</v>
      </c>
      <c r="V147" s="2032">
        <v>502.6164972634395</v>
      </c>
      <c r="W147" s="2032">
        <v>129.1701160909754</v>
      </c>
      <c r="X147" s="2036">
        <v>496.13711151896814</v>
      </c>
      <c r="Y147" s="2036">
        <v>166.24631236317197</v>
      </c>
      <c r="Z147" s="2036">
        <v>342.36185295548523</v>
      </c>
      <c r="AA147" s="2253">
        <v>184.00981978229143</v>
      </c>
      <c r="AB147" s="2253">
        <v>1403.7150891510582</v>
      </c>
      <c r="AC147" s="2253">
        <v>165.46992824130382</v>
      </c>
      <c r="AD147" s="145">
        <f>SUM(R147,S147,T147)</f>
        <v>342.48429089637557</v>
      </c>
      <c r="AE147" s="145">
        <f t="shared" ref="AE147:AE149" si="315">SUM(U147,V147,W147)</f>
        <v>750.93508915105804</v>
      </c>
      <c r="AF147" s="145">
        <f t="shared" ref="AF147:AF149" si="316">SUM(X147,Y147,Z147)</f>
        <v>1004.7452768376253</v>
      </c>
      <c r="AG147" s="145">
        <f t="shared" ref="AG147:AG149" si="317">SUM(AA147,AB147,AC147)</f>
        <v>1753.1948371746535</v>
      </c>
      <c r="AH147" s="145">
        <f t="shared" ref="AH147:AH149" si="318">AD147+AE147</f>
        <v>1093.4193800474336</v>
      </c>
      <c r="AI147" s="145">
        <f t="shared" ref="AI147:AI149" si="319">AG147+AF147</f>
        <v>2757.9401140122786</v>
      </c>
      <c r="AJ147" s="145">
        <f t="shared" ref="AJ147:AJ149" si="320">AH147+AI147</f>
        <v>3851.3594940597122</v>
      </c>
      <c r="AL147" s="145">
        <f ca="1">SUM((INDIRECT(AL$2&amp;(ROW())):INDIRECT(AL$3&amp;(ROW()))))</f>
        <v>165.46992824130382</v>
      </c>
      <c r="AM147" s="145">
        <f ca="1">SUM(INDIRECT(AM$1&amp;AM$2&amp;$C147):INDIRECT(AM$1&amp;AM$3&amp;$C147))</f>
        <v>0</v>
      </c>
      <c r="AN147" s="912">
        <f t="shared" ca="1" si="300"/>
        <v>165.46992824130382</v>
      </c>
      <c r="AO147" s="973">
        <f t="shared" ca="1" si="301"/>
        <v>0</v>
      </c>
      <c r="AP147" s="2509">
        <f ca="1">SUM(INDIRECT(AP$1&amp;AP$2&amp;$A147):INDIRECT(AP$1&amp;AP$3&amp;$A147))+SUM(INDIRECT(AP$1&amp;AP$2&amp;$B147):INDIRECT(AP$1&amp;AP$3&amp;$B147))</f>
        <v>0</v>
      </c>
      <c r="AQ147" s="2510">
        <f t="shared" ca="1" si="302"/>
        <v>165.46992824130382</v>
      </c>
      <c r="AR147" s="2511">
        <f t="shared" ca="1" si="303"/>
        <v>0</v>
      </c>
      <c r="AT147" s="145">
        <f ca="1">SUM((INDIRECT(AT$2&amp;(ROW())):INDIRECT(AT$3&amp;(ROW()))))</f>
        <v>1753.1948371746535</v>
      </c>
      <c r="AU147" s="145">
        <f ca="1">SUM(INDIRECT(AU$1&amp;AU$2&amp;$C147):INDIRECT(AU$1&amp;AU$3&amp;$C147))</f>
        <v>0</v>
      </c>
      <c r="AV147" s="912">
        <f t="shared" ca="1" si="304"/>
        <v>1753.1948371746535</v>
      </c>
      <c r="AW147" s="973">
        <f t="shared" ca="1" si="305"/>
        <v>0</v>
      </c>
      <c r="AX147" s="2509">
        <f ca="1">SUM(INDIRECT(AX$1&amp;AX$2&amp;$A147):INDIRECT(AX$1&amp;AX$3&amp;$A147))+SUM(INDIRECT(AX$1&amp;AX$2&amp;$B147):INDIRECT(AX$1&amp;AX$3&amp;$B147))</f>
        <v>0</v>
      </c>
      <c r="AY147" s="2510">
        <f t="shared" ca="1" si="306"/>
        <v>1753.1948371746535</v>
      </c>
      <c r="AZ147" s="2511">
        <f t="shared" ca="1" si="307"/>
        <v>0</v>
      </c>
      <c r="BB147" s="145">
        <f ca="1">SUM((INDIRECT(BB$2&amp;(ROW())):INDIRECT(BB$3&amp;(ROW()))))</f>
        <v>3851.3594940597122</v>
      </c>
      <c r="BC147" s="145">
        <f ca="1">SUM(INDIRECT(BC$1&amp;BC$2&amp;$C147):INDIRECT(BC$1&amp;BC$3&amp;$C147))</f>
        <v>0</v>
      </c>
      <c r="BD147" s="912">
        <f t="shared" ca="1" si="308"/>
        <v>3851.3594940597122</v>
      </c>
      <c r="BE147" s="973">
        <f t="shared" ca="1" si="309"/>
        <v>0</v>
      </c>
      <c r="BF147" s="2509">
        <f ca="1">SUM(INDIRECT(BF$1&amp;BF$2&amp;$A147):INDIRECT(BF$1&amp;BF$3&amp;$A147))+SUM(INDIRECT(BF$1&amp;BF$2&amp;$B147):INDIRECT(BF$1&amp;BF$3&amp;$B147))</f>
        <v>0</v>
      </c>
      <c r="BG147" s="2510">
        <f t="shared" ca="1" si="310"/>
        <v>3851.3594940597122</v>
      </c>
      <c r="BH147" s="2511">
        <f t="shared" ca="1" si="311"/>
        <v>0</v>
      </c>
    </row>
    <row r="148" spans="1:60" ht="14.5">
      <c r="A148" s="990">
        <v>1</v>
      </c>
      <c r="B148" s="990">
        <v>1</v>
      </c>
      <c r="C148" s="990">
        <f t="shared" si="291"/>
        <v>145</v>
      </c>
      <c r="D148" s="1121" t="s">
        <v>887</v>
      </c>
      <c r="E148" s="1662" t="s">
        <v>1324</v>
      </c>
      <c r="F148" s="5"/>
      <c r="G148" s="5"/>
      <c r="H148" s="5"/>
      <c r="I148" s="613"/>
      <c r="J148" s="4" t="s">
        <v>96</v>
      </c>
      <c r="K148" s="4"/>
      <c r="L148" s="4"/>
      <c r="M148" s="4"/>
      <c r="N148" s="4"/>
      <c r="O148" s="4"/>
      <c r="P148" s="29"/>
      <c r="Q148" s="1855" t="str">
        <f>CHOOSE(2, "6722000003067", "PL (1)-2 SGA Expenses Wages &amp; Salaries")</f>
        <v>PL (1)-2 SGA Expenses Wages &amp; Salaries</v>
      </c>
      <c r="R148" s="2032">
        <v>886</v>
      </c>
      <c r="S148" s="2032">
        <v>886</v>
      </c>
      <c r="T148" s="2032">
        <v>609</v>
      </c>
      <c r="U148" s="2032">
        <v>609</v>
      </c>
      <c r="V148" s="2032">
        <v>609</v>
      </c>
      <c r="W148" s="2032">
        <v>609</v>
      </c>
      <c r="X148" s="2036">
        <v>609</v>
      </c>
      <c r="Y148" s="2036">
        <v>609</v>
      </c>
      <c r="Z148" s="2036">
        <v>609</v>
      </c>
      <c r="AA148" s="2253">
        <v>609</v>
      </c>
      <c r="AB148" s="2253">
        <v>609</v>
      </c>
      <c r="AC148" s="2253">
        <v>609</v>
      </c>
      <c r="AD148" s="145">
        <f>SUM(R148,S148,T148)</f>
        <v>2381</v>
      </c>
      <c r="AE148" s="145">
        <f t="shared" si="315"/>
        <v>1827</v>
      </c>
      <c r="AF148" s="145">
        <f t="shared" si="316"/>
        <v>1827</v>
      </c>
      <c r="AG148" s="145">
        <f t="shared" si="317"/>
        <v>1827</v>
      </c>
      <c r="AH148" s="145">
        <f t="shared" si="318"/>
        <v>4208</v>
      </c>
      <c r="AI148" s="145">
        <f t="shared" si="319"/>
        <v>3654</v>
      </c>
      <c r="AJ148" s="145">
        <f t="shared" si="320"/>
        <v>7862</v>
      </c>
      <c r="AL148" s="145">
        <f ca="1">SUM((INDIRECT(AL$2&amp;(ROW())):INDIRECT(AL$3&amp;(ROW()))))</f>
        <v>609</v>
      </c>
      <c r="AM148" s="145">
        <f ca="1">SUM(INDIRECT(AM$1&amp;AM$2&amp;$C148):INDIRECT(AM$1&amp;AM$3&amp;$C148))</f>
        <v>0</v>
      </c>
      <c r="AN148" s="912">
        <f t="shared" ca="1" si="300"/>
        <v>609</v>
      </c>
      <c r="AO148" s="973">
        <f t="shared" ca="1" si="301"/>
        <v>0</v>
      </c>
      <c r="AP148" s="2509">
        <f ca="1">SUM(INDIRECT(AP$1&amp;AP$2&amp;$A148):INDIRECT(AP$1&amp;AP$3&amp;$A148))+SUM(INDIRECT(AP$1&amp;AP$2&amp;$B148):INDIRECT(AP$1&amp;AP$3&amp;$B148))</f>
        <v>0</v>
      </c>
      <c r="AQ148" s="2510">
        <f t="shared" ca="1" si="302"/>
        <v>609</v>
      </c>
      <c r="AR148" s="2511">
        <f t="shared" ca="1" si="303"/>
        <v>0</v>
      </c>
      <c r="AT148" s="145">
        <f ca="1">SUM((INDIRECT(AT$2&amp;(ROW())):INDIRECT(AT$3&amp;(ROW()))))</f>
        <v>1827</v>
      </c>
      <c r="AU148" s="145">
        <f ca="1">SUM(INDIRECT(AU$1&amp;AU$2&amp;$C148):INDIRECT(AU$1&amp;AU$3&amp;$C148))</f>
        <v>0</v>
      </c>
      <c r="AV148" s="912">
        <f t="shared" ca="1" si="304"/>
        <v>1827</v>
      </c>
      <c r="AW148" s="973">
        <f t="shared" ca="1" si="305"/>
        <v>0</v>
      </c>
      <c r="AX148" s="2509">
        <f ca="1">SUM(INDIRECT(AX$1&amp;AX$2&amp;$A148):INDIRECT(AX$1&amp;AX$3&amp;$A148))+SUM(INDIRECT(AX$1&amp;AX$2&amp;$B148):INDIRECT(AX$1&amp;AX$3&amp;$B148))</f>
        <v>0</v>
      </c>
      <c r="AY148" s="2510">
        <f t="shared" ca="1" si="306"/>
        <v>1827</v>
      </c>
      <c r="AZ148" s="2511">
        <f t="shared" ca="1" si="307"/>
        <v>0</v>
      </c>
      <c r="BB148" s="145">
        <f ca="1">SUM((INDIRECT(BB$2&amp;(ROW())):INDIRECT(BB$3&amp;(ROW()))))</f>
        <v>7862</v>
      </c>
      <c r="BC148" s="145">
        <f ca="1">SUM(INDIRECT(BC$1&amp;BC$2&amp;$C148):INDIRECT(BC$1&amp;BC$3&amp;$C148))</f>
        <v>0</v>
      </c>
      <c r="BD148" s="912">
        <f t="shared" ca="1" si="308"/>
        <v>7862</v>
      </c>
      <c r="BE148" s="973">
        <f t="shared" ca="1" si="309"/>
        <v>0</v>
      </c>
      <c r="BF148" s="2509">
        <f ca="1">SUM(INDIRECT(BF$1&amp;BF$2&amp;$A148):INDIRECT(BF$1&amp;BF$3&amp;$A148))+SUM(INDIRECT(BF$1&amp;BF$2&amp;$B148):INDIRECT(BF$1&amp;BF$3&amp;$B148))</f>
        <v>0</v>
      </c>
      <c r="BG148" s="2510">
        <f t="shared" ca="1" si="310"/>
        <v>7862</v>
      </c>
      <c r="BH148" s="2511">
        <f t="shared" ca="1" si="311"/>
        <v>0</v>
      </c>
    </row>
    <row r="149" spans="1:60" ht="14.5">
      <c r="A149" s="990">
        <v>1</v>
      </c>
      <c r="B149" s="990">
        <v>1</v>
      </c>
      <c r="C149" s="990">
        <f t="shared" si="291"/>
        <v>146</v>
      </c>
      <c r="D149" s="1121" t="s">
        <v>887</v>
      </c>
      <c r="E149" s="1662" t="s">
        <v>1324</v>
      </c>
      <c r="F149" s="5"/>
      <c r="G149" s="5"/>
      <c r="H149" s="5"/>
      <c r="I149" s="1627"/>
      <c r="J149" s="51" t="s">
        <v>142</v>
      </c>
      <c r="K149" s="51"/>
      <c r="L149" s="51"/>
      <c r="M149" s="51"/>
      <c r="N149" s="51"/>
      <c r="O149" s="51"/>
      <c r="P149" s="50"/>
      <c r="Q149" s="1855" t="str">
        <f>CHOOSE(2, "6722000003068", "PL (1)-2 SGA Expenses Fixed Expenses")</f>
        <v>PL (1)-2 SGA Expenses Fixed Expenses</v>
      </c>
      <c r="R149" s="2211">
        <v>105</v>
      </c>
      <c r="S149" s="2211">
        <v>129.01204706398917</v>
      </c>
      <c r="T149" s="2211">
        <v>0</v>
      </c>
      <c r="U149" s="2211">
        <v>0</v>
      </c>
      <c r="V149" s="2211">
        <v>0</v>
      </c>
      <c r="W149" s="2211">
        <v>0</v>
      </c>
      <c r="X149" s="2052">
        <v>0</v>
      </c>
      <c r="Y149" s="2052">
        <v>0</v>
      </c>
      <c r="Z149" s="2052">
        <v>0</v>
      </c>
      <c r="AA149" s="2254">
        <v>0</v>
      </c>
      <c r="AB149" s="2254">
        <v>0</v>
      </c>
      <c r="AC149" s="2254">
        <v>0</v>
      </c>
      <c r="AD149" s="1626">
        <f>SUM(R149,S149,T149)</f>
        <v>234.01204706398917</v>
      </c>
      <c r="AE149" s="1626">
        <f t="shared" si="315"/>
        <v>0</v>
      </c>
      <c r="AF149" s="1626">
        <f t="shared" si="316"/>
        <v>0</v>
      </c>
      <c r="AG149" s="1626">
        <f t="shared" si="317"/>
        <v>0</v>
      </c>
      <c r="AH149" s="1626">
        <f t="shared" si="318"/>
        <v>234.01204706398917</v>
      </c>
      <c r="AI149" s="1626">
        <f t="shared" si="319"/>
        <v>0</v>
      </c>
      <c r="AJ149" s="1626">
        <f t="shared" si="320"/>
        <v>234.01204706398917</v>
      </c>
      <c r="AL149" s="1626">
        <f ca="1">SUM((INDIRECT(AL$2&amp;(ROW())):INDIRECT(AL$3&amp;(ROW()))))</f>
        <v>0</v>
      </c>
      <c r="AM149" s="1626">
        <f ca="1">SUM(INDIRECT(AM$1&amp;AM$2&amp;$C149):INDIRECT(AM$1&amp;AM$3&amp;$C149))</f>
        <v>0</v>
      </c>
      <c r="AN149" s="2507">
        <f t="shared" ca="1" si="300"/>
        <v>0</v>
      </c>
      <c r="AO149" s="2508">
        <f t="shared" ca="1" si="301"/>
        <v>0</v>
      </c>
      <c r="AP149" s="2512">
        <f ca="1">SUM(INDIRECT(AP$1&amp;AP$2&amp;$A149):INDIRECT(AP$1&amp;AP$3&amp;$A149))+SUM(INDIRECT(AP$1&amp;AP$2&amp;$B149):INDIRECT(AP$1&amp;AP$3&amp;$B149))</f>
        <v>0</v>
      </c>
      <c r="AQ149" s="2513">
        <f t="shared" ca="1" si="302"/>
        <v>0</v>
      </c>
      <c r="AR149" s="2514">
        <f t="shared" ca="1" si="303"/>
        <v>0</v>
      </c>
      <c r="AT149" s="1626">
        <f ca="1">SUM((INDIRECT(AT$2&amp;(ROW())):INDIRECT(AT$3&amp;(ROW()))))</f>
        <v>0</v>
      </c>
      <c r="AU149" s="1626">
        <f ca="1">SUM(INDIRECT(AU$1&amp;AU$2&amp;$C149):INDIRECT(AU$1&amp;AU$3&amp;$C149))</f>
        <v>0</v>
      </c>
      <c r="AV149" s="2507">
        <f t="shared" ca="1" si="304"/>
        <v>0</v>
      </c>
      <c r="AW149" s="2508">
        <f t="shared" ca="1" si="305"/>
        <v>0</v>
      </c>
      <c r="AX149" s="2512">
        <f ca="1">SUM(INDIRECT(AX$1&amp;AX$2&amp;$A149):INDIRECT(AX$1&amp;AX$3&amp;$A149))+SUM(INDIRECT(AX$1&amp;AX$2&amp;$B149):INDIRECT(AX$1&amp;AX$3&amp;$B149))</f>
        <v>0</v>
      </c>
      <c r="AY149" s="2513">
        <f t="shared" ca="1" si="306"/>
        <v>0</v>
      </c>
      <c r="AZ149" s="2514">
        <f t="shared" ca="1" si="307"/>
        <v>0</v>
      </c>
      <c r="BB149" s="1626">
        <f ca="1">SUM((INDIRECT(BB$2&amp;(ROW())):INDIRECT(BB$3&amp;(ROW()))))</f>
        <v>234.01204706398917</v>
      </c>
      <c r="BC149" s="1626">
        <f ca="1">SUM(INDIRECT(BC$1&amp;BC$2&amp;$C149):INDIRECT(BC$1&amp;BC$3&amp;$C149))</f>
        <v>0</v>
      </c>
      <c r="BD149" s="2507">
        <f t="shared" ca="1" si="308"/>
        <v>234.01204706398917</v>
      </c>
      <c r="BE149" s="2508">
        <f t="shared" ca="1" si="309"/>
        <v>0</v>
      </c>
      <c r="BF149" s="2512">
        <f ca="1">SUM(INDIRECT(BF$1&amp;BF$2&amp;$A149):INDIRECT(BF$1&amp;BF$3&amp;$A149))+SUM(INDIRECT(BF$1&amp;BF$2&amp;$B149):INDIRECT(BF$1&amp;BF$3&amp;$B149))</f>
        <v>0</v>
      </c>
      <c r="BG149" s="2513">
        <f t="shared" ca="1" si="310"/>
        <v>234.01204706398917</v>
      </c>
      <c r="BH149" s="2514">
        <f t="shared" ca="1" si="311"/>
        <v>0</v>
      </c>
    </row>
    <row r="150" spans="1:60" ht="14.5">
      <c r="A150" s="990">
        <v>1</v>
      </c>
      <c r="B150" s="990">
        <v>1</v>
      </c>
      <c r="C150" s="990">
        <f t="shared" si="291"/>
        <v>147</v>
      </c>
      <c r="D150" s="1121" t="s">
        <v>887</v>
      </c>
      <c r="E150" s="1662" t="s">
        <v>1324</v>
      </c>
      <c r="F150" s="5"/>
      <c r="G150" s="5"/>
      <c r="H150" s="5"/>
      <c r="I150" s="1630" t="s">
        <v>136</v>
      </c>
      <c r="J150" s="1631"/>
      <c r="K150" s="1631"/>
      <c r="L150" s="1631"/>
      <c r="M150" s="1631"/>
      <c r="N150" s="1631"/>
      <c r="O150" s="1631"/>
      <c r="P150" s="1632"/>
      <c r="Q150" s="1851" t="str">
        <f>CHOOSE(2, "6722000003069", "PL (1)-2 Business Contribution Profit")</f>
        <v>PL (1)-2 Business Contribution Profit</v>
      </c>
      <c r="R150" s="41">
        <f t="shared" ref="R150:AC150" si="321">R145-R146</f>
        <v>-264</v>
      </c>
      <c r="S150" s="41">
        <f t="shared" si="321"/>
        <v>48.987952936010743</v>
      </c>
      <c r="T150" s="41">
        <f t="shared" si="321"/>
        <v>248.51570910362443</v>
      </c>
      <c r="U150" s="41">
        <f t="shared" si="321"/>
        <v>316.8515242033568</v>
      </c>
      <c r="V150" s="41">
        <f t="shared" si="321"/>
        <v>3.3835027365605583</v>
      </c>
      <c r="W150" s="41">
        <f t="shared" si="321"/>
        <v>814.8298839090246</v>
      </c>
      <c r="X150" s="19">
        <f t="shared" si="321"/>
        <v>-129.13711151896814</v>
      </c>
      <c r="Y150" s="19">
        <f t="shared" si="321"/>
        <v>1582.7536876368281</v>
      </c>
      <c r="Z150" s="19">
        <f t="shared" si="321"/>
        <v>664.63814704451477</v>
      </c>
      <c r="AA150" s="145">
        <f t="shared" si="321"/>
        <v>633.9901802177086</v>
      </c>
      <c r="AB150" s="145">
        <f t="shared" si="321"/>
        <v>-23.858499151058368</v>
      </c>
      <c r="AC150" s="145">
        <f t="shared" si="321"/>
        <v>1128.5300717586961</v>
      </c>
      <c r="AD150" s="145">
        <f t="shared" ref="AD150:AJ150" si="322">AD145-AD146</f>
        <v>33.503662039635401</v>
      </c>
      <c r="AE150" s="145">
        <f t="shared" si="322"/>
        <v>1135.064910848942</v>
      </c>
      <c r="AF150" s="145">
        <f t="shared" si="322"/>
        <v>2118.2547231623748</v>
      </c>
      <c r="AG150" s="145">
        <f t="shared" si="322"/>
        <v>1738.661752825346</v>
      </c>
      <c r="AH150" s="145">
        <f t="shared" si="322"/>
        <v>1168.5685728885774</v>
      </c>
      <c r="AI150" s="145">
        <f t="shared" si="322"/>
        <v>3856.9164759877203</v>
      </c>
      <c r="AJ150" s="145">
        <f t="shared" si="322"/>
        <v>5025.4850488762986</v>
      </c>
      <c r="AL150" s="145">
        <f ca="1">SUM((INDIRECT(AL$2&amp;(ROW())):INDIRECT(AL$3&amp;(ROW()))))</f>
        <v>1128.5300717586961</v>
      </c>
      <c r="AM150" s="145">
        <f ca="1">SUM(INDIRECT(AM$1&amp;AM$2&amp;$C150):INDIRECT(AM$1&amp;AM$3&amp;$C150))</f>
        <v>0</v>
      </c>
      <c r="AN150" s="912">
        <f t="shared" ca="1" si="300"/>
        <v>1128.5300717586961</v>
      </c>
      <c r="AO150" s="973">
        <f t="shared" ca="1" si="301"/>
        <v>0</v>
      </c>
      <c r="AP150" s="2515">
        <f ca="1">AP145-AP146</f>
        <v>805</v>
      </c>
      <c r="AQ150" s="2510">
        <f t="shared" ca="1" si="302"/>
        <v>323.53007175869607</v>
      </c>
      <c r="AR150" s="2511">
        <f t="shared" ca="1" si="303"/>
        <v>1.4019007102592498</v>
      </c>
      <c r="AT150" s="145">
        <f ca="1">SUM((INDIRECT(AT$2&amp;(ROW())):INDIRECT(AT$3&amp;(ROW()))))</f>
        <v>1738.6617528253464</v>
      </c>
      <c r="AU150" s="145">
        <f ca="1">SUM(INDIRECT(AU$1&amp;AU$2&amp;$C150):INDIRECT(AU$1&amp;AU$3&amp;$C150))</f>
        <v>0</v>
      </c>
      <c r="AV150" s="912">
        <f t="shared" ca="1" si="304"/>
        <v>1738.6617528253464</v>
      </c>
      <c r="AW150" s="973">
        <f t="shared" ca="1" si="305"/>
        <v>0</v>
      </c>
      <c r="AX150" s="2515">
        <f ca="1">AX145-AX146</f>
        <v>2442</v>
      </c>
      <c r="AY150" s="2510">
        <f t="shared" ca="1" si="306"/>
        <v>-703.33824717465359</v>
      </c>
      <c r="AZ150" s="2511">
        <f t="shared" ca="1" si="307"/>
        <v>0.71198269976467909</v>
      </c>
      <c r="BB150" s="145">
        <f ca="1">SUM((INDIRECT(BB$2&amp;(ROW())):INDIRECT(BB$3&amp;(ROW()))))</f>
        <v>5025.4850488762986</v>
      </c>
      <c r="BC150" s="145">
        <f ca="1">SUM(INDIRECT(BC$1&amp;BC$2&amp;$C150):INDIRECT(BC$1&amp;BC$3&amp;$C150))</f>
        <v>0</v>
      </c>
      <c r="BD150" s="912">
        <f t="shared" ca="1" si="308"/>
        <v>5025.4850488762986</v>
      </c>
      <c r="BE150" s="973">
        <f t="shared" ca="1" si="309"/>
        <v>0</v>
      </c>
      <c r="BF150" s="2515">
        <f ca="1">BF145-BF146</f>
        <v>10552</v>
      </c>
      <c r="BG150" s="2510">
        <f t="shared" ca="1" si="310"/>
        <v>-5526.5149511237014</v>
      </c>
      <c r="BH150" s="2511">
        <f t="shared" ca="1" si="311"/>
        <v>0.47625900766454687</v>
      </c>
    </row>
    <row r="151" spans="1:60" ht="14.5">
      <c r="A151" s="990">
        <v>1</v>
      </c>
      <c r="B151" s="990">
        <v>1</v>
      </c>
      <c r="C151" s="990">
        <f t="shared" si="291"/>
        <v>148</v>
      </c>
      <c r="D151" s="1121" t="s">
        <v>887</v>
      </c>
      <c r="E151" s="1662" t="s">
        <v>460</v>
      </c>
      <c r="F151" s="5"/>
      <c r="G151" s="5"/>
      <c r="H151" s="5"/>
      <c r="I151" s="1635" t="s">
        <v>1392</v>
      </c>
      <c r="J151" s="1636"/>
      <c r="K151" s="1636"/>
      <c r="L151" s="1636"/>
      <c r="M151" s="1636"/>
      <c r="N151" s="1636"/>
      <c r="O151" s="1636"/>
      <c r="P151" s="1637"/>
      <c r="Q151" s="1851" t="str">
        <f>CHOOSE(2, "6722000003070", "PL (1)-2 Operation Profit")</f>
        <v>PL (1)-2 Operation Profit</v>
      </c>
      <c r="R151" s="66">
        <f>R150</f>
        <v>-264</v>
      </c>
      <c r="S151" s="66">
        <f t="shared" ref="S151:AC151" si="323">S150</f>
        <v>48.987952936010743</v>
      </c>
      <c r="T151" s="66">
        <f t="shared" si="323"/>
        <v>248.51570910362443</v>
      </c>
      <c r="U151" s="66">
        <f t="shared" si="323"/>
        <v>316.8515242033568</v>
      </c>
      <c r="V151" s="66">
        <f t="shared" si="323"/>
        <v>3.3835027365605583</v>
      </c>
      <c r="W151" s="66">
        <f t="shared" si="323"/>
        <v>814.8298839090246</v>
      </c>
      <c r="X151" s="17">
        <f t="shared" si="323"/>
        <v>-129.13711151896814</v>
      </c>
      <c r="Y151" s="17">
        <f t="shared" si="323"/>
        <v>1582.7536876368281</v>
      </c>
      <c r="Z151" s="17">
        <f t="shared" si="323"/>
        <v>664.63814704451477</v>
      </c>
      <c r="AA151" s="142">
        <f t="shared" si="323"/>
        <v>633.9901802177086</v>
      </c>
      <c r="AB151" s="142">
        <f t="shared" si="323"/>
        <v>-23.858499151058368</v>
      </c>
      <c r="AC151" s="142">
        <f t="shared" si="323"/>
        <v>1128.5300717586961</v>
      </c>
      <c r="AD151" s="142">
        <f t="shared" ref="AD151:AJ151" si="324">AD150</f>
        <v>33.503662039635401</v>
      </c>
      <c r="AE151" s="142">
        <f t="shared" si="324"/>
        <v>1135.064910848942</v>
      </c>
      <c r="AF151" s="142">
        <f t="shared" si="324"/>
        <v>2118.2547231623748</v>
      </c>
      <c r="AG151" s="142">
        <f t="shared" si="324"/>
        <v>1738.661752825346</v>
      </c>
      <c r="AH151" s="142">
        <f t="shared" si="324"/>
        <v>1168.5685728885774</v>
      </c>
      <c r="AI151" s="142">
        <f t="shared" si="324"/>
        <v>3856.9164759877203</v>
      </c>
      <c r="AJ151" s="142">
        <f t="shared" si="324"/>
        <v>5025.4850488762986</v>
      </c>
      <c r="AL151" s="142">
        <f ca="1">SUM((INDIRECT(AL$2&amp;(ROW())):INDIRECT(AL$3&amp;(ROW()))))</f>
        <v>1128.5300717586961</v>
      </c>
      <c r="AM151" s="142">
        <f ca="1">SUM(INDIRECT(AM$1&amp;AM$2&amp;$C151):INDIRECT(AM$1&amp;AM$3&amp;$C151))</f>
        <v>0</v>
      </c>
      <c r="AN151" s="877">
        <f t="shared" ca="1" si="300"/>
        <v>1128.5300717586961</v>
      </c>
      <c r="AO151" s="928">
        <f t="shared" ca="1" si="301"/>
        <v>0</v>
      </c>
      <c r="AP151" s="2516">
        <f ca="1">AP150</f>
        <v>805</v>
      </c>
      <c r="AQ151" s="2517">
        <f t="shared" ca="1" si="302"/>
        <v>323.53007175869607</v>
      </c>
      <c r="AR151" s="2518">
        <f t="shared" ca="1" si="303"/>
        <v>1.4019007102592498</v>
      </c>
      <c r="AT151" s="142">
        <f ca="1">SUM((INDIRECT(AT$2&amp;(ROW())):INDIRECT(AT$3&amp;(ROW()))))</f>
        <v>1738.6617528253464</v>
      </c>
      <c r="AU151" s="142">
        <f ca="1">SUM(INDIRECT(AU$1&amp;AU$2&amp;$C151):INDIRECT(AU$1&amp;AU$3&amp;$C151))</f>
        <v>0</v>
      </c>
      <c r="AV151" s="877">
        <f t="shared" ca="1" si="304"/>
        <v>1738.6617528253464</v>
      </c>
      <c r="AW151" s="928">
        <f t="shared" ca="1" si="305"/>
        <v>0</v>
      </c>
      <c r="AX151" s="2516">
        <f ca="1">AX150</f>
        <v>2442</v>
      </c>
      <c r="AY151" s="2517">
        <f t="shared" ca="1" si="306"/>
        <v>-703.33824717465359</v>
      </c>
      <c r="AZ151" s="2518">
        <f t="shared" ca="1" si="307"/>
        <v>0.71198269976467909</v>
      </c>
      <c r="BB151" s="142">
        <f ca="1">SUM((INDIRECT(BB$2&amp;(ROW())):INDIRECT(BB$3&amp;(ROW()))))</f>
        <v>5025.4850488762986</v>
      </c>
      <c r="BC151" s="142">
        <f ca="1">SUM(INDIRECT(BC$1&amp;BC$2&amp;$C151):INDIRECT(BC$1&amp;BC$3&amp;$C151))</f>
        <v>0</v>
      </c>
      <c r="BD151" s="877">
        <f t="shared" ca="1" si="308"/>
        <v>5025.4850488762986</v>
      </c>
      <c r="BE151" s="928">
        <f t="shared" ca="1" si="309"/>
        <v>0</v>
      </c>
      <c r="BF151" s="2516">
        <f ca="1">BF150</f>
        <v>10552</v>
      </c>
      <c r="BG151" s="2517">
        <f t="shared" ca="1" si="310"/>
        <v>-5526.5149511237014</v>
      </c>
      <c r="BH151" s="2518">
        <f t="shared" ca="1" si="311"/>
        <v>0.47625900766454687</v>
      </c>
    </row>
    <row r="152" spans="1:60" ht="14.5">
      <c r="A152" s="990">
        <v>1</v>
      </c>
      <c r="B152" s="990">
        <v>1</v>
      </c>
      <c r="C152" s="990">
        <f t="shared" si="291"/>
        <v>149</v>
      </c>
      <c r="D152" s="1121" t="s">
        <v>887</v>
      </c>
      <c r="E152" s="1243">
        <v>1</v>
      </c>
      <c r="F152" s="5"/>
      <c r="G152" s="5"/>
      <c r="H152" s="5"/>
      <c r="I152" s="5"/>
      <c r="J152" s="4"/>
      <c r="K152" s="5"/>
      <c r="L152" s="5"/>
      <c r="M152" s="4"/>
      <c r="N152" s="4"/>
      <c r="O152" s="4"/>
      <c r="P152" s="4"/>
      <c r="Q152" s="1839" t="str">
        <f>CHOOSE(2, "6722000003071", "▷ Blank 10")</f>
        <v>▷ Blank 10</v>
      </c>
      <c r="R152" s="2225"/>
      <c r="S152" s="1151"/>
      <c r="T152" s="1151"/>
      <c r="U152" s="1151"/>
      <c r="V152" s="1151"/>
      <c r="W152" s="1151"/>
      <c r="AA152" s="163"/>
      <c r="AB152" s="163"/>
      <c r="AC152" s="163"/>
      <c r="AD152" s="163"/>
      <c r="AE152" s="163"/>
      <c r="AF152" s="163"/>
      <c r="AG152" s="163"/>
      <c r="AH152" s="163"/>
      <c r="AI152" s="163"/>
      <c r="AJ152" s="868"/>
      <c r="AL152" s="163"/>
      <c r="AM152" s="163"/>
      <c r="AN152" s="163"/>
      <c r="AO152" s="163"/>
      <c r="AP152" s="163"/>
      <c r="AQ152" s="163"/>
      <c r="AR152" s="163"/>
      <c r="AT152" s="163"/>
      <c r="AU152" s="163"/>
      <c r="AV152" s="163"/>
      <c r="AW152" s="163"/>
      <c r="AX152" s="163"/>
      <c r="AY152" s="163"/>
      <c r="AZ152" s="163"/>
      <c r="BB152" s="163"/>
      <c r="BC152" s="163"/>
      <c r="BD152" s="163"/>
      <c r="BE152" s="163"/>
      <c r="BF152" s="163"/>
      <c r="BG152" s="163"/>
      <c r="BH152" s="163"/>
    </row>
    <row r="153" spans="1:60" ht="14.5">
      <c r="A153" s="990">
        <v>126</v>
      </c>
      <c r="B153" s="990">
        <v>1</v>
      </c>
      <c r="C153" s="990">
        <f t="shared" si="291"/>
        <v>150</v>
      </c>
      <c r="D153" s="1121" t="s">
        <v>887</v>
      </c>
      <c r="E153" s="1243">
        <v>1</v>
      </c>
      <c r="F153" s="5"/>
      <c r="G153" s="5"/>
      <c r="H153" s="5" t="s">
        <v>481</v>
      </c>
      <c r="I153" s="5"/>
      <c r="J153" s="4"/>
      <c r="K153" s="5"/>
      <c r="L153" s="5"/>
      <c r="M153" s="4"/>
      <c r="N153" s="4"/>
      <c r="O153" s="4"/>
      <c r="P153" s="4"/>
      <c r="Q153" s="1839" t="str">
        <f>CHOOSE(2, "6722000003072", "PL (2) PP")</f>
        <v>PL (2) PP</v>
      </c>
      <c r="R153" s="2802"/>
      <c r="S153" s="2225"/>
      <c r="T153" s="2225"/>
      <c r="U153" s="2802"/>
      <c r="V153" s="2225"/>
      <c r="W153" s="2225"/>
      <c r="AB153" s="1"/>
      <c r="AC153" s="1"/>
      <c r="AD153" s="1"/>
      <c r="AE153" s="1"/>
      <c r="AF153" s="1"/>
      <c r="AG153" s="1"/>
      <c r="AH153" s="1"/>
      <c r="AI153" s="1"/>
      <c r="AJ153" s="1"/>
      <c r="AL153" s="1"/>
      <c r="AM153" s="1"/>
      <c r="AN153" s="1"/>
      <c r="AO153" s="1"/>
      <c r="AP153" s="1"/>
      <c r="AQ153" s="1"/>
      <c r="AR153" s="1"/>
      <c r="AT153" s="1"/>
      <c r="AU153" s="1"/>
      <c r="AV153" s="1"/>
      <c r="AW153" s="1"/>
      <c r="AX153" s="1"/>
      <c r="AY153" s="1"/>
      <c r="AZ153" s="1"/>
      <c r="BB153" s="1"/>
      <c r="BC153" s="1"/>
      <c r="BD153" s="1"/>
      <c r="BE153" s="1"/>
      <c r="BF153" s="1"/>
      <c r="BG153" s="1"/>
      <c r="BH153" s="1"/>
    </row>
    <row r="154" spans="1:60" ht="14.5">
      <c r="A154" s="990">
        <f t="shared" ref="A154:A217" si="325">A153+1</f>
        <v>127</v>
      </c>
      <c r="B154" s="990">
        <v>1</v>
      </c>
      <c r="C154" s="990">
        <f t="shared" si="291"/>
        <v>151</v>
      </c>
      <c r="D154" s="1121" t="s">
        <v>887</v>
      </c>
      <c r="E154" s="1243">
        <v>1</v>
      </c>
      <c r="F154" s="5"/>
      <c r="G154" s="5"/>
      <c r="H154" s="5"/>
      <c r="I154" s="132" t="s">
        <v>9</v>
      </c>
      <c r="J154" s="131"/>
      <c r="K154" s="130"/>
      <c r="L154" s="130"/>
      <c r="M154" s="130"/>
      <c r="N154" s="130"/>
      <c r="O154" s="606" t="s">
        <v>530</v>
      </c>
      <c r="P154" s="1172"/>
      <c r="Q154" s="1858" t="str">
        <f>CHOOSE(2, "6722000003073", "PL (2) Net Sales")</f>
        <v>PL (2) Net Sales</v>
      </c>
      <c r="R154" s="1990">
        <f>SUM(R155:R158)</f>
        <v>469389</v>
      </c>
      <c r="S154" s="2019">
        <f t="shared" ref="S154:AC154" si="326">SUM(S155:S158)</f>
        <v>465913</v>
      </c>
      <c r="T154" s="2019">
        <f t="shared" si="326"/>
        <v>468237</v>
      </c>
      <c r="U154" s="2019">
        <f t="shared" si="326"/>
        <v>490672</v>
      </c>
      <c r="V154" s="2019">
        <f t="shared" si="326"/>
        <v>544123.20207</v>
      </c>
      <c r="W154" s="2019">
        <f t="shared" si="326"/>
        <v>420374</v>
      </c>
      <c r="X154" s="2019">
        <f t="shared" si="326"/>
        <v>631088</v>
      </c>
      <c r="Y154" s="2019">
        <f t="shared" si="326"/>
        <v>524580</v>
      </c>
      <c r="Z154" s="2019">
        <f t="shared" si="326"/>
        <v>514753</v>
      </c>
      <c r="AA154" s="2019">
        <f t="shared" si="326"/>
        <v>565106</v>
      </c>
      <c r="AB154" s="2019">
        <f t="shared" si="326"/>
        <v>597727</v>
      </c>
      <c r="AC154" s="2019">
        <f t="shared" si="326"/>
        <v>455797</v>
      </c>
      <c r="AD154" s="1526">
        <f t="shared" ref="AD154:AD163" si="327">SUM(R154,S154,T154)</f>
        <v>1403539</v>
      </c>
      <c r="AE154" s="129">
        <f t="shared" ref="AE154:AE163" si="328">SUM(U154,V154,W154)</f>
        <v>1455169.2020700001</v>
      </c>
      <c r="AF154" s="129">
        <f t="shared" ref="AF154:AF163" si="329">SUM(X154,Y154,Z154)</f>
        <v>1670421</v>
      </c>
      <c r="AG154" s="129">
        <f t="shared" ref="AG154:AG163" si="330">SUM(AA154,AB154,AC154)</f>
        <v>1618630</v>
      </c>
      <c r="AH154" s="129">
        <f t="shared" ref="AH154:AJ154" si="331">SUM(AH155:AH158)</f>
        <v>2858708.2020700001</v>
      </c>
      <c r="AI154" s="129">
        <f t="shared" si="331"/>
        <v>3289051</v>
      </c>
      <c r="AJ154" s="129">
        <f t="shared" si="331"/>
        <v>6147759.2020700006</v>
      </c>
      <c r="AL154" s="2121">
        <f ca="1">SUM((INDIRECT(AL$2&amp;(ROW())):INDIRECT(AL$3&amp;(ROW()))))</f>
        <v>455797</v>
      </c>
      <c r="AM154" s="129">
        <f ca="1">SUM(INDIRECT(AM$1&amp;AM$2&amp;$C154):INDIRECT(AM$1&amp;AM$3&amp;$C154))</f>
        <v>0</v>
      </c>
      <c r="AN154" s="2519">
        <f t="shared" ref="AN154:AN185" ca="1" si="332">AL154-AM154</f>
        <v>455797</v>
      </c>
      <c r="AO154" s="1714">
        <f t="shared" ref="AO154:AO176" ca="1" si="333">IFERROR(AL154/AM154,0)</f>
        <v>0</v>
      </c>
      <c r="AP154" s="129">
        <f ca="1">SUM(INDIRECT(AP$1&amp;AP$2&amp;$A154):INDIRECT(AP$1&amp;AP$3&amp;$A154))+SUM(INDIRECT(AP$1&amp;AP$2&amp;$B154):INDIRECT(AP$1&amp;AP$3&amp;$B154))</f>
        <v>510228</v>
      </c>
      <c r="AQ154" s="2519">
        <f t="shared" ref="AQ154:AQ201" ca="1" si="334">AL154-AP154</f>
        <v>-54431</v>
      </c>
      <c r="AR154" s="1714">
        <f t="shared" ref="AR154:AR176" ca="1" si="335">IFERROR(AL154/AP154,0)</f>
        <v>0.89332024114709507</v>
      </c>
      <c r="AT154" s="2121">
        <f ca="1">SUM((INDIRECT(AT$2&amp;(ROW())):INDIRECT(AT$3&amp;(ROW()))))</f>
        <v>1618630</v>
      </c>
      <c r="AU154" s="129">
        <f ca="1">SUM(INDIRECT(AU$1&amp;AU$2&amp;$C154):INDIRECT(AU$1&amp;AU$3&amp;$C154))</f>
        <v>0</v>
      </c>
      <c r="AV154" s="2519">
        <f t="shared" ref="AV154:AV185" ca="1" si="336">AT154-AU154</f>
        <v>1618630</v>
      </c>
      <c r="AW154" s="1714">
        <f t="shared" ref="AW154:AW176" ca="1" si="337">IFERROR(AT154/AU154,0)</f>
        <v>0</v>
      </c>
      <c r="AX154" s="129">
        <f ca="1">SUM(INDIRECT(AX$1&amp;AX$2&amp;$A154):INDIRECT(AX$1&amp;AX$3&amp;$A154))+SUM(INDIRECT(AX$1&amp;AX$2&amp;$B154):INDIRECT(AX$1&amp;AX$3&amp;$B154))</f>
        <v>1263363</v>
      </c>
      <c r="AY154" s="2519">
        <f t="shared" ref="AY154:AY201" ca="1" si="338">AT154-AX154</f>
        <v>355267</v>
      </c>
      <c r="AZ154" s="1714">
        <f t="shared" ref="AZ154:AZ176" ca="1" si="339">IFERROR(AT154/AX154,0)</f>
        <v>1.2812073806182387</v>
      </c>
      <c r="BB154" s="2121">
        <f ca="1">SUM((INDIRECT(BB$2&amp;(ROW())):INDIRECT(BB$3&amp;(ROW()))))</f>
        <v>6147759.2020699997</v>
      </c>
      <c r="BC154" s="129">
        <f ca="1">SUM(INDIRECT(BC$1&amp;BC$2&amp;$C154):INDIRECT(BC$1&amp;BC$3&amp;$C154))</f>
        <v>0</v>
      </c>
      <c r="BD154" s="2519">
        <f t="shared" ref="BD154:BD185" ca="1" si="340">BB154-BC154</f>
        <v>6147759.2020699997</v>
      </c>
      <c r="BE154" s="1714">
        <f t="shared" ref="BE154:BE176" ca="1" si="341">IFERROR(BB154/BC154,0)</f>
        <v>0</v>
      </c>
      <c r="BF154" s="129">
        <f ca="1">SUM(INDIRECT(BF$1&amp;BF$2&amp;$A154):INDIRECT(BF$1&amp;BF$3&amp;$A154))+SUM(INDIRECT(BF$1&amp;BF$2&amp;$B154):INDIRECT(BF$1&amp;BF$3&amp;$B154))</f>
        <v>4565670</v>
      </c>
      <c r="BG154" s="2519">
        <f t="shared" ref="BG154:BG201" ca="1" si="342">BB154-BF154</f>
        <v>1582089.2020699997</v>
      </c>
      <c r="BH154" s="1714">
        <f t="shared" ref="BH154:BH176" ca="1" si="343">IFERROR(BB154/BF154,0)</f>
        <v>1.3465185179984536</v>
      </c>
    </row>
    <row r="155" spans="1:60" ht="14.5">
      <c r="A155" s="990">
        <f t="shared" si="325"/>
        <v>128</v>
      </c>
      <c r="B155" s="990">
        <v>1</v>
      </c>
      <c r="C155" s="990">
        <f t="shared" si="291"/>
        <v>152</v>
      </c>
      <c r="D155" s="1121" t="s">
        <v>887</v>
      </c>
      <c r="E155" s="1243">
        <v>1</v>
      </c>
      <c r="F155" s="5"/>
      <c r="G155" s="5"/>
      <c r="H155" s="5"/>
      <c r="I155" s="30"/>
      <c r="J155" s="4"/>
      <c r="K155" s="5"/>
      <c r="L155" s="5"/>
      <c r="M155" s="4" t="s">
        <v>137</v>
      </c>
      <c r="N155" s="4"/>
      <c r="O155" s="4"/>
      <c r="P155" s="4"/>
      <c r="Q155" s="1859" t="str">
        <f>CHOOSE(2, "6722000003074", "PL (2) Net Sales HW")</f>
        <v>PL (2) Net Sales HW</v>
      </c>
      <c r="R155" s="1927">
        <f t="shared" ref="R155:AC155" si="344">R554+R569</f>
        <v>124454</v>
      </c>
      <c r="S155" s="29">
        <f t="shared" si="344"/>
        <v>116887</v>
      </c>
      <c r="T155" s="29">
        <f t="shared" si="344"/>
        <v>107627</v>
      </c>
      <c r="U155" s="29">
        <f t="shared" si="344"/>
        <v>146609</v>
      </c>
      <c r="V155" s="29">
        <f t="shared" si="344"/>
        <v>168081.10800000001</v>
      </c>
      <c r="W155" s="29">
        <f t="shared" si="344"/>
        <v>125768</v>
      </c>
      <c r="X155" s="29">
        <f t="shared" si="344"/>
        <v>185035</v>
      </c>
      <c r="Y155" s="29">
        <f t="shared" si="344"/>
        <v>150968</v>
      </c>
      <c r="Z155" s="29">
        <f t="shared" si="344"/>
        <v>126989</v>
      </c>
      <c r="AA155" s="29">
        <f t="shared" si="344"/>
        <v>166014</v>
      </c>
      <c r="AB155" s="29">
        <f t="shared" si="344"/>
        <v>165952</v>
      </c>
      <c r="AC155" s="29">
        <f t="shared" si="344"/>
        <v>111879</v>
      </c>
      <c r="AD155" s="89">
        <f t="shared" si="327"/>
        <v>348968</v>
      </c>
      <c r="AE155" s="89">
        <f t="shared" si="328"/>
        <v>440458.10800000001</v>
      </c>
      <c r="AF155" s="89">
        <f t="shared" si="329"/>
        <v>462992</v>
      </c>
      <c r="AG155" s="89">
        <f t="shared" si="330"/>
        <v>443845</v>
      </c>
      <c r="AH155" s="89">
        <f>AD155+AE155</f>
        <v>789426.10800000001</v>
      </c>
      <c r="AI155" s="89">
        <f>AG155+AF155</f>
        <v>906837</v>
      </c>
      <c r="AJ155" s="89">
        <f>AH155+AI155</f>
        <v>1696263.108</v>
      </c>
      <c r="AL155" s="13">
        <f ca="1">SUM((INDIRECT(AL$2&amp;(ROW())):INDIRECT(AL$3&amp;(ROW()))))</f>
        <v>111879</v>
      </c>
      <c r="AM155" s="89">
        <f ca="1">SUM(INDIRECT(AM$1&amp;AM$2&amp;$C155):INDIRECT(AM$1&amp;AM$3&amp;$C155))</f>
        <v>0</v>
      </c>
      <c r="AN155" s="880">
        <f t="shared" ca="1" si="332"/>
        <v>111879</v>
      </c>
      <c r="AO155" s="931">
        <f t="shared" ca="1" si="333"/>
        <v>0</v>
      </c>
      <c r="AP155" s="89">
        <f ca="1">SUM(INDIRECT(AP$1&amp;AP$2&amp;$A155):INDIRECT(AP$1&amp;AP$3&amp;$A155))+SUM(INDIRECT(AP$1&amp;AP$2&amp;$B155):INDIRECT(AP$1&amp;AP$3&amp;$B155))</f>
        <v>102305</v>
      </c>
      <c r="AQ155" s="880">
        <f t="shared" ca="1" si="334"/>
        <v>9574</v>
      </c>
      <c r="AR155" s="931">
        <f t="shared" ca="1" si="335"/>
        <v>1.0935829138360784</v>
      </c>
      <c r="AT155" s="13">
        <f ca="1">SUM((INDIRECT(AT$2&amp;(ROW())):INDIRECT(AT$3&amp;(ROW()))))</f>
        <v>443845</v>
      </c>
      <c r="AU155" s="89">
        <f ca="1">SUM(INDIRECT(AU$1&amp;AU$2&amp;$C155):INDIRECT(AU$1&amp;AU$3&amp;$C155))</f>
        <v>0</v>
      </c>
      <c r="AV155" s="880">
        <f t="shared" ca="1" si="336"/>
        <v>443845</v>
      </c>
      <c r="AW155" s="931">
        <f t="shared" ca="1" si="337"/>
        <v>0</v>
      </c>
      <c r="AX155" s="89">
        <f ca="1">SUM(INDIRECT(AX$1&amp;AX$2&amp;$A155):INDIRECT(AX$1&amp;AX$3&amp;$A155))+SUM(INDIRECT(AX$1&amp;AX$2&amp;$B155):INDIRECT(AX$1&amp;AX$3&amp;$B155))</f>
        <v>239970</v>
      </c>
      <c r="AY155" s="880">
        <f t="shared" ca="1" si="338"/>
        <v>203875</v>
      </c>
      <c r="AZ155" s="931">
        <f t="shared" ca="1" si="339"/>
        <v>1.8495853648372713</v>
      </c>
      <c r="BB155" s="13">
        <f ca="1">SUM((INDIRECT(BB$2&amp;(ROW())):INDIRECT(BB$3&amp;(ROW()))))</f>
        <v>1696263.108</v>
      </c>
      <c r="BC155" s="89">
        <f ca="1">SUM(INDIRECT(BC$1&amp;BC$2&amp;$C155):INDIRECT(BC$1&amp;BC$3&amp;$C155))</f>
        <v>0</v>
      </c>
      <c r="BD155" s="880">
        <f t="shared" ca="1" si="340"/>
        <v>1696263.108</v>
      </c>
      <c r="BE155" s="931">
        <f t="shared" ca="1" si="341"/>
        <v>0</v>
      </c>
      <c r="BF155" s="89">
        <f ca="1">SUM(INDIRECT(BF$1&amp;BF$2&amp;$A155):INDIRECT(BF$1&amp;BF$3&amp;$A155))+SUM(INDIRECT(BF$1&amp;BF$2&amp;$B155):INDIRECT(BF$1&amp;BF$3&amp;$B155))</f>
        <v>1084386</v>
      </c>
      <c r="BG155" s="880">
        <f t="shared" ca="1" si="342"/>
        <v>611877.10800000001</v>
      </c>
      <c r="BH155" s="931">
        <f t="shared" ca="1" si="343"/>
        <v>1.5642613497407749</v>
      </c>
    </row>
    <row r="156" spans="1:60" ht="14.5">
      <c r="A156" s="990">
        <f t="shared" si="325"/>
        <v>129</v>
      </c>
      <c r="B156" s="990">
        <v>1</v>
      </c>
      <c r="C156" s="990">
        <f t="shared" si="291"/>
        <v>153</v>
      </c>
      <c r="D156" s="1121" t="s">
        <v>887</v>
      </c>
      <c r="E156" s="1243">
        <v>1</v>
      </c>
      <c r="F156" s="5"/>
      <c r="G156" s="5"/>
      <c r="H156" s="5"/>
      <c r="I156" s="30"/>
      <c r="J156" s="4"/>
      <c r="K156" s="5"/>
      <c r="L156" s="5"/>
      <c r="M156" s="4" t="s">
        <v>95</v>
      </c>
      <c r="N156" s="4"/>
      <c r="O156" s="4"/>
      <c r="P156" s="4"/>
      <c r="Q156" s="1859" t="str">
        <f>CHOOSE(2, "6722000003075", "PL (2) Net Sales NH")</f>
        <v>PL (2) Net Sales NH</v>
      </c>
      <c r="R156" s="1927">
        <f t="shared" ref="R156:AC156" si="345">R557+R572</f>
        <v>344935</v>
      </c>
      <c r="S156" s="29">
        <f t="shared" si="345"/>
        <v>349026</v>
      </c>
      <c r="T156" s="29">
        <f t="shared" si="345"/>
        <v>360610</v>
      </c>
      <c r="U156" s="29">
        <f t="shared" si="345"/>
        <v>344063</v>
      </c>
      <c r="V156" s="29">
        <f t="shared" si="345"/>
        <v>376042.09406999999</v>
      </c>
      <c r="W156" s="29">
        <f t="shared" si="345"/>
        <v>294606</v>
      </c>
      <c r="X156" s="29">
        <f t="shared" si="345"/>
        <v>446053</v>
      </c>
      <c r="Y156" s="29">
        <f t="shared" si="345"/>
        <v>373612</v>
      </c>
      <c r="Z156" s="29">
        <f t="shared" si="345"/>
        <v>387764</v>
      </c>
      <c r="AA156" s="29">
        <f t="shared" si="345"/>
        <v>399092</v>
      </c>
      <c r="AB156" s="29">
        <f t="shared" si="345"/>
        <v>431775</v>
      </c>
      <c r="AC156" s="29">
        <f t="shared" si="345"/>
        <v>343918</v>
      </c>
      <c r="AD156" s="89">
        <f t="shared" si="327"/>
        <v>1054571</v>
      </c>
      <c r="AE156" s="89">
        <f t="shared" si="328"/>
        <v>1014711.09407</v>
      </c>
      <c r="AF156" s="89">
        <f t="shared" si="329"/>
        <v>1207429</v>
      </c>
      <c r="AG156" s="89">
        <f t="shared" si="330"/>
        <v>1174785</v>
      </c>
      <c r="AH156" s="89">
        <f>AD156+AE156</f>
        <v>2069282.0940700001</v>
      </c>
      <c r="AI156" s="89">
        <f>AG156+AF156</f>
        <v>2382214</v>
      </c>
      <c r="AJ156" s="89">
        <f>AH156+AI156</f>
        <v>4451496.0940700006</v>
      </c>
      <c r="AL156" s="13">
        <f ca="1">SUM((INDIRECT(AL$2&amp;(ROW())):INDIRECT(AL$3&amp;(ROW()))))</f>
        <v>343918</v>
      </c>
      <c r="AM156" s="89">
        <f ca="1">SUM(INDIRECT(AM$1&amp;AM$2&amp;$C156):INDIRECT(AM$1&amp;AM$3&amp;$C156))</f>
        <v>0</v>
      </c>
      <c r="AN156" s="880">
        <f t="shared" ca="1" si="332"/>
        <v>343918</v>
      </c>
      <c r="AO156" s="931">
        <f t="shared" ca="1" si="333"/>
        <v>0</v>
      </c>
      <c r="AP156" s="89">
        <f ca="1">SUM(INDIRECT(AP$1&amp;AP$2&amp;$A156):INDIRECT(AP$1&amp;AP$3&amp;$A156))+SUM(INDIRECT(AP$1&amp;AP$2&amp;$B156):INDIRECT(AP$1&amp;AP$3&amp;$B156))</f>
        <v>407923</v>
      </c>
      <c r="AQ156" s="880">
        <f t="shared" ca="1" si="334"/>
        <v>-64005</v>
      </c>
      <c r="AR156" s="931">
        <f t="shared" ca="1" si="335"/>
        <v>0.84309538810020523</v>
      </c>
      <c r="AT156" s="13">
        <f ca="1">SUM((INDIRECT(AT$2&amp;(ROW())):INDIRECT(AT$3&amp;(ROW()))))</f>
        <v>1174785</v>
      </c>
      <c r="AU156" s="89">
        <f ca="1">SUM(INDIRECT(AU$1&amp;AU$2&amp;$C156):INDIRECT(AU$1&amp;AU$3&amp;$C156))</f>
        <v>0</v>
      </c>
      <c r="AV156" s="880">
        <f t="shared" ca="1" si="336"/>
        <v>1174785</v>
      </c>
      <c r="AW156" s="931">
        <f t="shared" ca="1" si="337"/>
        <v>0</v>
      </c>
      <c r="AX156" s="89">
        <f ca="1">SUM(INDIRECT(AX$1&amp;AX$2&amp;$A156):INDIRECT(AX$1&amp;AX$3&amp;$A156))+SUM(INDIRECT(AX$1&amp;AX$2&amp;$B156):INDIRECT(AX$1&amp;AX$3&amp;$B156))</f>
        <v>1023393</v>
      </c>
      <c r="AY156" s="880">
        <f t="shared" ca="1" si="338"/>
        <v>151392</v>
      </c>
      <c r="AZ156" s="931">
        <f t="shared" ca="1" si="339"/>
        <v>1.1479314398281013</v>
      </c>
      <c r="BB156" s="13">
        <f ca="1">SUM((INDIRECT(BB$2&amp;(ROW())):INDIRECT(BB$3&amp;(ROW()))))</f>
        <v>4451496.0940700006</v>
      </c>
      <c r="BC156" s="89">
        <f ca="1">SUM(INDIRECT(BC$1&amp;BC$2&amp;$C156):INDIRECT(BC$1&amp;BC$3&amp;$C156))</f>
        <v>0</v>
      </c>
      <c r="BD156" s="880">
        <f t="shared" ca="1" si="340"/>
        <v>4451496.0940700006</v>
      </c>
      <c r="BE156" s="931">
        <f t="shared" ca="1" si="341"/>
        <v>0</v>
      </c>
      <c r="BF156" s="89">
        <f ca="1">SUM(INDIRECT(BF$1&amp;BF$2&amp;$A156):INDIRECT(BF$1&amp;BF$3&amp;$A156))+SUM(INDIRECT(BF$1&amp;BF$2&amp;$B156):INDIRECT(BF$1&amp;BF$3&amp;$B156))</f>
        <v>3481284</v>
      </c>
      <c r="BG156" s="880">
        <f t="shared" ca="1" si="342"/>
        <v>970212.09407000057</v>
      </c>
      <c r="BH156" s="931">
        <f t="shared" ca="1" si="343"/>
        <v>1.2786937503719893</v>
      </c>
    </row>
    <row r="157" spans="1:60" ht="14.5">
      <c r="A157" s="990">
        <f t="shared" si="325"/>
        <v>130</v>
      </c>
      <c r="B157" s="990">
        <v>1</v>
      </c>
      <c r="C157" s="990">
        <f t="shared" si="291"/>
        <v>154</v>
      </c>
      <c r="D157" s="1121" t="s">
        <v>887</v>
      </c>
      <c r="E157" s="1243">
        <v>1</v>
      </c>
      <c r="F157" s="5"/>
      <c r="G157" s="5"/>
      <c r="H157" s="5"/>
      <c r="I157" s="30"/>
      <c r="J157" s="4"/>
      <c r="K157" s="5"/>
      <c r="L157" s="5"/>
      <c r="M157" s="4" t="s">
        <v>85</v>
      </c>
      <c r="N157" s="4"/>
      <c r="O157" s="4"/>
      <c r="P157" s="4"/>
      <c r="Q157" s="1859" t="str">
        <f>CHOOSE(2, "6722000003076", "PL (2) Net Sales Solution")</f>
        <v>PL (2) Net Sales Solution</v>
      </c>
      <c r="R157" s="1927">
        <f t="shared" ref="R157:AC157" si="346">R562+R577</f>
        <v>0</v>
      </c>
      <c r="S157" s="29">
        <f t="shared" si="346"/>
        <v>0</v>
      </c>
      <c r="T157" s="29">
        <f t="shared" si="346"/>
        <v>0</v>
      </c>
      <c r="U157" s="29">
        <f t="shared" si="346"/>
        <v>0</v>
      </c>
      <c r="V157" s="29">
        <f t="shared" si="346"/>
        <v>0</v>
      </c>
      <c r="W157" s="29">
        <f t="shared" si="346"/>
        <v>0</v>
      </c>
      <c r="X157" s="29">
        <f t="shared" si="346"/>
        <v>0</v>
      </c>
      <c r="Y157" s="29">
        <f t="shared" si="346"/>
        <v>0</v>
      </c>
      <c r="Z157" s="29">
        <f t="shared" si="346"/>
        <v>0</v>
      </c>
      <c r="AA157" s="29">
        <f t="shared" si="346"/>
        <v>0</v>
      </c>
      <c r="AB157" s="29">
        <f t="shared" si="346"/>
        <v>0</v>
      </c>
      <c r="AC157" s="29">
        <f t="shared" si="346"/>
        <v>0</v>
      </c>
      <c r="AD157" s="89">
        <f t="shared" si="327"/>
        <v>0</v>
      </c>
      <c r="AE157" s="89">
        <f t="shared" si="328"/>
        <v>0</v>
      </c>
      <c r="AF157" s="89">
        <f t="shared" si="329"/>
        <v>0</v>
      </c>
      <c r="AG157" s="89">
        <f t="shared" si="330"/>
        <v>0</v>
      </c>
      <c r="AH157" s="89">
        <f>AD157+AE157</f>
        <v>0</v>
      </c>
      <c r="AI157" s="89">
        <f>AG157+AF157</f>
        <v>0</v>
      </c>
      <c r="AJ157" s="89">
        <f>AH157+AI157</f>
        <v>0</v>
      </c>
      <c r="AL157" s="13">
        <f ca="1">SUM((INDIRECT(AL$2&amp;(ROW())):INDIRECT(AL$3&amp;(ROW()))))</f>
        <v>0</v>
      </c>
      <c r="AM157" s="89">
        <f ca="1">SUM(INDIRECT(AM$1&amp;AM$2&amp;$C157):INDIRECT(AM$1&amp;AM$3&amp;$C157))</f>
        <v>0</v>
      </c>
      <c r="AN157" s="880">
        <f t="shared" ca="1" si="332"/>
        <v>0</v>
      </c>
      <c r="AO157" s="931">
        <f t="shared" ca="1" si="333"/>
        <v>0</v>
      </c>
      <c r="AP157" s="89">
        <f ca="1">SUM(INDIRECT(AP$1&amp;AP$2&amp;$A157):INDIRECT(AP$1&amp;AP$3&amp;$A157))+SUM(INDIRECT(AP$1&amp;AP$2&amp;$B157):INDIRECT(AP$1&amp;AP$3&amp;$B157))</f>
        <v>0</v>
      </c>
      <c r="AQ157" s="880">
        <f t="shared" ca="1" si="334"/>
        <v>0</v>
      </c>
      <c r="AR157" s="931">
        <f t="shared" ca="1" si="335"/>
        <v>0</v>
      </c>
      <c r="AT157" s="13">
        <f ca="1">SUM((INDIRECT(AT$2&amp;(ROW())):INDIRECT(AT$3&amp;(ROW()))))</f>
        <v>0</v>
      </c>
      <c r="AU157" s="89">
        <f ca="1">SUM(INDIRECT(AU$1&amp;AU$2&amp;$C157):INDIRECT(AU$1&amp;AU$3&amp;$C157))</f>
        <v>0</v>
      </c>
      <c r="AV157" s="880">
        <f t="shared" ca="1" si="336"/>
        <v>0</v>
      </c>
      <c r="AW157" s="931">
        <f t="shared" ca="1" si="337"/>
        <v>0</v>
      </c>
      <c r="AX157" s="89">
        <f ca="1">SUM(INDIRECT(AX$1&amp;AX$2&amp;$A157):INDIRECT(AX$1&amp;AX$3&amp;$A157))+SUM(INDIRECT(AX$1&amp;AX$2&amp;$B157):INDIRECT(AX$1&amp;AX$3&amp;$B157))</f>
        <v>0</v>
      </c>
      <c r="AY157" s="880">
        <f t="shared" ca="1" si="338"/>
        <v>0</v>
      </c>
      <c r="AZ157" s="931">
        <f t="shared" ca="1" si="339"/>
        <v>0</v>
      </c>
      <c r="BB157" s="13">
        <f ca="1">SUM((INDIRECT(BB$2&amp;(ROW())):INDIRECT(BB$3&amp;(ROW()))))</f>
        <v>0</v>
      </c>
      <c r="BC157" s="89">
        <f ca="1">SUM(INDIRECT(BC$1&amp;BC$2&amp;$C157):INDIRECT(BC$1&amp;BC$3&amp;$C157))</f>
        <v>0</v>
      </c>
      <c r="BD157" s="880">
        <f t="shared" ca="1" si="340"/>
        <v>0</v>
      </c>
      <c r="BE157" s="931">
        <f t="shared" ca="1" si="341"/>
        <v>0</v>
      </c>
      <c r="BF157" s="89">
        <f ca="1">SUM(INDIRECT(BF$1&amp;BF$2&amp;$A157):INDIRECT(BF$1&amp;BF$3&amp;$A157))+SUM(INDIRECT(BF$1&amp;BF$2&amp;$B157):INDIRECT(BF$1&amp;BF$3&amp;$B157))</f>
        <v>0</v>
      </c>
      <c r="BG157" s="880">
        <f t="shared" ca="1" si="342"/>
        <v>0</v>
      </c>
      <c r="BH157" s="931">
        <f t="shared" ca="1" si="343"/>
        <v>0</v>
      </c>
    </row>
    <row r="158" spans="1:60" ht="14.5">
      <c r="A158" s="990">
        <f t="shared" si="325"/>
        <v>131</v>
      </c>
      <c r="B158" s="990">
        <v>1</v>
      </c>
      <c r="C158" s="990">
        <f t="shared" si="291"/>
        <v>155</v>
      </c>
      <c r="D158" s="1121" t="s">
        <v>887</v>
      </c>
      <c r="E158" s="1243">
        <v>1</v>
      </c>
      <c r="F158" s="5"/>
      <c r="G158" s="5"/>
      <c r="H158" s="5"/>
      <c r="I158" s="30"/>
      <c r="J158" s="4"/>
      <c r="K158" s="5"/>
      <c r="L158" s="5"/>
      <c r="M158" s="4" t="s">
        <v>11</v>
      </c>
      <c r="N158" s="4"/>
      <c r="O158" s="4"/>
      <c r="P158" s="4"/>
      <c r="Q158" s="1859" t="str">
        <f>CHOOSE(2, "6722000003077", "PL (2) Net Sales Others")</f>
        <v>PL (2) Net Sales Others</v>
      </c>
      <c r="R158" s="1927">
        <f t="shared" ref="R158:AC158" si="347">R567+R582</f>
        <v>0</v>
      </c>
      <c r="S158" s="29">
        <f t="shared" si="347"/>
        <v>0</v>
      </c>
      <c r="T158" s="29">
        <f t="shared" si="347"/>
        <v>0</v>
      </c>
      <c r="U158" s="29">
        <f t="shared" si="347"/>
        <v>0</v>
      </c>
      <c r="V158" s="29">
        <f t="shared" si="347"/>
        <v>0</v>
      </c>
      <c r="W158" s="29">
        <f t="shared" si="347"/>
        <v>0</v>
      </c>
      <c r="X158" s="29">
        <f t="shared" si="347"/>
        <v>0</v>
      </c>
      <c r="Y158" s="29">
        <f t="shared" si="347"/>
        <v>0</v>
      </c>
      <c r="Z158" s="29">
        <f t="shared" si="347"/>
        <v>0</v>
      </c>
      <c r="AA158" s="29">
        <f t="shared" si="347"/>
        <v>0</v>
      </c>
      <c r="AB158" s="29">
        <f t="shared" si="347"/>
        <v>0</v>
      </c>
      <c r="AC158" s="29">
        <f t="shared" si="347"/>
        <v>0</v>
      </c>
      <c r="AD158" s="89">
        <f t="shared" si="327"/>
        <v>0</v>
      </c>
      <c r="AE158" s="89">
        <f t="shared" si="328"/>
        <v>0</v>
      </c>
      <c r="AF158" s="89">
        <f t="shared" si="329"/>
        <v>0</v>
      </c>
      <c r="AG158" s="89">
        <f t="shared" si="330"/>
        <v>0</v>
      </c>
      <c r="AH158" s="89">
        <f>AD158+AE158</f>
        <v>0</v>
      </c>
      <c r="AI158" s="89">
        <f>AG158+AF158</f>
        <v>0</v>
      </c>
      <c r="AJ158" s="89">
        <f>AH158+AI158</f>
        <v>0</v>
      </c>
      <c r="AL158" s="13">
        <f ca="1">SUM((INDIRECT(AL$2&amp;(ROW())):INDIRECT(AL$3&amp;(ROW()))))</f>
        <v>0</v>
      </c>
      <c r="AM158" s="89">
        <f ca="1">SUM(INDIRECT(AM$1&amp;AM$2&amp;$C158):INDIRECT(AM$1&amp;AM$3&amp;$C158))</f>
        <v>0</v>
      </c>
      <c r="AN158" s="880">
        <f t="shared" ca="1" si="332"/>
        <v>0</v>
      </c>
      <c r="AO158" s="931">
        <f t="shared" ca="1" si="333"/>
        <v>0</v>
      </c>
      <c r="AP158" s="89">
        <f ca="1">SUM(INDIRECT(AP$1&amp;AP$2&amp;$A158):INDIRECT(AP$1&amp;AP$3&amp;$A158))+SUM(INDIRECT(AP$1&amp;AP$2&amp;$B158):INDIRECT(AP$1&amp;AP$3&amp;$B158))</f>
        <v>0</v>
      </c>
      <c r="AQ158" s="880">
        <f t="shared" ca="1" si="334"/>
        <v>0</v>
      </c>
      <c r="AR158" s="931">
        <f t="shared" ca="1" si="335"/>
        <v>0</v>
      </c>
      <c r="AT158" s="13">
        <f ca="1">SUM((INDIRECT(AT$2&amp;(ROW())):INDIRECT(AT$3&amp;(ROW()))))</f>
        <v>0</v>
      </c>
      <c r="AU158" s="89">
        <f ca="1">SUM(INDIRECT(AU$1&amp;AU$2&amp;$C158):INDIRECT(AU$1&amp;AU$3&amp;$C158))</f>
        <v>0</v>
      </c>
      <c r="AV158" s="880">
        <f t="shared" ca="1" si="336"/>
        <v>0</v>
      </c>
      <c r="AW158" s="931">
        <f t="shared" ca="1" si="337"/>
        <v>0</v>
      </c>
      <c r="AX158" s="89">
        <f ca="1">SUM(INDIRECT(AX$1&amp;AX$2&amp;$A158):INDIRECT(AX$1&amp;AX$3&amp;$A158))+SUM(INDIRECT(AX$1&amp;AX$2&amp;$B158):INDIRECT(AX$1&amp;AX$3&amp;$B158))</f>
        <v>0</v>
      </c>
      <c r="AY158" s="880">
        <f t="shared" ca="1" si="338"/>
        <v>0</v>
      </c>
      <c r="AZ158" s="931">
        <f t="shared" ca="1" si="339"/>
        <v>0</v>
      </c>
      <c r="BB158" s="13">
        <f ca="1">SUM((INDIRECT(BB$2&amp;(ROW())):INDIRECT(BB$3&amp;(ROW()))))</f>
        <v>0</v>
      </c>
      <c r="BC158" s="89">
        <f ca="1">SUM(INDIRECT(BC$1&amp;BC$2&amp;$C158):INDIRECT(BC$1&amp;BC$3&amp;$C158))</f>
        <v>0</v>
      </c>
      <c r="BD158" s="880">
        <f t="shared" ca="1" si="340"/>
        <v>0</v>
      </c>
      <c r="BE158" s="931">
        <f t="shared" ca="1" si="341"/>
        <v>0</v>
      </c>
      <c r="BF158" s="89">
        <f ca="1">SUM(INDIRECT(BF$1&amp;BF$2&amp;$A158):INDIRECT(BF$1&amp;BF$3&amp;$A158))+SUM(INDIRECT(BF$1&amp;BF$2&amp;$B158):INDIRECT(BF$1&amp;BF$3&amp;$B158))</f>
        <v>0</v>
      </c>
      <c r="BG158" s="880">
        <f t="shared" ca="1" si="342"/>
        <v>0</v>
      </c>
      <c r="BH158" s="931">
        <f t="shared" ca="1" si="343"/>
        <v>0</v>
      </c>
    </row>
    <row r="159" spans="1:60" ht="14.5">
      <c r="A159" s="990">
        <f t="shared" si="325"/>
        <v>132</v>
      </c>
      <c r="B159" s="990">
        <v>1</v>
      </c>
      <c r="C159" s="990">
        <f t="shared" si="291"/>
        <v>156</v>
      </c>
      <c r="D159" s="1121" t="s">
        <v>887</v>
      </c>
      <c r="E159" s="1243">
        <v>1</v>
      </c>
      <c r="F159" s="5"/>
      <c r="G159" s="5"/>
      <c r="H159" s="5"/>
      <c r="I159" s="132" t="s">
        <v>128</v>
      </c>
      <c r="J159" s="131"/>
      <c r="K159" s="130"/>
      <c r="L159" s="130"/>
      <c r="M159" s="130"/>
      <c r="N159" s="130"/>
      <c r="O159" s="606" t="s">
        <v>532</v>
      </c>
      <c r="P159" s="1172"/>
      <c r="Q159" s="1858" t="str">
        <f>CHOOSE(2, "6722000003078", "PL (2) BT Cons. Sales")</f>
        <v>PL (2) BT Cons. Sales</v>
      </c>
      <c r="R159" s="1990">
        <f>SUM(R160:R163)</f>
        <v>468311</v>
      </c>
      <c r="S159" s="2019">
        <f t="shared" ref="S159:AC159" si="348">SUM(S160:S163)</f>
        <v>465913</v>
      </c>
      <c r="T159" s="2019">
        <f t="shared" si="348"/>
        <v>468237</v>
      </c>
      <c r="U159" s="2019">
        <f t="shared" si="348"/>
        <v>487503</v>
      </c>
      <c r="V159" s="2019">
        <f t="shared" si="348"/>
        <v>544123.20207</v>
      </c>
      <c r="W159" s="2019">
        <f t="shared" si="348"/>
        <v>420374</v>
      </c>
      <c r="X159" s="2019">
        <f t="shared" si="348"/>
        <v>631088</v>
      </c>
      <c r="Y159" s="2019">
        <f>SUM(Y160:Y163)</f>
        <v>524580</v>
      </c>
      <c r="Z159" s="2019">
        <f t="shared" si="348"/>
        <v>514753</v>
      </c>
      <c r="AA159" s="2019">
        <f t="shared" si="348"/>
        <v>565106</v>
      </c>
      <c r="AB159" s="2019">
        <f t="shared" si="348"/>
        <v>597727</v>
      </c>
      <c r="AC159" s="2019">
        <f t="shared" si="348"/>
        <v>455797</v>
      </c>
      <c r="AD159" s="1526">
        <f t="shared" si="327"/>
        <v>1402461</v>
      </c>
      <c r="AE159" s="129">
        <f t="shared" si="328"/>
        <v>1452000.2020700001</v>
      </c>
      <c r="AF159" s="129">
        <f t="shared" si="329"/>
        <v>1670421</v>
      </c>
      <c r="AG159" s="129">
        <f t="shared" si="330"/>
        <v>1618630</v>
      </c>
      <c r="AH159" s="129">
        <f t="shared" ref="AH159:AJ159" si="349">SUM(AH160:AH163)</f>
        <v>2854461.2020700001</v>
      </c>
      <c r="AI159" s="129">
        <f t="shared" si="349"/>
        <v>3289051</v>
      </c>
      <c r="AJ159" s="129">
        <f t="shared" si="349"/>
        <v>6143512.2020700006</v>
      </c>
      <c r="AL159" s="2121">
        <f ca="1">SUM((INDIRECT(AL$2&amp;(ROW())):INDIRECT(AL$3&amp;(ROW()))))</f>
        <v>455797</v>
      </c>
      <c r="AM159" s="129">
        <f ca="1">SUM(INDIRECT(AM$1&amp;AM$2&amp;$C159):INDIRECT(AM$1&amp;AM$3&amp;$C159))</f>
        <v>0</v>
      </c>
      <c r="AN159" s="2519">
        <f t="shared" ca="1" si="332"/>
        <v>455797</v>
      </c>
      <c r="AO159" s="1714">
        <f t="shared" ca="1" si="333"/>
        <v>0</v>
      </c>
      <c r="AP159" s="129">
        <f ca="1">SUM(INDIRECT(AP$1&amp;AP$2&amp;$A159):INDIRECT(AP$1&amp;AP$3&amp;$A159))+SUM(INDIRECT(AP$1&amp;AP$2&amp;$B159):INDIRECT(AP$1&amp;AP$3&amp;$B159))</f>
        <v>510228</v>
      </c>
      <c r="AQ159" s="2519">
        <f t="shared" ca="1" si="334"/>
        <v>-54431</v>
      </c>
      <c r="AR159" s="1714">
        <f t="shared" ca="1" si="335"/>
        <v>0.89332024114709507</v>
      </c>
      <c r="AT159" s="2121">
        <f ca="1">SUM((INDIRECT(AT$2&amp;(ROW())):INDIRECT(AT$3&amp;(ROW()))))</f>
        <v>1618630</v>
      </c>
      <c r="AU159" s="129">
        <f ca="1">SUM(INDIRECT(AU$1&amp;AU$2&amp;$C159):INDIRECT(AU$1&amp;AU$3&amp;$C159))</f>
        <v>0</v>
      </c>
      <c r="AV159" s="2519">
        <f t="shared" ca="1" si="336"/>
        <v>1618630</v>
      </c>
      <c r="AW159" s="1714">
        <f t="shared" ca="1" si="337"/>
        <v>0</v>
      </c>
      <c r="AX159" s="129">
        <f ca="1">SUM(INDIRECT(AX$1&amp;AX$2&amp;$A159):INDIRECT(AX$1&amp;AX$3&amp;$A159))+SUM(INDIRECT(AX$1&amp;AX$2&amp;$B159):INDIRECT(AX$1&amp;AX$3&amp;$B159))</f>
        <v>1263363</v>
      </c>
      <c r="AY159" s="2519">
        <f t="shared" ca="1" si="338"/>
        <v>355267</v>
      </c>
      <c r="AZ159" s="1714">
        <f t="shared" ca="1" si="339"/>
        <v>1.2812073806182387</v>
      </c>
      <c r="BB159" s="2121">
        <f ca="1">SUM((INDIRECT(BB$2&amp;(ROW())):INDIRECT(BB$3&amp;(ROW()))))</f>
        <v>6143512.2020699997</v>
      </c>
      <c r="BC159" s="129">
        <f ca="1">SUM(INDIRECT(BC$1&amp;BC$2&amp;$C159):INDIRECT(BC$1&amp;BC$3&amp;$C159))</f>
        <v>0</v>
      </c>
      <c r="BD159" s="2519">
        <f t="shared" ca="1" si="340"/>
        <v>6143512.2020699997</v>
      </c>
      <c r="BE159" s="1714">
        <f t="shared" ca="1" si="341"/>
        <v>0</v>
      </c>
      <c r="BF159" s="129">
        <f ca="1">SUM(INDIRECT(BF$1&amp;BF$2&amp;$A159):INDIRECT(BF$1&amp;BF$3&amp;$A159))+SUM(INDIRECT(BF$1&amp;BF$2&amp;$B159):INDIRECT(BF$1&amp;BF$3&amp;$B159))</f>
        <v>4565670</v>
      </c>
      <c r="BG159" s="2519">
        <f t="shared" ca="1" si="342"/>
        <v>1577842.2020699997</v>
      </c>
      <c r="BH159" s="1714">
        <f t="shared" ca="1" si="343"/>
        <v>1.345588314983343</v>
      </c>
    </row>
    <row r="160" spans="1:60" ht="14.5">
      <c r="A160" s="990">
        <f t="shared" si="325"/>
        <v>133</v>
      </c>
      <c r="B160" s="990">
        <v>1</v>
      </c>
      <c r="C160" s="990">
        <f t="shared" si="291"/>
        <v>157</v>
      </c>
      <c r="D160" s="1121" t="s">
        <v>887</v>
      </c>
      <c r="E160" s="1243">
        <v>1</v>
      </c>
      <c r="F160" s="5"/>
      <c r="G160" s="5"/>
      <c r="H160" s="5"/>
      <c r="I160" s="30"/>
      <c r="J160" s="4"/>
      <c r="K160" s="5"/>
      <c r="L160" s="5"/>
      <c r="M160" s="4" t="s">
        <v>137</v>
      </c>
      <c r="N160" s="4"/>
      <c r="O160" s="4"/>
      <c r="P160" s="4"/>
      <c r="Q160" s="1855" t="str">
        <f>CHOOSE(2, "6722000003079", "PL (2) BT Cons. Sales HW")</f>
        <v>PL (2) BT Cons. Sales HW</v>
      </c>
      <c r="R160" s="2032">
        <v>124454</v>
      </c>
      <c r="S160" s="2039">
        <v>116887</v>
      </c>
      <c r="T160" s="2039">
        <v>107627</v>
      </c>
      <c r="U160" s="2039">
        <f>146609-3169</f>
        <v>143440</v>
      </c>
      <c r="V160" s="2039">
        <v>168081.10800000001</v>
      </c>
      <c r="W160" s="2039">
        <v>125768</v>
      </c>
      <c r="X160" s="2039">
        <v>185035</v>
      </c>
      <c r="Y160" s="2039">
        <v>150968</v>
      </c>
      <c r="Z160" s="2039">
        <v>126989</v>
      </c>
      <c r="AA160" s="2039">
        <v>166014</v>
      </c>
      <c r="AB160" s="2039">
        <v>165952</v>
      </c>
      <c r="AC160" s="2039">
        <v>111879</v>
      </c>
      <c r="AD160" s="89">
        <f t="shared" si="327"/>
        <v>348968</v>
      </c>
      <c r="AE160" s="89">
        <f t="shared" si="328"/>
        <v>437289.10800000001</v>
      </c>
      <c r="AF160" s="89">
        <f t="shared" si="329"/>
        <v>462992</v>
      </c>
      <c r="AG160" s="89">
        <f t="shared" si="330"/>
        <v>443845</v>
      </c>
      <c r="AH160" s="89">
        <f>AD160+AE160</f>
        <v>786257.10800000001</v>
      </c>
      <c r="AI160" s="89">
        <f>AG160+AF160</f>
        <v>906837</v>
      </c>
      <c r="AJ160" s="89">
        <f>AH160+AI160</f>
        <v>1693094.108</v>
      </c>
      <c r="AL160" s="13">
        <f ca="1">SUM((INDIRECT(AL$2&amp;(ROW())):INDIRECT(AL$3&amp;(ROW()))))</f>
        <v>111879</v>
      </c>
      <c r="AM160" s="89">
        <f ca="1">SUM(INDIRECT(AM$1&amp;AM$2&amp;$C160):INDIRECT(AM$1&amp;AM$3&amp;$C160))</f>
        <v>0</v>
      </c>
      <c r="AN160" s="880">
        <f t="shared" ca="1" si="332"/>
        <v>111879</v>
      </c>
      <c r="AO160" s="931">
        <f t="shared" ca="1" si="333"/>
        <v>0</v>
      </c>
      <c r="AP160" s="89">
        <f ca="1">SUM(INDIRECT(AP$1&amp;AP$2&amp;$A160):INDIRECT(AP$1&amp;AP$3&amp;$A160))+SUM(INDIRECT(AP$1&amp;AP$2&amp;$B160):INDIRECT(AP$1&amp;AP$3&amp;$B160))</f>
        <v>102305</v>
      </c>
      <c r="AQ160" s="880">
        <f t="shared" ca="1" si="334"/>
        <v>9574</v>
      </c>
      <c r="AR160" s="931">
        <f t="shared" ca="1" si="335"/>
        <v>1.0935829138360784</v>
      </c>
      <c r="AT160" s="13">
        <f ca="1">SUM((INDIRECT(AT$2&amp;(ROW())):INDIRECT(AT$3&amp;(ROW()))))</f>
        <v>443845</v>
      </c>
      <c r="AU160" s="89">
        <f ca="1">SUM(INDIRECT(AU$1&amp;AU$2&amp;$C160):INDIRECT(AU$1&amp;AU$3&amp;$C160))</f>
        <v>0</v>
      </c>
      <c r="AV160" s="880">
        <f t="shared" ca="1" si="336"/>
        <v>443845</v>
      </c>
      <c r="AW160" s="931">
        <f t="shared" ca="1" si="337"/>
        <v>0</v>
      </c>
      <c r="AX160" s="89">
        <f ca="1">SUM(INDIRECT(AX$1&amp;AX$2&amp;$A160):INDIRECT(AX$1&amp;AX$3&amp;$A160))+SUM(INDIRECT(AX$1&amp;AX$2&amp;$B160):INDIRECT(AX$1&amp;AX$3&amp;$B160))</f>
        <v>239970</v>
      </c>
      <c r="AY160" s="880">
        <f t="shared" ca="1" si="338"/>
        <v>203875</v>
      </c>
      <c r="AZ160" s="931">
        <f t="shared" ca="1" si="339"/>
        <v>1.8495853648372713</v>
      </c>
      <c r="BB160" s="13">
        <f ca="1">SUM((INDIRECT(BB$2&amp;(ROW())):INDIRECT(BB$3&amp;(ROW()))))</f>
        <v>1693094.108</v>
      </c>
      <c r="BC160" s="89">
        <f ca="1">SUM(INDIRECT(BC$1&amp;BC$2&amp;$C160):INDIRECT(BC$1&amp;BC$3&amp;$C160))</f>
        <v>0</v>
      </c>
      <c r="BD160" s="880">
        <f t="shared" ca="1" si="340"/>
        <v>1693094.108</v>
      </c>
      <c r="BE160" s="931">
        <f t="shared" ca="1" si="341"/>
        <v>0</v>
      </c>
      <c r="BF160" s="89">
        <f ca="1">SUM(INDIRECT(BF$1&amp;BF$2&amp;$A160):INDIRECT(BF$1&amp;BF$3&amp;$A160))+SUM(INDIRECT(BF$1&amp;BF$2&amp;$B160):INDIRECT(BF$1&amp;BF$3&amp;$B160))</f>
        <v>1084386</v>
      </c>
      <c r="BG160" s="880">
        <f t="shared" ca="1" si="342"/>
        <v>608708.10800000001</v>
      </c>
      <c r="BH160" s="931">
        <f t="shared" ca="1" si="343"/>
        <v>1.5613389586365003</v>
      </c>
    </row>
    <row r="161" spans="1:60" ht="14.5">
      <c r="A161" s="990">
        <f t="shared" si="325"/>
        <v>134</v>
      </c>
      <c r="B161" s="990">
        <v>1</v>
      </c>
      <c r="C161" s="990">
        <f t="shared" si="291"/>
        <v>158</v>
      </c>
      <c r="D161" s="1121" t="s">
        <v>887</v>
      </c>
      <c r="E161" s="1243">
        <v>1</v>
      </c>
      <c r="F161" s="5"/>
      <c r="G161" s="5"/>
      <c r="H161" s="5"/>
      <c r="I161" s="30"/>
      <c r="J161" s="4"/>
      <c r="K161" s="5"/>
      <c r="L161" s="5"/>
      <c r="M161" s="4" t="s">
        <v>95</v>
      </c>
      <c r="N161" s="4"/>
      <c r="O161" s="4"/>
      <c r="P161" s="4"/>
      <c r="Q161" s="1855" t="str">
        <f>CHOOSE(2, "6722000003080", "PL (2) BT Cons. Sales NH")</f>
        <v>PL (2) BT Cons. Sales NH</v>
      </c>
      <c r="R161" s="2032">
        <f>344935-1078</f>
        <v>343857</v>
      </c>
      <c r="S161" s="2039">
        <v>349026</v>
      </c>
      <c r="T161" s="2039">
        <v>360610</v>
      </c>
      <c r="U161" s="2039">
        <v>344063</v>
      </c>
      <c r="V161" s="2039">
        <v>376042.09406999999</v>
      </c>
      <c r="W161" s="2039">
        <v>294606</v>
      </c>
      <c r="X161" s="2039">
        <v>446053</v>
      </c>
      <c r="Y161" s="2039">
        <v>373612</v>
      </c>
      <c r="Z161" s="2039">
        <v>387764</v>
      </c>
      <c r="AA161" s="2039">
        <v>399092</v>
      </c>
      <c r="AB161" s="2039">
        <v>431775</v>
      </c>
      <c r="AC161" s="2039">
        <v>343918</v>
      </c>
      <c r="AD161" s="89">
        <f t="shared" si="327"/>
        <v>1053493</v>
      </c>
      <c r="AE161" s="89">
        <f t="shared" si="328"/>
        <v>1014711.09407</v>
      </c>
      <c r="AF161" s="89">
        <f t="shared" si="329"/>
        <v>1207429</v>
      </c>
      <c r="AG161" s="89">
        <f t="shared" si="330"/>
        <v>1174785</v>
      </c>
      <c r="AH161" s="89">
        <f>AD161+AE161</f>
        <v>2068204.0940700001</v>
      </c>
      <c r="AI161" s="89">
        <f>AG161+AF161</f>
        <v>2382214</v>
      </c>
      <c r="AJ161" s="89">
        <f>AH161+AI161</f>
        <v>4450418.0940700006</v>
      </c>
      <c r="AL161" s="13">
        <f ca="1">SUM((INDIRECT(AL$2&amp;(ROW())):INDIRECT(AL$3&amp;(ROW()))))</f>
        <v>343918</v>
      </c>
      <c r="AM161" s="89">
        <f ca="1">SUM(INDIRECT(AM$1&amp;AM$2&amp;$C161):INDIRECT(AM$1&amp;AM$3&amp;$C161))</f>
        <v>0</v>
      </c>
      <c r="AN161" s="880">
        <f t="shared" ca="1" si="332"/>
        <v>343918</v>
      </c>
      <c r="AO161" s="931">
        <f t="shared" ca="1" si="333"/>
        <v>0</v>
      </c>
      <c r="AP161" s="89">
        <f ca="1">SUM(INDIRECT(AP$1&amp;AP$2&amp;$A161):INDIRECT(AP$1&amp;AP$3&amp;$A161))+SUM(INDIRECT(AP$1&amp;AP$2&amp;$B161):INDIRECT(AP$1&amp;AP$3&amp;$B161))</f>
        <v>407923</v>
      </c>
      <c r="AQ161" s="880">
        <f t="shared" ca="1" si="334"/>
        <v>-64005</v>
      </c>
      <c r="AR161" s="931">
        <f t="shared" ca="1" si="335"/>
        <v>0.84309538810020523</v>
      </c>
      <c r="AT161" s="13">
        <f ca="1">SUM((INDIRECT(AT$2&amp;(ROW())):INDIRECT(AT$3&amp;(ROW()))))</f>
        <v>1174785</v>
      </c>
      <c r="AU161" s="89">
        <f ca="1">SUM(INDIRECT(AU$1&amp;AU$2&amp;$C161):INDIRECT(AU$1&amp;AU$3&amp;$C161))</f>
        <v>0</v>
      </c>
      <c r="AV161" s="880">
        <f t="shared" ca="1" si="336"/>
        <v>1174785</v>
      </c>
      <c r="AW161" s="931">
        <f t="shared" ca="1" si="337"/>
        <v>0</v>
      </c>
      <c r="AX161" s="89">
        <f ca="1">SUM(INDIRECT(AX$1&amp;AX$2&amp;$A161):INDIRECT(AX$1&amp;AX$3&amp;$A161))+SUM(INDIRECT(AX$1&amp;AX$2&amp;$B161):INDIRECT(AX$1&amp;AX$3&amp;$B161))</f>
        <v>1023393</v>
      </c>
      <c r="AY161" s="880">
        <f t="shared" ca="1" si="338"/>
        <v>151392</v>
      </c>
      <c r="AZ161" s="931">
        <f t="shared" ca="1" si="339"/>
        <v>1.1479314398281013</v>
      </c>
      <c r="BB161" s="13">
        <f ca="1">SUM((INDIRECT(BB$2&amp;(ROW())):INDIRECT(BB$3&amp;(ROW()))))</f>
        <v>4450418.0940700006</v>
      </c>
      <c r="BC161" s="89">
        <f ca="1">SUM(INDIRECT(BC$1&amp;BC$2&amp;$C161):INDIRECT(BC$1&amp;BC$3&amp;$C161))</f>
        <v>0</v>
      </c>
      <c r="BD161" s="880">
        <f t="shared" ca="1" si="340"/>
        <v>4450418.0940700006</v>
      </c>
      <c r="BE161" s="931">
        <f t="shared" ca="1" si="341"/>
        <v>0</v>
      </c>
      <c r="BF161" s="89">
        <f ca="1">SUM(INDIRECT(BF$1&amp;BF$2&amp;$A161):INDIRECT(BF$1&amp;BF$3&amp;$A161))+SUM(INDIRECT(BF$1&amp;BF$2&amp;$B161):INDIRECT(BF$1&amp;BF$3&amp;$B161))</f>
        <v>3481284</v>
      </c>
      <c r="BG161" s="880">
        <f t="shared" ca="1" si="342"/>
        <v>969134.09407000057</v>
      </c>
      <c r="BH161" s="931">
        <f t="shared" ca="1" si="343"/>
        <v>1.2783840945093823</v>
      </c>
    </row>
    <row r="162" spans="1:60" ht="14.5">
      <c r="A162" s="990">
        <f t="shared" si="325"/>
        <v>135</v>
      </c>
      <c r="B162" s="990">
        <v>1</v>
      </c>
      <c r="C162" s="990">
        <f t="shared" si="291"/>
        <v>159</v>
      </c>
      <c r="D162" s="1121" t="s">
        <v>887</v>
      </c>
      <c r="E162" s="1243">
        <v>1</v>
      </c>
      <c r="F162" s="5"/>
      <c r="G162" s="5"/>
      <c r="H162" s="5"/>
      <c r="I162" s="30"/>
      <c r="J162" s="4"/>
      <c r="K162" s="5"/>
      <c r="L162" s="5"/>
      <c r="M162" s="4" t="s">
        <v>85</v>
      </c>
      <c r="N162" s="4"/>
      <c r="O162" s="4"/>
      <c r="P162" s="4"/>
      <c r="Q162" s="1855" t="str">
        <f>CHOOSE(2, "6722000003081", "PL (2) BT Cons. Sales Solution")</f>
        <v>PL (2) BT Cons. Sales Solution</v>
      </c>
      <c r="R162" s="2032">
        <v>0</v>
      </c>
      <c r="S162" s="2039">
        <v>0</v>
      </c>
      <c r="T162" s="2039">
        <v>0</v>
      </c>
      <c r="U162" s="2039">
        <v>0</v>
      </c>
      <c r="V162" s="2039">
        <v>0</v>
      </c>
      <c r="W162" s="2039">
        <v>0</v>
      </c>
      <c r="X162" s="2039">
        <v>0</v>
      </c>
      <c r="Y162" s="2039">
        <v>0</v>
      </c>
      <c r="Z162" s="2039">
        <v>0</v>
      </c>
      <c r="AA162" s="2039">
        <v>0</v>
      </c>
      <c r="AB162" s="2039">
        <v>0</v>
      </c>
      <c r="AC162" s="2039">
        <v>0</v>
      </c>
      <c r="AD162" s="89">
        <f t="shared" si="327"/>
        <v>0</v>
      </c>
      <c r="AE162" s="89">
        <f t="shared" si="328"/>
        <v>0</v>
      </c>
      <c r="AF162" s="89">
        <f t="shared" si="329"/>
        <v>0</v>
      </c>
      <c r="AG162" s="89">
        <f t="shared" si="330"/>
        <v>0</v>
      </c>
      <c r="AH162" s="89">
        <f>AD162+AE162</f>
        <v>0</v>
      </c>
      <c r="AI162" s="89">
        <f>AG162+AF162</f>
        <v>0</v>
      </c>
      <c r="AJ162" s="89">
        <f>AH162+AI162</f>
        <v>0</v>
      </c>
      <c r="AL162" s="13">
        <f ca="1">SUM((INDIRECT(AL$2&amp;(ROW())):INDIRECT(AL$3&amp;(ROW()))))</f>
        <v>0</v>
      </c>
      <c r="AM162" s="89">
        <f ca="1">SUM(INDIRECT(AM$1&amp;AM$2&amp;$C162):INDIRECT(AM$1&amp;AM$3&amp;$C162))</f>
        <v>0</v>
      </c>
      <c r="AN162" s="880">
        <f t="shared" ca="1" si="332"/>
        <v>0</v>
      </c>
      <c r="AO162" s="931">
        <f t="shared" ca="1" si="333"/>
        <v>0</v>
      </c>
      <c r="AP162" s="89">
        <f ca="1">SUM(INDIRECT(AP$1&amp;AP$2&amp;$A162):INDIRECT(AP$1&amp;AP$3&amp;$A162))+SUM(INDIRECT(AP$1&amp;AP$2&amp;$B162):INDIRECT(AP$1&amp;AP$3&amp;$B162))</f>
        <v>0</v>
      </c>
      <c r="AQ162" s="880">
        <f t="shared" ca="1" si="334"/>
        <v>0</v>
      </c>
      <c r="AR162" s="931">
        <f t="shared" ca="1" si="335"/>
        <v>0</v>
      </c>
      <c r="AT162" s="13">
        <f ca="1">SUM((INDIRECT(AT$2&amp;(ROW())):INDIRECT(AT$3&amp;(ROW()))))</f>
        <v>0</v>
      </c>
      <c r="AU162" s="89">
        <f ca="1">SUM(INDIRECT(AU$1&amp;AU$2&amp;$C162):INDIRECT(AU$1&amp;AU$3&amp;$C162))</f>
        <v>0</v>
      </c>
      <c r="AV162" s="880">
        <f t="shared" ca="1" si="336"/>
        <v>0</v>
      </c>
      <c r="AW162" s="931">
        <f t="shared" ca="1" si="337"/>
        <v>0</v>
      </c>
      <c r="AX162" s="89">
        <f ca="1">SUM(INDIRECT(AX$1&amp;AX$2&amp;$A162):INDIRECT(AX$1&amp;AX$3&amp;$A162))+SUM(INDIRECT(AX$1&amp;AX$2&amp;$B162):INDIRECT(AX$1&amp;AX$3&amp;$B162))</f>
        <v>0</v>
      </c>
      <c r="AY162" s="880">
        <f t="shared" ca="1" si="338"/>
        <v>0</v>
      </c>
      <c r="AZ162" s="931">
        <f t="shared" ca="1" si="339"/>
        <v>0</v>
      </c>
      <c r="BB162" s="13">
        <f ca="1">SUM((INDIRECT(BB$2&amp;(ROW())):INDIRECT(BB$3&amp;(ROW()))))</f>
        <v>0</v>
      </c>
      <c r="BC162" s="89">
        <f ca="1">SUM(INDIRECT(BC$1&amp;BC$2&amp;$C162):INDIRECT(BC$1&amp;BC$3&amp;$C162))</f>
        <v>0</v>
      </c>
      <c r="BD162" s="880">
        <f t="shared" ca="1" si="340"/>
        <v>0</v>
      </c>
      <c r="BE162" s="931">
        <f t="shared" ca="1" si="341"/>
        <v>0</v>
      </c>
      <c r="BF162" s="89">
        <f ca="1">SUM(INDIRECT(BF$1&amp;BF$2&amp;$A162):INDIRECT(BF$1&amp;BF$3&amp;$A162))+SUM(INDIRECT(BF$1&amp;BF$2&amp;$B162):INDIRECT(BF$1&amp;BF$3&amp;$B162))</f>
        <v>0</v>
      </c>
      <c r="BG162" s="880">
        <f t="shared" ca="1" si="342"/>
        <v>0</v>
      </c>
      <c r="BH162" s="931">
        <f t="shared" ca="1" si="343"/>
        <v>0</v>
      </c>
    </row>
    <row r="163" spans="1:60" ht="14.5">
      <c r="A163" s="990">
        <f t="shared" si="325"/>
        <v>136</v>
      </c>
      <c r="B163" s="990">
        <v>1</v>
      </c>
      <c r="C163" s="990">
        <f t="shared" si="291"/>
        <v>160</v>
      </c>
      <c r="D163" s="1121" t="s">
        <v>887</v>
      </c>
      <c r="E163" s="1243">
        <v>1</v>
      </c>
      <c r="F163" s="5"/>
      <c r="G163" s="5"/>
      <c r="H163" s="5"/>
      <c r="I163" s="30"/>
      <c r="J163" s="4"/>
      <c r="K163" s="5"/>
      <c r="L163" s="5"/>
      <c r="M163" s="4" t="s">
        <v>11</v>
      </c>
      <c r="N163" s="4"/>
      <c r="O163" s="4"/>
      <c r="P163" s="4"/>
      <c r="Q163" s="1855" t="str">
        <f>CHOOSE(2, "6722000003082", "PL (2) BT Cons. Sales Others")</f>
        <v>PL (2) BT Cons. Sales Others</v>
      </c>
      <c r="R163" s="2032">
        <v>0</v>
      </c>
      <c r="S163" s="2039">
        <v>0</v>
      </c>
      <c r="T163" s="2039">
        <v>0</v>
      </c>
      <c r="U163" s="2039">
        <v>0</v>
      </c>
      <c r="V163" s="2039">
        <v>0</v>
      </c>
      <c r="W163" s="2039">
        <v>0</v>
      </c>
      <c r="X163" s="2039">
        <v>0</v>
      </c>
      <c r="Y163" s="2039">
        <v>0</v>
      </c>
      <c r="Z163" s="2039">
        <v>0</v>
      </c>
      <c r="AA163" s="2039">
        <v>0</v>
      </c>
      <c r="AB163" s="2039">
        <v>0</v>
      </c>
      <c r="AC163" s="2039">
        <v>0</v>
      </c>
      <c r="AD163" s="89">
        <f t="shared" si="327"/>
        <v>0</v>
      </c>
      <c r="AE163" s="89">
        <f t="shared" si="328"/>
        <v>0</v>
      </c>
      <c r="AF163" s="89">
        <f t="shared" si="329"/>
        <v>0</v>
      </c>
      <c r="AG163" s="89">
        <f t="shared" si="330"/>
        <v>0</v>
      </c>
      <c r="AH163" s="89">
        <f>AD163+AE163</f>
        <v>0</v>
      </c>
      <c r="AI163" s="89">
        <f>AG163+AF163</f>
        <v>0</v>
      </c>
      <c r="AJ163" s="89">
        <f>AH163+AI163</f>
        <v>0</v>
      </c>
      <c r="AL163" s="13">
        <f ca="1">SUM((INDIRECT(AL$2&amp;(ROW())):INDIRECT(AL$3&amp;(ROW()))))</f>
        <v>0</v>
      </c>
      <c r="AM163" s="89">
        <f ca="1">SUM(INDIRECT(AM$1&amp;AM$2&amp;$C163):INDIRECT(AM$1&amp;AM$3&amp;$C163))</f>
        <v>0</v>
      </c>
      <c r="AN163" s="880">
        <f t="shared" ca="1" si="332"/>
        <v>0</v>
      </c>
      <c r="AO163" s="931">
        <f t="shared" ca="1" si="333"/>
        <v>0</v>
      </c>
      <c r="AP163" s="89">
        <f ca="1">SUM(INDIRECT(AP$1&amp;AP$2&amp;$A163):INDIRECT(AP$1&amp;AP$3&amp;$A163))+SUM(INDIRECT(AP$1&amp;AP$2&amp;$B163):INDIRECT(AP$1&amp;AP$3&amp;$B163))</f>
        <v>0</v>
      </c>
      <c r="AQ163" s="880">
        <f t="shared" ca="1" si="334"/>
        <v>0</v>
      </c>
      <c r="AR163" s="931">
        <f t="shared" ca="1" si="335"/>
        <v>0</v>
      </c>
      <c r="AT163" s="13">
        <f ca="1">SUM((INDIRECT(AT$2&amp;(ROW())):INDIRECT(AT$3&amp;(ROW()))))</f>
        <v>0</v>
      </c>
      <c r="AU163" s="89">
        <f ca="1">SUM(INDIRECT(AU$1&amp;AU$2&amp;$C163):INDIRECT(AU$1&amp;AU$3&amp;$C163))</f>
        <v>0</v>
      </c>
      <c r="AV163" s="880">
        <f t="shared" ca="1" si="336"/>
        <v>0</v>
      </c>
      <c r="AW163" s="931">
        <f t="shared" ca="1" si="337"/>
        <v>0</v>
      </c>
      <c r="AX163" s="89">
        <f ca="1">SUM(INDIRECT(AX$1&amp;AX$2&amp;$A163):INDIRECT(AX$1&amp;AX$3&amp;$A163))+SUM(INDIRECT(AX$1&amp;AX$2&amp;$B163):INDIRECT(AX$1&amp;AX$3&amp;$B163))</f>
        <v>0</v>
      </c>
      <c r="AY163" s="880">
        <f t="shared" ca="1" si="338"/>
        <v>0</v>
      </c>
      <c r="AZ163" s="931">
        <f t="shared" ca="1" si="339"/>
        <v>0</v>
      </c>
      <c r="BB163" s="13">
        <f ca="1">SUM((INDIRECT(BB$2&amp;(ROW())):INDIRECT(BB$3&amp;(ROW()))))</f>
        <v>0</v>
      </c>
      <c r="BC163" s="89">
        <f ca="1">SUM(INDIRECT(BC$1&amp;BC$2&amp;$C163):INDIRECT(BC$1&amp;BC$3&amp;$C163))</f>
        <v>0</v>
      </c>
      <c r="BD163" s="880">
        <f t="shared" ca="1" si="340"/>
        <v>0</v>
      </c>
      <c r="BE163" s="931">
        <f t="shared" ca="1" si="341"/>
        <v>0</v>
      </c>
      <c r="BF163" s="89">
        <f ca="1">SUM(INDIRECT(BF$1&amp;BF$2&amp;$A163):INDIRECT(BF$1&amp;BF$3&amp;$A163))+SUM(INDIRECT(BF$1&amp;BF$2&amp;$B163):INDIRECT(BF$1&amp;BF$3&amp;$B163))</f>
        <v>0</v>
      </c>
      <c r="BG163" s="880">
        <f t="shared" ca="1" si="342"/>
        <v>0</v>
      </c>
      <c r="BH163" s="931">
        <f t="shared" ca="1" si="343"/>
        <v>0</v>
      </c>
    </row>
    <row r="164" spans="1:60" ht="14.5">
      <c r="A164" s="990">
        <f t="shared" si="325"/>
        <v>137</v>
      </c>
      <c r="B164" s="990">
        <v>1</v>
      </c>
      <c r="C164" s="990">
        <f t="shared" si="291"/>
        <v>161</v>
      </c>
      <c r="E164" s="1243">
        <v>1</v>
      </c>
      <c r="F164" s="5"/>
      <c r="G164" s="5"/>
      <c r="H164" s="5"/>
      <c r="I164" s="132" t="s">
        <v>106</v>
      </c>
      <c r="J164" s="131"/>
      <c r="K164" s="130"/>
      <c r="L164" s="130"/>
      <c r="M164" s="130"/>
      <c r="N164" s="130"/>
      <c r="O164" s="130"/>
      <c r="P164" s="1172"/>
      <c r="Q164" s="1858" t="str">
        <f>CHOOSE(2, "6722000003083", "PL (2) Cost of Sales")</f>
        <v>PL (2) Cost of Sales</v>
      </c>
      <c r="R164" s="1990">
        <f>R165+R166+R174+R175</f>
        <v>326724</v>
      </c>
      <c r="S164" s="2019">
        <f t="shared" ref="S164:AC164" si="350">S165+S166+S174+S175</f>
        <v>324463</v>
      </c>
      <c r="T164" s="2019">
        <f t="shared" si="350"/>
        <v>323211</v>
      </c>
      <c r="U164" s="2019">
        <f t="shared" si="350"/>
        <v>325236</v>
      </c>
      <c r="V164" s="2019">
        <f t="shared" si="350"/>
        <v>352076.25137991423</v>
      </c>
      <c r="W164" s="2019">
        <f t="shared" si="350"/>
        <v>319596.74800000002</v>
      </c>
      <c r="X164" s="2019">
        <f t="shared" si="350"/>
        <v>410934.74800000002</v>
      </c>
      <c r="Y164" s="2019">
        <f t="shared" si="350"/>
        <v>356148</v>
      </c>
      <c r="Z164" s="2019">
        <f t="shared" si="350"/>
        <v>347620</v>
      </c>
      <c r="AA164" s="2019">
        <f t="shared" si="350"/>
        <v>360261</v>
      </c>
      <c r="AB164" s="2019">
        <f t="shared" si="350"/>
        <v>407424.03627041669</v>
      </c>
      <c r="AC164" s="2019">
        <f t="shared" si="350"/>
        <v>365978</v>
      </c>
      <c r="AD164" s="1526">
        <f t="shared" ref="AD164:AJ164" si="351">AD165+AD166+AD174+AD175</f>
        <v>974398</v>
      </c>
      <c r="AE164" s="129">
        <f t="shared" si="351"/>
        <v>996908.99937991425</v>
      </c>
      <c r="AF164" s="129">
        <f t="shared" si="351"/>
        <v>1114702.7480000001</v>
      </c>
      <c r="AG164" s="129">
        <f t="shared" si="351"/>
        <v>1133663.0362704168</v>
      </c>
      <c r="AH164" s="129">
        <f t="shared" si="351"/>
        <v>1971306.9993799143</v>
      </c>
      <c r="AI164" s="129">
        <f t="shared" si="351"/>
        <v>2248365.7842704165</v>
      </c>
      <c r="AJ164" s="129">
        <f t="shared" si="351"/>
        <v>4219672.7836503312</v>
      </c>
      <c r="AL164" s="2121">
        <f ca="1">SUM((INDIRECT(AL$2&amp;(ROW())):INDIRECT(AL$3&amp;(ROW()))))</f>
        <v>365978</v>
      </c>
      <c r="AM164" s="129">
        <f ca="1">SUM(INDIRECT(AM$1&amp;AM$2&amp;$C164):INDIRECT(AM$1&amp;AM$3&amp;$C164))</f>
        <v>0</v>
      </c>
      <c r="AN164" s="2519">
        <f t="shared" ca="1" si="332"/>
        <v>365978</v>
      </c>
      <c r="AO164" s="1714">
        <f t="shared" ca="1" si="333"/>
        <v>0</v>
      </c>
      <c r="AP164" s="129">
        <f ca="1">SUM(INDIRECT(AP$1&amp;AP$2&amp;$A164):INDIRECT(AP$1&amp;AP$3&amp;$A164))+SUM(INDIRECT(AP$1&amp;AP$2&amp;$B164):INDIRECT(AP$1&amp;AP$3&amp;$B164))</f>
        <v>305328</v>
      </c>
      <c r="AQ164" s="2519">
        <f t="shared" ca="1" si="334"/>
        <v>60650</v>
      </c>
      <c r="AR164" s="1714">
        <f t="shared" ca="1" si="335"/>
        <v>1.1986388408531152</v>
      </c>
      <c r="AT164" s="2121">
        <f ca="1">SUM((INDIRECT(AT$2&amp;(ROW())):INDIRECT(AT$3&amp;(ROW()))))</f>
        <v>1133663.0362704168</v>
      </c>
      <c r="AU164" s="129">
        <f ca="1">SUM(INDIRECT(AU$1&amp;AU$2&amp;$C164):INDIRECT(AU$1&amp;AU$3&amp;$C164))</f>
        <v>0</v>
      </c>
      <c r="AV164" s="2519">
        <f t="shared" ca="1" si="336"/>
        <v>1133663.0362704168</v>
      </c>
      <c r="AW164" s="1714">
        <f t="shared" ca="1" si="337"/>
        <v>0</v>
      </c>
      <c r="AX164" s="129">
        <f ca="1">SUM(INDIRECT(AX$1&amp;AX$2&amp;$A164):INDIRECT(AX$1&amp;AX$3&amp;$A164))+SUM(INDIRECT(AX$1&amp;AX$2&amp;$B164):INDIRECT(AX$1&amp;AX$3&amp;$B164))</f>
        <v>790248</v>
      </c>
      <c r="AY164" s="2519">
        <f t="shared" ca="1" si="338"/>
        <v>343415.03627041681</v>
      </c>
      <c r="AZ164" s="1714">
        <f t="shared" ca="1" si="339"/>
        <v>1.4345661567892825</v>
      </c>
      <c r="BB164" s="2121">
        <f ca="1">SUM((INDIRECT(BB$2&amp;(ROW())):INDIRECT(BB$3&amp;(ROW()))))</f>
        <v>4219672.7836503312</v>
      </c>
      <c r="BC164" s="129">
        <f ca="1">SUM(INDIRECT(BC$1&amp;BC$2&amp;$C164):INDIRECT(BC$1&amp;BC$3&amp;$C164))</f>
        <v>0</v>
      </c>
      <c r="BD164" s="2519">
        <f t="shared" ca="1" si="340"/>
        <v>4219672.7836503312</v>
      </c>
      <c r="BE164" s="1714">
        <f t="shared" ca="1" si="341"/>
        <v>0</v>
      </c>
      <c r="BF164" s="129">
        <f ca="1">SUM(INDIRECT(BF$1&amp;BF$2&amp;$A164):INDIRECT(BF$1&amp;BF$3&amp;$A164))+SUM(INDIRECT(BF$1&amp;BF$2&amp;$B164):INDIRECT(BF$1&amp;BF$3&amp;$B164))</f>
        <v>2902040</v>
      </c>
      <c r="BG164" s="2519">
        <f t="shared" ca="1" si="342"/>
        <v>1317632.7836503312</v>
      </c>
      <c r="BH164" s="1714">
        <f t="shared" ca="1" si="343"/>
        <v>1.4540367409306321</v>
      </c>
    </row>
    <row r="165" spans="1:60" ht="14.5">
      <c r="A165" s="990">
        <f t="shared" si="325"/>
        <v>138</v>
      </c>
      <c r="B165" s="990">
        <v>1</v>
      </c>
      <c r="C165" s="990">
        <f t="shared" si="291"/>
        <v>162</v>
      </c>
      <c r="E165" s="1243">
        <v>1</v>
      </c>
      <c r="F165" s="5"/>
      <c r="G165" s="5"/>
      <c r="H165" s="5"/>
      <c r="I165" s="30"/>
      <c r="J165" s="4"/>
      <c r="K165" s="5"/>
      <c r="L165" s="5"/>
      <c r="M165" s="4" t="s">
        <v>137</v>
      </c>
      <c r="N165" s="4"/>
      <c r="O165" s="4"/>
      <c r="P165" s="4"/>
      <c r="Q165" s="1859" t="str">
        <f>CHOOSE(2, "6722000003084", "PL (2) Cost of Sales HW")</f>
        <v>PL (2) Cost of Sales HW</v>
      </c>
      <c r="R165" s="1927">
        <f>R155-R182</f>
        <v>83490</v>
      </c>
      <c r="S165" s="29">
        <f t="shared" ref="S165:AC166" si="352">S155-S182</f>
        <v>79987</v>
      </c>
      <c r="T165" s="29">
        <f t="shared" si="352"/>
        <v>71944</v>
      </c>
      <c r="U165" s="29">
        <f t="shared" si="352"/>
        <v>94933</v>
      </c>
      <c r="V165" s="29">
        <f t="shared" si="352"/>
        <v>111158.27369059321</v>
      </c>
      <c r="W165" s="29">
        <f t="shared" si="352"/>
        <v>80569</v>
      </c>
      <c r="X165" s="29">
        <f t="shared" si="352"/>
        <v>115901</v>
      </c>
      <c r="Y165" s="29">
        <f t="shared" si="352"/>
        <v>99511</v>
      </c>
      <c r="Z165" s="29">
        <f t="shared" si="352"/>
        <v>85072</v>
      </c>
      <c r="AA165" s="29">
        <f t="shared" si="352"/>
        <v>105929</v>
      </c>
      <c r="AB165" s="29">
        <f t="shared" si="352"/>
        <v>107281.05097041666</v>
      </c>
      <c r="AC165" s="29">
        <f t="shared" si="352"/>
        <v>78325</v>
      </c>
      <c r="AD165" s="89">
        <f>SUM(R165,S165,T165)</f>
        <v>235421</v>
      </c>
      <c r="AE165" s="89">
        <f t="shared" ref="AE165:AE168" si="353">SUM(U165,V165,W165)</f>
        <v>286660.2736905932</v>
      </c>
      <c r="AF165" s="89">
        <f t="shared" ref="AF165:AF168" si="354">SUM(X165,Y165,Z165)</f>
        <v>300484</v>
      </c>
      <c r="AG165" s="89">
        <f t="shared" ref="AG165:AG168" si="355">SUM(AA165,AB165,AC165)</f>
        <v>291535.05097041663</v>
      </c>
      <c r="AH165" s="89">
        <f>AD165+AE165</f>
        <v>522081.2736905932</v>
      </c>
      <c r="AI165" s="89">
        <f>AG165+AF165</f>
        <v>592019.05097041663</v>
      </c>
      <c r="AJ165" s="89">
        <f>AH165+AI165</f>
        <v>1114100.3246610099</v>
      </c>
      <c r="AL165" s="13">
        <f ca="1">SUM((INDIRECT(AL$2&amp;(ROW())):INDIRECT(AL$3&amp;(ROW()))))</f>
        <v>78325</v>
      </c>
      <c r="AM165" s="89">
        <f ca="1">SUM(INDIRECT(AM$1&amp;AM$2&amp;$C165):INDIRECT(AM$1&amp;AM$3&amp;$C165))</f>
        <v>0</v>
      </c>
      <c r="AN165" s="880">
        <f t="shared" ca="1" si="332"/>
        <v>78325</v>
      </c>
      <c r="AO165" s="931">
        <f t="shared" ca="1" si="333"/>
        <v>0</v>
      </c>
      <c r="AP165" s="89">
        <f ca="1">SUM(INDIRECT(AP$1&amp;AP$2&amp;$A165):INDIRECT(AP$1&amp;AP$3&amp;$A165))+SUM(INDIRECT(AP$1&amp;AP$2&amp;$B165):INDIRECT(AP$1&amp;AP$3&amp;$B165))</f>
        <v>51146</v>
      </c>
      <c r="AQ165" s="880">
        <f t="shared" ca="1" si="334"/>
        <v>27179</v>
      </c>
      <c r="AR165" s="931">
        <f t="shared" ca="1" si="335"/>
        <v>1.5314003050091893</v>
      </c>
      <c r="AT165" s="13">
        <f ca="1">SUM((INDIRECT(AT$2&amp;(ROW())):INDIRECT(AT$3&amp;(ROW()))))</f>
        <v>291535.05097041663</v>
      </c>
      <c r="AU165" s="89">
        <f ca="1">SUM(INDIRECT(AU$1&amp;AU$2&amp;$C165):INDIRECT(AU$1&amp;AU$3&amp;$C165))</f>
        <v>0</v>
      </c>
      <c r="AV165" s="880">
        <f t="shared" ca="1" si="336"/>
        <v>291535.05097041663</v>
      </c>
      <c r="AW165" s="931">
        <f t="shared" ca="1" si="337"/>
        <v>0</v>
      </c>
      <c r="AX165" s="89">
        <f ca="1">SUM(INDIRECT(AX$1&amp;AX$2&amp;$A165):INDIRECT(AX$1&amp;AX$3&amp;$A165))+SUM(INDIRECT(AX$1&amp;AX$2&amp;$B165):INDIRECT(AX$1&amp;AX$3&amp;$B165))</f>
        <v>145765</v>
      </c>
      <c r="AY165" s="880">
        <f t="shared" ca="1" si="338"/>
        <v>145770.05097041663</v>
      </c>
      <c r="AZ165" s="931">
        <f t="shared" ca="1" si="339"/>
        <v>2.0000346514623994</v>
      </c>
      <c r="BB165" s="13">
        <f ca="1">SUM((INDIRECT(BB$2&amp;(ROW())):INDIRECT(BB$3&amp;(ROW()))))</f>
        <v>1114100.3246610099</v>
      </c>
      <c r="BC165" s="89">
        <f ca="1">SUM(INDIRECT(BC$1&amp;BC$2&amp;$C165):INDIRECT(BC$1&amp;BC$3&amp;$C165))</f>
        <v>0</v>
      </c>
      <c r="BD165" s="880">
        <f t="shared" ca="1" si="340"/>
        <v>1114100.3246610099</v>
      </c>
      <c r="BE165" s="931">
        <f t="shared" ca="1" si="341"/>
        <v>0</v>
      </c>
      <c r="BF165" s="89">
        <f ca="1">SUM(INDIRECT(BF$1&amp;BF$2&amp;$A165):INDIRECT(BF$1&amp;BF$3&amp;$A165))+SUM(INDIRECT(BF$1&amp;BF$2&amp;$B165):INDIRECT(BF$1&amp;BF$3&amp;$B165))</f>
        <v>738654</v>
      </c>
      <c r="BG165" s="880">
        <f t="shared" ca="1" si="342"/>
        <v>375446.32466100994</v>
      </c>
      <c r="BH165" s="931">
        <f t="shared" ca="1" si="343"/>
        <v>1.5082844263498336</v>
      </c>
    </row>
    <row r="166" spans="1:60" ht="14.5">
      <c r="A166" s="990">
        <f t="shared" si="325"/>
        <v>139</v>
      </c>
      <c r="B166" s="990">
        <v>1</v>
      </c>
      <c r="C166" s="990">
        <f t="shared" si="291"/>
        <v>163</v>
      </c>
      <c r="E166" s="1243">
        <v>1</v>
      </c>
      <c r="F166" s="5"/>
      <c r="G166" s="5"/>
      <c r="H166" s="5"/>
      <c r="I166" s="30"/>
      <c r="J166" s="4"/>
      <c r="K166" s="5"/>
      <c r="L166" s="5"/>
      <c r="M166" s="4" t="s">
        <v>95</v>
      </c>
      <c r="N166" s="4"/>
      <c r="O166" s="4"/>
      <c r="P166" s="4"/>
      <c r="Q166" s="1854" t="str">
        <f>CHOOSE(2, "6722000003085", "PL (2) Cost of Sales NH")</f>
        <v>PL (2) Cost of Sales NH</v>
      </c>
      <c r="R166" s="2213">
        <f>R156-R183</f>
        <v>243234</v>
      </c>
      <c r="S166" s="2089">
        <f t="shared" si="352"/>
        <v>244476</v>
      </c>
      <c r="T166" s="2089">
        <f t="shared" si="352"/>
        <v>251267</v>
      </c>
      <c r="U166" s="2089">
        <f t="shared" si="352"/>
        <v>230303</v>
      </c>
      <c r="V166" s="2089">
        <f t="shared" si="352"/>
        <v>240917.97768932104</v>
      </c>
      <c r="W166" s="2089">
        <f t="shared" si="352"/>
        <v>239027.74799999999</v>
      </c>
      <c r="X166" s="2089">
        <f t="shared" si="352"/>
        <v>295033.74800000002</v>
      </c>
      <c r="Y166" s="2089">
        <f t="shared" si="352"/>
        <v>256637</v>
      </c>
      <c r="Z166" s="2089">
        <f t="shared" si="352"/>
        <v>262548</v>
      </c>
      <c r="AA166" s="2089">
        <f t="shared" si="352"/>
        <v>254332</v>
      </c>
      <c r="AB166" s="2089">
        <f t="shared" si="352"/>
        <v>300142.9853</v>
      </c>
      <c r="AC166" s="2089">
        <f t="shared" si="352"/>
        <v>287653</v>
      </c>
      <c r="AD166" s="89">
        <f>SUM(R166,S166,T166)</f>
        <v>738977</v>
      </c>
      <c r="AE166" s="89">
        <f t="shared" si="353"/>
        <v>710248.72568932106</v>
      </c>
      <c r="AF166" s="89">
        <f t="shared" si="354"/>
        <v>814218.74800000002</v>
      </c>
      <c r="AG166" s="89">
        <f t="shared" si="355"/>
        <v>842127.98530000006</v>
      </c>
      <c r="AH166" s="89">
        <f>AD166+AE166</f>
        <v>1449225.7256893211</v>
      </c>
      <c r="AI166" s="89">
        <f>AG166+AF166</f>
        <v>1656346.7333</v>
      </c>
      <c r="AJ166" s="89">
        <f>AH166+AI166</f>
        <v>3105572.4589893213</v>
      </c>
      <c r="AL166" s="13">
        <f ca="1">SUM((INDIRECT(AL$2&amp;(ROW())):INDIRECT(AL$3&amp;(ROW()))))</f>
        <v>287653</v>
      </c>
      <c r="AM166" s="89">
        <f ca="1">SUM(INDIRECT(AM$1&amp;AM$2&amp;$C166):INDIRECT(AM$1&amp;AM$3&amp;$C166))</f>
        <v>0</v>
      </c>
      <c r="AN166" s="880">
        <f t="shared" ca="1" si="332"/>
        <v>287653</v>
      </c>
      <c r="AO166" s="931">
        <f t="shared" ca="1" si="333"/>
        <v>0</v>
      </c>
      <c r="AP166" s="89">
        <f ca="1">SUM(INDIRECT(AP$1&amp;AP$2&amp;$A166):INDIRECT(AP$1&amp;AP$3&amp;$A166))+SUM(INDIRECT(AP$1&amp;AP$2&amp;$B166):INDIRECT(AP$1&amp;AP$3&amp;$B166))</f>
        <v>254182</v>
      </c>
      <c r="AQ166" s="880">
        <f t="shared" ca="1" si="334"/>
        <v>33471</v>
      </c>
      <c r="AR166" s="931">
        <f t="shared" ca="1" si="335"/>
        <v>1.1316812362795163</v>
      </c>
      <c r="AT166" s="13">
        <f ca="1">SUM((INDIRECT(AT$2&amp;(ROW())):INDIRECT(AT$3&amp;(ROW()))))</f>
        <v>842127.98530000006</v>
      </c>
      <c r="AU166" s="89">
        <f ca="1">SUM(INDIRECT(AU$1&amp;AU$2&amp;$C166):INDIRECT(AU$1&amp;AU$3&amp;$C166))</f>
        <v>0</v>
      </c>
      <c r="AV166" s="880">
        <f t="shared" ca="1" si="336"/>
        <v>842127.98530000006</v>
      </c>
      <c r="AW166" s="931">
        <f t="shared" ca="1" si="337"/>
        <v>0</v>
      </c>
      <c r="AX166" s="89">
        <f ca="1">SUM(INDIRECT(AX$1&amp;AX$2&amp;$A166):INDIRECT(AX$1&amp;AX$3&amp;$A166))+SUM(INDIRECT(AX$1&amp;AX$2&amp;$B166):INDIRECT(AX$1&amp;AX$3&amp;$B166))</f>
        <v>644483</v>
      </c>
      <c r="AY166" s="880">
        <f t="shared" ca="1" si="338"/>
        <v>197644.98530000006</v>
      </c>
      <c r="AZ166" s="931">
        <f t="shared" ca="1" si="339"/>
        <v>1.3066721469767242</v>
      </c>
      <c r="BB166" s="13">
        <f ca="1">SUM((INDIRECT(BB$2&amp;(ROW())):INDIRECT(BB$3&amp;(ROW()))))</f>
        <v>3105572.4589893208</v>
      </c>
      <c r="BC166" s="89">
        <f ca="1">SUM(INDIRECT(BC$1&amp;BC$2&amp;$C166):INDIRECT(BC$1&amp;BC$3&amp;$C166))</f>
        <v>0</v>
      </c>
      <c r="BD166" s="880">
        <f t="shared" ca="1" si="340"/>
        <v>3105572.4589893208</v>
      </c>
      <c r="BE166" s="931">
        <f t="shared" ca="1" si="341"/>
        <v>0</v>
      </c>
      <c r="BF166" s="89">
        <f ca="1">SUM(INDIRECT(BF$1&amp;BF$2&amp;$A166):INDIRECT(BF$1&amp;BF$3&amp;$A166))+SUM(INDIRECT(BF$1&amp;BF$2&amp;$B166):INDIRECT(BF$1&amp;BF$3&amp;$B166))</f>
        <v>2163386</v>
      </c>
      <c r="BG166" s="880">
        <f t="shared" ca="1" si="342"/>
        <v>942186.45898932079</v>
      </c>
      <c r="BH166" s="931">
        <f t="shared" ca="1" si="343"/>
        <v>1.4355147250603086</v>
      </c>
    </row>
    <row r="167" spans="1:60" ht="14.5">
      <c r="A167" s="990">
        <f t="shared" si="325"/>
        <v>140</v>
      </c>
      <c r="B167" s="990">
        <v>1</v>
      </c>
      <c r="C167" s="990">
        <f t="shared" si="291"/>
        <v>164</v>
      </c>
      <c r="E167" s="1243">
        <v>1</v>
      </c>
      <c r="F167" s="5"/>
      <c r="G167" s="5"/>
      <c r="H167" s="5"/>
      <c r="I167" s="30"/>
      <c r="J167" s="4"/>
      <c r="K167" s="5"/>
      <c r="L167" s="5"/>
      <c r="M167" s="4"/>
      <c r="N167" s="4"/>
      <c r="O167" s="374" t="s">
        <v>461</v>
      </c>
      <c r="P167" s="1141"/>
      <c r="Q167" s="1855" t="str">
        <f>CHOOSE(2, "6722000003086", "PL (2) Cost of Sales NH MC(T, P, C)")</f>
        <v>PL (2) Cost of Sales NH MC(T, P, C)</v>
      </c>
      <c r="R167" s="2210">
        <v>229547</v>
      </c>
      <c r="S167" s="2087">
        <v>229834</v>
      </c>
      <c r="T167" s="2087">
        <v>235186</v>
      </c>
      <c r="U167" s="2087">
        <v>212683</v>
      </c>
      <c r="V167" s="2087">
        <v>224059</v>
      </c>
      <c r="W167" s="2087">
        <v>222006</v>
      </c>
      <c r="X167" s="2087">
        <v>267939</v>
      </c>
      <c r="Y167" s="2087">
        <v>214928</v>
      </c>
      <c r="Z167" s="2087">
        <v>246174</v>
      </c>
      <c r="AA167" s="2087">
        <v>238755</v>
      </c>
      <c r="AB167" s="2087">
        <v>273844.61379833298</v>
      </c>
      <c r="AC167" s="2087">
        <v>266582</v>
      </c>
      <c r="AD167" s="581">
        <f>SUM(R167,S167,T167)</f>
        <v>694567</v>
      </c>
      <c r="AE167" s="581">
        <f t="shared" si="353"/>
        <v>658748</v>
      </c>
      <c r="AF167" s="581">
        <f t="shared" si="354"/>
        <v>729041</v>
      </c>
      <c r="AG167" s="581">
        <f t="shared" si="355"/>
        <v>779181.61379833298</v>
      </c>
      <c r="AH167" s="581">
        <f>AD167+AE167</f>
        <v>1353315</v>
      </c>
      <c r="AI167" s="581">
        <f>AG167+AF167</f>
        <v>1508222.6137983329</v>
      </c>
      <c r="AJ167" s="581">
        <f>AH167+AI167</f>
        <v>2861537.6137983329</v>
      </c>
      <c r="AL167" s="859">
        <f ca="1">SUM((INDIRECT(AL$2&amp;(ROW())):INDIRECT(AL$3&amp;(ROW()))))</f>
        <v>266582</v>
      </c>
      <c r="AM167" s="581">
        <f ca="1">SUM(INDIRECT(AM$1&amp;AM$2&amp;$C167):INDIRECT(AM$1&amp;AM$3&amp;$C167))</f>
        <v>0</v>
      </c>
      <c r="AN167" s="882">
        <f t="shared" ca="1" si="332"/>
        <v>266582</v>
      </c>
      <c r="AO167" s="933">
        <f t="shared" ca="1" si="333"/>
        <v>0</v>
      </c>
      <c r="AP167" s="581">
        <f ca="1">SUM(INDIRECT(AP$1&amp;AP$2&amp;$A167):INDIRECT(AP$1&amp;AP$3&amp;$A167))+SUM(INDIRECT(AP$1&amp;AP$2&amp;$B167):INDIRECT(AP$1&amp;AP$3&amp;$B167))</f>
        <v>233814</v>
      </c>
      <c r="AQ167" s="882">
        <f t="shared" ca="1" si="334"/>
        <v>32768</v>
      </c>
      <c r="AR167" s="933">
        <f t="shared" ca="1" si="335"/>
        <v>1.1401455858075222</v>
      </c>
      <c r="AT167" s="859">
        <f ca="1">SUM((INDIRECT(AT$2&amp;(ROW())):INDIRECT(AT$3&amp;(ROW()))))</f>
        <v>779181.61379833298</v>
      </c>
      <c r="AU167" s="581">
        <f ca="1">SUM(INDIRECT(AU$1&amp;AU$2&amp;$C167):INDIRECT(AU$1&amp;AU$3&amp;$C167))</f>
        <v>0</v>
      </c>
      <c r="AV167" s="882">
        <f t="shared" ca="1" si="336"/>
        <v>779181.61379833298</v>
      </c>
      <c r="AW167" s="933">
        <f t="shared" ca="1" si="337"/>
        <v>0</v>
      </c>
      <c r="AX167" s="581">
        <f ca="1">SUM(INDIRECT(AX$1&amp;AX$2&amp;$A167):INDIRECT(AX$1&amp;AX$3&amp;$A167))+SUM(INDIRECT(AX$1&amp;AX$2&amp;$B167):INDIRECT(AX$1&amp;AX$3&amp;$B167))</f>
        <v>595812</v>
      </c>
      <c r="AY167" s="882">
        <f t="shared" ca="1" si="338"/>
        <v>183369.61379833298</v>
      </c>
      <c r="AZ167" s="933">
        <f t="shared" ca="1" si="339"/>
        <v>1.3077642172335116</v>
      </c>
      <c r="BB167" s="859">
        <f ca="1">SUM((INDIRECT(BB$2&amp;(ROW())):INDIRECT(BB$3&amp;(ROW()))))</f>
        <v>2861537.6137983329</v>
      </c>
      <c r="BC167" s="581">
        <f ca="1">SUM(INDIRECT(BC$1&amp;BC$2&amp;$C167):INDIRECT(BC$1&amp;BC$3&amp;$C167))</f>
        <v>0</v>
      </c>
      <c r="BD167" s="882">
        <f t="shared" ca="1" si="340"/>
        <v>2861537.6137983329</v>
      </c>
      <c r="BE167" s="933">
        <f t="shared" ca="1" si="341"/>
        <v>0</v>
      </c>
      <c r="BF167" s="581">
        <f ca="1">SUM(INDIRECT(BF$1&amp;BF$2&amp;$A167):INDIRECT(BF$1&amp;BF$3&amp;$A167))+SUM(INDIRECT(BF$1&amp;BF$2&amp;$B167):INDIRECT(BF$1&amp;BF$3&amp;$B167))</f>
        <v>1993165</v>
      </c>
      <c r="BG167" s="882">
        <f t="shared" ca="1" si="342"/>
        <v>868372.61379833287</v>
      </c>
      <c r="BH167" s="933">
        <f t="shared" ca="1" si="343"/>
        <v>1.4356752269873958</v>
      </c>
    </row>
    <row r="168" spans="1:60" ht="14.5">
      <c r="A168" s="990">
        <f t="shared" si="325"/>
        <v>141</v>
      </c>
      <c r="B168" s="990">
        <v>1</v>
      </c>
      <c r="C168" s="990">
        <f t="shared" si="291"/>
        <v>165</v>
      </c>
      <c r="E168" s="1243">
        <v>1</v>
      </c>
      <c r="F168" s="5"/>
      <c r="G168" s="5"/>
      <c r="H168" s="5"/>
      <c r="I168" s="30"/>
      <c r="J168" s="4"/>
      <c r="K168" s="5"/>
      <c r="L168" s="5"/>
      <c r="M168" s="4"/>
      <c r="N168" s="4"/>
      <c r="O168" s="4"/>
      <c r="P168" s="4" t="s">
        <v>462</v>
      </c>
      <c r="Q168" s="1855" t="str">
        <f>CHOOSE(2, "6722000003087", "PL (2) Cost of Sales NH MC(T, P, C) Direct")</f>
        <v>PL (2) Cost of Sales NH MC(T, P, C) Direct</v>
      </c>
      <c r="R168" s="2032">
        <f>R559-R590</f>
        <v>193807</v>
      </c>
      <c r="S168" s="2032">
        <f t="shared" ref="S168:AC168" si="356">S559-S590</f>
        <v>198425</v>
      </c>
      <c r="T168" s="2032">
        <f t="shared" si="356"/>
        <v>198570</v>
      </c>
      <c r="U168" s="2032">
        <f t="shared" si="356"/>
        <v>179929</v>
      </c>
      <c r="V168" s="2032">
        <f t="shared" si="356"/>
        <v>198440.13835445998</v>
      </c>
      <c r="W168" s="2032">
        <f t="shared" si="356"/>
        <v>198045</v>
      </c>
      <c r="X168" s="2032">
        <f t="shared" si="356"/>
        <v>239825</v>
      </c>
      <c r="Y168" s="2032">
        <f t="shared" si="356"/>
        <v>212956</v>
      </c>
      <c r="Z168" s="2032">
        <f t="shared" si="356"/>
        <v>212916</v>
      </c>
      <c r="AA168" s="2032">
        <f t="shared" si="356"/>
        <v>204873</v>
      </c>
      <c r="AB168" s="2032">
        <f t="shared" si="356"/>
        <v>219633</v>
      </c>
      <c r="AC168" s="2032">
        <f t="shared" si="356"/>
        <v>233469</v>
      </c>
      <c r="AD168" s="89">
        <f>SUM(R168,S168,T168)</f>
        <v>590802</v>
      </c>
      <c r="AE168" s="89">
        <f t="shared" si="353"/>
        <v>576414.13835446001</v>
      </c>
      <c r="AF168" s="89">
        <f t="shared" si="354"/>
        <v>665697</v>
      </c>
      <c r="AG168" s="89">
        <f t="shared" si="355"/>
        <v>657975</v>
      </c>
      <c r="AH168" s="89">
        <f>AD168+AE168</f>
        <v>1167216.13835446</v>
      </c>
      <c r="AI168" s="89">
        <f>AG168+AF168</f>
        <v>1323672</v>
      </c>
      <c r="AJ168" s="89">
        <f>AH168+AI168</f>
        <v>2490888.1383544598</v>
      </c>
      <c r="AL168" s="13">
        <f ca="1">SUM((INDIRECT(AL$2&amp;(ROW())):INDIRECT(AL$3&amp;(ROW()))))</f>
        <v>233469</v>
      </c>
      <c r="AM168" s="89">
        <f ca="1">SUM(INDIRECT(AM$1&amp;AM$2&amp;$C168):INDIRECT(AM$1&amp;AM$3&amp;$C168))</f>
        <v>0</v>
      </c>
      <c r="AN168" s="880">
        <f t="shared" ca="1" si="332"/>
        <v>233469</v>
      </c>
      <c r="AO168" s="931">
        <f t="shared" ca="1" si="333"/>
        <v>0</v>
      </c>
      <c r="AP168" s="89">
        <f ca="1">SUM(INDIRECT(AP$1&amp;AP$2&amp;$A168):INDIRECT(AP$1&amp;AP$3&amp;$A168))+SUM(INDIRECT(AP$1&amp;AP$2&amp;$B168):INDIRECT(AP$1&amp;AP$3&amp;$B168))</f>
        <v>202940</v>
      </c>
      <c r="AQ168" s="880">
        <f t="shared" ca="1" si="334"/>
        <v>30529</v>
      </c>
      <c r="AR168" s="931">
        <f t="shared" ca="1" si="335"/>
        <v>1.1504336257021779</v>
      </c>
      <c r="AT168" s="13">
        <f ca="1">SUM((INDIRECT(AT$2&amp;(ROW())):INDIRECT(AT$3&amp;(ROW()))))</f>
        <v>657975</v>
      </c>
      <c r="AU168" s="89">
        <f ca="1">SUM(INDIRECT(AU$1&amp;AU$2&amp;$C168):INDIRECT(AU$1&amp;AU$3&amp;$C168))</f>
        <v>0</v>
      </c>
      <c r="AV168" s="880">
        <f t="shared" ca="1" si="336"/>
        <v>657975</v>
      </c>
      <c r="AW168" s="931">
        <f t="shared" ca="1" si="337"/>
        <v>0</v>
      </c>
      <c r="AX168" s="89">
        <f ca="1">SUM(INDIRECT(AX$1&amp;AX$2&amp;$A168):INDIRECT(AX$1&amp;AX$3&amp;$A168))+SUM(INDIRECT(AX$1&amp;AX$2&amp;$B168):INDIRECT(AX$1&amp;AX$3&amp;$B168))</f>
        <v>510574</v>
      </c>
      <c r="AY168" s="880">
        <f t="shared" ca="1" si="338"/>
        <v>147401</v>
      </c>
      <c r="AZ168" s="931">
        <f t="shared" ca="1" si="339"/>
        <v>1.2886966433856797</v>
      </c>
      <c r="BB168" s="13">
        <f ca="1">SUM((INDIRECT(BB$2&amp;(ROW())):INDIRECT(BB$3&amp;(ROW()))))</f>
        <v>2490888.1383544598</v>
      </c>
      <c r="BC168" s="89">
        <f ca="1">SUM(INDIRECT(BC$1&amp;BC$2&amp;$C168):INDIRECT(BC$1&amp;BC$3&amp;$C168))</f>
        <v>0</v>
      </c>
      <c r="BD168" s="880">
        <f t="shared" ca="1" si="340"/>
        <v>2490888.1383544598</v>
      </c>
      <c r="BE168" s="931">
        <f t="shared" ca="1" si="341"/>
        <v>0</v>
      </c>
      <c r="BF168" s="89">
        <f ca="1">SUM(INDIRECT(BF$1&amp;BF$2&amp;$A168):INDIRECT(BF$1&amp;BF$3&amp;$A168))+SUM(INDIRECT(BF$1&amp;BF$2&amp;$B168):INDIRECT(BF$1&amp;BF$3&amp;$B168))</f>
        <v>1714983</v>
      </c>
      <c r="BG168" s="880">
        <f t="shared" ca="1" si="342"/>
        <v>775905.13835445978</v>
      </c>
      <c r="BH168" s="931">
        <f t="shared" ca="1" si="343"/>
        <v>1.4524273059000934</v>
      </c>
    </row>
    <row r="169" spans="1:60" ht="14.5">
      <c r="A169" s="990">
        <f t="shared" si="325"/>
        <v>142</v>
      </c>
      <c r="B169" s="990">
        <v>1</v>
      </c>
      <c r="C169" s="990">
        <f t="shared" si="291"/>
        <v>166</v>
      </c>
      <c r="E169" s="1243">
        <v>1</v>
      </c>
      <c r="F169" s="5"/>
      <c r="G169" s="5"/>
      <c r="H169" s="5"/>
      <c r="I169" s="30"/>
      <c r="J169" s="4"/>
      <c r="K169" s="5"/>
      <c r="L169" s="5"/>
      <c r="M169" s="4"/>
      <c r="N169" s="4"/>
      <c r="O169" s="4"/>
      <c r="P169" s="51" t="s">
        <v>463</v>
      </c>
      <c r="Q169" s="1854" t="str">
        <f>CHOOSE(2, "6722000003088", "PL (2) Cost of Sales NH MC(T, P, C) Indirect")</f>
        <v>PL (2) Cost of Sales NH MC(T, P, C) Indirect</v>
      </c>
      <c r="R169" s="2214">
        <f>R167-R168</f>
        <v>35740</v>
      </c>
      <c r="S169" s="2090">
        <f>S167-S168</f>
        <v>31409</v>
      </c>
      <c r="T169" s="2090">
        <f t="shared" ref="T169:AC169" si="357">T167-T168</f>
        <v>36616</v>
      </c>
      <c r="U169" s="2090">
        <f t="shared" si="357"/>
        <v>32754</v>
      </c>
      <c r="V169" s="2090">
        <f t="shared" si="357"/>
        <v>25618.861645540019</v>
      </c>
      <c r="W169" s="2090">
        <f t="shared" si="357"/>
        <v>23961</v>
      </c>
      <c r="X169" s="2090">
        <f t="shared" si="357"/>
        <v>28114</v>
      </c>
      <c r="Y169" s="2090">
        <f t="shared" si="357"/>
        <v>1972</v>
      </c>
      <c r="Z169" s="2090">
        <f t="shared" si="357"/>
        <v>33258</v>
      </c>
      <c r="AA169" s="2090">
        <f t="shared" si="357"/>
        <v>33882</v>
      </c>
      <c r="AB169" s="2090">
        <f t="shared" si="357"/>
        <v>54211.613798332983</v>
      </c>
      <c r="AC169" s="2090">
        <f t="shared" si="357"/>
        <v>33113</v>
      </c>
      <c r="AD169" s="134">
        <f t="shared" ref="AD169:AJ169" si="358">AD167-AD168</f>
        <v>103765</v>
      </c>
      <c r="AE169" s="134">
        <f t="shared" si="358"/>
        <v>82333.86164553999</v>
      </c>
      <c r="AF169" s="134">
        <f t="shared" si="358"/>
        <v>63344</v>
      </c>
      <c r="AG169" s="134">
        <f t="shared" si="358"/>
        <v>121206.61379833298</v>
      </c>
      <c r="AH169" s="134">
        <f t="shared" si="358"/>
        <v>186098.86164553999</v>
      </c>
      <c r="AI169" s="134">
        <f t="shared" si="358"/>
        <v>184550.61379833287</v>
      </c>
      <c r="AJ169" s="134">
        <f t="shared" si="358"/>
        <v>370649.47544387309</v>
      </c>
      <c r="AL169" s="2061">
        <f ca="1">SUM((INDIRECT(AL$2&amp;(ROW())):INDIRECT(AL$3&amp;(ROW()))))</f>
        <v>33113</v>
      </c>
      <c r="AM169" s="134">
        <f ca="1">SUM(INDIRECT(AM$1&amp;AM$2&amp;$C169):INDIRECT(AM$1&amp;AM$3&amp;$C169))</f>
        <v>0</v>
      </c>
      <c r="AN169" s="883">
        <f t="shared" ca="1" si="332"/>
        <v>33113</v>
      </c>
      <c r="AO169" s="934">
        <f t="shared" ca="1" si="333"/>
        <v>0</v>
      </c>
      <c r="AP169" s="134">
        <f ca="1">SUM(INDIRECT(AP$1&amp;AP$2&amp;$A169):INDIRECT(AP$1&amp;AP$3&amp;$A169))+SUM(INDIRECT(AP$1&amp;AP$2&amp;$B169):INDIRECT(AP$1&amp;AP$3&amp;$B169))</f>
        <v>30874</v>
      </c>
      <c r="AQ169" s="883">
        <f t="shared" ca="1" si="334"/>
        <v>2239</v>
      </c>
      <c r="AR169" s="934">
        <f t="shared" ca="1" si="335"/>
        <v>1.0725205674677722</v>
      </c>
      <c r="AT169" s="2061">
        <f ca="1">SUM((INDIRECT(AT$2&amp;(ROW())):INDIRECT(AT$3&amp;(ROW()))))</f>
        <v>121206.61379833298</v>
      </c>
      <c r="AU169" s="134">
        <f ca="1">SUM(INDIRECT(AU$1&amp;AU$2&amp;$C169):INDIRECT(AU$1&amp;AU$3&amp;$C169))</f>
        <v>0</v>
      </c>
      <c r="AV169" s="883">
        <f t="shared" ca="1" si="336"/>
        <v>121206.61379833298</v>
      </c>
      <c r="AW169" s="934">
        <f t="shared" ca="1" si="337"/>
        <v>0</v>
      </c>
      <c r="AX169" s="134">
        <f ca="1">SUM(INDIRECT(AX$1&amp;AX$2&amp;$A169):INDIRECT(AX$1&amp;AX$3&amp;$A169))+SUM(INDIRECT(AX$1&amp;AX$2&amp;$B169):INDIRECT(AX$1&amp;AX$3&amp;$B169))</f>
        <v>85238</v>
      </c>
      <c r="AY169" s="883">
        <f t="shared" ca="1" si="338"/>
        <v>35968.613798332983</v>
      </c>
      <c r="AZ169" s="934">
        <f t="shared" ca="1" si="339"/>
        <v>1.4219786221911939</v>
      </c>
      <c r="BB169" s="2061">
        <f ca="1">SUM((INDIRECT(BB$2&amp;(ROW())):INDIRECT(BB$3&amp;(ROW()))))</f>
        <v>370649.47544387297</v>
      </c>
      <c r="BC169" s="134">
        <f ca="1">SUM(INDIRECT(BC$1&amp;BC$2&amp;$C169):INDIRECT(BC$1&amp;BC$3&amp;$C169))</f>
        <v>0</v>
      </c>
      <c r="BD169" s="883">
        <f t="shared" ca="1" si="340"/>
        <v>370649.47544387297</v>
      </c>
      <c r="BE169" s="934">
        <f t="shared" ca="1" si="341"/>
        <v>0</v>
      </c>
      <c r="BF169" s="134">
        <f ca="1">SUM(INDIRECT(BF$1&amp;BF$2&amp;$A169):INDIRECT(BF$1&amp;BF$3&amp;$A169))+SUM(INDIRECT(BF$1&amp;BF$2&amp;$B169):INDIRECT(BF$1&amp;BF$3&amp;$B169))</f>
        <v>278182</v>
      </c>
      <c r="BG169" s="883">
        <f t="shared" ca="1" si="342"/>
        <v>92467.475443872972</v>
      </c>
      <c r="BH169" s="934">
        <f t="shared" ca="1" si="343"/>
        <v>1.3323992042758805</v>
      </c>
    </row>
    <row r="170" spans="1:60" ht="14.5">
      <c r="A170" s="990">
        <f t="shared" si="325"/>
        <v>143</v>
      </c>
      <c r="B170" s="990">
        <v>1</v>
      </c>
      <c r="C170" s="990">
        <f t="shared" si="291"/>
        <v>167</v>
      </c>
      <c r="E170" s="1243">
        <v>1</v>
      </c>
      <c r="F170" s="5"/>
      <c r="G170" s="5"/>
      <c r="H170" s="5"/>
      <c r="I170" s="30"/>
      <c r="J170" s="4"/>
      <c r="K170" s="5"/>
      <c r="L170" s="5"/>
      <c r="M170" s="4"/>
      <c r="N170" s="4"/>
      <c r="O170" s="4" t="s">
        <v>372</v>
      </c>
      <c r="P170" s="4"/>
      <c r="Q170" s="1854" t="str">
        <f>CHOOSE(2, "6722000003089", "PL (2) Cost of Sales NH Field Service Cost")</f>
        <v>PL (2) Cost of Sales NH Field Service Cost</v>
      </c>
      <c r="R170" s="2213">
        <f t="shared" ref="R170:AC170" si="359">(R593+R616)*-1</f>
        <v>13687</v>
      </c>
      <c r="S170" s="2089">
        <f t="shared" si="359"/>
        <v>14642</v>
      </c>
      <c r="T170" s="2089">
        <f t="shared" si="359"/>
        <v>16081</v>
      </c>
      <c r="U170" s="2089">
        <f t="shared" si="359"/>
        <v>17620</v>
      </c>
      <c r="V170" s="2089">
        <f t="shared" si="359"/>
        <v>16858.855701118951</v>
      </c>
      <c r="W170" s="2089">
        <f t="shared" si="359"/>
        <v>17021.748</v>
      </c>
      <c r="X170" s="2089">
        <f t="shared" si="359"/>
        <v>27094.748</v>
      </c>
      <c r="Y170" s="2089">
        <f t="shared" si="359"/>
        <v>15703</v>
      </c>
      <c r="Z170" s="2089">
        <f t="shared" si="359"/>
        <v>16374</v>
      </c>
      <c r="AA170" s="2089">
        <f t="shared" si="359"/>
        <v>15577</v>
      </c>
      <c r="AB170" s="2089">
        <f t="shared" si="359"/>
        <v>26298.092000000001</v>
      </c>
      <c r="AC170" s="2089">
        <f t="shared" si="359"/>
        <v>21071</v>
      </c>
      <c r="AD170" s="89">
        <f t="shared" ref="AD170:AD176" si="360">SUM(R170,S170,T170)</f>
        <v>44410</v>
      </c>
      <c r="AE170" s="89">
        <f t="shared" ref="AE170:AE176" si="361">SUM(U170,V170,W170)</f>
        <v>51500.603701118955</v>
      </c>
      <c r="AF170" s="89">
        <f t="shared" ref="AF170:AF176" si="362">SUM(X170,Y170,Z170)</f>
        <v>59171.748</v>
      </c>
      <c r="AG170" s="89">
        <f t="shared" ref="AG170:AG176" si="363">SUM(AA170,AB170,AC170)</f>
        <v>62946.092000000004</v>
      </c>
      <c r="AH170" s="89">
        <f t="shared" ref="AH170:AH175" si="364">AD170+AE170</f>
        <v>95910.603701118962</v>
      </c>
      <c r="AI170" s="89">
        <f t="shared" ref="AI170:AI175" si="365">AG170+AF170</f>
        <v>122117.84</v>
      </c>
      <c r="AJ170" s="89">
        <f t="shared" ref="AJ170:AJ175" si="366">AH170+AI170</f>
        <v>218028.44370111896</v>
      </c>
      <c r="AL170" s="13">
        <f ca="1">SUM((INDIRECT(AL$2&amp;(ROW())):INDIRECT(AL$3&amp;(ROW()))))</f>
        <v>21071</v>
      </c>
      <c r="AM170" s="89">
        <f ca="1">SUM(INDIRECT(AM$1&amp;AM$2&amp;$C170):INDIRECT(AM$1&amp;AM$3&amp;$C170))</f>
        <v>0</v>
      </c>
      <c r="AN170" s="880">
        <f t="shared" ca="1" si="332"/>
        <v>21071</v>
      </c>
      <c r="AO170" s="931">
        <f t="shared" ca="1" si="333"/>
        <v>0</v>
      </c>
      <c r="AP170" s="89">
        <f ca="1">SUM(INDIRECT(AP$1&amp;AP$2&amp;$A170):INDIRECT(AP$1&amp;AP$3&amp;$A170))+SUM(INDIRECT(AP$1&amp;AP$2&amp;$B170):INDIRECT(AP$1&amp;AP$3&amp;$B170))</f>
        <v>20308</v>
      </c>
      <c r="AQ170" s="880">
        <f t="shared" ca="1" si="334"/>
        <v>763</v>
      </c>
      <c r="AR170" s="931">
        <f t="shared" ca="1" si="335"/>
        <v>1.0375714004333267</v>
      </c>
      <c r="AT170" s="13">
        <f ca="1">SUM((INDIRECT(AT$2&amp;(ROW())):INDIRECT(AT$3&amp;(ROW()))))</f>
        <v>62946.092000000004</v>
      </c>
      <c r="AU170" s="89">
        <f ca="1">SUM(INDIRECT(AU$1&amp;AU$2&amp;$C170):INDIRECT(AU$1&amp;AU$3&amp;$C170))</f>
        <v>0</v>
      </c>
      <c r="AV170" s="880">
        <f t="shared" ca="1" si="336"/>
        <v>62946.092000000004</v>
      </c>
      <c r="AW170" s="931">
        <f t="shared" ca="1" si="337"/>
        <v>0</v>
      </c>
      <c r="AX170" s="89">
        <f ca="1">SUM(INDIRECT(AX$1&amp;AX$2&amp;$A170):INDIRECT(AX$1&amp;AX$3&amp;$A170))+SUM(INDIRECT(AX$1&amp;AX$2&amp;$B170):INDIRECT(AX$1&amp;AX$3&amp;$B170))</f>
        <v>48036</v>
      </c>
      <c r="AY170" s="880">
        <f t="shared" ca="1" si="338"/>
        <v>14910.092000000004</v>
      </c>
      <c r="AZ170" s="931">
        <f t="shared" ca="1" si="339"/>
        <v>1.3103941210758598</v>
      </c>
      <c r="BB170" s="13">
        <f ca="1">SUM((INDIRECT(BB$2&amp;(ROW())):INDIRECT(BB$3&amp;(ROW()))))</f>
        <v>218028.44370111896</v>
      </c>
      <c r="BC170" s="89">
        <f ca="1">SUM(INDIRECT(BC$1&amp;BC$2&amp;$C170):INDIRECT(BC$1&amp;BC$3&amp;$C170))</f>
        <v>0</v>
      </c>
      <c r="BD170" s="880">
        <f t="shared" ca="1" si="340"/>
        <v>218028.44370111896</v>
      </c>
      <c r="BE170" s="931">
        <f t="shared" ca="1" si="341"/>
        <v>0</v>
      </c>
      <c r="BF170" s="89">
        <f ca="1">SUM(INDIRECT(BF$1&amp;BF$2&amp;$A170):INDIRECT(BF$1&amp;BF$3&amp;$A170))+SUM(INDIRECT(BF$1&amp;BF$2&amp;$B170):INDIRECT(BF$1&amp;BF$3&amp;$B170))</f>
        <v>166800</v>
      </c>
      <c r="BG170" s="880">
        <f t="shared" ca="1" si="342"/>
        <v>51228.443701118958</v>
      </c>
      <c r="BH170" s="931">
        <f t="shared" ca="1" si="343"/>
        <v>1.3071249622369243</v>
      </c>
    </row>
    <row r="171" spans="1:60" ht="14.5">
      <c r="A171" s="990">
        <f t="shared" si="325"/>
        <v>144</v>
      </c>
      <c r="B171" s="990">
        <v>1</v>
      </c>
      <c r="C171" s="990">
        <f t="shared" si="291"/>
        <v>168</v>
      </c>
      <c r="E171" s="1243">
        <v>1</v>
      </c>
      <c r="F171" s="5"/>
      <c r="G171" s="5"/>
      <c r="H171" s="5"/>
      <c r="I171" s="30"/>
      <c r="J171" s="4"/>
      <c r="K171" s="5"/>
      <c r="L171" s="5"/>
      <c r="M171" s="4"/>
      <c r="N171" s="4"/>
      <c r="O171" s="4" t="s">
        <v>373</v>
      </c>
      <c r="P171" s="4"/>
      <c r="Q171" s="1854" t="str">
        <f>CHOOSE(2, "6722000003090", "PL (2) Cost of Sales NH Service Desk Cost")</f>
        <v>PL (2) Cost of Sales NH Service Desk Cost</v>
      </c>
      <c r="R171" s="2213">
        <f t="shared" ref="R171:AC171" si="367">(R597+R620)*-1</f>
        <v>0</v>
      </c>
      <c r="S171" s="2089">
        <f t="shared" si="367"/>
        <v>0</v>
      </c>
      <c r="T171" s="2089">
        <f t="shared" si="367"/>
        <v>0</v>
      </c>
      <c r="U171" s="2089">
        <f t="shared" si="367"/>
        <v>0</v>
      </c>
      <c r="V171" s="2089">
        <f t="shared" si="367"/>
        <v>0</v>
      </c>
      <c r="W171" s="2089">
        <f t="shared" si="367"/>
        <v>0</v>
      </c>
      <c r="X171" s="2089">
        <f t="shared" si="367"/>
        <v>0</v>
      </c>
      <c r="Y171" s="2089">
        <f t="shared" si="367"/>
        <v>0</v>
      </c>
      <c r="Z171" s="2089">
        <f t="shared" si="367"/>
        <v>0</v>
      </c>
      <c r="AA171" s="2089">
        <f t="shared" si="367"/>
        <v>0</v>
      </c>
      <c r="AB171" s="2089">
        <f t="shared" si="367"/>
        <v>0</v>
      </c>
      <c r="AC171" s="2089">
        <f t="shared" si="367"/>
        <v>0</v>
      </c>
      <c r="AD171" s="89">
        <f t="shared" si="360"/>
        <v>0</v>
      </c>
      <c r="AE171" s="89">
        <f t="shared" si="361"/>
        <v>0</v>
      </c>
      <c r="AF171" s="89">
        <f t="shared" si="362"/>
        <v>0</v>
      </c>
      <c r="AG171" s="89">
        <f t="shared" si="363"/>
        <v>0</v>
      </c>
      <c r="AH171" s="89">
        <f t="shared" si="364"/>
        <v>0</v>
      </c>
      <c r="AI171" s="89">
        <f t="shared" si="365"/>
        <v>0</v>
      </c>
      <c r="AJ171" s="89">
        <f t="shared" si="366"/>
        <v>0</v>
      </c>
      <c r="AL171" s="13">
        <f ca="1">SUM((INDIRECT(AL$2&amp;(ROW())):INDIRECT(AL$3&amp;(ROW()))))</f>
        <v>0</v>
      </c>
      <c r="AM171" s="89">
        <f ca="1">SUM(INDIRECT(AM$1&amp;AM$2&amp;$C171):INDIRECT(AM$1&amp;AM$3&amp;$C171))</f>
        <v>0</v>
      </c>
      <c r="AN171" s="880">
        <f t="shared" ca="1" si="332"/>
        <v>0</v>
      </c>
      <c r="AO171" s="931">
        <f t="shared" ca="1" si="333"/>
        <v>0</v>
      </c>
      <c r="AP171" s="89">
        <f ca="1">SUM(INDIRECT(AP$1&amp;AP$2&amp;$A171):INDIRECT(AP$1&amp;AP$3&amp;$A171))+SUM(INDIRECT(AP$1&amp;AP$2&amp;$B171):INDIRECT(AP$1&amp;AP$3&amp;$B171))</f>
        <v>60</v>
      </c>
      <c r="AQ171" s="880">
        <f t="shared" ca="1" si="334"/>
        <v>-60</v>
      </c>
      <c r="AR171" s="931">
        <f t="shared" ca="1" si="335"/>
        <v>0</v>
      </c>
      <c r="AT171" s="13">
        <f ca="1">SUM((INDIRECT(AT$2&amp;(ROW())):INDIRECT(AT$3&amp;(ROW()))))</f>
        <v>0</v>
      </c>
      <c r="AU171" s="89">
        <f ca="1">SUM(INDIRECT(AU$1&amp;AU$2&amp;$C171):INDIRECT(AU$1&amp;AU$3&amp;$C171))</f>
        <v>0</v>
      </c>
      <c r="AV171" s="880">
        <f t="shared" ca="1" si="336"/>
        <v>0</v>
      </c>
      <c r="AW171" s="931">
        <f t="shared" ca="1" si="337"/>
        <v>0</v>
      </c>
      <c r="AX171" s="89">
        <f ca="1">SUM(INDIRECT(AX$1&amp;AX$2&amp;$A171):INDIRECT(AX$1&amp;AX$3&amp;$A171))+SUM(INDIRECT(AX$1&amp;AX$2&amp;$B171):INDIRECT(AX$1&amp;AX$3&amp;$B171))</f>
        <v>635</v>
      </c>
      <c r="AY171" s="880">
        <f t="shared" ca="1" si="338"/>
        <v>-635</v>
      </c>
      <c r="AZ171" s="931">
        <f t="shared" ca="1" si="339"/>
        <v>0</v>
      </c>
      <c r="BB171" s="13">
        <f ca="1">SUM((INDIRECT(BB$2&amp;(ROW())):INDIRECT(BB$3&amp;(ROW()))))</f>
        <v>0</v>
      </c>
      <c r="BC171" s="89">
        <f ca="1">SUM(INDIRECT(BC$1&amp;BC$2&amp;$C171):INDIRECT(BC$1&amp;BC$3&amp;$C171))</f>
        <v>0</v>
      </c>
      <c r="BD171" s="880">
        <f t="shared" ca="1" si="340"/>
        <v>0</v>
      </c>
      <c r="BE171" s="931">
        <f t="shared" ca="1" si="341"/>
        <v>0</v>
      </c>
      <c r="BF171" s="89">
        <f ca="1">SUM(INDIRECT(BF$1&amp;BF$2&amp;$A171):INDIRECT(BF$1&amp;BF$3&amp;$A171))+SUM(INDIRECT(BF$1&amp;BF$2&amp;$B171):INDIRECT(BF$1&amp;BF$3&amp;$B171))</f>
        <v>3421</v>
      </c>
      <c r="BG171" s="880">
        <f t="shared" ca="1" si="342"/>
        <v>-3421</v>
      </c>
      <c r="BH171" s="931">
        <f t="shared" ca="1" si="343"/>
        <v>0</v>
      </c>
    </row>
    <row r="172" spans="1:60" ht="14.5">
      <c r="A172" s="990">
        <f t="shared" si="325"/>
        <v>145</v>
      </c>
      <c r="B172" s="990">
        <v>1</v>
      </c>
      <c r="C172" s="990">
        <f t="shared" si="291"/>
        <v>169</v>
      </c>
      <c r="E172" s="1243">
        <v>1</v>
      </c>
      <c r="F172" s="5"/>
      <c r="G172" s="5"/>
      <c r="H172" s="5"/>
      <c r="I172" s="30"/>
      <c r="J172" s="4"/>
      <c r="K172" s="5"/>
      <c r="L172" s="5"/>
      <c r="M172" s="4"/>
      <c r="N172" s="4"/>
      <c r="O172" s="4" t="s">
        <v>49</v>
      </c>
      <c r="P172" s="4"/>
      <c r="Q172" s="1854" t="str">
        <f>CHOOSE(2, "6722000003091", "PL (2) Cost of Sales NH D&amp;A")</f>
        <v>PL (2) Cost of Sales NH D&amp;A</v>
      </c>
      <c r="R172" s="2213">
        <f>(R600+R623)*-1</f>
        <v>0</v>
      </c>
      <c r="S172" s="2089">
        <f t="shared" ref="S172:AC172" si="368">(S600+S623)*-1</f>
        <v>0</v>
      </c>
      <c r="T172" s="2089">
        <f t="shared" si="368"/>
        <v>0</v>
      </c>
      <c r="U172" s="2089">
        <f t="shared" si="368"/>
        <v>0</v>
      </c>
      <c r="V172" s="2089">
        <f t="shared" si="368"/>
        <v>0</v>
      </c>
      <c r="W172" s="2089">
        <f t="shared" si="368"/>
        <v>0</v>
      </c>
      <c r="X172" s="2089">
        <f t="shared" si="368"/>
        <v>0</v>
      </c>
      <c r="Y172" s="2089">
        <f t="shared" si="368"/>
        <v>0</v>
      </c>
      <c r="Z172" s="2089">
        <f t="shared" si="368"/>
        <v>0</v>
      </c>
      <c r="AA172" s="2089">
        <f t="shared" si="368"/>
        <v>0</v>
      </c>
      <c r="AB172" s="2089">
        <f t="shared" si="368"/>
        <v>0</v>
      </c>
      <c r="AC172" s="2089">
        <f t="shared" si="368"/>
        <v>0</v>
      </c>
      <c r="AD172" s="89">
        <f t="shared" si="360"/>
        <v>0</v>
      </c>
      <c r="AE172" s="89">
        <f t="shared" si="361"/>
        <v>0</v>
      </c>
      <c r="AF172" s="89">
        <f t="shared" si="362"/>
        <v>0</v>
      </c>
      <c r="AG172" s="89">
        <f t="shared" si="363"/>
        <v>0</v>
      </c>
      <c r="AH172" s="89">
        <f t="shared" si="364"/>
        <v>0</v>
      </c>
      <c r="AI172" s="89">
        <f t="shared" si="365"/>
        <v>0</v>
      </c>
      <c r="AJ172" s="89">
        <f t="shared" si="366"/>
        <v>0</v>
      </c>
      <c r="AL172" s="13">
        <f ca="1">SUM((INDIRECT(AL$2&amp;(ROW())):INDIRECT(AL$3&amp;(ROW()))))</f>
        <v>0</v>
      </c>
      <c r="AM172" s="89">
        <f ca="1">SUM(INDIRECT(AM$1&amp;AM$2&amp;$C172):INDIRECT(AM$1&amp;AM$3&amp;$C172))</f>
        <v>0</v>
      </c>
      <c r="AN172" s="880">
        <f t="shared" ca="1" si="332"/>
        <v>0</v>
      </c>
      <c r="AO172" s="931">
        <f t="shared" ca="1" si="333"/>
        <v>0</v>
      </c>
      <c r="AP172" s="89">
        <f ca="1">SUM(INDIRECT(AP$1&amp;AP$2&amp;$A172):INDIRECT(AP$1&amp;AP$3&amp;$A172))+SUM(INDIRECT(AP$1&amp;AP$2&amp;$B172):INDIRECT(AP$1&amp;AP$3&amp;$B172))</f>
        <v>0</v>
      </c>
      <c r="AQ172" s="880">
        <f t="shared" ca="1" si="334"/>
        <v>0</v>
      </c>
      <c r="AR172" s="931">
        <f t="shared" ca="1" si="335"/>
        <v>0</v>
      </c>
      <c r="AT172" s="13">
        <f ca="1">SUM((INDIRECT(AT$2&amp;(ROW())):INDIRECT(AT$3&amp;(ROW()))))</f>
        <v>0</v>
      </c>
      <c r="AU172" s="89">
        <f ca="1">SUM(INDIRECT(AU$1&amp;AU$2&amp;$C172):INDIRECT(AU$1&amp;AU$3&amp;$C172))</f>
        <v>0</v>
      </c>
      <c r="AV172" s="880">
        <f t="shared" ca="1" si="336"/>
        <v>0</v>
      </c>
      <c r="AW172" s="931">
        <f t="shared" ca="1" si="337"/>
        <v>0</v>
      </c>
      <c r="AX172" s="89">
        <f ca="1">SUM(INDIRECT(AX$1&amp;AX$2&amp;$A172):INDIRECT(AX$1&amp;AX$3&amp;$A172))+SUM(INDIRECT(AX$1&amp;AX$2&amp;$B172):INDIRECT(AX$1&amp;AX$3&amp;$B172))</f>
        <v>0</v>
      </c>
      <c r="AY172" s="880">
        <f t="shared" ca="1" si="338"/>
        <v>0</v>
      </c>
      <c r="AZ172" s="931">
        <f t="shared" ca="1" si="339"/>
        <v>0</v>
      </c>
      <c r="BB172" s="13">
        <f ca="1">SUM((INDIRECT(BB$2&amp;(ROW())):INDIRECT(BB$3&amp;(ROW()))))</f>
        <v>0</v>
      </c>
      <c r="BC172" s="89">
        <f ca="1">SUM(INDIRECT(BC$1&amp;BC$2&amp;$C172):INDIRECT(BC$1&amp;BC$3&amp;$C172))</f>
        <v>0</v>
      </c>
      <c r="BD172" s="880">
        <f t="shared" ca="1" si="340"/>
        <v>0</v>
      </c>
      <c r="BE172" s="931">
        <f t="shared" ca="1" si="341"/>
        <v>0</v>
      </c>
      <c r="BF172" s="89">
        <f ca="1">SUM(INDIRECT(BF$1&amp;BF$2&amp;$A172):INDIRECT(BF$1&amp;BF$3&amp;$A172))+SUM(INDIRECT(BF$1&amp;BF$2&amp;$B172):INDIRECT(BF$1&amp;BF$3&amp;$B172))</f>
        <v>0</v>
      </c>
      <c r="BG172" s="880">
        <f t="shared" ca="1" si="342"/>
        <v>0</v>
      </c>
      <c r="BH172" s="931">
        <f t="shared" ca="1" si="343"/>
        <v>0</v>
      </c>
    </row>
    <row r="173" spans="1:60" ht="14.5">
      <c r="A173" s="990">
        <f t="shared" si="325"/>
        <v>146</v>
      </c>
      <c r="B173" s="990">
        <v>1</v>
      </c>
      <c r="C173" s="990">
        <f t="shared" si="291"/>
        <v>170</v>
      </c>
      <c r="E173" s="1243">
        <v>1</v>
      </c>
      <c r="F173" s="5"/>
      <c r="G173" s="5"/>
      <c r="H173" s="5"/>
      <c r="I173" s="30"/>
      <c r="J173" s="4"/>
      <c r="K173" s="5"/>
      <c r="L173" s="5"/>
      <c r="M173" s="4"/>
      <c r="N173" s="4"/>
      <c r="O173" s="4" t="s">
        <v>464</v>
      </c>
      <c r="P173" s="4"/>
      <c r="Q173" s="1854" t="str">
        <f>CHOOSE(2, "6722000003092", "PL (2) Cost of Sales NH Others")</f>
        <v>PL (2) Cost of Sales NH Others</v>
      </c>
      <c r="R173" s="2213">
        <f>R166-R167-R170-R171-R172</f>
        <v>0</v>
      </c>
      <c r="S173" s="2089">
        <f>S166-S167-S170-S171-S172</f>
        <v>0</v>
      </c>
      <c r="T173" s="2089">
        <f t="shared" ref="T173:AC173" si="369">T166-T167-T170-T171-T172</f>
        <v>0</v>
      </c>
      <c r="U173" s="2089">
        <f t="shared" si="369"/>
        <v>0</v>
      </c>
      <c r="V173" s="2089">
        <f t="shared" si="369"/>
        <v>0.12198820208504912</v>
      </c>
      <c r="W173" s="2089">
        <f t="shared" si="369"/>
        <v>-7.2759576141834259E-12</v>
      </c>
      <c r="X173" s="2089">
        <f t="shared" si="369"/>
        <v>2.1827872842550278E-11</v>
      </c>
      <c r="Y173" s="2089">
        <f t="shared" si="369"/>
        <v>26006</v>
      </c>
      <c r="Z173" s="2089">
        <f t="shared" si="369"/>
        <v>0</v>
      </c>
      <c r="AA173" s="2089">
        <f t="shared" si="369"/>
        <v>0</v>
      </c>
      <c r="AB173" s="2089">
        <f t="shared" si="369"/>
        <v>0.27950166701702983</v>
      </c>
      <c r="AC173" s="2089">
        <f t="shared" si="369"/>
        <v>0</v>
      </c>
      <c r="AD173" s="89">
        <f t="shared" si="360"/>
        <v>0</v>
      </c>
      <c r="AE173" s="89">
        <f t="shared" si="361"/>
        <v>0.12198820207777317</v>
      </c>
      <c r="AF173" s="89">
        <f t="shared" si="362"/>
        <v>26006.000000000022</v>
      </c>
      <c r="AG173" s="89">
        <f t="shared" si="363"/>
        <v>0.27950166701702983</v>
      </c>
      <c r="AH173" s="89">
        <f t="shared" si="364"/>
        <v>0.12198820207777317</v>
      </c>
      <c r="AI173" s="89">
        <f t="shared" si="365"/>
        <v>26006.279501667039</v>
      </c>
      <c r="AJ173" s="89">
        <f t="shared" si="366"/>
        <v>26006.401489869117</v>
      </c>
      <c r="AL173" s="13">
        <f ca="1">SUM((INDIRECT(AL$2&amp;(ROW())):INDIRECT(AL$3&amp;(ROW()))))</f>
        <v>0</v>
      </c>
      <c r="AM173" s="89">
        <f ca="1">SUM(INDIRECT(AM$1&amp;AM$2&amp;$C173):INDIRECT(AM$1&amp;AM$3&amp;$C173))</f>
        <v>0</v>
      </c>
      <c r="AN173" s="880">
        <f t="shared" ca="1" si="332"/>
        <v>0</v>
      </c>
      <c r="AO173" s="931">
        <f t="shared" ca="1" si="333"/>
        <v>0</v>
      </c>
      <c r="AP173" s="89">
        <f ca="1">SUM(INDIRECT(AP$1&amp;AP$2&amp;$A173):INDIRECT(AP$1&amp;AP$3&amp;$A173))+SUM(INDIRECT(AP$1&amp;AP$2&amp;$B173):INDIRECT(AP$1&amp;AP$3&amp;$B173))</f>
        <v>0</v>
      </c>
      <c r="AQ173" s="880">
        <f t="shared" ca="1" si="334"/>
        <v>0</v>
      </c>
      <c r="AR173" s="931">
        <f t="shared" ca="1" si="335"/>
        <v>0</v>
      </c>
      <c r="AT173" s="13">
        <f ca="1">SUM((INDIRECT(AT$2&amp;(ROW())):INDIRECT(AT$3&amp;(ROW()))))</f>
        <v>0.27950166701702983</v>
      </c>
      <c r="AU173" s="89">
        <f ca="1">SUM(INDIRECT(AU$1&amp;AU$2&amp;$C173):INDIRECT(AU$1&amp;AU$3&amp;$C173))</f>
        <v>0</v>
      </c>
      <c r="AV173" s="880">
        <f t="shared" ca="1" si="336"/>
        <v>0.27950166701702983</v>
      </c>
      <c r="AW173" s="931">
        <f t="shared" ca="1" si="337"/>
        <v>0</v>
      </c>
      <c r="AX173" s="89">
        <f ca="1">SUM(INDIRECT(AX$1&amp;AX$2&amp;$A173):INDIRECT(AX$1&amp;AX$3&amp;$A173))+SUM(INDIRECT(AX$1&amp;AX$2&amp;$B173):INDIRECT(AX$1&amp;AX$3&amp;$B173))</f>
        <v>0</v>
      </c>
      <c r="AY173" s="880">
        <f t="shared" ca="1" si="338"/>
        <v>0.27950166701702983</v>
      </c>
      <c r="AZ173" s="931">
        <f t="shared" ca="1" si="339"/>
        <v>0</v>
      </c>
      <c r="BB173" s="13">
        <f ca="1">SUM((INDIRECT(BB$2&amp;(ROW())):INDIRECT(BB$3&amp;(ROW()))))</f>
        <v>26006.401489869117</v>
      </c>
      <c r="BC173" s="89">
        <f ca="1">SUM(INDIRECT(BC$1&amp;BC$2&amp;$C173):INDIRECT(BC$1&amp;BC$3&amp;$C173))</f>
        <v>0</v>
      </c>
      <c r="BD173" s="880">
        <f t="shared" ca="1" si="340"/>
        <v>26006.401489869117</v>
      </c>
      <c r="BE173" s="931">
        <f t="shared" ca="1" si="341"/>
        <v>0</v>
      </c>
      <c r="BF173" s="89">
        <f ca="1">SUM(INDIRECT(BF$1&amp;BF$2&amp;$A173):INDIRECT(BF$1&amp;BF$3&amp;$A173))+SUM(INDIRECT(BF$1&amp;BF$2&amp;$B173):INDIRECT(BF$1&amp;BF$3&amp;$B173))</f>
        <v>0</v>
      </c>
      <c r="BG173" s="880">
        <f t="shared" ca="1" si="342"/>
        <v>26006.401489869117</v>
      </c>
      <c r="BH173" s="931">
        <f t="shared" ca="1" si="343"/>
        <v>0</v>
      </c>
    </row>
    <row r="174" spans="1:60" ht="14.5">
      <c r="A174" s="990">
        <f t="shared" si="325"/>
        <v>147</v>
      </c>
      <c r="B174" s="990">
        <v>1</v>
      </c>
      <c r="C174" s="990">
        <f t="shared" si="291"/>
        <v>171</v>
      </c>
      <c r="E174" s="1243">
        <v>1</v>
      </c>
      <c r="F174" s="5"/>
      <c r="G174" s="5"/>
      <c r="H174" s="5"/>
      <c r="I174" s="30"/>
      <c r="J174" s="4"/>
      <c r="K174" s="5"/>
      <c r="L174" s="5"/>
      <c r="M174" s="4" t="s">
        <v>85</v>
      </c>
      <c r="N174" s="4"/>
      <c r="O174" s="4"/>
      <c r="P174" s="4"/>
      <c r="Q174" s="1859" t="str">
        <f>CHOOSE(2, "6722000003093", "PL (2) Cost of Sales Solution")</f>
        <v>PL (2) Cost of Sales Solution</v>
      </c>
      <c r="R174" s="1928">
        <f>R157-R184</f>
        <v>0</v>
      </c>
      <c r="S174" s="2177">
        <f t="shared" ref="S174:AC175" si="370">S157-S184</f>
        <v>0</v>
      </c>
      <c r="T174" s="2177">
        <f t="shared" si="370"/>
        <v>0</v>
      </c>
      <c r="U174" s="2177">
        <f t="shared" si="370"/>
        <v>0</v>
      </c>
      <c r="V174" s="2177">
        <f t="shared" si="370"/>
        <v>0</v>
      </c>
      <c r="W174" s="2177">
        <f t="shared" si="370"/>
        <v>0</v>
      </c>
      <c r="X174" s="2177">
        <f t="shared" si="370"/>
        <v>0</v>
      </c>
      <c r="Y174" s="2177">
        <f t="shared" si="370"/>
        <v>0</v>
      </c>
      <c r="Z174" s="2177">
        <f t="shared" si="370"/>
        <v>0</v>
      </c>
      <c r="AA174" s="2177">
        <f t="shared" si="370"/>
        <v>0</v>
      </c>
      <c r="AB174" s="2177">
        <f t="shared" si="370"/>
        <v>0</v>
      </c>
      <c r="AC174" s="2177">
        <f t="shared" si="370"/>
        <v>0</v>
      </c>
      <c r="AD174" s="89">
        <f t="shared" si="360"/>
        <v>0</v>
      </c>
      <c r="AE174" s="89">
        <f t="shared" si="361"/>
        <v>0</v>
      </c>
      <c r="AF174" s="89">
        <f t="shared" si="362"/>
        <v>0</v>
      </c>
      <c r="AG174" s="89">
        <f t="shared" si="363"/>
        <v>0</v>
      </c>
      <c r="AH174" s="89">
        <f t="shared" si="364"/>
        <v>0</v>
      </c>
      <c r="AI174" s="89">
        <f t="shared" si="365"/>
        <v>0</v>
      </c>
      <c r="AJ174" s="89">
        <f t="shared" si="366"/>
        <v>0</v>
      </c>
      <c r="AL174" s="13">
        <f ca="1">SUM((INDIRECT(AL$2&amp;(ROW())):INDIRECT(AL$3&amp;(ROW()))))</f>
        <v>0</v>
      </c>
      <c r="AM174" s="89">
        <f ca="1">SUM(INDIRECT(AM$1&amp;AM$2&amp;$C174):INDIRECT(AM$1&amp;AM$3&amp;$C174))</f>
        <v>0</v>
      </c>
      <c r="AN174" s="880">
        <f t="shared" ca="1" si="332"/>
        <v>0</v>
      </c>
      <c r="AO174" s="931">
        <f t="shared" ca="1" si="333"/>
        <v>0</v>
      </c>
      <c r="AP174" s="89">
        <f ca="1">SUM(INDIRECT(AP$1&amp;AP$2&amp;$A174):INDIRECT(AP$1&amp;AP$3&amp;$A174))+SUM(INDIRECT(AP$1&amp;AP$2&amp;$B174):INDIRECT(AP$1&amp;AP$3&amp;$B174))</f>
        <v>0</v>
      </c>
      <c r="AQ174" s="880">
        <f t="shared" ca="1" si="334"/>
        <v>0</v>
      </c>
      <c r="AR174" s="931">
        <f t="shared" ca="1" si="335"/>
        <v>0</v>
      </c>
      <c r="AT174" s="13">
        <f ca="1">SUM((INDIRECT(AT$2&amp;(ROW())):INDIRECT(AT$3&amp;(ROW()))))</f>
        <v>0</v>
      </c>
      <c r="AU174" s="89">
        <f ca="1">SUM(INDIRECT(AU$1&amp;AU$2&amp;$C174):INDIRECT(AU$1&amp;AU$3&amp;$C174))</f>
        <v>0</v>
      </c>
      <c r="AV174" s="880">
        <f t="shared" ca="1" si="336"/>
        <v>0</v>
      </c>
      <c r="AW174" s="931">
        <f t="shared" ca="1" si="337"/>
        <v>0</v>
      </c>
      <c r="AX174" s="89">
        <f ca="1">SUM(INDIRECT(AX$1&amp;AX$2&amp;$A174):INDIRECT(AX$1&amp;AX$3&amp;$A174))+SUM(INDIRECT(AX$1&amp;AX$2&amp;$B174):INDIRECT(AX$1&amp;AX$3&amp;$B174))</f>
        <v>0</v>
      </c>
      <c r="AY174" s="880">
        <f t="shared" ca="1" si="338"/>
        <v>0</v>
      </c>
      <c r="AZ174" s="931">
        <f t="shared" ca="1" si="339"/>
        <v>0</v>
      </c>
      <c r="BB174" s="13">
        <f ca="1">SUM((INDIRECT(BB$2&amp;(ROW())):INDIRECT(BB$3&amp;(ROW()))))</f>
        <v>0</v>
      </c>
      <c r="BC174" s="89">
        <f ca="1">SUM(INDIRECT(BC$1&amp;BC$2&amp;$C174):INDIRECT(BC$1&amp;BC$3&amp;$C174))</f>
        <v>0</v>
      </c>
      <c r="BD174" s="880">
        <f t="shared" ca="1" si="340"/>
        <v>0</v>
      </c>
      <c r="BE174" s="931">
        <f t="shared" ca="1" si="341"/>
        <v>0</v>
      </c>
      <c r="BF174" s="89">
        <f ca="1">SUM(INDIRECT(BF$1&amp;BF$2&amp;$A174):INDIRECT(BF$1&amp;BF$3&amp;$A174))+SUM(INDIRECT(BF$1&amp;BF$2&amp;$B174):INDIRECT(BF$1&amp;BF$3&amp;$B174))</f>
        <v>0</v>
      </c>
      <c r="BG174" s="880">
        <f t="shared" ca="1" si="342"/>
        <v>0</v>
      </c>
      <c r="BH174" s="931">
        <f t="shared" ca="1" si="343"/>
        <v>0</v>
      </c>
    </row>
    <row r="175" spans="1:60" ht="14.5">
      <c r="A175" s="990">
        <f t="shared" si="325"/>
        <v>148</v>
      </c>
      <c r="B175" s="990">
        <v>1</v>
      </c>
      <c r="C175" s="990">
        <f t="shared" si="291"/>
        <v>172</v>
      </c>
      <c r="E175" s="1243">
        <v>1</v>
      </c>
      <c r="F175" s="5"/>
      <c r="G175" s="5"/>
      <c r="H175" s="5"/>
      <c r="I175" s="30"/>
      <c r="J175" s="4"/>
      <c r="K175" s="5"/>
      <c r="L175" s="5"/>
      <c r="M175" s="4" t="s">
        <v>11</v>
      </c>
      <c r="N175" s="4"/>
      <c r="O175" s="4"/>
      <c r="P175" s="4"/>
      <c r="Q175" s="1859" t="str">
        <f>CHOOSE(2, "6722000003094", "PL (2) Cost of Sales Others")</f>
        <v>PL (2) Cost of Sales Others</v>
      </c>
      <c r="R175" s="1927">
        <f>R158-R185</f>
        <v>0</v>
      </c>
      <c r="S175" s="29">
        <f t="shared" si="370"/>
        <v>0</v>
      </c>
      <c r="T175" s="29">
        <f t="shared" si="370"/>
        <v>0</v>
      </c>
      <c r="U175" s="29">
        <f t="shared" si="370"/>
        <v>0</v>
      </c>
      <c r="V175" s="29">
        <f t="shared" si="370"/>
        <v>0</v>
      </c>
      <c r="W175" s="29">
        <f t="shared" si="370"/>
        <v>0</v>
      </c>
      <c r="X175" s="29">
        <f t="shared" si="370"/>
        <v>0</v>
      </c>
      <c r="Y175" s="29">
        <f t="shared" si="370"/>
        <v>0</v>
      </c>
      <c r="Z175" s="29">
        <f t="shared" si="370"/>
        <v>0</v>
      </c>
      <c r="AA175" s="29">
        <f t="shared" si="370"/>
        <v>0</v>
      </c>
      <c r="AB175" s="29">
        <f t="shared" si="370"/>
        <v>0</v>
      </c>
      <c r="AC175" s="29">
        <f t="shared" si="370"/>
        <v>0</v>
      </c>
      <c r="AD175" s="89">
        <f t="shared" si="360"/>
        <v>0</v>
      </c>
      <c r="AE175" s="89">
        <f t="shared" si="361"/>
        <v>0</v>
      </c>
      <c r="AF175" s="89">
        <f t="shared" si="362"/>
        <v>0</v>
      </c>
      <c r="AG175" s="89">
        <f t="shared" si="363"/>
        <v>0</v>
      </c>
      <c r="AH175" s="89">
        <f t="shared" si="364"/>
        <v>0</v>
      </c>
      <c r="AI175" s="89">
        <f t="shared" si="365"/>
        <v>0</v>
      </c>
      <c r="AJ175" s="89">
        <f t="shared" si="366"/>
        <v>0</v>
      </c>
      <c r="AL175" s="13">
        <f ca="1">SUM((INDIRECT(AL$2&amp;(ROW())):INDIRECT(AL$3&amp;(ROW()))))</f>
        <v>0</v>
      </c>
      <c r="AM175" s="89">
        <f ca="1">SUM(INDIRECT(AM$1&amp;AM$2&amp;$C175):INDIRECT(AM$1&amp;AM$3&amp;$C175))</f>
        <v>0</v>
      </c>
      <c r="AN175" s="880">
        <f t="shared" ca="1" si="332"/>
        <v>0</v>
      </c>
      <c r="AO175" s="931">
        <f t="shared" ca="1" si="333"/>
        <v>0</v>
      </c>
      <c r="AP175" s="89">
        <f ca="1">SUM(INDIRECT(AP$1&amp;AP$2&amp;$A175):INDIRECT(AP$1&amp;AP$3&amp;$A175))+SUM(INDIRECT(AP$1&amp;AP$2&amp;$B175):INDIRECT(AP$1&amp;AP$3&amp;$B175))</f>
        <v>0</v>
      </c>
      <c r="AQ175" s="880">
        <f t="shared" ca="1" si="334"/>
        <v>0</v>
      </c>
      <c r="AR175" s="931">
        <f t="shared" ca="1" si="335"/>
        <v>0</v>
      </c>
      <c r="AT175" s="13">
        <f ca="1">SUM((INDIRECT(AT$2&amp;(ROW())):INDIRECT(AT$3&amp;(ROW()))))</f>
        <v>0</v>
      </c>
      <c r="AU175" s="89">
        <f ca="1">SUM(INDIRECT(AU$1&amp;AU$2&amp;$C175):INDIRECT(AU$1&amp;AU$3&amp;$C175))</f>
        <v>0</v>
      </c>
      <c r="AV175" s="880">
        <f t="shared" ca="1" si="336"/>
        <v>0</v>
      </c>
      <c r="AW175" s="931">
        <f t="shared" ca="1" si="337"/>
        <v>0</v>
      </c>
      <c r="AX175" s="89">
        <f ca="1">SUM(INDIRECT(AX$1&amp;AX$2&amp;$A175):INDIRECT(AX$1&amp;AX$3&amp;$A175))+SUM(INDIRECT(AX$1&amp;AX$2&amp;$B175):INDIRECT(AX$1&amp;AX$3&amp;$B175))</f>
        <v>0</v>
      </c>
      <c r="AY175" s="880">
        <f t="shared" ca="1" si="338"/>
        <v>0</v>
      </c>
      <c r="AZ175" s="931">
        <f t="shared" ca="1" si="339"/>
        <v>0</v>
      </c>
      <c r="BB175" s="13">
        <f ca="1">SUM((INDIRECT(BB$2&amp;(ROW())):INDIRECT(BB$3&amp;(ROW()))))</f>
        <v>0</v>
      </c>
      <c r="BC175" s="89">
        <f ca="1">SUM(INDIRECT(BC$1&amp;BC$2&amp;$C175):INDIRECT(BC$1&amp;BC$3&amp;$C175))</f>
        <v>0</v>
      </c>
      <c r="BD175" s="880">
        <f t="shared" ca="1" si="340"/>
        <v>0</v>
      </c>
      <c r="BE175" s="931">
        <f t="shared" ca="1" si="341"/>
        <v>0</v>
      </c>
      <c r="BF175" s="89">
        <f ca="1">SUM(INDIRECT(BF$1&amp;BF$2&amp;$A175):INDIRECT(BF$1&amp;BF$3&amp;$A175))+SUM(INDIRECT(BF$1&amp;BF$2&amp;$B175):INDIRECT(BF$1&amp;BF$3&amp;$B175))</f>
        <v>0</v>
      </c>
      <c r="BG175" s="880">
        <f t="shared" ca="1" si="342"/>
        <v>0</v>
      </c>
      <c r="BH175" s="931">
        <f t="shared" ca="1" si="343"/>
        <v>0</v>
      </c>
    </row>
    <row r="176" spans="1:60" ht="14.5">
      <c r="A176" s="990">
        <f t="shared" si="325"/>
        <v>149</v>
      </c>
      <c r="B176" s="990">
        <v>1</v>
      </c>
      <c r="C176" s="990">
        <f t="shared" si="291"/>
        <v>173</v>
      </c>
      <c r="D176" s="1121" t="s">
        <v>887</v>
      </c>
      <c r="E176" s="1243">
        <v>1</v>
      </c>
      <c r="F176" s="5"/>
      <c r="G176" s="5"/>
      <c r="H176" s="5"/>
      <c r="I176" s="132" t="s">
        <v>134</v>
      </c>
      <c r="J176" s="131"/>
      <c r="K176" s="130"/>
      <c r="L176" s="130"/>
      <c r="M176" s="130"/>
      <c r="N176" s="130"/>
      <c r="O176" s="130"/>
      <c r="P176" s="1172"/>
      <c r="Q176" s="1858" t="str">
        <f>CHOOSE(2, "6722000003095", "PL (2) Gross Profit")</f>
        <v>PL (2) Gross Profit</v>
      </c>
      <c r="R176" s="1990">
        <f>SUM(R182:R185)</f>
        <v>142665</v>
      </c>
      <c r="S176" s="2019">
        <f t="shared" ref="S176:AC176" si="371">SUM(S182:S185)</f>
        <v>141450</v>
      </c>
      <c r="T176" s="2019">
        <f t="shared" si="371"/>
        <v>145026</v>
      </c>
      <c r="U176" s="2019">
        <f t="shared" si="371"/>
        <v>165436</v>
      </c>
      <c r="V176" s="2019">
        <f t="shared" si="371"/>
        <v>192046.95069008577</v>
      </c>
      <c r="W176" s="2019">
        <f t="shared" si="371"/>
        <v>100777.25200000001</v>
      </c>
      <c r="X176" s="2019">
        <f t="shared" si="371"/>
        <v>220153.25200000001</v>
      </c>
      <c r="Y176" s="2019">
        <f t="shared" si="371"/>
        <v>168432</v>
      </c>
      <c r="Z176" s="2019">
        <f t="shared" si="371"/>
        <v>167133</v>
      </c>
      <c r="AA176" s="2019">
        <f t="shared" si="371"/>
        <v>204845</v>
      </c>
      <c r="AB176" s="2019">
        <f t="shared" si="371"/>
        <v>190302.96372958334</v>
      </c>
      <c r="AC176" s="2019">
        <f t="shared" si="371"/>
        <v>89819</v>
      </c>
      <c r="AD176" s="1526">
        <f t="shared" si="360"/>
        <v>429141</v>
      </c>
      <c r="AE176" s="129">
        <f t="shared" si="361"/>
        <v>458260.20269008575</v>
      </c>
      <c r="AF176" s="129">
        <f t="shared" si="362"/>
        <v>555718.25199999998</v>
      </c>
      <c r="AG176" s="129">
        <f t="shared" si="363"/>
        <v>484966.96372958331</v>
      </c>
      <c r="AH176" s="129">
        <f t="shared" ref="AH176:AJ176" si="372">SUM(AH182:AH185)</f>
        <v>887401.20269008575</v>
      </c>
      <c r="AI176" s="129">
        <f t="shared" si="372"/>
        <v>1040685.2157295834</v>
      </c>
      <c r="AJ176" s="129">
        <f t="shared" si="372"/>
        <v>1928086.4184196689</v>
      </c>
      <c r="AL176" s="2121">
        <f ca="1">SUM((INDIRECT(AL$2&amp;(ROW())):INDIRECT(AL$3&amp;(ROW()))))</f>
        <v>89819</v>
      </c>
      <c r="AM176" s="129">
        <f ca="1">SUM(INDIRECT(AM$1&amp;AM$2&amp;$C176):INDIRECT(AM$1&amp;AM$3&amp;$C176))</f>
        <v>0</v>
      </c>
      <c r="AN176" s="2519">
        <f t="shared" ca="1" si="332"/>
        <v>89819</v>
      </c>
      <c r="AO176" s="1714">
        <f t="shared" ca="1" si="333"/>
        <v>0</v>
      </c>
      <c r="AP176" s="129">
        <f ca="1">SUM(INDIRECT(AP$1&amp;AP$2&amp;$A176):INDIRECT(AP$1&amp;AP$3&amp;$A176))+SUM(INDIRECT(AP$1&amp;AP$2&amp;$B176):INDIRECT(AP$1&amp;AP$3&amp;$B176))</f>
        <v>204900</v>
      </c>
      <c r="AQ176" s="2519">
        <f t="shared" ca="1" si="334"/>
        <v>-115081</v>
      </c>
      <c r="AR176" s="1714">
        <f t="shared" ca="1" si="335"/>
        <v>0.43835529526598338</v>
      </c>
      <c r="AT176" s="2121">
        <f ca="1">SUM((INDIRECT(AT$2&amp;(ROW())):INDIRECT(AT$3&amp;(ROW()))))</f>
        <v>484966.96372958331</v>
      </c>
      <c r="AU176" s="129">
        <f ca="1">SUM(INDIRECT(AU$1&amp;AU$2&amp;$C176):INDIRECT(AU$1&amp;AU$3&amp;$C176))</f>
        <v>0</v>
      </c>
      <c r="AV176" s="2519">
        <f t="shared" ca="1" si="336"/>
        <v>484966.96372958331</v>
      </c>
      <c r="AW176" s="1714">
        <f t="shared" ca="1" si="337"/>
        <v>0</v>
      </c>
      <c r="AX176" s="129">
        <f ca="1">SUM(INDIRECT(AX$1&amp;AX$2&amp;$A176):INDIRECT(AX$1&amp;AX$3&amp;$A176))+SUM(INDIRECT(AX$1&amp;AX$2&amp;$B176):INDIRECT(AX$1&amp;AX$3&amp;$B176))</f>
        <v>473115</v>
      </c>
      <c r="AY176" s="2519">
        <f t="shared" ca="1" si="338"/>
        <v>11851.963729583309</v>
      </c>
      <c r="AZ176" s="1714">
        <f t="shared" ca="1" si="339"/>
        <v>1.0250509151677358</v>
      </c>
      <c r="BB176" s="2121">
        <f ca="1">SUM((INDIRECT(BB$2&amp;(ROW())):INDIRECT(BB$3&amp;(ROW()))))</f>
        <v>1928086.4184196691</v>
      </c>
      <c r="BC176" s="129">
        <f ca="1">SUM(INDIRECT(BC$1&amp;BC$2&amp;$C176):INDIRECT(BC$1&amp;BC$3&amp;$C176))</f>
        <v>0</v>
      </c>
      <c r="BD176" s="2519">
        <f t="shared" ca="1" si="340"/>
        <v>1928086.4184196691</v>
      </c>
      <c r="BE176" s="1714">
        <f t="shared" ca="1" si="341"/>
        <v>0</v>
      </c>
      <c r="BF176" s="129">
        <f ca="1">SUM(INDIRECT(BF$1&amp;BF$2&amp;$A176):INDIRECT(BF$1&amp;BF$3&amp;$A176))+SUM(INDIRECT(BF$1&amp;BF$2&amp;$B176):INDIRECT(BF$1&amp;BF$3&amp;$B176))</f>
        <v>1663630</v>
      </c>
      <c r="BG176" s="2519">
        <f t="shared" ca="1" si="342"/>
        <v>264456.41841966915</v>
      </c>
      <c r="BH176" s="1714">
        <f t="shared" ca="1" si="343"/>
        <v>1.1589634825169475</v>
      </c>
    </row>
    <row r="177" spans="1:60" ht="14.5">
      <c r="A177" s="990">
        <f t="shared" si="325"/>
        <v>150</v>
      </c>
      <c r="B177" s="990">
        <v>1</v>
      </c>
      <c r="C177" s="990">
        <f t="shared" si="291"/>
        <v>174</v>
      </c>
      <c r="D177" s="1121" t="s">
        <v>887</v>
      </c>
      <c r="E177" s="1243">
        <v>1</v>
      </c>
      <c r="F177" s="5"/>
      <c r="G177" s="5"/>
      <c r="H177" s="5"/>
      <c r="I177" s="617"/>
      <c r="J177" s="618" t="s">
        <v>198</v>
      </c>
      <c r="K177" s="616"/>
      <c r="L177" s="616"/>
      <c r="M177" s="616"/>
      <c r="N177" s="616"/>
      <c r="O177" s="587" t="s">
        <v>529</v>
      </c>
      <c r="P177" s="5"/>
      <c r="Q177" s="1850" t="str">
        <f>CHOOSE(2, "6722000003096", "PL (2) Gross Profit (%)")</f>
        <v>PL (2) Gross Profit (%)</v>
      </c>
      <c r="R177" s="2122">
        <f>IFERROR(R176/R154,0)</f>
        <v>0.30393767216530426</v>
      </c>
      <c r="S177" s="622">
        <f t="shared" ref="S177:AC177" si="373">IFERROR(S176/S154,0)</f>
        <v>0.30359745274332334</v>
      </c>
      <c r="T177" s="622">
        <f t="shared" si="373"/>
        <v>0.30972776606718394</v>
      </c>
      <c r="U177" s="622">
        <f t="shared" si="373"/>
        <v>0.33716209606417319</v>
      </c>
      <c r="V177" s="622">
        <f t="shared" si="373"/>
        <v>0.35294754930406264</v>
      </c>
      <c r="W177" s="622">
        <f t="shared" si="373"/>
        <v>0.23973236213467058</v>
      </c>
      <c r="X177" s="622">
        <f t="shared" si="373"/>
        <v>0.34884715285348478</v>
      </c>
      <c r="Y177" s="622">
        <f t="shared" si="373"/>
        <v>0.3210797209195928</v>
      </c>
      <c r="Z177" s="622">
        <f t="shared" si="373"/>
        <v>0.32468582018948894</v>
      </c>
      <c r="AA177" s="622">
        <f t="shared" si="373"/>
        <v>0.36248951524138834</v>
      </c>
      <c r="AB177" s="622">
        <f t="shared" si="373"/>
        <v>0.31837772717241036</v>
      </c>
      <c r="AC177" s="622">
        <f t="shared" si="373"/>
        <v>0.19705921715149508</v>
      </c>
      <c r="AD177" s="622">
        <f t="shared" ref="AD177:AJ177" si="374">IFERROR(AD176/AD154,0)</f>
        <v>0.30575637727202448</v>
      </c>
      <c r="AE177" s="622">
        <f t="shared" si="374"/>
        <v>0.31491884382806046</v>
      </c>
      <c r="AF177" s="622">
        <f t="shared" si="374"/>
        <v>0.33268155273431066</v>
      </c>
      <c r="AG177" s="622">
        <f t="shared" si="374"/>
        <v>0.29961570200081755</v>
      </c>
      <c r="AH177" s="622">
        <f t="shared" si="374"/>
        <v>0.31042035071908197</v>
      </c>
      <c r="AI177" s="622">
        <f t="shared" si="374"/>
        <v>0.316408962867886</v>
      </c>
      <c r="AJ177" s="622">
        <f t="shared" si="374"/>
        <v>0.31362425805006588</v>
      </c>
      <c r="AK177" s="619"/>
      <c r="AL177" s="2122">
        <f ca="1">IFERROR(AL176/AL154,0)</f>
        <v>0.19705921715149508</v>
      </c>
      <c r="AM177" s="622">
        <f ca="1">IFERROR(AM176/AM154,0)</f>
        <v>0</v>
      </c>
      <c r="AN177" s="622">
        <f t="shared" ca="1" si="332"/>
        <v>0.19705921715149508</v>
      </c>
      <c r="AO177" s="938"/>
      <c r="AP177" s="622">
        <f ca="1">IFERROR(AP176/AP154,0)</f>
        <v>0.40158517368705754</v>
      </c>
      <c r="AQ177" s="622">
        <f t="shared" ca="1" si="334"/>
        <v>-0.20452595653556246</v>
      </c>
      <c r="AR177" s="938"/>
      <c r="AS177" s="619"/>
      <c r="AT177" s="2122">
        <f ca="1">IFERROR(AT176/AT154,0)</f>
        <v>0.29961570200081755</v>
      </c>
      <c r="AU177" s="622">
        <f ca="1">IFERROR(AU176/AU154,0)</f>
        <v>0</v>
      </c>
      <c r="AV177" s="622">
        <f t="shared" ca="1" si="336"/>
        <v>0.29961570200081755</v>
      </c>
      <c r="AW177" s="938"/>
      <c r="AX177" s="622">
        <f ca="1">IFERROR(AX176/AX154,0)</f>
        <v>0.37448856741886538</v>
      </c>
      <c r="AY177" s="622">
        <f t="shared" ca="1" si="338"/>
        <v>-7.4872865418047829E-2</v>
      </c>
      <c r="AZ177" s="938"/>
      <c r="BA177" s="619"/>
      <c r="BB177" s="2122">
        <f ca="1">IFERROR(BB176/BB154,0)</f>
        <v>0.31362425805006594</v>
      </c>
      <c r="BC177" s="622">
        <f ca="1">IFERROR(BC176/BC154,0)</f>
        <v>0</v>
      </c>
      <c r="BD177" s="622">
        <f t="shared" ca="1" si="340"/>
        <v>0.31362425805006594</v>
      </c>
      <c r="BE177" s="938"/>
      <c r="BF177" s="622">
        <f ca="1">IFERROR(BF176/BF154,0)</f>
        <v>0.36437806499374681</v>
      </c>
      <c r="BG177" s="622">
        <f t="shared" ca="1" si="342"/>
        <v>-5.0753806943680868E-2</v>
      </c>
      <c r="BH177" s="938"/>
    </row>
    <row r="178" spans="1:60" s="619" customFormat="1" ht="14.5" hidden="1" outlineLevel="1">
      <c r="A178" s="990">
        <f t="shared" si="325"/>
        <v>151</v>
      </c>
      <c r="B178" s="990">
        <v>1</v>
      </c>
      <c r="C178" s="990">
        <f t="shared" si="291"/>
        <v>175</v>
      </c>
      <c r="D178" s="1121" t="s">
        <v>887</v>
      </c>
      <c r="E178" s="1243">
        <v>1</v>
      </c>
      <c r="F178" s="5"/>
      <c r="G178" s="5"/>
      <c r="H178" s="616"/>
      <c r="I178" s="617"/>
      <c r="J178" s="620"/>
      <c r="K178" s="616"/>
      <c r="L178" s="616"/>
      <c r="M178" s="618" t="s">
        <v>558</v>
      </c>
      <c r="N178" s="620"/>
      <c r="O178" s="620"/>
      <c r="P178" s="620"/>
      <c r="Q178" s="1857" t="str">
        <f>CHOOSE(2, "6722000003097", "PL (2) Gross Profit HW (%)")</f>
        <v>PL (2) Gross Profit HW (%)</v>
      </c>
      <c r="R178" s="2119">
        <f>IFERROR(R182/R155,0)</f>
        <v>0.32914972600318188</v>
      </c>
      <c r="S178" s="621">
        <f t="shared" ref="S178:AC178" si="375">IFERROR(S182/S155,0)</f>
        <v>0.31568951209287605</v>
      </c>
      <c r="T178" s="621">
        <f t="shared" si="375"/>
        <v>0.33154320012636235</v>
      </c>
      <c r="U178" s="621">
        <f t="shared" si="375"/>
        <v>0.35247495037821691</v>
      </c>
      <c r="V178" s="621">
        <f t="shared" si="375"/>
        <v>0.33866289309210645</v>
      </c>
      <c r="W178" s="621">
        <f t="shared" si="375"/>
        <v>0.35938394504166404</v>
      </c>
      <c r="X178" s="621">
        <f t="shared" si="375"/>
        <v>0.37362661118166834</v>
      </c>
      <c r="Y178" s="621">
        <f t="shared" si="375"/>
        <v>0.34084706692809075</v>
      </c>
      <c r="Z178" s="621">
        <f t="shared" si="375"/>
        <v>0.33008370803770404</v>
      </c>
      <c r="AA178" s="621">
        <f t="shared" si="375"/>
        <v>0.36192730733552592</v>
      </c>
      <c r="AB178" s="621">
        <f t="shared" si="375"/>
        <v>0.35354168090522164</v>
      </c>
      <c r="AC178" s="621">
        <f t="shared" si="375"/>
        <v>0.29991329918930271</v>
      </c>
      <c r="AD178" s="621">
        <f t="shared" ref="AD178:AJ178" si="376">IFERROR(AD182/AD155,0)</f>
        <v>0.32537940441530455</v>
      </c>
      <c r="AE178" s="621">
        <f t="shared" si="376"/>
        <v>0.34917698531594932</v>
      </c>
      <c r="AF178" s="621">
        <f t="shared" si="376"/>
        <v>0.35099526557694299</v>
      </c>
      <c r="AG178" s="621">
        <f t="shared" si="376"/>
        <v>0.34316022266688445</v>
      </c>
      <c r="AH178" s="621">
        <f t="shared" si="376"/>
        <v>0.33865719869174482</v>
      </c>
      <c r="AI178" s="621">
        <f t="shared" si="376"/>
        <v>0.3471604588581888</v>
      </c>
      <c r="AJ178" s="621">
        <f t="shared" si="376"/>
        <v>0.34320311547976562</v>
      </c>
      <c r="AL178" s="2119">
        <f t="shared" ref="AL178:AM181" ca="1" si="377">IFERROR(AL182/AL155,0)</f>
        <v>0.29991329918930271</v>
      </c>
      <c r="AM178" s="621">
        <f t="shared" ca="1" si="377"/>
        <v>0</v>
      </c>
      <c r="AN178" s="621">
        <f t="shared" ca="1" si="332"/>
        <v>0.29991329918930271</v>
      </c>
      <c r="AO178" s="936"/>
      <c r="AP178" s="621">
        <f ca="1">IFERROR(AP182/AP155,0)</f>
        <v>0.50006353550657345</v>
      </c>
      <c r="AQ178" s="621">
        <f t="shared" ca="1" si="334"/>
        <v>-0.20015023631727075</v>
      </c>
      <c r="AR178" s="936"/>
      <c r="AT178" s="2119">
        <f t="shared" ref="AT178:AU181" ca="1" si="378">IFERROR(AT182/AT155,0)</f>
        <v>0.34316022266688445</v>
      </c>
      <c r="AU178" s="621">
        <f t="shared" ca="1" si="378"/>
        <v>0</v>
      </c>
      <c r="AV178" s="621">
        <f t="shared" ca="1" si="336"/>
        <v>0.34316022266688445</v>
      </c>
      <c r="AW178" s="936"/>
      <c r="AX178" s="621">
        <f ca="1">IFERROR(AX182/AX155,0)</f>
        <v>0.39256990457140478</v>
      </c>
      <c r="AY178" s="621">
        <f t="shared" ca="1" si="338"/>
        <v>-4.9409681904520331E-2</v>
      </c>
      <c r="AZ178" s="936"/>
      <c r="BB178" s="2119">
        <f t="shared" ref="BB178:BC181" ca="1" si="379">IFERROR(BB182/BB155,0)</f>
        <v>0.34320311547976562</v>
      </c>
      <c r="BC178" s="621">
        <f t="shared" ca="1" si="379"/>
        <v>0</v>
      </c>
      <c r="BD178" s="621">
        <f t="shared" ca="1" si="340"/>
        <v>0.34320311547976562</v>
      </c>
      <c r="BE178" s="936"/>
      <c r="BF178" s="621">
        <f ca="1">IFERROR(BF182/BF155,0)</f>
        <v>0.31882742860936975</v>
      </c>
      <c r="BG178" s="621">
        <f t="shared" ca="1" si="342"/>
        <v>2.4375686870395874E-2</v>
      </c>
      <c r="BH178" s="936"/>
    </row>
    <row r="179" spans="1:60" s="619" customFormat="1" ht="14.5" hidden="1" outlineLevel="1">
      <c r="A179" s="990">
        <f t="shared" si="325"/>
        <v>152</v>
      </c>
      <c r="B179" s="990">
        <v>1</v>
      </c>
      <c r="C179" s="990">
        <f t="shared" si="291"/>
        <v>176</v>
      </c>
      <c r="D179" s="1121" t="s">
        <v>887</v>
      </c>
      <c r="E179" s="1243">
        <v>1</v>
      </c>
      <c r="F179" s="5"/>
      <c r="G179" s="5"/>
      <c r="H179" s="616"/>
      <c r="I179" s="617"/>
      <c r="J179" s="620"/>
      <c r="K179" s="616"/>
      <c r="L179" s="616"/>
      <c r="M179" s="618" t="s">
        <v>559</v>
      </c>
      <c r="N179" s="620"/>
      <c r="O179" s="620"/>
      <c r="P179" s="620"/>
      <c r="Q179" s="1857" t="str">
        <f>CHOOSE(2, "6722000003098", "PL (2) Gross Profit NH (%)")</f>
        <v>PL (2) Gross Profit NH (%)</v>
      </c>
      <c r="R179" s="2119">
        <f t="shared" ref="R179:AC181" si="380">IFERROR(R183/R156,0)</f>
        <v>0.29484105701074115</v>
      </c>
      <c r="S179" s="621">
        <f t="shared" si="380"/>
        <v>0.29954788468480859</v>
      </c>
      <c r="T179" s="621">
        <f t="shared" si="380"/>
        <v>0.30321677158148691</v>
      </c>
      <c r="U179" s="621">
        <f t="shared" si="380"/>
        <v>0.33063712168992304</v>
      </c>
      <c r="V179" s="621">
        <f t="shared" si="380"/>
        <v>0.35933242185255382</v>
      </c>
      <c r="W179" s="621">
        <f t="shared" si="380"/>
        <v>0.18865281766155476</v>
      </c>
      <c r="X179" s="621">
        <f t="shared" si="380"/>
        <v>0.33856795492912278</v>
      </c>
      <c r="Y179" s="621">
        <f t="shared" si="380"/>
        <v>0.31309219189961779</v>
      </c>
      <c r="Z179" s="621">
        <f t="shared" si="380"/>
        <v>0.32291806356443609</v>
      </c>
      <c r="AA179" s="621">
        <f t="shared" si="380"/>
        <v>0.36272338207731553</v>
      </c>
      <c r="AB179" s="621">
        <f t="shared" si="380"/>
        <v>0.30486252029413469</v>
      </c>
      <c r="AC179" s="621">
        <f t="shared" si="380"/>
        <v>0.16360004419658175</v>
      </c>
      <c r="AD179" s="621">
        <f t="shared" ref="AD179:AJ179" si="381">IFERROR(AD183/AD156,0)</f>
        <v>0.29926292302746804</v>
      </c>
      <c r="AE179" s="621">
        <f t="shared" si="381"/>
        <v>0.30004832918449942</v>
      </c>
      <c r="AF179" s="621">
        <f t="shared" si="381"/>
        <v>0.32565910873434378</v>
      </c>
      <c r="AG179" s="621">
        <f t="shared" si="381"/>
        <v>0.28316416595377025</v>
      </c>
      <c r="AH179" s="621">
        <f t="shared" si="381"/>
        <v>0.29964806159469115</v>
      </c>
      <c r="AI179" s="621">
        <f t="shared" si="381"/>
        <v>0.30470279609640444</v>
      </c>
      <c r="AJ179" s="621">
        <f t="shared" si="381"/>
        <v>0.30235309806822758</v>
      </c>
      <c r="AL179" s="2119">
        <f t="shared" ca="1" si="377"/>
        <v>0.16360004419658175</v>
      </c>
      <c r="AM179" s="621">
        <f t="shared" ca="1" si="377"/>
        <v>0</v>
      </c>
      <c r="AN179" s="621">
        <f t="shared" ca="1" si="332"/>
        <v>0.16360004419658175</v>
      </c>
      <c r="AO179" s="936"/>
      <c r="AP179" s="621">
        <f ca="1">IFERROR(AP183/AP156,0)</f>
        <v>0.37688730471191867</v>
      </c>
      <c r="AQ179" s="621">
        <f t="shared" ca="1" si="334"/>
        <v>-0.21328726051533692</v>
      </c>
      <c r="AR179" s="936"/>
      <c r="AT179" s="2119">
        <f t="shared" ca="1" si="378"/>
        <v>0.28316416595377025</v>
      </c>
      <c r="AU179" s="621">
        <f t="shared" ca="1" si="378"/>
        <v>0</v>
      </c>
      <c r="AV179" s="621">
        <f t="shared" ca="1" si="336"/>
        <v>0.28316416595377025</v>
      </c>
      <c r="AW179" s="936"/>
      <c r="AX179" s="621">
        <f ca="1">IFERROR(AX183/AX156,0)</f>
        <v>0.37024877051142618</v>
      </c>
      <c r="AY179" s="621">
        <f t="shared" ca="1" si="338"/>
        <v>-8.7084604557655931E-2</v>
      </c>
      <c r="AZ179" s="936"/>
      <c r="BB179" s="2119">
        <f t="shared" ca="1" si="379"/>
        <v>0.30235309806822758</v>
      </c>
      <c r="BC179" s="621">
        <f t="shared" ca="1" si="379"/>
        <v>0</v>
      </c>
      <c r="BD179" s="621">
        <f t="shared" ca="1" si="340"/>
        <v>0.30235309806822758</v>
      </c>
      <c r="BE179" s="936"/>
      <c r="BF179" s="621">
        <f ca="1">IFERROR(BF183/BF156,0)</f>
        <v>0.37856664380153987</v>
      </c>
      <c r="BG179" s="621">
        <f t="shared" ca="1" si="342"/>
        <v>-7.6213545733312293E-2</v>
      </c>
      <c r="BH179" s="936"/>
    </row>
    <row r="180" spans="1:60" s="619" customFormat="1" ht="14.5" hidden="1" outlineLevel="1">
      <c r="A180" s="990">
        <f t="shared" si="325"/>
        <v>153</v>
      </c>
      <c r="B180" s="990">
        <v>1</v>
      </c>
      <c r="C180" s="990">
        <f t="shared" si="291"/>
        <v>177</v>
      </c>
      <c r="D180" s="1121" t="s">
        <v>887</v>
      </c>
      <c r="E180" s="1243">
        <v>1</v>
      </c>
      <c r="F180" s="5"/>
      <c r="G180" s="5"/>
      <c r="H180" s="616"/>
      <c r="I180" s="617"/>
      <c r="J180" s="620"/>
      <c r="K180" s="616"/>
      <c r="L180" s="616"/>
      <c r="M180" s="618" t="s">
        <v>562</v>
      </c>
      <c r="N180" s="620"/>
      <c r="O180" s="620"/>
      <c r="P180" s="620"/>
      <c r="Q180" s="1857" t="str">
        <f>CHOOSE(2, "6722000003099", "PL (2) Gross Profit Solution (%)")</f>
        <v>PL (2) Gross Profit Solution (%)</v>
      </c>
      <c r="R180" s="2119">
        <f t="shared" si="380"/>
        <v>0</v>
      </c>
      <c r="S180" s="621">
        <f t="shared" si="380"/>
        <v>0</v>
      </c>
      <c r="T180" s="621">
        <f t="shared" si="380"/>
        <v>0</v>
      </c>
      <c r="U180" s="621">
        <f t="shared" si="380"/>
        <v>0</v>
      </c>
      <c r="V180" s="621">
        <f t="shared" si="380"/>
        <v>0</v>
      </c>
      <c r="W180" s="621">
        <f t="shared" si="380"/>
        <v>0</v>
      </c>
      <c r="X180" s="621">
        <f t="shared" si="380"/>
        <v>0</v>
      </c>
      <c r="Y180" s="621">
        <f t="shared" si="380"/>
        <v>0</v>
      </c>
      <c r="Z180" s="621">
        <f t="shared" si="380"/>
        <v>0</v>
      </c>
      <c r="AA180" s="621">
        <f t="shared" si="380"/>
        <v>0</v>
      </c>
      <c r="AB180" s="621">
        <f t="shared" si="380"/>
        <v>0</v>
      </c>
      <c r="AC180" s="621">
        <f t="shared" si="380"/>
        <v>0</v>
      </c>
      <c r="AD180" s="621">
        <f t="shared" ref="AD180:AJ180" si="382">IFERROR(AD184/AD157,0)</f>
        <v>0</v>
      </c>
      <c r="AE180" s="621">
        <f t="shared" si="382"/>
        <v>0</v>
      </c>
      <c r="AF180" s="621">
        <f t="shared" si="382"/>
        <v>0</v>
      </c>
      <c r="AG180" s="621">
        <f t="shared" si="382"/>
        <v>0</v>
      </c>
      <c r="AH180" s="621">
        <f t="shared" si="382"/>
        <v>0</v>
      </c>
      <c r="AI180" s="621">
        <f t="shared" si="382"/>
        <v>0</v>
      </c>
      <c r="AJ180" s="621">
        <f t="shared" si="382"/>
        <v>0</v>
      </c>
      <c r="AL180" s="2119">
        <f t="shared" ca="1" si="377"/>
        <v>0</v>
      </c>
      <c r="AM180" s="621">
        <f t="shared" ca="1" si="377"/>
        <v>0</v>
      </c>
      <c r="AN180" s="621">
        <f t="shared" ca="1" si="332"/>
        <v>0</v>
      </c>
      <c r="AO180" s="936"/>
      <c r="AP180" s="621">
        <f ca="1">IFERROR(AP184/AP157,0)</f>
        <v>0</v>
      </c>
      <c r="AQ180" s="621">
        <f t="shared" ca="1" si="334"/>
        <v>0</v>
      </c>
      <c r="AR180" s="936"/>
      <c r="AT180" s="2119">
        <f t="shared" ca="1" si="378"/>
        <v>0</v>
      </c>
      <c r="AU180" s="621">
        <f t="shared" ca="1" si="378"/>
        <v>0</v>
      </c>
      <c r="AV180" s="621">
        <f t="shared" ca="1" si="336"/>
        <v>0</v>
      </c>
      <c r="AW180" s="936"/>
      <c r="AX180" s="621">
        <f ca="1">IFERROR(AX184/AX157,0)</f>
        <v>0</v>
      </c>
      <c r="AY180" s="621">
        <f t="shared" ca="1" si="338"/>
        <v>0</v>
      </c>
      <c r="AZ180" s="936"/>
      <c r="BB180" s="2119">
        <f t="shared" ca="1" si="379"/>
        <v>0</v>
      </c>
      <c r="BC180" s="621">
        <f t="shared" ca="1" si="379"/>
        <v>0</v>
      </c>
      <c r="BD180" s="621">
        <f t="shared" ca="1" si="340"/>
        <v>0</v>
      </c>
      <c r="BE180" s="936"/>
      <c r="BF180" s="621">
        <f ca="1">IFERROR(BF184/BF157,0)</f>
        <v>0</v>
      </c>
      <c r="BG180" s="621">
        <f t="shared" ca="1" si="342"/>
        <v>0</v>
      </c>
      <c r="BH180" s="936"/>
    </row>
    <row r="181" spans="1:60" s="619" customFormat="1" ht="14.5" hidden="1" outlineLevel="1">
      <c r="A181" s="990">
        <f t="shared" si="325"/>
        <v>154</v>
      </c>
      <c r="B181" s="990">
        <v>1</v>
      </c>
      <c r="C181" s="990">
        <f t="shared" si="291"/>
        <v>178</v>
      </c>
      <c r="D181" s="1121" t="s">
        <v>887</v>
      </c>
      <c r="E181" s="1243">
        <v>1</v>
      </c>
      <c r="F181" s="5"/>
      <c r="G181" s="5"/>
      <c r="H181" s="616"/>
      <c r="I181" s="617"/>
      <c r="J181" s="620"/>
      <c r="K181" s="616"/>
      <c r="L181" s="616"/>
      <c r="M181" s="618" t="s">
        <v>560</v>
      </c>
      <c r="N181" s="620"/>
      <c r="O181" s="620"/>
      <c r="P181" s="620"/>
      <c r="Q181" s="1857" t="str">
        <f>CHOOSE(2, "6722000003100", "PL (2) Gross Profit Others (%)")</f>
        <v>PL (2) Gross Profit Others (%)</v>
      </c>
      <c r="R181" s="2119">
        <f t="shared" si="380"/>
        <v>0</v>
      </c>
      <c r="S181" s="621">
        <f t="shared" si="380"/>
        <v>0</v>
      </c>
      <c r="T181" s="621">
        <f t="shared" si="380"/>
        <v>0</v>
      </c>
      <c r="U181" s="621">
        <f t="shared" si="380"/>
        <v>0</v>
      </c>
      <c r="V181" s="621">
        <f t="shared" si="380"/>
        <v>0</v>
      </c>
      <c r="W181" s="621">
        <f t="shared" si="380"/>
        <v>0</v>
      </c>
      <c r="X181" s="621">
        <f t="shared" si="380"/>
        <v>0</v>
      </c>
      <c r="Y181" s="621">
        <f t="shared" si="380"/>
        <v>0</v>
      </c>
      <c r="Z181" s="621">
        <f t="shared" si="380"/>
        <v>0</v>
      </c>
      <c r="AA181" s="621">
        <f t="shared" si="380"/>
        <v>0</v>
      </c>
      <c r="AB181" s="621">
        <f t="shared" si="380"/>
        <v>0</v>
      </c>
      <c r="AC181" s="621">
        <f t="shared" si="380"/>
        <v>0</v>
      </c>
      <c r="AD181" s="621">
        <f t="shared" ref="AD181:AJ181" si="383">IFERROR(AD185/AD158,0)</f>
        <v>0</v>
      </c>
      <c r="AE181" s="621">
        <f t="shared" si="383"/>
        <v>0</v>
      </c>
      <c r="AF181" s="621">
        <f t="shared" si="383"/>
        <v>0</v>
      </c>
      <c r="AG181" s="621">
        <f t="shared" si="383"/>
        <v>0</v>
      </c>
      <c r="AH181" s="621">
        <f t="shared" si="383"/>
        <v>0</v>
      </c>
      <c r="AI181" s="621">
        <f t="shared" si="383"/>
        <v>0</v>
      </c>
      <c r="AJ181" s="621">
        <f t="shared" si="383"/>
        <v>0</v>
      </c>
      <c r="AL181" s="2119">
        <f t="shared" ca="1" si="377"/>
        <v>0</v>
      </c>
      <c r="AM181" s="621">
        <f t="shared" ca="1" si="377"/>
        <v>0</v>
      </c>
      <c r="AN181" s="621">
        <f t="shared" ca="1" si="332"/>
        <v>0</v>
      </c>
      <c r="AO181" s="936"/>
      <c r="AP181" s="621">
        <f ca="1">IFERROR(AP185/AP158,0)</f>
        <v>0</v>
      </c>
      <c r="AQ181" s="621">
        <f t="shared" ca="1" si="334"/>
        <v>0</v>
      </c>
      <c r="AR181" s="936"/>
      <c r="AT181" s="2119">
        <f t="shared" ca="1" si="378"/>
        <v>0</v>
      </c>
      <c r="AU181" s="621">
        <f t="shared" ca="1" si="378"/>
        <v>0</v>
      </c>
      <c r="AV181" s="621">
        <f t="shared" ca="1" si="336"/>
        <v>0</v>
      </c>
      <c r="AW181" s="936"/>
      <c r="AX181" s="621">
        <f ca="1">IFERROR(AX185/AX158,0)</f>
        <v>0</v>
      </c>
      <c r="AY181" s="621">
        <f t="shared" ca="1" si="338"/>
        <v>0</v>
      </c>
      <c r="AZ181" s="936"/>
      <c r="BB181" s="2119">
        <f t="shared" ca="1" si="379"/>
        <v>0</v>
      </c>
      <c r="BC181" s="621">
        <f t="shared" ca="1" si="379"/>
        <v>0</v>
      </c>
      <c r="BD181" s="621">
        <f t="shared" ca="1" si="340"/>
        <v>0</v>
      </c>
      <c r="BE181" s="936"/>
      <c r="BF181" s="621">
        <f ca="1">IFERROR(BF185/BF158,0)</f>
        <v>0</v>
      </c>
      <c r="BG181" s="621">
        <f t="shared" ca="1" si="342"/>
        <v>0</v>
      </c>
      <c r="BH181" s="936"/>
    </row>
    <row r="182" spans="1:60" ht="14.5" collapsed="1">
      <c r="A182" s="990">
        <f t="shared" si="325"/>
        <v>155</v>
      </c>
      <c r="B182" s="990">
        <v>1</v>
      </c>
      <c r="C182" s="990">
        <f t="shared" si="291"/>
        <v>179</v>
      </c>
      <c r="D182" s="1121" t="s">
        <v>887</v>
      </c>
      <c r="E182" s="1243">
        <v>1</v>
      </c>
      <c r="F182" s="5"/>
      <c r="G182" s="5"/>
      <c r="H182" s="5"/>
      <c r="I182" s="30"/>
      <c r="J182" s="4"/>
      <c r="K182" s="5"/>
      <c r="L182" s="5"/>
      <c r="M182" s="4" t="s">
        <v>137</v>
      </c>
      <c r="N182" s="4"/>
      <c r="O182" s="4"/>
      <c r="P182" s="4"/>
      <c r="Q182" s="1859" t="str">
        <f>CHOOSE(2, "6722000003101", "PL (2) Gross Profit HW")</f>
        <v>PL (2) Gross Profit HW</v>
      </c>
      <c r="R182" s="1927">
        <f t="shared" ref="R182:AC182" si="384">R585+R608</f>
        <v>40964</v>
      </c>
      <c r="S182" s="29">
        <f t="shared" si="384"/>
        <v>36900</v>
      </c>
      <c r="T182" s="29">
        <f t="shared" si="384"/>
        <v>35683</v>
      </c>
      <c r="U182" s="29">
        <f t="shared" si="384"/>
        <v>51676</v>
      </c>
      <c r="V182" s="29">
        <f t="shared" si="384"/>
        <v>56922.834309406797</v>
      </c>
      <c r="W182" s="29">
        <f t="shared" si="384"/>
        <v>45199</v>
      </c>
      <c r="X182" s="29">
        <f t="shared" si="384"/>
        <v>69134</v>
      </c>
      <c r="Y182" s="29">
        <f t="shared" si="384"/>
        <v>51457</v>
      </c>
      <c r="Z182" s="29">
        <f t="shared" si="384"/>
        <v>41917</v>
      </c>
      <c r="AA182" s="29">
        <f t="shared" si="384"/>
        <v>60085</v>
      </c>
      <c r="AB182" s="29">
        <f t="shared" si="384"/>
        <v>58670.949029583338</v>
      </c>
      <c r="AC182" s="29">
        <f t="shared" si="384"/>
        <v>33554</v>
      </c>
      <c r="AD182" s="89">
        <f t="shared" ref="AD182:AD189" si="385">SUM(R182,S182,T182)</f>
        <v>113547</v>
      </c>
      <c r="AE182" s="89">
        <f t="shared" ref="AE182:AE189" si="386">SUM(U182,V182,W182)</f>
        <v>153797.83430940681</v>
      </c>
      <c r="AF182" s="89">
        <f t="shared" ref="AF182:AF189" si="387">SUM(X182,Y182,Z182)</f>
        <v>162508</v>
      </c>
      <c r="AG182" s="89">
        <f t="shared" ref="AG182:AG189" si="388">SUM(AA182,AB182,AC182)</f>
        <v>152309.94902958334</v>
      </c>
      <c r="AH182" s="89">
        <f>AD182+AE182</f>
        <v>267344.83430940681</v>
      </c>
      <c r="AI182" s="89">
        <f>AG182+AF182</f>
        <v>314817.94902958337</v>
      </c>
      <c r="AJ182" s="89">
        <f>AH182+AI182</f>
        <v>582162.78333899018</v>
      </c>
      <c r="AL182" s="13">
        <f ca="1">SUM((INDIRECT(AL$2&amp;(ROW())):INDIRECT(AL$3&amp;(ROW()))))</f>
        <v>33554</v>
      </c>
      <c r="AM182" s="89">
        <f ca="1">SUM(INDIRECT(AM$1&amp;AM$2&amp;$C182):INDIRECT(AM$1&amp;AM$3&amp;$C182))</f>
        <v>0</v>
      </c>
      <c r="AN182" s="880">
        <f t="shared" ca="1" si="332"/>
        <v>33554</v>
      </c>
      <c r="AO182" s="931">
        <f t="shared" ref="AO182:AO190" ca="1" si="389">IFERROR(AL182/AM182,0)</f>
        <v>0</v>
      </c>
      <c r="AP182" s="89">
        <f ca="1">SUM(INDIRECT(AP$1&amp;AP$2&amp;$A182):INDIRECT(AP$1&amp;AP$3&amp;$A182))+SUM(INDIRECT(AP$1&amp;AP$2&amp;$B182):INDIRECT(AP$1&amp;AP$3&amp;$B182))</f>
        <v>51159</v>
      </c>
      <c r="AQ182" s="880">
        <f t="shared" ca="1" si="334"/>
        <v>-17605</v>
      </c>
      <c r="AR182" s="931">
        <f t="shared" ref="AR182:AR190" ca="1" si="390">IFERROR(AL182/AP182,0)</f>
        <v>0.65587677632479136</v>
      </c>
      <c r="AT182" s="13">
        <f ca="1">SUM((INDIRECT(AT$2&amp;(ROW())):INDIRECT(AT$3&amp;(ROW()))))</f>
        <v>152309.94902958334</v>
      </c>
      <c r="AU182" s="89">
        <f ca="1">SUM(INDIRECT(AU$1&amp;AU$2&amp;$C182):INDIRECT(AU$1&amp;AU$3&amp;$C182))</f>
        <v>0</v>
      </c>
      <c r="AV182" s="880">
        <f t="shared" ca="1" si="336"/>
        <v>152309.94902958334</v>
      </c>
      <c r="AW182" s="931">
        <f t="shared" ref="AW182:AW190" ca="1" si="391">IFERROR(AT182/AU182,0)</f>
        <v>0</v>
      </c>
      <c r="AX182" s="89">
        <f ca="1">SUM(INDIRECT(AX$1&amp;AX$2&amp;$A182):INDIRECT(AX$1&amp;AX$3&amp;$A182))+SUM(INDIRECT(AX$1&amp;AX$2&amp;$B182):INDIRECT(AX$1&amp;AX$3&amp;$B182))</f>
        <v>94205</v>
      </c>
      <c r="AY182" s="880">
        <f t="shared" ca="1" si="338"/>
        <v>58104.949029583338</v>
      </c>
      <c r="AZ182" s="931">
        <f t="shared" ref="AZ182:AZ190" ca="1" si="392">IFERROR(AT182/AX182,0)</f>
        <v>1.6167926227862994</v>
      </c>
      <c r="BB182" s="13">
        <f ca="1">SUM((INDIRECT(BB$2&amp;(ROW())):INDIRECT(BB$3&amp;(ROW()))))</f>
        <v>582162.78333899018</v>
      </c>
      <c r="BC182" s="89">
        <f ca="1">SUM(INDIRECT(BC$1&amp;BC$2&amp;$C182):INDIRECT(BC$1&amp;BC$3&amp;$C182))</f>
        <v>0</v>
      </c>
      <c r="BD182" s="880">
        <f t="shared" ca="1" si="340"/>
        <v>582162.78333899018</v>
      </c>
      <c r="BE182" s="931">
        <f t="shared" ref="BE182:BE190" ca="1" si="393">IFERROR(BB182/BC182,0)</f>
        <v>0</v>
      </c>
      <c r="BF182" s="89">
        <f ca="1">SUM(INDIRECT(BF$1&amp;BF$2&amp;$A182):INDIRECT(BF$1&amp;BF$3&amp;$A182))+SUM(INDIRECT(BF$1&amp;BF$2&amp;$B182):INDIRECT(BF$1&amp;BF$3&amp;$B182))</f>
        <v>345732</v>
      </c>
      <c r="BG182" s="880">
        <f t="shared" ca="1" si="342"/>
        <v>236430.78333899018</v>
      </c>
      <c r="BH182" s="931">
        <f t="shared" ref="BH182:BH190" ca="1" si="394">IFERROR(BB182/BF182,0)</f>
        <v>1.6838556550709514</v>
      </c>
    </row>
    <row r="183" spans="1:60" ht="14.5">
      <c r="A183" s="990">
        <f t="shared" si="325"/>
        <v>156</v>
      </c>
      <c r="B183" s="990">
        <v>1</v>
      </c>
      <c r="C183" s="990">
        <f t="shared" si="291"/>
        <v>180</v>
      </c>
      <c r="D183" s="1121" t="s">
        <v>887</v>
      </c>
      <c r="E183" s="1243">
        <v>1</v>
      </c>
      <c r="F183" s="5"/>
      <c r="G183" s="5"/>
      <c r="H183" s="5"/>
      <c r="I183" s="30"/>
      <c r="J183" s="4"/>
      <c r="K183" s="5"/>
      <c r="L183" s="5"/>
      <c r="M183" s="4" t="s">
        <v>95</v>
      </c>
      <c r="N183" s="4"/>
      <c r="O183" s="4"/>
      <c r="P183" s="4"/>
      <c r="Q183" s="1859" t="str">
        <f>CHOOSE(2, "6722000003102", "PL (2) Gross Profit NH")</f>
        <v>PL (2) Gross Profit NH</v>
      </c>
      <c r="R183" s="1927">
        <f t="shared" ref="R183:AC183" si="395">R588+R611</f>
        <v>101701</v>
      </c>
      <c r="S183" s="29">
        <f t="shared" si="395"/>
        <v>104550</v>
      </c>
      <c r="T183" s="29">
        <f t="shared" si="395"/>
        <v>109343</v>
      </c>
      <c r="U183" s="29">
        <f t="shared" si="395"/>
        <v>113760</v>
      </c>
      <c r="V183" s="29">
        <f t="shared" si="395"/>
        <v>135124.11638067896</v>
      </c>
      <c r="W183" s="29">
        <f t="shared" si="395"/>
        <v>55578.252</v>
      </c>
      <c r="X183" s="29">
        <f t="shared" si="395"/>
        <v>151019.25200000001</v>
      </c>
      <c r="Y183" s="29">
        <f t="shared" si="395"/>
        <v>116975</v>
      </c>
      <c r="Z183" s="29">
        <f t="shared" si="395"/>
        <v>125216</v>
      </c>
      <c r="AA183" s="29">
        <f t="shared" si="395"/>
        <v>144760</v>
      </c>
      <c r="AB183" s="29">
        <f t="shared" si="395"/>
        <v>131632.0147</v>
      </c>
      <c r="AC183" s="29">
        <f t="shared" si="395"/>
        <v>56265</v>
      </c>
      <c r="AD183" s="89">
        <f t="shared" si="385"/>
        <v>315594</v>
      </c>
      <c r="AE183" s="89">
        <f t="shared" si="386"/>
        <v>304462.36838067893</v>
      </c>
      <c r="AF183" s="89">
        <f t="shared" si="387"/>
        <v>393210.25199999998</v>
      </c>
      <c r="AG183" s="89">
        <f t="shared" si="388"/>
        <v>332657.0147</v>
      </c>
      <c r="AH183" s="89">
        <f>AD183+AE183</f>
        <v>620056.36838067893</v>
      </c>
      <c r="AI183" s="89">
        <f>AG183+AF183</f>
        <v>725867.26670000004</v>
      </c>
      <c r="AJ183" s="89">
        <f>AH183+AI183</f>
        <v>1345923.6350806789</v>
      </c>
      <c r="AL183" s="13">
        <f ca="1">SUM((INDIRECT(AL$2&amp;(ROW())):INDIRECT(AL$3&amp;(ROW()))))</f>
        <v>56265</v>
      </c>
      <c r="AM183" s="89">
        <f ca="1">SUM(INDIRECT(AM$1&amp;AM$2&amp;$C183):INDIRECT(AM$1&amp;AM$3&amp;$C183))</f>
        <v>0</v>
      </c>
      <c r="AN183" s="880">
        <f t="shared" ca="1" si="332"/>
        <v>56265</v>
      </c>
      <c r="AO183" s="931">
        <f t="shared" ca="1" si="389"/>
        <v>0</v>
      </c>
      <c r="AP183" s="89">
        <f ca="1">SUM(INDIRECT(AP$1&amp;AP$2&amp;$A183):INDIRECT(AP$1&amp;AP$3&amp;$A183))+SUM(INDIRECT(AP$1&amp;AP$2&amp;$B183):INDIRECT(AP$1&amp;AP$3&amp;$B183))</f>
        <v>153741</v>
      </c>
      <c r="AQ183" s="880">
        <f t="shared" ca="1" si="334"/>
        <v>-97476</v>
      </c>
      <c r="AR183" s="931">
        <f t="shared" ca="1" si="390"/>
        <v>0.36597264230101273</v>
      </c>
      <c r="AT183" s="13">
        <f ca="1">SUM((INDIRECT(AT$2&amp;(ROW())):INDIRECT(AT$3&amp;(ROW()))))</f>
        <v>332657.0147</v>
      </c>
      <c r="AU183" s="89">
        <f ca="1">SUM(INDIRECT(AU$1&amp;AU$2&amp;$C183):INDIRECT(AU$1&amp;AU$3&amp;$C183))</f>
        <v>0</v>
      </c>
      <c r="AV183" s="880">
        <f t="shared" ca="1" si="336"/>
        <v>332657.0147</v>
      </c>
      <c r="AW183" s="931">
        <f t="shared" ca="1" si="391"/>
        <v>0</v>
      </c>
      <c r="AX183" s="89">
        <f ca="1">SUM(INDIRECT(AX$1&amp;AX$2&amp;$A183):INDIRECT(AX$1&amp;AX$3&amp;$A183))+SUM(INDIRECT(AX$1&amp;AX$2&amp;$B183):INDIRECT(AX$1&amp;AX$3&amp;$B183))</f>
        <v>378910</v>
      </c>
      <c r="AY183" s="880">
        <f t="shared" ca="1" si="338"/>
        <v>-46252.9853</v>
      </c>
      <c r="AZ183" s="931">
        <f t="shared" ca="1" si="392"/>
        <v>0.87793147370087887</v>
      </c>
      <c r="BB183" s="13">
        <f ca="1">SUM((INDIRECT(BB$2&amp;(ROW())):INDIRECT(BB$3&amp;(ROW()))))</f>
        <v>1345923.6350806789</v>
      </c>
      <c r="BC183" s="89">
        <f ca="1">SUM(INDIRECT(BC$1&amp;BC$2&amp;$C183):INDIRECT(BC$1&amp;BC$3&amp;$C183))</f>
        <v>0</v>
      </c>
      <c r="BD183" s="880">
        <f t="shared" ca="1" si="340"/>
        <v>1345923.6350806789</v>
      </c>
      <c r="BE183" s="931">
        <f t="shared" ca="1" si="393"/>
        <v>0</v>
      </c>
      <c r="BF183" s="89">
        <f ca="1">SUM(INDIRECT(BF$1&amp;BF$2&amp;$A183):INDIRECT(BF$1&amp;BF$3&amp;$A183))+SUM(INDIRECT(BF$1&amp;BF$2&amp;$B183):INDIRECT(BF$1&amp;BF$3&amp;$B183))</f>
        <v>1317898</v>
      </c>
      <c r="BG183" s="880">
        <f t="shared" ca="1" si="342"/>
        <v>28025.635080678854</v>
      </c>
      <c r="BH183" s="931">
        <f t="shared" ca="1" si="394"/>
        <v>1.0212654052746715</v>
      </c>
    </row>
    <row r="184" spans="1:60" ht="14.5">
      <c r="A184" s="990">
        <f t="shared" si="325"/>
        <v>157</v>
      </c>
      <c r="B184" s="990">
        <v>1</v>
      </c>
      <c r="C184" s="990">
        <f t="shared" si="291"/>
        <v>181</v>
      </c>
      <c r="D184" s="1121" t="s">
        <v>887</v>
      </c>
      <c r="E184" s="1243">
        <v>1</v>
      </c>
      <c r="F184" s="5"/>
      <c r="G184" s="5"/>
      <c r="H184" s="5"/>
      <c r="I184" s="30"/>
      <c r="J184" s="4"/>
      <c r="K184" s="5"/>
      <c r="L184" s="5"/>
      <c r="M184" s="4" t="s">
        <v>561</v>
      </c>
      <c r="N184" s="4"/>
      <c r="O184" s="4"/>
      <c r="P184" s="4"/>
      <c r="Q184" s="1859" t="str">
        <f>CHOOSE(2, "6722000003103", "PL (2) Gross Profit Solution")</f>
        <v>PL (2) Gross Profit Solution</v>
      </c>
      <c r="R184" s="1927">
        <f t="shared" ref="R184:AC184" si="396">R601+R624</f>
        <v>0</v>
      </c>
      <c r="S184" s="29">
        <f t="shared" si="396"/>
        <v>0</v>
      </c>
      <c r="T184" s="29">
        <f t="shared" si="396"/>
        <v>0</v>
      </c>
      <c r="U184" s="29">
        <f t="shared" si="396"/>
        <v>0</v>
      </c>
      <c r="V184" s="29">
        <f t="shared" si="396"/>
        <v>0</v>
      </c>
      <c r="W184" s="29">
        <f t="shared" si="396"/>
        <v>0</v>
      </c>
      <c r="X184" s="29">
        <f t="shared" si="396"/>
        <v>0</v>
      </c>
      <c r="Y184" s="29">
        <f t="shared" si="396"/>
        <v>0</v>
      </c>
      <c r="Z184" s="29">
        <f t="shared" si="396"/>
        <v>0</v>
      </c>
      <c r="AA184" s="29">
        <f t="shared" si="396"/>
        <v>0</v>
      </c>
      <c r="AB184" s="29">
        <f t="shared" si="396"/>
        <v>0</v>
      </c>
      <c r="AC184" s="29">
        <f t="shared" si="396"/>
        <v>0</v>
      </c>
      <c r="AD184" s="89">
        <f t="shared" si="385"/>
        <v>0</v>
      </c>
      <c r="AE184" s="89">
        <f t="shared" si="386"/>
        <v>0</v>
      </c>
      <c r="AF184" s="89">
        <f t="shared" si="387"/>
        <v>0</v>
      </c>
      <c r="AG184" s="89">
        <f t="shared" si="388"/>
        <v>0</v>
      </c>
      <c r="AH184" s="89">
        <f>AD184+AE184</f>
        <v>0</v>
      </c>
      <c r="AI184" s="89">
        <f>AG184+AF184</f>
        <v>0</v>
      </c>
      <c r="AJ184" s="89">
        <f>AH184+AI184</f>
        <v>0</v>
      </c>
      <c r="AL184" s="13">
        <f ca="1">SUM((INDIRECT(AL$2&amp;(ROW())):INDIRECT(AL$3&amp;(ROW()))))</f>
        <v>0</v>
      </c>
      <c r="AM184" s="89">
        <f ca="1">SUM(INDIRECT(AM$1&amp;AM$2&amp;$C184):INDIRECT(AM$1&amp;AM$3&amp;$C184))</f>
        <v>0</v>
      </c>
      <c r="AN184" s="880">
        <f t="shared" ca="1" si="332"/>
        <v>0</v>
      </c>
      <c r="AO184" s="931">
        <f t="shared" ca="1" si="389"/>
        <v>0</v>
      </c>
      <c r="AP184" s="89">
        <f ca="1">SUM(INDIRECT(AP$1&amp;AP$2&amp;$A184):INDIRECT(AP$1&amp;AP$3&amp;$A184))+SUM(INDIRECT(AP$1&amp;AP$2&amp;$B184):INDIRECT(AP$1&amp;AP$3&amp;$B184))</f>
        <v>0</v>
      </c>
      <c r="AQ184" s="880">
        <f t="shared" ca="1" si="334"/>
        <v>0</v>
      </c>
      <c r="AR184" s="931">
        <f t="shared" ca="1" si="390"/>
        <v>0</v>
      </c>
      <c r="AT184" s="13">
        <f ca="1">SUM((INDIRECT(AT$2&amp;(ROW())):INDIRECT(AT$3&amp;(ROW()))))</f>
        <v>0</v>
      </c>
      <c r="AU184" s="89">
        <f ca="1">SUM(INDIRECT(AU$1&amp;AU$2&amp;$C184):INDIRECT(AU$1&amp;AU$3&amp;$C184))</f>
        <v>0</v>
      </c>
      <c r="AV184" s="880">
        <f t="shared" ca="1" si="336"/>
        <v>0</v>
      </c>
      <c r="AW184" s="931">
        <f t="shared" ca="1" si="391"/>
        <v>0</v>
      </c>
      <c r="AX184" s="89">
        <f ca="1">SUM(INDIRECT(AX$1&amp;AX$2&amp;$A184):INDIRECT(AX$1&amp;AX$3&amp;$A184))+SUM(INDIRECT(AX$1&amp;AX$2&amp;$B184):INDIRECT(AX$1&amp;AX$3&amp;$B184))</f>
        <v>0</v>
      </c>
      <c r="AY184" s="880">
        <f t="shared" ca="1" si="338"/>
        <v>0</v>
      </c>
      <c r="AZ184" s="931">
        <f t="shared" ca="1" si="392"/>
        <v>0</v>
      </c>
      <c r="BB184" s="13">
        <f ca="1">SUM((INDIRECT(BB$2&amp;(ROW())):INDIRECT(BB$3&amp;(ROW()))))</f>
        <v>0</v>
      </c>
      <c r="BC184" s="89">
        <f ca="1">SUM(INDIRECT(BC$1&amp;BC$2&amp;$C184):INDIRECT(BC$1&amp;BC$3&amp;$C184))</f>
        <v>0</v>
      </c>
      <c r="BD184" s="880">
        <f t="shared" ca="1" si="340"/>
        <v>0</v>
      </c>
      <c r="BE184" s="931">
        <f t="shared" ca="1" si="393"/>
        <v>0</v>
      </c>
      <c r="BF184" s="89">
        <f ca="1">SUM(INDIRECT(BF$1&amp;BF$2&amp;$A184):INDIRECT(BF$1&amp;BF$3&amp;$A184))+SUM(INDIRECT(BF$1&amp;BF$2&amp;$B184):INDIRECT(BF$1&amp;BF$3&amp;$B184))</f>
        <v>0</v>
      </c>
      <c r="BG184" s="880">
        <f t="shared" ca="1" si="342"/>
        <v>0</v>
      </c>
      <c r="BH184" s="931">
        <f t="shared" ca="1" si="394"/>
        <v>0</v>
      </c>
    </row>
    <row r="185" spans="1:60" ht="14.5">
      <c r="A185" s="990">
        <f t="shared" si="325"/>
        <v>158</v>
      </c>
      <c r="B185" s="990">
        <v>1</v>
      </c>
      <c r="C185" s="990">
        <f t="shared" si="291"/>
        <v>182</v>
      </c>
      <c r="D185" s="1121" t="s">
        <v>887</v>
      </c>
      <c r="E185" s="1243">
        <v>1</v>
      </c>
      <c r="F185" s="5"/>
      <c r="G185" s="5"/>
      <c r="H185" s="5"/>
      <c r="I185" s="30"/>
      <c r="J185" s="4"/>
      <c r="K185" s="5"/>
      <c r="L185" s="5"/>
      <c r="M185" s="4" t="s">
        <v>11</v>
      </c>
      <c r="N185" s="4"/>
      <c r="O185" s="4"/>
      <c r="P185" s="4"/>
      <c r="Q185" s="1859" t="str">
        <f>CHOOSE(2, "6722000003104", "PL (2) Gross Profit Others")</f>
        <v>PL (2) Gross Profit Others</v>
      </c>
      <c r="R185" s="1927">
        <f t="shared" ref="R185:AC185" si="397">R606+R629</f>
        <v>0</v>
      </c>
      <c r="S185" s="29">
        <f t="shared" si="397"/>
        <v>0</v>
      </c>
      <c r="T185" s="29">
        <f t="shared" si="397"/>
        <v>0</v>
      </c>
      <c r="U185" s="29">
        <f t="shared" si="397"/>
        <v>0</v>
      </c>
      <c r="V185" s="29">
        <f t="shared" si="397"/>
        <v>0</v>
      </c>
      <c r="W185" s="29">
        <f t="shared" si="397"/>
        <v>0</v>
      </c>
      <c r="X185" s="29">
        <f t="shared" si="397"/>
        <v>0</v>
      </c>
      <c r="Y185" s="29">
        <f t="shared" si="397"/>
        <v>0</v>
      </c>
      <c r="Z185" s="29">
        <f t="shared" si="397"/>
        <v>0</v>
      </c>
      <c r="AA185" s="29">
        <f t="shared" si="397"/>
        <v>0</v>
      </c>
      <c r="AB185" s="29">
        <f t="shared" si="397"/>
        <v>0</v>
      </c>
      <c r="AC185" s="29">
        <f t="shared" si="397"/>
        <v>0</v>
      </c>
      <c r="AD185" s="89">
        <f t="shared" si="385"/>
        <v>0</v>
      </c>
      <c r="AE185" s="89">
        <f t="shared" si="386"/>
        <v>0</v>
      </c>
      <c r="AF185" s="89">
        <f t="shared" si="387"/>
        <v>0</v>
      </c>
      <c r="AG185" s="89">
        <f t="shared" si="388"/>
        <v>0</v>
      </c>
      <c r="AH185" s="89">
        <f>AD185+AE185</f>
        <v>0</v>
      </c>
      <c r="AI185" s="89">
        <f>AG185+AF185</f>
        <v>0</v>
      </c>
      <c r="AJ185" s="89">
        <f>AH185+AI185</f>
        <v>0</v>
      </c>
      <c r="AL185" s="13">
        <f ca="1">SUM((INDIRECT(AL$2&amp;(ROW())):INDIRECT(AL$3&amp;(ROW()))))</f>
        <v>0</v>
      </c>
      <c r="AM185" s="89">
        <f ca="1">SUM(INDIRECT(AM$1&amp;AM$2&amp;$C185):INDIRECT(AM$1&amp;AM$3&amp;$C185))</f>
        <v>0</v>
      </c>
      <c r="AN185" s="880">
        <f t="shared" ca="1" si="332"/>
        <v>0</v>
      </c>
      <c r="AO185" s="931">
        <f t="shared" ca="1" si="389"/>
        <v>0</v>
      </c>
      <c r="AP185" s="89">
        <f ca="1">SUM(INDIRECT(AP$1&amp;AP$2&amp;$A185):INDIRECT(AP$1&amp;AP$3&amp;$A185))+SUM(INDIRECT(AP$1&amp;AP$2&amp;$B185):INDIRECT(AP$1&amp;AP$3&amp;$B185))</f>
        <v>0</v>
      </c>
      <c r="AQ185" s="880">
        <f t="shared" ca="1" si="334"/>
        <v>0</v>
      </c>
      <c r="AR185" s="931">
        <f t="shared" ca="1" si="390"/>
        <v>0</v>
      </c>
      <c r="AT185" s="13">
        <f ca="1">SUM((INDIRECT(AT$2&amp;(ROW())):INDIRECT(AT$3&amp;(ROW()))))</f>
        <v>0</v>
      </c>
      <c r="AU185" s="89">
        <f ca="1">SUM(INDIRECT(AU$1&amp;AU$2&amp;$C185):INDIRECT(AU$1&amp;AU$3&amp;$C185))</f>
        <v>0</v>
      </c>
      <c r="AV185" s="880">
        <f t="shared" ca="1" si="336"/>
        <v>0</v>
      </c>
      <c r="AW185" s="931">
        <f t="shared" ca="1" si="391"/>
        <v>0</v>
      </c>
      <c r="AX185" s="89">
        <f ca="1">SUM(INDIRECT(AX$1&amp;AX$2&amp;$A185):INDIRECT(AX$1&amp;AX$3&amp;$A185))+SUM(INDIRECT(AX$1&amp;AX$2&amp;$B185):INDIRECT(AX$1&amp;AX$3&amp;$B185))</f>
        <v>0</v>
      </c>
      <c r="AY185" s="880">
        <f t="shared" ca="1" si="338"/>
        <v>0</v>
      </c>
      <c r="AZ185" s="931">
        <f t="shared" ca="1" si="392"/>
        <v>0</v>
      </c>
      <c r="BB185" s="13">
        <f ca="1">SUM((INDIRECT(BB$2&amp;(ROW())):INDIRECT(BB$3&amp;(ROW()))))</f>
        <v>0</v>
      </c>
      <c r="BC185" s="89">
        <f ca="1">SUM(INDIRECT(BC$1&amp;BC$2&amp;$C185):INDIRECT(BC$1&amp;BC$3&amp;$C185))</f>
        <v>0</v>
      </c>
      <c r="BD185" s="880">
        <f t="shared" ca="1" si="340"/>
        <v>0</v>
      </c>
      <c r="BE185" s="931">
        <f t="shared" ca="1" si="393"/>
        <v>0</v>
      </c>
      <c r="BF185" s="89">
        <f ca="1">SUM(INDIRECT(BF$1&amp;BF$2&amp;$A185):INDIRECT(BF$1&amp;BF$3&amp;$A185))+SUM(INDIRECT(BF$1&amp;BF$2&amp;$B185):INDIRECT(BF$1&amp;BF$3&amp;$B185))</f>
        <v>0</v>
      </c>
      <c r="BG185" s="880">
        <f t="shared" ca="1" si="342"/>
        <v>0</v>
      </c>
      <c r="BH185" s="931">
        <f t="shared" ca="1" si="394"/>
        <v>0</v>
      </c>
    </row>
    <row r="186" spans="1:60" ht="14.5">
      <c r="A186" s="990">
        <f t="shared" si="325"/>
        <v>159</v>
      </c>
      <c r="B186" s="990">
        <v>1</v>
      </c>
      <c r="C186" s="990">
        <f t="shared" si="291"/>
        <v>183</v>
      </c>
      <c r="D186" s="1121" t="s">
        <v>887</v>
      </c>
      <c r="E186" s="1243">
        <v>1</v>
      </c>
      <c r="F186" s="5"/>
      <c r="G186" s="5"/>
      <c r="H186" s="5"/>
      <c r="I186" s="132" t="s">
        <v>97</v>
      </c>
      <c r="J186" s="131"/>
      <c r="K186" s="130"/>
      <c r="L186" s="130"/>
      <c r="M186" s="130"/>
      <c r="N186" s="130"/>
      <c r="O186" s="130"/>
      <c r="P186" s="1172"/>
      <c r="Q186" s="1858" t="str">
        <f>CHOOSE(2, "6722000003105", "PL (2) SGA Expenses")</f>
        <v>PL (2) SGA Expenses</v>
      </c>
      <c r="R186" s="1990">
        <f>SUM(R187:R189)</f>
        <v>102832.43428717848</v>
      </c>
      <c r="S186" s="2019">
        <f t="shared" ref="S186:AC186" si="398">SUM(S187:S189)</f>
        <v>96374.58726737916</v>
      </c>
      <c r="T186" s="2019">
        <f t="shared" si="398"/>
        <v>105341.56526438489</v>
      </c>
      <c r="U186" s="2019">
        <f t="shared" si="398"/>
        <v>109581.6021147548</v>
      </c>
      <c r="V186" s="2019">
        <f t="shared" si="398"/>
        <v>125972.05612566469</v>
      </c>
      <c r="W186" s="2019">
        <f t="shared" si="398"/>
        <v>71051.648915335623</v>
      </c>
      <c r="X186" s="2019">
        <f t="shared" si="398"/>
        <v>140996.27414251596</v>
      </c>
      <c r="Y186" s="2019">
        <f t="shared" si="398"/>
        <v>114873.50444027773</v>
      </c>
      <c r="Z186" s="2019">
        <f t="shared" si="398"/>
        <v>105330.84492900592</v>
      </c>
      <c r="AA186" s="2019">
        <f t="shared" si="398"/>
        <v>143279.34918475087</v>
      </c>
      <c r="AB186" s="2019">
        <f t="shared" si="398"/>
        <v>102245.23734156512</v>
      </c>
      <c r="AC186" s="2019">
        <f t="shared" si="398"/>
        <v>42686.185673351632</v>
      </c>
      <c r="AD186" s="1526">
        <f t="shared" si="385"/>
        <v>304548.58681894251</v>
      </c>
      <c r="AE186" s="129">
        <f t="shared" si="386"/>
        <v>306605.30715575512</v>
      </c>
      <c r="AF186" s="129">
        <f t="shared" si="387"/>
        <v>361200.62351179961</v>
      </c>
      <c r="AG186" s="129">
        <f t="shared" si="388"/>
        <v>288210.77219966764</v>
      </c>
      <c r="AH186" s="129">
        <f t="shared" ref="AH186:AJ186" si="399">SUM(AH187:AH189)</f>
        <v>611153.89397469768</v>
      </c>
      <c r="AI186" s="129">
        <f t="shared" si="399"/>
        <v>649411.39571146725</v>
      </c>
      <c r="AJ186" s="129">
        <f t="shared" si="399"/>
        <v>1260565.2896861648</v>
      </c>
      <c r="AL186" s="2121">
        <f ca="1">SUM((INDIRECT(AL$2&amp;(ROW())):INDIRECT(AL$3&amp;(ROW()))))</f>
        <v>42686.185673351632</v>
      </c>
      <c r="AM186" s="129">
        <f ca="1">SUM(INDIRECT(AM$1&amp;AM$2&amp;$C186):INDIRECT(AM$1&amp;AM$3&amp;$C186))</f>
        <v>0</v>
      </c>
      <c r="AN186" s="2519">
        <f t="shared" ref="AN186:AN205" ca="1" si="400">AL186-AM186</f>
        <v>42686.185673351632</v>
      </c>
      <c r="AO186" s="1714">
        <f t="shared" ca="1" si="389"/>
        <v>0</v>
      </c>
      <c r="AP186" s="129">
        <f ca="1">SUM(INDIRECT(AP$1&amp;AP$2&amp;$A186):INDIRECT(AP$1&amp;AP$3&amp;$A186))+SUM(INDIRECT(AP$1&amp;AP$2&amp;$B186):INDIRECT(AP$1&amp;AP$3&amp;$B186))</f>
        <v>130704.58800697146</v>
      </c>
      <c r="AQ186" s="2519">
        <f t="shared" ca="1" si="334"/>
        <v>-88018.40233361983</v>
      </c>
      <c r="AR186" s="1714">
        <f t="shared" ca="1" si="390"/>
        <v>0.3265852126864503</v>
      </c>
      <c r="AT186" s="2121">
        <f ca="1">SUM((INDIRECT(AT$2&amp;(ROW())):INDIRECT(AT$3&amp;(ROW()))))</f>
        <v>288210.77219966764</v>
      </c>
      <c r="AU186" s="129">
        <f ca="1">SUM(INDIRECT(AU$1&amp;AU$2&amp;$C186):INDIRECT(AU$1&amp;AU$3&amp;$C186))</f>
        <v>0</v>
      </c>
      <c r="AV186" s="2519">
        <f t="shared" ref="AV186:AV205" ca="1" si="401">AT186-AU186</f>
        <v>288210.77219966764</v>
      </c>
      <c r="AW186" s="1714">
        <f t="shared" ca="1" si="391"/>
        <v>0</v>
      </c>
      <c r="AX186" s="129">
        <f ca="1">SUM(INDIRECT(AX$1&amp;AX$2&amp;$A186):INDIRECT(AX$1&amp;AX$3&amp;$A186))+SUM(INDIRECT(AX$1&amp;AX$2&amp;$B186):INDIRECT(AX$1&amp;AX$3&amp;$B186))</f>
        <v>270877.80919339368</v>
      </c>
      <c r="AY186" s="2519">
        <f t="shared" ca="1" si="338"/>
        <v>17332.96300627396</v>
      </c>
      <c r="AZ186" s="1714">
        <f t="shared" ca="1" si="392"/>
        <v>1.0639881246008567</v>
      </c>
      <c r="BB186" s="2121">
        <f ca="1">SUM((INDIRECT(BB$2&amp;(ROW())):INDIRECT(BB$3&amp;(ROW()))))</f>
        <v>1260565.2896861648</v>
      </c>
      <c r="BC186" s="129">
        <f ca="1">SUM(INDIRECT(BC$1&amp;BC$2&amp;$C186):INDIRECT(BC$1&amp;BC$3&amp;$C186))</f>
        <v>0</v>
      </c>
      <c r="BD186" s="2519">
        <f t="shared" ref="BD186:BD205" ca="1" si="402">BB186-BC186</f>
        <v>1260565.2896861648</v>
      </c>
      <c r="BE186" s="1714">
        <f t="shared" ca="1" si="393"/>
        <v>0</v>
      </c>
      <c r="BF186" s="129">
        <f ca="1">SUM(INDIRECT(BF$1&amp;BF$2&amp;$A186):INDIRECT(BF$1&amp;BF$3&amp;$A186))+SUM(INDIRECT(BF$1&amp;BF$2&amp;$B186):INDIRECT(BF$1&amp;BF$3&amp;$B186))</f>
        <v>1065045.8091933937</v>
      </c>
      <c r="BG186" s="2519">
        <f t="shared" ca="1" si="342"/>
        <v>195519.48049277114</v>
      </c>
      <c r="BH186" s="1714">
        <f t="shared" ca="1" si="394"/>
        <v>1.1835784703390801</v>
      </c>
    </row>
    <row r="187" spans="1:60" ht="14.5">
      <c r="A187" s="990">
        <f t="shared" si="325"/>
        <v>160</v>
      </c>
      <c r="B187" s="990">
        <v>1</v>
      </c>
      <c r="C187" s="990">
        <f t="shared" si="291"/>
        <v>184</v>
      </c>
      <c r="D187" s="1121" t="s">
        <v>887</v>
      </c>
      <c r="E187" s="1243">
        <v>1</v>
      </c>
      <c r="F187" s="5"/>
      <c r="G187" s="5"/>
      <c r="H187" s="5"/>
      <c r="I187" s="30"/>
      <c r="J187" s="123" t="s">
        <v>199</v>
      </c>
      <c r="K187" s="5"/>
      <c r="L187" s="5"/>
      <c r="M187" s="4"/>
      <c r="N187" s="4"/>
      <c r="O187" s="4"/>
      <c r="P187" s="4"/>
      <c r="Q187" s="1855" t="str">
        <f>CHOOSE(2, "6722000003106", "PL (2) SGA Expenses Variable Expenses")</f>
        <v>PL (2) SGA Expenses Variable Expenses</v>
      </c>
      <c r="R187" s="2032">
        <v>42870.097436612115</v>
      </c>
      <c r="S187" s="2039">
        <v>35213.833682844801</v>
      </c>
      <c r="T187" s="2039">
        <v>31987.938684800614</v>
      </c>
      <c r="U187" s="2039">
        <v>48892.622918824985</v>
      </c>
      <c r="V187" s="2039">
        <v>53486.563090539872</v>
      </c>
      <c r="W187" s="2039">
        <v>24617.548684937588</v>
      </c>
      <c r="X187" s="2039">
        <v>29671.333607622662</v>
      </c>
      <c r="Y187" s="2039">
        <v>41294.323064053802</v>
      </c>
      <c r="Z187" s="2039">
        <v>35347.167694969408</v>
      </c>
      <c r="AA187" s="2039">
        <f>67524.5841737263-9800</f>
        <v>57724.584173726296</v>
      </c>
      <c r="AB187" s="2039">
        <v>51375.583366575869</v>
      </c>
      <c r="AC187" s="2039">
        <v>-20729.93237792993</v>
      </c>
      <c r="AD187" s="89">
        <f t="shared" si="385"/>
        <v>110071.86980425753</v>
      </c>
      <c r="AE187" s="89">
        <f t="shared" si="386"/>
        <v>126996.73469430245</v>
      </c>
      <c r="AF187" s="89">
        <f t="shared" si="387"/>
        <v>106312.82436664587</v>
      </c>
      <c r="AG187" s="89">
        <f t="shared" si="388"/>
        <v>88370.235162372235</v>
      </c>
      <c r="AH187" s="89">
        <f>AD187+AE187</f>
        <v>237068.60449855996</v>
      </c>
      <c r="AI187" s="89">
        <f>AG187+AF187</f>
        <v>194683.05952901812</v>
      </c>
      <c r="AJ187" s="89">
        <f>AH187+AI187</f>
        <v>431751.66402757808</v>
      </c>
      <c r="AL187" s="13">
        <f ca="1">SUM((INDIRECT(AL$2&amp;(ROW())):INDIRECT(AL$3&amp;(ROW()))))</f>
        <v>-20729.93237792993</v>
      </c>
      <c r="AM187" s="89">
        <f ca="1">SUM(INDIRECT(AM$1&amp;AM$2&amp;$C187):INDIRECT(AM$1&amp;AM$3&amp;$C187))</f>
        <v>0</v>
      </c>
      <c r="AN187" s="880">
        <f t="shared" ca="1" si="400"/>
        <v>-20729.93237792993</v>
      </c>
      <c r="AO187" s="931">
        <f t="shared" ca="1" si="389"/>
        <v>0</v>
      </c>
      <c r="AP187" s="89">
        <f ca="1">SUM(INDIRECT(AP$1&amp;AP$2&amp;$A187):INDIRECT(AP$1&amp;AP$3&amp;$A187))+SUM(INDIRECT(AP$1&amp;AP$2&amp;$B187):INDIRECT(AP$1&amp;AP$3&amp;$B187))</f>
        <v>22703.515254911552</v>
      </c>
      <c r="AQ187" s="880">
        <f t="shared" ca="1" si="334"/>
        <v>-43433.447632841482</v>
      </c>
      <c r="AR187" s="931">
        <f t="shared" ca="1" si="390"/>
        <v>-0.91307148453345044</v>
      </c>
      <c r="AT187" s="13">
        <f ca="1">SUM((INDIRECT(AT$2&amp;(ROW())):INDIRECT(AT$3&amp;(ROW()))))</f>
        <v>88370.235162372235</v>
      </c>
      <c r="AU187" s="89">
        <f ca="1">SUM(INDIRECT(AU$1&amp;AU$2&amp;$C187):INDIRECT(AU$1&amp;AU$3&amp;$C187))</f>
        <v>0</v>
      </c>
      <c r="AV187" s="880">
        <f t="shared" ca="1" si="401"/>
        <v>88370.235162372235</v>
      </c>
      <c r="AW187" s="931">
        <f t="shared" ca="1" si="391"/>
        <v>0</v>
      </c>
      <c r="AX187" s="89">
        <f ca="1">SUM(INDIRECT(AX$1&amp;AX$2&amp;$A187):INDIRECT(AX$1&amp;AX$3&amp;$A187))+SUM(INDIRECT(AX$1&amp;AX$2&amp;$B187):INDIRECT(AX$1&amp;AX$3&amp;$B187))</f>
        <v>52944.029181760779</v>
      </c>
      <c r="AY187" s="880">
        <f t="shared" ca="1" si="338"/>
        <v>35426.205980611456</v>
      </c>
      <c r="AZ187" s="931">
        <f t="shared" ca="1" si="392"/>
        <v>1.6691256129938781</v>
      </c>
      <c r="BB187" s="13">
        <f ca="1">SUM((INDIRECT(BB$2&amp;(ROW())):INDIRECT(BB$3&amp;(ROW()))))</f>
        <v>431751.66402757808</v>
      </c>
      <c r="BC187" s="89">
        <f ca="1">SUM(INDIRECT(BC$1&amp;BC$2&amp;$C187):INDIRECT(BC$1&amp;BC$3&amp;$C187))</f>
        <v>0</v>
      </c>
      <c r="BD187" s="880">
        <f t="shared" ca="1" si="402"/>
        <v>431751.66402757808</v>
      </c>
      <c r="BE187" s="931">
        <f t="shared" ca="1" si="393"/>
        <v>0</v>
      </c>
      <c r="BF187" s="89">
        <f ca="1">SUM(INDIRECT(BF$1&amp;BF$2&amp;$A187):INDIRECT(BF$1&amp;BF$3&amp;$A187))+SUM(INDIRECT(BF$1&amp;BF$2&amp;$B187):INDIRECT(BF$1&amp;BF$3&amp;$B187))</f>
        <v>268969.02918176079</v>
      </c>
      <c r="BG187" s="880">
        <f t="shared" ca="1" si="342"/>
        <v>162782.63484581729</v>
      </c>
      <c r="BH187" s="931">
        <f t="shared" ca="1" si="394"/>
        <v>1.6052095861780946</v>
      </c>
    </row>
    <row r="188" spans="1:60" ht="14.5">
      <c r="A188" s="990">
        <f t="shared" si="325"/>
        <v>161</v>
      </c>
      <c r="B188" s="990">
        <v>1</v>
      </c>
      <c r="C188" s="990">
        <f t="shared" si="291"/>
        <v>185</v>
      </c>
      <c r="D188" s="1121" t="s">
        <v>887</v>
      </c>
      <c r="E188" s="1243">
        <v>1</v>
      </c>
      <c r="F188" s="5"/>
      <c r="G188" s="5"/>
      <c r="H188" s="5"/>
      <c r="I188" s="30"/>
      <c r="J188" s="40" t="s">
        <v>200</v>
      </c>
      <c r="K188" s="5"/>
      <c r="L188" s="5"/>
      <c r="M188" s="4"/>
      <c r="N188" s="4"/>
      <c r="O188" s="4"/>
      <c r="P188" s="4"/>
      <c r="Q188" s="1855" t="str">
        <f>CHOOSE(2, "6722000003107", "PL (2) SGA Expenses Wages &amp; Salaries")</f>
        <v>PL (2) SGA Expenses Wages &amp; Salaries</v>
      </c>
      <c r="R188" s="2032">
        <v>30636</v>
      </c>
      <c r="S188" s="2039">
        <v>30140.440136684108</v>
      </c>
      <c r="T188" s="2039">
        <v>30930.759945960657</v>
      </c>
      <c r="U188" s="2039">
        <v>29139.745399736257</v>
      </c>
      <c r="V188" s="2039">
        <v>31288.618267790549</v>
      </c>
      <c r="W188" s="2039">
        <v>34145.797004117812</v>
      </c>
      <c r="X188" s="2039">
        <v>53400.294390658441</v>
      </c>
      <c r="Y188" s="2039">
        <v>37428.901709825499</v>
      </c>
      <c r="Z188" s="2039">
        <v>36766.522825144275</v>
      </c>
      <c r="AA188" s="2039">
        <v>37234.042197121285</v>
      </c>
      <c r="AB188" s="2039">
        <v>32271.163148431609</v>
      </c>
      <c r="AC188" s="2039">
        <v>29268.075336481961</v>
      </c>
      <c r="AD188" s="89">
        <f t="shared" si="385"/>
        <v>91707.200082644762</v>
      </c>
      <c r="AE188" s="89">
        <f t="shared" si="386"/>
        <v>94574.160671644611</v>
      </c>
      <c r="AF188" s="89">
        <f t="shared" si="387"/>
        <v>127595.71892562821</v>
      </c>
      <c r="AG188" s="89">
        <f t="shared" si="388"/>
        <v>98773.280682034849</v>
      </c>
      <c r="AH188" s="89">
        <f>AD188+AE188</f>
        <v>186281.36075428937</v>
      </c>
      <c r="AI188" s="89">
        <f>AG188+AF188</f>
        <v>226368.99960766308</v>
      </c>
      <c r="AJ188" s="89">
        <f>AH188+AI188</f>
        <v>412650.36036195245</v>
      </c>
      <c r="AL188" s="13">
        <f ca="1">SUM((INDIRECT(AL$2&amp;(ROW())):INDIRECT(AL$3&amp;(ROW()))))</f>
        <v>29268.075336481961</v>
      </c>
      <c r="AM188" s="89">
        <f ca="1">SUM(INDIRECT(AM$1&amp;AM$2&amp;$C188):INDIRECT(AM$1&amp;AM$3&amp;$C188))</f>
        <v>0</v>
      </c>
      <c r="AN188" s="880">
        <f t="shared" ca="1" si="400"/>
        <v>29268.075336481961</v>
      </c>
      <c r="AO188" s="931">
        <f t="shared" ca="1" si="389"/>
        <v>0</v>
      </c>
      <c r="AP188" s="89">
        <f ca="1">SUM(INDIRECT(AP$1&amp;AP$2&amp;$A188):INDIRECT(AP$1&amp;AP$3&amp;$A188))+SUM(INDIRECT(AP$1&amp;AP$2&amp;$B188):INDIRECT(AP$1&amp;AP$3&amp;$B188))</f>
        <v>40031.072752059903</v>
      </c>
      <c r="AQ188" s="880">
        <f t="shared" ca="1" si="334"/>
        <v>-10762.997415577942</v>
      </c>
      <c r="AR188" s="931">
        <f t="shared" ca="1" si="390"/>
        <v>0.73113392483282613</v>
      </c>
      <c r="AT188" s="13">
        <f ca="1">SUM((INDIRECT(AT$2&amp;(ROW())):INDIRECT(AT$3&amp;(ROW()))))</f>
        <v>98773.280682034849</v>
      </c>
      <c r="AU188" s="89">
        <f ca="1">SUM(INDIRECT(AU$1&amp;AU$2&amp;$C188):INDIRECT(AU$1&amp;AU$3&amp;$C188))</f>
        <v>0</v>
      </c>
      <c r="AV188" s="880">
        <f t="shared" ca="1" si="401"/>
        <v>98773.280682034849</v>
      </c>
      <c r="AW188" s="931">
        <f t="shared" ca="1" si="391"/>
        <v>0</v>
      </c>
      <c r="AX188" s="89">
        <f ca="1">SUM(INDIRECT(AX$1&amp;AX$2&amp;$A188):INDIRECT(AX$1&amp;AX$3&amp;$A188))+SUM(INDIRECT(AX$1&amp;AX$2&amp;$B188):INDIRECT(AX$1&amp;AX$3&amp;$B188))</f>
        <v>106815.29854911429</v>
      </c>
      <c r="AY188" s="880">
        <f t="shared" ca="1" si="338"/>
        <v>-8042.0178670794412</v>
      </c>
      <c r="AZ188" s="931">
        <f t="shared" ca="1" si="392"/>
        <v>0.92471099199913132</v>
      </c>
      <c r="BB188" s="13">
        <f ca="1">SUM((INDIRECT(BB$2&amp;(ROW())):INDIRECT(BB$3&amp;(ROW()))))</f>
        <v>412650.36036195251</v>
      </c>
      <c r="BC188" s="89">
        <f ca="1">SUM(INDIRECT(BC$1&amp;BC$2&amp;$C188):INDIRECT(BC$1&amp;BC$3&amp;$C188))</f>
        <v>0</v>
      </c>
      <c r="BD188" s="880">
        <f t="shared" ca="1" si="402"/>
        <v>412650.36036195251</v>
      </c>
      <c r="BE188" s="931">
        <f t="shared" ca="1" si="393"/>
        <v>0</v>
      </c>
      <c r="BF188" s="89">
        <f ca="1">SUM(INDIRECT(BF$1&amp;BF$2&amp;$A188):INDIRECT(BF$1&amp;BF$3&amp;$A188))+SUM(INDIRECT(BF$1&amp;BF$2&amp;$B188):INDIRECT(BF$1&amp;BF$3&amp;$B188))</f>
        <v>356766.29854911426</v>
      </c>
      <c r="BG188" s="880">
        <f t="shared" ca="1" si="342"/>
        <v>55884.061812838248</v>
      </c>
      <c r="BH188" s="931">
        <f t="shared" ca="1" si="394"/>
        <v>1.1566405292206852</v>
      </c>
    </row>
    <row r="189" spans="1:60" ht="14.5">
      <c r="A189" s="990">
        <f t="shared" si="325"/>
        <v>162</v>
      </c>
      <c r="B189" s="990">
        <v>1</v>
      </c>
      <c r="C189" s="990">
        <f t="shared" si="291"/>
        <v>186</v>
      </c>
      <c r="D189" s="1121" t="s">
        <v>887</v>
      </c>
      <c r="E189" s="1243">
        <v>1</v>
      </c>
      <c r="F189" s="5"/>
      <c r="G189" s="5"/>
      <c r="H189" s="5"/>
      <c r="I189" s="30"/>
      <c r="J189" s="40" t="s">
        <v>201</v>
      </c>
      <c r="K189" s="5"/>
      <c r="L189" s="5"/>
      <c r="M189" s="4"/>
      <c r="N189" s="4"/>
      <c r="O189" s="4"/>
      <c r="P189" s="4"/>
      <c r="Q189" s="1855" t="str">
        <f>CHOOSE(2, "6722000003108", "PL (2) SGA Expenses Fixed Expenses")</f>
        <v>PL (2) SGA Expenses Fixed Expenses</v>
      </c>
      <c r="R189" s="2032">
        <v>29326.336850566349</v>
      </c>
      <c r="S189" s="2039">
        <v>31020.313447850254</v>
      </c>
      <c r="T189" s="2039">
        <v>42422.86663362362</v>
      </c>
      <c r="U189" s="2039">
        <v>31549.233796193559</v>
      </c>
      <c r="V189" s="2039">
        <v>41196.874767334273</v>
      </c>
      <c r="W189" s="2039">
        <v>12288.303226280226</v>
      </c>
      <c r="X189" s="2039">
        <v>57924.646144234881</v>
      </c>
      <c r="Y189" s="2039">
        <v>36150.279666398426</v>
      </c>
      <c r="Z189" s="2039">
        <v>33217.154408892238</v>
      </c>
      <c r="AA189" s="2039">
        <v>48320.722813903296</v>
      </c>
      <c r="AB189" s="2039">
        <v>18598.490826557638</v>
      </c>
      <c r="AC189" s="2039">
        <v>34148.042714799602</v>
      </c>
      <c r="AD189" s="89">
        <f t="shared" si="385"/>
        <v>102769.51693204022</v>
      </c>
      <c r="AE189" s="89">
        <f t="shared" si="386"/>
        <v>85034.411789808059</v>
      </c>
      <c r="AF189" s="89">
        <f t="shared" si="387"/>
        <v>127292.08021952555</v>
      </c>
      <c r="AG189" s="89">
        <f t="shared" si="388"/>
        <v>101067.25635526053</v>
      </c>
      <c r="AH189" s="89">
        <f>AD189+AE189</f>
        <v>187803.92872184829</v>
      </c>
      <c r="AI189" s="89">
        <f>AG189+AF189</f>
        <v>228359.33657478608</v>
      </c>
      <c r="AJ189" s="89">
        <f>AH189+AI189</f>
        <v>416163.2652966344</v>
      </c>
      <c r="AL189" s="13">
        <f ca="1">SUM((INDIRECT(AL$2&amp;(ROW())):INDIRECT(AL$3&amp;(ROW()))))</f>
        <v>34148.042714799602</v>
      </c>
      <c r="AM189" s="89">
        <f ca="1">SUM(INDIRECT(AM$1&amp;AM$2&amp;$C189):INDIRECT(AM$1&amp;AM$3&amp;$C189))</f>
        <v>0</v>
      </c>
      <c r="AN189" s="880">
        <f t="shared" ca="1" si="400"/>
        <v>34148.042714799602</v>
      </c>
      <c r="AO189" s="931">
        <f t="shared" ca="1" si="389"/>
        <v>0</v>
      </c>
      <c r="AP189" s="89">
        <f ca="1">SUM(INDIRECT(AP$1&amp;AP$2&amp;$A189):INDIRECT(AP$1&amp;AP$3&amp;$A189))+SUM(INDIRECT(AP$1&amp;AP$2&amp;$B189):INDIRECT(AP$1&amp;AP$3&amp;$B189))</f>
        <v>67970</v>
      </c>
      <c r="AQ189" s="880">
        <f t="shared" ca="1" si="334"/>
        <v>-33821.957285200398</v>
      </c>
      <c r="AR189" s="931">
        <f t="shared" ca="1" si="390"/>
        <v>0.50239874525231132</v>
      </c>
      <c r="AT189" s="13">
        <f ca="1">SUM((INDIRECT(AT$2&amp;(ROW())):INDIRECT(AT$3&amp;(ROW()))))</f>
        <v>101067.25635526053</v>
      </c>
      <c r="AU189" s="89">
        <f ca="1">SUM(INDIRECT(AU$1&amp;AU$2&amp;$C189):INDIRECT(AU$1&amp;AU$3&amp;$C189))</f>
        <v>0</v>
      </c>
      <c r="AV189" s="880">
        <f t="shared" ca="1" si="401"/>
        <v>101067.25635526053</v>
      </c>
      <c r="AW189" s="931">
        <f t="shared" ca="1" si="391"/>
        <v>0</v>
      </c>
      <c r="AX189" s="89">
        <f ca="1">SUM(INDIRECT(AX$1&amp;AX$2&amp;$A189):INDIRECT(AX$1&amp;AX$3&amp;$A189))+SUM(INDIRECT(AX$1&amp;AX$2&amp;$B189):INDIRECT(AX$1&amp;AX$3&amp;$B189))</f>
        <v>111118.4814625186</v>
      </c>
      <c r="AY189" s="880">
        <f t="shared" ca="1" si="338"/>
        <v>-10051.225107258069</v>
      </c>
      <c r="AZ189" s="931">
        <f t="shared" ca="1" si="392"/>
        <v>0.90954497420261771</v>
      </c>
      <c r="BB189" s="13">
        <f ca="1">SUM((INDIRECT(BB$2&amp;(ROW())):INDIRECT(BB$3&amp;(ROW()))))</f>
        <v>416163.26529663429</v>
      </c>
      <c r="BC189" s="89">
        <f ca="1">SUM(INDIRECT(BC$1&amp;BC$2&amp;$C189):INDIRECT(BC$1&amp;BC$3&amp;$C189))</f>
        <v>0</v>
      </c>
      <c r="BD189" s="880">
        <f t="shared" ca="1" si="402"/>
        <v>416163.26529663429</v>
      </c>
      <c r="BE189" s="931">
        <f t="shared" ca="1" si="393"/>
        <v>0</v>
      </c>
      <c r="BF189" s="89">
        <f ca="1">SUM(INDIRECT(BF$1&amp;BF$2&amp;$A189):INDIRECT(BF$1&amp;BF$3&amp;$A189))+SUM(INDIRECT(BF$1&amp;BF$2&amp;$B189):INDIRECT(BF$1&amp;BF$3&amp;$B189))</f>
        <v>439310.48146251863</v>
      </c>
      <c r="BG189" s="880">
        <f t="shared" ca="1" si="342"/>
        <v>-23147.21616588434</v>
      </c>
      <c r="BH189" s="931">
        <f t="shared" ca="1" si="394"/>
        <v>0.9473101208766419</v>
      </c>
    </row>
    <row r="190" spans="1:60" ht="14.5">
      <c r="A190" s="990">
        <f t="shared" si="325"/>
        <v>163</v>
      </c>
      <c r="B190" s="990">
        <v>1</v>
      </c>
      <c r="C190" s="990">
        <f t="shared" si="291"/>
        <v>187</v>
      </c>
      <c r="D190" s="1121" t="s">
        <v>887</v>
      </c>
      <c r="E190" s="1243">
        <v>1</v>
      </c>
      <c r="F190" s="5"/>
      <c r="G190" s="5"/>
      <c r="H190" s="5"/>
      <c r="I190" s="132" t="s">
        <v>136</v>
      </c>
      <c r="J190" s="131"/>
      <c r="K190" s="130"/>
      <c r="L190" s="130"/>
      <c r="M190" s="130"/>
      <c r="N190" s="130"/>
      <c r="O190" s="130"/>
      <c r="P190" s="1172"/>
      <c r="Q190" s="1858" t="str">
        <f>CHOOSE(2, "6722000003109", "PL (2) Business Contribution Profit")</f>
        <v>PL (2) Business Contribution Profit</v>
      </c>
      <c r="R190" s="1990">
        <f>R176-R186</f>
        <v>39832.565712821524</v>
      </c>
      <c r="S190" s="2019">
        <f t="shared" ref="S190:AC190" si="403">S176-S186</f>
        <v>45075.41273262084</v>
      </c>
      <c r="T190" s="2019">
        <f t="shared" si="403"/>
        <v>39684.434735615112</v>
      </c>
      <c r="U190" s="2019">
        <f t="shared" si="403"/>
        <v>55854.397885245198</v>
      </c>
      <c r="V190" s="2019">
        <f t="shared" si="403"/>
        <v>66074.894564421076</v>
      </c>
      <c r="W190" s="2019">
        <f t="shared" si="403"/>
        <v>29725.603084664384</v>
      </c>
      <c r="X190" s="2019">
        <f t="shared" si="403"/>
        <v>79156.977857484046</v>
      </c>
      <c r="Y190" s="2019">
        <f t="shared" si="403"/>
        <v>53558.495559722272</v>
      </c>
      <c r="Z190" s="2019">
        <f t="shared" si="403"/>
        <v>61802.155070994078</v>
      </c>
      <c r="AA190" s="2019">
        <f t="shared" si="403"/>
        <v>61565.65081524913</v>
      </c>
      <c r="AB190" s="2019">
        <f t="shared" si="403"/>
        <v>88057.726388018214</v>
      </c>
      <c r="AC190" s="2019">
        <f t="shared" si="403"/>
        <v>47132.814326648368</v>
      </c>
      <c r="AD190" s="1526">
        <f t="shared" ref="AD190:AJ190" si="404">AD176-AD186</f>
        <v>124592.41318105749</v>
      </c>
      <c r="AE190" s="129">
        <f t="shared" si="404"/>
        <v>151654.89553433063</v>
      </c>
      <c r="AF190" s="129">
        <f t="shared" si="404"/>
        <v>194517.62848820037</v>
      </c>
      <c r="AG190" s="129">
        <f t="shared" si="404"/>
        <v>196756.19152991567</v>
      </c>
      <c r="AH190" s="129">
        <f t="shared" si="404"/>
        <v>276247.30871538806</v>
      </c>
      <c r="AI190" s="129">
        <f t="shared" si="404"/>
        <v>391273.82001811615</v>
      </c>
      <c r="AJ190" s="129">
        <f t="shared" si="404"/>
        <v>667521.1287335041</v>
      </c>
      <c r="AL190" s="2121">
        <f ca="1">SUM((INDIRECT(AL$2&amp;(ROW())):INDIRECT(AL$3&amp;(ROW()))))</f>
        <v>47132.814326648368</v>
      </c>
      <c r="AM190" s="129">
        <f ca="1">SUM(INDIRECT(AM$1&amp;AM$2&amp;$C190):INDIRECT(AM$1&amp;AM$3&amp;$C190))</f>
        <v>0</v>
      </c>
      <c r="AN190" s="2519">
        <f t="shared" ca="1" si="400"/>
        <v>47132.814326648368</v>
      </c>
      <c r="AO190" s="1714">
        <f t="shared" ca="1" si="389"/>
        <v>0</v>
      </c>
      <c r="AP190" s="129">
        <f ca="1">SUM(INDIRECT(AP$1&amp;AP$2&amp;$A190):INDIRECT(AP$1&amp;AP$3&amp;$A190))+SUM(INDIRECT(AP$1&amp;AP$2&amp;$B190):INDIRECT(AP$1&amp;AP$3&amp;$B190))</f>
        <v>74195.411993028538</v>
      </c>
      <c r="AQ190" s="2519">
        <f t="shared" ca="1" si="334"/>
        <v>-27062.59766638017</v>
      </c>
      <c r="AR190" s="1714">
        <f t="shared" ca="1" si="390"/>
        <v>0.63525241063526949</v>
      </c>
      <c r="AT190" s="2121">
        <f ca="1">SUM((INDIRECT(AT$2&amp;(ROW())):INDIRECT(AT$3&amp;(ROW()))))</f>
        <v>196756.19152991573</v>
      </c>
      <c r="AU190" s="129">
        <f ca="1">SUM(INDIRECT(AU$1&amp;AU$2&amp;$C190):INDIRECT(AU$1&amp;AU$3&amp;$C190))</f>
        <v>0</v>
      </c>
      <c r="AV190" s="2519">
        <f t="shared" ca="1" si="401"/>
        <v>196756.19152991573</v>
      </c>
      <c r="AW190" s="1714">
        <f t="shared" ca="1" si="391"/>
        <v>0</v>
      </c>
      <c r="AX190" s="129">
        <f ca="1">SUM(INDIRECT(AX$1&amp;AX$2&amp;$A190):INDIRECT(AX$1&amp;AX$3&amp;$A190))+SUM(INDIRECT(AX$1&amp;AX$2&amp;$B190):INDIRECT(AX$1&amp;AX$3&amp;$B190))</f>
        <v>202237.19080660632</v>
      </c>
      <c r="AY190" s="2519">
        <f t="shared" ca="1" si="338"/>
        <v>-5480.9992766905925</v>
      </c>
      <c r="AZ190" s="1714">
        <f t="shared" ca="1" si="392"/>
        <v>0.97289816351369363</v>
      </c>
      <c r="BB190" s="2121">
        <f ca="1">SUM((INDIRECT(BB$2&amp;(ROW())):INDIRECT(BB$3&amp;(ROW()))))</f>
        <v>667521.12873350421</v>
      </c>
      <c r="BC190" s="129">
        <f ca="1">SUM(INDIRECT(BC$1&amp;BC$2&amp;$C190):INDIRECT(BC$1&amp;BC$3&amp;$C190))</f>
        <v>0</v>
      </c>
      <c r="BD190" s="2519">
        <f t="shared" ca="1" si="402"/>
        <v>667521.12873350421</v>
      </c>
      <c r="BE190" s="1714">
        <f t="shared" ca="1" si="393"/>
        <v>0</v>
      </c>
      <c r="BF190" s="129">
        <f ca="1">SUM(INDIRECT(BF$1&amp;BF$2&amp;$A190):INDIRECT(BF$1&amp;BF$3&amp;$A190))+SUM(INDIRECT(BF$1&amp;BF$2&amp;$B190):INDIRECT(BF$1&amp;BF$3&amp;$B190))</f>
        <v>598584.19080660632</v>
      </c>
      <c r="BG190" s="2519">
        <f t="shared" ca="1" si="342"/>
        <v>68936.937926897896</v>
      </c>
      <c r="BH190" s="1714">
        <f t="shared" ca="1" si="394"/>
        <v>1.1151666532221705</v>
      </c>
    </row>
    <row r="191" spans="1:60" ht="14.5">
      <c r="A191" s="990">
        <f t="shared" si="325"/>
        <v>164</v>
      </c>
      <c r="B191" s="990">
        <v>1</v>
      </c>
      <c r="C191" s="990">
        <f t="shared" si="291"/>
        <v>188</v>
      </c>
      <c r="D191" s="1121" t="s">
        <v>887</v>
      </c>
      <c r="E191" s="1243">
        <v>1</v>
      </c>
      <c r="F191" s="5"/>
      <c r="G191" s="5"/>
      <c r="H191" s="5"/>
      <c r="I191" s="28"/>
      <c r="J191" s="629" t="s">
        <v>135</v>
      </c>
      <c r="K191" s="3"/>
      <c r="L191" s="3"/>
      <c r="M191" s="2"/>
      <c r="N191" s="2"/>
      <c r="O191" s="2"/>
      <c r="P191" s="2"/>
      <c r="Q191" s="1857" t="str">
        <f>CHOOSE(2, "6722000003110", "PL (2) Business Contribution Profit (%)")</f>
        <v>PL (2) Business Contribution Profit (%)</v>
      </c>
      <c r="R191" s="2138">
        <f t="shared" ref="R191:AC191" si="405">IFERROR(R190/R154,0)</f>
        <v>8.4860458410447467E-2</v>
      </c>
      <c r="S191" s="866">
        <f t="shared" si="405"/>
        <v>9.674641560252846E-2</v>
      </c>
      <c r="T191" s="866">
        <f t="shared" si="405"/>
        <v>8.4752880988933188E-2</v>
      </c>
      <c r="U191" s="866">
        <f t="shared" si="405"/>
        <v>0.11383245403292871</v>
      </c>
      <c r="V191" s="866">
        <f t="shared" si="405"/>
        <v>0.12143370161951064</v>
      </c>
      <c r="W191" s="866">
        <f t="shared" si="405"/>
        <v>7.0712277839886345E-2</v>
      </c>
      <c r="X191" s="866">
        <f t="shared" si="405"/>
        <v>0.12542938204732787</v>
      </c>
      <c r="Y191" s="866">
        <f t="shared" si="405"/>
        <v>0.10209786030676403</v>
      </c>
      <c r="Z191" s="866">
        <f t="shared" si="405"/>
        <v>0.1200617676264035</v>
      </c>
      <c r="AA191" s="866">
        <f t="shared" si="405"/>
        <v>0.10894531435739335</v>
      </c>
      <c r="AB191" s="866">
        <f t="shared" si="405"/>
        <v>0.14732097828610421</v>
      </c>
      <c r="AC191" s="866">
        <f t="shared" si="405"/>
        <v>0.10340746939240138</v>
      </c>
      <c r="AD191" s="866">
        <f t="shared" ref="AD191:AJ191" si="406">IFERROR(AD190/AD154,0)</f>
        <v>8.8770182503697795E-2</v>
      </c>
      <c r="AE191" s="866">
        <f t="shared" si="406"/>
        <v>0.1042180492265774</v>
      </c>
      <c r="AF191" s="866">
        <f t="shared" si="406"/>
        <v>0.11644826572953787</v>
      </c>
      <c r="AG191" s="866">
        <f t="shared" si="406"/>
        <v>0.12155723762065183</v>
      </c>
      <c r="AH191" s="866">
        <f t="shared" si="406"/>
        <v>9.6633615321548544E-2</v>
      </c>
      <c r="AI191" s="866">
        <f t="shared" si="406"/>
        <v>0.11896252749444024</v>
      </c>
      <c r="AJ191" s="866">
        <f t="shared" si="406"/>
        <v>0.10857958270531226</v>
      </c>
      <c r="AK191" s="619"/>
      <c r="AL191" s="2138">
        <f ca="1">IFERROR(AL190/AL154,0)</f>
        <v>0.10340746939240138</v>
      </c>
      <c r="AM191" s="866">
        <f ca="1">IFERROR(AM190/AM154,0)</f>
        <v>0</v>
      </c>
      <c r="AN191" s="866">
        <f t="shared" ca="1" si="400"/>
        <v>0.10340746939240138</v>
      </c>
      <c r="AO191" s="939"/>
      <c r="AP191" s="866">
        <f ca="1">IFERROR(AP190/AP154,0)</f>
        <v>0.14541619039533021</v>
      </c>
      <c r="AQ191" s="866">
        <f t="shared" ca="1" si="334"/>
        <v>-4.2008721002928837E-2</v>
      </c>
      <c r="AR191" s="939"/>
      <c r="AS191" s="619"/>
      <c r="AT191" s="2138">
        <f ca="1">IFERROR(AT190/AT154,0)</f>
        <v>0.12155723762065186</v>
      </c>
      <c r="AU191" s="866">
        <f ca="1">IFERROR(AU190/AU154,0)</f>
        <v>0</v>
      </c>
      <c r="AV191" s="866">
        <f t="shared" ca="1" si="401"/>
        <v>0.12155723762065186</v>
      </c>
      <c r="AW191" s="939"/>
      <c r="AX191" s="866">
        <f ca="1">IFERROR(AX190/AX154,0)</f>
        <v>0.16007844998358059</v>
      </c>
      <c r="AY191" s="866">
        <f t="shared" ca="1" si="338"/>
        <v>-3.8521212362928728E-2</v>
      </c>
      <c r="AZ191" s="939"/>
      <c r="BA191" s="619"/>
      <c r="BB191" s="2138">
        <f ca="1">IFERROR(BB190/BB154,0)</f>
        <v>0.10857958270531229</v>
      </c>
      <c r="BC191" s="866">
        <f ca="1">IFERROR(BC190/BC154,0)</f>
        <v>0</v>
      </c>
      <c r="BD191" s="866">
        <f t="shared" ca="1" si="402"/>
        <v>0.10857958270531229</v>
      </c>
      <c r="BE191" s="939"/>
      <c r="BF191" s="866">
        <f ca="1">IFERROR(BF190/BF154,0)</f>
        <v>0.1311054436274646</v>
      </c>
      <c r="BG191" s="866">
        <f t="shared" ca="1" si="342"/>
        <v>-2.2525860922152308E-2</v>
      </c>
      <c r="BH191" s="939"/>
    </row>
    <row r="192" spans="1:60" ht="14.5">
      <c r="A192" s="990">
        <f t="shared" si="325"/>
        <v>165</v>
      </c>
      <c r="B192" s="990">
        <v>1</v>
      </c>
      <c r="C192" s="990">
        <f t="shared" si="291"/>
        <v>189</v>
      </c>
      <c r="D192" s="1121" t="s">
        <v>887</v>
      </c>
      <c r="E192" s="1243">
        <v>1</v>
      </c>
      <c r="F192" s="5"/>
      <c r="G192" s="5"/>
      <c r="H192" s="5"/>
      <c r="I192" s="58" t="s">
        <v>202</v>
      </c>
      <c r="J192" s="56"/>
      <c r="K192" s="57"/>
      <c r="L192" s="57"/>
      <c r="M192" s="56"/>
      <c r="N192" s="56"/>
      <c r="O192" s="56"/>
      <c r="P192" s="555"/>
      <c r="Q192" s="1855" t="str">
        <f>CHOOSE(2, "6722000003111", "PL (2) Other Income")</f>
        <v>PL (2) Other Income</v>
      </c>
      <c r="R192" s="2212">
        <v>6887</v>
      </c>
      <c r="S192" s="2015">
        <v>260</v>
      </c>
      <c r="T192" s="2015">
        <v>15</v>
      </c>
      <c r="U192" s="2015">
        <v>163</v>
      </c>
      <c r="V192" s="2015">
        <v>304.70994725272249</v>
      </c>
      <c r="W192" s="2015">
        <v>14</v>
      </c>
      <c r="X192" s="2015">
        <v>0</v>
      </c>
      <c r="Y192" s="2015">
        <v>192</v>
      </c>
      <c r="Z192" s="2015">
        <f>1950.50908181451+61005</f>
        <v>62955.509081814511</v>
      </c>
      <c r="AA192" s="2015">
        <v>3663.1910393582725</v>
      </c>
      <c r="AB192" s="2015">
        <v>881.18672944502691</v>
      </c>
      <c r="AC192" s="2015">
        <v>24150.30144646551</v>
      </c>
      <c r="AD192" s="1521">
        <f>SUM(R192,S192,T192)</f>
        <v>7162</v>
      </c>
      <c r="AE192" s="122">
        <f t="shared" ref="AE192:AE193" si="407">SUM(U192,V192,W192)</f>
        <v>481.70994725272249</v>
      </c>
      <c r="AF192" s="122">
        <f t="shared" ref="AF192:AF193" si="408">SUM(X192,Y192,Z192)</f>
        <v>63147.509081814511</v>
      </c>
      <c r="AG192" s="122">
        <f t="shared" ref="AG192:AG193" si="409">SUM(AA192,AB192,AC192)</f>
        <v>28694.67921526881</v>
      </c>
      <c r="AH192" s="122">
        <f>AD192+AE192</f>
        <v>7643.7099472527225</v>
      </c>
      <c r="AI192" s="122">
        <f>AG192+AF192</f>
        <v>91842.188297083325</v>
      </c>
      <c r="AJ192" s="122">
        <f>AH192+AI192</f>
        <v>99485.898244336044</v>
      </c>
      <c r="AL192" s="2120">
        <f ca="1">SUM((INDIRECT(AL$2&amp;(ROW())):INDIRECT(AL$3&amp;(ROW()))))</f>
        <v>24150.30144646551</v>
      </c>
      <c r="AM192" s="122">
        <f ca="1">SUM(INDIRECT(AM$1&amp;AM$2&amp;$C192):INDIRECT(AM$1&amp;AM$3&amp;$C192))</f>
        <v>0</v>
      </c>
      <c r="AN192" s="2504">
        <f t="shared" ca="1" si="400"/>
        <v>24150.30144646551</v>
      </c>
      <c r="AO192" s="1712">
        <f ca="1">IFERROR(AL192/AM192,0)</f>
        <v>0</v>
      </c>
      <c r="AP192" s="122">
        <f ca="1">SUM(INDIRECT(AP$1&amp;AP$2&amp;$A192):INDIRECT(AP$1&amp;AP$3&amp;$A192))+SUM(INDIRECT(AP$1&amp;AP$2&amp;$B192):INDIRECT(AP$1&amp;AP$3&amp;$B192))</f>
        <v>4872</v>
      </c>
      <c r="AQ192" s="2504">
        <f t="shared" ca="1" si="334"/>
        <v>19278.30144646551</v>
      </c>
      <c r="AR192" s="1712">
        <f ca="1">IFERROR(AL192/AP192,0)</f>
        <v>4.9569584249723952</v>
      </c>
      <c r="AT192" s="2120">
        <f ca="1">SUM((INDIRECT(AT$2&amp;(ROW())):INDIRECT(AT$3&amp;(ROW()))))</f>
        <v>28694.67921526881</v>
      </c>
      <c r="AU192" s="122">
        <f ca="1">SUM(INDIRECT(AU$1&amp;AU$2&amp;$C192):INDIRECT(AU$1&amp;AU$3&amp;$C192))</f>
        <v>0</v>
      </c>
      <c r="AV192" s="2504">
        <f t="shared" ca="1" si="401"/>
        <v>28694.67921526881</v>
      </c>
      <c r="AW192" s="1712">
        <f ca="1">IFERROR(AT192/AU192,0)</f>
        <v>0</v>
      </c>
      <c r="AX192" s="122">
        <f ca="1">SUM(INDIRECT(AX$1&amp;AX$2&amp;$A192):INDIRECT(AX$1&amp;AX$3&amp;$A192))+SUM(INDIRECT(AX$1&amp;AX$2&amp;$B192):INDIRECT(AX$1&amp;AX$3&amp;$B192))</f>
        <v>5148</v>
      </c>
      <c r="AY192" s="2504">
        <f t="shared" ca="1" si="338"/>
        <v>23546.67921526881</v>
      </c>
      <c r="AZ192" s="1712">
        <f ca="1">IFERROR(AT192/AX192,0)</f>
        <v>5.5739470115129777</v>
      </c>
      <c r="BB192" s="2120">
        <f ca="1">SUM((INDIRECT(BB$2&amp;(ROW())):INDIRECT(BB$3&amp;(ROW()))))</f>
        <v>99485.898244336029</v>
      </c>
      <c r="BC192" s="122">
        <f ca="1">SUM(INDIRECT(BC$1&amp;BC$2&amp;$C192):INDIRECT(BC$1&amp;BC$3&amp;$C192))</f>
        <v>0</v>
      </c>
      <c r="BD192" s="2504">
        <f t="shared" ca="1" si="402"/>
        <v>99485.898244336029</v>
      </c>
      <c r="BE192" s="1712">
        <f ca="1">IFERROR(BB192/BC192,0)</f>
        <v>0</v>
      </c>
      <c r="BF192" s="122">
        <f ca="1">SUM(INDIRECT(BF$1&amp;BF$2&amp;$A192):INDIRECT(BF$1&amp;BF$3&amp;$A192))+SUM(INDIRECT(BF$1&amp;BF$2&amp;$B192):INDIRECT(BF$1&amp;BF$3&amp;$B192))</f>
        <v>17034</v>
      </c>
      <c r="BG192" s="2504">
        <f t="shared" ca="1" si="342"/>
        <v>82451.898244336029</v>
      </c>
      <c r="BH192" s="1712">
        <f ca="1">IFERROR(BB192/BF192,0)</f>
        <v>5.840430799831867</v>
      </c>
    </row>
    <row r="193" spans="1:60" ht="14.5">
      <c r="A193" s="990">
        <f t="shared" si="325"/>
        <v>166</v>
      </c>
      <c r="B193" s="990">
        <v>1</v>
      </c>
      <c r="C193" s="990">
        <f t="shared" si="291"/>
        <v>190</v>
      </c>
      <c r="D193" s="1121" t="s">
        <v>887</v>
      </c>
      <c r="E193" s="1243">
        <v>1</v>
      </c>
      <c r="F193" s="5"/>
      <c r="G193" s="5"/>
      <c r="H193" s="5"/>
      <c r="I193" s="121" t="s">
        <v>203</v>
      </c>
      <c r="J193" s="119"/>
      <c r="K193" s="120"/>
      <c r="L193" s="120"/>
      <c r="M193" s="119"/>
      <c r="N193" s="119"/>
      <c r="O193" s="119"/>
      <c r="P193" s="119"/>
      <c r="Q193" s="1855" t="str">
        <f>CHOOSE(2, "6722000003112", "PL (2) Other Expenses")</f>
        <v>PL (2) Other Expenses</v>
      </c>
      <c r="R193" s="2031">
        <v>0</v>
      </c>
      <c r="S193" s="2035">
        <v>0</v>
      </c>
      <c r="T193" s="2035">
        <v>0</v>
      </c>
      <c r="U193" s="2035">
        <v>0</v>
      </c>
      <c r="V193" s="2035">
        <v>0</v>
      </c>
      <c r="W193" s="2035">
        <v>0</v>
      </c>
      <c r="X193" s="2035">
        <v>0</v>
      </c>
      <c r="Y193" s="2035">
        <v>0</v>
      </c>
      <c r="Z193" s="2035">
        <v>0</v>
      </c>
      <c r="AA193" s="2035">
        <v>0</v>
      </c>
      <c r="AB193" s="2035">
        <v>0</v>
      </c>
      <c r="AC193" s="2035">
        <v>0</v>
      </c>
      <c r="AD193" s="92">
        <f>SUM(R193,S193,T193)</f>
        <v>0</v>
      </c>
      <c r="AE193" s="92">
        <f t="shared" si="407"/>
        <v>0</v>
      </c>
      <c r="AF193" s="92">
        <f t="shared" si="408"/>
        <v>0</v>
      </c>
      <c r="AG193" s="92">
        <f t="shared" si="409"/>
        <v>0</v>
      </c>
      <c r="AH193" s="92">
        <f>AD193+AE193</f>
        <v>0</v>
      </c>
      <c r="AI193" s="92">
        <f>AG193+AF193</f>
        <v>0</v>
      </c>
      <c r="AJ193" s="92">
        <f>AH193+AI193</f>
        <v>0</v>
      </c>
      <c r="AL193" s="66">
        <f ca="1">SUM((INDIRECT(AL$2&amp;(ROW())):INDIRECT(AL$3&amp;(ROW()))))</f>
        <v>0</v>
      </c>
      <c r="AM193" s="92">
        <f ca="1">SUM(INDIRECT(AM$1&amp;AM$2&amp;$C193):INDIRECT(AM$1&amp;AM$3&amp;$C193))</f>
        <v>0</v>
      </c>
      <c r="AN193" s="884">
        <f t="shared" ca="1" si="400"/>
        <v>0</v>
      </c>
      <c r="AO193" s="937">
        <f ca="1">IFERROR(AL193/AM193,0)</f>
        <v>0</v>
      </c>
      <c r="AP193" s="92">
        <f ca="1">SUM(INDIRECT(AP$1&amp;AP$2&amp;$A193):INDIRECT(AP$1&amp;AP$3&amp;$A193))+SUM(INDIRECT(AP$1&amp;AP$2&amp;$B193):INDIRECT(AP$1&amp;AP$3&amp;$B193))</f>
        <v>0</v>
      </c>
      <c r="AQ193" s="884">
        <f t="shared" ca="1" si="334"/>
        <v>0</v>
      </c>
      <c r="AR193" s="937">
        <f ca="1">IFERROR(AL193/AP193,0)</f>
        <v>0</v>
      </c>
      <c r="AT193" s="66">
        <f ca="1">SUM((INDIRECT(AT$2&amp;(ROW())):INDIRECT(AT$3&amp;(ROW()))))</f>
        <v>0</v>
      </c>
      <c r="AU193" s="92">
        <f ca="1">SUM(INDIRECT(AU$1&amp;AU$2&amp;$C193):INDIRECT(AU$1&amp;AU$3&amp;$C193))</f>
        <v>0</v>
      </c>
      <c r="AV193" s="884">
        <f t="shared" ca="1" si="401"/>
        <v>0</v>
      </c>
      <c r="AW193" s="937">
        <f ca="1">IFERROR(AT193/AU193,0)</f>
        <v>0</v>
      </c>
      <c r="AX193" s="92">
        <f ca="1">SUM(INDIRECT(AX$1&amp;AX$2&amp;$A193):INDIRECT(AX$1&amp;AX$3&amp;$A193))+SUM(INDIRECT(AX$1&amp;AX$2&amp;$B193):INDIRECT(AX$1&amp;AX$3&amp;$B193))</f>
        <v>0</v>
      </c>
      <c r="AY193" s="884">
        <f t="shared" ca="1" si="338"/>
        <v>0</v>
      </c>
      <c r="AZ193" s="937">
        <f ca="1">IFERROR(AT193/AX193,0)</f>
        <v>0</v>
      </c>
      <c r="BB193" s="66">
        <f ca="1">SUM((INDIRECT(BB$2&amp;(ROW())):INDIRECT(BB$3&amp;(ROW()))))</f>
        <v>0</v>
      </c>
      <c r="BC193" s="92">
        <f ca="1">SUM(INDIRECT(BC$1&amp;BC$2&amp;$C193):INDIRECT(BC$1&amp;BC$3&amp;$C193))</f>
        <v>0</v>
      </c>
      <c r="BD193" s="884">
        <f t="shared" ca="1" si="402"/>
        <v>0</v>
      </c>
      <c r="BE193" s="937">
        <f ca="1">IFERROR(BB193/BC193,0)</f>
        <v>0</v>
      </c>
      <c r="BF193" s="92">
        <f ca="1">SUM(INDIRECT(BF$1&amp;BF$2&amp;$A193):INDIRECT(BF$1&amp;BF$3&amp;$A193))+SUM(INDIRECT(BF$1&amp;BF$2&amp;$B193):INDIRECT(BF$1&amp;BF$3&amp;$B193))</f>
        <v>731</v>
      </c>
      <c r="BG193" s="884">
        <f t="shared" ca="1" si="342"/>
        <v>-731</v>
      </c>
      <c r="BH193" s="937">
        <f ca="1">IFERROR(BB193/BF193,0)</f>
        <v>0</v>
      </c>
    </row>
    <row r="194" spans="1:60" ht="14.5">
      <c r="A194" s="990">
        <f t="shared" si="325"/>
        <v>167</v>
      </c>
      <c r="B194" s="990">
        <v>1</v>
      </c>
      <c r="C194" s="990">
        <f t="shared" si="291"/>
        <v>191</v>
      </c>
      <c r="D194" s="1121" t="s">
        <v>887</v>
      </c>
      <c r="E194" s="1243">
        <v>1</v>
      </c>
      <c r="F194" s="5"/>
      <c r="G194" s="5"/>
      <c r="H194" s="5"/>
      <c r="I194" s="132" t="s">
        <v>204</v>
      </c>
      <c r="J194" s="131"/>
      <c r="K194" s="130"/>
      <c r="L194" s="130"/>
      <c r="M194" s="130"/>
      <c r="N194" s="130"/>
      <c r="O194" s="130"/>
      <c r="P194" s="1172"/>
      <c r="Q194" s="1858" t="str">
        <f>CHOOSE(2, "6722000003113", "PL (2) Operating Profit")</f>
        <v>PL (2) Operating Profit</v>
      </c>
      <c r="R194" s="1990">
        <f>R190+R192-R193</f>
        <v>46719.565712821524</v>
      </c>
      <c r="S194" s="2019">
        <f t="shared" ref="S194:AC194" si="410">S190+S192-S193</f>
        <v>45335.41273262084</v>
      </c>
      <c r="T194" s="2019">
        <f t="shared" si="410"/>
        <v>39699.434735615112</v>
      </c>
      <c r="U194" s="2019">
        <f t="shared" si="410"/>
        <v>56017.397885245198</v>
      </c>
      <c r="V194" s="2019">
        <f t="shared" si="410"/>
        <v>66379.604511673795</v>
      </c>
      <c r="W194" s="2019">
        <f t="shared" si="410"/>
        <v>29739.603084664384</v>
      </c>
      <c r="X194" s="2019">
        <f t="shared" si="410"/>
        <v>79156.977857484046</v>
      </c>
      <c r="Y194" s="2019">
        <f t="shared" si="410"/>
        <v>53750.495559722272</v>
      </c>
      <c r="Z194" s="2019">
        <f t="shared" si="410"/>
        <v>124757.66415280859</v>
      </c>
      <c r="AA194" s="2019">
        <f t="shared" si="410"/>
        <v>65228.841854607403</v>
      </c>
      <c r="AB194" s="2019">
        <f t="shared" si="410"/>
        <v>88938.913117463235</v>
      </c>
      <c r="AC194" s="2019">
        <f t="shared" si="410"/>
        <v>71283.115773113881</v>
      </c>
      <c r="AD194" s="1526">
        <f t="shared" ref="AD194:AJ194" si="411">AD190+AD192-AD193</f>
        <v>131754.41318105749</v>
      </c>
      <c r="AE194" s="129">
        <f t="shared" si="411"/>
        <v>152136.60548158336</v>
      </c>
      <c r="AF194" s="129">
        <f t="shared" si="411"/>
        <v>257665.13757001486</v>
      </c>
      <c r="AG194" s="129">
        <f t="shared" si="411"/>
        <v>225450.87074518448</v>
      </c>
      <c r="AH194" s="129">
        <f t="shared" si="411"/>
        <v>283891.01866264077</v>
      </c>
      <c r="AI194" s="129">
        <f t="shared" si="411"/>
        <v>483116.00831519946</v>
      </c>
      <c r="AJ194" s="129">
        <f t="shared" si="411"/>
        <v>767007.02697784011</v>
      </c>
      <c r="AL194" s="2121">
        <f ca="1">SUM((INDIRECT(AL$2&amp;(ROW())):INDIRECT(AL$3&amp;(ROW()))))</f>
        <v>71283.115773113881</v>
      </c>
      <c r="AM194" s="129">
        <f ca="1">SUM(INDIRECT(AM$1&amp;AM$2&amp;$C194):INDIRECT(AM$1&amp;AM$3&amp;$C194))</f>
        <v>0</v>
      </c>
      <c r="AN194" s="2519">
        <f t="shared" ca="1" si="400"/>
        <v>71283.115773113881</v>
      </c>
      <c r="AO194" s="1714">
        <f ca="1">IFERROR(AL194/AM194,0)</f>
        <v>0</v>
      </c>
      <c r="AP194" s="129">
        <f ca="1">SUM(INDIRECT(AP$1&amp;AP$2&amp;$A194):INDIRECT(AP$1&amp;AP$3&amp;$A194))+SUM(INDIRECT(AP$1&amp;AP$2&amp;$B194):INDIRECT(AP$1&amp;AP$3&amp;$B194))</f>
        <v>79067.411993028538</v>
      </c>
      <c r="AQ194" s="2519">
        <f t="shared" ca="1" si="334"/>
        <v>-7784.2962199146568</v>
      </c>
      <c r="AR194" s="1714">
        <f ca="1">IFERROR(AL194/AP194,0)</f>
        <v>0.9015486149894345</v>
      </c>
      <c r="AT194" s="2121">
        <f ca="1">SUM((INDIRECT(AT$2&amp;(ROW())):INDIRECT(AT$3&amp;(ROW()))))</f>
        <v>225450.87074518451</v>
      </c>
      <c r="AU194" s="129">
        <f ca="1">SUM(INDIRECT(AU$1&amp;AU$2&amp;$C194):INDIRECT(AU$1&amp;AU$3&amp;$C194))</f>
        <v>0</v>
      </c>
      <c r="AV194" s="2519">
        <f t="shared" ca="1" si="401"/>
        <v>225450.87074518451</v>
      </c>
      <c r="AW194" s="1714">
        <f ca="1">IFERROR(AT194/AU194,0)</f>
        <v>0</v>
      </c>
      <c r="AX194" s="129">
        <f ca="1">SUM(INDIRECT(AX$1&amp;AX$2&amp;$A194):INDIRECT(AX$1&amp;AX$3&amp;$A194))+SUM(INDIRECT(AX$1&amp;AX$2&amp;$B194):INDIRECT(AX$1&amp;AX$3&amp;$B194))</f>
        <v>207385.19080660632</v>
      </c>
      <c r="AY194" s="2519">
        <f t="shared" ca="1" si="338"/>
        <v>18065.679938578192</v>
      </c>
      <c r="AZ194" s="1714">
        <f ca="1">IFERROR(AT194/AX194,0)</f>
        <v>1.0871117164553232</v>
      </c>
      <c r="BB194" s="2121">
        <f ca="1">SUM((INDIRECT(BB$2&amp;(ROW())):INDIRECT(BB$3&amp;(ROW()))))</f>
        <v>767007.02697784046</v>
      </c>
      <c r="BC194" s="129">
        <f ca="1">SUM(INDIRECT(BC$1&amp;BC$2&amp;$C194):INDIRECT(BC$1&amp;BC$3&amp;$C194))</f>
        <v>0</v>
      </c>
      <c r="BD194" s="2519">
        <f t="shared" ca="1" si="402"/>
        <v>767007.02697784046</v>
      </c>
      <c r="BE194" s="1714">
        <f ca="1">IFERROR(BB194/BC194,0)</f>
        <v>0</v>
      </c>
      <c r="BF194" s="129">
        <f ca="1">SUM(INDIRECT(BF$1&amp;BF$2&amp;$A194):INDIRECT(BF$1&amp;BF$3&amp;$A194))+SUM(INDIRECT(BF$1&amp;BF$2&amp;$B194):INDIRECT(BF$1&amp;BF$3&amp;$B194))</f>
        <v>614887.19080660632</v>
      </c>
      <c r="BG194" s="2519">
        <f t="shared" ca="1" si="342"/>
        <v>152119.83617123414</v>
      </c>
      <c r="BH194" s="1714">
        <f ca="1">IFERROR(BB194/BF194,0)</f>
        <v>1.2473947066155078</v>
      </c>
    </row>
    <row r="195" spans="1:60" ht="14.5">
      <c r="A195" s="990">
        <f t="shared" si="325"/>
        <v>168</v>
      </c>
      <c r="B195" s="990">
        <v>1</v>
      </c>
      <c r="C195" s="990">
        <f t="shared" si="291"/>
        <v>192</v>
      </c>
      <c r="D195" s="1121" t="s">
        <v>887</v>
      </c>
      <c r="E195" s="1243">
        <v>1</v>
      </c>
      <c r="F195" s="5"/>
      <c r="G195" s="5"/>
      <c r="H195" s="5"/>
      <c r="I195" s="28"/>
      <c r="J195" s="629" t="s">
        <v>135</v>
      </c>
      <c r="K195" s="3"/>
      <c r="L195" s="3"/>
      <c r="M195" s="2"/>
      <c r="N195" s="2"/>
      <c r="O195" s="2"/>
      <c r="P195" s="2"/>
      <c r="Q195" s="1857" t="str">
        <f>CHOOSE(2, "6722000003114", "PL (2) Operating Profit (%)")</f>
        <v>PL (2) Operating Profit (%)</v>
      </c>
      <c r="R195" s="2138">
        <f t="shared" ref="R195:AC195" si="412">IFERROR(R194/R154,0)</f>
        <v>9.9532723844873924E-2</v>
      </c>
      <c r="S195" s="866">
        <f t="shared" si="412"/>
        <v>9.7304459700890161E-2</v>
      </c>
      <c r="T195" s="866">
        <f t="shared" si="412"/>
        <v>8.4784916048101955E-2</v>
      </c>
      <c r="U195" s="866">
        <f t="shared" si="412"/>
        <v>0.11416465150904311</v>
      </c>
      <c r="V195" s="866">
        <f t="shared" si="412"/>
        <v>0.12199370337296191</v>
      </c>
      <c r="W195" s="866">
        <f t="shared" si="412"/>
        <v>7.0745581517088083E-2</v>
      </c>
      <c r="X195" s="866">
        <f t="shared" si="412"/>
        <v>0.12542938204732787</v>
      </c>
      <c r="Y195" s="866">
        <f t="shared" si="412"/>
        <v>0.10246386739815141</v>
      </c>
      <c r="Z195" s="866">
        <f t="shared" si="412"/>
        <v>0.2423641322203243</v>
      </c>
      <c r="AA195" s="866">
        <f t="shared" si="412"/>
        <v>0.11542762217107481</v>
      </c>
      <c r="AB195" s="866">
        <f t="shared" si="412"/>
        <v>0.14879520770763782</v>
      </c>
      <c r="AC195" s="866">
        <f t="shared" si="412"/>
        <v>0.15639224429540757</v>
      </c>
      <c r="AD195" s="866">
        <f t="shared" ref="AD195:AJ195" si="413">IFERROR(AD194/AD154,0)</f>
        <v>9.3872997601817609E-2</v>
      </c>
      <c r="AE195" s="866">
        <f t="shared" si="413"/>
        <v>0.10454908285934499</v>
      </c>
      <c r="AF195" s="866">
        <f t="shared" si="413"/>
        <v>0.15425161535326415</v>
      </c>
      <c r="AG195" s="866">
        <f t="shared" si="413"/>
        <v>0.13928499456032847</v>
      </c>
      <c r="AH195" s="866">
        <f t="shared" si="413"/>
        <v>9.9307448887953773E-2</v>
      </c>
      <c r="AI195" s="866">
        <f t="shared" si="413"/>
        <v>0.14688614080937007</v>
      </c>
      <c r="AJ195" s="866">
        <f t="shared" si="413"/>
        <v>0.12476204772619959</v>
      </c>
      <c r="AK195" s="619"/>
      <c r="AL195" s="2138">
        <f ca="1">IFERROR(AL194/AL154,0)</f>
        <v>0.15639224429540757</v>
      </c>
      <c r="AM195" s="866">
        <f ca="1">IFERROR(AM194/AM154,0)</f>
        <v>0</v>
      </c>
      <c r="AN195" s="866">
        <f t="shared" ca="1" si="400"/>
        <v>0.15639224429540757</v>
      </c>
      <c r="AO195" s="939"/>
      <c r="AP195" s="866">
        <f ca="1">IFERROR(AP194/AP154,0)</f>
        <v>0.15496486275357005</v>
      </c>
      <c r="AQ195" s="866">
        <f t="shared" ca="1" si="334"/>
        <v>1.4273815418375246E-3</v>
      </c>
      <c r="AR195" s="939"/>
      <c r="AS195" s="619"/>
      <c r="AT195" s="2138">
        <f ca="1">IFERROR(AT194/AT154,0)</f>
        <v>0.1392849945603285</v>
      </c>
      <c r="AU195" s="866">
        <f ca="1">IFERROR(AU194/AU154,0)</f>
        <v>0</v>
      </c>
      <c r="AV195" s="866">
        <f t="shared" ca="1" si="401"/>
        <v>0.1392849945603285</v>
      </c>
      <c r="AW195" s="939"/>
      <c r="AX195" s="866">
        <f ca="1">IFERROR(AX194/AX154,0)</f>
        <v>0.16415328833170381</v>
      </c>
      <c r="AY195" s="866">
        <f t="shared" ca="1" si="338"/>
        <v>-2.486829377137531E-2</v>
      </c>
      <c r="AZ195" s="939"/>
      <c r="BA195" s="619"/>
      <c r="BB195" s="2138">
        <f ca="1">IFERROR(BB194/BB154,0)</f>
        <v>0.12476204772619967</v>
      </c>
      <c r="BC195" s="866">
        <f ca="1">IFERROR(BC194/BC154,0)</f>
        <v>0</v>
      </c>
      <c r="BD195" s="866">
        <f t="shared" ca="1" si="402"/>
        <v>0.12476204772619967</v>
      </c>
      <c r="BE195" s="939"/>
      <c r="BF195" s="866">
        <f ca="1">IFERROR(BF194/BF154,0)</f>
        <v>0.13467622294353432</v>
      </c>
      <c r="BG195" s="866">
        <f t="shared" ca="1" si="342"/>
        <v>-9.9141752173346476E-3</v>
      </c>
      <c r="BH195" s="939"/>
    </row>
    <row r="196" spans="1:60" ht="14.5">
      <c r="A196" s="990">
        <f t="shared" si="325"/>
        <v>169</v>
      </c>
      <c r="B196" s="990">
        <v>1</v>
      </c>
      <c r="C196" s="990">
        <f t="shared" si="291"/>
        <v>193</v>
      </c>
      <c r="D196" s="1121" t="s">
        <v>887</v>
      </c>
      <c r="E196" s="1255">
        <v>1</v>
      </c>
      <c r="F196" s="9"/>
      <c r="G196" s="1241"/>
      <c r="H196" s="5"/>
      <c r="I196" s="5"/>
      <c r="J196" s="4"/>
      <c r="K196" s="1256" t="s">
        <v>889</v>
      </c>
      <c r="L196" s="1116"/>
      <c r="M196" s="798"/>
      <c r="N196" s="798"/>
      <c r="O196" s="798"/>
      <c r="P196" s="798"/>
      <c r="Q196" s="1850" t="str">
        <f>CHOOSE(2, "6722000003115", "PL (2) CAI (%)")</f>
        <v>PL (2) CAI (%)</v>
      </c>
      <c r="R196" s="2186">
        <f>R435</f>
        <v>0.67798808966629986</v>
      </c>
      <c r="S196" s="2186">
        <f t="shared" ref="S196:AC196" si="414">S435</f>
        <v>0.7007591273264504</v>
      </c>
      <c r="T196" s="2186">
        <f t="shared" si="414"/>
        <v>0.68858381840019045</v>
      </c>
      <c r="U196" s="2186">
        <f t="shared" si="414"/>
        <v>0.69120501603437423</v>
      </c>
      <c r="V196" s="2186">
        <f t="shared" si="414"/>
        <v>0.69208219145253591</v>
      </c>
      <c r="W196" s="2186">
        <f t="shared" si="414"/>
        <v>0.69207796691089052</v>
      </c>
      <c r="X196" s="2186">
        <f t="shared" si="414"/>
        <v>0.69208290072521261</v>
      </c>
      <c r="Y196" s="2186">
        <f t="shared" si="414"/>
        <v>0.69208035414792557</v>
      </c>
      <c r="Z196" s="2186">
        <f t="shared" si="414"/>
        <v>0.69208041988070135</v>
      </c>
      <c r="AA196" s="2186">
        <f t="shared" si="414"/>
        <v>0.62182520296780841</v>
      </c>
      <c r="AB196" s="2186">
        <f t="shared" si="414"/>
        <v>0.69207492950483773</v>
      </c>
      <c r="AC196" s="2186">
        <f t="shared" si="414"/>
        <v>0.50788501074141434</v>
      </c>
      <c r="AD196" s="1522">
        <f t="shared" ref="AD196:AJ196" si="415">AD435</f>
        <v>0.68770515724076053</v>
      </c>
      <c r="AE196" s="1258">
        <f t="shared" si="415"/>
        <v>0.69172405518883828</v>
      </c>
      <c r="AF196" s="1258">
        <f t="shared" si="415"/>
        <v>0.69208142324424304</v>
      </c>
      <c r="AG196" s="1258">
        <f t="shared" si="415"/>
        <v>0.60579012920851227</v>
      </c>
      <c r="AH196" s="1258">
        <f t="shared" si="415"/>
        <v>0.68956123824161086</v>
      </c>
      <c r="AI196" s="1258">
        <f t="shared" si="415"/>
        <v>0.65696868418995513</v>
      </c>
      <c r="AJ196" s="1258">
        <f t="shared" si="415"/>
        <v>0.67228972543827803</v>
      </c>
      <c r="AL196" s="2496">
        <f ca="1">AL435</f>
        <v>0</v>
      </c>
      <c r="AM196" s="2496">
        <f ca="1">AM435</f>
        <v>0</v>
      </c>
      <c r="AN196" s="2496">
        <f t="shared" ca="1" si="400"/>
        <v>0</v>
      </c>
      <c r="AO196" s="2497"/>
      <c r="AP196" s="2496">
        <f ca="1">AP435</f>
        <v>0</v>
      </c>
      <c r="AQ196" s="2496">
        <f t="shared" ca="1" si="334"/>
        <v>0</v>
      </c>
      <c r="AR196" s="2498"/>
      <c r="AT196" s="2496">
        <f ca="1">AT435</f>
        <v>0</v>
      </c>
      <c r="AU196" s="2496">
        <f ca="1">AU435</f>
        <v>0</v>
      </c>
      <c r="AV196" s="2496">
        <f t="shared" ca="1" si="401"/>
        <v>0</v>
      </c>
      <c r="AW196" s="2497"/>
      <c r="AX196" s="2496">
        <f ca="1">AX435</f>
        <v>0</v>
      </c>
      <c r="AY196" s="2496">
        <f t="shared" ca="1" si="338"/>
        <v>0</v>
      </c>
      <c r="AZ196" s="2498"/>
      <c r="BA196" s="75"/>
      <c r="BB196" s="2496">
        <f ca="1">BB435</f>
        <v>0</v>
      </c>
      <c r="BC196" s="2496">
        <f ca="1">BC435</f>
        <v>0</v>
      </c>
      <c r="BD196" s="2496">
        <f t="shared" ca="1" si="402"/>
        <v>0</v>
      </c>
      <c r="BE196" s="2499"/>
      <c r="BF196" s="2496">
        <f ca="1">BF435</f>
        <v>0</v>
      </c>
      <c r="BG196" s="2496">
        <f t="shared" ca="1" si="342"/>
        <v>0</v>
      </c>
      <c r="BH196" s="2498"/>
    </row>
    <row r="197" spans="1:60" ht="14.5">
      <c r="A197" s="990">
        <f t="shared" si="325"/>
        <v>170</v>
      </c>
      <c r="B197" s="990">
        <v>1</v>
      </c>
      <c r="C197" s="990">
        <f t="shared" si="291"/>
        <v>194</v>
      </c>
      <c r="D197" s="1121" t="s">
        <v>887</v>
      </c>
      <c r="E197" s="1255">
        <v>1</v>
      </c>
      <c r="F197" s="9"/>
      <c r="G197" s="1241"/>
      <c r="H197" s="5"/>
      <c r="I197" s="5"/>
      <c r="J197" s="4"/>
      <c r="K197" s="30"/>
      <c r="L197" s="764" t="s">
        <v>884</v>
      </c>
      <c r="M197" s="323"/>
      <c r="N197" s="323"/>
      <c r="O197" s="323"/>
      <c r="P197" s="323"/>
      <c r="Q197" s="1851" t="str">
        <f>CHOOSE(2, "6722000003116", "PL (2) CAI Directly assigned")</f>
        <v>PL (2) CAI Directly assigned</v>
      </c>
      <c r="R197" s="325">
        <f>SUM(R198:R200)</f>
        <v>25906.751600110965</v>
      </c>
      <c r="S197" s="325">
        <f t="shared" ref="S197:AC197" si="416">SUM(S198:S200)</f>
        <v>42514.005882374753</v>
      </c>
      <c r="T197" s="325">
        <f t="shared" si="416"/>
        <v>27614.819935579719</v>
      </c>
      <c r="U197" s="325">
        <f t="shared" si="416"/>
        <v>36310.895494772398</v>
      </c>
      <c r="V197" s="325">
        <f t="shared" si="416"/>
        <v>52486.713483796935</v>
      </c>
      <c r="W197" s="325">
        <f t="shared" si="416"/>
        <v>37820.790576977706</v>
      </c>
      <c r="X197" s="361">
        <f t="shared" si="416"/>
        <v>33482.330217635972</v>
      </c>
      <c r="Y197" s="361">
        <f t="shared" si="416"/>
        <v>36533.592191137446</v>
      </c>
      <c r="Z197" s="361">
        <f t="shared" si="416"/>
        <v>30486.270702772414</v>
      </c>
      <c r="AA197" s="1117">
        <f t="shared" si="416"/>
        <v>56534.47919335484</v>
      </c>
      <c r="AB197" s="1117">
        <f t="shared" si="416"/>
        <v>66896.423031010767</v>
      </c>
      <c r="AC197" s="1117">
        <f t="shared" si="416"/>
        <v>8220.1245751339466</v>
      </c>
      <c r="AD197" s="1523">
        <f t="shared" ref="AD197:AJ197" si="417">SUM(AD198:AD200)</f>
        <v>96035.577418065441</v>
      </c>
      <c r="AE197" s="1117">
        <f t="shared" si="417"/>
        <v>126618.39955554705</v>
      </c>
      <c r="AF197" s="1117">
        <f t="shared" si="417"/>
        <v>100502.19311154584</v>
      </c>
      <c r="AG197" s="1117">
        <f t="shared" si="417"/>
        <v>131651.02679949955</v>
      </c>
      <c r="AH197" s="1117">
        <f t="shared" si="417"/>
        <v>222653.9769736125</v>
      </c>
      <c r="AI197" s="1117">
        <f t="shared" si="417"/>
        <v>232153.21991104539</v>
      </c>
      <c r="AJ197" s="1117">
        <f t="shared" si="417"/>
        <v>454807.1968846579</v>
      </c>
      <c r="AL197" s="325">
        <f ca="1">SUM((INDIRECT(AL$2&amp;(ROW())):INDIRECT(AL$3&amp;(ROW()))))</f>
        <v>8220.1245751339466</v>
      </c>
      <c r="AM197" s="1278">
        <f ca="1">SUM(INDIRECT(AM$1&amp;AM$2&amp;$C197):INDIRECT(AM$1&amp;AM$3&amp;$C197))</f>
        <v>0</v>
      </c>
      <c r="AN197" s="1279">
        <f t="shared" ca="1" si="400"/>
        <v>8220.1245751339466</v>
      </c>
      <c r="AO197" s="1280">
        <f ca="1">IFERROR(AL197/AM197,0)</f>
        <v>0</v>
      </c>
      <c r="AP197" s="1371">
        <f ca="1">SUM(INDIRECT(AP$1&amp;AP$2&amp;$A197):INDIRECT(AP$1&amp;AP$3&amp;$A197))+SUM(INDIRECT(AP$1&amp;AP$2&amp;$B197):INDIRECT(AP$1&amp;AP$3&amp;$B197))</f>
        <v>34029</v>
      </c>
      <c r="AQ197" s="1372">
        <f t="shared" ca="1" si="334"/>
        <v>-25808.875424866055</v>
      </c>
      <c r="AR197" s="1373">
        <f ca="1">IFERROR(AL197/AP197,0)</f>
        <v>0.24156233139774741</v>
      </c>
      <c r="AT197" s="325">
        <f ca="1">SUM((INDIRECT(AT$2&amp;(ROW())):INDIRECT(AT$3&amp;(ROW()))))</f>
        <v>131651.02679949955</v>
      </c>
      <c r="AU197" s="1278">
        <f ca="1">SUM(INDIRECT(AU$1&amp;AU$2&amp;$C197):INDIRECT(AU$1&amp;AU$3&amp;$C197))</f>
        <v>0</v>
      </c>
      <c r="AV197" s="1279">
        <f t="shared" ca="1" si="401"/>
        <v>131651.02679949955</v>
      </c>
      <c r="AW197" s="1280">
        <f ca="1">IFERROR(AT197/AU197,0)</f>
        <v>0</v>
      </c>
      <c r="AX197" s="1371">
        <f ca="1">SUM(INDIRECT(AX$1&amp;AX$2&amp;$A197):INDIRECT(AX$1&amp;AX$3&amp;$A197))+SUM(INDIRECT(AX$1&amp;AX$2&amp;$B197):INDIRECT(AX$1&amp;AX$3&amp;$B197))</f>
        <v>98131</v>
      </c>
      <c r="AY197" s="1372">
        <f t="shared" ca="1" si="338"/>
        <v>33520.026799499552</v>
      </c>
      <c r="AZ197" s="1373">
        <f ca="1">IFERROR(AT197/AX197,0)</f>
        <v>1.3415844819628817</v>
      </c>
      <c r="BA197" s="75"/>
      <c r="BB197" s="2193">
        <f ca="1">SUM((INDIRECT(BB$2&amp;(ROW())):INDIRECT(BB$3&amp;(ROW()))))</f>
        <v>454807.19688465784</v>
      </c>
      <c r="BC197" s="1371">
        <f ca="1">SUM(INDIRECT(BC$1&amp;BC$2&amp;$C197):INDIRECT(BC$1&amp;BC$3&amp;$C197))</f>
        <v>0</v>
      </c>
      <c r="BD197" s="1372">
        <f t="shared" ca="1" si="402"/>
        <v>454807.19688465784</v>
      </c>
      <c r="BE197" s="1373">
        <f ca="1">IFERROR(BB197/BC197,0)</f>
        <v>0</v>
      </c>
      <c r="BF197" s="1371">
        <f ca="1">SUM(INDIRECT(BF$1&amp;BF$2&amp;$A197):INDIRECT(BF$1&amp;BF$3&amp;$A197))+SUM(INDIRECT(BF$1&amp;BF$2&amp;$B197):INDIRECT(BF$1&amp;BF$3&amp;$B197))</f>
        <v>333337</v>
      </c>
      <c r="BG197" s="1372">
        <f t="shared" ca="1" si="342"/>
        <v>121470.19688465784</v>
      </c>
      <c r="BH197" s="1373">
        <f ca="1">IFERROR(BB197/BF197,0)</f>
        <v>1.3644065821815696</v>
      </c>
    </row>
    <row r="198" spans="1:60" ht="14.5">
      <c r="A198" s="990">
        <f t="shared" si="325"/>
        <v>171</v>
      </c>
      <c r="B198" s="990">
        <v>1</v>
      </c>
      <c r="C198" s="990">
        <f t="shared" si="291"/>
        <v>195</v>
      </c>
      <c r="D198" s="1121" t="s">
        <v>887</v>
      </c>
      <c r="E198" s="1255">
        <v>1</v>
      </c>
      <c r="F198" s="9"/>
      <c r="G198" s="1241"/>
      <c r="H198" s="5"/>
      <c r="I198" s="5"/>
      <c r="J198" s="4"/>
      <c r="K198" s="30"/>
      <c r="L198" s="30"/>
      <c r="M198" s="40" t="s">
        <v>170</v>
      </c>
      <c r="N198" s="4"/>
      <c r="O198" s="4"/>
      <c r="P198" s="4"/>
      <c r="Q198" s="1852" t="str">
        <f>CHOOSE(2, "6722000003117", "PL (2) CAI Directly assigned Variable Expenses")</f>
        <v>PL (2) CAI Directly assigned Variable Expenses</v>
      </c>
      <c r="R198" s="2159">
        <v>4214.538715222171</v>
      </c>
      <c r="S198" s="2159">
        <v>19819.283859591043</v>
      </c>
      <c r="T198" s="2159">
        <v>4325.6695213286539</v>
      </c>
      <c r="U198" s="2159">
        <v>12312.637272008038</v>
      </c>
      <c r="V198" s="2159">
        <v>25869.459065544863</v>
      </c>
      <c r="W198" s="2159">
        <v>12133.517657774946</v>
      </c>
      <c r="X198" s="2091">
        <v>4752.4185728211814</v>
      </c>
      <c r="Y198" s="2091">
        <v>11535.694739500083</v>
      </c>
      <c r="Z198" s="2091">
        <v>1402.0249353037234</v>
      </c>
      <c r="AA198" s="2160">
        <v>32306.618362855377</v>
      </c>
      <c r="AB198" s="2160">
        <v>38614.247525065039</v>
      </c>
      <c r="AC198" s="2160">
        <v>-15199.616478479771</v>
      </c>
      <c r="AD198" s="144">
        <f>SUM(R198,S198,T198)</f>
        <v>28359.492096141868</v>
      </c>
      <c r="AE198" s="145">
        <f t="shared" ref="AE198:AE200" si="418">SUM(U198,V198,W198)</f>
        <v>50315.613995327847</v>
      </c>
      <c r="AF198" s="145">
        <f t="shared" ref="AF198:AF200" si="419">SUM(X198,Y198,Z198)</f>
        <v>17690.138247624986</v>
      </c>
      <c r="AG198" s="145">
        <f t="shared" ref="AG198:AG200" si="420">SUM(AA198,AB198,AC198)</f>
        <v>55721.249409440643</v>
      </c>
      <c r="AH198" s="145">
        <f>AD198+AE198</f>
        <v>78675.106091469715</v>
      </c>
      <c r="AI198" s="145">
        <f>AG198+AF198</f>
        <v>73411.387657065628</v>
      </c>
      <c r="AJ198" s="145">
        <f>AH198+AI198</f>
        <v>152086.49374853534</v>
      </c>
      <c r="AL198" s="41">
        <f ca="1">SUM((INDIRECT(AL$2&amp;(ROW())):INDIRECT(AL$3&amp;(ROW()))))</f>
        <v>-15199.616478479771</v>
      </c>
      <c r="AM198" s="1275">
        <f ca="1">SUM(INDIRECT(AM$1&amp;AM$2&amp;$C198):INDIRECT(AM$1&amp;AM$3&amp;$C198))</f>
        <v>0</v>
      </c>
      <c r="AN198" s="1276">
        <f t="shared" ca="1" si="400"/>
        <v>-15199.616478479771</v>
      </c>
      <c r="AO198" s="1277">
        <f ca="1">IFERROR(AL198/AM198,0)</f>
        <v>0</v>
      </c>
      <c r="AP198" s="135">
        <f ca="1">SUM(INDIRECT(AP$1&amp;AP$2&amp;$A198):INDIRECT(AP$1&amp;AP$3&amp;$A198))+SUM(INDIRECT(AP$1&amp;AP$2&amp;$B198):INDIRECT(AP$1&amp;AP$3&amp;$B198))</f>
        <v>-559</v>
      </c>
      <c r="AQ198" s="886">
        <f t="shared" ca="1" si="334"/>
        <v>-14640.616478479771</v>
      </c>
      <c r="AR198" s="941">
        <f ca="1">IFERROR(AL198/AP198,0)</f>
        <v>27.19072715291551</v>
      </c>
      <c r="AT198" s="41">
        <f ca="1">SUM((INDIRECT(AT$2&amp;(ROW())):INDIRECT(AT$3&amp;(ROW()))))</f>
        <v>55721.249409440643</v>
      </c>
      <c r="AU198" s="1275">
        <f ca="1">SUM(INDIRECT(AU$1&amp;AU$2&amp;$C198):INDIRECT(AU$1&amp;AU$3&amp;$C198))</f>
        <v>0</v>
      </c>
      <c r="AV198" s="1276">
        <f t="shared" ca="1" si="401"/>
        <v>55721.249409440643</v>
      </c>
      <c r="AW198" s="1277">
        <f ca="1">IFERROR(AT198/AU198,0)</f>
        <v>0</v>
      </c>
      <c r="AX198" s="135">
        <f ca="1">SUM(INDIRECT(AX$1&amp;AX$2&amp;$A198):INDIRECT(AX$1&amp;AX$3&amp;$A198))+SUM(INDIRECT(AX$1&amp;AX$2&amp;$B198):INDIRECT(AX$1&amp;AX$3&amp;$B198))</f>
        <v>1337</v>
      </c>
      <c r="AY198" s="886">
        <f t="shared" ca="1" si="338"/>
        <v>54384.249409440643</v>
      </c>
      <c r="AZ198" s="941">
        <f ca="1">IFERROR(AT198/AX198,0)</f>
        <v>41.676327157397637</v>
      </c>
      <c r="BA198" s="75"/>
      <c r="BB198" s="2097">
        <f ca="1">SUM((INDIRECT(BB$2&amp;(ROW())):INDIRECT(BB$3&amp;(ROW()))))</f>
        <v>152086.49374853534</v>
      </c>
      <c r="BC198" s="135">
        <f ca="1">SUM(INDIRECT(BC$1&amp;BC$2&amp;$C198):INDIRECT(BC$1&amp;BC$3&amp;$C198))</f>
        <v>0</v>
      </c>
      <c r="BD198" s="886">
        <f t="shared" ca="1" si="402"/>
        <v>152086.49374853534</v>
      </c>
      <c r="BE198" s="941">
        <f ca="1">IFERROR(BB198/BC198,0)</f>
        <v>0</v>
      </c>
      <c r="BF198" s="135">
        <f ca="1">SUM(INDIRECT(BF$1&amp;BF$2&amp;$A198):INDIRECT(BF$1&amp;BF$3&amp;$A198))+SUM(INDIRECT(BF$1&amp;BF$2&amp;$B198):INDIRECT(BF$1&amp;BF$3&amp;$B198))</f>
        <v>23543</v>
      </c>
      <c r="BG198" s="886">
        <f t="shared" ca="1" si="342"/>
        <v>128543.49374853534</v>
      </c>
      <c r="BH198" s="941">
        <f ca="1">IFERROR(BB198/BF198,0)</f>
        <v>6.4599453658639661</v>
      </c>
    </row>
    <row r="199" spans="1:60" ht="14.5">
      <c r="A199" s="990">
        <f t="shared" si="325"/>
        <v>172</v>
      </c>
      <c r="B199" s="990">
        <v>1</v>
      </c>
      <c r="C199" s="990">
        <f t="shared" si="291"/>
        <v>196</v>
      </c>
      <c r="D199" s="1121" t="s">
        <v>887</v>
      </c>
      <c r="E199" s="1255">
        <v>1</v>
      </c>
      <c r="F199" s="9"/>
      <c r="G199" s="1241"/>
      <c r="H199" s="5"/>
      <c r="I199" s="5"/>
      <c r="J199" s="4"/>
      <c r="K199" s="30"/>
      <c r="L199" s="30"/>
      <c r="M199" s="40" t="s">
        <v>171</v>
      </c>
      <c r="N199" s="4"/>
      <c r="O199" s="4"/>
      <c r="P199" s="4"/>
      <c r="Q199" s="1852" t="str">
        <f>CHOOSE(2, "6722000003118", "PL (2) CAI Directly assigned Wages &amp; Salaries")</f>
        <v>PL (2) CAI Directly assigned Wages &amp; Salaries</v>
      </c>
      <c r="R199" s="2159">
        <v>14715.978325090638</v>
      </c>
      <c r="S199" s="2159">
        <v>14261.202975178414</v>
      </c>
      <c r="T199" s="2159">
        <v>14557.218570116431</v>
      </c>
      <c r="U199" s="2159">
        <v>14534.751320204126</v>
      </c>
      <c r="V199" s="2159">
        <v>13740.016121594101</v>
      </c>
      <c r="W199" s="2159">
        <v>15338.426177713476</v>
      </c>
      <c r="X199" s="2091">
        <v>14402.300023457883</v>
      </c>
      <c r="Y199" s="2091">
        <v>15940.639497911596</v>
      </c>
      <c r="Z199" s="2091">
        <v>18040.531018948994</v>
      </c>
      <c r="AA199" s="2160">
        <v>13782.88498295958</v>
      </c>
      <c r="AB199" s="2160">
        <v>16789.16857326914</v>
      </c>
      <c r="AC199" s="2160">
        <v>14630.782035828346</v>
      </c>
      <c r="AD199" s="144">
        <f>SUM(R199,S199,T199)</f>
        <v>43534.399870385489</v>
      </c>
      <c r="AE199" s="145">
        <f t="shared" si="418"/>
        <v>43613.193619511701</v>
      </c>
      <c r="AF199" s="145">
        <f t="shared" si="419"/>
        <v>48383.470540318478</v>
      </c>
      <c r="AG199" s="145">
        <f t="shared" si="420"/>
        <v>45202.835592057061</v>
      </c>
      <c r="AH199" s="145">
        <f>AD199+AE199</f>
        <v>87147.59348989719</v>
      </c>
      <c r="AI199" s="145">
        <f>AG199+AF199</f>
        <v>93586.306132375539</v>
      </c>
      <c r="AJ199" s="145">
        <f>AH199+AI199</f>
        <v>180733.89962227273</v>
      </c>
      <c r="AL199" s="41">
        <f ca="1">SUM((INDIRECT(AL$2&amp;(ROW())):INDIRECT(AL$3&amp;(ROW()))))</f>
        <v>14630.782035828346</v>
      </c>
      <c r="AM199" s="1275">
        <f ca="1">SUM(INDIRECT(AM$1&amp;AM$2&amp;$C199):INDIRECT(AM$1&amp;AM$3&amp;$C199))</f>
        <v>0</v>
      </c>
      <c r="AN199" s="1276">
        <f t="shared" ca="1" si="400"/>
        <v>14630.782035828346</v>
      </c>
      <c r="AO199" s="1277">
        <f ca="1">IFERROR(AL199/AM199,0)</f>
        <v>0</v>
      </c>
      <c r="AP199" s="135">
        <f ca="1">SUM(INDIRECT(AP$1&amp;AP$2&amp;$A199):INDIRECT(AP$1&amp;AP$3&amp;$A199))+SUM(INDIRECT(AP$1&amp;AP$2&amp;$B199):INDIRECT(AP$1&amp;AP$3&amp;$B199))</f>
        <v>15817</v>
      </c>
      <c r="AQ199" s="886">
        <f t="shared" ca="1" si="334"/>
        <v>-1186.2179641716539</v>
      </c>
      <c r="AR199" s="941">
        <f ca="1">IFERROR(AL199/AP199,0)</f>
        <v>0.92500360598269871</v>
      </c>
      <c r="AT199" s="41">
        <f ca="1">SUM((INDIRECT(AT$2&amp;(ROW())):INDIRECT(AT$3&amp;(ROW()))))</f>
        <v>45202.835592057061</v>
      </c>
      <c r="AU199" s="1275">
        <f ca="1">SUM(INDIRECT(AU$1&amp;AU$2&amp;$C199):INDIRECT(AU$1&amp;AU$3&amp;$C199))</f>
        <v>0</v>
      </c>
      <c r="AV199" s="1276">
        <f t="shared" ca="1" si="401"/>
        <v>45202.835592057061</v>
      </c>
      <c r="AW199" s="1277">
        <f ca="1">IFERROR(AT199/AU199,0)</f>
        <v>0</v>
      </c>
      <c r="AX199" s="135">
        <f ca="1">SUM(INDIRECT(AX$1&amp;AX$2&amp;$A199):INDIRECT(AX$1&amp;AX$3&amp;$A199))+SUM(INDIRECT(AX$1&amp;AX$2&amp;$B199):INDIRECT(AX$1&amp;AX$3&amp;$B199))</f>
        <v>50714</v>
      </c>
      <c r="AY199" s="886">
        <f t="shared" ca="1" si="338"/>
        <v>-5511.1644079429389</v>
      </c>
      <c r="AZ199" s="941">
        <f ca="1">IFERROR(AT199/AX199,0)</f>
        <v>0.89132854028585917</v>
      </c>
      <c r="BA199" s="75"/>
      <c r="BB199" s="2097">
        <f ca="1">SUM((INDIRECT(BB$2&amp;(ROW())):INDIRECT(BB$3&amp;(ROW()))))</f>
        <v>180733.8996222727</v>
      </c>
      <c r="BC199" s="135">
        <f ca="1">SUM(INDIRECT(BC$1&amp;BC$2&amp;$C199):INDIRECT(BC$1&amp;BC$3&amp;$C199))</f>
        <v>0</v>
      </c>
      <c r="BD199" s="886">
        <f t="shared" ca="1" si="402"/>
        <v>180733.8996222727</v>
      </c>
      <c r="BE199" s="941">
        <f ca="1">IFERROR(BB199/BC199,0)</f>
        <v>0</v>
      </c>
      <c r="BF199" s="135">
        <f ca="1">SUM(INDIRECT(BF$1&amp;BF$2&amp;$A199):INDIRECT(BF$1&amp;BF$3&amp;$A199))+SUM(INDIRECT(BF$1&amp;BF$2&amp;$B199):INDIRECT(BF$1&amp;BF$3&amp;$B199))</f>
        <v>174253</v>
      </c>
      <c r="BG199" s="886">
        <f t="shared" ca="1" si="342"/>
        <v>6480.8996222727001</v>
      </c>
      <c r="BH199" s="941">
        <f ca="1">IFERROR(BB199/BF199,0)</f>
        <v>1.0371924708456823</v>
      </c>
    </row>
    <row r="200" spans="1:60" ht="14.5">
      <c r="A200" s="990">
        <f t="shared" si="325"/>
        <v>173</v>
      </c>
      <c r="B200" s="990">
        <v>1</v>
      </c>
      <c r="C200" s="990">
        <f t="shared" si="291"/>
        <v>197</v>
      </c>
      <c r="D200" s="1121" t="s">
        <v>887</v>
      </c>
      <c r="E200" s="1255">
        <v>1</v>
      </c>
      <c r="F200" s="9"/>
      <c r="G200" s="1241"/>
      <c r="H200" s="5"/>
      <c r="I200" s="5"/>
      <c r="J200" s="4"/>
      <c r="K200" s="30"/>
      <c r="L200" s="28"/>
      <c r="M200" s="119" t="s">
        <v>172</v>
      </c>
      <c r="N200" s="2"/>
      <c r="O200" s="2"/>
      <c r="P200" s="2"/>
      <c r="Q200" s="1852" t="str">
        <f>CHOOSE(2, "6722000003119", "PL (2) CAI Directly assigned Fixed Expenses")</f>
        <v>PL (2) CAI Directly assigned Fixed Expenses</v>
      </c>
      <c r="R200" s="2161">
        <v>6976.2345597981548</v>
      </c>
      <c r="S200" s="2161">
        <v>8433.5190476052976</v>
      </c>
      <c r="T200" s="2161">
        <v>8731.9318441346331</v>
      </c>
      <c r="U200" s="2161">
        <v>9463.5069025602334</v>
      </c>
      <c r="V200" s="2161">
        <v>12877.238296657975</v>
      </c>
      <c r="W200" s="2161">
        <v>10348.846741489284</v>
      </c>
      <c r="X200" s="2092">
        <v>14327.611621356911</v>
      </c>
      <c r="Y200" s="2092">
        <v>9057.2579537257679</v>
      </c>
      <c r="Z200" s="2092">
        <v>11043.714748519695</v>
      </c>
      <c r="AA200" s="2162">
        <v>10444.975847539888</v>
      </c>
      <c r="AB200" s="2162">
        <v>11493.006932676586</v>
      </c>
      <c r="AC200" s="2162">
        <v>8788.9590177853715</v>
      </c>
      <c r="AD200" s="141">
        <f>SUM(R200,S200,T200)</f>
        <v>24141.685451538084</v>
      </c>
      <c r="AE200" s="142">
        <f t="shared" si="418"/>
        <v>32689.591940707494</v>
      </c>
      <c r="AF200" s="142">
        <f t="shared" si="419"/>
        <v>34428.584323602379</v>
      </c>
      <c r="AG200" s="142">
        <f t="shared" si="420"/>
        <v>30726.941798001844</v>
      </c>
      <c r="AH200" s="142">
        <f>AD200+AE200</f>
        <v>56831.277392245582</v>
      </c>
      <c r="AI200" s="142">
        <f>AG200+AF200</f>
        <v>65155.526121604227</v>
      </c>
      <c r="AJ200" s="142">
        <f>AH200+AI200</f>
        <v>121986.80351384981</v>
      </c>
      <c r="AL200" s="66">
        <f ca="1">SUM((INDIRECT(AL$2&amp;(ROW())):INDIRECT(AL$3&amp;(ROW()))))</f>
        <v>8788.9590177853715</v>
      </c>
      <c r="AM200" s="92">
        <f ca="1">SUM(INDIRECT(AM$1&amp;AM$2&amp;$C200):INDIRECT(AM$1&amp;AM$3&amp;$C200))</f>
        <v>0</v>
      </c>
      <c r="AN200" s="884">
        <f t="shared" ca="1" si="400"/>
        <v>8788.9590177853715</v>
      </c>
      <c r="AO200" s="937">
        <f ca="1">IFERROR(AL200/AM200,0)</f>
        <v>0</v>
      </c>
      <c r="AP200" s="285">
        <f ca="1">SUM(INDIRECT(AP$1&amp;AP$2&amp;$A200):INDIRECT(AP$1&amp;AP$3&amp;$A200))+SUM(INDIRECT(AP$1&amp;AP$2&amp;$B200):INDIRECT(AP$1&amp;AP$3&amp;$B200))</f>
        <v>18771</v>
      </c>
      <c r="AQ200" s="889">
        <f t="shared" ca="1" si="334"/>
        <v>-9982.0409822146285</v>
      </c>
      <c r="AR200" s="944">
        <f ca="1">IFERROR(AL200/AP200,0)</f>
        <v>0.46822007446515218</v>
      </c>
      <c r="AT200" s="66">
        <f ca="1">SUM((INDIRECT(AT$2&amp;(ROW())):INDIRECT(AT$3&amp;(ROW()))))</f>
        <v>30726.941798001844</v>
      </c>
      <c r="AU200" s="92">
        <f ca="1">SUM(INDIRECT(AU$1&amp;AU$2&amp;$C200):INDIRECT(AU$1&amp;AU$3&amp;$C200))</f>
        <v>0</v>
      </c>
      <c r="AV200" s="884">
        <f t="shared" ca="1" si="401"/>
        <v>30726.941798001844</v>
      </c>
      <c r="AW200" s="937">
        <f ca="1">IFERROR(AT200/AU200,0)</f>
        <v>0</v>
      </c>
      <c r="AX200" s="285">
        <f ca="1">SUM(INDIRECT(AX$1&amp;AX$2&amp;$A200):INDIRECT(AX$1&amp;AX$3&amp;$A200))+SUM(INDIRECT(AX$1&amp;AX$2&amp;$B200):INDIRECT(AX$1&amp;AX$3&amp;$B200))</f>
        <v>46080</v>
      </c>
      <c r="AY200" s="889">
        <f t="shared" ca="1" si="338"/>
        <v>-15353.058201998156</v>
      </c>
      <c r="AZ200" s="944">
        <f ca="1">IFERROR(AT200/AX200,0)</f>
        <v>0.66681731332469285</v>
      </c>
      <c r="BA200" s="75"/>
      <c r="BB200" s="2098">
        <f ca="1">SUM((INDIRECT(BB$2&amp;(ROW())):INDIRECT(BB$3&amp;(ROW()))))</f>
        <v>121986.80351384978</v>
      </c>
      <c r="BC200" s="285">
        <f ca="1">SUM(INDIRECT(BC$1&amp;BC$2&amp;$C200):INDIRECT(BC$1&amp;BC$3&amp;$C200))</f>
        <v>0</v>
      </c>
      <c r="BD200" s="889">
        <f t="shared" ca="1" si="402"/>
        <v>121986.80351384978</v>
      </c>
      <c r="BE200" s="944">
        <f ca="1">IFERROR(BB200/BC200,0)</f>
        <v>0</v>
      </c>
      <c r="BF200" s="285">
        <f ca="1">SUM(INDIRECT(BF$1&amp;BF$2&amp;$A200):INDIRECT(BF$1&amp;BF$3&amp;$A200))+SUM(INDIRECT(BF$1&amp;BF$2&amp;$B200):INDIRECT(BF$1&amp;BF$3&amp;$B200))</f>
        <v>135541</v>
      </c>
      <c r="BG200" s="889">
        <f t="shared" ca="1" si="342"/>
        <v>-13554.19648615022</v>
      </c>
      <c r="BH200" s="944">
        <f ca="1">IFERROR(BB200/BF200,0)</f>
        <v>0.89999928814048724</v>
      </c>
    </row>
    <row r="201" spans="1:60" ht="14.5">
      <c r="A201" s="990">
        <f t="shared" si="325"/>
        <v>174</v>
      </c>
      <c r="B201" s="990">
        <v>1</v>
      </c>
      <c r="C201" s="990">
        <f t="shared" si="291"/>
        <v>198</v>
      </c>
      <c r="D201" s="1121" t="s">
        <v>887</v>
      </c>
      <c r="E201" s="1255">
        <v>1</v>
      </c>
      <c r="F201" s="9"/>
      <c r="G201" s="1241"/>
      <c r="H201" s="5"/>
      <c r="I201" s="5"/>
      <c r="J201" s="4"/>
      <c r="K201" s="30"/>
      <c r="L201" s="764" t="s">
        <v>885</v>
      </c>
      <c r="M201" s="798"/>
      <c r="N201" s="798"/>
      <c r="O201" s="798"/>
      <c r="P201" s="798"/>
      <c r="Q201" s="1851" t="str">
        <f>CHOOSE(2, "6722000003120", "PL (2) CAI Allocation")</f>
        <v>PL (2) CAI Allocation</v>
      </c>
      <c r="R201" s="2120">
        <f>SUM(R203:R205)</f>
        <v>76925.6826870675</v>
      </c>
      <c r="S201" s="2120">
        <f t="shared" ref="S201:AC201" si="421">SUM(S203:S205)</f>
        <v>53860.581385004407</v>
      </c>
      <c r="T201" s="2120">
        <f t="shared" si="421"/>
        <v>77726.745328805177</v>
      </c>
      <c r="U201" s="2120">
        <f t="shared" si="421"/>
        <v>73270.706619982404</v>
      </c>
      <c r="V201" s="2120">
        <f t="shared" si="421"/>
        <v>73485.342641867755</v>
      </c>
      <c r="W201" s="2120">
        <f t="shared" si="421"/>
        <v>33230.858338357924</v>
      </c>
      <c r="X201" s="2081">
        <f t="shared" si="421"/>
        <v>107513.94392488</v>
      </c>
      <c r="Y201" s="2081">
        <f t="shared" si="421"/>
        <v>78339.912249140281</v>
      </c>
      <c r="Z201" s="2081">
        <f t="shared" si="421"/>
        <v>74844.574226233512</v>
      </c>
      <c r="AA201" s="2158">
        <f t="shared" si="421"/>
        <v>86744.86999139603</v>
      </c>
      <c r="AB201" s="2158">
        <f t="shared" si="421"/>
        <v>35348.81431055435</v>
      </c>
      <c r="AC201" s="2158">
        <f t="shared" si="421"/>
        <v>34466.061098217688</v>
      </c>
      <c r="AD201" s="1524">
        <f t="shared" ref="AD201:AJ201" si="422">SUM(AD203:AD205)</f>
        <v>208513.00940087711</v>
      </c>
      <c r="AE201" s="1118">
        <f t="shared" si="422"/>
        <v>179986.9076002081</v>
      </c>
      <c r="AF201" s="1118">
        <f t="shared" si="422"/>
        <v>260698.4304002538</v>
      </c>
      <c r="AG201" s="1118">
        <f t="shared" si="422"/>
        <v>156559.74540016806</v>
      </c>
      <c r="AH201" s="1118">
        <f t="shared" si="422"/>
        <v>388499.91700108518</v>
      </c>
      <c r="AI201" s="1118">
        <f t="shared" si="422"/>
        <v>417258.17580042186</v>
      </c>
      <c r="AJ201" s="1118">
        <f t="shared" si="422"/>
        <v>805758.09280150698</v>
      </c>
      <c r="AL201" s="41">
        <f ca="1">SUM((INDIRECT(AL$2&amp;(ROW())):INDIRECT(AL$3&amp;(ROW()))))</f>
        <v>34466.061098217688</v>
      </c>
      <c r="AM201" s="1275">
        <f ca="1">SUM(INDIRECT(AM$1&amp;AM$2&amp;$C201):INDIRECT(AM$1&amp;AM$3&amp;$C201))</f>
        <v>0</v>
      </c>
      <c r="AN201" s="1276">
        <f t="shared" ca="1" si="400"/>
        <v>34466.061098217688</v>
      </c>
      <c r="AO201" s="1277">
        <f ca="1">IFERROR(AL201/AM201,0)</f>
        <v>0</v>
      </c>
      <c r="AP201" s="135">
        <f ca="1">SUM(INDIRECT(AP$1&amp;AP$2&amp;$A201):INDIRECT(AP$1&amp;AP$3&amp;$A201))+SUM(INDIRECT(AP$1&amp;AP$2&amp;$B201):INDIRECT(AP$1&amp;AP$3&amp;$B201))</f>
        <v>96675.588006971462</v>
      </c>
      <c r="AQ201" s="886">
        <f t="shared" ca="1" si="334"/>
        <v>-62209.526908753774</v>
      </c>
      <c r="AR201" s="941">
        <f ca="1">IFERROR(AL201/AP201,0)</f>
        <v>0.35651255719005581</v>
      </c>
      <c r="AT201" s="41">
        <f ca="1">SUM((INDIRECT(AT$2&amp;(ROW())):INDIRECT(AT$3&amp;(ROW()))))</f>
        <v>156559.74540016806</v>
      </c>
      <c r="AU201" s="1275">
        <f ca="1">SUM(INDIRECT(AU$1&amp;AU$2&amp;$C201):INDIRECT(AU$1&amp;AU$3&amp;$C201))</f>
        <v>0</v>
      </c>
      <c r="AV201" s="1276">
        <f t="shared" ca="1" si="401"/>
        <v>156559.74540016806</v>
      </c>
      <c r="AW201" s="1277">
        <f ca="1">IFERROR(AT201/AU201,0)</f>
        <v>0</v>
      </c>
      <c r="AX201" s="135">
        <f ca="1">SUM(INDIRECT(AX$1&amp;AX$2&amp;$A201):INDIRECT(AX$1&amp;AX$3&amp;$A201))+SUM(INDIRECT(AX$1&amp;AX$2&amp;$B201):INDIRECT(AX$1&amp;AX$3&amp;$B201))</f>
        <v>172746.80919339368</v>
      </c>
      <c r="AY201" s="886">
        <f t="shared" ca="1" si="338"/>
        <v>-16187.063793225621</v>
      </c>
      <c r="AZ201" s="941">
        <f ca="1">IFERROR(AT201/AX201,0)</f>
        <v>0.90629601861355447</v>
      </c>
      <c r="BA201" s="75"/>
      <c r="BB201" s="2097">
        <f ca="1">SUM((INDIRECT(BB$2&amp;(ROW())):INDIRECT(BB$3&amp;(ROW()))))</f>
        <v>805758.09280150698</v>
      </c>
      <c r="BC201" s="135">
        <f ca="1">SUM(INDIRECT(BC$1&amp;BC$2&amp;$C201):INDIRECT(BC$1&amp;BC$3&amp;$C201))</f>
        <v>0</v>
      </c>
      <c r="BD201" s="886">
        <f t="shared" ca="1" si="402"/>
        <v>805758.09280150698</v>
      </c>
      <c r="BE201" s="941">
        <f ca="1">IFERROR(BB201/BC201,0)</f>
        <v>0</v>
      </c>
      <c r="BF201" s="135">
        <f ca="1">SUM(INDIRECT(BF$1&amp;BF$2&amp;$A201):INDIRECT(BF$1&amp;BF$3&amp;$A201))+SUM(INDIRECT(BF$1&amp;BF$2&amp;$B201):INDIRECT(BF$1&amp;BF$3&amp;$B201))</f>
        <v>731708.80919339368</v>
      </c>
      <c r="BG201" s="886">
        <f t="shared" ca="1" si="342"/>
        <v>74049.283608113299</v>
      </c>
      <c r="BH201" s="941">
        <f ca="1">IFERROR(BB201/BF201,0)</f>
        <v>1.1012004812265992</v>
      </c>
    </row>
    <row r="202" spans="1:60" ht="14.5">
      <c r="A202" s="990">
        <f t="shared" si="325"/>
        <v>175</v>
      </c>
      <c r="B202" s="990">
        <v>1</v>
      </c>
      <c r="C202" s="990">
        <f t="shared" si="291"/>
        <v>199</v>
      </c>
      <c r="D202" s="1121" t="s">
        <v>887</v>
      </c>
      <c r="E202" s="1255">
        <v>1</v>
      </c>
      <c r="F202" s="9"/>
      <c r="G202" s="1241"/>
      <c r="H202" s="5"/>
      <c r="I202" s="5"/>
      <c r="J202" s="4"/>
      <c r="K202" s="30"/>
      <c r="L202" s="613"/>
      <c r="M202" s="676" t="s">
        <v>888</v>
      </c>
      <c r="N202" s="51"/>
      <c r="O202" s="51"/>
      <c r="P202" s="51"/>
      <c r="Q202" s="1842" t="str">
        <f>CHOOSE(2, "6722000003121", "PL (2) CAI Allocation SGA (%)")</f>
        <v>PL (2) CAI Allocation SGA (%)</v>
      </c>
      <c r="R202" s="1119">
        <f>IFERROR(R201/R186,0)</f>
        <v>0.74806828429480132</v>
      </c>
      <c r="S202" s="1119">
        <f t="shared" ref="S202:AC202" si="423">IFERROR(S201/S186,0)</f>
        <v>0.55886705107825785</v>
      </c>
      <c r="T202" s="1119">
        <f t="shared" si="423"/>
        <v>0.73785447495229073</v>
      </c>
      <c r="U202" s="1119">
        <f t="shared" si="423"/>
        <v>0.66864058570025908</v>
      </c>
      <c r="V202" s="1119">
        <f t="shared" si="423"/>
        <v>0.58334637777573239</v>
      </c>
      <c r="W202" s="1119">
        <f t="shared" si="423"/>
        <v>0.46770003012816008</v>
      </c>
      <c r="X202" s="1119">
        <f t="shared" si="423"/>
        <v>0.76253039010241686</v>
      </c>
      <c r="Y202" s="1119">
        <f t="shared" si="423"/>
        <v>0.68196676536379963</v>
      </c>
      <c r="Z202" s="1119">
        <f t="shared" si="423"/>
        <v>0.71056654180149725</v>
      </c>
      <c r="AA202" s="1119">
        <f t="shared" si="423"/>
        <v>0.60542479069711064</v>
      </c>
      <c r="AB202" s="1119">
        <f t="shared" si="423"/>
        <v>0.34572577882005867</v>
      </c>
      <c r="AC202" s="1119">
        <f t="shared" si="423"/>
        <v>0.80742892705295877</v>
      </c>
      <c r="AD202" s="1525">
        <f t="shared" ref="AD202:AJ202" si="424">IFERROR(AD201/AD186,0)</f>
        <v>0.68466254130031601</v>
      </c>
      <c r="AE202" s="1119">
        <f t="shared" si="424"/>
        <v>0.58703128549818273</v>
      </c>
      <c r="AF202" s="1119">
        <f t="shared" si="424"/>
        <v>0.72175520591740439</v>
      </c>
      <c r="AG202" s="1119">
        <f t="shared" si="424"/>
        <v>0.54321267801782946</v>
      </c>
      <c r="AH202" s="1119">
        <f t="shared" si="424"/>
        <v>0.63568263383619938</v>
      </c>
      <c r="AI202" s="1119">
        <f t="shared" si="424"/>
        <v>0.64251748361035721</v>
      </c>
      <c r="AJ202" s="1119">
        <f t="shared" si="424"/>
        <v>0.63920377579340748</v>
      </c>
      <c r="AL202" s="1283">
        <f ca="1">IFERROR(AL201/AL186,0)</f>
        <v>0.80742892705295877</v>
      </c>
      <c r="AM202" s="1283">
        <f ca="1">IFERROR(AM201/AM186,0)</f>
        <v>0</v>
      </c>
      <c r="AN202" s="1283">
        <f t="shared" ca="1" si="400"/>
        <v>0.80742892705295877</v>
      </c>
      <c r="AO202" s="1281"/>
      <c r="AP202" s="1283">
        <f ca="1">IFERROR(AP201/AP186,0)</f>
        <v>0.73964953702937364</v>
      </c>
      <c r="AQ202" s="1283">
        <f ca="1">IFERROR(AQ201/AQ182,0)</f>
        <v>3.5336283390374197</v>
      </c>
      <c r="AR202" s="1374"/>
      <c r="AT202" s="1283">
        <f ca="1">IFERROR(AT201/AT186,0)</f>
        <v>0.54321267801782946</v>
      </c>
      <c r="AU202" s="1283">
        <f ca="1">IFERROR(AU201/AU186,0)</f>
        <v>0</v>
      </c>
      <c r="AV202" s="1283">
        <f t="shared" ca="1" si="401"/>
        <v>0.54321267801782946</v>
      </c>
      <c r="AW202" s="1281"/>
      <c r="AX202" s="1283">
        <f ca="1">IFERROR(AX201/AX186,0)</f>
        <v>0.63772964536220389</v>
      </c>
      <c r="AY202" s="1283">
        <f ca="1">IFERROR(AY201/AY182,0)</f>
        <v>-0.2785832199075538</v>
      </c>
      <c r="AZ202" s="1374"/>
      <c r="BA202" s="75"/>
      <c r="BB202" s="1283">
        <f ca="1">IFERROR(BB201/BB186,0)</f>
        <v>0.63920377579340748</v>
      </c>
      <c r="BC202" s="1283">
        <f ca="1">IFERROR(BC201/BC186,0)</f>
        <v>0</v>
      </c>
      <c r="BD202" s="1283">
        <f t="shared" ca="1" si="402"/>
        <v>0.63920377579340748</v>
      </c>
      <c r="BE202" s="1377"/>
      <c r="BF202" s="1283">
        <f ca="1">IFERROR(BF201/BF186,0)</f>
        <v>0.68702097400631912</v>
      </c>
      <c r="BG202" s="1283">
        <f ca="1">IFERROR(BG201/BG182,0)</f>
        <v>0.31319645674879304</v>
      </c>
      <c r="BH202" s="1374"/>
    </row>
    <row r="203" spans="1:60" ht="14.5">
      <c r="A203" s="990">
        <f t="shared" si="325"/>
        <v>176</v>
      </c>
      <c r="B203" s="990">
        <v>1</v>
      </c>
      <c r="C203" s="990">
        <f t="shared" si="291"/>
        <v>200</v>
      </c>
      <c r="D203" s="1121" t="s">
        <v>887</v>
      </c>
      <c r="E203" s="1255">
        <v>1</v>
      </c>
      <c r="F203" s="9"/>
      <c r="G203" s="1241"/>
      <c r="H203" s="5"/>
      <c r="I203" s="5"/>
      <c r="J203" s="4"/>
      <c r="K203" s="30"/>
      <c r="L203" s="30"/>
      <c r="M203" s="40" t="s">
        <v>170</v>
      </c>
      <c r="N203" s="4"/>
      <c r="O203" s="4"/>
      <c r="P203" s="4"/>
      <c r="Q203" s="1851" t="str">
        <f>CHOOSE(2, "6722000003122", "PL (2) CAI Allocation Variable Expenses")</f>
        <v>PL (2) CAI Allocation Variable Expenses</v>
      </c>
      <c r="R203" s="41">
        <f>R187-R198</f>
        <v>38655.558721389942</v>
      </c>
      <c r="S203" s="41">
        <f t="shared" ref="S203:AC203" si="425">S187-S198</f>
        <v>15394.549823253757</v>
      </c>
      <c r="T203" s="41">
        <f t="shared" si="425"/>
        <v>27662.269163471959</v>
      </c>
      <c r="U203" s="41">
        <f t="shared" si="425"/>
        <v>36579.985646816946</v>
      </c>
      <c r="V203" s="41">
        <f t="shared" si="425"/>
        <v>27617.104024995009</v>
      </c>
      <c r="W203" s="41">
        <f t="shared" si="425"/>
        <v>12484.031027162642</v>
      </c>
      <c r="X203" s="19">
        <f t="shared" si="425"/>
        <v>24918.915034801481</v>
      </c>
      <c r="Y203" s="19">
        <f t="shared" si="425"/>
        <v>29758.62832455372</v>
      </c>
      <c r="Z203" s="19">
        <f t="shared" si="425"/>
        <v>33945.142759665687</v>
      </c>
      <c r="AA203" s="145">
        <f t="shared" si="425"/>
        <v>25417.965810870919</v>
      </c>
      <c r="AB203" s="145">
        <f t="shared" si="425"/>
        <v>12761.335841510831</v>
      </c>
      <c r="AC203" s="145">
        <f t="shared" si="425"/>
        <v>-5530.3158994501591</v>
      </c>
      <c r="AD203" s="144">
        <f>SUM(R203,S203,T203)</f>
        <v>81712.377708115659</v>
      </c>
      <c r="AE203" s="145">
        <f t="shared" ref="AE203:AE205" si="426">SUM(U203,V203,W203)</f>
        <v>76681.120698974599</v>
      </c>
      <c r="AF203" s="145">
        <f t="shared" ref="AF203:AF205" si="427">SUM(X203,Y203,Z203)</f>
        <v>88622.686119020887</v>
      </c>
      <c r="AG203" s="145">
        <f t="shared" ref="AG203:AG205" si="428">SUM(AA203,AB203,AC203)</f>
        <v>32648.985752931592</v>
      </c>
      <c r="AH203" s="145">
        <f>AD203+AE203</f>
        <v>158393.49840709026</v>
      </c>
      <c r="AI203" s="145">
        <f>AG203+AF203</f>
        <v>121271.67187195248</v>
      </c>
      <c r="AJ203" s="145">
        <f>AH203+AI203</f>
        <v>279665.17027904274</v>
      </c>
      <c r="AL203" s="41">
        <f ca="1">SUM((INDIRECT(AL$2&amp;(ROW())):INDIRECT(AL$3&amp;(ROW()))))</f>
        <v>-5530.3158994501591</v>
      </c>
      <c r="AM203" s="1275">
        <f ca="1">SUM(INDIRECT(AM$1&amp;AM$2&amp;$C203):INDIRECT(AM$1&amp;AM$3&amp;$C203))</f>
        <v>0</v>
      </c>
      <c r="AN203" s="1276">
        <f t="shared" ca="1" si="400"/>
        <v>-5530.3158994501591</v>
      </c>
      <c r="AO203" s="1277">
        <f ca="1">IFERROR(AL203/AM203,0)</f>
        <v>0</v>
      </c>
      <c r="AP203" s="135">
        <f ca="1">SUM(INDIRECT(AP$1&amp;AP$2&amp;$A203):INDIRECT(AP$1&amp;AP$3&amp;$A203))+SUM(INDIRECT(AP$1&amp;AP$2&amp;$B203):INDIRECT(AP$1&amp;AP$3&amp;$B203))</f>
        <v>23262.515254911552</v>
      </c>
      <c r="AQ203" s="886">
        <f ca="1">AL203-AP203</f>
        <v>-28792.831154361709</v>
      </c>
      <c r="AR203" s="941">
        <f ca="1">IFERROR(AL203/AP203,0)</f>
        <v>-0.23773507889618734</v>
      </c>
      <c r="AT203" s="41">
        <f ca="1">SUM((INDIRECT(AT$2&amp;(ROW())):INDIRECT(AT$3&amp;(ROW()))))</f>
        <v>32648.985752931592</v>
      </c>
      <c r="AU203" s="1275">
        <f ca="1">SUM(INDIRECT(AU$1&amp;AU$2&amp;$C203):INDIRECT(AU$1&amp;AU$3&amp;$C203))</f>
        <v>0</v>
      </c>
      <c r="AV203" s="1276">
        <f t="shared" ca="1" si="401"/>
        <v>32648.985752931592</v>
      </c>
      <c r="AW203" s="1277">
        <f ca="1">IFERROR(AT203/AU203,0)</f>
        <v>0</v>
      </c>
      <c r="AX203" s="135">
        <f ca="1">SUM(INDIRECT(AX$1&amp;AX$2&amp;$A203):INDIRECT(AX$1&amp;AX$3&amp;$A203))+SUM(INDIRECT(AX$1&amp;AX$2&amp;$B203):INDIRECT(AX$1&amp;AX$3&amp;$B203))</f>
        <v>51607.029181760779</v>
      </c>
      <c r="AY203" s="886">
        <f ca="1">AT203-AX203</f>
        <v>-18958.043428829187</v>
      </c>
      <c r="AZ203" s="941">
        <f ca="1">IFERROR(AT203/AX203,0)</f>
        <v>0.63264610016479239</v>
      </c>
      <c r="BA203" s="75"/>
      <c r="BB203" s="2097">
        <f ca="1">SUM((INDIRECT(BB$2&amp;(ROW())):INDIRECT(BB$3&amp;(ROW()))))</f>
        <v>279665.17027904274</v>
      </c>
      <c r="BC203" s="135">
        <f ca="1">SUM(INDIRECT(BC$1&amp;BC$2&amp;$C203):INDIRECT(BC$1&amp;BC$3&amp;$C203))</f>
        <v>0</v>
      </c>
      <c r="BD203" s="886">
        <f t="shared" ca="1" si="402"/>
        <v>279665.17027904274</v>
      </c>
      <c r="BE203" s="941">
        <f ca="1">IFERROR(BB203/BC203,0)</f>
        <v>0</v>
      </c>
      <c r="BF203" s="135">
        <f ca="1">SUM(INDIRECT(BF$1&amp;BF$2&amp;$A203):INDIRECT(BF$1&amp;BF$3&amp;$A203))+SUM(INDIRECT(BF$1&amp;BF$2&amp;$B203):INDIRECT(BF$1&amp;BF$3&amp;$B203))</f>
        <v>245426.02918176079</v>
      </c>
      <c r="BG203" s="886">
        <f ca="1">BB203-BF203</f>
        <v>34239.141097281943</v>
      </c>
      <c r="BH203" s="941">
        <f ca="1">IFERROR(BB203/BF203,0)</f>
        <v>1.1395090048575274</v>
      </c>
    </row>
    <row r="204" spans="1:60" ht="14.5">
      <c r="A204" s="990">
        <f t="shared" si="325"/>
        <v>177</v>
      </c>
      <c r="B204" s="990">
        <v>1</v>
      </c>
      <c r="C204" s="990">
        <f t="shared" si="291"/>
        <v>201</v>
      </c>
      <c r="D204" s="1121" t="s">
        <v>887</v>
      </c>
      <c r="E204" s="1255">
        <v>1</v>
      </c>
      <c r="F204" s="9"/>
      <c r="G204" s="1241"/>
      <c r="H204" s="5"/>
      <c r="I204" s="5"/>
      <c r="J204" s="4"/>
      <c r="K204" s="30"/>
      <c r="L204" s="30"/>
      <c r="M204" s="40" t="s">
        <v>171</v>
      </c>
      <c r="N204" s="4"/>
      <c r="O204" s="4"/>
      <c r="P204" s="4"/>
      <c r="Q204" s="1851" t="str">
        <f>CHOOSE(2, "6722000003123", "PL (2) CAI Allocation Wages &amp; Salaries")</f>
        <v>PL (2) CAI Allocation Wages &amp; Salaries</v>
      </c>
      <c r="R204" s="41">
        <f t="shared" ref="R204:AC205" si="429">R188-R199</f>
        <v>15920.021674909362</v>
      </c>
      <c r="S204" s="41">
        <f t="shared" si="429"/>
        <v>15879.237161505695</v>
      </c>
      <c r="T204" s="41">
        <f t="shared" si="429"/>
        <v>16373.541375844226</v>
      </c>
      <c r="U204" s="41">
        <f t="shared" si="429"/>
        <v>14604.994079532131</v>
      </c>
      <c r="V204" s="41">
        <f t="shared" si="429"/>
        <v>17548.602146196448</v>
      </c>
      <c r="W204" s="41">
        <f t="shared" si="429"/>
        <v>18807.370826404338</v>
      </c>
      <c r="X204" s="19">
        <f t="shared" si="429"/>
        <v>38997.994367200561</v>
      </c>
      <c r="Y204" s="19">
        <f t="shared" si="429"/>
        <v>21488.262211913905</v>
      </c>
      <c r="Z204" s="19">
        <f t="shared" si="429"/>
        <v>18725.991806195281</v>
      </c>
      <c r="AA204" s="145">
        <f t="shared" si="429"/>
        <v>23451.157214161707</v>
      </c>
      <c r="AB204" s="145">
        <f t="shared" si="429"/>
        <v>15481.994575162469</v>
      </c>
      <c r="AC204" s="145">
        <f t="shared" si="429"/>
        <v>14637.293300653615</v>
      </c>
      <c r="AD204" s="144">
        <f>SUM(R204,S204,T204)</f>
        <v>48172.800212259288</v>
      </c>
      <c r="AE204" s="145">
        <f t="shared" si="426"/>
        <v>50960.967052132917</v>
      </c>
      <c r="AF204" s="145">
        <f t="shared" si="427"/>
        <v>79212.248385309751</v>
      </c>
      <c r="AG204" s="145">
        <f t="shared" si="428"/>
        <v>53570.445089977788</v>
      </c>
      <c r="AH204" s="145">
        <f>AD204+AE204</f>
        <v>99133.767264392198</v>
      </c>
      <c r="AI204" s="145">
        <f>AG204+AF204</f>
        <v>132782.69347528752</v>
      </c>
      <c r="AJ204" s="145">
        <f>AH204+AI204</f>
        <v>231916.46073967972</v>
      </c>
      <c r="AL204" s="41">
        <f ca="1">SUM((INDIRECT(AL$2&amp;(ROW())):INDIRECT(AL$3&amp;(ROW()))))</f>
        <v>14637.293300653615</v>
      </c>
      <c r="AM204" s="1275">
        <f ca="1">SUM(INDIRECT(AM$1&amp;AM$2&amp;$C204):INDIRECT(AM$1&amp;AM$3&amp;$C204))</f>
        <v>0</v>
      </c>
      <c r="AN204" s="1276">
        <f t="shared" ca="1" si="400"/>
        <v>14637.293300653615</v>
      </c>
      <c r="AO204" s="1277">
        <f ca="1">IFERROR(AL204/AM204,0)</f>
        <v>0</v>
      </c>
      <c r="AP204" s="135">
        <f ca="1">SUM(INDIRECT(AP$1&amp;AP$2&amp;$A204):INDIRECT(AP$1&amp;AP$3&amp;$A204))+SUM(INDIRECT(AP$1&amp;AP$2&amp;$B204):INDIRECT(AP$1&amp;AP$3&amp;$B204))</f>
        <v>24214.072752059903</v>
      </c>
      <c r="AQ204" s="886">
        <f ca="1">AL204-AP204</f>
        <v>-9576.779451406288</v>
      </c>
      <c r="AR204" s="941">
        <f ca="1">IFERROR(AL204/AP204,0)</f>
        <v>0.60449530529342332</v>
      </c>
      <c r="AT204" s="41">
        <f ca="1">SUM((INDIRECT(AT$2&amp;(ROW())):INDIRECT(AT$3&amp;(ROW()))))</f>
        <v>53570.445089977788</v>
      </c>
      <c r="AU204" s="1275">
        <f ca="1">SUM(INDIRECT(AU$1&amp;AU$2&amp;$C204):INDIRECT(AU$1&amp;AU$3&amp;$C204))</f>
        <v>0</v>
      </c>
      <c r="AV204" s="1276">
        <f t="shared" ca="1" si="401"/>
        <v>53570.445089977788</v>
      </c>
      <c r="AW204" s="1277">
        <f ca="1">IFERROR(AT204/AU204,0)</f>
        <v>0</v>
      </c>
      <c r="AX204" s="135">
        <f ca="1">SUM(INDIRECT(AX$1&amp;AX$2&amp;$A204):INDIRECT(AX$1&amp;AX$3&amp;$A204))+SUM(INDIRECT(AX$1&amp;AX$2&amp;$B204):INDIRECT(AX$1&amp;AX$3&amp;$B204))</f>
        <v>56101.298549114283</v>
      </c>
      <c r="AY204" s="886">
        <f ca="1">AT204-AX204</f>
        <v>-2530.8534591364951</v>
      </c>
      <c r="AZ204" s="941">
        <f ca="1">IFERROR(AT204/AX204,0)</f>
        <v>0.95488779182319927</v>
      </c>
      <c r="BA204" s="75"/>
      <c r="BB204" s="2097">
        <f ca="1">SUM((INDIRECT(BB$2&amp;(ROW())):INDIRECT(BB$3&amp;(ROW()))))</f>
        <v>231916.46073967975</v>
      </c>
      <c r="BC204" s="135">
        <f ca="1">SUM(INDIRECT(BC$1&amp;BC$2&amp;$C204):INDIRECT(BC$1&amp;BC$3&amp;$C204))</f>
        <v>0</v>
      </c>
      <c r="BD204" s="886">
        <f t="shared" ca="1" si="402"/>
        <v>231916.46073967975</v>
      </c>
      <c r="BE204" s="941">
        <f ca="1">IFERROR(BB204/BC204,0)</f>
        <v>0</v>
      </c>
      <c r="BF204" s="135">
        <f ca="1">SUM(INDIRECT(BF$1&amp;BF$2&amp;$A204):INDIRECT(BF$1&amp;BF$3&amp;$A204))+SUM(INDIRECT(BF$1&amp;BF$2&amp;$B204):INDIRECT(BF$1&amp;BF$3&amp;$B204))</f>
        <v>182513.29854911429</v>
      </c>
      <c r="BG204" s="886">
        <f ca="1">BB204-BF204</f>
        <v>49403.162190565461</v>
      </c>
      <c r="BH204" s="941">
        <f ca="1">IFERROR(BB204/BF204,0)</f>
        <v>1.2706825342771999</v>
      </c>
    </row>
    <row r="205" spans="1:60" ht="14.5">
      <c r="A205" s="990">
        <f t="shared" si="325"/>
        <v>178</v>
      </c>
      <c r="B205" s="990">
        <v>1</v>
      </c>
      <c r="C205" s="990">
        <f t="shared" si="291"/>
        <v>202</v>
      </c>
      <c r="D205" s="1121" t="s">
        <v>887</v>
      </c>
      <c r="E205" s="1255">
        <v>1</v>
      </c>
      <c r="F205" s="9"/>
      <c r="G205" s="1241"/>
      <c r="H205" s="5"/>
      <c r="I205" s="5"/>
      <c r="J205" s="4"/>
      <c r="K205" s="28"/>
      <c r="L205" s="28"/>
      <c r="M205" s="119" t="s">
        <v>172</v>
      </c>
      <c r="N205" s="2"/>
      <c r="O205" s="2"/>
      <c r="P205" s="2"/>
      <c r="Q205" s="1851" t="str">
        <f>CHOOSE(2, "6722000003124", "PL (2) CAI Allocation Fixed Expenses")</f>
        <v>PL (2) CAI Allocation Fixed Expenses</v>
      </c>
      <c r="R205" s="66">
        <f t="shared" si="429"/>
        <v>22350.102290768195</v>
      </c>
      <c r="S205" s="66">
        <f t="shared" si="429"/>
        <v>22586.794400244959</v>
      </c>
      <c r="T205" s="66">
        <f t="shared" si="429"/>
        <v>33690.934789488987</v>
      </c>
      <c r="U205" s="66">
        <f t="shared" si="429"/>
        <v>22085.726893633328</v>
      </c>
      <c r="V205" s="66">
        <f t="shared" si="429"/>
        <v>28319.636470676298</v>
      </c>
      <c r="W205" s="66">
        <f t="shared" si="429"/>
        <v>1939.4564847909423</v>
      </c>
      <c r="X205" s="17">
        <f t="shared" si="429"/>
        <v>43597.03452287797</v>
      </c>
      <c r="Y205" s="17">
        <f t="shared" si="429"/>
        <v>27093.021712672657</v>
      </c>
      <c r="Z205" s="17">
        <f t="shared" si="429"/>
        <v>22173.439660372544</v>
      </c>
      <c r="AA205" s="142">
        <f t="shared" si="429"/>
        <v>37875.746966363411</v>
      </c>
      <c r="AB205" s="142">
        <f t="shared" si="429"/>
        <v>7105.4838938810517</v>
      </c>
      <c r="AC205" s="142">
        <f t="shared" si="429"/>
        <v>25359.08369701423</v>
      </c>
      <c r="AD205" s="141">
        <f>SUM(R205,S205,T205)</f>
        <v>78627.831480502151</v>
      </c>
      <c r="AE205" s="142">
        <f t="shared" si="426"/>
        <v>52344.819849100568</v>
      </c>
      <c r="AF205" s="142">
        <f t="shared" si="427"/>
        <v>92863.495895923174</v>
      </c>
      <c r="AG205" s="142">
        <f t="shared" si="428"/>
        <v>70340.314557258695</v>
      </c>
      <c r="AH205" s="142">
        <f>AD205+AE205</f>
        <v>130972.65132960273</v>
      </c>
      <c r="AI205" s="142">
        <f>AG205+AF205</f>
        <v>163203.81045318185</v>
      </c>
      <c r="AJ205" s="142">
        <f>AH205+AI205</f>
        <v>294176.46178278455</v>
      </c>
      <c r="AL205" s="66">
        <f ca="1">SUM((INDIRECT(AL$2&amp;(ROW())):INDIRECT(AL$3&amp;(ROW()))))</f>
        <v>25359.08369701423</v>
      </c>
      <c r="AM205" s="92">
        <f ca="1">SUM(INDIRECT(AM$1&amp;AM$2&amp;$C205):INDIRECT(AM$1&amp;AM$3&amp;$C205))</f>
        <v>0</v>
      </c>
      <c r="AN205" s="884">
        <f t="shared" ca="1" si="400"/>
        <v>25359.08369701423</v>
      </c>
      <c r="AO205" s="937">
        <f ca="1">IFERROR(AL205/AM205,0)</f>
        <v>0</v>
      </c>
      <c r="AP205" s="285">
        <f ca="1">SUM(INDIRECT(AP$1&amp;AP$2&amp;$A205):INDIRECT(AP$1&amp;AP$3&amp;$A205))+SUM(INDIRECT(AP$1&amp;AP$2&amp;$B205):INDIRECT(AP$1&amp;AP$3&amp;$B205))</f>
        <v>49199</v>
      </c>
      <c r="AQ205" s="889">
        <f ca="1">AL205-AP205</f>
        <v>-23839.91630298577</v>
      </c>
      <c r="AR205" s="944">
        <f ca="1">IFERROR(AL205/AP205,0)</f>
        <v>0.51543900682969634</v>
      </c>
      <c r="AT205" s="66">
        <f ca="1">SUM((INDIRECT(AT$2&amp;(ROW())):INDIRECT(AT$3&amp;(ROW()))))</f>
        <v>70340.314557258695</v>
      </c>
      <c r="AU205" s="92">
        <f ca="1">SUM(INDIRECT(AU$1&amp;AU$2&amp;$C205):INDIRECT(AU$1&amp;AU$3&amp;$C205))</f>
        <v>0</v>
      </c>
      <c r="AV205" s="884">
        <f t="shared" ca="1" si="401"/>
        <v>70340.314557258695</v>
      </c>
      <c r="AW205" s="937">
        <f ca="1">IFERROR(AT205/AU205,0)</f>
        <v>0</v>
      </c>
      <c r="AX205" s="285">
        <f ca="1">SUM(INDIRECT(AX$1&amp;AX$2&amp;$A205):INDIRECT(AX$1&amp;AX$3&amp;$A205))+SUM(INDIRECT(AX$1&amp;AX$2&amp;$B205):INDIRECT(AX$1&amp;AX$3&amp;$B205))</f>
        <v>65038.481462518605</v>
      </c>
      <c r="AY205" s="889">
        <f ca="1">AT205-AX205</f>
        <v>5301.83309474009</v>
      </c>
      <c r="AZ205" s="944">
        <f ca="1">IFERROR(AT205/AX205,0)</f>
        <v>1.0815184022676716</v>
      </c>
      <c r="BA205" s="75"/>
      <c r="BB205" s="2098">
        <f ca="1">SUM((INDIRECT(BB$2&amp;(ROW())):INDIRECT(BB$3&amp;(ROW()))))</f>
        <v>294176.46178278461</v>
      </c>
      <c r="BC205" s="285">
        <f ca="1">SUM(INDIRECT(BC$1&amp;BC$2&amp;$C205):INDIRECT(BC$1&amp;BC$3&amp;$C205))</f>
        <v>0</v>
      </c>
      <c r="BD205" s="889">
        <f t="shared" ca="1" si="402"/>
        <v>294176.46178278461</v>
      </c>
      <c r="BE205" s="944">
        <f ca="1">IFERROR(BB205/BC205,0)</f>
        <v>0</v>
      </c>
      <c r="BF205" s="285">
        <f ca="1">SUM(INDIRECT(BF$1&amp;BF$2&amp;$A205):INDIRECT(BF$1&amp;BF$3&amp;$A205))+SUM(INDIRECT(BF$1&amp;BF$2&amp;$B205):INDIRECT(BF$1&amp;BF$3&amp;$B205))</f>
        <v>303769.48146251857</v>
      </c>
      <c r="BG205" s="889">
        <f ca="1">BB205-BF205</f>
        <v>-9593.0196797339595</v>
      </c>
      <c r="BH205" s="944">
        <f ca="1">IFERROR(BB205/BF205,0)</f>
        <v>0.96842006763303634</v>
      </c>
    </row>
    <row r="206" spans="1:60" ht="14.5">
      <c r="A206" s="990">
        <f t="shared" si="325"/>
        <v>179</v>
      </c>
      <c r="B206" s="990">
        <v>1</v>
      </c>
      <c r="C206" s="990">
        <f t="shared" ref="C206:C269" si="430">ROW()-3</f>
        <v>203</v>
      </c>
      <c r="D206" s="1121" t="s">
        <v>887</v>
      </c>
      <c r="E206" s="1243">
        <v>1</v>
      </c>
      <c r="F206" s="5"/>
      <c r="G206" s="5"/>
      <c r="H206" s="5"/>
      <c r="I206" s="5"/>
      <c r="J206" s="4"/>
      <c r="K206" s="5"/>
      <c r="L206" s="5"/>
      <c r="M206" s="4"/>
      <c r="N206" s="4"/>
      <c r="O206" s="4"/>
      <c r="P206" s="4"/>
      <c r="Q206" s="1839" t="str">
        <f>CHOOSE(2, "6722000003125", "▷ Blank 11")</f>
        <v>▷ Blank 11</v>
      </c>
      <c r="R206" s="2225"/>
      <c r="S206" s="1151"/>
      <c r="T206" s="1151"/>
      <c r="U206" s="1151"/>
      <c r="V206" s="1151"/>
      <c r="W206" s="1151"/>
      <c r="AA206" s="163"/>
      <c r="AB206" s="163"/>
      <c r="AC206" s="163"/>
      <c r="AD206" s="163"/>
      <c r="AE206" s="163"/>
      <c r="AF206" s="163"/>
      <c r="AG206" s="163"/>
      <c r="AH206" s="163"/>
      <c r="AI206" s="163"/>
      <c r="AJ206" s="868"/>
      <c r="AL206" s="163"/>
      <c r="AM206" s="163"/>
      <c r="AN206" s="163"/>
      <c r="AO206" s="163"/>
      <c r="AP206" s="163"/>
      <c r="AQ206" s="163"/>
      <c r="AR206" s="163"/>
      <c r="AT206" s="163"/>
      <c r="AU206" s="163"/>
      <c r="AV206" s="163"/>
      <c r="AW206" s="163"/>
      <c r="AX206" s="163"/>
      <c r="AY206" s="163"/>
      <c r="AZ206" s="163"/>
      <c r="BB206" s="163"/>
      <c r="BC206" s="163"/>
      <c r="BD206" s="163"/>
      <c r="BE206" s="163"/>
      <c r="BF206" s="163"/>
      <c r="BG206" s="163"/>
      <c r="BH206" s="163"/>
    </row>
    <row r="207" spans="1:60" ht="14.5">
      <c r="A207" s="990">
        <f t="shared" si="325"/>
        <v>180</v>
      </c>
      <c r="B207" s="990">
        <v>1</v>
      </c>
      <c r="C207" s="990">
        <f t="shared" si="430"/>
        <v>204</v>
      </c>
      <c r="D207" s="1121" t="s">
        <v>887</v>
      </c>
      <c r="E207" s="1243">
        <v>1</v>
      </c>
      <c r="F207" s="5"/>
      <c r="G207" s="5"/>
      <c r="H207" s="5" t="s">
        <v>482</v>
      </c>
      <c r="I207" s="5"/>
      <c r="J207" s="4"/>
      <c r="K207" s="5"/>
      <c r="L207" s="5"/>
      <c r="M207" s="4"/>
      <c r="N207" s="4"/>
      <c r="O207" s="4"/>
      <c r="P207" s="4"/>
      <c r="Q207" s="1839" t="str">
        <f>CHOOSE(2, "6722000003126", "PL (3) IP")</f>
        <v>PL (3) IP</v>
      </c>
      <c r="R207" s="2225"/>
      <c r="S207" s="2225"/>
      <c r="T207" s="2225"/>
      <c r="U207" s="2225"/>
      <c r="V207" s="2225"/>
      <c r="W207" s="2225"/>
      <c r="AB207" s="1"/>
      <c r="AC207" s="1"/>
      <c r="AD207" s="1"/>
      <c r="AE207" s="1"/>
      <c r="AF207" s="1"/>
      <c r="AG207" s="1"/>
      <c r="AH207" s="1"/>
      <c r="AI207" s="1"/>
      <c r="AJ207" s="1"/>
      <c r="AL207" s="1"/>
      <c r="AM207" s="1"/>
      <c r="AN207" s="1"/>
      <c r="AO207" s="1"/>
      <c r="AP207" s="1"/>
      <c r="AQ207" s="1"/>
      <c r="AR207" s="1"/>
      <c r="AT207" s="1"/>
      <c r="AU207" s="1"/>
      <c r="AV207" s="1"/>
      <c r="AW207" s="1"/>
      <c r="AX207" s="1"/>
      <c r="AY207" s="1"/>
      <c r="AZ207" s="1"/>
      <c r="BB207" s="1"/>
      <c r="BC207" s="1"/>
      <c r="BD207" s="1"/>
      <c r="BE207" s="1"/>
      <c r="BF207" s="1"/>
      <c r="BG207" s="1"/>
      <c r="BH207" s="1"/>
    </row>
    <row r="208" spans="1:60" ht="14.5">
      <c r="A208" s="990">
        <f t="shared" si="325"/>
        <v>181</v>
      </c>
      <c r="B208" s="990">
        <v>1</v>
      </c>
      <c r="C208" s="990">
        <f t="shared" si="430"/>
        <v>205</v>
      </c>
      <c r="D208" s="1121" t="s">
        <v>887</v>
      </c>
      <c r="E208" s="1243">
        <v>1</v>
      </c>
      <c r="F208" s="5"/>
      <c r="G208" s="5"/>
      <c r="H208" s="5"/>
      <c r="I208" s="458" t="s">
        <v>9</v>
      </c>
      <c r="J208" s="450"/>
      <c r="K208" s="449"/>
      <c r="L208" s="449"/>
      <c r="M208" s="450"/>
      <c r="N208" s="450"/>
      <c r="O208" s="607" t="s">
        <v>530</v>
      </c>
      <c r="P208" s="604"/>
      <c r="Q208" s="1860" t="str">
        <f>CHOOSE(2, "6722000003127", "PL (3) Net Sales")</f>
        <v>PL (3) Net Sales</v>
      </c>
      <c r="R208" s="2123">
        <f t="shared" ref="R208:AC208" si="431">R209+R216</f>
        <v>15308</v>
      </c>
      <c r="S208" s="2014">
        <f t="shared" si="431"/>
        <v>5995</v>
      </c>
      <c r="T208" s="2014">
        <f t="shared" si="431"/>
        <v>25668</v>
      </c>
      <c r="U208" s="2014">
        <f t="shared" si="431"/>
        <v>7458</v>
      </c>
      <c r="V208" s="2014">
        <f t="shared" si="431"/>
        <v>17448.148999999998</v>
      </c>
      <c r="W208" s="2014">
        <f t="shared" si="431"/>
        <v>19062</v>
      </c>
      <c r="X208" s="2014">
        <f t="shared" si="431"/>
        <v>7362</v>
      </c>
      <c r="Y208" s="2014">
        <f t="shared" si="431"/>
        <v>17023</v>
      </c>
      <c r="Z208" s="2014">
        <f t="shared" si="431"/>
        <v>7585</v>
      </c>
      <c r="AA208" s="2014">
        <f t="shared" si="431"/>
        <v>26150</v>
      </c>
      <c r="AB208" s="2014">
        <f t="shared" si="431"/>
        <v>8583.2560000000012</v>
      </c>
      <c r="AC208" s="2014">
        <f t="shared" si="431"/>
        <v>25747</v>
      </c>
      <c r="AD208" s="1527">
        <f t="shared" ref="AD208:AJ208" si="432">AD209+AD216</f>
        <v>46971</v>
      </c>
      <c r="AE208" s="455">
        <f t="shared" si="432"/>
        <v>43968.148999999998</v>
      </c>
      <c r="AF208" s="455">
        <f t="shared" si="432"/>
        <v>31970</v>
      </c>
      <c r="AG208" s="455">
        <f t="shared" si="432"/>
        <v>60480.256000000001</v>
      </c>
      <c r="AH208" s="455">
        <f t="shared" si="432"/>
        <v>90939.149000000005</v>
      </c>
      <c r="AI208" s="455">
        <f t="shared" si="432"/>
        <v>92450.255999999994</v>
      </c>
      <c r="AJ208" s="455">
        <f t="shared" si="432"/>
        <v>183389.405</v>
      </c>
      <c r="AL208" s="2123">
        <f ca="1">SUM((INDIRECT(AL$2&amp;(ROW())):INDIRECT(AL$3&amp;(ROW()))))</f>
        <v>25747</v>
      </c>
      <c r="AM208" s="455">
        <f ca="1">SUM(INDIRECT(AM$1&amp;AM$2&amp;$C208):INDIRECT(AM$1&amp;AM$3&amp;$C208))</f>
        <v>0</v>
      </c>
      <c r="AN208" s="2520">
        <f t="shared" ref="AN208:AN239" ca="1" si="433">AL208-AM208</f>
        <v>25747</v>
      </c>
      <c r="AO208" s="1715">
        <f t="shared" ref="AO208:AO238" ca="1" si="434">IFERROR(AL208/AM208,0)</f>
        <v>0</v>
      </c>
      <c r="AP208" s="455">
        <f ca="1">SUM(INDIRECT(AP$1&amp;AP$2&amp;$A208):INDIRECT(AP$1&amp;AP$3&amp;$A208))+SUM(INDIRECT(AP$1&amp;AP$2&amp;$B208):INDIRECT(AP$1&amp;AP$3&amp;$B208))</f>
        <v>17459</v>
      </c>
      <c r="AQ208" s="2520">
        <f t="shared" ref="AQ208:AQ239" ca="1" si="435">AL208-AP208</f>
        <v>8288</v>
      </c>
      <c r="AR208" s="1715">
        <f t="shared" ref="AR208:AR238" ca="1" si="436">IFERROR(AL208/AP208,0)</f>
        <v>1.4747121828283407</v>
      </c>
      <c r="AT208" s="2123">
        <f ca="1">SUM((INDIRECT(AT$2&amp;(ROW())):INDIRECT(AT$3&amp;(ROW()))))</f>
        <v>60480.256000000001</v>
      </c>
      <c r="AU208" s="455">
        <f ca="1">SUM(INDIRECT(AU$1&amp;AU$2&amp;$C208):INDIRECT(AU$1&amp;AU$3&amp;$C208))</f>
        <v>0</v>
      </c>
      <c r="AV208" s="2520">
        <f t="shared" ref="AV208:AV239" ca="1" si="437">AT208-AU208</f>
        <v>60480.256000000001</v>
      </c>
      <c r="AW208" s="1715">
        <f t="shared" ref="AW208:AW238" ca="1" si="438">IFERROR(AT208/AU208,0)</f>
        <v>0</v>
      </c>
      <c r="AX208" s="455">
        <f ca="1">SUM(INDIRECT(AX$1&amp;AX$2&amp;$A208):INDIRECT(AX$1&amp;AX$3&amp;$A208))+SUM(INDIRECT(AX$1&amp;AX$2&amp;$B208):INDIRECT(AX$1&amp;AX$3&amp;$B208))</f>
        <v>91622</v>
      </c>
      <c r="AY208" s="2520">
        <f t="shared" ref="AY208:AY239" ca="1" si="439">AT208-AX208</f>
        <v>-31141.743999999999</v>
      </c>
      <c r="AZ208" s="1715">
        <f t="shared" ref="AZ208:AZ238" ca="1" si="440">IFERROR(AT208/AX208,0)</f>
        <v>0.66010626268800077</v>
      </c>
      <c r="BB208" s="2123">
        <f ca="1">SUM((INDIRECT(BB$2&amp;(ROW())):INDIRECT(BB$3&amp;(ROW()))))</f>
        <v>183389.405</v>
      </c>
      <c r="BC208" s="455">
        <f ca="1">SUM(INDIRECT(BC$1&amp;BC$2&amp;$C208):INDIRECT(BC$1&amp;BC$3&amp;$C208))</f>
        <v>0</v>
      </c>
      <c r="BD208" s="2520">
        <f t="shared" ref="BD208:BD239" ca="1" si="441">BB208-BC208</f>
        <v>183389.405</v>
      </c>
      <c r="BE208" s="1715">
        <f t="shared" ref="BE208:BE238" ca="1" si="442">IFERROR(BB208/BC208,0)</f>
        <v>0</v>
      </c>
      <c r="BF208" s="455">
        <f ca="1">SUM(INDIRECT(BF$1&amp;BF$2&amp;$A208):INDIRECT(BF$1&amp;BF$3&amp;$A208))+SUM(INDIRECT(BF$1&amp;BF$2&amp;$B208):INDIRECT(BF$1&amp;BF$3&amp;$B208))</f>
        <v>240053</v>
      </c>
      <c r="BG208" s="2520">
        <f t="shared" ref="BG208:BG239" ca="1" si="443">BB208-BF208</f>
        <v>-56663.595000000001</v>
      </c>
      <c r="BH208" s="1715">
        <f t="shared" ref="BH208:BH238" ca="1" si="444">IFERROR(BB208/BF208,0)</f>
        <v>0.76395381436599419</v>
      </c>
    </row>
    <row r="209" spans="1:60" s="75" customFormat="1" ht="14.5">
      <c r="A209" s="990">
        <f t="shared" si="325"/>
        <v>182</v>
      </c>
      <c r="B209" s="990">
        <v>1</v>
      </c>
      <c r="C209" s="990">
        <f t="shared" si="430"/>
        <v>206</v>
      </c>
      <c r="D209" s="1121" t="s">
        <v>887</v>
      </c>
      <c r="E209" s="1243">
        <v>1</v>
      </c>
      <c r="F209" s="5"/>
      <c r="G209" s="5"/>
      <c r="H209" s="5"/>
      <c r="I209" s="30"/>
      <c r="J209" s="4"/>
      <c r="K209" s="5"/>
      <c r="L209" s="5"/>
      <c r="M209" s="389" t="s">
        <v>305</v>
      </c>
      <c r="N209" s="389"/>
      <c r="O209" s="389"/>
      <c r="P209" s="389"/>
      <c r="Q209" s="1861" t="str">
        <f>CHOOSE(2, "6722000003128", "PL (3) Net Sales HW &amp; Solution")</f>
        <v>PL (3) Net Sales HW &amp; Solution</v>
      </c>
      <c r="R209" s="2124">
        <f>SUM(R210:R215)</f>
        <v>9502</v>
      </c>
      <c r="S209" s="390">
        <f t="shared" ref="S209:AC209" si="445">SUM(S210:S215)</f>
        <v>252</v>
      </c>
      <c r="T209" s="390">
        <f t="shared" si="445"/>
        <v>19252</v>
      </c>
      <c r="U209" s="390">
        <f t="shared" si="445"/>
        <v>252</v>
      </c>
      <c r="V209" s="390">
        <f t="shared" si="445"/>
        <v>9600</v>
      </c>
      <c r="W209" s="390">
        <f t="shared" si="445"/>
        <v>10756</v>
      </c>
      <c r="X209" s="390">
        <f t="shared" si="445"/>
        <v>378</v>
      </c>
      <c r="Y209" s="390">
        <f t="shared" si="445"/>
        <v>9900</v>
      </c>
      <c r="Z209" s="390">
        <f t="shared" si="445"/>
        <v>0</v>
      </c>
      <c r="AA209" s="390">
        <f t="shared" si="445"/>
        <v>18852</v>
      </c>
      <c r="AB209" s="390">
        <f t="shared" si="445"/>
        <v>0</v>
      </c>
      <c r="AC209" s="390">
        <f t="shared" si="445"/>
        <v>17085</v>
      </c>
      <c r="AD209" s="390">
        <f t="shared" ref="AD209:AD222" si="446">SUM(R209,S209,T209)</f>
        <v>29006</v>
      </c>
      <c r="AE209" s="390">
        <f t="shared" ref="AE209:AE222" si="447">SUM(U209,V209,W209)</f>
        <v>20608</v>
      </c>
      <c r="AF209" s="390">
        <f t="shared" ref="AF209:AF222" si="448">SUM(X209,Y209,Z209)</f>
        <v>10278</v>
      </c>
      <c r="AG209" s="390">
        <f t="shared" ref="AG209:AG222" si="449">SUM(AA209,AB209,AC209)</f>
        <v>35937</v>
      </c>
      <c r="AH209" s="390">
        <f>AD209+AE209</f>
        <v>49614</v>
      </c>
      <c r="AI209" s="390">
        <f>AG209+AF209</f>
        <v>46215</v>
      </c>
      <c r="AJ209" s="390">
        <f>AH209+AI209</f>
        <v>95829</v>
      </c>
      <c r="AL209" s="2124">
        <f ca="1">SUM((INDIRECT(AL$2&amp;(ROW())):INDIRECT(AL$3&amp;(ROW()))))</f>
        <v>17085</v>
      </c>
      <c r="AM209" s="390">
        <f ca="1">SUM(INDIRECT(AM$1&amp;AM$2&amp;$C209):INDIRECT(AM$1&amp;AM$3&amp;$C209))</f>
        <v>0</v>
      </c>
      <c r="AN209" s="885">
        <f t="shared" ca="1" si="433"/>
        <v>17085</v>
      </c>
      <c r="AO209" s="940">
        <f t="shared" ca="1" si="434"/>
        <v>0</v>
      </c>
      <c r="AP209" s="390">
        <f ca="1">SUM(INDIRECT(AP$1&amp;AP$2&amp;$A209):INDIRECT(AP$1&amp;AP$3&amp;$A209))+SUM(INDIRECT(AP$1&amp;AP$2&amp;$B209):INDIRECT(AP$1&amp;AP$3&amp;$B209))</f>
        <v>12311</v>
      </c>
      <c r="AQ209" s="885">
        <f t="shared" ca="1" si="435"/>
        <v>4774</v>
      </c>
      <c r="AR209" s="940">
        <f t="shared" ca="1" si="436"/>
        <v>1.3877832832426285</v>
      </c>
      <c r="AT209" s="2124">
        <f ca="1">SUM((INDIRECT(AT$2&amp;(ROW())):INDIRECT(AT$3&amp;(ROW()))))</f>
        <v>35937</v>
      </c>
      <c r="AU209" s="390">
        <f ca="1">SUM(INDIRECT(AU$1&amp;AU$2&amp;$C209):INDIRECT(AU$1&amp;AU$3&amp;$C209))</f>
        <v>0</v>
      </c>
      <c r="AV209" s="885">
        <f t="shared" ca="1" si="437"/>
        <v>35937</v>
      </c>
      <c r="AW209" s="940">
        <f t="shared" ca="1" si="438"/>
        <v>0</v>
      </c>
      <c r="AX209" s="390">
        <f ca="1">SUM(INDIRECT(AX$1&amp;AX$2&amp;$A209):INDIRECT(AX$1&amp;AX$3&amp;$A209))+SUM(INDIRECT(AX$1&amp;AX$2&amp;$B209):INDIRECT(AX$1&amp;AX$3&amp;$B209))</f>
        <v>73698</v>
      </c>
      <c r="AY209" s="885">
        <f t="shared" ca="1" si="439"/>
        <v>-37761</v>
      </c>
      <c r="AZ209" s="940">
        <f t="shared" ca="1" si="440"/>
        <v>0.48762517300333796</v>
      </c>
      <c r="BB209" s="2124">
        <f ca="1">SUM((INDIRECT(BB$2&amp;(ROW())):INDIRECT(BB$3&amp;(ROW()))))</f>
        <v>95829</v>
      </c>
      <c r="BC209" s="390">
        <f ca="1">SUM(INDIRECT(BC$1&amp;BC$2&amp;$C209):INDIRECT(BC$1&amp;BC$3&amp;$C209))</f>
        <v>0</v>
      </c>
      <c r="BD209" s="885">
        <f t="shared" ca="1" si="441"/>
        <v>95829</v>
      </c>
      <c r="BE209" s="940">
        <f t="shared" ca="1" si="442"/>
        <v>0</v>
      </c>
      <c r="BF209" s="390">
        <f ca="1">SUM(INDIRECT(BF$1&amp;BF$2&amp;$A209):INDIRECT(BF$1&amp;BF$3&amp;$A209))+SUM(INDIRECT(BF$1&amp;BF$2&amp;$B209):INDIRECT(BF$1&amp;BF$3&amp;$B209))</f>
        <v>186541</v>
      </c>
      <c r="BG209" s="885">
        <f t="shared" ca="1" si="443"/>
        <v>-90712</v>
      </c>
      <c r="BH209" s="940">
        <f t="shared" ca="1" si="444"/>
        <v>0.51371548345940032</v>
      </c>
    </row>
    <row r="210" spans="1:60" s="75" customFormat="1" ht="14.5">
      <c r="A210" s="990">
        <f t="shared" si="325"/>
        <v>183</v>
      </c>
      <c r="B210" s="990">
        <v>1</v>
      </c>
      <c r="C210" s="990">
        <f t="shared" si="430"/>
        <v>207</v>
      </c>
      <c r="D210" s="1121" t="s">
        <v>887</v>
      </c>
      <c r="E210" s="1243">
        <v>1</v>
      </c>
      <c r="F210" s="5"/>
      <c r="G210" s="5"/>
      <c r="H210" s="5"/>
      <c r="I210" s="30"/>
      <c r="J210" s="4"/>
      <c r="K210" s="5"/>
      <c r="L210" s="5"/>
      <c r="M210" s="5"/>
      <c r="N210" s="4" t="s">
        <v>989</v>
      </c>
      <c r="O210" s="4"/>
      <c r="P210" s="4"/>
      <c r="Q210" s="1880" t="str">
        <f>CHOOSE(2, "6722000003129", "PL (3) Net Sales HW &amp; Solution KM-1/KM-1e")</f>
        <v>PL (3) Net Sales HW &amp; Solution KM-1/KM-1e</v>
      </c>
      <c r="R210" s="2097">
        <f t="shared" ref="R210:AC215" si="450">R635+R650</f>
        <v>0</v>
      </c>
      <c r="S210" s="135">
        <f t="shared" si="450"/>
        <v>0</v>
      </c>
      <c r="T210" s="135">
        <f t="shared" si="450"/>
        <v>0</v>
      </c>
      <c r="U210" s="135">
        <f t="shared" si="450"/>
        <v>0</v>
      </c>
      <c r="V210" s="135">
        <f t="shared" si="450"/>
        <v>0</v>
      </c>
      <c r="W210" s="135">
        <f t="shared" si="450"/>
        <v>0</v>
      </c>
      <c r="X210" s="135">
        <f t="shared" si="450"/>
        <v>0</v>
      </c>
      <c r="Y210" s="135">
        <f t="shared" si="450"/>
        <v>0</v>
      </c>
      <c r="Z210" s="135">
        <f t="shared" si="450"/>
        <v>0</v>
      </c>
      <c r="AA210" s="135">
        <f t="shared" si="450"/>
        <v>0</v>
      </c>
      <c r="AB210" s="135">
        <f t="shared" si="450"/>
        <v>0</v>
      </c>
      <c r="AC210" s="135">
        <f t="shared" si="450"/>
        <v>-1515</v>
      </c>
      <c r="AD210" s="135">
        <f t="shared" si="446"/>
        <v>0</v>
      </c>
      <c r="AE210" s="135">
        <f t="shared" si="447"/>
        <v>0</v>
      </c>
      <c r="AF210" s="135">
        <f t="shared" si="448"/>
        <v>0</v>
      </c>
      <c r="AG210" s="135">
        <f t="shared" si="449"/>
        <v>-1515</v>
      </c>
      <c r="AH210" s="135">
        <f t="shared" ref="AH210:AH216" si="451">AD210+AE210</f>
        <v>0</v>
      </c>
      <c r="AI210" s="135">
        <f t="shared" ref="AI210:AI216" si="452">AG210+AF210</f>
        <v>-1515</v>
      </c>
      <c r="AJ210" s="135">
        <f t="shared" ref="AJ210:AJ216" si="453">AH210+AI210</f>
        <v>-1515</v>
      </c>
      <c r="AL210" s="2097">
        <f ca="1">SUM((INDIRECT(AL$2&amp;(ROW())):INDIRECT(AL$3&amp;(ROW()))))</f>
        <v>-1515</v>
      </c>
      <c r="AM210" s="135">
        <f ca="1">SUM(INDIRECT(AM$1&amp;AM$2&amp;$C210):INDIRECT(AM$1&amp;AM$3&amp;$C210))</f>
        <v>0</v>
      </c>
      <c r="AN210" s="886">
        <f t="shared" ca="1" si="433"/>
        <v>-1515</v>
      </c>
      <c r="AO210" s="941">
        <f t="shared" ca="1" si="434"/>
        <v>0</v>
      </c>
      <c r="AP210" s="135">
        <f ca="1">SUM(INDIRECT(AP$1&amp;AP$2&amp;$A210):INDIRECT(AP$1&amp;AP$3&amp;$A210))+SUM(INDIRECT(AP$1&amp;AP$2&amp;$B210):INDIRECT(AP$1&amp;AP$3&amp;$B210))</f>
        <v>0</v>
      </c>
      <c r="AQ210" s="886">
        <f t="shared" ca="1" si="435"/>
        <v>-1515</v>
      </c>
      <c r="AR210" s="941">
        <f t="shared" ca="1" si="436"/>
        <v>0</v>
      </c>
      <c r="AT210" s="2097">
        <f ca="1">SUM((INDIRECT(AT$2&amp;(ROW())):INDIRECT(AT$3&amp;(ROW()))))</f>
        <v>-1515</v>
      </c>
      <c r="AU210" s="135">
        <f ca="1">SUM(INDIRECT(AU$1&amp;AU$2&amp;$C210):INDIRECT(AU$1&amp;AU$3&amp;$C210))</f>
        <v>0</v>
      </c>
      <c r="AV210" s="886">
        <f t="shared" ca="1" si="437"/>
        <v>-1515</v>
      </c>
      <c r="AW210" s="941">
        <f t="shared" ca="1" si="438"/>
        <v>0</v>
      </c>
      <c r="AX210" s="135">
        <f ca="1">SUM(INDIRECT(AX$1&amp;AX$2&amp;$A210):INDIRECT(AX$1&amp;AX$3&amp;$A210))+SUM(INDIRECT(AX$1&amp;AX$2&amp;$B210):INDIRECT(AX$1&amp;AX$3&amp;$B210))</f>
        <v>-1647</v>
      </c>
      <c r="AY210" s="886">
        <f t="shared" ca="1" si="439"/>
        <v>132</v>
      </c>
      <c r="AZ210" s="941">
        <f t="shared" ca="1" si="440"/>
        <v>0.91985428051001816</v>
      </c>
      <c r="BB210" s="2097">
        <f ca="1">SUM((INDIRECT(BB$2&amp;(ROW())):INDIRECT(BB$3&amp;(ROW()))))</f>
        <v>-1515</v>
      </c>
      <c r="BC210" s="135">
        <f ca="1">SUM(INDIRECT(BC$1&amp;BC$2&amp;$C210):INDIRECT(BC$1&amp;BC$3&amp;$C210))</f>
        <v>0</v>
      </c>
      <c r="BD210" s="886">
        <f t="shared" ca="1" si="441"/>
        <v>-1515</v>
      </c>
      <c r="BE210" s="941">
        <f t="shared" ca="1" si="442"/>
        <v>0</v>
      </c>
      <c r="BF210" s="135">
        <f ca="1">SUM(INDIRECT(BF$1&amp;BF$2&amp;$A210):INDIRECT(BF$1&amp;BF$3&amp;$A210))+SUM(INDIRECT(BF$1&amp;BF$2&amp;$B210):INDIRECT(BF$1&amp;BF$3&amp;$B210))</f>
        <v>-1647</v>
      </c>
      <c r="BG210" s="886">
        <f t="shared" ca="1" si="443"/>
        <v>132</v>
      </c>
      <c r="BH210" s="941">
        <f t="shared" ca="1" si="444"/>
        <v>0.91985428051001816</v>
      </c>
    </row>
    <row r="211" spans="1:60" s="75" customFormat="1" ht="14.5">
      <c r="A211" s="990">
        <f t="shared" si="325"/>
        <v>184</v>
      </c>
      <c r="B211" s="990">
        <v>1</v>
      </c>
      <c r="C211" s="990">
        <f t="shared" si="430"/>
        <v>208</v>
      </c>
      <c r="D211" s="1121" t="s">
        <v>887</v>
      </c>
      <c r="E211" s="1243">
        <v>1</v>
      </c>
      <c r="F211" s="5"/>
      <c r="G211" s="5"/>
      <c r="H211" s="5"/>
      <c r="I211" s="30"/>
      <c r="J211" s="4"/>
      <c r="K211" s="5"/>
      <c r="L211" s="5"/>
      <c r="M211" s="5"/>
      <c r="N211" s="4" t="s">
        <v>209</v>
      </c>
      <c r="O211" s="4"/>
      <c r="P211" s="4"/>
      <c r="Q211" s="1880" t="str">
        <f>CHOOSE(2, "6722000003130", "PL (3) Net Sales HW &amp; Solution Label Printer")</f>
        <v>PL (3) Net Sales HW &amp; Solution Label Printer</v>
      </c>
      <c r="R211" s="2097">
        <f t="shared" si="450"/>
        <v>0</v>
      </c>
      <c r="S211" s="135">
        <f t="shared" si="450"/>
        <v>0</v>
      </c>
      <c r="T211" s="135">
        <f t="shared" si="450"/>
        <v>9500</v>
      </c>
      <c r="U211" s="135">
        <f t="shared" si="450"/>
        <v>0</v>
      </c>
      <c r="V211" s="135">
        <f t="shared" si="450"/>
        <v>0</v>
      </c>
      <c r="W211" s="135">
        <f t="shared" si="450"/>
        <v>0</v>
      </c>
      <c r="X211" s="135">
        <f t="shared" si="450"/>
        <v>0</v>
      </c>
      <c r="Y211" s="135">
        <f t="shared" si="450"/>
        <v>0</v>
      </c>
      <c r="Z211" s="135">
        <f t="shared" si="450"/>
        <v>0</v>
      </c>
      <c r="AA211" s="135">
        <f t="shared" si="450"/>
        <v>9100</v>
      </c>
      <c r="AB211" s="135">
        <f t="shared" si="450"/>
        <v>0</v>
      </c>
      <c r="AC211" s="135">
        <f t="shared" si="450"/>
        <v>9000</v>
      </c>
      <c r="AD211" s="135">
        <f t="shared" si="446"/>
        <v>9500</v>
      </c>
      <c r="AE211" s="135">
        <f t="shared" si="447"/>
        <v>0</v>
      </c>
      <c r="AF211" s="135">
        <f t="shared" si="448"/>
        <v>0</v>
      </c>
      <c r="AG211" s="135">
        <f t="shared" si="449"/>
        <v>18100</v>
      </c>
      <c r="AH211" s="135">
        <f t="shared" si="451"/>
        <v>9500</v>
      </c>
      <c r="AI211" s="135">
        <f t="shared" si="452"/>
        <v>18100</v>
      </c>
      <c r="AJ211" s="135">
        <f t="shared" si="453"/>
        <v>27600</v>
      </c>
      <c r="AL211" s="2097">
        <f ca="1">SUM((INDIRECT(AL$2&amp;(ROW())):INDIRECT(AL$3&amp;(ROW()))))</f>
        <v>9000</v>
      </c>
      <c r="AM211" s="135">
        <f ca="1">SUM(INDIRECT(AM$1&amp;AM$2&amp;$C211):INDIRECT(AM$1&amp;AM$3&amp;$C211))</f>
        <v>0</v>
      </c>
      <c r="AN211" s="886">
        <f t="shared" ca="1" si="433"/>
        <v>9000</v>
      </c>
      <c r="AO211" s="941">
        <f t="shared" ca="1" si="434"/>
        <v>0</v>
      </c>
      <c r="AP211" s="135">
        <f ca="1">SUM(INDIRECT(AP$1&amp;AP$2&amp;$A211):INDIRECT(AP$1&amp;AP$3&amp;$A211))+SUM(INDIRECT(AP$1&amp;AP$2&amp;$B211):INDIRECT(AP$1&amp;AP$3&amp;$B211))</f>
        <v>2709</v>
      </c>
      <c r="AQ211" s="886">
        <f t="shared" ca="1" si="435"/>
        <v>6291</v>
      </c>
      <c r="AR211" s="941">
        <f t="shared" ca="1" si="436"/>
        <v>3.3222591362126246</v>
      </c>
      <c r="AT211" s="2097">
        <f ca="1">SUM((INDIRECT(AT$2&amp;(ROW())):INDIRECT(AT$3&amp;(ROW()))))</f>
        <v>18100</v>
      </c>
      <c r="AU211" s="135">
        <f ca="1">SUM(INDIRECT(AU$1&amp;AU$2&amp;$C211):INDIRECT(AU$1&amp;AU$3&amp;$C211))</f>
        <v>0</v>
      </c>
      <c r="AV211" s="886">
        <f t="shared" ca="1" si="437"/>
        <v>18100</v>
      </c>
      <c r="AW211" s="941">
        <f t="shared" ca="1" si="438"/>
        <v>0</v>
      </c>
      <c r="AX211" s="135">
        <f ca="1">SUM(INDIRECT(AX$1&amp;AX$2&amp;$A211):INDIRECT(AX$1&amp;AX$3&amp;$A211))+SUM(INDIRECT(AX$1&amp;AX$2&amp;$B211):INDIRECT(AX$1&amp;AX$3&amp;$B211))</f>
        <v>14521</v>
      </c>
      <c r="AY211" s="886">
        <f t="shared" ca="1" si="439"/>
        <v>3579</v>
      </c>
      <c r="AZ211" s="941">
        <f t="shared" ca="1" si="440"/>
        <v>1.2464706287445768</v>
      </c>
      <c r="BB211" s="2097">
        <f ca="1">SUM((INDIRECT(BB$2&amp;(ROW())):INDIRECT(BB$3&amp;(ROW()))))</f>
        <v>27600</v>
      </c>
      <c r="BC211" s="135">
        <f ca="1">SUM(INDIRECT(BC$1&amp;BC$2&amp;$C211):INDIRECT(BC$1&amp;BC$3&amp;$C211))</f>
        <v>0</v>
      </c>
      <c r="BD211" s="886">
        <f t="shared" ca="1" si="441"/>
        <v>27600</v>
      </c>
      <c r="BE211" s="941">
        <f t="shared" ca="1" si="442"/>
        <v>0</v>
      </c>
      <c r="BF211" s="135">
        <f ca="1">SUM(INDIRECT(BF$1&amp;BF$2&amp;$A211):INDIRECT(BF$1&amp;BF$3&amp;$A211))+SUM(INDIRECT(BF$1&amp;BF$2&amp;$B211):INDIRECT(BF$1&amp;BF$3&amp;$B211))</f>
        <v>33182</v>
      </c>
      <c r="BG211" s="886">
        <f t="shared" ca="1" si="443"/>
        <v>-5582</v>
      </c>
      <c r="BH211" s="941">
        <f t="shared" ca="1" si="444"/>
        <v>0.83177626423964801</v>
      </c>
    </row>
    <row r="212" spans="1:60" s="75" customFormat="1" ht="14.5">
      <c r="A212" s="990">
        <f t="shared" si="325"/>
        <v>185</v>
      </c>
      <c r="B212" s="990">
        <v>1</v>
      </c>
      <c r="C212" s="990">
        <f t="shared" si="430"/>
        <v>209</v>
      </c>
      <c r="D212" s="1121" t="s">
        <v>887</v>
      </c>
      <c r="E212" s="1243">
        <v>1</v>
      </c>
      <c r="F212" s="5"/>
      <c r="G212" s="5"/>
      <c r="H212" s="5"/>
      <c r="I212" s="30"/>
      <c r="J212" s="4"/>
      <c r="K212" s="5"/>
      <c r="L212" s="5"/>
      <c r="M212" s="5"/>
      <c r="N212" s="4" t="s">
        <v>132</v>
      </c>
      <c r="O212" s="4"/>
      <c r="P212" s="4"/>
      <c r="Q212" s="1880" t="str">
        <f>CHOOSE(2, "6722000003131", "PL (3) Net Sales HW &amp; Solution MGI")</f>
        <v>PL (3) Net Sales HW &amp; Solution MGI</v>
      </c>
      <c r="R212" s="2097">
        <f t="shared" si="450"/>
        <v>9502</v>
      </c>
      <c r="S212" s="135">
        <f t="shared" si="450"/>
        <v>252</v>
      </c>
      <c r="T212" s="135">
        <f t="shared" si="450"/>
        <v>9752</v>
      </c>
      <c r="U212" s="135">
        <f t="shared" si="450"/>
        <v>252</v>
      </c>
      <c r="V212" s="135">
        <f t="shared" si="450"/>
        <v>9600</v>
      </c>
      <c r="W212" s="135">
        <f t="shared" si="450"/>
        <v>10756</v>
      </c>
      <c r="X212" s="135">
        <f t="shared" si="450"/>
        <v>378</v>
      </c>
      <c r="Y212" s="135">
        <f t="shared" si="450"/>
        <v>9900</v>
      </c>
      <c r="Z212" s="135">
        <f t="shared" si="450"/>
        <v>0</v>
      </c>
      <c r="AA212" s="135">
        <f t="shared" si="450"/>
        <v>9752</v>
      </c>
      <c r="AB212" s="135">
        <f t="shared" si="450"/>
        <v>0</v>
      </c>
      <c r="AC212" s="135">
        <f t="shared" si="450"/>
        <v>9600</v>
      </c>
      <c r="AD212" s="135">
        <f t="shared" si="446"/>
        <v>19506</v>
      </c>
      <c r="AE212" s="135">
        <f t="shared" si="447"/>
        <v>20608</v>
      </c>
      <c r="AF212" s="135">
        <f t="shared" si="448"/>
        <v>10278</v>
      </c>
      <c r="AG212" s="135">
        <f t="shared" si="449"/>
        <v>19352</v>
      </c>
      <c r="AH212" s="135">
        <f t="shared" si="451"/>
        <v>40114</v>
      </c>
      <c r="AI212" s="135">
        <f t="shared" si="452"/>
        <v>29630</v>
      </c>
      <c r="AJ212" s="135">
        <f t="shared" si="453"/>
        <v>69744</v>
      </c>
      <c r="AL212" s="2097">
        <f ca="1">SUM((INDIRECT(AL$2&amp;(ROW())):INDIRECT(AL$3&amp;(ROW()))))</f>
        <v>9600</v>
      </c>
      <c r="AM212" s="135">
        <f ca="1">SUM(INDIRECT(AM$1&amp;AM$2&amp;$C212):INDIRECT(AM$1&amp;AM$3&amp;$C212))</f>
        <v>0</v>
      </c>
      <c r="AN212" s="886">
        <f t="shared" ca="1" si="433"/>
        <v>9600</v>
      </c>
      <c r="AO212" s="941">
        <f t="shared" ca="1" si="434"/>
        <v>0</v>
      </c>
      <c r="AP212" s="135">
        <f ca="1">SUM(INDIRECT(AP$1&amp;AP$2&amp;$A212):INDIRECT(AP$1&amp;AP$3&amp;$A212))+SUM(INDIRECT(AP$1&amp;AP$2&amp;$B212):INDIRECT(AP$1&amp;AP$3&amp;$B212))</f>
        <v>9602</v>
      </c>
      <c r="AQ212" s="886">
        <f t="shared" ca="1" si="435"/>
        <v>-2</v>
      </c>
      <c r="AR212" s="941">
        <f t="shared" ca="1" si="436"/>
        <v>0.99979171006040413</v>
      </c>
      <c r="AT212" s="2097">
        <f ca="1">SUM((INDIRECT(AT$2&amp;(ROW())):INDIRECT(AT$3&amp;(ROW()))))</f>
        <v>19352</v>
      </c>
      <c r="AU212" s="135">
        <f ca="1">SUM(INDIRECT(AU$1&amp;AU$2&amp;$C212):INDIRECT(AU$1&amp;AU$3&amp;$C212))</f>
        <v>0</v>
      </c>
      <c r="AV212" s="886">
        <f t="shared" ca="1" si="437"/>
        <v>19352</v>
      </c>
      <c r="AW212" s="941">
        <f t="shared" ca="1" si="438"/>
        <v>0</v>
      </c>
      <c r="AX212" s="135">
        <f ca="1">SUM(INDIRECT(AX$1&amp;AX$2&amp;$A212):INDIRECT(AX$1&amp;AX$3&amp;$A212))+SUM(INDIRECT(AX$1&amp;AX$2&amp;$B212):INDIRECT(AX$1&amp;AX$3&amp;$B212))</f>
        <v>60824</v>
      </c>
      <c r="AY212" s="886">
        <f t="shared" ca="1" si="439"/>
        <v>-41472</v>
      </c>
      <c r="AZ212" s="941">
        <f t="shared" ca="1" si="440"/>
        <v>0.31816388267789031</v>
      </c>
      <c r="BB212" s="2097">
        <f ca="1">SUM((INDIRECT(BB$2&amp;(ROW())):INDIRECT(BB$3&amp;(ROW()))))</f>
        <v>69744</v>
      </c>
      <c r="BC212" s="135">
        <f ca="1">SUM(INDIRECT(BC$1&amp;BC$2&amp;$C212):INDIRECT(BC$1&amp;BC$3&amp;$C212))</f>
        <v>0</v>
      </c>
      <c r="BD212" s="886">
        <f t="shared" ca="1" si="441"/>
        <v>69744</v>
      </c>
      <c r="BE212" s="941">
        <f t="shared" ca="1" si="442"/>
        <v>0</v>
      </c>
      <c r="BF212" s="135">
        <f ca="1">SUM(INDIRECT(BF$1&amp;BF$2&amp;$A212):INDIRECT(BF$1&amp;BF$3&amp;$A212))+SUM(INDIRECT(BF$1&amp;BF$2&amp;$B212):INDIRECT(BF$1&amp;BF$3&amp;$B212))</f>
        <v>155006</v>
      </c>
      <c r="BG212" s="886">
        <f t="shared" ca="1" si="443"/>
        <v>-85262</v>
      </c>
      <c r="BH212" s="941">
        <f t="shared" ca="1" si="444"/>
        <v>0.44994387314039458</v>
      </c>
    </row>
    <row r="213" spans="1:60" s="75" customFormat="1" ht="14.5">
      <c r="A213" s="990">
        <f t="shared" si="325"/>
        <v>186</v>
      </c>
      <c r="B213" s="990">
        <v>1</v>
      </c>
      <c r="C213" s="990">
        <f t="shared" si="430"/>
        <v>210</v>
      </c>
      <c r="D213" s="1121" t="s">
        <v>887</v>
      </c>
      <c r="E213" s="1243">
        <v>1</v>
      </c>
      <c r="F213" s="5"/>
      <c r="G213" s="5"/>
      <c r="H213" s="5"/>
      <c r="I213" s="30"/>
      <c r="J213" s="4"/>
      <c r="K213" s="5"/>
      <c r="L213" s="5"/>
      <c r="M213" s="5"/>
      <c r="N213" s="4" t="s">
        <v>210</v>
      </c>
      <c r="O213" s="4"/>
      <c r="P213" s="4"/>
      <c r="Q213" s="1880" t="str">
        <f>CHOOSE(2, "6722000003132", "PL (3) Net Sales HW &amp; Solution EFI/LF")</f>
        <v>PL (3) Net Sales HW &amp; Solution EFI/LF</v>
      </c>
      <c r="R213" s="2097">
        <f t="shared" si="450"/>
        <v>0</v>
      </c>
      <c r="S213" s="135">
        <f t="shared" si="450"/>
        <v>0</v>
      </c>
      <c r="T213" s="135">
        <f t="shared" si="450"/>
        <v>0</v>
      </c>
      <c r="U213" s="135">
        <f t="shared" si="450"/>
        <v>0</v>
      </c>
      <c r="V213" s="135">
        <f t="shared" si="450"/>
        <v>0</v>
      </c>
      <c r="W213" s="135">
        <f t="shared" si="450"/>
        <v>0</v>
      </c>
      <c r="X213" s="135">
        <f t="shared" si="450"/>
        <v>0</v>
      </c>
      <c r="Y213" s="135">
        <f t="shared" si="450"/>
        <v>0</v>
      </c>
      <c r="Z213" s="135">
        <f t="shared" si="450"/>
        <v>0</v>
      </c>
      <c r="AA213" s="135">
        <f t="shared" si="450"/>
        <v>0</v>
      </c>
      <c r="AB213" s="135">
        <f t="shared" si="450"/>
        <v>0</v>
      </c>
      <c r="AC213" s="135">
        <f t="shared" si="450"/>
        <v>0</v>
      </c>
      <c r="AD213" s="135">
        <f t="shared" si="446"/>
        <v>0</v>
      </c>
      <c r="AE213" s="135">
        <f t="shared" si="447"/>
        <v>0</v>
      </c>
      <c r="AF213" s="135">
        <f t="shared" si="448"/>
        <v>0</v>
      </c>
      <c r="AG213" s="135">
        <f t="shared" si="449"/>
        <v>0</v>
      </c>
      <c r="AH213" s="135">
        <f t="shared" si="451"/>
        <v>0</v>
      </c>
      <c r="AI213" s="135">
        <f t="shared" si="452"/>
        <v>0</v>
      </c>
      <c r="AJ213" s="135">
        <f t="shared" si="453"/>
        <v>0</v>
      </c>
      <c r="AL213" s="2097">
        <f ca="1">SUM((INDIRECT(AL$2&amp;(ROW())):INDIRECT(AL$3&amp;(ROW()))))</f>
        <v>0</v>
      </c>
      <c r="AM213" s="135">
        <f ca="1">SUM(INDIRECT(AM$1&amp;AM$2&amp;$C213):INDIRECT(AM$1&amp;AM$3&amp;$C213))</f>
        <v>0</v>
      </c>
      <c r="AN213" s="886">
        <f t="shared" ca="1" si="433"/>
        <v>0</v>
      </c>
      <c r="AO213" s="941">
        <f t="shared" ca="1" si="434"/>
        <v>0</v>
      </c>
      <c r="AP213" s="135">
        <f ca="1">SUM(INDIRECT(AP$1&amp;AP$2&amp;$A213):INDIRECT(AP$1&amp;AP$3&amp;$A213))+SUM(INDIRECT(AP$1&amp;AP$2&amp;$B213):INDIRECT(AP$1&amp;AP$3&amp;$B213))</f>
        <v>0</v>
      </c>
      <c r="AQ213" s="886">
        <f t="shared" ca="1" si="435"/>
        <v>0</v>
      </c>
      <c r="AR213" s="941">
        <f t="shared" ca="1" si="436"/>
        <v>0</v>
      </c>
      <c r="AT213" s="2097">
        <f ca="1">SUM((INDIRECT(AT$2&amp;(ROW())):INDIRECT(AT$3&amp;(ROW()))))</f>
        <v>0</v>
      </c>
      <c r="AU213" s="135">
        <f ca="1">SUM(INDIRECT(AU$1&amp;AU$2&amp;$C213):INDIRECT(AU$1&amp;AU$3&amp;$C213))</f>
        <v>0</v>
      </c>
      <c r="AV213" s="886">
        <f t="shared" ca="1" si="437"/>
        <v>0</v>
      </c>
      <c r="AW213" s="941">
        <f t="shared" ca="1" si="438"/>
        <v>0</v>
      </c>
      <c r="AX213" s="135">
        <f ca="1">SUM(INDIRECT(AX$1&amp;AX$2&amp;$A213):INDIRECT(AX$1&amp;AX$3&amp;$A213))+SUM(INDIRECT(AX$1&amp;AX$2&amp;$B213):INDIRECT(AX$1&amp;AX$3&amp;$B213))</f>
        <v>0</v>
      </c>
      <c r="AY213" s="886">
        <f t="shared" ca="1" si="439"/>
        <v>0</v>
      </c>
      <c r="AZ213" s="941">
        <f t="shared" ca="1" si="440"/>
        <v>0</v>
      </c>
      <c r="BB213" s="2097">
        <f ca="1">SUM((INDIRECT(BB$2&amp;(ROW())):INDIRECT(BB$3&amp;(ROW()))))</f>
        <v>0</v>
      </c>
      <c r="BC213" s="135">
        <f ca="1">SUM(INDIRECT(BC$1&amp;BC$2&amp;$C213):INDIRECT(BC$1&amp;BC$3&amp;$C213))</f>
        <v>0</v>
      </c>
      <c r="BD213" s="886">
        <f t="shared" ca="1" si="441"/>
        <v>0</v>
      </c>
      <c r="BE213" s="941">
        <f t="shared" ca="1" si="442"/>
        <v>0</v>
      </c>
      <c r="BF213" s="135">
        <f ca="1">SUM(INDIRECT(BF$1&amp;BF$2&amp;$A213):INDIRECT(BF$1&amp;BF$3&amp;$A213))+SUM(INDIRECT(BF$1&amp;BF$2&amp;$B213):INDIRECT(BF$1&amp;BF$3&amp;$B213))</f>
        <v>0</v>
      </c>
      <c r="BG213" s="886">
        <f t="shared" ca="1" si="443"/>
        <v>0</v>
      </c>
      <c r="BH213" s="941">
        <f t="shared" ca="1" si="444"/>
        <v>0</v>
      </c>
    </row>
    <row r="214" spans="1:60" s="75" customFormat="1" ht="14.5">
      <c r="A214" s="990">
        <f t="shared" si="325"/>
        <v>187</v>
      </c>
      <c r="B214" s="990">
        <v>1</v>
      </c>
      <c r="C214" s="990">
        <f t="shared" si="430"/>
        <v>211</v>
      </c>
      <c r="D214" s="1121" t="s">
        <v>887</v>
      </c>
      <c r="E214" s="1243">
        <v>1</v>
      </c>
      <c r="F214" s="5"/>
      <c r="G214" s="5"/>
      <c r="H214" s="5"/>
      <c r="I214" s="30"/>
      <c r="J214" s="4"/>
      <c r="K214" s="5"/>
      <c r="L214" s="5"/>
      <c r="M214" s="5"/>
      <c r="N214" s="4" t="s">
        <v>292</v>
      </c>
      <c r="O214" s="4"/>
      <c r="P214" s="4"/>
      <c r="Q214" s="1880" t="str">
        <f>CHOOSE(2, "6722000003133", "PL (3) Net Sales HW &amp; Solution Textile Printer")</f>
        <v>PL (3) Net Sales HW &amp; Solution Textile Printer</v>
      </c>
      <c r="R214" s="2097">
        <f t="shared" si="450"/>
        <v>0</v>
      </c>
      <c r="S214" s="135">
        <f t="shared" si="450"/>
        <v>0</v>
      </c>
      <c r="T214" s="135">
        <f t="shared" si="450"/>
        <v>0</v>
      </c>
      <c r="U214" s="135">
        <f t="shared" si="450"/>
        <v>0</v>
      </c>
      <c r="V214" s="135">
        <f t="shared" si="450"/>
        <v>0</v>
      </c>
      <c r="W214" s="135">
        <f t="shared" si="450"/>
        <v>0</v>
      </c>
      <c r="X214" s="135">
        <f t="shared" si="450"/>
        <v>0</v>
      </c>
      <c r="Y214" s="135">
        <f t="shared" si="450"/>
        <v>0</v>
      </c>
      <c r="Z214" s="135">
        <f t="shared" si="450"/>
        <v>0</v>
      </c>
      <c r="AA214" s="135">
        <f t="shared" si="450"/>
        <v>0</v>
      </c>
      <c r="AB214" s="135">
        <f t="shared" si="450"/>
        <v>0</v>
      </c>
      <c r="AC214" s="135">
        <f t="shared" si="450"/>
        <v>0</v>
      </c>
      <c r="AD214" s="135">
        <f t="shared" si="446"/>
        <v>0</v>
      </c>
      <c r="AE214" s="135">
        <f t="shared" si="447"/>
        <v>0</v>
      </c>
      <c r="AF214" s="135">
        <f t="shared" si="448"/>
        <v>0</v>
      </c>
      <c r="AG214" s="135">
        <f t="shared" si="449"/>
        <v>0</v>
      </c>
      <c r="AH214" s="135">
        <f t="shared" si="451"/>
        <v>0</v>
      </c>
      <c r="AI214" s="135">
        <f t="shared" si="452"/>
        <v>0</v>
      </c>
      <c r="AJ214" s="135">
        <f t="shared" si="453"/>
        <v>0</v>
      </c>
      <c r="AL214" s="2097">
        <f ca="1">SUM((INDIRECT(AL$2&amp;(ROW())):INDIRECT(AL$3&amp;(ROW()))))</f>
        <v>0</v>
      </c>
      <c r="AM214" s="135">
        <f ca="1">SUM(INDIRECT(AM$1&amp;AM$2&amp;$C214):INDIRECT(AM$1&amp;AM$3&amp;$C214))</f>
        <v>0</v>
      </c>
      <c r="AN214" s="886">
        <f t="shared" ca="1" si="433"/>
        <v>0</v>
      </c>
      <c r="AO214" s="941">
        <f t="shared" ca="1" si="434"/>
        <v>0</v>
      </c>
      <c r="AP214" s="135">
        <f ca="1">SUM(INDIRECT(AP$1&amp;AP$2&amp;$A214):INDIRECT(AP$1&amp;AP$3&amp;$A214))+SUM(INDIRECT(AP$1&amp;AP$2&amp;$B214):INDIRECT(AP$1&amp;AP$3&amp;$B214))</f>
        <v>0</v>
      </c>
      <c r="AQ214" s="886">
        <f t="shared" ca="1" si="435"/>
        <v>0</v>
      </c>
      <c r="AR214" s="941">
        <f t="shared" ca="1" si="436"/>
        <v>0</v>
      </c>
      <c r="AT214" s="2097">
        <f ca="1">SUM((INDIRECT(AT$2&amp;(ROW())):INDIRECT(AT$3&amp;(ROW()))))</f>
        <v>0</v>
      </c>
      <c r="AU214" s="135">
        <f ca="1">SUM(INDIRECT(AU$1&amp;AU$2&amp;$C214):INDIRECT(AU$1&amp;AU$3&amp;$C214))</f>
        <v>0</v>
      </c>
      <c r="AV214" s="886">
        <f t="shared" ca="1" si="437"/>
        <v>0</v>
      </c>
      <c r="AW214" s="941">
        <f t="shared" ca="1" si="438"/>
        <v>0</v>
      </c>
      <c r="AX214" s="135">
        <f ca="1">SUM(INDIRECT(AX$1&amp;AX$2&amp;$A214):INDIRECT(AX$1&amp;AX$3&amp;$A214))+SUM(INDIRECT(AX$1&amp;AX$2&amp;$B214):INDIRECT(AX$1&amp;AX$3&amp;$B214))</f>
        <v>0</v>
      </c>
      <c r="AY214" s="886">
        <f t="shared" ca="1" si="439"/>
        <v>0</v>
      </c>
      <c r="AZ214" s="941">
        <f t="shared" ca="1" si="440"/>
        <v>0</v>
      </c>
      <c r="BB214" s="2097">
        <f ca="1">SUM((INDIRECT(BB$2&amp;(ROW())):INDIRECT(BB$3&amp;(ROW()))))</f>
        <v>0</v>
      </c>
      <c r="BC214" s="135">
        <f ca="1">SUM(INDIRECT(BC$1&amp;BC$2&amp;$C214):INDIRECT(BC$1&amp;BC$3&amp;$C214))</f>
        <v>0</v>
      </c>
      <c r="BD214" s="886">
        <f t="shared" ca="1" si="441"/>
        <v>0</v>
      </c>
      <c r="BE214" s="941">
        <f t="shared" ca="1" si="442"/>
        <v>0</v>
      </c>
      <c r="BF214" s="135">
        <f ca="1">SUM(INDIRECT(BF$1&amp;BF$2&amp;$A214):INDIRECT(BF$1&amp;BF$3&amp;$A214))+SUM(INDIRECT(BF$1&amp;BF$2&amp;$B214):INDIRECT(BF$1&amp;BF$3&amp;$B214))</f>
        <v>0</v>
      </c>
      <c r="BG214" s="886">
        <f t="shared" ca="1" si="443"/>
        <v>0</v>
      </c>
      <c r="BH214" s="941">
        <f t="shared" ca="1" si="444"/>
        <v>0</v>
      </c>
    </row>
    <row r="215" spans="1:60" s="75" customFormat="1" ht="14.5">
      <c r="A215" s="990">
        <f t="shared" si="325"/>
        <v>188</v>
      </c>
      <c r="B215" s="990">
        <v>1</v>
      </c>
      <c r="C215" s="990">
        <f t="shared" si="430"/>
        <v>212</v>
      </c>
      <c r="D215" s="1121" t="s">
        <v>887</v>
      </c>
      <c r="E215" s="1243">
        <v>1</v>
      </c>
      <c r="F215" s="5"/>
      <c r="G215" s="5"/>
      <c r="H215" s="5"/>
      <c r="I215" s="30"/>
      <c r="J215" s="4"/>
      <c r="K215" s="5"/>
      <c r="L215" s="5"/>
      <c r="M215" s="51"/>
      <c r="N215" s="51" t="s">
        <v>131</v>
      </c>
      <c r="O215" s="51"/>
      <c r="P215" s="51"/>
      <c r="Q215" s="1880" t="str">
        <f>CHOOSE(2, "6722000003134", "PL (3) Net Sales HW &amp; Solution Others")</f>
        <v>PL (3) Net Sales HW &amp; Solution Others</v>
      </c>
      <c r="R215" s="2059">
        <f t="shared" si="450"/>
        <v>0</v>
      </c>
      <c r="S215" s="284">
        <f t="shared" si="450"/>
        <v>0</v>
      </c>
      <c r="T215" s="284">
        <f t="shared" si="450"/>
        <v>0</v>
      </c>
      <c r="U215" s="284">
        <f t="shared" si="450"/>
        <v>0</v>
      </c>
      <c r="V215" s="284">
        <f t="shared" si="450"/>
        <v>0</v>
      </c>
      <c r="W215" s="284">
        <f t="shared" si="450"/>
        <v>0</v>
      </c>
      <c r="X215" s="284">
        <f t="shared" si="450"/>
        <v>0</v>
      </c>
      <c r="Y215" s="284">
        <f t="shared" si="450"/>
        <v>0</v>
      </c>
      <c r="Z215" s="284">
        <f t="shared" si="450"/>
        <v>0</v>
      </c>
      <c r="AA215" s="284">
        <f t="shared" si="450"/>
        <v>0</v>
      </c>
      <c r="AB215" s="284">
        <f t="shared" si="450"/>
        <v>0</v>
      </c>
      <c r="AC215" s="284">
        <f t="shared" si="450"/>
        <v>0</v>
      </c>
      <c r="AD215" s="284">
        <f t="shared" si="446"/>
        <v>0</v>
      </c>
      <c r="AE215" s="284">
        <f t="shared" si="447"/>
        <v>0</v>
      </c>
      <c r="AF215" s="284">
        <f t="shared" si="448"/>
        <v>0</v>
      </c>
      <c r="AG215" s="284">
        <f t="shared" si="449"/>
        <v>0</v>
      </c>
      <c r="AH215" s="284">
        <f t="shared" si="451"/>
        <v>0</v>
      </c>
      <c r="AI215" s="284">
        <f t="shared" si="452"/>
        <v>0</v>
      </c>
      <c r="AJ215" s="284">
        <f t="shared" si="453"/>
        <v>0</v>
      </c>
      <c r="AL215" s="2059">
        <f ca="1">SUM((INDIRECT(AL$2&amp;(ROW())):INDIRECT(AL$3&amp;(ROW()))))</f>
        <v>0</v>
      </c>
      <c r="AM215" s="284">
        <f ca="1">SUM(INDIRECT(AM$1&amp;AM$2&amp;$C215):INDIRECT(AM$1&amp;AM$3&amp;$C215))</f>
        <v>0</v>
      </c>
      <c r="AN215" s="887">
        <f t="shared" ca="1" si="433"/>
        <v>0</v>
      </c>
      <c r="AO215" s="942">
        <f t="shared" ca="1" si="434"/>
        <v>0</v>
      </c>
      <c r="AP215" s="284">
        <f ca="1">SUM(INDIRECT(AP$1&amp;AP$2&amp;$A215):INDIRECT(AP$1&amp;AP$3&amp;$A215))+SUM(INDIRECT(AP$1&amp;AP$2&amp;$B215):INDIRECT(AP$1&amp;AP$3&amp;$B215))</f>
        <v>0</v>
      </c>
      <c r="AQ215" s="887">
        <f t="shared" ca="1" si="435"/>
        <v>0</v>
      </c>
      <c r="AR215" s="942">
        <f t="shared" ca="1" si="436"/>
        <v>0</v>
      </c>
      <c r="AT215" s="2059">
        <f ca="1">SUM((INDIRECT(AT$2&amp;(ROW())):INDIRECT(AT$3&amp;(ROW()))))</f>
        <v>0</v>
      </c>
      <c r="AU215" s="284">
        <f ca="1">SUM(INDIRECT(AU$1&amp;AU$2&amp;$C215):INDIRECT(AU$1&amp;AU$3&amp;$C215))</f>
        <v>0</v>
      </c>
      <c r="AV215" s="887">
        <f t="shared" ca="1" si="437"/>
        <v>0</v>
      </c>
      <c r="AW215" s="942">
        <f t="shared" ca="1" si="438"/>
        <v>0</v>
      </c>
      <c r="AX215" s="284">
        <f ca="1">SUM(INDIRECT(AX$1&amp;AX$2&amp;$A215):INDIRECT(AX$1&amp;AX$3&amp;$A215))+SUM(INDIRECT(AX$1&amp;AX$2&amp;$B215):INDIRECT(AX$1&amp;AX$3&amp;$B215))</f>
        <v>0</v>
      </c>
      <c r="AY215" s="887">
        <f t="shared" ca="1" si="439"/>
        <v>0</v>
      </c>
      <c r="AZ215" s="942">
        <f t="shared" ca="1" si="440"/>
        <v>0</v>
      </c>
      <c r="BB215" s="2059">
        <f ca="1">SUM((INDIRECT(BB$2&amp;(ROW())):INDIRECT(BB$3&amp;(ROW()))))</f>
        <v>0</v>
      </c>
      <c r="BC215" s="284">
        <f ca="1">SUM(INDIRECT(BC$1&amp;BC$2&amp;$C215):INDIRECT(BC$1&amp;BC$3&amp;$C215))</f>
        <v>0</v>
      </c>
      <c r="BD215" s="887">
        <f t="shared" ca="1" si="441"/>
        <v>0</v>
      </c>
      <c r="BE215" s="942">
        <f t="shared" ca="1" si="442"/>
        <v>0</v>
      </c>
      <c r="BF215" s="284">
        <f ca="1">SUM(INDIRECT(BF$1&amp;BF$2&amp;$A215):INDIRECT(BF$1&amp;BF$3&amp;$A215))+SUM(INDIRECT(BF$1&amp;BF$2&amp;$B215):INDIRECT(BF$1&amp;BF$3&amp;$B215))</f>
        <v>0</v>
      </c>
      <c r="BG215" s="887">
        <f t="shared" ca="1" si="443"/>
        <v>0</v>
      </c>
      <c r="BH215" s="942">
        <f t="shared" ca="1" si="444"/>
        <v>0</v>
      </c>
    </row>
    <row r="216" spans="1:60" s="75" customFormat="1" ht="14.5">
      <c r="A216" s="990">
        <f t="shared" si="325"/>
        <v>189</v>
      </c>
      <c r="B216" s="990">
        <v>1</v>
      </c>
      <c r="C216" s="990">
        <f t="shared" si="430"/>
        <v>213</v>
      </c>
      <c r="D216" s="1121" t="s">
        <v>887</v>
      </c>
      <c r="E216" s="1243">
        <v>1</v>
      </c>
      <c r="F216" s="5"/>
      <c r="G216" s="5"/>
      <c r="H216" s="5"/>
      <c r="I216" s="30"/>
      <c r="J216" s="4"/>
      <c r="K216" s="5"/>
      <c r="L216" s="5"/>
      <c r="M216" s="387" t="s">
        <v>294</v>
      </c>
      <c r="N216" s="387"/>
      <c r="O216" s="387"/>
      <c r="P216" s="387"/>
      <c r="Q216" s="1861" t="str">
        <f>CHOOSE(2, "6722000003135", "PL (3) Net Sales NH")</f>
        <v>PL (3) Net Sales NH</v>
      </c>
      <c r="R216" s="2125">
        <f>SUM(R217:R222)</f>
        <v>5806</v>
      </c>
      <c r="S216" s="388">
        <f t="shared" ref="S216:AC216" si="454">SUM(S217:S222)</f>
        <v>5743</v>
      </c>
      <c r="T216" s="388">
        <f t="shared" si="454"/>
        <v>6416</v>
      </c>
      <c r="U216" s="388">
        <f t="shared" si="454"/>
        <v>7206</v>
      </c>
      <c r="V216" s="388">
        <f t="shared" si="454"/>
        <v>7848.1489999999994</v>
      </c>
      <c r="W216" s="388">
        <f t="shared" si="454"/>
        <v>8306</v>
      </c>
      <c r="X216" s="388">
        <f t="shared" si="454"/>
        <v>6984</v>
      </c>
      <c r="Y216" s="388">
        <f t="shared" si="454"/>
        <v>7123</v>
      </c>
      <c r="Z216" s="388">
        <f t="shared" si="454"/>
        <v>7585</v>
      </c>
      <c r="AA216" s="388">
        <f t="shared" si="454"/>
        <v>7298</v>
      </c>
      <c r="AB216" s="388">
        <f t="shared" si="454"/>
        <v>8583.2560000000012</v>
      </c>
      <c r="AC216" s="388">
        <f t="shared" si="454"/>
        <v>8662</v>
      </c>
      <c r="AD216" s="388">
        <f t="shared" si="446"/>
        <v>17965</v>
      </c>
      <c r="AE216" s="388">
        <f t="shared" si="447"/>
        <v>23360.148999999998</v>
      </c>
      <c r="AF216" s="388">
        <f t="shared" si="448"/>
        <v>21692</v>
      </c>
      <c r="AG216" s="388">
        <f t="shared" si="449"/>
        <v>24543.256000000001</v>
      </c>
      <c r="AH216" s="388">
        <f t="shared" si="451"/>
        <v>41325.148999999998</v>
      </c>
      <c r="AI216" s="388">
        <f t="shared" si="452"/>
        <v>46235.256000000001</v>
      </c>
      <c r="AJ216" s="388">
        <f t="shared" si="453"/>
        <v>87560.404999999999</v>
      </c>
      <c r="AL216" s="2125">
        <f ca="1">SUM((INDIRECT(AL$2&amp;(ROW())):INDIRECT(AL$3&amp;(ROW()))))</f>
        <v>8662</v>
      </c>
      <c r="AM216" s="388">
        <f ca="1">SUM(INDIRECT(AM$1&amp;AM$2&amp;$C216):INDIRECT(AM$1&amp;AM$3&amp;$C216))</f>
        <v>0</v>
      </c>
      <c r="AN216" s="888">
        <f t="shared" ca="1" si="433"/>
        <v>8662</v>
      </c>
      <c r="AO216" s="943">
        <f t="shared" ca="1" si="434"/>
        <v>0</v>
      </c>
      <c r="AP216" s="388">
        <f ca="1">SUM(INDIRECT(AP$1&amp;AP$2&amp;$A216):INDIRECT(AP$1&amp;AP$3&amp;$A216))+SUM(INDIRECT(AP$1&amp;AP$2&amp;$B216):INDIRECT(AP$1&amp;AP$3&amp;$B216))</f>
        <v>5148</v>
      </c>
      <c r="AQ216" s="888">
        <f t="shared" ca="1" si="435"/>
        <v>3514</v>
      </c>
      <c r="AR216" s="943">
        <f t="shared" ca="1" si="436"/>
        <v>1.6825951825951826</v>
      </c>
      <c r="AT216" s="2125">
        <f ca="1">SUM((INDIRECT(AT$2&amp;(ROW())):INDIRECT(AT$3&amp;(ROW()))))</f>
        <v>24543.256000000001</v>
      </c>
      <c r="AU216" s="388">
        <f ca="1">SUM(INDIRECT(AU$1&amp;AU$2&amp;$C216):INDIRECT(AU$1&amp;AU$3&amp;$C216))</f>
        <v>0</v>
      </c>
      <c r="AV216" s="888">
        <f t="shared" ca="1" si="437"/>
        <v>24543.256000000001</v>
      </c>
      <c r="AW216" s="943">
        <f t="shared" ca="1" si="438"/>
        <v>0</v>
      </c>
      <c r="AX216" s="388">
        <f ca="1">SUM(INDIRECT(AX$1&amp;AX$2&amp;$A216):INDIRECT(AX$1&amp;AX$3&amp;$A216))+SUM(INDIRECT(AX$1&amp;AX$2&amp;$B216):INDIRECT(AX$1&amp;AX$3&amp;$B216))</f>
        <v>17924</v>
      </c>
      <c r="AY216" s="888">
        <f t="shared" ca="1" si="439"/>
        <v>6619.2560000000012</v>
      </c>
      <c r="AZ216" s="943">
        <f t="shared" ca="1" si="440"/>
        <v>1.3692956929256863</v>
      </c>
      <c r="BB216" s="2125">
        <f ca="1">SUM((INDIRECT(BB$2&amp;(ROW())):INDIRECT(BB$3&amp;(ROW()))))</f>
        <v>87560.404999999999</v>
      </c>
      <c r="BC216" s="388">
        <f ca="1">SUM(INDIRECT(BC$1&amp;BC$2&amp;$C216):INDIRECT(BC$1&amp;BC$3&amp;$C216))</f>
        <v>0</v>
      </c>
      <c r="BD216" s="888">
        <f t="shared" ca="1" si="441"/>
        <v>87560.404999999999</v>
      </c>
      <c r="BE216" s="943">
        <f t="shared" ca="1" si="442"/>
        <v>0</v>
      </c>
      <c r="BF216" s="388">
        <f ca="1">SUM(INDIRECT(BF$1&amp;BF$2&amp;$A216):INDIRECT(BF$1&amp;BF$3&amp;$A216))+SUM(INDIRECT(BF$1&amp;BF$2&amp;$B216):INDIRECT(BF$1&amp;BF$3&amp;$B216))</f>
        <v>53512</v>
      </c>
      <c r="BG216" s="888">
        <f t="shared" ca="1" si="443"/>
        <v>34048.404999999999</v>
      </c>
      <c r="BH216" s="943">
        <f t="shared" ca="1" si="444"/>
        <v>1.6362760689191209</v>
      </c>
    </row>
    <row r="217" spans="1:60" s="75" customFormat="1" ht="14.5">
      <c r="A217" s="990">
        <f t="shared" si="325"/>
        <v>190</v>
      </c>
      <c r="B217" s="990">
        <v>1</v>
      </c>
      <c r="C217" s="990">
        <f t="shared" si="430"/>
        <v>214</v>
      </c>
      <c r="D217" s="1121" t="s">
        <v>887</v>
      </c>
      <c r="E217" s="1243">
        <v>1</v>
      </c>
      <c r="F217" s="5"/>
      <c r="G217" s="5"/>
      <c r="H217" s="5"/>
      <c r="I217" s="30"/>
      <c r="J217" s="4"/>
      <c r="K217" s="5"/>
      <c r="L217" s="5"/>
      <c r="M217" s="5"/>
      <c r="N217" s="4" t="s">
        <v>989</v>
      </c>
      <c r="O217" s="4"/>
      <c r="P217" s="4"/>
      <c r="Q217" s="1880" t="str">
        <f>CHOOSE(2, "6722000003136", "PL (3) Net Sales NH KM-1/KM-1e")</f>
        <v>PL (3) Net Sales NH KM-1/KM-1e</v>
      </c>
      <c r="R217" s="2097">
        <f t="shared" ref="R217:AC222" si="455">R642+R657</f>
        <v>938</v>
      </c>
      <c r="S217" s="135">
        <f t="shared" si="455"/>
        <v>271</v>
      </c>
      <c r="T217" s="135">
        <f t="shared" si="455"/>
        <v>1097</v>
      </c>
      <c r="U217" s="135">
        <f t="shared" si="455"/>
        <v>879</v>
      </c>
      <c r="V217" s="135">
        <f t="shared" si="455"/>
        <v>259.19</v>
      </c>
      <c r="W217" s="135">
        <f t="shared" si="455"/>
        <v>401</v>
      </c>
      <c r="X217" s="135">
        <f t="shared" si="455"/>
        <v>1327</v>
      </c>
      <c r="Y217" s="135">
        <f t="shared" si="455"/>
        <v>805</v>
      </c>
      <c r="Z217" s="135">
        <f t="shared" si="455"/>
        <v>407</v>
      </c>
      <c r="AA217" s="135">
        <f t="shared" si="455"/>
        <v>-1065</v>
      </c>
      <c r="AB217" s="135">
        <f t="shared" si="455"/>
        <v>1953.2560000000001</v>
      </c>
      <c r="AC217" s="135">
        <f t="shared" si="455"/>
        <v>-546</v>
      </c>
      <c r="AD217" s="135">
        <f t="shared" si="446"/>
        <v>2306</v>
      </c>
      <c r="AE217" s="135">
        <f t="shared" si="447"/>
        <v>1539.19</v>
      </c>
      <c r="AF217" s="135">
        <f t="shared" si="448"/>
        <v>2539</v>
      </c>
      <c r="AG217" s="135">
        <f t="shared" si="449"/>
        <v>342.25600000000009</v>
      </c>
      <c r="AH217" s="135">
        <f t="shared" ref="AH217:AH222" si="456">AD217+AE217</f>
        <v>3845.19</v>
      </c>
      <c r="AI217" s="135">
        <f t="shared" ref="AI217:AI222" si="457">AG217+AF217</f>
        <v>2881.2560000000003</v>
      </c>
      <c r="AJ217" s="135">
        <f t="shared" ref="AJ217:AJ222" si="458">AH217+AI217</f>
        <v>6726.4459999999999</v>
      </c>
      <c r="AL217" s="2097">
        <f ca="1">SUM((INDIRECT(AL$2&amp;(ROW())):INDIRECT(AL$3&amp;(ROW()))))</f>
        <v>-546</v>
      </c>
      <c r="AM217" s="135">
        <f ca="1">SUM(INDIRECT(AM$1&amp;AM$2&amp;$C217):INDIRECT(AM$1&amp;AM$3&amp;$C217))</f>
        <v>0</v>
      </c>
      <c r="AN217" s="886">
        <f t="shared" ca="1" si="433"/>
        <v>-546</v>
      </c>
      <c r="AO217" s="941">
        <f t="shared" ca="1" si="434"/>
        <v>0</v>
      </c>
      <c r="AP217" s="135">
        <f ca="1">SUM(INDIRECT(AP$1&amp;AP$2&amp;$A217):INDIRECT(AP$1&amp;AP$3&amp;$A217))+SUM(INDIRECT(AP$1&amp;AP$2&amp;$B217):INDIRECT(AP$1&amp;AP$3&amp;$B217))</f>
        <v>522</v>
      </c>
      <c r="AQ217" s="886">
        <f t="shared" ca="1" si="435"/>
        <v>-1068</v>
      </c>
      <c r="AR217" s="941">
        <f t="shared" ca="1" si="436"/>
        <v>-1.0459770114942528</v>
      </c>
      <c r="AT217" s="2097">
        <f ca="1">SUM((INDIRECT(AT$2&amp;(ROW())):INDIRECT(AT$3&amp;(ROW()))))</f>
        <v>342.25600000000009</v>
      </c>
      <c r="AU217" s="135">
        <f ca="1">SUM(INDIRECT(AU$1&amp;AU$2&amp;$C217):INDIRECT(AU$1&amp;AU$3&amp;$C217))</f>
        <v>0</v>
      </c>
      <c r="AV217" s="886">
        <f t="shared" ca="1" si="437"/>
        <v>342.25600000000009</v>
      </c>
      <c r="AW217" s="941">
        <f t="shared" ca="1" si="438"/>
        <v>0</v>
      </c>
      <c r="AX217" s="135">
        <f ca="1">SUM(INDIRECT(AX$1&amp;AX$2&amp;$A217):INDIRECT(AX$1&amp;AX$3&amp;$A217))+SUM(INDIRECT(AX$1&amp;AX$2&amp;$B217):INDIRECT(AX$1&amp;AX$3&amp;$B217))</f>
        <v>2583</v>
      </c>
      <c r="AY217" s="886">
        <f t="shared" ca="1" si="439"/>
        <v>-2240.7439999999997</v>
      </c>
      <c r="AZ217" s="941">
        <f t="shared" ca="1" si="440"/>
        <v>0.13250329074719322</v>
      </c>
      <c r="BB217" s="2097">
        <f ca="1">SUM((INDIRECT(BB$2&amp;(ROW())):INDIRECT(BB$3&amp;(ROW()))))</f>
        <v>6726.4460000000008</v>
      </c>
      <c r="BC217" s="135">
        <f ca="1">SUM(INDIRECT(BC$1&amp;BC$2&amp;$C217):INDIRECT(BC$1&amp;BC$3&amp;$C217))</f>
        <v>0</v>
      </c>
      <c r="BD217" s="886">
        <f t="shared" ca="1" si="441"/>
        <v>6726.4460000000008</v>
      </c>
      <c r="BE217" s="941">
        <f t="shared" ca="1" si="442"/>
        <v>0</v>
      </c>
      <c r="BF217" s="135">
        <f ca="1">SUM(INDIRECT(BF$1&amp;BF$2&amp;$A217):INDIRECT(BF$1&amp;BF$3&amp;$A217))+SUM(INDIRECT(BF$1&amp;BF$2&amp;$B217):INDIRECT(BF$1&amp;BF$3&amp;$B217))</f>
        <v>4368</v>
      </c>
      <c r="BG217" s="886">
        <f t="shared" ca="1" si="443"/>
        <v>2358.4460000000008</v>
      </c>
      <c r="BH217" s="941">
        <f t="shared" ca="1" si="444"/>
        <v>1.5399372710622712</v>
      </c>
    </row>
    <row r="218" spans="1:60" s="75" customFormat="1" ht="14.5">
      <c r="A218" s="990">
        <f t="shared" ref="A218:A281" si="459">A217+1</f>
        <v>191</v>
      </c>
      <c r="B218" s="990">
        <v>1</v>
      </c>
      <c r="C218" s="990">
        <f t="shared" si="430"/>
        <v>215</v>
      </c>
      <c r="D218" s="1121" t="s">
        <v>887</v>
      </c>
      <c r="E218" s="1243">
        <v>1</v>
      </c>
      <c r="F218" s="5"/>
      <c r="G218" s="5"/>
      <c r="H218" s="5"/>
      <c r="I218" s="30"/>
      <c r="J218" s="4"/>
      <c r="K218" s="5"/>
      <c r="L218" s="5"/>
      <c r="M218" s="5"/>
      <c r="N218" s="4" t="s">
        <v>209</v>
      </c>
      <c r="O218" s="4"/>
      <c r="P218" s="4"/>
      <c r="Q218" s="1880" t="str">
        <f>CHOOSE(2, "6722000003137", "PL (3) Net Sales NH Label Printer")</f>
        <v>PL (3) Net Sales NH Label Printer</v>
      </c>
      <c r="R218" s="2097">
        <f t="shared" si="455"/>
        <v>2340</v>
      </c>
      <c r="S218" s="135">
        <f t="shared" si="455"/>
        <v>2481</v>
      </c>
      <c r="T218" s="135">
        <f t="shared" si="455"/>
        <v>2137</v>
      </c>
      <c r="U218" s="135">
        <f t="shared" si="455"/>
        <v>2083</v>
      </c>
      <c r="V218" s="135">
        <f t="shared" si="455"/>
        <v>2426.0450000000001</v>
      </c>
      <c r="W218" s="135">
        <f t="shared" si="455"/>
        <v>1741</v>
      </c>
      <c r="X218" s="135">
        <f t="shared" si="455"/>
        <v>2546</v>
      </c>
      <c r="Y218" s="135">
        <f t="shared" si="455"/>
        <v>2350</v>
      </c>
      <c r="Z218" s="135">
        <f t="shared" si="455"/>
        <v>2756</v>
      </c>
      <c r="AA218" s="135">
        <f t="shared" si="455"/>
        <v>3950</v>
      </c>
      <c r="AB218" s="135">
        <f t="shared" si="455"/>
        <v>1537</v>
      </c>
      <c r="AC218" s="135">
        <f t="shared" si="455"/>
        <v>5110</v>
      </c>
      <c r="AD218" s="135">
        <f t="shared" si="446"/>
        <v>6958</v>
      </c>
      <c r="AE218" s="135">
        <f t="shared" si="447"/>
        <v>6250.0450000000001</v>
      </c>
      <c r="AF218" s="135">
        <f t="shared" si="448"/>
        <v>7652</v>
      </c>
      <c r="AG218" s="135">
        <f t="shared" si="449"/>
        <v>10597</v>
      </c>
      <c r="AH218" s="135">
        <f t="shared" si="456"/>
        <v>13208.045</v>
      </c>
      <c r="AI218" s="135">
        <f t="shared" si="457"/>
        <v>18249</v>
      </c>
      <c r="AJ218" s="135">
        <f t="shared" si="458"/>
        <v>31457.044999999998</v>
      </c>
      <c r="AL218" s="2097">
        <f ca="1">SUM((INDIRECT(AL$2&amp;(ROW())):INDIRECT(AL$3&amp;(ROW()))))</f>
        <v>5110</v>
      </c>
      <c r="AM218" s="135">
        <f ca="1">SUM(INDIRECT(AM$1&amp;AM$2&amp;$C218):INDIRECT(AM$1&amp;AM$3&amp;$C218))</f>
        <v>0</v>
      </c>
      <c r="AN218" s="886">
        <f t="shared" ca="1" si="433"/>
        <v>5110</v>
      </c>
      <c r="AO218" s="941">
        <f t="shared" ca="1" si="434"/>
        <v>0</v>
      </c>
      <c r="AP218" s="135">
        <f ca="1">SUM(INDIRECT(AP$1&amp;AP$2&amp;$A218):INDIRECT(AP$1&amp;AP$3&amp;$A218))+SUM(INDIRECT(AP$1&amp;AP$2&amp;$B218):INDIRECT(AP$1&amp;AP$3&amp;$B218))</f>
        <v>2293</v>
      </c>
      <c r="AQ218" s="886">
        <f t="shared" ca="1" si="435"/>
        <v>2817</v>
      </c>
      <c r="AR218" s="941">
        <f t="shared" ca="1" si="436"/>
        <v>2.228521587440035</v>
      </c>
      <c r="AT218" s="2097">
        <f ca="1">SUM((INDIRECT(AT$2&amp;(ROW())):INDIRECT(AT$3&amp;(ROW()))))</f>
        <v>10597</v>
      </c>
      <c r="AU218" s="135">
        <f ca="1">SUM(INDIRECT(AU$1&amp;AU$2&amp;$C218):INDIRECT(AU$1&amp;AU$3&amp;$C218))</f>
        <v>0</v>
      </c>
      <c r="AV218" s="886">
        <f t="shared" ca="1" si="437"/>
        <v>10597</v>
      </c>
      <c r="AW218" s="941">
        <f t="shared" ca="1" si="438"/>
        <v>0</v>
      </c>
      <c r="AX218" s="135">
        <f ca="1">SUM(INDIRECT(AX$1&amp;AX$2&amp;$A218):INDIRECT(AX$1&amp;AX$3&amp;$A218))+SUM(INDIRECT(AX$1&amp;AX$2&amp;$B218):INDIRECT(AX$1&amp;AX$3&amp;$B218))</f>
        <v>7548</v>
      </c>
      <c r="AY218" s="886">
        <f t="shared" ca="1" si="439"/>
        <v>3049</v>
      </c>
      <c r="AZ218" s="941">
        <f t="shared" ca="1" si="440"/>
        <v>1.4039480657127716</v>
      </c>
      <c r="BB218" s="2097">
        <f ca="1">SUM((INDIRECT(BB$2&amp;(ROW())):INDIRECT(BB$3&amp;(ROW()))))</f>
        <v>31457.044999999998</v>
      </c>
      <c r="BC218" s="135">
        <f ca="1">SUM(INDIRECT(BC$1&amp;BC$2&amp;$C218):INDIRECT(BC$1&amp;BC$3&amp;$C218))</f>
        <v>0</v>
      </c>
      <c r="BD218" s="886">
        <f t="shared" ca="1" si="441"/>
        <v>31457.044999999998</v>
      </c>
      <c r="BE218" s="941">
        <f t="shared" ca="1" si="442"/>
        <v>0</v>
      </c>
      <c r="BF218" s="135">
        <f ca="1">SUM(INDIRECT(BF$1&amp;BF$2&amp;$A218):INDIRECT(BF$1&amp;BF$3&amp;$A218))+SUM(INDIRECT(BF$1&amp;BF$2&amp;$B218):INDIRECT(BF$1&amp;BF$3&amp;$B218))</f>
        <v>23213</v>
      </c>
      <c r="BG218" s="886">
        <f t="shared" ca="1" si="443"/>
        <v>8244.0449999999983</v>
      </c>
      <c r="BH218" s="941">
        <f t="shared" ca="1" si="444"/>
        <v>1.3551477620298971</v>
      </c>
    </row>
    <row r="219" spans="1:60" s="75" customFormat="1" ht="14.5">
      <c r="A219" s="990">
        <f t="shared" si="459"/>
        <v>192</v>
      </c>
      <c r="B219" s="990">
        <v>1</v>
      </c>
      <c r="C219" s="990">
        <f t="shared" si="430"/>
        <v>216</v>
      </c>
      <c r="D219" s="1121" t="s">
        <v>887</v>
      </c>
      <c r="E219" s="1243">
        <v>1</v>
      </c>
      <c r="F219" s="5"/>
      <c r="G219" s="5"/>
      <c r="H219" s="5"/>
      <c r="I219" s="30"/>
      <c r="J219" s="4"/>
      <c r="K219" s="5"/>
      <c r="L219" s="5"/>
      <c r="M219" s="5"/>
      <c r="N219" s="4" t="s">
        <v>132</v>
      </c>
      <c r="O219" s="4"/>
      <c r="P219" s="1498"/>
      <c r="Q219" s="1880" t="str">
        <f>CHOOSE(2, "6722000003138", "PL (3) Net Sales NH MGI")</f>
        <v>PL (3) Net Sales NH MGI</v>
      </c>
      <c r="R219" s="2097">
        <f t="shared" si="455"/>
        <v>2528</v>
      </c>
      <c r="S219" s="135">
        <f t="shared" si="455"/>
        <v>2991</v>
      </c>
      <c r="T219" s="135">
        <f t="shared" si="455"/>
        <v>3182</v>
      </c>
      <c r="U219" s="135">
        <f t="shared" si="455"/>
        <v>4244</v>
      </c>
      <c r="V219" s="135">
        <f t="shared" si="455"/>
        <v>5162.9139999999998</v>
      </c>
      <c r="W219" s="135">
        <f t="shared" si="455"/>
        <v>6164</v>
      </c>
      <c r="X219" s="135">
        <f t="shared" si="455"/>
        <v>3111</v>
      </c>
      <c r="Y219" s="135">
        <f t="shared" si="455"/>
        <v>3968</v>
      </c>
      <c r="Z219" s="135">
        <f t="shared" si="455"/>
        <v>4422</v>
      </c>
      <c r="AA219" s="135">
        <f t="shared" si="455"/>
        <v>4413</v>
      </c>
      <c r="AB219" s="135">
        <f t="shared" si="455"/>
        <v>5093</v>
      </c>
      <c r="AC219" s="135">
        <f t="shared" si="455"/>
        <v>4098</v>
      </c>
      <c r="AD219" s="135">
        <f t="shared" si="446"/>
        <v>8701</v>
      </c>
      <c r="AE219" s="135">
        <f t="shared" si="447"/>
        <v>15570.914000000001</v>
      </c>
      <c r="AF219" s="135">
        <f t="shared" si="448"/>
        <v>11501</v>
      </c>
      <c r="AG219" s="135">
        <f t="shared" si="449"/>
        <v>13604</v>
      </c>
      <c r="AH219" s="135">
        <f t="shared" si="456"/>
        <v>24271.914000000001</v>
      </c>
      <c r="AI219" s="135">
        <f t="shared" si="457"/>
        <v>25105</v>
      </c>
      <c r="AJ219" s="135">
        <f t="shared" si="458"/>
        <v>49376.914000000004</v>
      </c>
      <c r="AL219" s="2097">
        <f ca="1">SUM((INDIRECT(AL$2&amp;(ROW())):INDIRECT(AL$3&amp;(ROW()))))</f>
        <v>4098</v>
      </c>
      <c r="AM219" s="135">
        <f ca="1">SUM(INDIRECT(AM$1&amp;AM$2&amp;$C219):INDIRECT(AM$1&amp;AM$3&amp;$C219))</f>
        <v>0</v>
      </c>
      <c r="AN219" s="886">
        <f t="shared" ca="1" si="433"/>
        <v>4098</v>
      </c>
      <c r="AO219" s="941">
        <f t="shared" ca="1" si="434"/>
        <v>0</v>
      </c>
      <c r="AP219" s="135">
        <f ca="1">SUM(INDIRECT(AP$1&amp;AP$2&amp;$A219):INDIRECT(AP$1&amp;AP$3&amp;$A219))+SUM(INDIRECT(AP$1&amp;AP$2&amp;$B219):INDIRECT(AP$1&amp;AP$3&amp;$B219))</f>
        <v>2333</v>
      </c>
      <c r="AQ219" s="886">
        <f t="shared" ca="1" si="435"/>
        <v>1765</v>
      </c>
      <c r="AR219" s="941">
        <f t="shared" ca="1" si="436"/>
        <v>1.7565366480925846</v>
      </c>
      <c r="AT219" s="2097">
        <f ca="1">SUM((INDIRECT(AT$2&amp;(ROW())):INDIRECT(AT$3&amp;(ROW()))))</f>
        <v>13604</v>
      </c>
      <c r="AU219" s="135">
        <f ca="1">SUM(INDIRECT(AU$1&amp;AU$2&amp;$C219):INDIRECT(AU$1&amp;AU$3&amp;$C219))</f>
        <v>0</v>
      </c>
      <c r="AV219" s="886">
        <f t="shared" ca="1" si="437"/>
        <v>13604</v>
      </c>
      <c r="AW219" s="941">
        <f t="shared" ca="1" si="438"/>
        <v>0</v>
      </c>
      <c r="AX219" s="135">
        <f ca="1">SUM(INDIRECT(AX$1&amp;AX$2&amp;$A219):INDIRECT(AX$1&amp;AX$3&amp;$A219))+SUM(INDIRECT(AX$1&amp;AX$2&amp;$B219):INDIRECT(AX$1&amp;AX$3&amp;$B219))</f>
        <v>7793</v>
      </c>
      <c r="AY219" s="886">
        <f t="shared" ca="1" si="439"/>
        <v>5811</v>
      </c>
      <c r="AZ219" s="941">
        <f t="shared" ca="1" si="440"/>
        <v>1.7456691902989863</v>
      </c>
      <c r="BB219" s="2097">
        <f ca="1">SUM((INDIRECT(BB$2&amp;(ROW())):INDIRECT(BB$3&amp;(ROW()))))</f>
        <v>49376.914000000004</v>
      </c>
      <c r="BC219" s="135">
        <f ca="1">SUM(INDIRECT(BC$1&amp;BC$2&amp;$C219):INDIRECT(BC$1&amp;BC$3&amp;$C219))</f>
        <v>0</v>
      </c>
      <c r="BD219" s="886">
        <f t="shared" ca="1" si="441"/>
        <v>49376.914000000004</v>
      </c>
      <c r="BE219" s="941">
        <f t="shared" ca="1" si="442"/>
        <v>0</v>
      </c>
      <c r="BF219" s="135">
        <f ca="1">SUM(INDIRECT(BF$1&amp;BF$2&amp;$A219):INDIRECT(BF$1&amp;BF$3&amp;$A219))+SUM(INDIRECT(BF$1&amp;BF$2&amp;$B219):INDIRECT(BF$1&amp;BF$3&amp;$B219))</f>
        <v>25931</v>
      </c>
      <c r="BG219" s="886">
        <f t="shared" ca="1" si="443"/>
        <v>23445.914000000004</v>
      </c>
      <c r="BH219" s="941">
        <f t="shared" ca="1" si="444"/>
        <v>1.9041654390497862</v>
      </c>
    </row>
    <row r="220" spans="1:60" s="75" customFormat="1" ht="14.5">
      <c r="A220" s="990">
        <f t="shared" si="459"/>
        <v>193</v>
      </c>
      <c r="B220" s="990">
        <v>1</v>
      </c>
      <c r="C220" s="990">
        <f t="shared" si="430"/>
        <v>217</v>
      </c>
      <c r="D220" s="1121" t="s">
        <v>887</v>
      </c>
      <c r="E220" s="1243">
        <v>1</v>
      </c>
      <c r="F220" s="5"/>
      <c r="G220" s="5"/>
      <c r="H220" s="5"/>
      <c r="I220" s="30"/>
      <c r="J220" s="4"/>
      <c r="K220" s="5"/>
      <c r="L220" s="5"/>
      <c r="M220" s="5"/>
      <c r="N220" s="4" t="s">
        <v>210</v>
      </c>
      <c r="O220" s="4"/>
      <c r="P220" s="4"/>
      <c r="Q220" s="1880" t="str">
        <f>CHOOSE(2, "6722000003139", "PL (3) Net Sales NH EFI/LF")</f>
        <v>PL (3) Net Sales NH EFI/LF</v>
      </c>
      <c r="R220" s="2097">
        <f t="shared" si="455"/>
        <v>0</v>
      </c>
      <c r="S220" s="135">
        <f t="shared" si="455"/>
        <v>0</v>
      </c>
      <c r="T220" s="135">
        <f t="shared" si="455"/>
        <v>0</v>
      </c>
      <c r="U220" s="135">
        <f t="shared" si="455"/>
        <v>0</v>
      </c>
      <c r="V220" s="135">
        <f t="shared" si="455"/>
        <v>0</v>
      </c>
      <c r="W220" s="135">
        <f t="shared" si="455"/>
        <v>0</v>
      </c>
      <c r="X220" s="135">
        <f t="shared" si="455"/>
        <v>0</v>
      </c>
      <c r="Y220" s="135">
        <f t="shared" si="455"/>
        <v>0</v>
      </c>
      <c r="Z220" s="135">
        <f t="shared" si="455"/>
        <v>0</v>
      </c>
      <c r="AA220" s="135">
        <f t="shared" si="455"/>
        <v>0</v>
      </c>
      <c r="AB220" s="135">
        <f t="shared" si="455"/>
        <v>0</v>
      </c>
      <c r="AC220" s="135">
        <f t="shared" si="455"/>
        <v>0</v>
      </c>
      <c r="AD220" s="135">
        <f t="shared" si="446"/>
        <v>0</v>
      </c>
      <c r="AE220" s="135">
        <f t="shared" si="447"/>
        <v>0</v>
      </c>
      <c r="AF220" s="135">
        <f t="shared" si="448"/>
        <v>0</v>
      </c>
      <c r="AG220" s="135">
        <f t="shared" si="449"/>
        <v>0</v>
      </c>
      <c r="AH220" s="135">
        <f t="shared" si="456"/>
        <v>0</v>
      </c>
      <c r="AI220" s="135">
        <f t="shared" si="457"/>
        <v>0</v>
      </c>
      <c r="AJ220" s="135">
        <f t="shared" si="458"/>
        <v>0</v>
      </c>
      <c r="AL220" s="2097">
        <f ca="1">SUM((INDIRECT(AL$2&amp;(ROW())):INDIRECT(AL$3&amp;(ROW()))))</f>
        <v>0</v>
      </c>
      <c r="AM220" s="135">
        <f ca="1">SUM(INDIRECT(AM$1&amp;AM$2&amp;$C220):INDIRECT(AM$1&amp;AM$3&amp;$C220))</f>
        <v>0</v>
      </c>
      <c r="AN220" s="886">
        <f t="shared" ca="1" si="433"/>
        <v>0</v>
      </c>
      <c r="AO220" s="941">
        <f t="shared" ca="1" si="434"/>
        <v>0</v>
      </c>
      <c r="AP220" s="135">
        <f ca="1">SUM(INDIRECT(AP$1&amp;AP$2&amp;$A220):INDIRECT(AP$1&amp;AP$3&amp;$A220))+SUM(INDIRECT(AP$1&amp;AP$2&amp;$B220):INDIRECT(AP$1&amp;AP$3&amp;$B220))</f>
        <v>0</v>
      </c>
      <c r="AQ220" s="886">
        <f t="shared" ca="1" si="435"/>
        <v>0</v>
      </c>
      <c r="AR220" s="941">
        <f t="shared" ca="1" si="436"/>
        <v>0</v>
      </c>
      <c r="AT220" s="2097">
        <f ca="1">SUM((INDIRECT(AT$2&amp;(ROW())):INDIRECT(AT$3&amp;(ROW()))))</f>
        <v>0</v>
      </c>
      <c r="AU220" s="135">
        <f ca="1">SUM(INDIRECT(AU$1&amp;AU$2&amp;$C220):INDIRECT(AU$1&amp;AU$3&amp;$C220))</f>
        <v>0</v>
      </c>
      <c r="AV220" s="886">
        <f t="shared" ca="1" si="437"/>
        <v>0</v>
      </c>
      <c r="AW220" s="941">
        <f t="shared" ca="1" si="438"/>
        <v>0</v>
      </c>
      <c r="AX220" s="135">
        <f ca="1">SUM(INDIRECT(AX$1&amp;AX$2&amp;$A220):INDIRECT(AX$1&amp;AX$3&amp;$A220))+SUM(INDIRECT(AX$1&amp;AX$2&amp;$B220):INDIRECT(AX$1&amp;AX$3&amp;$B220))</f>
        <v>0</v>
      </c>
      <c r="AY220" s="886">
        <f t="shared" ca="1" si="439"/>
        <v>0</v>
      </c>
      <c r="AZ220" s="941">
        <f t="shared" ca="1" si="440"/>
        <v>0</v>
      </c>
      <c r="BB220" s="2097">
        <f ca="1">SUM((INDIRECT(BB$2&amp;(ROW())):INDIRECT(BB$3&amp;(ROW()))))</f>
        <v>0</v>
      </c>
      <c r="BC220" s="135">
        <f ca="1">SUM(INDIRECT(BC$1&amp;BC$2&amp;$C220):INDIRECT(BC$1&amp;BC$3&amp;$C220))</f>
        <v>0</v>
      </c>
      <c r="BD220" s="886">
        <f t="shared" ca="1" si="441"/>
        <v>0</v>
      </c>
      <c r="BE220" s="941">
        <f t="shared" ca="1" si="442"/>
        <v>0</v>
      </c>
      <c r="BF220" s="135">
        <f ca="1">SUM(INDIRECT(BF$1&amp;BF$2&amp;$A220):INDIRECT(BF$1&amp;BF$3&amp;$A220))+SUM(INDIRECT(BF$1&amp;BF$2&amp;$B220):INDIRECT(BF$1&amp;BF$3&amp;$B220))</f>
        <v>0</v>
      </c>
      <c r="BG220" s="886">
        <f t="shared" ca="1" si="443"/>
        <v>0</v>
      </c>
      <c r="BH220" s="941">
        <f t="shared" ca="1" si="444"/>
        <v>0</v>
      </c>
    </row>
    <row r="221" spans="1:60" s="75" customFormat="1" ht="14.5">
      <c r="A221" s="990">
        <f t="shared" si="459"/>
        <v>194</v>
      </c>
      <c r="B221" s="990">
        <v>1</v>
      </c>
      <c r="C221" s="990">
        <f t="shared" si="430"/>
        <v>218</v>
      </c>
      <c r="D221" s="1121" t="s">
        <v>887</v>
      </c>
      <c r="E221" s="1243">
        <v>1</v>
      </c>
      <c r="F221" s="5"/>
      <c r="G221" s="5"/>
      <c r="H221" s="5"/>
      <c r="I221" s="30"/>
      <c r="J221" s="4"/>
      <c r="K221" s="5"/>
      <c r="L221" s="5"/>
      <c r="M221" s="5"/>
      <c r="N221" s="4" t="s">
        <v>292</v>
      </c>
      <c r="O221" s="4"/>
      <c r="P221" s="4"/>
      <c r="Q221" s="1880" t="str">
        <f>CHOOSE(2, "6722000003140", "PL (3) Net Sales NH Textile Printer")</f>
        <v>PL (3) Net Sales NH Textile Printer</v>
      </c>
      <c r="R221" s="2097">
        <f t="shared" si="455"/>
        <v>0</v>
      </c>
      <c r="S221" s="135">
        <f t="shared" si="455"/>
        <v>0</v>
      </c>
      <c r="T221" s="135">
        <f t="shared" si="455"/>
        <v>0</v>
      </c>
      <c r="U221" s="135">
        <f t="shared" si="455"/>
        <v>0</v>
      </c>
      <c r="V221" s="135">
        <f t="shared" si="455"/>
        <v>0</v>
      </c>
      <c r="W221" s="135">
        <f t="shared" si="455"/>
        <v>0</v>
      </c>
      <c r="X221" s="135">
        <f t="shared" si="455"/>
        <v>0</v>
      </c>
      <c r="Y221" s="135">
        <f t="shared" si="455"/>
        <v>0</v>
      </c>
      <c r="Z221" s="135">
        <f t="shared" si="455"/>
        <v>0</v>
      </c>
      <c r="AA221" s="135">
        <f t="shared" si="455"/>
        <v>0</v>
      </c>
      <c r="AB221" s="135">
        <f t="shared" si="455"/>
        <v>0</v>
      </c>
      <c r="AC221" s="135">
        <f t="shared" si="455"/>
        <v>0</v>
      </c>
      <c r="AD221" s="135">
        <f t="shared" si="446"/>
        <v>0</v>
      </c>
      <c r="AE221" s="135">
        <f t="shared" si="447"/>
        <v>0</v>
      </c>
      <c r="AF221" s="135">
        <f t="shared" si="448"/>
        <v>0</v>
      </c>
      <c r="AG221" s="135">
        <f t="shared" si="449"/>
        <v>0</v>
      </c>
      <c r="AH221" s="135">
        <f t="shared" si="456"/>
        <v>0</v>
      </c>
      <c r="AI221" s="135">
        <f t="shared" si="457"/>
        <v>0</v>
      </c>
      <c r="AJ221" s="135">
        <f t="shared" si="458"/>
        <v>0</v>
      </c>
      <c r="AL221" s="2097">
        <f ca="1">SUM((INDIRECT(AL$2&amp;(ROW())):INDIRECT(AL$3&amp;(ROW()))))</f>
        <v>0</v>
      </c>
      <c r="AM221" s="135">
        <f ca="1">SUM(INDIRECT(AM$1&amp;AM$2&amp;$C221):INDIRECT(AM$1&amp;AM$3&amp;$C221))</f>
        <v>0</v>
      </c>
      <c r="AN221" s="886">
        <f t="shared" ca="1" si="433"/>
        <v>0</v>
      </c>
      <c r="AO221" s="941">
        <f t="shared" ca="1" si="434"/>
        <v>0</v>
      </c>
      <c r="AP221" s="135">
        <f ca="1">SUM(INDIRECT(AP$1&amp;AP$2&amp;$A221):INDIRECT(AP$1&amp;AP$3&amp;$A221))+SUM(INDIRECT(AP$1&amp;AP$2&amp;$B221):INDIRECT(AP$1&amp;AP$3&amp;$B221))</f>
        <v>0</v>
      </c>
      <c r="AQ221" s="886">
        <f t="shared" ca="1" si="435"/>
        <v>0</v>
      </c>
      <c r="AR221" s="941">
        <f t="shared" ca="1" si="436"/>
        <v>0</v>
      </c>
      <c r="AT221" s="2097">
        <f ca="1">SUM((INDIRECT(AT$2&amp;(ROW())):INDIRECT(AT$3&amp;(ROW()))))</f>
        <v>0</v>
      </c>
      <c r="AU221" s="135">
        <f ca="1">SUM(INDIRECT(AU$1&amp;AU$2&amp;$C221):INDIRECT(AU$1&amp;AU$3&amp;$C221))</f>
        <v>0</v>
      </c>
      <c r="AV221" s="886">
        <f t="shared" ca="1" si="437"/>
        <v>0</v>
      </c>
      <c r="AW221" s="941">
        <f t="shared" ca="1" si="438"/>
        <v>0</v>
      </c>
      <c r="AX221" s="135">
        <f ca="1">SUM(INDIRECT(AX$1&amp;AX$2&amp;$A221):INDIRECT(AX$1&amp;AX$3&amp;$A221))+SUM(INDIRECT(AX$1&amp;AX$2&amp;$B221):INDIRECT(AX$1&amp;AX$3&amp;$B221))</f>
        <v>0</v>
      </c>
      <c r="AY221" s="886">
        <f t="shared" ca="1" si="439"/>
        <v>0</v>
      </c>
      <c r="AZ221" s="941">
        <f t="shared" ca="1" si="440"/>
        <v>0</v>
      </c>
      <c r="BB221" s="2097">
        <f ca="1">SUM((INDIRECT(BB$2&amp;(ROW())):INDIRECT(BB$3&amp;(ROW()))))</f>
        <v>0</v>
      </c>
      <c r="BC221" s="135">
        <f ca="1">SUM(INDIRECT(BC$1&amp;BC$2&amp;$C221):INDIRECT(BC$1&amp;BC$3&amp;$C221))</f>
        <v>0</v>
      </c>
      <c r="BD221" s="886">
        <f t="shared" ca="1" si="441"/>
        <v>0</v>
      </c>
      <c r="BE221" s="941">
        <f t="shared" ca="1" si="442"/>
        <v>0</v>
      </c>
      <c r="BF221" s="135">
        <f ca="1">SUM(INDIRECT(BF$1&amp;BF$2&amp;$A221):INDIRECT(BF$1&amp;BF$3&amp;$A221))+SUM(INDIRECT(BF$1&amp;BF$2&amp;$B221):INDIRECT(BF$1&amp;BF$3&amp;$B221))</f>
        <v>0</v>
      </c>
      <c r="BG221" s="886">
        <f t="shared" ca="1" si="443"/>
        <v>0</v>
      </c>
      <c r="BH221" s="941">
        <f t="shared" ca="1" si="444"/>
        <v>0</v>
      </c>
    </row>
    <row r="222" spans="1:60" s="75" customFormat="1" ht="14.5">
      <c r="A222" s="990">
        <f t="shared" si="459"/>
        <v>195</v>
      </c>
      <c r="B222" s="990">
        <v>1</v>
      </c>
      <c r="C222" s="990">
        <f t="shared" si="430"/>
        <v>219</v>
      </c>
      <c r="D222" s="1121" t="s">
        <v>887</v>
      </c>
      <c r="E222" s="1243">
        <v>1</v>
      </c>
      <c r="F222" s="5"/>
      <c r="G222" s="5"/>
      <c r="H222" s="5"/>
      <c r="I222" s="28"/>
      <c r="J222" s="2"/>
      <c r="K222" s="3"/>
      <c r="L222" s="3"/>
      <c r="M222" s="3"/>
      <c r="N222" s="2" t="s">
        <v>131</v>
      </c>
      <c r="O222" s="2"/>
      <c r="P222" s="2"/>
      <c r="Q222" s="1880" t="str">
        <f>CHOOSE(2, "6722000003141", "PL (3) Net Sales NH Others")</f>
        <v>PL (3) Net Sales NH Others</v>
      </c>
      <c r="R222" s="2098">
        <f t="shared" si="455"/>
        <v>0</v>
      </c>
      <c r="S222" s="285">
        <f t="shared" si="455"/>
        <v>0</v>
      </c>
      <c r="T222" s="285">
        <f t="shared" si="455"/>
        <v>0</v>
      </c>
      <c r="U222" s="285">
        <f t="shared" si="455"/>
        <v>0</v>
      </c>
      <c r="V222" s="285">
        <f t="shared" si="455"/>
        <v>0</v>
      </c>
      <c r="W222" s="285">
        <f t="shared" si="455"/>
        <v>0</v>
      </c>
      <c r="X222" s="285">
        <f t="shared" si="455"/>
        <v>0</v>
      </c>
      <c r="Y222" s="285">
        <f t="shared" si="455"/>
        <v>0</v>
      </c>
      <c r="Z222" s="285">
        <f t="shared" si="455"/>
        <v>0</v>
      </c>
      <c r="AA222" s="285">
        <f t="shared" si="455"/>
        <v>0</v>
      </c>
      <c r="AB222" s="285">
        <f t="shared" si="455"/>
        <v>0</v>
      </c>
      <c r="AC222" s="285">
        <f t="shared" si="455"/>
        <v>0</v>
      </c>
      <c r="AD222" s="285">
        <f t="shared" si="446"/>
        <v>0</v>
      </c>
      <c r="AE222" s="285">
        <f t="shared" si="447"/>
        <v>0</v>
      </c>
      <c r="AF222" s="285">
        <f t="shared" si="448"/>
        <v>0</v>
      </c>
      <c r="AG222" s="285">
        <f t="shared" si="449"/>
        <v>0</v>
      </c>
      <c r="AH222" s="285">
        <f t="shared" si="456"/>
        <v>0</v>
      </c>
      <c r="AI222" s="285">
        <f t="shared" si="457"/>
        <v>0</v>
      </c>
      <c r="AJ222" s="285">
        <f t="shared" si="458"/>
        <v>0</v>
      </c>
      <c r="AL222" s="2098">
        <f ca="1">SUM((INDIRECT(AL$2&amp;(ROW())):INDIRECT(AL$3&amp;(ROW()))))</f>
        <v>0</v>
      </c>
      <c r="AM222" s="285">
        <f ca="1">SUM(INDIRECT(AM$1&amp;AM$2&amp;$C222):INDIRECT(AM$1&amp;AM$3&amp;$C222))</f>
        <v>0</v>
      </c>
      <c r="AN222" s="889">
        <f t="shared" ca="1" si="433"/>
        <v>0</v>
      </c>
      <c r="AO222" s="944">
        <f t="shared" ca="1" si="434"/>
        <v>0</v>
      </c>
      <c r="AP222" s="285">
        <f ca="1">SUM(INDIRECT(AP$1&amp;AP$2&amp;$A222):INDIRECT(AP$1&amp;AP$3&amp;$A222))+SUM(INDIRECT(AP$1&amp;AP$2&amp;$B222):INDIRECT(AP$1&amp;AP$3&amp;$B222))</f>
        <v>0</v>
      </c>
      <c r="AQ222" s="889">
        <f t="shared" ca="1" si="435"/>
        <v>0</v>
      </c>
      <c r="AR222" s="944">
        <f t="shared" ca="1" si="436"/>
        <v>0</v>
      </c>
      <c r="AT222" s="2098">
        <f ca="1">SUM((INDIRECT(AT$2&amp;(ROW())):INDIRECT(AT$3&amp;(ROW()))))</f>
        <v>0</v>
      </c>
      <c r="AU222" s="285">
        <f ca="1">SUM(INDIRECT(AU$1&amp;AU$2&amp;$C222):INDIRECT(AU$1&amp;AU$3&amp;$C222))</f>
        <v>0</v>
      </c>
      <c r="AV222" s="889">
        <f t="shared" ca="1" si="437"/>
        <v>0</v>
      </c>
      <c r="AW222" s="944">
        <f t="shared" ca="1" si="438"/>
        <v>0</v>
      </c>
      <c r="AX222" s="285">
        <f ca="1">SUM(INDIRECT(AX$1&amp;AX$2&amp;$A222):INDIRECT(AX$1&amp;AX$3&amp;$A222))+SUM(INDIRECT(AX$1&amp;AX$2&amp;$B222):INDIRECT(AX$1&amp;AX$3&amp;$B222))</f>
        <v>0</v>
      </c>
      <c r="AY222" s="889">
        <f t="shared" ca="1" si="439"/>
        <v>0</v>
      </c>
      <c r="AZ222" s="944">
        <f t="shared" ca="1" si="440"/>
        <v>0</v>
      </c>
      <c r="BB222" s="2098">
        <f ca="1">SUM((INDIRECT(BB$2&amp;(ROW())):INDIRECT(BB$3&amp;(ROW()))))</f>
        <v>0</v>
      </c>
      <c r="BC222" s="285">
        <f ca="1">SUM(INDIRECT(BC$1&amp;BC$2&amp;$C222):INDIRECT(BC$1&amp;BC$3&amp;$C222))</f>
        <v>0</v>
      </c>
      <c r="BD222" s="889">
        <f t="shared" ca="1" si="441"/>
        <v>0</v>
      </c>
      <c r="BE222" s="944">
        <f t="shared" ca="1" si="442"/>
        <v>0</v>
      </c>
      <c r="BF222" s="285">
        <f ca="1">SUM(INDIRECT(BF$1&amp;BF$2&amp;$A222):INDIRECT(BF$1&amp;BF$3&amp;$A222))+SUM(INDIRECT(BF$1&amp;BF$2&amp;$B222):INDIRECT(BF$1&amp;BF$3&amp;$B222))</f>
        <v>0</v>
      </c>
      <c r="BG222" s="889">
        <f t="shared" ca="1" si="443"/>
        <v>0</v>
      </c>
      <c r="BH222" s="944">
        <f t="shared" ca="1" si="444"/>
        <v>0</v>
      </c>
    </row>
    <row r="223" spans="1:60" ht="14.5">
      <c r="A223" s="990">
        <f t="shared" si="459"/>
        <v>196</v>
      </c>
      <c r="B223" s="990">
        <v>1</v>
      </c>
      <c r="C223" s="990">
        <f t="shared" si="430"/>
        <v>220</v>
      </c>
      <c r="D223" s="1121" t="s">
        <v>887</v>
      </c>
      <c r="E223" s="1243">
        <v>1</v>
      </c>
      <c r="F223" s="5"/>
      <c r="G223" s="5"/>
      <c r="H223" s="5"/>
      <c r="I223" s="458" t="s">
        <v>128</v>
      </c>
      <c r="J223" s="450"/>
      <c r="K223" s="449"/>
      <c r="L223" s="449"/>
      <c r="M223" s="450"/>
      <c r="N223" s="450"/>
      <c r="O223" s="607" t="s">
        <v>532</v>
      </c>
      <c r="P223" s="604"/>
      <c r="Q223" s="1860" t="str">
        <f>CHOOSE(2, "6722000003142", "PL (3) BT Cons. Sales")</f>
        <v>PL (3) BT Cons. Sales</v>
      </c>
      <c r="R223" s="2123">
        <f t="shared" ref="R223:AC223" si="460">R224+R231</f>
        <v>15204</v>
      </c>
      <c r="S223" s="2014">
        <f t="shared" si="460"/>
        <v>5995</v>
      </c>
      <c r="T223" s="2014">
        <f t="shared" si="460"/>
        <v>25668</v>
      </c>
      <c r="U223" s="2014">
        <f t="shared" si="460"/>
        <v>7458</v>
      </c>
      <c r="V223" s="2014">
        <f t="shared" si="460"/>
        <v>17448.148999999998</v>
      </c>
      <c r="W223" s="2014">
        <f t="shared" si="460"/>
        <v>19062</v>
      </c>
      <c r="X223" s="2014">
        <f t="shared" si="460"/>
        <v>7362</v>
      </c>
      <c r="Y223" s="2014">
        <f t="shared" si="460"/>
        <v>17023</v>
      </c>
      <c r="Z223" s="2014">
        <f t="shared" si="460"/>
        <v>7585</v>
      </c>
      <c r="AA223" s="2014">
        <f t="shared" si="460"/>
        <v>26150</v>
      </c>
      <c r="AB223" s="2014">
        <f t="shared" si="460"/>
        <v>8583.2560000000012</v>
      </c>
      <c r="AC223" s="2014">
        <f t="shared" si="460"/>
        <v>25747</v>
      </c>
      <c r="AD223" s="1527">
        <f t="shared" ref="AD223:AJ223" si="461">AD224+AD231</f>
        <v>46867</v>
      </c>
      <c r="AE223" s="455">
        <f t="shared" si="461"/>
        <v>43968.148999999998</v>
      </c>
      <c r="AF223" s="455">
        <f t="shared" si="461"/>
        <v>31970</v>
      </c>
      <c r="AG223" s="455">
        <f t="shared" si="461"/>
        <v>60480.256000000001</v>
      </c>
      <c r="AH223" s="455">
        <f t="shared" si="461"/>
        <v>90835.149000000005</v>
      </c>
      <c r="AI223" s="455">
        <f t="shared" si="461"/>
        <v>92450.255999999994</v>
      </c>
      <c r="AJ223" s="455">
        <f t="shared" si="461"/>
        <v>183285.405</v>
      </c>
      <c r="AL223" s="2123">
        <f ca="1">SUM((INDIRECT(AL$2&amp;(ROW())):INDIRECT(AL$3&amp;(ROW()))))</f>
        <v>25747</v>
      </c>
      <c r="AM223" s="455">
        <f ca="1">SUM(INDIRECT(AM$1&amp;AM$2&amp;$C223):INDIRECT(AM$1&amp;AM$3&amp;$C223))</f>
        <v>0</v>
      </c>
      <c r="AN223" s="2520">
        <f t="shared" ca="1" si="433"/>
        <v>25747</v>
      </c>
      <c r="AO223" s="1715">
        <f t="shared" ca="1" si="434"/>
        <v>0</v>
      </c>
      <c r="AP223" s="455">
        <f ca="1">SUM(INDIRECT(AP$1&amp;AP$2&amp;$A223):INDIRECT(AP$1&amp;AP$3&amp;$A223))+SUM(INDIRECT(AP$1&amp;AP$2&amp;$B223):INDIRECT(AP$1&amp;AP$3&amp;$B223))</f>
        <v>17459</v>
      </c>
      <c r="AQ223" s="2520">
        <f t="shared" ca="1" si="435"/>
        <v>8288</v>
      </c>
      <c r="AR223" s="1715">
        <f t="shared" ca="1" si="436"/>
        <v>1.4747121828283407</v>
      </c>
      <c r="AT223" s="2123">
        <f ca="1">SUM((INDIRECT(AT$2&amp;(ROW())):INDIRECT(AT$3&amp;(ROW()))))</f>
        <v>60480.256000000001</v>
      </c>
      <c r="AU223" s="455">
        <f ca="1">SUM(INDIRECT(AU$1&amp;AU$2&amp;$C223):INDIRECT(AU$1&amp;AU$3&amp;$C223))</f>
        <v>0</v>
      </c>
      <c r="AV223" s="2520">
        <f t="shared" ca="1" si="437"/>
        <v>60480.256000000001</v>
      </c>
      <c r="AW223" s="1715">
        <f t="shared" ca="1" si="438"/>
        <v>0</v>
      </c>
      <c r="AX223" s="455">
        <f ca="1">SUM(INDIRECT(AX$1&amp;AX$2&amp;$A223):INDIRECT(AX$1&amp;AX$3&amp;$A223))+SUM(INDIRECT(AX$1&amp;AX$2&amp;$B223):INDIRECT(AX$1&amp;AX$3&amp;$B223))</f>
        <v>91622</v>
      </c>
      <c r="AY223" s="2520">
        <f t="shared" ca="1" si="439"/>
        <v>-31141.743999999999</v>
      </c>
      <c r="AZ223" s="1715">
        <f t="shared" ca="1" si="440"/>
        <v>0.66010626268800077</v>
      </c>
      <c r="BB223" s="2123">
        <f ca="1">SUM((INDIRECT(BB$2&amp;(ROW())):INDIRECT(BB$3&amp;(ROW()))))</f>
        <v>183285.405</v>
      </c>
      <c r="BC223" s="455">
        <f ca="1">SUM(INDIRECT(BC$1&amp;BC$2&amp;$C223):INDIRECT(BC$1&amp;BC$3&amp;$C223))</f>
        <v>0</v>
      </c>
      <c r="BD223" s="2520">
        <f t="shared" ca="1" si="441"/>
        <v>183285.405</v>
      </c>
      <c r="BE223" s="1715">
        <f t="shared" ca="1" si="442"/>
        <v>0</v>
      </c>
      <c r="BF223" s="455">
        <f ca="1">SUM(INDIRECT(BF$1&amp;BF$2&amp;$A223):INDIRECT(BF$1&amp;BF$3&amp;$A223))+SUM(INDIRECT(BF$1&amp;BF$2&amp;$B223):INDIRECT(BF$1&amp;BF$3&amp;$B223))</f>
        <v>240053</v>
      </c>
      <c r="BG223" s="2520">
        <f t="shared" ca="1" si="443"/>
        <v>-56767.595000000001</v>
      </c>
      <c r="BH223" s="1715">
        <f t="shared" ca="1" si="444"/>
        <v>0.76352057670597739</v>
      </c>
    </row>
    <row r="224" spans="1:60" s="75" customFormat="1" ht="14.5">
      <c r="A224" s="990">
        <f t="shared" si="459"/>
        <v>197</v>
      </c>
      <c r="B224" s="990">
        <v>1</v>
      </c>
      <c r="C224" s="990">
        <f t="shared" si="430"/>
        <v>221</v>
      </c>
      <c r="D224" s="1121" t="s">
        <v>887</v>
      </c>
      <c r="E224" s="1243">
        <v>1</v>
      </c>
      <c r="F224" s="5"/>
      <c r="G224" s="5"/>
      <c r="H224" s="5"/>
      <c r="I224" s="30"/>
      <c r="J224" s="4"/>
      <c r="K224" s="5"/>
      <c r="L224" s="5"/>
      <c r="M224" s="389" t="s">
        <v>305</v>
      </c>
      <c r="N224" s="389"/>
      <c r="O224" s="389"/>
      <c r="P224" s="389"/>
      <c r="Q224" s="1861" t="str">
        <f>CHOOSE(2, "6722000003143", "PL (3) BT Cons. Sales HW &amp; Solution")</f>
        <v>PL (3) BT Cons. Sales HW &amp; Solution</v>
      </c>
      <c r="R224" s="2124">
        <f>SUM(R225:R230)</f>
        <v>9502</v>
      </c>
      <c r="S224" s="390">
        <f t="shared" ref="S224:AC224" si="462">SUM(S225:S230)</f>
        <v>252</v>
      </c>
      <c r="T224" s="390">
        <f t="shared" si="462"/>
        <v>19252</v>
      </c>
      <c r="U224" s="390">
        <f t="shared" si="462"/>
        <v>252</v>
      </c>
      <c r="V224" s="390">
        <f t="shared" si="462"/>
        <v>9600</v>
      </c>
      <c r="W224" s="390">
        <f t="shared" si="462"/>
        <v>10756</v>
      </c>
      <c r="X224" s="390">
        <f t="shared" si="462"/>
        <v>378</v>
      </c>
      <c r="Y224" s="390">
        <f t="shared" si="462"/>
        <v>9900</v>
      </c>
      <c r="Z224" s="390">
        <f t="shared" si="462"/>
        <v>0</v>
      </c>
      <c r="AA224" s="390">
        <f t="shared" si="462"/>
        <v>18852</v>
      </c>
      <c r="AB224" s="390">
        <f t="shared" si="462"/>
        <v>0</v>
      </c>
      <c r="AC224" s="390">
        <f t="shared" si="462"/>
        <v>17085</v>
      </c>
      <c r="AD224" s="390">
        <f t="shared" ref="AD224:AD237" si="463">SUM(R224,S224,T224)</f>
        <v>29006</v>
      </c>
      <c r="AE224" s="390">
        <f t="shared" ref="AE224:AE237" si="464">SUM(U224,V224,W224)</f>
        <v>20608</v>
      </c>
      <c r="AF224" s="390">
        <f t="shared" ref="AF224:AF237" si="465">SUM(X224,Y224,Z224)</f>
        <v>10278</v>
      </c>
      <c r="AG224" s="390">
        <f t="shared" ref="AG224:AG237" si="466">SUM(AA224,AB224,AC224)</f>
        <v>35937</v>
      </c>
      <c r="AH224" s="390">
        <f>AD224+AE224</f>
        <v>49614</v>
      </c>
      <c r="AI224" s="390">
        <f>AG224+AF224</f>
        <v>46215</v>
      </c>
      <c r="AJ224" s="390">
        <f>AH224+AI224</f>
        <v>95829</v>
      </c>
      <c r="AL224" s="2124">
        <f ca="1">SUM((INDIRECT(AL$2&amp;(ROW())):INDIRECT(AL$3&amp;(ROW()))))</f>
        <v>17085</v>
      </c>
      <c r="AM224" s="390">
        <f ca="1">SUM(INDIRECT(AM$1&amp;AM$2&amp;$C224):INDIRECT(AM$1&amp;AM$3&amp;$C224))</f>
        <v>0</v>
      </c>
      <c r="AN224" s="885">
        <f t="shared" ca="1" si="433"/>
        <v>17085</v>
      </c>
      <c r="AO224" s="940">
        <f t="shared" ca="1" si="434"/>
        <v>0</v>
      </c>
      <c r="AP224" s="390">
        <f ca="1">SUM(INDIRECT(AP$1&amp;AP$2&amp;$A224):INDIRECT(AP$1&amp;AP$3&amp;$A224))+SUM(INDIRECT(AP$1&amp;AP$2&amp;$B224):INDIRECT(AP$1&amp;AP$3&amp;$B224))</f>
        <v>12311</v>
      </c>
      <c r="AQ224" s="885">
        <f t="shared" ca="1" si="435"/>
        <v>4774</v>
      </c>
      <c r="AR224" s="940">
        <f t="shared" ca="1" si="436"/>
        <v>1.3877832832426285</v>
      </c>
      <c r="AT224" s="2124">
        <f ca="1">SUM((INDIRECT(AT$2&amp;(ROW())):INDIRECT(AT$3&amp;(ROW()))))</f>
        <v>35937</v>
      </c>
      <c r="AU224" s="390">
        <f ca="1">SUM(INDIRECT(AU$1&amp;AU$2&amp;$C224):INDIRECT(AU$1&amp;AU$3&amp;$C224))</f>
        <v>0</v>
      </c>
      <c r="AV224" s="885">
        <f t="shared" ca="1" si="437"/>
        <v>35937</v>
      </c>
      <c r="AW224" s="940">
        <f t="shared" ca="1" si="438"/>
        <v>0</v>
      </c>
      <c r="AX224" s="390">
        <f ca="1">SUM(INDIRECT(AX$1&amp;AX$2&amp;$A224):INDIRECT(AX$1&amp;AX$3&amp;$A224))+SUM(INDIRECT(AX$1&amp;AX$2&amp;$B224):INDIRECT(AX$1&amp;AX$3&amp;$B224))</f>
        <v>73698</v>
      </c>
      <c r="AY224" s="885">
        <f t="shared" ca="1" si="439"/>
        <v>-37761</v>
      </c>
      <c r="AZ224" s="940">
        <f t="shared" ca="1" si="440"/>
        <v>0.48762517300333796</v>
      </c>
      <c r="BB224" s="2124">
        <f ca="1">SUM((INDIRECT(BB$2&amp;(ROW())):INDIRECT(BB$3&amp;(ROW()))))</f>
        <v>95829</v>
      </c>
      <c r="BC224" s="390">
        <f ca="1">SUM(INDIRECT(BC$1&amp;BC$2&amp;$C224):INDIRECT(BC$1&amp;BC$3&amp;$C224))</f>
        <v>0</v>
      </c>
      <c r="BD224" s="885">
        <f t="shared" ca="1" si="441"/>
        <v>95829</v>
      </c>
      <c r="BE224" s="940">
        <f t="shared" ca="1" si="442"/>
        <v>0</v>
      </c>
      <c r="BF224" s="390">
        <f ca="1">SUM(INDIRECT(BF$1&amp;BF$2&amp;$A224):INDIRECT(BF$1&amp;BF$3&amp;$A224))+SUM(INDIRECT(BF$1&amp;BF$2&amp;$B224):INDIRECT(BF$1&amp;BF$3&amp;$B224))</f>
        <v>186541</v>
      </c>
      <c r="BG224" s="885">
        <f t="shared" ca="1" si="443"/>
        <v>-90712</v>
      </c>
      <c r="BH224" s="940">
        <f t="shared" ca="1" si="444"/>
        <v>0.51371548345940032</v>
      </c>
    </row>
    <row r="225" spans="1:60" s="75" customFormat="1" ht="14.5">
      <c r="A225" s="990">
        <f t="shared" si="459"/>
        <v>198</v>
      </c>
      <c r="B225" s="990">
        <v>1</v>
      </c>
      <c r="C225" s="990">
        <f t="shared" si="430"/>
        <v>222</v>
      </c>
      <c r="D225" s="1121" t="s">
        <v>887</v>
      </c>
      <c r="E225" s="1243">
        <v>1</v>
      </c>
      <c r="F225" s="5"/>
      <c r="G225" s="5"/>
      <c r="H225" s="5"/>
      <c r="I225" s="30"/>
      <c r="J225" s="4"/>
      <c r="K225" s="5"/>
      <c r="L225" s="5"/>
      <c r="M225" s="5"/>
      <c r="N225" s="4" t="s">
        <v>989</v>
      </c>
      <c r="O225" s="4"/>
      <c r="P225" s="4"/>
      <c r="Q225" s="1855" t="str">
        <f>CHOOSE(2, "6722000003144", "PL (3) BT Cons. Sales HW &amp; Solution KM-1/KM-1e")</f>
        <v>PL (3) BT Cons. Sales HW &amp; Solution KM-1/KM-1e</v>
      </c>
      <c r="R225" s="2032">
        <v>0</v>
      </c>
      <c r="S225" s="2039">
        <v>0</v>
      </c>
      <c r="T225" s="2039">
        <v>0</v>
      </c>
      <c r="U225" s="2039">
        <v>0</v>
      </c>
      <c r="V225" s="2039">
        <v>0</v>
      </c>
      <c r="W225" s="2039">
        <v>0</v>
      </c>
      <c r="X225" s="2039">
        <v>0</v>
      </c>
      <c r="Y225" s="2039">
        <v>0</v>
      </c>
      <c r="Z225" s="2039">
        <v>0</v>
      </c>
      <c r="AA225" s="2039">
        <v>0</v>
      </c>
      <c r="AB225" s="2039">
        <v>0</v>
      </c>
      <c r="AC225" s="2039">
        <v>-1515</v>
      </c>
      <c r="AD225" s="135">
        <f t="shared" si="463"/>
        <v>0</v>
      </c>
      <c r="AE225" s="135">
        <f t="shared" si="464"/>
        <v>0</v>
      </c>
      <c r="AF225" s="135">
        <f t="shared" si="465"/>
        <v>0</v>
      </c>
      <c r="AG225" s="135">
        <f t="shared" si="466"/>
        <v>-1515</v>
      </c>
      <c r="AH225" s="135">
        <f t="shared" ref="AH225:AH237" si="467">AD225+AE225</f>
        <v>0</v>
      </c>
      <c r="AI225" s="135">
        <f t="shared" ref="AI225:AI237" si="468">AG225+AF225</f>
        <v>-1515</v>
      </c>
      <c r="AJ225" s="135">
        <f t="shared" ref="AJ225:AJ237" si="469">AH225+AI225</f>
        <v>-1515</v>
      </c>
      <c r="AL225" s="2097">
        <f ca="1">SUM((INDIRECT(AL$2&amp;(ROW())):INDIRECT(AL$3&amp;(ROW()))))</f>
        <v>-1515</v>
      </c>
      <c r="AM225" s="135">
        <f ca="1">SUM(INDIRECT(AM$1&amp;AM$2&amp;$C225):INDIRECT(AM$1&amp;AM$3&amp;$C225))</f>
        <v>0</v>
      </c>
      <c r="AN225" s="886">
        <f t="shared" ca="1" si="433"/>
        <v>-1515</v>
      </c>
      <c r="AO225" s="941">
        <f t="shared" ca="1" si="434"/>
        <v>0</v>
      </c>
      <c r="AP225" s="135">
        <f ca="1">SUM(INDIRECT(AP$1&amp;AP$2&amp;$A225):INDIRECT(AP$1&amp;AP$3&amp;$A225))+SUM(INDIRECT(AP$1&amp;AP$2&amp;$B225):INDIRECT(AP$1&amp;AP$3&amp;$B225))</f>
        <v>0</v>
      </c>
      <c r="AQ225" s="886">
        <f t="shared" ca="1" si="435"/>
        <v>-1515</v>
      </c>
      <c r="AR225" s="941">
        <f t="shared" ca="1" si="436"/>
        <v>0</v>
      </c>
      <c r="AT225" s="2097">
        <f ca="1">SUM((INDIRECT(AT$2&amp;(ROW())):INDIRECT(AT$3&amp;(ROW()))))</f>
        <v>-1515</v>
      </c>
      <c r="AU225" s="135">
        <f ca="1">SUM(INDIRECT(AU$1&amp;AU$2&amp;$C225):INDIRECT(AU$1&amp;AU$3&amp;$C225))</f>
        <v>0</v>
      </c>
      <c r="AV225" s="886">
        <f t="shared" ca="1" si="437"/>
        <v>-1515</v>
      </c>
      <c r="AW225" s="941">
        <f t="shared" ca="1" si="438"/>
        <v>0</v>
      </c>
      <c r="AX225" s="135">
        <f ca="1">SUM(INDIRECT(AX$1&amp;AX$2&amp;$A225):INDIRECT(AX$1&amp;AX$3&amp;$A225))+SUM(INDIRECT(AX$1&amp;AX$2&amp;$B225):INDIRECT(AX$1&amp;AX$3&amp;$B225))</f>
        <v>-1647</v>
      </c>
      <c r="AY225" s="886">
        <f t="shared" ca="1" si="439"/>
        <v>132</v>
      </c>
      <c r="AZ225" s="941">
        <f t="shared" ca="1" si="440"/>
        <v>0.91985428051001816</v>
      </c>
      <c r="BB225" s="2097">
        <f ca="1">SUM((INDIRECT(BB$2&amp;(ROW())):INDIRECT(BB$3&amp;(ROW()))))</f>
        <v>-1515</v>
      </c>
      <c r="BC225" s="135">
        <f ca="1">SUM(INDIRECT(BC$1&amp;BC$2&amp;$C225):INDIRECT(BC$1&amp;BC$3&amp;$C225))</f>
        <v>0</v>
      </c>
      <c r="BD225" s="886">
        <f t="shared" ca="1" si="441"/>
        <v>-1515</v>
      </c>
      <c r="BE225" s="941">
        <f t="shared" ca="1" si="442"/>
        <v>0</v>
      </c>
      <c r="BF225" s="135">
        <f ca="1">SUM(INDIRECT(BF$1&amp;BF$2&amp;$A225):INDIRECT(BF$1&amp;BF$3&amp;$A225))+SUM(INDIRECT(BF$1&amp;BF$2&amp;$B225):INDIRECT(BF$1&amp;BF$3&amp;$B225))</f>
        <v>-1647</v>
      </c>
      <c r="BG225" s="886">
        <f t="shared" ca="1" si="443"/>
        <v>132</v>
      </c>
      <c r="BH225" s="941">
        <f t="shared" ca="1" si="444"/>
        <v>0.91985428051001816</v>
      </c>
    </row>
    <row r="226" spans="1:60" s="75" customFormat="1" ht="14.5">
      <c r="A226" s="990">
        <f t="shared" si="459"/>
        <v>199</v>
      </c>
      <c r="B226" s="990">
        <v>1</v>
      </c>
      <c r="C226" s="990">
        <f t="shared" si="430"/>
        <v>223</v>
      </c>
      <c r="D226" s="1121" t="s">
        <v>887</v>
      </c>
      <c r="E226" s="1243">
        <v>1</v>
      </c>
      <c r="F226" s="5"/>
      <c r="G226" s="5"/>
      <c r="H226" s="5"/>
      <c r="I226" s="30"/>
      <c r="J226" s="4"/>
      <c r="K226" s="5"/>
      <c r="L226" s="5"/>
      <c r="M226" s="5"/>
      <c r="N226" s="4" t="s">
        <v>209</v>
      </c>
      <c r="O226" s="4"/>
      <c r="P226" s="4"/>
      <c r="Q226" s="1855" t="str">
        <f>CHOOSE(2, "6722000003145", "PL (3) BT Cons. Sales HW &amp; Solution Label Printer")</f>
        <v>PL (3) BT Cons. Sales HW &amp; Solution Label Printer</v>
      </c>
      <c r="R226" s="2032">
        <v>0</v>
      </c>
      <c r="S226" s="2039">
        <v>0</v>
      </c>
      <c r="T226" s="2039">
        <v>9500</v>
      </c>
      <c r="U226" s="2039">
        <v>0</v>
      </c>
      <c r="V226" s="2039">
        <v>0</v>
      </c>
      <c r="W226" s="2039">
        <v>0</v>
      </c>
      <c r="X226" s="2039">
        <v>0</v>
      </c>
      <c r="Y226" s="2039">
        <v>0</v>
      </c>
      <c r="Z226" s="2039">
        <v>0</v>
      </c>
      <c r="AA226" s="2039">
        <v>9100</v>
      </c>
      <c r="AB226" s="2039">
        <v>0</v>
      </c>
      <c r="AC226" s="2039">
        <v>9000</v>
      </c>
      <c r="AD226" s="135">
        <f t="shared" si="463"/>
        <v>9500</v>
      </c>
      <c r="AE226" s="135">
        <f t="shared" si="464"/>
        <v>0</v>
      </c>
      <c r="AF226" s="135">
        <f t="shared" si="465"/>
        <v>0</v>
      </c>
      <c r="AG226" s="135">
        <f t="shared" si="466"/>
        <v>18100</v>
      </c>
      <c r="AH226" s="135">
        <f t="shared" si="467"/>
        <v>9500</v>
      </c>
      <c r="AI226" s="135">
        <f t="shared" si="468"/>
        <v>18100</v>
      </c>
      <c r="AJ226" s="135">
        <f t="shared" si="469"/>
        <v>27600</v>
      </c>
      <c r="AL226" s="2097">
        <f ca="1">SUM((INDIRECT(AL$2&amp;(ROW())):INDIRECT(AL$3&amp;(ROW()))))</f>
        <v>9000</v>
      </c>
      <c r="AM226" s="135">
        <f ca="1">SUM(INDIRECT(AM$1&amp;AM$2&amp;$C226):INDIRECT(AM$1&amp;AM$3&amp;$C226))</f>
        <v>0</v>
      </c>
      <c r="AN226" s="886">
        <f t="shared" ca="1" si="433"/>
        <v>9000</v>
      </c>
      <c r="AO226" s="941">
        <f t="shared" ca="1" si="434"/>
        <v>0</v>
      </c>
      <c r="AP226" s="135">
        <f ca="1">SUM(INDIRECT(AP$1&amp;AP$2&amp;$A226):INDIRECT(AP$1&amp;AP$3&amp;$A226))+SUM(INDIRECT(AP$1&amp;AP$2&amp;$B226):INDIRECT(AP$1&amp;AP$3&amp;$B226))</f>
        <v>2709</v>
      </c>
      <c r="AQ226" s="886">
        <f t="shared" ca="1" si="435"/>
        <v>6291</v>
      </c>
      <c r="AR226" s="941">
        <f t="shared" ca="1" si="436"/>
        <v>3.3222591362126246</v>
      </c>
      <c r="AT226" s="2097">
        <f ca="1">SUM((INDIRECT(AT$2&amp;(ROW())):INDIRECT(AT$3&amp;(ROW()))))</f>
        <v>18100</v>
      </c>
      <c r="AU226" s="135">
        <f ca="1">SUM(INDIRECT(AU$1&amp;AU$2&amp;$C226):INDIRECT(AU$1&amp;AU$3&amp;$C226))</f>
        <v>0</v>
      </c>
      <c r="AV226" s="886">
        <f t="shared" ca="1" si="437"/>
        <v>18100</v>
      </c>
      <c r="AW226" s="941">
        <f t="shared" ca="1" si="438"/>
        <v>0</v>
      </c>
      <c r="AX226" s="135">
        <f ca="1">SUM(INDIRECT(AX$1&amp;AX$2&amp;$A226):INDIRECT(AX$1&amp;AX$3&amp;$A226))+SUM(INDIRECT(AX$1&amp;AX$2&amp;$B226):INDIRECT(AX$1&amp;AX$3&amp;$B226))</f>
        <v>14521</v>
      </c>
      <c r="AY226" s="886">
        <f t="shared" ca="1" si="439"/>
        <v>3579</v>
      </c>
      <c r="AZ226" s="941">
        <f t="shared" ca="1" si="440"/>
        <v>1.2464706287445768</v>
      </c>
      <c r="BB226" s="2097">
        <f ca="1">SUM((INDIRECT(BB$2&amp;(ROW())):INDIRECT(BB$3&amp;(ROW()))))</f>
        <v>27600</v>
      </c>
      <c r="BC226" s="135">
        <f ca="1">SUM(INDIRECT(BC$1&amp;BC$2&amp;$C226):INDIRECT(BC$1&amp;BC$3&amp;$C226))</f>
        <v>0</v>
      </c>
      <c r="BD226" s="886">
        <f t="shared" ca="1" si="441"/>
        <v>27600</v>
      </c>
      <c r="BE226" s="941">
        <f t="shared" ca="1" si="442"/>
        <v>0</v>
      </c>
      <c r="BF226" s="135">
        <f ca="1">SUM(INDIRECT(BF$1&amp;BF$2&amp;$A226):INDIRECT(BF$1&amp;BF$3&amp;$A226))+SUM(INDIRECT(BF$1&amp;BF$2&amp;$B226):INDIRECT(BF$1&amp;BF$3&amp;$B226))</f>
        <v>42434</v>
      </c>
      <c r="BG226" s="886">
        <f t="shared" ca="1" si="443"/>
        <v>-14834</v>
      </c>
      <c r="BH226" s="941">
        <f t="shared" ca="1" si="444"/>
        <v>0.65042183155017208</v>
      </c>
    </row>
    <row r="227" spans="1:60" s="75" customFormat="1" ht="14.5">
      <c r="A227" s="990">
        <f t="shared" si="459"/>
        <v>200</v>
      </c>
      <c r="B227" s="990">
        <v>1</v>
      </c>
      <c r="C227" s="990">
        <f t="shared" si="430"/>
        <v>224</v>
      </c>
      <c r="D227" s="1121" t="s">
        <v>887</v>
      </c>
      <c r="E227" s="1243">
        <v>1</v>
      </c>
      <c r="F227" s="5"/>
      <c r="G227" s="5"/>
      <c r="H227" s="5"/>
      <c r="I227" s="30"/>
      <c r="J227" s="4"/>
      <c r="K227" s="5"/>
      <c r="L227" s="5"/>
      <c r="M227" s="5"/>
      <c r="N227" s="4" t="s">
        <v>132</v>
      </c>
      <c r="O227" s="4"/>
      <c r="P227" s="4"/>
      <c r="Q227" s="1855" t="str">
        <f>CHOOSE(2, "6722000003146", "PL (3) BT Cons. Sales HW &amp; Solution MGI")</f>
        <v>PL (3) BT Cons. Sales HW &amp; Solution MGI</v>
      </c>
      <c r="R227" s="2032">
        <v>9502</v>
      </c>
      <c r="S227" s="2039">
        <v>252</v>
      </c>
      <c r="T227" s="2039">
        <v>9752</v>
      </c>
      <c r="U227" s="2039">
        <v>252</v>
      </c>
      <c r="V227" s="2039">
        <v>9600</v>
      </c>
      <c r="W227" s="2039">
        <v>10756</v>
      </c>
      <c r="X227" s="2039">
        <v>378</v>
      </c>
      <c r="Y227" s="2039">
        <v>9900</v>
      </c>
      <c r="Z227" s="2039">
        <v>0</v>
      </c>
      <c r="AA227" s="2039">
        <v>9752</v>
      </c>
      <c r="AB227" s="2039">
        <v>0</v>
      </c>
      <c r="AC227" s="2039">
        <v>9600</v>
      </c>
      <c r="AD227" s="135">
        <f t="shared" si="463"/>
        <v>19506</v>
      </c>
      <c r="AE227" s="135">
        <f t="shared" si="464"/>
        <v>20608</v>
      </c>
      <c r="AF227" s="135">
        <f t="shared" si="465"/>
        <v>10278</v>
      </c>
      <c r="AG227" s="135">
        <f t="shared" si="466"/>
        <v>19352</v>
      </c>
      <c r="AH227" s="135">
        <f t="shared" si="467"/>
        <v>40114</v>
      </c>
      <c r="AI227" s="135">
        <f t="shared" si="468"/>
        <v>29630</v>
      </c>
      <c r="AJ227" s="135">
        <f t="shared" si="469"/>
        <v>69744</v>
      </c>
      <c r="AL227" s="2097">
        <f ca="1">SUM((INDIRECT(AL$2&amp;(ROW())):INDIRECT(AL$3&amp;(ROW()))))</f>
        <v>9600</v>
      </c>
      <c r="AM227" s="135">
        <f ca="1">SUM(INDIRECT(AM$1&amp;AM$2&amp;$C227):INDIRECT(AM$1&amp;AM$3&amp;$C227))</f>
        <v>0</v>
      </c>
      <c r="AN227" s="886">
        <f t="shared" ca="1" si="433"/>
        <v>9600</v>
      </c>
      <c r="AO227" s="941">
        <f t="shared" ca="1" si="434"/>
        <v>0</v>
      </c>
      <c r="AP227" s="135">
        <f ca="1">SUM(INDIRECT(AP$1&amp;AP$2&amp;$A227):INDIRECT(AP$1&amp;AP$3&amp;$A227))+SUM(INDIRECT(AP$1&amp;AP$2&amp;$B227):INDIRECT(AP$1&amp;AP$3&amp;$B227))</f>
        <v>9602</v>
      </c>
      <c r="AQ227" s="886">
        <f t="shared" ca="1" si="435"/>
        <v>-2</v>
      </c>
      <c r="AR227" s="941">
        <f t="shared" ca="1" si="436"/>
        <v>0.99979171006040413</v>
      </c>
      <c r="AT227" s="2097">
        <f ca="1">SUM((INDIRECT(AT$2&amp;(ROW())):INDIRECT(AT$3&amp;(ROW()))))</f>
        <v>19352</v>
      </c>
      <c r="AU227" s="135">
        <f ca="1">SUM(INDIRECT(AU$1&amp;AU$2&amp;$C227):INDIRECT(AU$1&amp;AU$3&amp;$C227))</f>
        <v>0</v>
      </c>
      <c r="AV227" s="886">
        <f t="shared" ca="1" si="437"/>
        <v>19352</v>
      </c>
      <c r="AW227" s="941">
        <f t="shared" ca="1" si="438"/>
        <v>0</v>
      </c>
      <c r="AX227" s="135">
        <f ca="1">SUM(INDIRECT(AX$1&amp;AX$2&amp;$A227):INDIRECT(AX$1&amp;AX$3&amp;$A227))+SUM(INDIRECT(AX$1&amp;AX$2&amp;$B227):INDIRECT(AX$1&amp;AX$3&amp;$B227))</f>
        <v>60824</v>
      </c>
      <c r="AY227" s="886">
        <f t="shared" ca="1" si="439"/>
        <v>-41472</v>
      </c>
      <c r="AZ227" s="941">
        <f t="shared" ca="1" si="440"/>
        <v>0.31816388267789031</v>
      </c>
      <c r="BB227" s="2097">
        <f ca="1">SUM((INDIRECT(BB$2&amp;(ROW())):INDIRECT(BB$3&amp;(ROW()))))</f>
        <v>69744</v>
      </c>
      <c r="BC227" s="135">
        <f ca="1">SUM(INDIRECT(BC$1&amp;BC$2&amp;$C227):INDIRECT(BC$1&amp;BC$3&amp;$C227))</f>
        <v>0</v>
      </c>
      <c r="BD227" s="886">
        <f t="shared" ca="1" si="441"/>
        <v>69744</v>
      </c>
      <c r="BE227" s="941">
        <f t="shared" ca="1" si="442"/>
        <v>0</v>
      </c>
      <c r="BF227" s="135">
        <f ca="1">SUM(INDIRECT(BF$1&amp;BF$2&amp;$A227):INDIRECT(BF$1&amp;BF$3&amp;$A227))+SUM(INDIRECT(BF$1&amp;BF$2&amp;$B227):INDIRECT(BF$1&amp;BF$3&amp;$B227))</f>
        <v>145754</v>
      </c>
      <c r="BG227" s="886">
        <f t="shared" ca="1" si="443"/>
        <v>-76010</v>
      </c>
      <c r="BH227" s="941">
        <f t="shared" ca="1" si="444"/>
        <v>0.47850487808224818</v>
      </c>
    </row>
    <row r="228" spans="1:60" s="75" customFormat="1" ht="14.5">
      <c r="A228" s="990">
        <f t="shared" si="459"/>
        <v>201</v>
      </c>
      <c r="B228" s="990">
        <v>1</v>
      </c>
      <c r="C228" s="990">
        <f t="shared" si="430"/>
        <v>225</v>
      </c>
      <c r="D228" s="1121" t="s">
        <v>887</v>
      </c>
      <c r="E228" s="1243">
        <v>1</v>
      </c>
      <c r="F228" s="5"/>
      <c r="G228" s="5"/>
      <c r="H228" s="5"/>
      <c r="I228" s="30"/>
      <c r="J228" s="4"/>
      <c r="K228" s="5"/>
      <c r="L228" s="5"/>
      <c r="M228" s="5"/>
      <c r="N228" s="4" t="s">
        <v>210</v>
      </c>
      <c r="O228" s="4"/>
      <c r="P228" s="4"/>
      <c r="Q228" s="1855" t="str">
        <f>CHOOSE(2, "6722000003147", "PL (3) BT Cons. Sales HW &amp; Solution EFI/LF")</f>
        <v>PL (3) BT Cons. Sales HW &amp; Solution EFI/LF</v>
      </c>
      <c r="R228" s="2032">
        <v>0</v>
      </c>
      <c r="S228" s="2039">
        <v>0</v>
      </c>
      <c r="T228" s="2039">
        <v>0</v>
      </c>
      <c r="U228" s="2039">
        <v>0</v>
      </c>
      <c r="V228" s="2039">
        <v>0</v>
      </c>
      <c r="W228" s="2039">
        <v>0</v>
      </c>
      <c r="X228" s="2039">
        <v>0</v>
      </c>
      <c r="Y228" s="2039">
        <v>0</v>
      </c>
      <c r="Z228" s="2039">
        <v>0</v>
      </c>
      <c r="AA228" s="2039">
        <v>0</v>
      </c>
      <c r="AB228" s="2039">
        <v>0</v>
      </c>
      <c r="AC228" s="2039">
        <v>0</v>
      </c>
      <c r="AD228" s="135">
        <f t="shared" si="463"/>
        <v>0</v>
      </c>
      <c r="AE228" s="135">
        <f t="shared" si="464"/>
        <v>0</v>
      </c>
      <c r="AF228" s="135">
        <f t="shared" si="465"/>
        <v>0</v>
      </c>
      <c r="AG228" s="135">
        <f t="shared" si="466"/>
        <v>0</v>
      </c>
      <c r="AH228" s="135">
        <f t="shared" si="467"/>
        <v>0</v>
      </c>
      <c r="AI228" s="135">
        <f t="shared" si="468"/>
        <v>0</v>
      </c>
      <c r="AJ228" s="135">
        <f t="shared" si="469"/>
        <v>0</v>
      </c>
      <c r="AL228" s="2097">
        <f ca="1">SUM((INDIRECT(AL$2&amp;(ROW())):INDIRECT(AL$3&amp;(ROW()))))</f>
        <v>0</v>
      </c>
      <c r="AM228" s="135">
        <f ca="1">SUM(INDIRECT(AM$1&amp;AM$2&amp;$C228):INDIRECT(AM$1&amp;AM$3&amp;$C228))</f>
        <v>0</v>
      </c>
      <c r="AN228" s="886">
        <f t="shared" ca="1" si="433"/>
        <v>0</v>
      </c>
      <c r="AO228" s="941">
        <f t="shared" ca="1" si="434"/>
        <v>0</v>
      </c>
      <c r="AP228" s="135">
        <f ca="1">SUM(INDIRECT(AP$1&amp;AP$2&amp;$A228):INDIRECT(AP$1&amp;AP$3&amp;$A228))+SUM(INDIRECT(AP$1&amp;AP$2&amp;$B228):INDIRECT(AP$1&amp;AP$3&amp;$B228))</f>
        <v>0</v>
      </c>
      <c r="AQ228" s="886">
        <f t="shared" ca="1" si="435"/>
        <v>0</v>
      </c>
      <c r="AR228" s="941">
        <f t="shared" ca="1" si="436"/>
        <v>0</v>
      </c>
      <c r="AT228" s="2097">
        <f ca="1">SUM((INDIRECT(AT$2&amp;(ROW())):INDIRECT(AT$3&amp;(ROW()))))</f>
        <v>0</v>
      </c>
      <c r="AU228" s="135">
        <f ca="1">SUM(INDIRECT(AU$1&amp;AU$2&amp;$C228):INDIRECT(AU$1&amp;AU$3&amp;$C228))</f>
        <v>0</v>
      </c>
      <c r="AV228" s="886">
        <f t="shared" ca="1" si="437"/>
        <v>0</v>
      </c>
      <c r="AW228" s="941">
        <f t="shared" ca="1" si="438"/>
        <v>0</v>
      </c>
      <c r="AX228" s="135">
        <f ca="1">SUM(INDIRECT(AX$1&amp;AX$2&amp;$A228):INDIRECT(AX$1&amp;AX$3&amp;$A228))+SUM(INDIRECT(AX$1&amp;AX$2&amp;$B228):INDIRECT(AX$1&amp;AX$3&amp;$B228))</f>
        <v>0</v>
      </c>
      <c r="AY228" s="886">
        <f t="shared" ca="1" si="439"/>
        <v>0</v>
      </c>
      <c r="AZ228" s="941">
        <f t="shared" ca="1" si="440"/>
        <v>0</v>
      </c>
      <c r="BB228" s="2097">
        <f ca="1">SUM((INDIRECT(BB$2&amp;(ROW())):INDIRECT(BB$3&amp;(ROW()))))</f>
        <v>0</v>
      </c>
      <c r="BC228" s="135">
        <f ca="1">SUM(INDIRECT(BC$1&amp;BC$2&amp;$C228):INDIRECT(BC$1&amp;BC$3&amp;$C228))</f>
        <v>0</v>
      </c>
      <c r="BD228" s="886">
        <f t="shared" ca="1" si="441"/>
        <v>0</v>
      </c>
      <c r="BE228" s="941">
        <f t="shared" ca="1" si="442"/>
        <v>0</v>
      </c>
      <c r="BF228" s="135">
        <f ca="1">SUM(INDIRECT(BF$1&amp;BF$2&amp;$A228):INDIRECT(BF$1&amp;BF$3&amp;$A228))+SUM(INDIRECT(BF$1&amp;BF$2&amp;$B228):INDIRECT(BF$1&amp;BF$3&amp;$B228))</f>
        <v>0</v>
      </c>
      <c r="BG228" s="886">
        <f t="shared" ca="1" si="443"/>
        <v>0</v>
      </c>
      <c r="BH228" s="941">
        <f t="shared" ca="1" si="444"/>
        <v>0</v>
      </c>
    </row>
    <row r="229" spans="1:60" s="75" customFormat="1" ht="14.5">
      <c r="A229" s="990">
        <f t="shared" si="459"/>
        <v>202</v>
      </c>
      <c r="B229" s="990">
        <v>1</v>
      </c>
      <c r="C229" s="990">
        <f t="shared" si="430"/>
        <v>226</v>
      </c>
      <c r="D229" s="1121" t="s">
        <v>887</v>
      </c>
      <c r="E229" s="1243">
        <v>1</v>
      </c>
      <c r="F229" s="5"/>
      <c r="G229" s="5"/>
      <c r="H229" s="5"/>
      <c r="I229" s="30"/>
      <c r="J229" s="4"/>
      <c r="K229" s="5"/>
      <c r="L229" s="5"/>
      <c r="M229" s="5"/>
      <c r="N229" s="4" t="s">
        <v>292</v>
      </c>
      <c r="O229" s="4"/>
      <c r="P229" s="4"/>
      <c r="Q229" s="1855" t="str">
        <f>CHOOSE(2, "6722000003148", "PL (3) BT Cons. Sales HW &amp; Solution Textile Printer")</f>
        <v>PL (3) BT Cons. Sales HW &amp; Solution Textile Printer</v>
      </c>
      <c r="R229" s="2032">
        <v>0</v>
      </c>
      <c r="S229" s="2039">
        <v>0</v>
      </c>
      <c r="T229" s="2039">
        <v>0</v>
      </c>
      <c r="U229" s="2039">
        <v>0</v>
      </c>
      <c r="V229" s="2039">
        <v>0</v>
      </c>
      <c r="W229" s="2039">
        <v>0</v>
      </c>
      <c r="X229" s="2039">
        <v>0</v>
      </c>
      <c r="Y229" s="2039">
        <v>0</v>
      </c>
      <c r="Z229" s="2039">
        <v>0</v>
      </c>
      <c r="AA229" s="2039">
        <v>0</v>
      </c>
      <c r="AB229" s="2039">
        <v>0</v>
      </c>
      <c r="AC229" s="2039">
        <v>0</v>
      </c>
      <c r="AD229" s="135">
        <f t="shared" si="463"/>
        <v>0</v>
      </c>
      <c r="AE229" s="135">
        <f t="shared" si="464"/>
        <v>0</v>
      </c>
      <c r="AF229" s="135">
        <f t="shared" si="465"/>
        <v>0</v>
      </c>
      <c r="AG229" s="135">
        <f t="shared" si="466"/>
        <v>0</v>
      </c>
      <c r="AH229" s="135">
        <f t="shared" si="467"/>
        <v>0</v>
      </c>
      <c r="AI229" s="135">
        <f t="shared" si="468"/>
        <v>0</v>
      </c>
      <c r="AJ229" s="135">
        <f t="shared" si="469"/>
        <v>0</v>
      </c>
      <c r="AL229" s="2097">
        <f ca="1">SUM((INDIRECT(AL$2&amp;(ROW())):INDIRECT(AL$3&amp;(ROW()))))</f>
        <v>0</v>
      </c>
      <c r="AM229" s="135">
        <f ca="1">SUM(INDIRECT(AM$1&amp;AM$2&amp;$C229):INDIRECT(AM$1&amp;AM$3&amp;$C229))</f>
        <v>0</v>
      </c>
      <c r="AN229" s="886">
        <f t="shared" ca="1" si="433"/>
        <v>0</v>
      </c>
      <c r="AO229" s="941">
        <f t="shared" ca="1" si="434"/>
        <v>0</v>
      </c>
      <c r="AP229" s="135">
        <f ca="1">SUM(INDIRECT(AP$1&amp;AP$2&amp;$A229):INDIRECT(AP$1&amp;AP$3&amp;$A229))+SUM(INDIRECT(AP$1&amp;AP$2&amp;$B229):INDIRECT(AP$1&amp;AP$3&amp;$B229))</f>
        <v>0</v>
      </c>
      <c r="AQ229" s="886">
        <f t="shared" ca="1" si="435"/>
        <v>0</v>
      </c>
      <c r="AR229" s="941">
        <f t="shared" ca="1" si="436"/>
        <v>0</v>
      </c>
      <c r="AT229" s="2097">
        <f ca="1">SUM((INDIRECT(AT$2&amp;(ROW())):INDIRECT(AT$3&amp;(ROW()))))</f>
        <v>0</v>
      </c>
      <c r="AU229" s="135">
        <f ca="1">SUM(INDIRECT(AU$1&amp;AU$2&amp;$C229):INDIRECT(AU$1&amp;AU$3&amp;$C229))</f>
        <v>0</v>
      </c>
      <c r="AV229" s="886">
        <f t="shared" ca="1" si="437"/>
        <v>0</v>
      </c>
      <c r="AW229" s="941">
        <f t="shared" ca="1" si="438"/>
        <v>0</v>
      </c>
      <c r="AX229" s="135">
        <f ca="1">SUM(INDIRECT(AX$1&amp;AX$2&amp;$A229):INDIRECT(AX$1&amp;AX$3&amp;$A229))+SUM(INDIRECT(AX$1&amp;AX$2&amp;$B229):INDIRECT(AX$1&amp;AX$3&amp;$B229))</f>
        <v>0</v>
      </c>
      <c r="AY229" s="886">
        <f t="shared" ca="1" si="439"/>
        <v>0</v>
      </c>
      <c r="AZ229" s="941">
        <f t="shared" ca="1" si="440"/>
        <v>0</v>
      </c>
      <c r="BB229" s="2097">
        <f ca="1">SUM((INDIRECT(BB$2&amp;(ROW())):INDIRECT(BB$3&amp;(ROW()))))</f>
        <v>0</v>
      </c>
      <c r="BC229" s="135">
        <f ca="1">SUM(INDIRECT(BC$1&amp;BC$2&amp;$C229):INDIRECT(BC$1&amp;BC$3&amp;$C229))</f>
        <v>0</v>
      </c>
      <c r="BD229" s="886">
        <f t="shared" ca="1" si="441"/>
        <v>0</v>
      </c>
      <c r="BE229" s="941">
        <f t="shared" ca="1" si="442"/>
        <v>0</v>
      </c>
      <c r="BF229" s="135">
        <f ca="1">SUM(INDIRECT(BF$1&amp;BF$2&amp;$A229):INDIRECT(BF$1&amp;BF$3&amp;$A229))+SUM(INDIRECT(BF$1&amp;BF$2&amp;$B229):INDIRECT(BF$1&amp;BF$3&amp;$B229))</f>
        <v>0</v>
      </c>
      <c r="BG229" s="886">
        <f t="shared" ca="1" si="443"/>
        <v>0</v>
      </c>
      <c r="BH229" s="941">
        <f t="shared" ca="1" si="444"/>
        <v>0</v>
      </c>
    </row>
    <row r="230" spans="1:60" s="75" customFormat="1" ht="14.5">
      <c r="A230" s="990">
        <f t="shared" si="459"/>
        <v>203</v>
      </c>
      <c r="B230" s="990">
        <v>1</v>
      </c>
      <c r="C230" s="990">
        <f t="shared" si="430"/>
        <v>227</v>
      </c>
      <c r="D230" s="1121" t="s">
        <v>887</v>
      </c>
      <c r="E230" s="1243">
        <v>1</v>
      </c>
      <c r="F230" s="5"/>
      <c r="G230" s="5"/>
      <c r="H230" s="5"/>
      <c r="I230" s="30"/>
      <c r="J230" s="4"/>
      <c r="K230" s="5"/>
      <c r="L230" s="5"/>
      <c r="M230" s="51"/>
      <c r="N230" s="51" t="s">
        <v>131</v>
      </c>
      <c r="O230" s="51"/>
      <c r="P230" s="51"/>
      <c r="Q230" s="1855" t="str">
        <f>CHOOSE(2, "6722000003149", "PL (3) BT Cons. Sales HW &amp; Solution Others")</f>
        <v>PL (3) BT Cons. Sales HW &amp; Solution Others</v>
      </c>
      <c r="R230" s="2211">
        <v>0</v>
      </c>
      <c r="S230" s="2043">
        <v>0</v>
      </c>
      <c r="T230" s="2043">
        <v>0</v>
      </c>
      <c r="U230" s="2043">
        <v>0</v>
      </c>
      <c r="V230" s="2043">
        <v>0</v>
      </c>
      <c r="W230" s="2043">
        <v>0</v>
      </c>
      <c r="X230" s="2043">
        <v>0</v>
      </c>
      <c r="Y230" s="2043">
        <v>0</v>
      </c>
      <c r="Z230" s="2043">
        <v>0</v>
      </c>
      <c r="AA230" s="2043">
        <v>0</v>
      </c>
      <c r="AB230" s="2043">
        <v>0</v>
      </c>
      <c r="AC230" s="2043">
        <v>0</v>
      </c>
      <c r="AD230" s="284">
        <f t="shared" si="463"/>
        <v>0</v>
      </c>
      <c r="AE230" s="284">
        <f t="shared" si="464"/>
        <v>0</v>
      </c>
      <c r="AF230" s="284">
        <f t="shared" si="465"/>
        <v>0</v>
      </c>
      <c r="AG230" s="284">
        <f t="shared" si="466"/>
        <v>0</v>
      </c>
      <c r="AH230" s="284">
        <f t="shared" si="467"/>
        <v>0</v>
      </c>
      <c r="AI230" s="284">
        <f t="shared" si="468"/>
        <v>0</v>
      </c>
      <c r="AJ230" s="284">
        <f t="shared" si="469"/>
        <v>0</v>
      </c>
      <c r="AL230" s="2059">
        <f ca="1">SUM((INDIRECT(AL$2&amp;(ROW())):INDIRECT(AL$3&amp;(ROW()))))</f>
        <v>0</v>
      </c>
      <c r="AM230" s="284">
        <f ca="1">SUM(INDIRECT(AM$1&amp;AM$2&amp;$C230):INDIRECT(AM$1&amp;AM$3&amp;$C230))</f>
        <v>0</v>
      </c>
      <c r="AN230" s="887">
        <f t="shared" ca="1" si="433"/>
        <v>0</v>
      </c>
      <c r="AO230" s="942">
        <f t="shared" ca="1" si="434"/>
        <v>0</v>
      </c>
      <c r="AP230" s="284">
        <f ca="1">SUM(INDIRECT(AP$1&amp;AP$2&amp;$A230):INDIRECT(AP$1&amp;AP$3&amp;$A230))+SUM(INDIRECT(AP$1&amp;AP$2&amp;$B230):INDIRECT(AP$1&amp;AP$3&amp;$B230))</f>
        <v>0</v>
      </c>
      <c r="AQ230" s="887">
        <f t="shared" ca="1" si="435"/>
        <v>0</v>
      </c>
      <c r="AR230" s="942">
        <f t="shared" ca="1" si="436"/>
        <v>0</v>
      </c>
      <c r="AT230" s="2059">
        <f ca="1">SUM((INDIRECT(AT$2&amp;(ROW())):INDIRECT(AT$3&amp;(ROW()))))</f>
        <v>0</v>
      </c>
      <c r="AU230" s="284">
        <f ca="1">SUM(INDIRECT(AU$1&amp;AU$2&amp;$C230):INDIRECT(AU$1&amp;AU$3&amp;$C230))</f>
        <v>0</v>
      </c>
      <c r="AV230" s="887">
        <f t="shared" ca="1" si="437"/>
        <v>0</v>
      </c>
      <c r="AW230" s="942">
        <f t="shared" ca="1" si="438"/>
        <v>0</v>
      </c>
      <c r="AX230" s="284">
        <f ca="1">SUM(INDIRECT(AX$1&amp;AX$2&amp;$A230):INDIRECT(AX$1&amp;AX$3&amp;$A230))+SUM(INDIRECT(AX$1&amp;AX$2&amp;$B230):INDIRECT(AX$1&amp;AX$3&amp;$B230))</f>
        <v>0</v>
      </c>
      <c r="AY230" s="887">
        <f t="shared" ca="1" si="439"/>
        <v>0</v>
      </c>
      <c r="AZ230" s="942">
        <f t="shared" ca="1" si="440"/>
        <v>0</v>
      </c>
      <c r="BB230" s="2059">
        <f ca="1">SUM((INDIRECT(BB$2&amp;(ROW())):INDIRECT(BB$3&amp;(ROW()))))</f>
        <v>0</v>
      </c>
      <c r="BC230" s="284">
        <f ca="1">SUM(INDIRECT(BC$1&amp;BC$2&amp;$C230):INDIRECT(BC$1&amp;BC$3&amp;$C230))</f>
        <v>0</v>
      </c>
      <c r="BD230" s="887">
        <f t="shared" ca="1" si="441"/>
        <v>0</v>
      </c>
      <c r="BE230" s="942">
        <f t="shared" ca="1" si="442"/>
        <v>0</v>
      </c>
      <c r="BF230" s="284">
        <f ca="1">SUM(INDIRECT(BF$1&amp;BF$2&amp;$A230):INDIRECT(BF$1&amp;BF$3&amp;$A230))+SUM(INDIRECT(BF$1&amp;BF$2&amp;$B230):INDIRECT(BF$1&amp;BF$3&amp;$B230))</f>
        <v>0</v>
      </c>
      <c r="BG230" s="887">
        <f t="shared" ca="1" si="443"/>
        <v>0</v>
      </c>
      <c r="BH230" s="942">
        <f t="shared" ca="1" si="444"/>
        <v>0</v>
      </c>
    </row>
    <row r="231" spans="1:60" s="75" customFormat="1" ht="14.5">
      <c r="A231" s="990">
        <f t="shared" si="459"/>
        <v>204</v>
      </c>
      <c r="B231" s="990">
        <v>1</v>
      </c>
      <c r="C231" s="990">
        <f t="shared" si="430"/>
        <v>228</v>
      </c>
      <c r="D231" s="1121" t="s">
        <v>887</v>
      </c>
      <c r="E231" s="1243">
        <v>1</v>
      </c>
      <c r="F231" s="5"/>
      <c r="G231" s="5"/>
      <c r="H231" s="5"/>
      <c r="I231" s="30"/>
      <c r="J231" s="4"/>
      <c r="K231" s="5"/>
      <c r="L231" s="5"/>
      <c r="M231" s="387" t="s">
        <v>218</v>
      </c>
      <c r="N231" s="387"/>
      <c r="O231" s="387"/>
      <c r="P231" s="387"/>
      <c r="Q231" s="1861" t="str">
        <f>CHOOSE(2, "6722000003150", "PL (3) BT Cons. Sales NH")</f>
        <v>PL (3) BT Cons. Sales NH</v>
      </c>
      <c r="R231" s="2125">
        <f>SUM(R232:R237)</f>
        <v>5702</v>
      </c>
      <c r="S231" s="388">
        <f t="shared" ref="S231:AC231" si="470">SUM(S232:S237)</f>
        <v>5743</v>
      </c>
      <c r="T231" s="388">
        <f t="shared" si="470"/>
        <v>6416</v>
      </c>
      <c r="U231" s="388">
        <f t="shared" si="470"/>
        <v>7206</v>
      </c>
      <c r="V231" s="388">
        <f t="shared" si="470"/>
        <v>7848.1489999999994</v>
      </c>
      <c r="W231" s="388">
        <f t="shared" si="470"/>
        <v>8306</v>
      </c>
      <c r="X231" s="388">
        <f t="shared" si="470"/>
        <v>6984</v>
      </c>
      <c r="Y231" s="388">
        <f t="shared" si="470"/>
        <v>7123</v>
      </c>
      <c r="Z231" s="388">
        <f t="shared" si="470"/>
        <v>7585</v>
      </c>
      <c r="AA231" s="388">
        <f t="shared" si="470"/>
        <v>7298</v>
      </c>
      <c r="AB231" s="388">
        <f t="shared" si="470"/>
        <v>8583.2560000000012</v>
      </c>
      <c r="AC231" s="388">
        <f t="shared" si="470"/>
        <v>8662</v>
      </c>
      <c r="AD231" s="388">
        <f t="shared" si="463"/>
        <v>17861</v>
      </c>
      <c r="AE231" s="388">
        <f t="shared" si="464"/>
        <v>23360.148999999998</v>
      </c>
      <c r="AF231" s="388">
        <f t="shared" si="465"/>
        <v>21692</v>
      </c>
      <c r="AG231" s="388">
        <f t="shared" si="466"/>
        <v>24543.256000000001</v>
      </c>
      <c r="AH231" s="388">
        <f t="shared" si="467"/>
        <v>41221.148999999998</v>
      </c>
      <c r="AI231" s="388">
        <f t="shared" si="468"/>
        <v>46235.256000000001</v>
      </c>
      <c r="AJ231" s="388">
        <f t="shared" si="469"/>
        <v>87456.404999999999</v>
      </c>
      <c r="AL231" s="2125">
        <f ca="1">SUM((INDIRECT(AL$2&amp;(ROW())):INDIRECT(AL$3&amp;(ROW()))))</f>
        <v>8662</v>
      </c>
      <c r="AM231" s="388">
        <f ca="1">SUM(INDIRECT(AM$1&amp;AM$2&amp;$C231):INDIRECT(AM$1&amp;AM$3&amp;$C231))</f>
        <v>0</v>
      </c>
      <c r="AN231" s="888">
        <f t="shared" ca="1" si="433"/>
        <v>8662</v>
      </c>
      <c r="AO231" s="943">
        <f t="shared" ca="1" si="434"/>
        <v>0</v>
      </c>
      <c r="AP231" s="388">
        <f ca="1">SUM(INDIRECT(AP$1&amp;AP$2&amp;$A231):INDIRECT(AP$1&amp;AP$3&amp;$A231))+SUM(INDIRECT(AP$1&amp;AP$2&amp;$B231):INDIRECT(AP$1&amp;AP$3&amp;$B231))</f>
        <v>5148</v>
      </c>
      <c r="AQ231" s="888">
        <f t="shared" ca="1" si="435"/>
        <v>3514</v>
      </c>
      <c r="AR231" s="943">
        <f t="shared" ca="1" si="436"/>
        <v>1.6825951825951826</v>
      </c>
      <c r="AT231" s="2125">
        <f ca="1">SUM((INDIRECT(AT$2&amp;(ROW())):INDIRECT(AT$3&amp;(ROW()))))</f>
        <v>24543.256000000001</v>
      </c>
      <c r="AU231" s="388">
        <f ca="1">SUM(INDIRECT(AU$1&amp;AU$2&amp;$C231):INDIRECT(AU$1&amp;AU$3&amp;$C231))</f>
        <v>0</v>
      </c>
      <c r="AV231" s="888">
        <f t="shared" ca="1" si="437"/>
        <v>24543.256000000001</v>
      </c>
      <c r="AW231" s="943">
        <f t="shared" ca="1" si="438"/>
        <v>0</v>
      </c>
      <c r="AX231" s="388">
        <f ca="1">SUM(INDIRECT(AX$1&amp;AX$2&amp;$A231):INDIRECT(AX$1&amp;AX$3&amp;$A231))+SUM(INDIRECT(AX$1&amp;AX$2&amp;$B231):INDIRECT(AX$1&amp;AX$3&amp;$B231))</f>
        <v>17924</v>
      </c>
      <c r="AY231" s="888">
        <f t="shared" ca="1" si="439"/>
        <v>6619.2560000000012</v>
      </c>
      <c r="AZ231" s="943">
        <f t="shared" ca="1" si="440"/>
        <v>1.3692956929256863</v>
      </c>
      <c r="BB231" s="2125">
        <f ca="1">SUM((INDIRECT(BB$2&amp;(ROW())):INDIRECT(BB$3&amp;(ROW()))))</f>
        <v>87456.404999999999</v>
      </c>
      <c r="BC231" s="388">
        <f ca="1">SUM(INDIRECT(BC$1&amp;BC$2&amp;$C231):INDIRECT(BC$1&amp;BC$3&amp;$C231))</f>
        <v>0</v>
      </c>
      <c r="BD231" s="888">
        <f t="shared" ca="1" si="441"/>
        <v>87456.404999999999</v>
      </c>
      <c r="BE231" s="943">
        <f t="shared" ca="1" si="442"/>
        <v>0</v>
      </c>
      <c r="BF231" s="388">
        <f ca="1">SUM(INDIRECT(BF$1&amp;BF$2&amp;$A231):INDIRECT(BF$1&amp;BF$3&amp;$A231))+SUM(INDIRECT(BF$1&amp;BF$2&amp;$B231):INDIRECT(BF$1&amp;BF$3&amp;$B231))</f>
        <v>53512</v>
      </c>
      <c r="BG231" s="888">
        <f t="shared" ca="1" si="443"/>
        <v>33944.404999999999</v>
      </c>
      <c r="BH231" s="943">
        <f t="shared" ca="1" si="444"/>
        <v>1.6343325796083121</v>
      </c>
    </row>
    <row r="232" spans="1:60" s="75" customFormat="1" ht="14.5">
      <c r="A232" s="990">
        <f t="shared" si="459"/>
        <v>205</v>
      </c>
      <c r="B232" s="990">
        <v>1</v>
      </c>
      <c r="C232" s="990">
        <f t="shared" si="430"/>
        <v>229</v>
      </c>
      <c r="D232" s="1121" t="s">
        <v>887</v>
      </c>
      <c r="E232" s="1243">
        <v>1</v>
      </c>
      <c r="F232" s="5"/>
      <c r="G232" s="5"/>
      <c r="H232" s="5"/>
      <c r="I232" s="30"/>
      <c r="J232" s="4"/>
      <c r="K232" s="5"/>
      <c r="L232" s="5"/>
      <c r="M232" s="5"/>
      <c r="N232" s="4" t="s">
        <v>989</v>
      </c>
      <c r="O232" s="4"/>
      <c r="P232" s="4"/>
      <c r="Q232" s="1855" t="str">
        <f>CHOOSE(2, "6722000003151", "PL (3) BT Cons. Sales NH KM-1/KM-1e")</f>
        <v>PL (3) BT Cons. Sales NH KM-1/KM-1e</v>
      </c>
      <c r="R232" s="2032">
        <v>938</v>
      </c>
      <c r="S232" s="2039">
        <v>271</v>
      </c>
      <c r="T232" s="2039">
        <v>1097</v>
      </c>
      <c r="U232" s="2039">
        <v>879</v>
      </c>
      <c r="V232" s="2039">
        <v>259.19</v>
      </c>
      <c r="W232" s="2039">
        <v>401</v>
      </c>
      <c r="X232" s="2039">
        <v>1327</v>
      </c>
      <c r="Y232" s="2039">
        <v>805</v>
      </c>
      <c r="Z232" s="2039">
        <v>407</v>
      </c>
      <c r="AA232" s="2039">
        <v>-1065</v>
      </c>
      <c r="AB232" s="2039">
        <v>1953.2560000000001</v>
      </c>
      <c r="AC232" s="2039">
        <v>-546</v>
      </c>
      <c r="AD232" s="135">
        <f t="shared" si="463"/>
        <v>2306</v>
      </c>
      <c r="AE232" s="135">
        <f t="shared" si="464"/>
        <v>1539.19</v>
      </c>
      <c r="AF232" s="135">
        <f t="shared" si="465"/>
        <v>2539</v>
      </c>
      <c r="AG232" s="135">
        <f t="shared" si="466"/>
        <v>342.25600000000009</v>
      </c>
      <c r="AH232" s="135">
        <f t="shared" si="467"/>
        <v>3845.19</v>
      </c>
      <c r="AI232" s="135">
        <f t="shared" si="468"/>
        <v>2881.2560000000003</v>
      </c>
      <c r="AJ232" s="135">
        <f t="shared" si="469"/>
        <v>6726.4459999999999</v>
      </c>
      <c r="AL232" s="2097">
        <f ca="1">SUM((INDIRECT(AL$2&amp;(ROW())):INDIRECT(AL$3&amp;(ROW()))))</f>
        <v>-546</v>
      </c>
      <c r="AM232" s="135">
        <f ca="1">SUM(INDIRECT(AM$1&amp;AM$2&amp;$C232):INDIRECT(AM$1&amp;AM$3&amp;$C232))</f>
        <v>0</v>
      </c>
      <c r="AN232" s="886">
        <f t="shared" ca="1" si="433"/>
        <v>-546</v>
      </c>
      <c r="AO232" s="941">
        <f t="shared" ca="1" si="434"/>
        <v>0</v>
      </c>
      <c r="AP232" s="135">
        <f ca="1">SUM(INDIRECT(AP$1&amp;AP$2&amp;$A232):INDIRECT(AP$1&amp;AP$3&amp;$A232))+SUM(INDIRECT(AP$1&amp;AP$2&amp;$B232):INDIRECT(AP$1&amp;AP$3&amp;$B232))</f>
        <v>522</v>
      </c>
      <c r="AQ232" s="886">
        <f t="shared" ca="1" si="435"/>
        <v>-1068</v>
      </c>
      <c r="AR232" s="941">
        <f t="shared" ca="1" si="436"/>
        <v>-1.0459770114942528</v>
      </c>
      <c r="AT232" s="2097">
        <f ca="1">SUM((INDIRECT(AT$2&amp;(ROW())):INDIRECT(AT$3&amp;(ROW()))))</f>
        <v>342.25600000000009</v>
      </c>
      <c r="AU232" s="135">
        <f ca="1">SUM(INDIRECT(AU$1&amp;AU$2&amp;$C232):INDIRECT(AU$1&amp;AU$3&amp;$C232))</f>
        <v>0</v>
      </c>
      <c r="AV232" s="886">
        <f t="shared" ca="1" si="437"/>
        <v>342.25600000000009</v>
      </c>
      <c r="AW232" s="941">
        <f t="shared" ca="1" si="438"/>
        <v>0</v>
      </c>
      <c r="AX232" s="135">
        <f ca="1">SUM(INDIRECT(AX$1&amp;AX$2&amp;$A232):INDIRECT(AX$1&amp;AX$3&amp;$A232))+SUM(INDIRECT(AX$1&amp;AX$2&amp;$B232):INDIRECT(AX$1&amp;AX$3&amp;$B232))</f>
        <v>2583</v>
      </c>
      <c r="AY232" s="886">
        <f t="shared" ca="1" si="439"/>
        <v>-2240.7439999999997</v>
      </c>
      <c r="AZ232" s="941">
        <f t="shared" ca="1" si="440"/>
        <v>0.13250329074719322</v>
      </c>
      <c r="BB232" s="2097">
        <f ca="1">SUM((INDIRECT(BB$2&amp;(ROW())):INDIRECT(BB$3&amp;(ROW()))))</f>
        <v>6726.4460000000008</v>
      </c>
      <c r="BC232" s="135">
        <f ca="1">SUM(INDIRECT(BC$1&amp;BC$2&amp;$C232):INDIRECT(BC$1&amp;BC$3&amp;$C232))</f>
        <v>0</v>
      </c>
      <c r="BD232" s="886">
        <f t="shared" ca="1" si="441"/>
        <v>6726.4460000000008</v>
      </c>
      <c r="BE232" s="941">
        <f t="shared" ca="1" si="442"/>
        <v>0</v>
      </c>
      <c r="BF232" s="135">
        <f ca="1">SUM(INDIRECT(BF$1&amp;BF$2&amp;$A232):INDIRECT(BF$1&amp;BF$3&amp;$A232))+SUM(INDIRECT(BF$1&amp;BF$2&amp;$B232):INDIRECT(BF$1&amp;BF$3&amp;$B232))</f>
        <v>4368</v>
      </c>
      <c r="BG232" s="886">
        <f t="shared" ca="1" si="443"/>
        <v>2358.4460000000008</v>
      </c>
      <c r="BH232" s="941">
        <f t="shared" ca="1" si="444"/>
        <v>1.5399372710622712</v>
      </c>
    </row>
    <row r="233" spans="1:60" s="75" customFormat="1" ht="14.5">
      <c r="A233" s="990">
        <f t="shared" si="459"/>
        <v>206</v>
      </c>
      <c r="B233" s="990">
        <v>1</v>
      </c>
      <c r="C233" s="990">
        <f t="shared" si="430"/>
        <v>230</v>
      </c>
      <c r="D233" s="1121" t="s">
        <v>887</v>
      </c>
      <c r="E233" s="1243">
        <v>1</v>
      </c>
      <c r="F233" s="5"/>
      <c r="G233" s="5"/>
      <c r="H233" s="5"/>
      <c r="I233" s="30"/>
      <c r="J233" s="4"/>
      <c r="K233" s="5"/>
      <c r="L233" s="5"/>
      <c r="M233" s="5"/>
      <c r="N233" s="4" t="s">
        <v>209</v>
      </c>
      <c r="O233" s="4"/>
      <c r="P233" s="4"/>
      <c r="Q233" s="1855" t="str">
        <f>CHOOSE(2, "6722000003152", "PL (3) BT Cons. Sales NH Label Printer")</f>
        <v>PL (3) BT Cons. Sales NH Label Printer</v>
      </c>
      <c r="R233" s="2032">
        <v>2340</v>
      </c>
      <c r="S233" s="2039">
        <v>2481</v>
      </c>
      <c r="T233" s="2039">
        <v>2137</v>
      </c>
      <c r="U233" s="2039">
        <v>2083</v>
      </c>
      <c r="V233" s="2039">
        <v>2426.0450000000001</v>
      </c>
      <c r="W233" s="2039">
        <v>1741</v>
      </c>
      <c r="X233" s="2039">
        <v>2546</v>
      </c>
      <c r="Y233" s="2039">
        <v>2350</v>
      </c>
      <c r="Z233" s="2039">
        <v>2756</v>
      </c>
      <c r="AA233" s="2039">
        <v>3950</v>
      </c>
      <c r="AB233" s="2039">
        <v>1537</v>
      </c>
      <c r="AC233" s="2039">
        <v>5110</v>
      </c>
      <c r="AD233" s="135">
        <f t="shared" si="463"/>
        <v>6958</v>
      </c>
      <c r="AE233" s="135">
        <f t="shared" si="464"/>
        <v>6250.0450000000001</v>
      </c>
      <c r="AF233" s="135">
        <f t="shared" si="465"/>
        <v>7652</v>
      </c>
      <c r="AG233" s="135">
        <f t="shared" si="466"/>
        <v>10597</v>
      </c>
      <c r="AH233" s="135">
        <f t="shared" si="467"/>
        <v>13208.045</v>
      </c>
      <c r="AI233" s="135">
        <f t="shared" si="468"/>
        <v>18249</v>
      </c>
      <c r="AJ233" s="135">
        <f t="shared" si="469"/>
        <v>31457.044999999998</v>
      </c>
      <c r="AL233" s="2097">
        <f ca="1">SUM((INDIRECT(AL$2&amp;(ROW())):INDIRECT(AL$3&amp;(ROW()))))</f>
        <v>5110</v>
      </c>
      <c r="AM233" s="135">
        <f ca="1">SUM(INDIRECT(AM$1&amp;AM$2&amp;$C233):INDIRECT(AM$1&amp;AM$3&amp;$C233))</f>
        <v>0</v>
      </c>
      <c r="AN233" s="886">
        <f t="shared" ca="1" si="433"/>
        <v>5110</v>
      </c>
      <c r="AO233" s="941">
        <f t="shared" ca="1" si="434"/>
        <v>0</v>
      </c>
      <c r="AP233" s="135">
        <f ca="1">SUM(INDIRECT(AP$1&amp;AP$2&amp;$A233):INDIRECT(AP$1&amp;AP$3&amp;$A233))+SUM(INDIRECT(AP$1&amp;AP$2&amp;$B233):INDIRECT(AP$1&amp;AP$3&amp;$B233))</f>
        <v>2293</v>
      </c>
      <c r="AQ233" s="886">
        <f t="shared" ca="1" si="435"/>
        <v>2817</v>
      </c>
      <c r="AR233" s="941">
        <f t="shared" ca="1" si="436"/>
        <v>2.228521587440035</v>
      </c>
      <c r="AT233" s="2097">
        <f ca="1">SUM((INDIRECT(AT$2&amp;(ROW())):INDIRECT(AT$3&amp;(ROW()))))</f>
        <v>10597</v>
      </c>
      <c r="AU233" s="135">
        <f ca="1">SUM(INDIRECT(AU$1&amp;AU$2&amp;$C233):INDIRECT(AU$1&amp;AU$3&amp;$C233))</f>
        <v>0</v>
      </c>
      <c r="AV233" s="886">
        <f t="shared" ca="1" si="437"/>
        <v>10597</v>
      </c>
      <c r="AW233" s="941">
        <f t="shared" ca="1" si="438"/>
        <v>0</v>
      </c>
      <c r="AX233" s="135">
        <f ca="1">SUM(INDIRECT(AX$1&amp;AX$2&amp;$A233):INDIRECT(AX$1&amp;AX$3&amp;$A233))+SUM(INDIRECT(AX$1&amp;AX$2&amp;$B233):INDIRECT(AX$1&amp;AX$3&amp;$B233))</f>
        <v>7548</v>
      </c>
      <c r="AY233" s="886">
        <f t="shared" ca="1" si="439"/>
        <v>3049</v>
      </c>
      <c r="AZ233" s="941">
        <f t="shared" ca="1" si="440"/>
        <v>1.4039480657127716</v>
      </c>
      <c r="BB233" s="2097">
        <f ca="1">SUM((INDIRECT(BB$2&amp;(ROW())):INDIRECT(BB$3&amp;(ROW()))))</f>
        <v>31457.044999999998</v>
      </c>
      <c r="BC233" s="135">
        <f ca="1">SUM(INDIRECT(BC$1&amp;BC$2&amp;$C233):INDIRECT(BC$1&amp;BC$3&amp;$C233))</f>
        <v>0</v>
      </c>
      <c r="BD233" s="886">
        <f t="shared" ca="1" si="441"/>
        <v>31457.044999999998</v>
      </c>
      <c r="BE233" s="941">
        <f t="shared" ca="1" si="442"/>
        <v>0</v>
      </c>
      <c r="BF233" s="135">
        <f ca="1">SUM(INDIRECT(BF$1&amp;BF$2&amp;$A233):INDIRECT(BF$1&amp;BF$3&amp;$A233))+SUM(INDIRECT(BF$1&amp;BF$2&amp;$B233):INDIRECT(BF$1&amp;BF$3&amp;$B233))</f>
        <v>23213</v>
      </c>
      <c r="BG233" s="886">
        <f t="shared" ca="1" si="443"/>
        <v>8244.0449999999983</v>
      </c>
      <c r="BH233" s="941">
        <f t="shared" ca="1" si="444"/>
        <v>1.3551477620298971</v>
      </c>
    </row>
    <row r="234" spans="1:60" s="75" customFormat="1" ht="14.5">
      <c r="A234" s="990">
        <f t="shared" si="459"/>
        <v>207</v>
      </c>
      <c r="B234" s="990">
        <v>1</v>
      </c>
      <c r="C234" s="990">
        <f t="shared" si="430"/>
        <v>231</v>
      </c>
      <c r="D234" s="1121" t="s">
        <v>887</v>
      </c>
      <c r="E234" s="1243">
        <v>1</v>
      </c>
      <c r="F234" s="5"/>
      <c r="G234" s="5"/>
      <c r="H234" s="5"/>
      <c r="I234" s="30"/>
      <c r="J234" s="4"/>
      <c r="K234" s="5"/>
      <c r="L234" s="5"/>
      <c r="M234" s="5"/>
      <c r="N234" s="4" t="s">
        <v>132</v>
      </c>
      <c r="O234" s="4"/>
      <c r="P234" s="1498"/>
      <c r="Q234" s="1855" t="str">
        <f>CHOOSE(2, "6722000003153", "PL (3) BT Cons. Sales NH MGI")</f>
        <v>PL (3) BT Cons. Sales NH MGI</v>
      </c>
      <c r="R234" s="2032">
        <f>2528-104</f>
        <v>2424</v>
      </c>
      <c r="S234" s="2039">
        <v>2991</v>
      </c>
      <c r="T234" s="2039">
        <v>3182</v>
      </c>
      <c r="U234" s="2039">
        <v>4244</v>
      </c>
      <c r="V234" s="2039">
        <v>5162.9139999999998</v>
      </c>
      <c r="W234" s="2039">
        <v>6164</v>
      </c>
      <c r="X234" s="2039">
        <v>3111</v>
      </c>
      <c r="Y234" s="2039">
        <v>3968</v>
      </c>
      <c r="Z234" s="2039">
        <v>4422</v>
      </c>
      <c r="AA234" s="2039">
        <v>4413</v>
      </c>
      <c r="AB234" s="2039">
        <v>5093</v>
      </c>
      <c r="AC234" s="2039">
        <v>4098</v>
      </c>
      <c r="AD234" s="135">
        <f t="shared" si="463"/>
        <v>8597</v>
      </c>
      <c r="AE234" s="135">
        <f t="shared" si="464"/>
        <v>15570.914000000001</v>
      </c>
      <c r="AF234" s="135">
        <f t="shared" si="465"/>
        <v>11501</v>
      </c>
      <c r="AG234" s="135">
        <f t="shared" si="466"/>
        <v>13604</v>
      </c>
      <c r="AH234" s="135">
        <f t="shared" si="467"/>
        <v>24167.914000000001</v>
      </c>
      <c r="AI234" s="135">
        <f t="shared" si="468"/>
        <v>25105</v>
      </c>
      <c r="AJ234" s="135">
        <f t="shared" si="469"/>
        <v>49272.914000000004</v>
      </c>
      <c r="AL234" s="2097">
        <f ca="1">SUM((INDIRECT(AL$2&amp;(ROW())):INDIRECT(AL$3&amp;(ROW()))))</f>
        <v>4098</v>
      </c>
      <c r="AM234" s="135">
        <f ca="1">SUM(INDIRECT(AM$1&amp;AM$2&amp;$C234):INDIRECT(AM$1&amp;AM$3&amp;$C234))</f>
        <v>0</v>
      </c>
      <c r="AN234" s="886">
        <f t="shared" ca="1" si="433"/>
        <v>4098</v>
      </c>
      <c r="AO234" s="941">
        <f t="shared" ca="1" si="434"/>
        <v>0</v>
      </c>
      <c r="AP234" s="135">
        <f ca="1">SUM(INDIRECT(AP$1&amp;AP$2&amp;$A234):INDIRECT(AP$1&amp;AP$3&amp;$A234))+SUM(INDIRECT(AP$1&amp;AP$2&amp;$B234):INDIRECT(AP$1&amp;AP$3&amp;$B234))</f>
        <v>2333</v>
      </c>
      <c r="AQ234" s="886">
        <f t="shared" ca="1" si="435"/>
        <v>1765</v>
      </c>
      <c r="AR234" s="941">
        <f t="shared" ca="1" si="436"/>
        <v>1.7565366480925846</v>
      </c>
      <c r="AT234" s="2097">
        <f ca="1">SUM((INDIRECT(AT$2&amp;(ROW())):INDIRECT(AT$3&amp;(ROW()))))</f>
        <v>13604</v>
      </c>
      <c r="AU234" s="135">
        <f ca="1">SUM(INDIRECT(AU$1&amp;AU$2&amp;$C234):INDIRECT(AU$1&amp;AU$3&amp;$C234))</f>
        <v>0</v>
      </c>
      <c r="AV234" s="886">
        <f t="shared" ca="1" si="437"/>
        <v>13604</v>
      </c>
      <c r="AW234" s="941">
        <f t="shared" ca="1" si="438"/>
        <v>0</v>
      </c>
      <c r="AX234" s="135">
        <f ca="1">SUM(INDIRECT(AX$1&amp;AX$2&amp;$A234):INDIRECT(AX$1&amp;AX$3&amp;$A234))+SUM(INDIRECT(AX$1&amp;AX$2&amp;$B234):INDIRECT(AX$1&amp;AX$3&amp;$B234))</f>
        <v>7793</v>
      </c>
      <c r="AY234" s="886">
        <f t="shared" ca="1" si="439"/>
        <v>5811</v>
      </c>
      <c r="AZ234" s="941">
        <f t="shared" ca="1" si="440"/>
        <v>1.7456691902989863</v>
      </c>
      <c r="BB234" s="2097">
        <f ca="1">SUM((INDIRECT(BB$2&amp;(ROW())):INDIRECT(BB$3&amp;(ROW()))))</f>
        <v>49272.914000000004</v>
      </c>
      <c r="BC234" s="135">
        <f ca="1">SUM(INDIRECT(BC$1&amp;BC$2&amp;$C234):INDIRECT(BC$1&amp;BC$3&amp;$C234))</f>
        <v>0</v>
      </c>
      <c r="BD234" s="886">
        <f t="shared" ca="1" si="441"/>
        <v>49272.914000000004</v>
      </c>
      <c r="BE234" s="941">
        <f t="shared" ca="1" si="442"/>
        <v>0</v>
      </c>
      <c r="BF234" s="135">
        <f ca="1">SUM(INDIRECT(BF$1&amp;BF$2&amp;$A234):INDIRECT(BF$1&amp;BF$3&amp;$A234))+SUM(INDIRECT(BF$1&amp;BF$2&amp;$B234):INDIRECT(BF$1&amp;BF$3&amp;$B234))</f>
        <v>25931</v>
      </c>
      <c r="BG234" s="886">
        <f t="shared" ca="1" si="443"/>
        <v>23341.914000000004</v>
      </c>
      <c r="BH234" s="941">
        <f t="shared" ca="1" si="444"/>
        <v>1.9001547954186111</v>
      </c>
    </row>
    <row r="235" spans="1:60" s="75" customFormat="1" ht="14.5">
      <c r="A235" s="990">
        <f t="shared" si="459"/>
        <v>208</v>
      </c>
      <c r="B235" s="990">
        <v>1</v>
      </c>
      <c r="C235" s="990">
        <f t="shared" si="430"/>
        <v>232</v>
      </c>
      <c r="D235" s="1121" t="s">
        <v>887</v>
      </c>
      <c r="E235" s="1243">
        <v>1</v>
      </c>
      <c r="F235" s="5"/>
      <c r="G235" s="5"/>
      <c r="H235" s="5"/>
      <c r="I235" s="30"/>
      <c r="J235" s="4"/>
      <c r="K235" s="5"/>
      <c r="L235" s="5"/>
      <c r="M235" s="5"/>
      <c r="N235" s="4" t="s">
        <v>210</v>
      </c>
      <c r="O235" s="4"/>
      <c r="P235" s="4"/>
      <c r="Q235" s="1855" t="str">
        <f>CHOOSE(2, "6722000003154", "PL (3) BT Cons. Sales NH EFI/LF")</f>
        <v>PL (3) BT Cons. Sales NH EFI/LF</v>
      </c>
      <c r="R235" s="2032">
        <v>0</v>
      </c>
      <c r="S235" s="2039">
        <v>0</v>
      </c>
      <c r="T235" s="2039">
        <v>0</v>
      </c>
      <c r="U235" s="2039">
        <v>0</v>
      </c>
      <c r="V235" s="2039">
        <v>0</v>
      </c>
      <c r="W235" s="2039">
        <v>0</v>
      </c>
      <c r="X235" s="2039">
        <v>0</v>
      </c>
      <c r="Y235" s="2039">
        <v>0</v>
      </c>
      <c r="Z235" s="2039">
        <v>0</v>
      </c>
      <c r="AA235" s="2039">
        <v>0</v>
      </c>
      <c r="AB235" s="2039">
        <v>0</v>
      </c>
      <c r="AC235" s="2039">
        <v>0</v>
      </c>
      <c r="AD235" s="135">
        <f t="shared" si="463"/>
        <v>0</v>
      </c>
      <c r="AE235" s="135">
        <f t="shared" si="464"/>
        <v>0</v>
      </c>
      <c r="AF235" s="135">
        <f t="shared" si="465"/>
        <v>0</v>
      </c>
      <c r="AG235" s="135">
        <f t="shared" si="466"/>
        <v>0</v>
      </c>
      <c r="AH235" s="135">
        <f t="shared" si="467"/>
        <v>0</v>
      </c>
      <c r="AI235" s="135">
        <f t="shared" si="468"/>
        <v>0</v>
      </c>
      <c r="AJ235" s="135">
        <f t="shared" si="469"/>
        <v>0</v>
      </c>
      <c r="AL235" s="2097">
        <f ca="1">SUM((INDIRECT(AL$2&amp;(ROW())):INDIRECT(AL$3&amp;(ROW()))))</f>
        <v>0</v>
      </c>
      <c r="AM235" s="135">
        <f ca="1">SUM(INDIRECT(AM$1&amp;AM$2&amp;$C235):INDIRECT(AM$1&amp;AM$3&amp;$C235))</f>
        <v>0</v>
      </c>
      <c r="AN235" s="886">
        <f t="shared" ca="1" si="433"/>
        <v>0</v>
      </c>
      <c r="AO235" s="941">
        <f t="shared" ca="1" si="434"/>
        <v>0</v>
      </c>
      <c r="AP235" s="135">
        <f ca="1">SUM(INDIRECT(AP$1&amp;AP$2&amp;$A235):INDIRECT(AP$1&amp;AP$3&amp;$A235))+SUM(INDIRECT(AP$1&amp;AP$2&amp;$B235):INDIRECT(AP$1&amp;AP$3&amp;$B235))</f>
        <v>0</v>
      </c>
      <c r="AQ235" s="886">
        <f t="shared" ca="1" si="435"/>
        <v>0</v>
      </c>
      <c r="AR235" s="941">
        <f t="shared" ca="1" si="436"/>
        <v>0</v>
      </c>
      <c r="AT235" s="2097">
        <f ca="1">SUM((INDIRECT(AT$2&amp;(ROW())):INDIRECT(AT$3&amp;(ROW()))))</f>
        <v>0</v>
      </c>
      <c r="AU235" s="135">
        <f ca="1">SUM(INDIRECT(AU$1&amp;AU$2&amp;$C235):INDIRECT(AU$1&amp;AU$3&amp;$C235))</f>
        <v>0</v>
      </c>
      <c r="AV235" s="886">
        <f t="shared" ca="1" si="437"/>
        <v>0</v>
      </c>
      <c r="AW235" s="941">
        <f t="shared" ca="1" si="438"/>
        <v>0</v>
      </c>
      <c r="AX235" s="135">
        <f ca="1">SUM(INDIRECT(AX$1&amp;AX$2&amp;$A235):INDIRECT(AX$1&amp;AX$3&amp;$A235))+SUM(INDIRECT(AX$1&amp;AX$2&amp;$B235):INDIRECT(AX$1&amp;AX$3&amp;$B235))</f>
        <v>0</v>
      </c>
      <c r="AY235" s="886">
        <f t="shared" ca="1" si="439"/>
        <v>0</v>
      </c>
      <c r="AZ235" s="941">
        <f t="shared" ca="1" si="440"/>
        <v>0</v>
      </c>
      <c r="BB235" s="2097">
        <f ca="1">SUM((INDIRECT(BB$2&amp;(ROW())):INDIRECT(BB$3&amp;(ROW()))))</f>
        <v>0</v>
      </c>
      <c r="BC235" s="135">
        <f ca="1">SUM(INDIRECT(BC$1&amp;BC$2&amp;$C235):INDIRECT(BC$1&amp;BC$3&amp;$C235))</f>
        <v>0</v>
      </c>
      <c r="BD235" s="886">
        <f t="shared" ca="1" si="441"/>
        <v>0</v>
      </c>
      <c r="BE235" s="941">
        <f t="shared" ca="1" si="442"/>
        <v>0</v>
      </c>
      <c r="BF235" s="135">
        <f ca="1">SUM(INDIRECT(BF$1&amp;BF$2&amp;$A235):INDIRECT(BF$1&amp;BF$3&amp;$A235))+SUM(INDIRECT(BF$1&amp;BF$2&amp;$B235):INDIRECT(BF$1&amp;BF$3&amp;$B235))</f>
        <v>0</v>
      </c>
      <c r="BG235" s="886">
        <f t="shared" ca="1" si="443"/>
        <v>0</v>
      </c>
      <c r="BH235" s="941">
        <f t="shared" ca="1" si="444"/>
        <v>0</v>
      </c>
    </row>
    <row r="236" spans="1:60" s="75" customFormat="1" ht="14.5">
      <c r="A236" s="990">
        <f t="shared" si="459"/>
        <v>209</v>
      </c>
      <c r="B236" s="990">
        <v>1</v>
      </c>
      <c r="C236" s="990">
        <f t="shared" si="430"/>
        <v>233</v>
      </c>
      <c r="D236" s="1121" t="s">
        <v>887</v>
      </c>
      <c r="E236" s="1243">
        <v>1</v>
      </c>
      <c r="F236" s="5"/>
      <c r="G236" s="5"/>
      <c r="H236" s="5"/>
      <c r="I236" s="30"/>
      <c r="J236" s="4"/>
      <c r="K236" s="5"/>
      <c r="L236" s="5"/>
      <c r="M236" s="5"/>
      <c r="N236" s="4" t="s">
        <v>292</v>
      </c>
      <c r="O236" s="4"/>
      <c r="P236" s="4"/>
      <c r="Q236" s="1855" t="str">
        <f>CHOOSE(2, "6722000003155", "PL (3) BT Cons. Sales NH Textile Printer")</f>
        <v>PL (3) BT Cons. Sales NH Textile Printer</v>
      </c>
      <c r="R236" s="2032">
        <v>0</v>
      </c>
      <c r="S236" s="2039">
        <v>0</v>
      </c>
      <c r="T236" s="2039">
        <v>0</v>
      </c>
      <c r="U236" s="2039">
        <v>0</v>
      </c>
      <c r="V236" s="2039">
        <v>0</v>
      </c>
      <c r="W236" s="2039">
        <v>0</v>
      </c>
      <c r="X236" s="2039">
        <v>0</v>
      </c>
      <c r="Y236" s="2039">
        <v>0</v>
      </c>
      <c r="Z236" s="2039">
        <v>0</v>
      </c>
      <c r="AA236" s="2039">
        <v>0</v>
      </c>
      <c r="AB236" s="2039">
        <v>0</v>
      </c>
      <c r="AC236" s="2039">
        <v>0</v>
      </c>
      <c r="AD236" s="135">
        <f t="shared" si="463"/>
        <v>0</v>
      </c>
      <c r="AE236" s="135">
        <f t="shared" si="464"/>
        <v>0</v>
      </c>
      <c r="AF236" s="135">
        <f t="shared" si="465"/>
        <v>0</v>
      </c>
      <c r="AG236" s="135">
        <f t="shared" si="466"/>
        <v>0</v>
      </c>
      <c r="AH236" s="135">
        <f t="shared" si="467"/>
        <v>0</v>
      </c>
      <c r="AI236" s="135">
        <f t="shared" si="468"/>
        <v>0</v>
      </c>
      <c r="AJ236" s="135">
        <f t="shared" si="469"/>
        <v>0</v>
      </c>
      <c r="AL236" s="2097">
        <f ca="1">SUM((INDIRECT(AL$2&amp;(ROW())):INDIRECT(AL$3&amp;(ROW()))))</f>
        <v>0</v>
      </c>
      <c r="AM236" s="135">
        <f ca="1">SUM(INDIRECT(AM$1&amp;AM$2&amp;$C236):INDIRECT(AM$1&amp;AM$3&amp;$C236))</f>
        <v>0</v>
      </c>
      <c r="AN236" s="886">
        <f t="shared" ca="1" si="433"/>
        <v>0</v>
      </c>
      <c r="AO236" s="941">
        <f t="shared" ca="1" si="434"/>
        <v>0</v>
      </c>
      <c r="AP236" s="135">
        <f ca="1">SUM(INDIRECT(AP$1&amp;AP$2&amp;$A236):INDIRECT(AP$1&amp;AP$3&amp;$A236))+SUM(INDIRECT(AP$1&amp;AP$2&amp;$B236):INDIRECT(AP$1&amp;AP$3&amp;$B236))</f>
        <v>0</v>
      </c>
      <c r="AQ236" s="886">
        <f t="shared" ca="1" si="435"/>
        <v>0</v>
      </c>
      <c r="AR236" s="941">
        <f t="shared" ca="1" si="436"/>
        <v>0</v>
      </c>
      <c r="AT236" s="2097">
        <f ca="1">SUM((INDIRECT(AT$2&amp;(ROW())):INDIRECT(AT$3&amp;(ROW()))))</f>
        <v>0</v>
      </c>
      <c r="AU236" s="135">
        <f ca="1">SUM(INDIRECT(AU$1&amp;AU$2&amp;$C236):INDIRECT(AU$1&amp;AU$3&amp;$C236))</f>
        <v>0</v>
      </c>
      <c r="AV236" s="886">
        <f t="shared" ca="1" si="437"/>
        <v>0</v>
      </c>
      <c r="AW236" s="941">
        <f t="shared" ca="1" si="438"/>
        <v>0</v>
      </c>
      <c r="AX236" s="135">
        <f ca="1">SUM(INDIRECT(AX$1&amp;AX$2&amp;$A236):INDIRECT(AX$1&amp;AX$3&amp;$A236))+SUM(INDIRECT(AX$1&amp;AX$2&amp;$B236):INDIRECT(AX$1&amp;AX$3&amp;$B236))</f>
        <v>0</v>
      </c>
      <c r="AY236" s="886">
        <f t="shared" ca="1" si="439"/>
        <v>0</v>
      </c>
      <c r="AZ236" s="941">
        <f t="shared" ca="1" si="440"/>
        <v>0</v>
      </c>
      <c r="BB236" s="2097">
        <f ca="1">SUM((INDIRECT(BB$2&amp;(ROW())):INDIRECT(BB$3&amp;(ROW()))))</f>
        <v>0</v>
      </c>
      <c r="BC236" s="135">
        <f ca="1">SUM(INDIRECT(BC$1&amp;BC$2&amp;$C236):INDIRECT(BC$1&amp;BC$3&amp;$C236))</f>
        <v>0</v>
      </c>
      <c r="BD236" s="886">
        <f t="shared" ca="1" si="441"/>
        <v>0</v>
      </c>
      <c r="BE236" s="941">
        <f t="shared" ca="1" si="442"/>
        <v>0</v>
      </c>
      <c r="BF236" s="135">
        <f ca="1">SUM(INDIRECT(BF$1&amp;BF$2&amp;$A236):INDIRECT(BF$1&amp;BF$3&amp;$A236))+SUM(INDIRECT(BF$1&amp;BF$2&amp;$B236):INDIRECT(BF$1&amp;BF$3&amp;$B236))</f>
        <v>0</v>
      </c>
      <c r="BG236" s="886">
        <f t="shared" ca="1" si="443"/>
        <v>0</v>
      </c>
      <c r="BH236" s="941">
        <f t="shared" ca="1" si="444"/>
        <v>0</v>
      </c>
    </row>
    <row r="237" spans="1:60" s="75" customFormat="1" ht="14.5">
      <c r="A237" s="990">
        <f t="shared" si="459"/>
        <v>210</v>
      </c>
      <c r="B237" s="990">
        <v>1</v>
      </c>
      <c r="C237" s="990">
        <f t="shared" si="430"/>
        <v>234</v>
      </c>
      <c r="D237" s="1121" t="s">
        <v>887</v>
      </c>
      <c r="E237" s="1243">
        <v>1</v>
      </c>
      <c r="F237" s="5"/>
      <c r="G237" s="5"/>
      <c r="H237" s="5"/>
      <c r="I237" s="28"/>
      <c r="J237" s="2"/>
      <c r="K237" s="3"/>
      <c r="L237" s="3"/>
      <c r="M237" s="3"/>
      <c r="N237" s="2" t="s">
        <v>131</v>
      </c>
      <c r="O237" s="2"/>
      <c r="P237" s="2"/>
      <c r="Q237" s="1855" t="str">
        <f>CHOOSE(2, "6722000003156", "PL (3) BT Cons. Sales NH Others")</f>
        <v>PL (3) BT Cons. Sales NH Others</v>
      </c>
      <c r="R237" s="2211">
        <v>0</v>
      </c>
      <c r="S237" s="2043">
        <v>0</v>
      </c>
      <c r="T237" s="2043">
        <v>0</v>
      </c>
      <c r="U237" s="2043">
        <v>0</v>
      </c>
      <c r="V237" s="2043">
        <v>0</v>
      </c>
      <c r="W237" s="2043">
        <v>0</v>
      </c>
      <c r="X237" s="2043">
        <v>0</v>
      </c>
      <c r="Y237" s="2043">
        <v>0</v>
      </c>
      <c r="Z237" s="2043">
        <v>0</v>
      </c>
      <c r="AA237" s="2043">
        <v>0</v>
      </c>
      <c r="AB237" s="2043">
        <v>0</v>
      </c>
      <c r="AC237" s="2043">
        <v>0</v>
      </c>
      <c r="AD237" s="285">
        <f t="shared" si="463"/>
        <v>0</v>
      </c>
      <c r="AE237" s="285">
        <f t="shared" si="464"/>
        <v>0</v>
      </c>
      <c r="AF237" s="285">
        <f t="shared" si="465"/>
        <v>0</v>
      </c>
      <c r="AG237" s="285">
        <f t="shared" si="466"/>
        <v>0</v>
      </c>
      <c r="AH237" s="285">
        <f t="shared" si="467"/>
        <v>0</v>
      </c>
      <c r="AI237" s="285">
        <f t="shared" si="468"/>
        <v>0</v>
      </c>
      <c r="AJ237" s="285">
        <f t="shared" si="469"/>
        <v>0</v>
      </c>
      <c r="AL237" s="2098">
        <f ca="1">SUM((INDIRECT(AL$2&amp;(ROW())):INDIRECT(AL$3&amp;(ROW()))))</f>
        <v>0</v>
      </c>
      <c r="AM237" s="285">
        <f ca="1">SUM(INDIRECT(AM$1&amp;AM$2&amp;$C237):INDIRECT(AM$1&amp;AM$3&amp;$C237))</f>
        <v>0</v>
      </c>
      <c r="AN237" s="889">
        <f t="shared" ca="1" si="433"/>
        <v>0</v>
      </c>
      <c r="AO237" s="944">
        <f t="shared" ca="1" si="434"/>
        <v>0</v>
      </c>
      <c r="AP237" s="285">
        <f ca="1">SUM(INDIRECT(AP$1&amp;AP$2&amp;$A237):INDIRECT(AP$1&amp;AP$3&amp;$A237))+SUM(INDIRECT(AP$1&amp;AP$2&amp;$B237):INDIRECT(AP$1&amp;AP$3&amp;$B237))</f>
        <v>0</v>
      </c>
      <c r="AQ237" s="889">
        <f t="shared" ca="1" si="435"/>
        <v>0</v>
      </c>
      <c r="AR237" s="944">
        <f t="shared" ca="1" si="436"/>
        <v>0</v>
      </c>
      <c r="AT237" s="2098">
        <f ca="1">SUM((INDIRECT(AT$2&amp;(ROW())):INDIRECT(AT$3&amp;(ROW()))))</f>
        <v>0</v>
      </c>
      <c r="AU237" s="285">
        <f ca="1">SUM(INDIRECT(AU$1&amp;AU$2&amp;$C237):INDIRECT(AU$1&amp;AU$3&amp;$C237))</f>
        <v>0</v>
      </c>
      <c r="AV237" s="889">
        <f t="shared" ca="1" si="437"/>
        <v>0</v>
      </c>
      <c r="AW237" s="944">
        <f t="shared" ca="1" si="438"/>
        <v>0</v>
      </c>
      <c r="AX237" s="285">
        <f ca="1">SUM(INDIRECT(AX$1&amp;AX$2&amp;$A237):INDIRECT(AX$1&amp;AX$3&amp;$A237))+SUM(INDIRECT(AX$1&amp;AX$2&amp;$B237):INDIRECT(AX$1&amp;AX$3&amp;$B237))</f>
        <v>0</v>
      </c>
      <c r="AY237" s="889">
        <f t="shared" ca="1" si="439"/>
        <v>0</v>
      </c>
      <c r="AZ237" s="944">
        <f t="shared" ca="1" si="440"/>
        <v>0</v>
      </c>
      <c r="BB237" s="2098">
        <f ca="1">SUM((INDIRECT(BB$2&amp;(ROW())):INDIRECT(BB$3&amp;(ROW()))))</f>
        <v>0</v>
      </c>
      <c r="BC237" s="285">
        <f ca="1">SUM(INDIRECT(BC$1&amp;BC$2&amp;$C237):INDIRECT(BC$1&amp;BC$3&amp;$C237))</f>
        <v>0</v>
      </c>
      <c r="BD237" s="889">
        <f t="shared" ca="1" si="441"/>
        <v>0</v>
      </c>
      <c r="BE237" s="944">
        <f t="shared" ca="1" si="442"/>
        <v>0</v>
      </c>
      <c r="BF237" s="285">
        <f ca="1">SUM(INDIRECT(BF$1&amp;BF$2&amp;$A237):INDIRECT(BF$1&amp;BF$3&amp;$A237))+SUM(INDIRECT(BF$1&amp;BF$2&amp;$B237):INDIRECT(BF$1&amp;BF$3&amp;$B237))</f>
        <v>0</v>
      </c>
      <c r="BG237" s="889">
        <f t="shared" ca="1" si="443"/>
        <v>0</v>
      </c>
      <c r="BH237" s="944">
        <f t="shared" ca="1" si="444"/>
        <v>0</v>
      </c>
    </row>
    <row r="238" spans="1:60" ht="14.5">
      <c r="A238" s="990">
        <f t="shared" si="459"/>
        <v>211</v>
      </c>
      <c r="B238" s="990">
        <v>1</v>
      </c>
      <c r="C238" s="990">
        <f t="shared" si="430"/>
        <v>235</v>
      </c>
      <c r="D238" s="1121" t="s">
        <v>887</v>
      </c>
      <c r="E238" s="1243">
        <v>1</v>
      </c>
      <c r="F238" s="5"/>
      <c r="G238" s="5"/>
      <c r="H238" s="5"/>
      <c r="I238" s="458" t="s">
        <v>134</v>
      </c>
      <c r="J238" s="450"/>
      <c r="K238" s="449"/>
      <c r="L238" s="449"/>
      <c r="M238" s="450"/>
      <c r="N238" s="450"/>
      <c r="O238" s="450"/>
      <c r="P238" s="604"/>
      <c r="Q238" s="1860" t="str">
        <f>CHOOSE(2, "6722000003157", "PL (3) Gross Profit")</f>
        <v>PL (3) Gross Profit</v>
      </c>
      <c r="R238" s="2123">
        <f>R254+R261</f>
        <v>1055</v>
      </c>
      <c r="S238" s="2014">
        <f t="shared" ref="S238:AC238" si="471">S254+S261</f>
        <v>-2772</v>
      </c>
      <c r="T238" s="2014">
        <f t="shared" si="471"/>
        <v>8754</v>
      </c>
      <c r="U238" s="2014">
        <f t="shared" si="471"/>
        <v>1694</v>
      </c>
      <c r="V238" s="2014">
        <f t="shared" si="471"/>
        <v>3560.1597017955833</v>
      </c>
      <c r="W238" s="2014">
        <f t="shared" si="471"/>
        <v>2264.3970114766835</v>
      </c>
      <c r="X238" s="2014">
        <f t="shared" si="471"/>
        <v>2885</v>
      </c>
      <c r="Y238" s="2014">
        <f t="shared" si="471"/>
        <v>2492</v>
      </c>
      <c r="Z238" s="2014">
        <f t="shared" si="471"/>
        <v>-8828</v>
      </c>
      <c r="AA238" s="2014">
        <f t="shared" si="471"/>
        <v>6520</v>
      </c>
      <c r="AB238" s="2014">
        <f t="shared" si="471"/>
        <v>636.03926000000001</v>
      </c>
      <c r="AC238" s="2014">
        <f t="shared" si="471"/>
        <v>7486</v>
      </c>
      <c r="AD238" s="1527">
        <f t="shared" ref="AD238:AJ238" si="472">AD254+AD261</f>
        <v>7037</v>
      </c>
      <c r="AE238" s="455">
        <f t="shared" si="472"/>
        <v>7518.5567132722663</v>
      </c>
      <c r="AF238" s="455">
        <f t="shared" si="472"/>
        <v>-3451</v>
      </c>
      <c r="AG238" s="455">
        <f t="shared" si="472"/>
        <v>14642.03926</v>
      </c>
      <c r="AH238" s="455">
        <f t="shared" si="472"/>
        <v>14555.556713272266</v>
      </c>
      <c r="AI238" s="455">
        <f t="shared" si="472"/>
        <v>11191.03926</v>
      </c>
      <c r="AJ238" s="455">
        <f t="shared" si="472"/>
        <v>25746.595973272266</v>
      </c>
      <c r="AL238" s="2123">
        <f ca="1">SUM((INDIRECT(AL$2&amp;(ROW())):INDIRECT(AL$3&amp;(ROW()))))</f>
        <v>7486</v>
      </c>
      <c r="AM238" s="455">
        <f ca="1">SUM(INDIRECT(AM$1&amp;AM$2&amp;$C238):INDIRECT(AM$1&amp;AM$3&amp;$C238))</f>
        <v>0</v>
      </c>
      <c r="AN238" s="2520">
        <f t="shared" ca="1" si="433"/>
        <v>7486</v>
      </c>
      <c r="AO238" s="1715">
        <f t="shared" ca="1" si="434"/>
        <v>0</v>
      </c>
      <c r="AP238" s="455">
        <f ca="1">SUM(INDIRECT(AP$1&amp;AP$2&amp;$A238):INDIRECT(AP$1&amp;AP$3&amp;$A238))+SUM(INDIRECT(AP$1&amp;AP$2&amp;$B238):INDIRECT(AP$1&amp;AP$3&amp;$B238))</f>
        <v>1804</v>
      </c>
      <c r="AQ238" s="2520">
        <f t="shared" ca="1" si="435"/>
        <v>5682</v>
      </c>
      <c r="AR238" s="1715">
        <f t="shared" ca="1" si="436"/>
        <v>4.1496674057649665</v>
      </c>
      <c r="AT238" s="2123">
        <f ca="1">SUM((INDIRECT(AT$2&amp;(ROW())):INDIRECT(AT$3&amp;(ROW()))))</f>
        <v>14642.03926</v>
      </c>
      <c r="AU238" s="455">
        <f ca="1">SUM(INDIRECT(AU$1&amp;AU$2&amp;$C238):INDIRECT(AU$1&amp;AU$3&amp;$C238))</f>
        <v>0</v>
      </c>
      <c r="AV238" s="2520">
        <f t="shared" ca="1" si="437"/>
        <v>14642.03926</v>
      </c>
      <c r="AW238" s="1715">
        <f t="shared" ca="1" si="438"/>
        <v>0</v>
      </c>
      <c r="AX238" s="455">
        <f ca="1">SUM(INDIRECT(AX$1&amp;AX$2&amp;$A238):INDIRECT(AX$1&amp;AX$3&amp;$A238))+SUM(INDIRECT(AX$1&amp;AX$2&amp;$B238):INDIRECT(AX$1&amp;AX$3&amp;$B238))</f>
        <v>26690</v>
      </c>
      <c r="AY238" s="2520">
        <f t="shared" ca="1" si="439"/>
        <v>-12047.96074</v>
      </c>
      <c r="AZ238" s="1715">
        <f t="shared" ca="1" si="440"/>
        <v>0.54859645035593851</v>
      </c>
      <c r="BB238" s="2123">
        <f ca="1">SUM((INDIRECT(BB$2&amp;(ROW())):INDIRECT(BB$3&amp;(ROW()))))</f>
        <v>25746.595973272266</v>
      </c>
      <c r="BC238" s="455">
        <f ca="1">SUM(INDIRECT(BC$1&amp;BC$2&amp;$C238):INDIRECT(BC$1&amp;BC$3&amp;$C238))</f>
        <v>0</v>
      </c>
      <c r="BD238" s="2520">
        <f t="shared" ca="1" si="441"/>
        <v>25746.595973272266</v>
      </c>
      <c r="BE238" s="1715">
        <f t="shared" ca="1" si="442"/>
        <v>0</v>
      </c>
      <c r="BF238" s="455">
        <f ca="1">SUM(INDIRECT(BF$1&amp;BF$2&amp;$A238):INDIRECT(BF$1&amp;BF$3&amp;$A238))+SUM(INDIRECT(BF$1&amp;BF$2&amp;$B238):INDIRECT(BF$1&amp;BF$3&amp;$B238))</f>
        <v>33843</v>
      </c>
      <c r="BG238" s="2520">
        <f t="shared" ca="1" si="443"/>
        <v>-8096.4040267277342</v>
      </c>
      <c r="BH238" s="1715">
        <f t="shared" ca="1" si="444"/>
        <v>0.76076577056621064</v>
      </c>
    </row>
    <row r="239" spans="1:60" s="619" customFormat="1" ht="14.5">
      <c r="A239" s="990">
        <f t="shared" si="459"/>
        <v>212</v>
      </c>
      <c r="B239" s="990">
        <v>1</v>
      </c>
      <c r="C239" s="990">
        <f t="shared" si="430"/>
        <v>236</v>
      </c>
      <c r="D239" s="1121" t="s">
        <v>887</v>
      </c>
      <c r="E239" s="1243">
        <v>1</v>
      </c>
      <c r="F239" s="5"/>
      <c r="G239" s="5"/>
      <c r="H239" s="616"/>
      <c r="I239" s="617"/>
      <c r="J239" s="618" t="s">
        <v>563</v>
      </c>
      <c r="K239" s="616"/>
      <c r="L239" s="616"/>
      <c r="M239" s="616"/>
      <c r="N239" s="616"/>
      <c r="O239" s="587" t="s">
        <v>529</v>
      </c>
      <c r="P239" s="616"/>
      <c r="Q239" s="1850" t="str">
        <f>CHOOSE(2, "6722000003158", "PL (3) Gross Profit (%)")</f>
        <v>PL (3) Gross Profit (%)</v>
      </c>
      <c r="R239" s="2122">
        <f>IFERROR(R238/R208,0)</f>
        <v>6.8918212699242226E-2</v>
      </c>
      <c r="S239" s="622">
        <f t="shared" ref="S239:AC239" si="473">IFERROR(S238/S208,0)</f>
        <v>-0.46238532110091746</v>
      </c>
      <c r="T239" s="622">
        <f t="shared" si="473"/>
        <v>0.34104721832632073</v>
      </c>
      <c r="U239" s="622">
        <f t="shared" si="473"/>
        <v>0.22713864306784662</v>
      </c>
      <c r="V239" s="622">
        <f t="shared" si="473"/>
        <v>0.2040422569635085</v>
      </c>
      <c r="W239" s="622">
        <f t="shared" si="473"/>
        <v>0.11879115577991205</v>
      </c>
      <c r="X239" s="622">
        <f t="shared" si="473"/>
        <v>0.39187720728063025</v>
      </c>
      <c r="Y239" s="622">
        <f t="shared" si="473"/>
        <v>0.14639017799447807</v>
      </c>
      <c r="Z239" s="622">
        <f t="shared" si="473"/>
        <v>-1.1638760711931444</v>
      </c>
      <c r="AA239" s="622">
        <f t="shared" si="473"/>
        <v>0.24933078393881453</v>
      </c>
      <c r="AB239" s="622">
        <f t="shared" si="473"/>
        <v>7.4102328999624378E-2</v>
      </c>
      <c r="AC239" s="622">
        <f t="shared" si="473"/>
        <v>0.29075232065871753</v>
      </c>
      <c r="AD239" s="622">
        <f t="shared" ref="AD239:AJ239" si="474">IFERROR(AD238/AD208,0)</f>
        <v>0.14981584381852633</v>
      </c>
      <c r="AE239" s="622">
        <f t="shared" si="474"/>
        <v>0.17100007355943656</v>
      </c>
      <c r="AF239" s="622">
        <f t="shared" si="474"/>
        <v>-0.10794494838911479</v>
      </c>
      <c r="AG239" s="622">
        <f t="shared" si="474"/>
        <v>0.24209618524101484</v>
      </c>
      <c r="AH239" s="622">
        <f t="shared" si="474"/>
        <v>0.16005820236202414</v>
      </c>
      <c r="AI239" s="622">
        <f t="shared" si="474"/>
        <v>0.12104930526098273</v>
      </c>
      <c r="AJ239" s="622">
        <f t="shared" si="474"/>
        <v>0.14039303946306095</v>
      </c>
      <c r="AL239" s="2122">
        <f ca="1">IFERROR(AL238/AL208,0)</f>
        <v>0.29075232065871753</v>
      </c>
      <c r="AM239" s="622">
        <f ca="1">IFERROR(AM238/AM208,0)</f>
        <v>0</v>
      </c>
      <c r="AN239" s="622">
        <f t="shared" ca="1" si="433"/>
        <v>0.29075232065871753</v>
      </c>
      <c r="AO239" s="938"/>
      <c r="AP239" s="622">
        <f ca="1">IFERROR(AP238/AP208,0)</f>
        <v>0.10332779655192165</v>
      </c>
      <c r="AQ239" s="622">
        <f t="shared" ca="1" si="435"/>
        <v>0.18742452410679589</v>
      </c>
      <c r="AR239" s="938"/>
      <c r="AT239" s="2122">
        <f ca="1">IFERROR(AT238/AT208,0)</f>
        <v>0.24209618524101484</v>
      </c>
      <c r="AU239" s="622">
        <f ca="1">IFERROR(AU238/AU208,0)</f>
        <v>0</v>
      </c>
      <c r="AV239" s="622">
        <f t="shared" ca="1" si="437"/>
        <v>0.24209618524101484</v>
      </c>
      <c r="AW239" s="938"/>
      <c r="AX239" s="622">
        <f ca="1">IFERROR(AX238/AX208,0)</f>
        <v>0.29130558162886644</v>
      </c>
      <c r="AY239" s="622">
        <f t="shared" ca="1" si="439"/>
        <v>-4.9209396387851601E-2</v>
      </c>
      <c r="AZ239" s="938"/>
      <c r="BB239" s="2122">
        <f ca="1">IFERROR(BB238/BB208,0)</f>
        <v>0.14039303946306095</v>
      </c>
      <c r="BC239" s="622">
        <f ca="1">IFERROR(BC238/BC208,0)</f>
        <v>0</v>
      </c>
      <c r="BD239" s="622">
        <f t="shared" ca="1" si="441"/>
        <v>0.14039303946306095</v>
      </c>
      <c r="BE239" s="938"/>
      <c r="BF239" s="622">
        <f ca="1">IFERROR(BF238/BF208,0)</f>
        <v>0.14098136661487254</v>
      </c>
      <c r="BG239" s="622">
        <f t="shared" ca="1" si="443"/>
        <v>-5.8832715181159068E-4</v>
      </c>
      <c r="BH239" s="938"/>
    </row>
    <row r="240" spans="1:60" s="627" customFormat="1" ht="14.5" hidden="1" outlineLevel="1">
      <c r="A240" s="990">
        <f t="shared" si="459"/>
        <v>213</v>
      </c>
      <c r="B240" s="990">
        <v>1</v>
      </c>
      <c r="C240" s="990">
        <f t="shared" si="430"/>
        <v>237</v>
      </c>
      <c r="D240" s="1121" t="s">
        <v>887</v>
      </c>
      <c r="E240" s="1243">
        <v>1</v>
      </c>
      <c r="F240" s="5"/>
      <c r="G240" s="5"/>
      <c r="H240" s="624"/>
      <c r="I240" s="625"/>
      <c r="J240" s="618"/>
      <c r="K240" s="624"/>
      <c r="L240" s="624"/>
      <c r="M240" s="626" t="s">
        <v>564</v>
      </c>
      <c r="N240" s="626"/>
      <c r="O240" s="626"/>
      <c r="P240" s="626"/>
      <c r="Q240" s="1862" t="str">
        <f>CHOOSE(2, "6722000003159", "PL (3) Gross Profit HW &amp; Solution (%)")</f>
        <v>PL (3) Gross Profit HW &amp; Solution (%)</v>
      </c>
      <c r="R240" s="2126">
        <f>IFERROR(R254/R209,0)</f>
        <v>4.9042306882761524E-2</v>
      </c>
      <c r="S240" s="632">
        <f t="shared" ref="S240:AC240" si="475">IFERROR(S254/S209,0)</f>
        <v>-20.488095238095237</v>
      </c>
      <c r="T240" s="632">
        <f t="shared" si="475"/>
        <v>0.40572408061500104</v>
      </c>
      <c r="U240" s="632">
        <f t="shared" si="475"/>
        <v>0.82539682539682535</v>
      </c>
      <c r="V240" s="632">
        <f t="shared" si="475"/>
        <v>0.15826355230485856</v>
      </c>
      <c r="W240" s="632">
        <f t="shared" si="475"/>
        <v>0.1521941242097434</v>
      </c>
      <c r="X240" s="632">
        <f t="shared" si="475"/>
        <v>0.40211640211640209</v>
      </c>
      <c r="Y240" s="632">
        <f t="shared" si="475"/>
        <v>0.1101010101010101</v>
      </c>
      <c r="Z240" s="632">
        <f t="shared" si="475"/>
        <v>0</v>
      </c>
      <c r="AA240" s="632">
        <f t="shared" si="475"/>
        <v>0.30956927646934013</v>
      </c>
      <c r="AB240" s="632">
        <f t="shared" si="475"/>
        <v>0</v>
      </c>
      <c r="AC240" s="632">
        <f t="shared" si="475"/>
        <v>0.95896985659935619</v>
      </c>
      <c r="AD240" s="632">
        <f t="shared" ref="AD240:AJ240" si="476">IFERROR(AD254/AD209,0)</f>
        <v>0.10735709853133835</v>
      </c>
      <c r="AE240" s="632">
        <f t="shared" si="476"/>
        <v>0.16325359579418877</v>
      </c>
      <c r="AF240" s="632">
        <f t="shared" si="476"/>
        <v>-0.89083479276123756</v>
      </c>
      <c r="AG240" s="632">
        <f t="shared" si="476"/>
        <v>0.61251634805353816</v>
      </c>
      <c r="AH240" s="632">
        <f t="shared" si="476"/>
        <v>0.13057463824982146</v>
      </c>
      <c r="AI240" s="632">
        <f t="shared" si="476"/>
        <v>0.27817808070972627</v>
      </c>
      <c r="AJ240" s="632">
        <f t="shared" si="476"/>
        <v>0.2017586545004815</v>
      </c>
      <c r="AL240" s="2126">
        <f t="shared" ref="AL240:AM246" ca="1" si="477">IFERROR(AL254/AL209,0)</f>
        <v>0.95896985659935619</v>
      </c>
      <c r="AM240" s="632">
        <f t="shared" ca="1" si="477"/>
        <v>0</v>
      </c>
      <c r="AN240" s="632">
        <f t="shared" ref="AN240:AN271" ca="1" si="478">AL240-AM240</f>
        <v>0.95896985659935619</v>
      </c>
      <c r="AO240" s="945"/>
      <c r="AP240" s="632">
        <f t="shared" ref="AP240:AP246" ca="1" si="479">IFERROR(AP254/AP209,0)</f>
        <v>0.14076841848753147</v>
      </c>
      <c r="AQ240" s="632">
        <f t="shared" ref="AQ240:AQ271" ca="1" si="480">AL240-AP240</f>
        <v>0.81820143811182477</v>
      </c>
      <c r="AR240" s="945"/>
      <c r="AT240" s="2126">
        <f t="shared" ref="AT240:AU246" ca="1" si="481">IFERROR(AT254/AT209,0)</f>
        <v>0.61251634805353816</v>
      </c>
      <c r="AU240" s="632">
        <f t="shared" ca="1" si="481"/>
        <v>0</v>
      </c>
      <c r="AV240" s="632">
        <f t="shared" ref="AV240:AV271" ca="1" si="482">AT240-AU240</f>
        <v>0.61251634805353816</v>
      </c>
      <c r="AW240" s="945"/>
      <c r="AX240" s="632">
        <f t="shared" ref="AX240:AX246" ca="1" si="483">IFERROR(AX254/AX209,0)</f>
        <v>0.32823143097506036</v>
      </c>
      <c r="AY240" s="632">
        <f t="shared" ref="AY240:AY271" ca="1" si="484">AT240-AX240</f>
        <v>0.28428491707847781</v>
      </c>
      <c r="AZ240" s="945"/>
      <c r="BB240" s="2126">
        <f t="shared" ref="BB240:BC246" ca="1" si="485">IFERROR(BB254/BB209,0)</f>
        <v>0.2017586545004815</v>
      </c>
      <c r="BC240" s="632">
        <f t="shared" ca="1" si="485"/>
        <v>0</v>
      </c>
      <c r="BD240" s="632">
        <f t="shared" ref="BD240:BD271" ca="1" si="486">BB240-BC240</f>
        <v>0.2017586545004815</v>
      </c>
      <c r="BE240" s="945"/>
      <c r="BF240" s="632">
        <f t="shared" ref="BF240:BF246" ca="1" si="487">IFERROR(BF254/BF209,0)</f>
        <v>0.16351365115443789</v>
      </c>
      <c r="BG240" s="632">
        <f t="shared" ref="BG240:BG271" ca="1" si="488">BB240-BF240</f>
        <v>3.824500334604361E-2</v>
      </c>
      <c r="BH240" s="945"/>
    </row>
    <row r="241" spans="1:60" s="627" customFormat="1" ht="14.5" hidden="1" outlineLevel="1">
      <c r="A241" s="990">
        <f t="shared" si="459"/>
        <v>214</v>
      </c>
      <c r="B241" s="990">
        <v>1</v>
      </c>
      <c r="C241" s="990">
        <f t="shared" si="430"/>
        <v>238</v>
      </c>
      <c r="D241" s="1121" t="s">
        <v>887</v>
      </c>
      <c r="E241" s="1243">
        <v>1</v>
      </c>
      <c r="F241" s="5"/>
      <c r="G241" s="5"/>
      <c r="H241" s="624"/>
      <c r="I241" s="625"/>
      <c r="J241" s="618"/>
      <c r="K241" s="624"/>
      <c r="L241" s="624"/>
      <c r="M241" s="624"/>
      <c r="N241" s="618" t="s">
        <v>990</v>
      </c>
      <c r="O241" s="618"/>
      <c r="P241" s="618"/>
      <c r="Q241" s="1850" t="str">
        <f>CHOOSE(2, "6722000003160", "PL (3) Gross Profit HW &amp; Solution (%) KM-1/KM-1e (%)")</f>
        <v>PL (3) Gross Profit HW &amp; Solution (%) KM-1/KM-1e (%)</v>
      </c>
      <c r="R241" s="2127">
        <f t="shared" ref="R241:AC253" si="489">IFERROR(R255/R210,0)</f>
        <v>0</v>
      </c>
      <c r="S241" s="623">
        <f t="shared" si="489"/>
        <v>0</v>
      </c>
      <c r="T241" s="623">
        <f t="shared" si="489"/>
        <v>0</v>
      </c>
      <c r="U241" s="623">
        <f t="shared" si="489"/>
        <v>0</v>
      </c>
      <c r="V241" s="623">
        <f t="shared" si="489"/>
        <v>0</v>
      </c>
      <c r="W241" s="623">
        <f t="shared" si="489"/>
        <v>0</v>
      </c>
      <c r="X241" s="623">
        <f t="shared" si="489"/>
        <v>0</v>
      </c>
      <c r="Y241" s="623">
        <f t="shared" si="489"/>
        <v>0</v>
      </c>
      <c r="Z241" s="623">
        <f t="shared" si="489"/>
        <v>0</v>
      </c>
      <c r="AA241" s="623">
        <f t="shared" si="489"/>
        <v>0</v>
      </c>
      <c r="AB241" s="623">
        <f t="shared" si="489"/>
        <v>0</v>
      </c>
      <c r="AC241" s="623">
        <f t="shared" si="489"/>
        <v>1.5630363036303629</v>
      </c>
      <c r="AD241" s="623">
        <f t="shared" ref="AD241:AJ241" si="490">IFERROR(AD255/AD210,0)</f>
        <v>0</v>
      </c>
      <c r="AE241" s="623">
        <f t="shared" si="490"/>
        <v>0</v>
      </c>
      <c r="AF241" s="623">
        <f t="shared" si="490"/>
        <v>0</v>
      </c>
      <c r="AG241" s="623">
        <f t="shared" si="490"/>
        <v>1.5630363036303629</v>
      </c>
      <c r="AH241" s="623">
        <f t="shared" si="490"/>
        <v>0</v>
      </c>
      <c r="AI241" s="623">
        <f t="shared" si="490"/>
        <v>1.5630363036303629</v>
      </c>
      <c r="AJ241" s="623">
        <f t="shared" si="490"/>
        <v>1.5630363036303629</v>
      </c>
      <c r="AL241" s="2127">
        <f t="shared" ca="1" si="477"/>
        <v>1.5630363036303629</v>
      </c>
      <c r="AM241" s="623">
        <f t="shared" ca="1" si="477"/>
        <v>0</v>
      </c>
      <c r="AN241" s="623">
        <f t="shared" ca="1" si="478"/>
        <v>1.5630363036303629</v>
      </c>
      <c r="AO241" s="946"/>
      <c r="AP241" s="623">
        <f t="shared" ca="1" si="479"/>
        <v>0</v>
      </c>
      <c r="AQ241" s="623">
        <f t="shared" ca="1" si="480"/>
        <v>1.5630363036303629</v>
      </c>
      <c r="AR241" s="946"/>
      <c r="AT241" s="2127">
        <f t="shared" ca="1" si="481"/>
        <v>1.5630363036303629</v>
      </c>
      <c r="AU241" s="623">
        <f t="shared" ca="1" si="481"/>
        <v>0</v>
      </c>
      <c r="AV241" s="623">
        <f t="shared" ca="1" si="482"/>
        <v>1.5630363036303629</v>
      </c>
      <c r="AW241" s="946"/>
      <c r="AX241" s="623">
        <f t="shared" ca="1" si="483"/>
        <v>0.91621129326047357</v>
      </c>
      <c r="AY241" s="623">
        <f t="shared" ca="1" si="484"/>
        <v>0.64682501036988937</v>
      </c>
      <c r="AZ241" s="946"/>
      <c r="BB241" s="2127">
        <f t="shared" ca="1" si="485"/>
        <v>1.5630363036303629</v>
      </c>
      <c r="BC241" s="623">
        <f t="shared" ca="1" si="485"/>
        <v>0</v>
      </c>
      <c r="BD241" s="623">
        <f t="shared" ca="1" si="486"/>
        <v>1.5630363036303629</v>
      </c>
      <c r="BE241" s="946"/>
      <c r="BF241" s="623">
        <f t="shared" ca="1" si="487"/>
        <v>0.99453551912568305</v>
      </c>
      <c r="BG241" s="623">
        <f t="shared" ca="1" si="488"/>
        <v>0.56850078450467989</v>
      </c>
      <c r="BH241" s="946"/>
    </row>
    <row r="242" spans="1:60" s="627" customFormat="1" ht="14.5" hidden="1" outlineLevel="1">
      <c r="A242" s="990">
        <f t="shared" si="459"/>
        <v>215</v>
      </c>
      <c r="B242" s="990">
        <v>1</v>
      </c>
      <c r="C242" s="990">
        <f t="shared" si="430"/>
        <v>239</v>
      </c>
      <c r="D242" s="1121" t="s">
        <v>887</v>
      </c>
      <c r="E242" s="1243">
        <v>1</v>
      </c>
      <c r="F242" s="5"/>
      <c r="G242" s="5"/>
      <c r="H242" s="624"/>
      <c r="I242" s="625"/>
      <c r="J242" s="618"/>
      <c r="K242" s="624"/>
      <c r="L242" s="624"/>
      <c r="M242" s="624"/>
      <c r="N242" s="618" t="s">
        <v>565</v>
      </c>
      <c r="O242" s="618"/>
      <c r="P242" s="618"/>
      <c r="Q242" s="1850" t="str">
        <f>CHOOSE(2, "6722000003161", "PL (3) Gross Profit HW &amp; Solution (%) Label Printer (%)")</f>
        <v>PL (3) Gross Profit HW &amp; Solution (%) Label Printer (%)</v>
      </c>
      <c r="R242" s="2127">
        <f t="shared" si="489"/>
        <v>0</v>
      </c>
      <c r="S242" s="623">
        <f t="shared" si="489"/>
        <v>0</v>
      </c>
      <c r="T242" s="623">
        <f t="shared" si="489"/>
        <v>0.57610526315789479</v>
      </c>
      <c r="U242" s="623">
        <f t="shared" si="489"/>
        <v>0</v>
      </c>
      <c r="V242" s="623">
        <f t="shared" si="489"/>
        <v>0</v>
      </c>
      <c r="W242" s="623">
        <f t="shared" si="489"/>
        <v>0</v>
      </c>
      <c r="X242" s="623">
        <f t="shared" si="489"/>
        <v>0</v>
      </c>
      <c r="Y242" s="623">
        <f t="shared" si="489"/>
        <v>0</v>
      </c>
      <c r="Z242" s="623">
        <f t="shared" si="489"/>
        <v>0</v>
      </c>
      <c r="AA242" s="623">
        <f t="shared" si="489"/>
        <v>0.5583516483516483</v>
      </c>
      <c r="AB242" s="623">
        <f t="shared" si="489"/>
        <v>0</v>
      </c>
      <c r="AC242" s="623">
        <f t="shared" si="489"/>
        <v>1.63</v>
      </c>
      <c r="AD242" s="623">
        <f t="shared" ref="AD242:AJ242" si="491">IFERROR(AD256/AD211,0)</f>
        <v>0.57610526315789479</v>
      </c>
      <c r="AE242" s="623">
        <f t="shared" si="491"/>
        <v>0</v>
      </c>
      <c r="AF242" s="623">
        <f t="shared" si="491"/>
        <v>0</v>
      </c>
      <c r="AG242" s="623">
        <f t="shared" si="491"/>
        <v>1.0912154696132597</v>
      </c>
      <c r="AH242" s="623">
        <f t="shared" si="491"/>
        <v>0.57610526315789479</v>
      </c>
      <c r="AI242" s="623">
        <f t="shared" si="491"/>
        <v>0.53872928176795576</v>
      </c>
      <c r="AJ242" s="623">
        <f t="shared" si="491"/>
        <v>0.55159420289855077</v>
      </c>
      <c r="AL242" s="2127">
        <f t="shared" ca="1" si="477"/>
        <v>1.63</v>
      </c>
      <c r="AM242" s="623">
        <f t="shared" ca="1" si="477"/>
        <v>0</v>
      </c>
      <c r="AN242" s="623">
        <f t="shared" ca="1" si="478"/>
        <v>1.63</v>
      </c>
      <c r="AO242" s="946"/>
      <c r="AP242" s="623">
        <f t="shared" ca="1" si="479"/>
        <v>0.39018087855297157</v>
      </c>
      <c r="AQ242" s="623">
        <f t="shared" ca="1" si="480"/>
        <v>1.2398191214470282</v>
      </c>
      <c r="AR242" s="946"/>
      <c r="AT242" s="2127">
        <f t="shared" ca="1" si="481"/>
        <v>1.0912154696132597</v>
      </c>
      <c r="AU242" s="623">
        <f t="shared" ca="1" si="481"/>
        <v>0</v>
      </c>
      <c r="AV242" s="623">
        <f t="shared" ca="1" si="482"/>
        <v>1.0912154696132597</v>
      </c>
      <c r="AW242" s="946"/>
      <c r="AX242" s="623">
        <f t="shared" ca="1" si="483"/>
        <v>0.45596033331037805</v>
      </c>
      <c r="AY242" s="623">
        <f t="shared" ca="1" si="484"/>
        <v>0.63525513630288155</v>
      </c>
      <c r="AZ242" s="946"/>
      <c r="BB242" s="2127">
        <f t="shared" ca="1" si="485"/>
        <v>0.55159420289855077</v>
      </c>
      <c r="BC242" s="623">
        <f t="shared" ca="1" si="485"/>
        <v>0</v>
      </c>
      <c r="BD242" s="623">
        <f t="shared" ca="1" si="486"/>
        <v>0.55159420289855077</v>
      </c>
      <c r="BE242" s="946"/>
      <c r="BF242" s="623">
        <f t="shared" ca="1" si="487"/>
        <v>0.50958350913145678</v>
      </c>
      <c r="BG242" s="623">
        <f t="shared" ca="1" si="488"/>
        <v>4.2010693767093987E-2</v>
      </c>
      <c r="BH242" s="946"/>
    </row>
    <row r="243" spans="1:60" s="627" customFormat="1" ht="14.5" hidden="1" outlineLevel="1">
      <c r="A243" s="990">
        <f t="shared" si="459"/>
        <v>216</v>
      </c>
      <c r="B243" s="990">
        <v>1</v>
      </c>
      <c r="C243" s="990">
        <f t="shared" si="430"/>
        <v>240</v>
      </c>
      <c r="D243" s="1121" t="s">
        <v>887</v>
      </c>
      <c r="E243" s="1243">
        <v>1</v>
      </c>
      <c r="F243" s="5"/>
      <c r="G243" s="5"/>
      <c r="H243" s="624"/>
      <c r="I243" s="625"/>
      <c r="J243" s="618"/>
      <c r="K243" s="624"/>
      <c r="L243" s="624"/>
      <c r="M243" s="624"/>
      <c r="N243" s="618" t="s">
        <v>566</v>
      </c>
      <c r="O243" s="618"/>
      <c r="P243" s="618"/>
      <c r="Q243" s="1850" t="str">
        <f>CHOOSE(2, "6722000003162", "PL (3) Gross Profit HW &amp; Solution (%) MGI (%)")</f>
        <v>PL (3) Gross Profit HW &amp; Solution (%) MGI (%)</v>
      </c>
      <c r="R243" s="2127">
        <f t="shared" si="489"/>
        <v>4.9042306882761524E-2</v>
      </c>
      <c r="S243" s="623">
        <f t="shared" si="489"/>
        <v>-20.488095238095237</v>
      </c>
      <c r="T243" s="623">
        <f t="shared" si="489"/>
        <v>0.23974569319114028</v>
      </c>
      <c r="U243" s="623">
        <f t="shared" si="489"/>
        <v>0.82539682539682535</v>
      </c>
      <c r="V243" s="623">
        <f t="shared" si="489"/>
        <v>0.15826355230485856</v>
      </c>
      <c r="W243" s="623">
        <f t="shared" si="489"/>
        <v>0.1521941242097434</v>
      </c>
      <c r="X243" s="623">
        <f t="shared" si="489"/>
        <v>0.40211640211640209</v>
      </c>
      <c r="Y243" s="623">
        <f t="shared" si="489"/>
        <v>0.1101010101010101</v>
      </c>
      <c r="Z243" s="623">
        <f t="shared" si="489"/>
        <v>0</v>
      </c>
      <c r="AA243" s="623">
        <f t="shared" si="489"/>
        <v>7.742001640689089E-2</v>
      </c>
      <c r="AB243" s="623">
        <f t="shared" si="489"/>
        <v>0</v>
      </c>
      <c r="AC243" s="623">
        <f t="shared" si="489"/>
        <v>0.42520833333333335</v>
      </c>
      <c r="AD243" s="623">
        <f t="shared" ref="AD243:AJ243" si="492">IFERROR(AD257/AD212,0)</f>
        <v>-0.12093714754434533</v>
      </c>
      <c r="AE243" s="623">
        <f t="shared" si="492"/>
        <v>0.16325359579418877</v>
      </c>
      <c r="AF243" s="623">
        <f t="shared" si="492"/>
        <v>8.2117143413115393E-2</v>
      </c>
      <c r="AG243" s="623">
        <f t="shared" si="492"/>
        <v>0.23920008267879289</v>
      </c>
      <c r="AH243" s="623">
        <f t="shared" si="492"/>
        <v>2.5061826348074041E-2</v>
      </c>
      <c r="AI243" s="623">
        <f t="shared" si="492"/>
        <v>0.18471144110698617</v>
      </c>
      <c r="AJ243" s="623">
        <f t="shared" si="492"/>
        <v>9.2887274921522156E-2</v>
      </c>
      <c r="AL243" s="2127">
        <f t="shared" ca="1" si="477"/>
        <v>0.42520833333333335</v>
      </c>
      <c r="AM243" s="623">
        <f t="shared" ca="1" si="477"/>
        <v>0</v>
      </c>
      <c r="AN243" s="623">
        <f t="shared" ca="1" si="478"/>
        <v>0.42520833333333335</v>
      </c>
      <c r="AO243" s="946"/>
      <c r="AP243" s="623">
        <f t="shared" ca="1" si="479"/>
        <v>4.2595292647365134E-2</v>
      </c>
      <c r="AQ243" s="623">
        <f t="shared" ca="1" si="480"/>
        <v>0.38261304068596824</v>
      </c>
      <c r="AR243" s="946"/>
      <c r="AT243" s="2127">
        <f t="shared" ca="1" si="481"/>
        <v>0.23920008267879289</v>
      </c>
      <c r="AU243" s="623">
        <f t="shared" ca="1" si="481"/>
        <v>0</v>
      </c>
      <c r="AV243" s="623">
        <f t="shared" ca="1" si="482"/>
        <v>0.23920008267879289</v>
      </c>
      <c r="AW243" s="946"/>
      <c r="AX243" s="623">
        <f t="shared" ca="1" si="483"/>
        <v>0.31365908194133896</v>
      </c>
      <c r="AY243" s="623">
        <f t="shared" ca="1" si="484"/>
        <v>-7.4458999262546066E-2</v>
      </c>
      <c r="AZ243" s="946"/>
      <c r="BB243" s="2127">
        <f t="shared" ca="1" si="485"/>
        <v>9.2887274921522156E-2</v>
      </c>
      <c r="BC243" s="623">
        <f t="shared" ca="1" si="485"/>
        <v>0</v>
      </c>
      <c r="BD243" s="623">
        <f t="shared" ca="1" si="486"/>
        <v>9.2887274921522156E-2</v>
      </c>
      <c r="BE243" s="946"/>
      <c r="BF243" s="623">
        <f t="shared" ca="1" si="487"/>
        <v>9.8260712488548826E-2</v>
      </c>
      <c r="BG243" s="623">
        <f t="shared" ca="1" si="488"/>
        <v>-5.3734375670266704E-3</v>
      </c>
      <c r="BH243" s="946"/>
    </row>
    <row r="244" spans="1:60" s="627" customFormat="1" ht="14.5" hidden="1" outlineLevel="1">
      <c r="A244" s="990">
        <f t="shared" si="459"/>
        <v>217</v>
      </c>
      <c r="B244" s="990">
        <v>1</v>
      </c>
      <c r="C244" s="990">
        <f t="shared" si="430"/>
        <v>241</v>
      </c>
      <c r="D244" s="1121" t="s">
        <v>887</v>
      </c>
      <c r="E244" s="1243">
        <v>1</v>
      </c>
      <c r="F244" s="5"/>
      <c r="G244" s="5"/>
      <c r="H244" s="624"/>
      <c r="I244" s="625"/>
      <c r="J244" s="618"/>
      <c r="K244" s="624"/>
      <c r="L244" s="624"/>
      <c r="M244" s="624"/>
      <c r="N244" s="618" t="s">
        <v>567</v>
      </c>
      <c r="O244" s="618"/>
      <c r="P244" s="618"/>
      <c r="Q244" s="1850" t="str">
        <f>CHOOSE(2, "6722000003163", "PL (3) Gross Profit HW &amp; Solution (%) EFI/LF (%)")</f>
        <v>PL (3) Gross Profit HW &amp; Solution (%) EFI/LF (%)</v>
      </c>
      <c r="R244" s="2127">
        <f t="shared" si="489"/>
        <v>0</v>
      </c>
      <c r="S244" s="623">
        <f t="shared" si="489"/>
        <v>0</v>
      </c>
      <c r="T244" s="623">
        <f t="shared" si="489"/>
        <v>0</v>
      </c>
      <c r="U244" s="623">
        <f t="shared" si="489"/>
        <v>0</v>
      </c>
      <c r="V244" s="623">
        <f t="shared" si="489"/>
        <v>0</v>
      </c>
      <c r="W244" s="623">
        <f t="shared" si="489"/>
        <v>0</v>
      </c>
      <c r="X244" s="623">
        <f t="shared" si="489"/>
        <v>0</v>
      </c>
      <c r="Y244" s="623">
        <f t="shared" si="489"/>
        <v>0</v>
      </c>
      <c r="Z244" s="623">
        <f t="shared" si="489"/>
        <v>0</v>
      </c>
      <c r="AA244" s="623">
        <f t="shared" si="489"/>
        <v>0</v>
      </c>
      <c r="AB244" s="623">
        <f t="shared" si="489"/>
        <v>0</v>
      </c>
      <c r="AC244" s="623">
        <f t="shared" si="489"/>
        <v>0</v>
      </c>
      <c r="AD244" s="623">
        <f t="shared" ref="AD244:AJ244" si="493">IFERROR(AD258/AD213,0)</f>
        <v>0</v>
      </c>
      <c r="AE244" s="623">
        <f t="shared" si="493"/>
        <v>0</v>
      </c>
      <c r="AF244" s="623">
        <f t="shared" si="493"/>
        <v>0</v>
      </c>
      <c r="AG244" s="623">
        <f t="shared" si="493"/>
        <v>0</v>
      </c>
      <c r="AH244" s="623">
        <f>IFERROR(AH258/AH213,0)</f>
        <v>0</v>
      </c>
      <c r="AI244" s="623">
        <f t="shared" si="493"/>
        <v>0</v>
      </c>
      <c r="AJ244" s="623">
        <f t="shared" si="493"/>
        <v>0</v>
      </c>
      <c r="AL244" s="2127">
        <f t="shared" ca="1" si="477"/>
        <v>0</v>
      </c>
      <c r="AM244" s="623">
        <f t="shared" ca="1" si="477"/>
        <v>0</v>
      </c>
      <c r="AN244" s="623">
        <f t="shared" ca="1" si="478"/>
        <v>0</v>
      </c>
      <c r="AO244" s="946"/>
      <c r="AP244" s="623">
        <f t="shared" ca="1" si="479"/>
        <v>0</v>
      </c>
      <c r="AQ244" s="623">
        <f t="shared" ca="1" si="480"/>
        <v>0</v>
      </c>
      <c r="AR244" s="946"/>
      <c r="AT244" s="2127">
        <f t="shared" ca="1" si="481"/>
        <v>0</v>
      </c>
      <c r="AU244" s="623">
        <f t="shared" ca="1" si="481"/>
        <v>0</v>
      </c>
      <c r="AV244" s="623">
        <f t="shared" ca="1" si="482"/>
        <v>0</v>
      </c>
      <c r="AW244" s="946"/>
      <c r="AX244" s="623">
        <f t="shared" ca="1" si="483"/>
        <v>0</v>
      </c>
      <c r="AY244" s="623">
        <f t="shared" ca="1" si="484"/>
        <v>0</v>
      </c>
      <c r="AZ244" s="946"/>
      <c r="BB244" s="2127">
        <f t="shared" ca="1" si="485"/>
        <v>0</v>
      </c>
      <c r="BC244" s="623">
        <f t="shared" ca="1" si="485"/>
        <v>0</v>
      </c>
      <c r="BD244" s="623">
        <f t="shared" ca="1" si="486"/>
        <v>0</v>
      </c>
      <c r="BE244" s="946"/>
      <c r="BF244" s="623">
        <f t="shared" ca="1" si="487"/>
        <v>0</v>
      </c>
      <c r="BG244" s="623">
        <f t="shared" ca="1" si="488"/>
        <v>0</v>
      </c>
      <c r="BH244" s="946"/>
    </row>
    <row r="245" spans="1:60" s="627" customFormat="1" ht="14.5" hidden="1" outlineLevel="1">
      <c r="A245" s="990">
        <f t="shared" si="459"/>
        <v>218</v>
      </c>
      <c r="B245" s="990">
        <v>1</v>
      </c>
      <c r="C245" s="990">
        <f t="shared" si="430"/>
        <v>242</v>
      </c>
      <c r="D245" s="1121" t="s">
        <v>887</v>
      </c>
      <c r="E245" s="1243">
        <v>1</v>
      </c>
      <c r="F245" s="5"/>
      <c r="G245" s="5"/>
      <c r="H245" s="624"/>
      <c r="I245" s="625"/>
      <c r="J245" s="618"/>
      <c r="K245" s="624"/>
      <c r="L245" s="624"/>
      <c r="M245" s="624"/>
      <c r="N245" s="618" t="s">
        <v>568</v>
      </c>
      <c r="O245" s="618"/>
      <c r="P245" s="618"/>
      <c r="Q245" s="1850" t="str">
        <f>CHOOSE(2, "6722000003164", "PL (3) Gross Profit HW &amp; Solution (%) Textile Printer (%)")</f>
        <v>PL (3) Gross Profit HW &amp; Solution (%) Textile Printer (%)</v>
      </c>
      <c r="R245" s="2127">
        <f t="shared" si="489"/>
        <v>0</v>
      </c>
      <c r="S245" s="623">
        <f t="shared" si="489"/>
        <v>0</v>
      </c>
      <c r="T245" s="623">
        <f t="shared" si="489"/>
        <v>0</v>
      </c>
      <c r="U245" s="623">
        <f t="shared" si="489"/>
        <v>0</v>
      </c>
      <c r="V245" s="623">
        <f t="shared" si="489"/>
        <v>0</v>
      </c>
      <c r="W245" s="623">
        <f t="shared" si="489"/>
        <v>0</v>
      </c>
      <c r="X245" s="623">
        <f t="shared" si="489"/>
        <v>0</v>
      </c>
      <c r="Y245" s="623">
        <f t="shared" si="489"/>
        <v>0</v>
      </c>
      <c r="Z245" s="623">
        <f t="shared" si="489"/>
        <v>0</v>
      </c>
      <c r="AA245" s="623">
        <f t="shared" si="489"/>
        <v>0</v>
      </c>
      <c r="AB245" s="623">
        <f t="shared" si="489"/>
        <v>0</v>
      </c>
      <c r="AC245" s="623">
        <f t="shared" si="489"/>
        <v>0</v>
      </c>
      <c r="AD245" s="623">
        <f t="shared" ref="AD245:AJ245" si="494">IFERROR(AD259/AD214,0)</f>
        <v>0</v>
      </c>
      <c r="AE245" s="623">
        <f t="shared" si="494"/>
        <v>0</v>
      </c>
      <c r="AF245" s="623">
        <f t="shared" si="494"/>
        <v>0</v>
      </c>
      <c r="AG245" s="623">
        <f t="shared" si="494"/>
        <v>0</v>
      </c>
      <c r="AH245" s="623">
        <f t="shared" si="494"/>
        <v>0</v>
      </c>
      <c r="AI245" s="623">
        <f t="shared" si="494"/>
        <v>0</v>
      </c>
      <c r="AJ245" s="623">
        <f t="shared" si="494"/>
        <v>0</v>
      </c>
      <c r="AL245" s="2127">
        <f t="shared" ca="1" si="477"/>
        <v>0</v>
      </c>
      <c r="AM245" s="623">
        <f t="shared" ca="1" si="477"/>
        <v>0</v>
      </c>
      <c r="AN245" s="623">
        <f t="shared" ca="1" si="478"/>
        <v>0</v>
      </c>
      <c r="AO245" s="946"/>
      <c r="AP245" s="623">
        <f t="shared" ca="1" si="479"/>
        <v>0</v>
      </c>
      <c r="AQ245" s="623">
        <f t="shared" ca="1" si="480"/>
        <v>0</v>
      </c>
      <c r="AR245" s="946"/>
      <c r="AT245" s="2127">
        <f t="shared" ca="1" si="481"/>
        <v>0</v>
      </c>
      <c r="AU245" s="623">
        <f t="shared" ca="1" si="481"/>
        <v>0</v>
      </c>
      <c r="AV245" s="623">
        <f t="shared" ca="1" si="482"/>
        <v>0</v>
      </c>
      <c r="AW245" s="946"/>
      <c r="AX245" s="623">
        <f t="shared" ca="1" si="483"/>
        <v>0</v>
      </c>
      <c r="AY245" s="623">
        <f t="shared" ca="1" si="484"/>
        <v>0</v>
      </c>
      <c r="AZ245" s="946"/>
      <c r="BB245" s="2127">
        <f t="shared" ca="1" si="485"/>
        <v>0</v>
      </c>
      <c r="BC245" s="623">
        <f t="shared" ca="1" si="485"/>
        <v>0</v>
      </c>
      <c r="BD245" s="623">
        <f t="shared" ca="1" si="486"/>
        <v>0</v>
      </c>
      <c r="BE245" s="946"/>
      <c r="BF245" s="623">
        <f t="shared" ca="1" si="487"/>
        <v>0</v>
      </c>
      <c r="BG245" s="623">
        <f t="shared" ca="1" si="488"/>
        <v>0</v>
      </c>
      <c r="BH245" s="946"/>
    </row>
    <row r="246" spans="1:60" s="627" customFormat="1" ht="14.5" hidden="1" outlineLevel="1">
      <c r="A246" s="990">
        <f t="shared" si="459"/>
        <v>219</v>
      </c>
      <c r="B246" s="990">
        <v>1</v>
      </c>
      <c r="C246" s="990">
        <f t="shared" si="430"/>
        <v>243</v>
      </c>
      <c r="D246" s="1121" t="s">
        <v>887</v>
      </c>
      <c r="E246" s="1243">
        <v>1</v>
      </c>
      <c r="F246" s="5"/>
      <c r="G246" s="5"/>
      <c r="H246" s="624"/>
      <c r="I246" s="625"/>
      <c r="J246" s="618"/>
      <c r="K246" s="624"/>
      <c r="L246" s="624"/>
      <c r="M246" s="628"/>
      <c r="N246" s="628" t="s">
        <v>569</v>
      </c>
      <c r="O246" s="628"/>
      <c r="P246" s="628"/>
      <c r="Q246" s="1850" t="str">
        <f>CHOOSE(2, "6722000003165", "PL (3) Gross Profit HW &amp; Solution (%) Others (%)")</f>
        <v>PL (3) Gross Profit HW &amp; Solution (%) Others (%)</v>
      </c>
      <c r="R246" s="2128">
        <f t="shared" si="489"/>
        <v>0</v>
      </c>
      <c r="S246" s="633">
        <f t="shared" si="489"/>
        <v>0</v>
      </c>
      <c r="T246" s="633">
        <f t="shared" si="489"/>
        <v>0</v>
      </c>
      <c r="U246" s="633">
        <f t="shared" si="489"/>
        <v>0</v>
      </c>
      <c r="V246" s="633">
        <f t="shared" si="489"/>
        <v>0</v>
      </c>
      <c r="W246" s="633">
        <f t="shared" si="489"/>
        <v>0</v>
      </c>
      <c r="X246" s="633">
        <f t="shared" si="489"/>
        <v>0</v>
      </c>
      <c r="Y246" s="633">
        <f t="shared" si="489"/>
        <v>0</v>
      </c>
      <c r="Z246" s="633">
        <f t="shared" si="489"/>
        <v>0</v>
      </c>
      <c r="AA246" s="633">
        <f t="shared" si="489"/>
        <v>0</v>
      </c>
      <c r="AB246" s="633">
        <f t="shared" si="489"/>
        <v>0</v>
      </c>
      <c r="AC246" s="633">
        <f t="shared" si="489"/>
        <v>0</v>
      </c>
      <c r="AD246" s="633">
        <f t="shared" ref="AD246:AJ246" si="495">IFERROR(AD260/AD215,0)</f>
        <v>0</v>
      </c>
      <c r="AE246" s="633">
        <f t="shared" si="495"/>
        <v>0</v>
      </c>
      <c r="AF246" s="633">
        <f t="shared" si="495"/>
        <v>0</v>
      </c>
      <c r="AG246" s="633">
        <f t="shared" si="495"/>
        <v>0</v>
      </c>
      <c r="AH246" s="633">
        <f t="shared" si="495"/>
        <v>0</v>
      </c>
      <c r="AI246" s="633">
        <f t="shared" si="495"/>
        <v>0</v>
      </c>
      <c r="AJ246" s="633">
        <f t="shared" si="495"/>
        <v>0</v>
      </c>
      <c r="AL246" s="2128">
        <f t="shared" ca="1" si="477"/>
        <v>0</v>
      </c>
      <c r="AM246" s="633">
        <f t="shared" ca="1" si="477"/>
        <v>0</v>
      </c>
      <c r="AN246" s="633">
        <f t="shared" ca="1" si="478"/>
        <v>0</v>
      </c>
      <c r="AO246" s="947"/>
      <c r="AP246" s="633">
        <f t="shared" ca="1" si="479"/>
        <v>0</v>
      </c>
      <c r="AQ246" s="633">
        <f t="shared" ca="1" si="480"/>
        <v>0</v>
      </c>
      <c r="AR246" s="947"/>
      <c r="AT246" s="2128">
        <f t="shared" ca="1" si="481"/>
        <v>0</v>
      </c>
      <c r="AU246" s="633">
        <f t="shared" ca="1" si="481"/>
        <v>0</v>
      </c>
      <c r="AV246" s="633">
        <f t="shared" ca="1" si="482"/>
        <v>0</v>
      </c>
      <c r="AW246" s="947"/>
      <c r="AX246" s="633">
        <f t="shared" ca="1" si="483"/>
        <v>0</v>
      </c>
      <c r="AY246" s="633">
        <f t="shared" ca="1" si="484"/>
        <v>0</v>
      </c>
      <c r="AZ246" s="947"/>
      <c r="BB246" s="2128">
        <f t="shared" ca="1" si="485"/>
        <v>0</v>
      </c>
      <c r="BC246" s="633">
        <f t="shared" ca="1" si="485"/>
        <v>0</v>
      </c>
      <c r="BD246" s="633">
        <f t="shared" ca="1" si="486"/>
        <v>0</v>
      </c>
      <c r="BE246" s="947"/>
      <c r="BF246" s="633">
        <f t="shared" ca="1" si="487"/>
        <v>0</v>
      </c>
      <c r="BG246" s="633">
        <f t="shared" ca="1" si="488"/>
        <v>0</v>
      </c>
      <c r="BH246" s="947"/>
    </row>
    <row r="247" spans="1:60" s="627" customFormat="1" ht="14.5" hidden="1" outlineLevel="1">
      <c r="A247" s="990">
        <f t="shared" si="459"/>
        <v>220</v>
      </c>
      <c r="B247" s="990">
        <v>1</v>
      </c>
      <c r="C247" s="990">
        <f t="shared" si="430"/>
        <v>244</v>
      </c>
      <c r="D247" s="1121" t="s">
        <v>887</v>
      </c>
      <c r="E247" s="1243">
        <v>1</v>
      </c>
      <c r="F247" s="5"/>
      <c r="G247" s="5"/>
      <c r="H247" s="624"/>
      <c r="I247" s="625"/>
      <c r="J247" s="618"/>
      <c r="K247" s="624"/>
      <c r="L247" s="624"/>
      <c r="M247" s="626" t="s">
        <v>570</v>
      </c>
      <c r="N247" s="626"/>
      <c r="O247" s="626"/>
      <c r="P247" s="626"/>
      <c r="Q247" s="1862" t="str">
        <f>CHOOSE(2, "6722000003166", "PL (3) Gross Profit NH (%)")</f>
        <v>PL (3) Gross Profit NH (%)</v>
      </c>
      <c r="R247" s="2126">
        <f t="shared" si="489"/>
        <v>0.10144677919393731</v>
      </c>
      <c r="S247" s="632">
        <f t="shared" si="489"/>
        <v>0.4163329270416159</v>
      </c>
      <c r="T247" s="632">
        <f t="shared" si="489"/>
        <v>0.14697630922693267</v>
      </c>
      <c r="U247" s="632">
        <f t="shared" si="489"/>
        <v>0.20621704135442687</v>
      </c>
      <c r="V247" s="632">
        <f t="shared" si="489"/>
        <v>0.26003960929754794</v>
      </c>
      <c r="W247" s="632">
        <f t="shared" si="489"/>
        <v>7.5535397480939528E-2</v>
      </c>
      <c r="X247" s="632">
        <f t="shared" si="489"/>
        <v>0.39132302405498282</v>
      </c>
      <c r="Y247" s="632">
        <f t="shared" si="489"/>
        <v>0.1968271795591745</v>
      </c>
      <c r="Z247" s="632">
        <f t="shared" si="489"/>
        <v>0.20698747528015821</v>
      </c>
      <c r="AA247" s="632">
        <f t="shared" si="489"/>
        <v>9.372430802959715E-2</v>
      </c>
      <c r="AB247" s="632">
        <f t="shared" si="489"/>
        <v>9.8335557042688676E-2</v>
      </c>
      <c r="AC247" s="632">
        <f t="shared" si="489"/>
        <v>-1.0272454398522282</v>
      </c>
      <c r="AD247" s="632">
        <f t="shared" ref="AD247:AJ247" si="496">IFERROR(AD261/AD216,0)</f>
        <v>0.2183690509323685</v>
      </c>
      <c r="AE247" s="632">
        <f t="shared" si="496"/>
        <v>0.17783390898515353</v>
      </c>
      <c r="AF247" s="632">
        <f t="shared" si="496"/>
        <v>0.26300018439977874</v>
      </c>
      <c r="AG247" s="632">
        <f t="shared" si="496"/>
        <v>-0.30028455637670892</v>
      </c>
      <c r="AH247" s="632">
        <f t="shared" si="496"/>
        <v>0.19545547461052409</v>
      </c>
      <c r="AI247" s="632">
        <f t="shared" si="496"/>
        <v>-3.6010630934973094E-2</v>
      </c>
      <c r="AJ247" s="632">
        <f t="shared" si="496"/>
        <v>7.3232483005824661E-2</v>
      </c>
      <c r="AL247" s="2126">
        <f ca="1">SUM((INDIRECT(AL$2&amp;(ROW())):INDIRECT(AL$3&amp;(ROW()))))</f>
        <v>-1.0272454398522282</v>
      </c>
      <c r="AM247" s="632">
        <f ca="1">SUM(INDIRECT(AM$1&amp;AM$2&amp;$C247):INDIRECT(AM$1&amp;AM$3&amp;$C247))</f>
        <v>0</v>
      </c>
      <c r="AN247" s="632">
        <f t="shared" ca="1" si="478"/>
        <v>-1.0272454398522282</v>
      </c>
      <c r="AO247" s="945"/>
      <c r="AP247" s="632">
        <f ca="1">SUM(INDIRECT(AP$1&amp;AP$2&amp;$A247):INDIRECT(AP$1&amp;AP$3&amp;$A247))</f>
        <v>1.3791763791763792E-2</v>
      </c>
      <c r="AQ247" s="632">
        <f t="shared" ca="1" si="480"/>
        <v>-1.0410372036439919</v>
      </c>
      <c r="AR247" s="945"/>
      <c r="AT247" s="2126">
        <f ca="1">SUM((INDIRECT(AT$2&amp;(ROW())):INDIRECT(AT$3&amp;(ROW()))))</f>
        <v>-0.83518557477994237</v>
      </c>
      <c r="AU247" s="632">
        <f ca="1">SUM(INDIRECT(AU$1&amp;AU$2&amp;$C247):INDIRECT(AU$1&amp;AU$3&amp;$C247))</f>
        <v>0</v>
      </c>
      <c r="AV247" s="632">
        <f t="shared" ca="1" si="482"/>
        <v>-0.83518557477994237</v>
      </c>
      <c r="AW247" s="945"/>
      <c r="AX247" s="632">
        <f ca="1">SUM(INDIRECT(AX$1&amp;AX$2&amp;$A247):INDIRECT(AX$1&amp;AX$3&amp;$A247))</f>
        <v>0.41136904923251366</v>
      </c>
      <c r="AY247" s="632">
        <f t="shared" ca="1" si="484"/>
        <v>-1.2465546240124561</v>
      </c>
      <c r="AZ247" s="945"/>
      <c r="BB247" s="2126">
        <f ca="1">SUM((INDIRECT(BB$2&amp;(ROW())):INDIRECT(BB$3&amp;(ROW()))))</f>
        <v>1.1665001677097733</v>
      </c>
      <c r="BC247" s="632">
        <f ca="1">SUM(INDIRECT(BC$1&amp;BC$2&amp;$C247):INDIRECT(BC$1&amp;BC$3&amp;$C247))</f>
        <v>0</v>
      </c>
      <c r="BD247" s="632">
        <f t="shared" ca="1" si="486"/>
        <v>1.1665001677097733</v>
      </c>
      <c r="BE247" s="945"/>
      <c r="BF247" s="632">
        <f ca="1">SUM(INDIRECT(BF$1&amp;BF$2&amp;$A247):INDIRECT(BF$1&amp;BF$3&amp;$A247))</f>
        <v>9.4091585207791859E-2</v>
      </c>
      <c r="BG247" s="632">
        <f t="shared" ca="1" si="488"/>
        <v>1.0724085825019813</v>
      </c>
      <c r="BH247" s="945"/>
    </row>
    <row r="248" spans="1:60" s="627" customFormat="1" ht="14.5" hidden="1" outlineLevel="1">
      <c r="A248" s="990">
        <f t="shared" si="459"/>
        <v>221</v>
      </c>
      <c r="B248" s="990">
        <v>1</v>
      </c>
      <c r="C248" s="990">
        <f t="shared" si="430"/>
        <v>245</v>
      </c>
      <c r="D248" s="1121" t="s">
        <v>887</v>
      </c>
      <c r="E248" s="1243">
        <v>1</v>
      </c>
      <c r="F248" s="5"/>
      <c r="G248" s="5"/>
      <c r="H248" s="624"/>
      <c r="I248" s="625"/>
      <c r="J248" s="618"/>
      <c r="K248" s="624"/>
      <c r="L248" s="624"/>
      <c r="M248" s="624"/>
      <c r="N248" s="618" t="s">
        <v>990</v>
      </c>
      <c r="O248" s="618"/>
      <c r="P248" s="618"/>
      <c r="Q248" s="1850" t="str">
        <f>CHOOSE(2, "6722000003167", "PL (3) Gross Profit NH (%) KM-1/KM-1e (%)")</f>
        <v>PL (3) Gross Profit NH (%) KM-1/KM-1e (%)</v>
      </c>
      <c r="R248" s="2127">
        <f t="shared" si="489"/>
        <v>-0.38379530916844351</v>
      </c>
      <c r="S248" s="623">
        <f t="shared" si="489"/>
        <v>-0.52029520295202947</v>
      </c>
      <c r="T248" s="623">
        <f t="shared" si="489"/>
        <v>-9.7538742023700997E-2</v>
      </c>
      <c r="U248" s="623">
        <f t="shared" si="489"/>
        <v>-0.35153583617747441</v>
      </c>
      <c r="V248" s="623">
        <f t="shared" si="489"/>
        <v>-0.40055515826671922</v>
      </c>
      <c r="W248" s="623">
        <f t="shared" si="489"/>
        <v>-2.5536159600997506</v>
      </c>
      <c r="X248" s="623">
        <f t="shared" si="489"/>
        <v>0.49736247174076864</v>
      </c>
      <c r="Y248" s="623">
        <f t="shared" si="489"/>
        <v>-0.15403726708074533</v>
      </c>
      <c r="Z248" s="623">
        <f t="shared" si="489"/>
        <v>-0.48157248157248156</v>
      </c>
      <c r="AA248" s="623">
        <f t="shared" si="489"/>
        <v>1.516431924882629</v>
      </c>
      <c r="AB248" s="623">
        <f t="shared" si="489"/>
        <v>0.48177978718611386</v>
      </c>
      <c r="AC248" s="623">
        <f t="shared" si="489"/>
        <v>2.0402930402930401</v>
      </c>
      <c r="AD248" s="623">
        <f t="shared" ref="AD248:AJ248" si="497">IFERROR(AD262/AD217,0)</f>
        <v>-0.26366001734605377</v>
      </c>
      <c r="AE248" s="623">
        <f t="shared" si="497"/>
        <v>-0.93349092150491564</v>
      </c>
      <c r="AF248" s="623">
        <f t="shared" si="497"/>
        <v>0.13391098857818037</v>
      </c>
      <c r="AG248" s="623">
        <f t="shared" si="497"/>
        <v>-5.2240449838717202</v>
      </c>
      <c r="AH248" s="623">
        <f t="shared" si="497"/>
        <v>-0.53178643746372767</v>
      </c>
      <c r="AI248" s="623">
        <f t="shared" si="497"/>
        <v>-0.50254498038355488</v>
      </c>
      <c r="AJ248" s="623">
        <f t="shared" si="497"/>
        <v>-0.51926093385290706</v>
      </c>
      <c r="AL248" s="2127">
        <f t="shared" ref="AL248:AM253" ca="1" si="498">IFERROR(AL262/AL217,0)</f>
        <v>2.0402930402930401</v>
      </c>
      <c r="AM248" s="623">
        <f t="shared" ca="1" si="498"/>
        <v>0</v>
      </c>
      <c r="AN248" s="623">
        <f t="shared" ca="1" si="478"/>
        <v>2.0402930402930401</v>
      </c>
      <c r="AO248" s="946"/>
      <c r="AP248" s="623">
        <f t="shared" ref="AP248:AP253" ca="1" si="499">IFERROR(AP262/AP217,0)</f>
        <v>-0.97701149425287359</v>
      </c>
      <c r="AQ248" s="623">
        <f t="shared" ca="1" si="480"/>
        <v>3.0173045345459135</v>
      </c>
      <c r="AR248" s="946"/>
      <c r="AT248" s="2127">
        <f t="shared" ref="AT248:AU253" ca="1" si="500">IFERROR(AT262/AT217,0)</f>
        <v>-5.2240449838717202</v>
      </c>
      <c r="AU248" s="623">
        <f t="shared" ca="1" si="500"/>
        <v>0</v>
      </c>
      <c r="AV248" s="623">
        <f t="shared" ca="1" si="482"/>
        <v>-5.2240449838717202</v>
      </c>
      <c r="AW248" s="946"/>
      <c r="AX248" s="623">
        <f t="shared" ref="AX248:AX253" ca="1" si="501">IFERROR(AX262/AX217,0)</f>
        <v>-0.35230352303523033</v>
      </c>
      <c r="AY248" s="623">
        <f t="shared" ca="1" si="484"/>
        <v>-4.87174146083649</v>
      </c>
      <c r="AZ248" s="946"/>
      <c r="BB248" s="2127">
        <f t="shared" ref="BB248:BC253" ca="1" si="502">IFERROR(BB262/BB217,0)</f>
        <v>-0.51926093385290695</v>
      </c>
      <c r="BC248" s="623">
        <f t="shared" ca="1" si="502"/>
        <v>0</v>
      </c>
      <c r="BD248" s="623">
        <f t="shared" ca="1" si="486"/>
        <v>-0.51926093385290695</v>
      </c>
      <c r="BE248" s="946"/>
      <c r="BF248" s="623">
        <f t="shared" ref="BF248:BF253" ca="1" si="503">IFERROR(BF262/BF217,0)</f>
        <v>-2.0650183150183152</v>
      </c>
      <c r="BG248" s="623">
        <f t="shared" ca="1" si="488"/>
        <v>1.5457573811654082</v>
      </c>
      <c r="BH248" s="946"/>
    </row>
    <row r="249" spans="1:60" s="627" customFormat="1" ht="14.5" hidden="1" outlineLevel="1">
      <c r="A249" s="990">
        <f t="shared" si="459"/>
        <v>222</v>
      </c>
      <c r="B249" s="990">
        <v>1</v>
      </c>
      <c r="C249" s="990">
        <f t="shared" si="430"/>
        <v>246</v>
      </c>
      <c r="D249" s="1121" t="s">
        <v>887</v>
      </c>
      <c r="E249" s="1243">
        <v>1</v>
      </c>
      <c r="F249" s="5"/>
      <c r="G249" s="5"/>
      <c r="H249" s="624"/>
      <c r="I249" s="625"/>
      <c r="J249" s="618"/>
      <c r="K249" s="624"/>
      <c r="L249" s="624"/>
      <c r="M249" s="624"/>
      <c r="N249" s="618" t="s">
        <v>565</v>
      </c>
      <c r="O249" s="618"/>
      <c r="P249" s="618"/>
      <c r="Q249" s="1850" t="str">
        <f>CHOOSE(2, "6722000003168", "PL (3) Gross Profit NH (%) Label Printer (%)")</f>
        <v>PL (3) Gross Profit NH (%) Label Printer (%)</v>
      </c>
      <c r="R249" s="2127">
        <f t="shared" si="489"/>
        <v>0.77179487179487183</v>
      </c>
      <c r="S249" s="623">
        <f t="shared" si="489"/>
        <v>0.78758565094719868</v>
      </c>
      <c r="T249" s="623">
        <f t="shared" si="489"/>
        <v>0.77725783809078142</v>
      </c>
      <c r="U249" s="623">
        <f t="shared" si="489"/>
        <v>0.75516082573211718</v>
      </c>
      <c r="V249" s="623">
        <f t="shared" si="489"/>
        <v>0.7851666030418577</v>
      </c>
      <c r="W249" s="623">
        <f t="shared" si="489"/>
        <v>0.64985468780969768</v>
      </c>
      <c r="X249" s="623">
        <f t="shared" si="489"/>
        <v>0.80400628436763555</v>
      </c>
      <c r="Y249" s="623">
        <f t="shared" si="489"/>
        <v>0.69829787234042551</v>
      </c>
      <c r="Z249" s="623">
        <f t="shared" si="489"/>
        <v>0.74600870827285926</v>
      </c>
      <c r="AA249" s="623">
        <f t="shared" si="489"/>
        <v>0.75316455696202533</v>
      </c>
      <c r="AB249" s="623">
        <f t="shared" si="489"/>
        <v>0.34027325959661681</v>
      </c>
      <c r="AC249" s="623">
        <f t="shared" si="489"/>
        <v>0.57416829745596865</v>
      </c>
      <c r="AD249" s="623">
        <f t="shared" ref="AD249:AJ249" si="504">IFERROR(AD263/AD218,0)</f>
        <v>0.7791031905720035</v>
      </c>
      <c r="AE249" s="623">
        <f t="shared" si="504"/>
        <v>0.73747413385877503</v>
      </c>
      <c r="AF249" s="623">
        <f t="shared" si="504"/>
        <v>0.75065342394145318</v>
      </c>
      <c r="AG249" s="623">
        <f t="shared" si="504"/>
        <v>0.60696423516089459</v>
      </c>
      <c r="AH249" s="623">
        <f t="shared" si="504"/>
        <v>0.75940432690480431</v>
      </c>
      <c r="AI249" s="623">
        <f t="shared" si="504"/>
        <v>0.66721464189818624</v>
      </c>
      <c r="AJ249" s="623">
        <f t="shared" si="504"/>
        <v>0.70592283931797684</v>
      </c>
      <c r="AL249" s="2127">
        <f t="shared" ca="1" si="498"/>
        <v>0.57416829745596865</v>
      </c>
      <c r="AM249" s="623">
        <f t="shared" ca="1" si="498"/>
        <v>0</v>
      </c>
      <c r="AN249" s="623">
        <f t="shared" ca="1" si="478"/>
        <v>0.57416829745596865</v>
      </c>
      <c r="AO249" s="946"/>
      <c r="AP249" s="623">
        <f t="shared" ca="1" si="499"/>
        <v>0.70388137810728302</v>
      </c>
      <c r="AQ249" s="623">
        <f t="shared" ca="1" si="480"/>
        <v>-0.12971308065131437</v>
      </c>
      <c r="AR249" s="946"/>
      <c r="AT249" s="2127">
        <f t="shared" ca="1" si="500"/>
        <v>0.60696423516089459</v>
      </c>
      <c r="AU249" s="623">
        <f t="shared" ca="1" si="500"/>
        <v>0</v>
      </c>
      <c r="AV249" s="623">
        <f t="shared" ca="1" si="482"/>
        <v>0.60696423516089459</v>
      </c>
      <c r="AW249" s="946"/>
      <c r="AX249" s="623">
        <f t="shared" ca="1" si="501"/>
        <v>0.744568097509274</v>
      </c>
      <c r="AY249" s="623">
        <f t="shared" ca="1" si="484"/>
        <v>-0.1376038623483794</v>
      </c>
      <c r="AZ249" s="946"/>
      <c r="BB249" s="2127">
        <f t="shared" ca="1" si="502"/>
        <v>0.70592283931797695</v>
      </c>
      <c r="BC249" s="623">
        <f t="shared" ca="1" si="502"/>
        <v>0</v>
      </c>
      <c r="BD249" s="623">
        <f t="shared" ca="1" si="486"/>
        <v>0.70592283931797695</v>
      </c>
      <c r="BE249" s="946"/>
      <c r="BF249" s="623">
        <f t="shared" ca="1" si="503"/>
        <v>0.76112523155128586</v>
      </c>
      <c r="BG249" s="623">
        <f t="shared" ca="1" si="488"/>
        <v>-5.5202392233308917E-2</v>
      </c>
      <c r="BH249" s="946"/>
    </row>
    <row r="250" spans="1:60" s="627" customFormat="1" ht="14.5" hidden="1" outlineLevel="1">
      <c r="A250" s="990">
        <f t="shared" si="459"/>
        <v>223</v>
      </c>
      <c r="B250" s="990">
        <v>1</v>
      </c>
      <c r="C250" s="990">
        <f t="shared" si="430"/>
        <v>247</v>
      </c>
      <c r="D250" s="1121" t="s">
        <v>887</v>
      </c>
      <c r="E250" s="1243">
        <v>1</v>
      </c>
      <c r="F250" s="5"/>
      <c r="G250" s="5"/>
      <c r="H250" s="624"/>
      <c r="I250" s="625"/>
      <c r="J250" s="618"/>
      <c r="K250" s="624"/>
      <c r="L250" s="624"/>
      <c r="M250" s="624"/>
      <c r="N250" s="618" t="s">
        <v>566</v>
      </c>
      <c r="O250" s="618"/>
      <c r="P250" s="1499"/>
      <c r="Q250" s="1850" t="str">
        <f>CHOOSE(2, "6722000003169", "PL (3) Gross Profit NH (%) MGI (%)")</f>
        <v>PL (3) Gross Profit NH (%) MGI (%)</v>
      </c>
      <c r="R250" s="2127">
        <f t="shared" si="489"/>
        <v>-0.339003164556962</v>
      </c>
      <c r="S250" s="623">
        <f t="shared" si="489"/>
        <v>0.19324640588431963</v>
      </c>
      <c r="T250" s="623">
        <f t="shared" si="489"/>
        <v>-0.19201759899434317</v>
      </c>
      <c r="U250" s="623">
        <f t="shared" si="489"/>
        <v>5.2309142318567391E-2</v>
      </c>
      <c r="V250" s="623">
        <f t="shared" si="489"/>
        <v>4.6446634529145422E-2</v>
      </c>
      <c r="W250" s="623">
        <f t="shared" si="489"/>
        <v>8.4360804672290721E-2</v>
      </c>
      <c r="X250" s="623">
        <f t="shared" si="489"/>
        <v>8.3574413371906141E-3</v>
      </c>
      <c r="Y250" s="623">
        <f t="shared" si="489"/>
        <v>-2.8981854838709676E-2</v>
      </c>
      <c r="Z250" s="623">
        <f t="shared" si="489"/>
        <v>-6.5581184984170066E-2</v>
      </c>
      <c r="AA250" s="623">
        <f t="shared" si="489"/>
        <v>-0.15318377520960796</v>
      </c>
      <c r="AB250" s="623">
        <f t="shared" si="489"/>
        <v>-0.12173571568819949</v>
      </c>
      <c r="AC250" s="623">
        <f t="shared" si="489"/>
        <v>-2.6154221571498293</v>
      </c>
      <c r="AD250" s="623">
        <f t="shared" ref="AD250:AJ250" si="505">IFERROR(AD264/AD219,0)</f>
        <v>-0.10228709343753592</v>
      </c>
      <c r="AE250" s="623">
        <f t="shared" si="505"/>
        <v>6.3053458497260226E-2</v>
      </c>
      <c r="AF250" s="623">
        <f t="shared" si="505"/>
        <v>-3.2953656203808364E-2</v>
      </c>
      <c r="AG250" s="623">
        <f t="shared" si="505"/>
        <v>-0.8831226109967657</v>
      </c>
      <c r="AH250" s="623">
        <f t="shared" si="505"/>
        <v>3.7821483572909945E-3</v>
      </c>
      <c r="AI250" s="623">
        <f t="shared" si="505"/>
        <v>-0.49364668392750449</v>
      </c>
      <c r="AJ250" s="623">
        <f t="shared" si="505"/>
        <v>-0.249128570901304</v>
      </c>
      <c r="AL250" s="2127">
        <f t="shared" ca="1" si="498"/>
        <v>-2.6154221571498293</v>
      </c>
      <c r="AM250" s="623">
        <f t="shared" ca="1" si="498"/>
        <v>0</v>
      </c>
      <c r="AN250" s="623">
        <f t="shared" ca="1" si="478"/>
        <v>-2.6154221571498293</v>
      </c>
      <c r="AO250" s="946"/>
      <c r="AP250" s="623">
        <f t="shared" ca="1" si="499"/>
        <v>-0.44277753964852123</v>
      </c>
      <c r="AQ250" s="623">
        <f t="shared" ca="1" si="480"/>
        <v>-2.1726446175013079</v>
      </c>
      <c r="AR250" s="946"/>
      <c r="AT250" s="2127">
        <f t="shared" ca="1" si="500"/>
        <v>-0.8831226109967657</v>
      </c>
      <c r="AU250" s="623">
        <f t="shared" ca="1" si="500"/>
        <v>0</v>
      </c>
      <c r="AV250" s="623">
        <f t="shared" ca="1" si="482"/>
        <v>-0.8831226109967657</v>
      </c>
      <c r="AW250" s="946"/>
      <c r="AX250" s="623">
        <f t="shared" ca="1" si="501"/>
        <v>-0.28358783523675091</v>
      </c>
      <c r="AY250" s="623">
        <f t="shared" ca="1" si="484"/>
        <v>-0.59953477576001479</v>
      </c>
      <c r="AZ250" s="946"/>
      <c r="BB250" s="2127">
        <f t="shared" ca="1" si="502"/>
        <v>-0.249128570901304</v>
      </c>
      <c r="BC250" s="623">
        <f t="shared" ca="1" si="502"/>
        <v>0</v>
      </c>
      <c r="BD250" s="623">
        <f t="shared" ca="1" si="486"/>
        <v>-0.249128570901304</v>
      </c>
      <c r="BE250" s="946"/>
      <c r="BF250" s="623">
        <f t="shared" ca="1" si="503"/>
        <v>-0.20465851683313407</v>
      </c>
      <c r="BG250" s="623">
        <f t="shared" ca="1" si="488"/>
        <v>-4.4470054068169923E-2</v>
      </c>
      <c r="BH250" s="946"/>
    </row>
    <row r="251" spans="1:60" s="627" customFormat="1" ht="14.5" hidden="1" outlineLevel="1">
      <c r="A251" s="990">
        <f t="shared" si="459"/>
        <v>224</v>
      </c>
      <c r="B251" s="990">
        <v>1</v>
      </c>
      <c r="C251" s="990">
        <f t="shared" si="430"/>
        <v>248</v>
      </c>
      <c r="D251" s="1121" t="s">
        <v>887</v>
      </c>
      <c r="E251" s="1243">
        <v>1</v>
      </c>
      <c r="F251" s="5"/>
      <c r="G251" s="5"/>
      <c r="H251" s="624"/>
      <c r="I251" s="625"/>
      <c r="J251" s="618"/>
      <c r="K251" s="624"/>
      <c r="L251" s="624"/>
      <c r="M251" s="624"/>
      <c r="N251" s="618" t="s">
        <v>567</v>
      </c>
      <c r="O251" s="618"/>
      <c r="P251" s="618"/>
      <c r="Q251" s="1850" t="str">
        <f>CHOOSE(2, "6722000003170", "PL (3) Gross Profit NH (%) EFI/LF (%)")</f>
        <v>PL (3) Gross Profit NH (%) EFI/LF (%)</v>
      </c>
      <c r="R251" s="2127">
        <f t="shared" si="489"/>
        <v>0</v>
      </c>
      <c r="S251" s="623">
        <f t="shared" si="489"/>
        <v>0</v>
      </c>
      <c r="T251" s="623">
        <f t="shared" si="489"/>
        <v>0</v>
      </c>
      <c r="U251" s="623">
        <f t="shared" si="489"/>
        <v>0</v>
      </c>
      <c r="V251" s="623">
        <f t="shared" si="489"/>
        <v>0</v>
      </c>
      <c r="W251" s="623">
        <f t="shared" si="489"/>
        <v>0</v>
      </c>
      <c r="X251" s="623">
        <f t="shared" si="489"/>
        <v>0</v>
      </c>
      <c r="Y251" s="623">
        <f t="shared" si="489"/>
        <v>0</v>
      </c>
      <c r="Z251" s="623">
        <f t="shared" si="489"/>
        <v>0</v>
      </c>
      <c r="AA251" s="623">
        <f t="shared" si="489"/>
        <v>0</v>
      </c>
      <c r="AB251" s="623">
        <f t="shared" si="489"/>
        <v>0</v>
      </c>
      <c r="AC251" s="623">
        <f t="shared" si="489"/>
        <v>0</v>
      </c>
      <c r="AD251" s="623">
        <f t="shared" ref="AD251:AJ251" si="506">IFERROR(AD265/AD220,0)</f>
        <v>0</v>
      </c>
      <c r="AE251" s="623">
        <f t="shared" si="506"/>
        <v>0</v>
      </c>
      <c r="AF251" s="623">
        <f t="shared" si="506"/>
        <v>0</v>
      </c>
      <c r="AG251" s="623">
        <f t="shared" si="506"/>
        <v>0</v>
      </c>
      <c r="AH251" s="623">
        <f t="shared" si="506"/>
        <v>0</v>
      </c>
      <c r="AI251" s="623">
        <f t="shared" si="506"/>
        <v>0</v>
      </c>
      <c r="AJ251" s="623">
        <f t="shared" si="506"/>
        <v>0</v>
      </c>
      <c r="AL251" s="2127">
        <f t="shared" ca="1" si="498"/>
        <v>0</v>
      </c>
      <c r="AM251" s="623">
        <f t="shared" ca="1" si="498"/>
        <v>0</v>
      </c>
      <c r="AN251" s="623">
        <f t="shared" ca="1" si="478"/>
        <v>0</v>
      </c>
      <c r="AO251" s="946"/>
      <c r="AP251" s="623">
        <f t="shared" ca="1" si="499"/>
        <v>0</v>
      </c>
      <c r="AQ251" s="623">
        <f t="shared" ca="1" si="480"/>
        <v>0</v>
      </c>
      <c r="AR251" s="946"/>
      <c r="AT251" s="2127">
        <f t="shared" ca="1" si="500"/>
        <v>0</v>
      </c>
      <c r="AU251" s="623">
        <f t="shared" ca="1" si="500"/>
        <v>0</v>
      </c>
      <c r="AV251" s="623">
        <f t="shared" ca="1" si="482"/>
        <v>0</v>
      </c>
      <c r="AW251" s="946"/>
      <c r="AX251" s="623">
        <f t="shared" ca="1" si="501"/>
        <v>0</v>
      </c>
      <c r="AY251" s="623">
        <f t="shared" ca="1" si="484"/>
        <v>0</v>
      </c>
      <c r="AZ251" s="946"/>
      <c r="BB251" s="2127">
        <f t="shared" ca="1" si="502"/>
        <v>0</v>
      </c>
      <c r="BC251" s="623">
        <f t="shared" ca="1" si="502"/>
        <v>0</v>
      </c>
      <c r="BD251" s="623">
        <f t="shared" ca="1" si="486"/>
        <v>0</v>
      </c>
      <c r="BE251" s="946"/>
      <c r="BF251" s="623">
        <f t="shared" ca="1" si="503"/>
        <v>0</v>
      </c>
      <c r="BG251" s="623">
        <f t="shared" ca="1" si="488"/>
        <v>0</v>
      </c>
      <c r="BH251" s="946"/>
    </row>
    <row r="252" spans="1:60" s="627" customFormat="1" ht="14.5" hidden="1" outlineLevel="1">
      <c r="A252" s="990">
        <f t="shared" si="459"/>
        <v>225</v>
      </c>
      <c r="B252" s="990">
        <v>1</v>
      </c>
      <c r="C252" s="990">
        <f t="shared" si="430"/>
        <v>249</v>
      </c>
      <c r="D252" s="1121" t="s">
        <v>887</v>
      </c>
      <c r="E252" s="1243">
        <v>1</v>
      </c>
      <c r="F252" s="5"/>
      <c r="G252" s="5"/>
      <c r="H252" s="624"/>
      <c r="I252" s="625"/>
      <c r="J252" s="618"/>
      <c r="K252" s="624"/>
      <c r="L252" s="624"/>
      <c r="M252" s="624"/>
      <c r="N252" s="618" t="s">
        <v>568</v>
      </c>
      <c r="O252" s="618"/>
      <c r="P252" s="618"/>
      <c r="Q252" s="1850" t="str">
        <f>CHOOSE(2, "6722000003171", "PL (3) Gross Profit NH (%) Textile Printer (%)")</f>
        <v>PL (3) Gross Profit NH (%) Textile Printer (%)</v>
      </c>
      <c r="R252" s="2127">
        <f t="shared" si="489"/>
        <v>0</v>
      </c>
      <c r="S252" s="623">
        <f t="shared" si="489"/>
        <v>0</v>
      </c>
      <c r="T252" s="623">
        <f t="shared" si="489"/>
        <v>0</v>
      </c>
      <c r="U252" s="623">
        <f t="shared" si="489"/>
        <v>0</v>
      </c>
      <c r="V252" s="623">
        <f t="shared" si="489"/>
        <v>0</v>
      </c>
      <c r="W252" s="623">
        <f t="shared" si="489"/>
        <v>0</v>
      </c>
      <c r="X252" s="623">
        <f t="shared" si="489"/>
        <v>0</v>
      </c>
      <c r="Y252" s="623">
        <f t="shared" si="489"/>
        <v>0</v>
      </c>
      <c r="Z252" s="623">
        <f t="shared" si="489"/>
        <v>0</v>
      </c>
      <c r="AA252" s="623">
        <f t="shared" si="489"/>
        <v>0</v>
      </c>
      <c r="AB252" s="623">
        <f t="shared" si="489"/>
        <v>0</v>
      </c>
      <c r="AC252" s="623">
        <f t="shared" si="489"/>
        <v>0</v>
      </c>
      <c r="AD252" s="623">
        <f t="shared" ref="AD252:AJ252" si="507">IFERROR(AD266/AD221,0)</f>
        <v>0</v>
      </c>
      <c r="AE252" s="623">
        <f t="shared" si="507"/>
        <v>0</v>
      </c>
      <c r="AF252" s="623">
        <f t="shared" si="507"/>
        <v>0</v>
      </c>
      <c r="AG252" s="623">
        <f t="shared" si="507"/>
        <v>0</v>
      </c>
      <c r="AH252" s="623">
        <f t="shared" si="507"/>
        <v>0</v>
      </c>
      <c r="AI252" s="623">
        <f t="shared" si="507"/>
        <v>0</v>
      </c>
      <c r="AJ252" s="623">
        <f t="shared" si="507"/>
        <v>0</v>
      </c>
      <c r="AL252" s="2127">
        <f t="shared" ca="1" si="498"/>
        <v>0</v>
      </c>
      <c r="AM252" s="623">
        <f t="shared" ca="1" si="498"/>
        <v>0</v>
      </c>
      <c r="AN252" s="623">
        <f t="shared" ca="1" si="478"/>
        <v>0</v>
      </c>
      <c r="AO252" s="946"/>
      <c r="AP252" s="623">
        <f t="shared" ca="1" si="499"/>
        <v>0</v>
      </c>
      <c r="AQ252" s="623">
        <f t="shared" ca="1" si="480"/>
        <v>0</v>
      </c>
      <c r="AR252" s="946"/>
      <c r="AT252" s="2127">
        <f t="shared" ca="1" si="500"/>
        <v>0</v>
      </c>
      <c r="AU252" s="623">
        <f t="shared" ca="1" si="500"/>
        <v>0</v>
      </c>
      <c r="AV252" s="623">
        <f t="shared" ca="1" si="482"/>
        <v>0</v>
      </c>
      <c r="AW252" s="946"/>
      <c r="AX252" s="623">
        <f t="shared" ca="1" si="501"/>
        <v>0</v>
      </c>
      <c r="AY252" s="623">
        <f t="shared" ca="1" si="484"/>
        <v>0</v>
      </c>
      <c r="AZ252" s="946"/>
      <c r="BB252" s="2127">
        <f t="shared" ca="1" si="502"/>
        <v>0</v>
      </c>
      <c r="BC252" s="623">
        <f t="shared" ca="1" si="502"/>
        <v>0</v>
      </c>
      <c r="BD252" s="623">
        <f t="shared" ca="1" si="486"/>
        <v>0</v>
      </c>
      <c r="BE252" s="946"/>
      <c r="BF252" s="623">
        <f t="shared" ca="1" si="503"/>
        <v>0</v>
      </c>
      <c r="BG252" s="623">
        <f t="shared" ca="1" si="488"/>
        <v>0</v>
      </c>
      <c r="BH252" s="946"/>
    </row>
    <row r="253" spans="1:60" s="627" customFormat="1" ht="14.5" hidden="1" outlineLevel="1">
      <c r="A253" s="990">
        <f t="shared" si="459"/>
        <v>226</v>
      </c>
      <c r="B253" s="990">
        <v>1</v>
      </c>
      <c r="C253" s="990">
        <f t="shared" si="430"/>
        <v>250</v>
      </c>
      <c r="D253" s="1121" t="s">
        <v>887</v>
      </c>
      <c r="E253" s="1243">
        <v>1</v>
      </c>
      <c r="F253" s="5"/>
      <c r="G253" s="5"/>
      <c r="H253" s="624"/>
      <c r="I253" s="625"/>
      <c r="J253" s="618"/>
      <c r="K253" s="624"/>
      <c r="L253" s="624"/>
      <c r="M253" s="630"/>
      <c r="N253" s="629" t="s">
        <v>569</v>
      </c>
      <c r="O253" s="629"/>
      <c r="P253" s="629"/>
      <c r="Q253" s="1850" t="str">
        <f>CHOOSE(2, "6722000003172", "PL (3) Gross Profit NH (%) Others (%)")</f>
        <v>PL (3) Gross Profit NH (%) Others (%)</v>
      </c>
      <c r="R253" s="2129">
        <f t="shared" si="489"/>
        <v>0</v>
      </c>
      <c r="S253" s="634">
        <f t="shared" si="489"/>
        <v>0</v>
      </c>
      <c r="T253" s="634">
        <f t="shared" si="489"/>
        <v>0</v>
      </c>
      <c r="U253" s="634">
        <f t="shared" si="489"/>
        <v>0</v>
      </c>
      <c r="V253" s="634">
        <f t="shared" si="489"/>
        <v>0</v>
      </c>
      <c r="W253" s="634">
        <f t="shared" si="489"/>
        <v>0</v>
      </c>
      <c r="X253" s="634">
        <f t="shared" si="489"/>
        <v>0</v>
      </c>
      <c r="Y253" s="634">
        <f t="shared" si="489"/>
        <v>0</v>
      </c>
      <c r="Z253" s="634">
        <f t="shared" si="489"/>
        <v>0</v>
      </c>
      <c r="AA253" s="634">
        <f t="shared" si="489"/>
        <v>0</v>
      </c>
      <c r="AB253" s="634">
        <f t="shared" si="489"/>
        <v>0</v>
      </c>
      <c r="AC253" s="634">
        <f t="shared" si="489"/>
        <v>0</v>
      </c>
      <c r="AD253" s="634">
        <f t="shared" ref="AD253:AJ253" si="508">IFERROR(AD267/AD222,0)</f>
        <v>0</v>
      </c>
      <c r="AE253" s="634">
        <f t="shared" si="508"/>
        <v>0</v>
      </c>
      <c r="AF253" s="634">
        <f t="shared" si="508"/>
        <v>0</v>
      </c>
      <c r="AG253" s="634">
        <f t="shared" si="508"/>
        <v>0</v>
      </c>
      <c r="AH253" s="634">
        <f t="shared" si="508"/>
        <v>0</v>
      </c>
      <c r="AI253" s="634">
        <f t="shared" si="508"/>
        <v>0</v>
      </c>
      <c r="AJ253" s="634">
        <f t="shared" si="508"/>
        <v>0</v>
      </c>
      <c r="AL253" s="2129">
        <f t="shared" ca="1" si="498"/>
        <v>0</v>
      </c>
      <c r="AM253" s="634">
        <f t="shared" ca="1" si="498"/>
        <v>0</v>
      </c>
      <c r="AN253" s="634">
        <f t="shared" ca="1" si="478"/>
        <v>0</v>
      </c>
      <c r="AO253" s="948"/>
      <c r="AP253" s="634">
        <f t="shared" ca="1" si="499"/>
        <v>0</v>
      </c>
      <c r="AQ253" s="634">
        <f t="shared" ca="1" si="480"/>
        <v>0</v>
      </c>
      <c r="AR253" s="948"/>
      <c r="AT253" s="2129">
        <f t="shared" ca="1" si="500"/>
        <v>0</v>
      </c>
      <c r="AU253" s="634">
        <f t="shared" ca="1" si="500"/>
        <v>0</v>
      </c>
      <c r="AV253" s="634">
        <f t="shared" ca="1" si="482"/>
        <v>0</v>
      </c>
      <c r="AW253" s="948"/>
      <c r="AX253" s="634">
        <f t="shared" ca="1" si="501"/>
        <v>0</v>
      </c>
      <c r="AY253" s="634">
        <f t="shared" ca="1" si="484"/>
        <v>0</v>
      </c>
      <c r="AZ253" s="948"/>
      <c r="BB253" s="2129">
        <f t="shared" ca="1" si="502"/>
        <v>0</v>
      </c>
      <c r="BC253" s="634">
        <f t="shared" ca="1" si="502"/>
        <v>0</v>
      </c>
      <c r="BD253" s="634">
        <f t="shared" ca="1" si="486"/>
        <v>0</v>
      </c>
      <c r="BE253" s="948"/>
      <c r="BF253" s="634">
        <f t="shared" ca="1" si="503"/>
        <v>0</v>
      </c>
      <c r="BG253" s="634">
        <f t="shared" ca="1" si="488"/>
        <v>0</v>
      </c>
      <c r="BH253" s="948"/>
    </row>
    <row r="254" spans="1:60" s="75" customFormat="1" ht="14.5" collapsed="1">
      <c r="A254" s="990">
        <f t="shared" si="459"/>
        <v>227</v>
      </c>
      <c r="B254" s="990">
        <v>1</v>
      </c>
      <c r="C254" s="990">
        <f t="shared" si="430"/>
        <v>251</v>
      </c>
      <c r="D254" s="1121" t="s">
        <v>887</v>
      </c>
      <c r="E254" s="1243">
        <v>1</v>
      </c>
      <c r="F254" s="5"/>
      <c r="G254" s="5"/>
      <c r="H254" s="5"/>
      <c r="I254" s="625"/>
      <c r="J254" s="618"/>
      <c r="K254" s="624"/>
      <c r="L254" s="624"/>
      <c r="M254" s="387" t="s">
        <v>305</v>
      </c>
      <c r="N254" s="389"/>
      <c r="O254" s="387"/>
      <c r="P254" s="387"/>
      <c r="Q254" s="1861" t="str">
        <f>CHOOSE(2, "6722000003173", "PL (3) Gross Profit HW &amp; Solution")</f>
        <v>PL (3) Gross Profit HW &amp; Solution</v>
      </c>
      <c r="R254" s="2125">
        <f>SUM(R255:R260)</f>
        <v>466</v>
      </c>
      <c r="S254" s="388">
        <f t="shared" ref="S254:AC254" si="509">SUM(S255:S260)</f>
        <v>-5163</v>
      </c>
      <c r="T254" s="388">
        <f t="shared" si="509"/>
        <v>7811</v>
      </c>
      <c r="U254" s="388">
        <f t="shared" si="509"/>
        <v>208</v>
      </c>
      <c r="V254" s="388">
        <f t="shared" si="509"/>
        <v>1519.330102126642</v>
      </c>
      <c r="W254" s="388">
        <f t="shared" si="509"/>
        <v>1637</v>
      </c>
      <c r="X254" s="388">
        <f t="shared" si="509"/>
        <v>152</v>
      </c>
      <c r="Y254" s="388">
        <f t="shared" si="509"/>
        <v>1090</v>
      </c>
      <c r="Z254" s="388">
        <f t="shared" si="509"/>
        <v>-10398</v>
      </c>
      <c r="AA254" s="388">
        <f t="shared" si="509"/>
        <v>5836</v>
      </c>
      <c r="AB254" s="388">
        <f t="shared" si="509"/>
        <v>-208</v>
      </c>
      <c r="AC254" s="388">
        <f t="shared" si="509"/>
        <v>16384</v>
      </c>
      <c r="AD254" s="388">
        <f t="shared" ref="AD254:AD267" si="510">SUM(R254,S254,T254)</f>
        <v>3114</v>
      </c>
      <c r="AE254" s="388">
        <f t="shared" ref="AE254:AE267" si="511">SUM(U254,V254,W254)</f>
        <v>3364.330102126642</v>
      </c>
      <c r="AF254" s="388">
        <f t="shared" ref="AF254:AF267" si="512">SUM(X254,Y254,Z254)</f>
        <v>-9156</v>
      </c>
      <c r="AG254" s="388">
        <f t="shared" ref="AG254:AG267" si="513">SUM(AA254,AB254,AC254)</f>
        <v>22012</v>
      </c>
      <c r="AH254" s="388">
        <f>AD254+AE254</f>
        <v>6478.3301021266416</v>
      </c>
      <c r="AI254" s="388">
        <f>AG254+AF254</f>
        <v>12856</v>
      </c>
      <c r="AJ254" s="388">
        <f>AH254+AI254</f>
        <v>19334.330102126642</v>
      </c>
      <c r="AL254" s="2125">
        <f ca="1">SUM((INDIRECT(AL$2&amp;(ROW())):INDIRECT(AL$3&amp;(ROW()))))</f>
        <v>16384</v>
      </c>
      <c r="AM254" s="388">
        <f ca="1">SUM(INDIRECT(AM$1&amp;AM$2&amp;$C254):INDIRECT(AM$1&amp;AM$3&amp;$C254))</f>
        <v>0</v>
      </c>
      <c r="AN254" s="888">
        <f t="shared" ca="1" si="478"/>
        <v>16384</v>
      </c>
      <c r="AO254" s="943">
        <f t="shared" ref="AO254:AO272" ca="1" si="514">IFERROR(AL254/AM254,0)</f>
        <v>0</v>
      </c>
      <c r="AP254" s="388">
        <f ca="1">SUM(INDIRECT(AP$1&amp;AP$2&amp;$A254):INDIRECT(AP$1&amp;AP$3&amp;$A254))+SUM(INDIRECT(AP$1&amp;AP$2&amp;$B254):INDIRECT(AP$1&amp;AP$3&amp;$B254))</f>
        <v>1733</v>
      </c>
      <c r="AQ254" s="888">
        <f t="shared" ca="1" si="480"/>
        <v>14651</v>
      </c>
      <c r="AR254" s="943">
        <f t="shared" ref="AR254:AR272" ca="1" si="515">IFERROR(AL254/AP254,0)</f>
        <v>9.4541257934218113</v>
      </c>
      <c r="AT254" s="2125">
        <f ca="1">SUM((INDIRECT(AT$2&amp;(ROW())):INDIRECT(AT$3&amp;(ROW()))))</f>
        <v>22012</v>
      </c>
      <c r="AU254" s="388">
        <f ca="1">SUM(INDIRECT(AU$1&amp;AU$2&amp;$C254):INDIRECT(AU$1&amp;AU$3&amp;$C254))</f>
        <v>0</v>
      </c>
      <c r="AV254" s="888">
        <f t="shared" ca="1" si="482"/>
        <v>22012</v>
      </c>
      <c r="AW254" s="943">
        <f t="shared" ref="AW254:AW272" ca="1" si="516">IFERROR(AT254/AU254,0)</f>
        <v>0</v>
      </c>
      <c r="AX254" s="388">
        <f ca="1">SUM(INDIRECT(AX$1&amp;AX$2&amp;$A254):INDIRECT(AX$1&amp;AX$3&amp;$A254))+SUM(INDIRECT(AX$1&amp;AX$2&amp;$B254):INDIRECT(AX$1&amp;AX$3&amp;$B254))</f>
        <v>24190</v>
      </c>
      <c r="AY254" s="888">
        <f t="shared" ca="1" si="484"/>
        <v>-2178</v>
      </c>
      <c r="AZ254" s="943">
        <f t="shared" ref="AZ254:AZ272" ca="1" si="517">IFERROR(AT254/AX254,0)</f>
        <v>0.90996279454319962</v>
      </c>
      <c r="BB254" s="2125">
        <f ca="1">SUM((INDIRECT(BB$2&amp;(ROW())):INDIRECT(BB$3&amp;(ROW()))))</f>
        <v>19334.330102126642</v>
      </c>
      <c r="BC254" s="388">
        <f ca="1">SUM(INDIRECT(BC$1&amp;BC$2&amp;$C254):INDIRECT(BC$1&amp;BC$3&amp;$C254))</f>
        <v>0</v>
      </c>
      <c r="BD254" s="888">
        <f t="shared" ca="1" si="486"/>
        <v>19334.330102126642</v>
      </c>
      <c r="BE254" s="943">
        <f t="shared" ref="BE254:BE272" ca="1" si="518">IFERROR(BB254/BC254,0)</f>
        <v>0</v>
      </c>
      <c r="BF254" s="388">
        <f ca="1">SUM(INDIRECT(BF$1&amp;BF$2&amp;$A254):INDIRECT(BF$1&amp;BF$3&amp;$A254))+SUM(INDIRECT(BF$1&amp;BF$2&amp;$B254):INDIRECT(BF$1&amp;BF$3&amp;$B254))</f>
        <v>30502</v>
      </c>
      <c r="BG254" s="888">
        <f t="shared" ca="1" si="488"/>
        <v>-11167.669897873358</v>
      </c>
      <c r="BH254" s="943">
        <f t="shared" ref="BH254:BH272" ca="1" si="519">IFERROR(BB254/BF254,0)</f>
        <v>0.63387089706008271</v>
      </c>
    </row>
    <row r="255" spans="1:60" s="75" customFormat="1" ht="14.5">
      <c r="A255" s="990">
        <f t="shared" si="459"/>
        <v>228</v>
      </c>
      <c r="B255" s="990">
        <v>1</v>
      </c>
      <c r="C255" s="990">
        <f t="shared" si="430"/>
        <v>252</v>
      </c>
      <c r="D255" s="1121" t="s">
        <v>887</v>
      </c>
      <c r="E255" s="1243">
        <v>1</v>
      </c>
      <c r="F255" s="5"/>
      <c r="G255" s="5"/>
      <c r="H255" s="5"/>
      <c r="I255" s="625"/>
      <c r="J255" s="618"/>
      <c r="K255" s="624"/>
      <c r="L255" s="624"/>
      <c r="M255" s="5"/>
      <c r="N255" s="4" t="s">
        <v>989</v>
      </c>
      <c r="O255" s="4"/>
      <c r="P255" s="4"/>
      <c r="Q255" s="1880" t="str">
        <f>CHOOSE(2, "6722000003174", "PL (3) Gross Profit HW &amp; Solution KM-1/KM-1e")</f>
        <v>PL (3) Gross Profit HW &amp; Solution KM-1/KM-1e</v>
      </c>
      <c r="R255" s="2097">
        <f t="shared" ref="R255:AC260" si="520">R666+R710</f>
        <v>0</v>
      </c>
      <c r="S255" s="135">
        <f t="shared" si="520"/>
        <v>0</v>
      </c>
      <c r="T255" s="135">
        <f t="shared" si="520"/>
        <v>0</v>
      </c>
      <c r="U255" s="135">
        <f t="shared" si="520"/>
        <v>0</v>
      </c>
      <c r="V255" s="135">
        <f t="shared" si="520"/>
        <v>0</v>
      </c>
      <c r="W255" s="135">
        <f t="shared" si="520"/>
        <v>0</v>
      </c>
      <c r="X255" s="135">
        <f t="shared" si="520"/>
        <v>0</v>
      </c>
      <c r="Y255" s="135">
        <f t="shared" si="520"/>
        <v>0</v>
      </c>
      <c r="Z255" s="135">
        <f t="shared" si="520"/>
        <v>0</v>
      </c>
      <c r="AA255" s="135">
        <f t="shared" si="520"/>
        <v>0</v>
      </c>
      <c r="AB255" s="135">
        <f t="shared" si="520"/>
        <v>0</v>
      </c>
      <c r="AC255" s="135">
        <f t="shared" si="520"/>
        <v>-2368</v>
      </c>
      <c r="AD255" s="135">
        <f t="shared" si="510"/>
        <v>0</v>
      </c>
      <c r="AE255" s="135">
        <f t="shared" si="511"/>
        <v>0</v>
      </c>
      <c r="AF255" s="135">
        <f t="shared" si="512"/>
        <v>0</v>
      </c>
      <c r="AG255" s="135">
        <f t="shared" si="513"/>
        <v>-2368</v>
      </c>
      <c r="AH255" s="135">
        <f t="shared" ref="AH255:AH267" si="521">AD255+AE255</f>
        <v>0</v>
      </c>
      <c r="AI255" s="135">
        <f t="shared" ref="AI255:AI267" si="522">AG255+AF255</f>
        <v>-2368</v>
      </c>
      <c r="AJ255" s="135">
        <f t="shared" ref="AJ255:AJ267" si="523">AH255+AI255</f>
        <v>-2368</v>
      </c>
      <c r="AL255" s="2097">
        <f ca="1">SUM((INDIRECT(AL$2&amp;(ROW())):INDIRECT(AL$3&amp;(ROW()))))</f>
        <v>-2368</v>
      </c>
      <c r="AM255" s="135">
        <f ca="1">SUM(INDIRECT(AM$1&amp;AM$2&amp;$C255):INDIRECT(AM$1&amp;AM$3&amp;$C255))</f>
        <v>0</v>
      </c>
      <c r="AN255" s="886">
        <f t="shared" ca="1" si="478"/>
        <v>-2368</v>
      </c>
      <c r="AO255" s="941">
        <f t="shared" ca="1" si="514"/>
        <v>0</v>
      </c>
      <c r="AP255" s="135">
        <f ca="1">SUM(INDIRECT(AP$1&amp;AP$2&amp;$A255):INDIRECT(AP$1&amp;AP$3&amp;$A255))+SUM(INDIRECT(AP$1&amp;AP$2&amp;$B255):INDIRECT(AP$1&amp;AP$3&amp;$B255))</f>
        <v>267</v>
      </c>
      <c r="AQ255" s="886">
        <f t="shared" ca="1" si="480"/>
        <v>-2635</v>
      </c>
      <c r="AR255" s="941">
        <f t="shared" ca="1" si="515"/>
        <v>-8.868913857677903</v>
      </c>
      <c r="AT255" s="2097">
        <f ca="1">SUM((INDIRECT(AT$2&amp;(ROW())):INDIRECT(AT$3&amp;(ROW()))))</f>
        <v>-2368</v>
      </c>
      <c r="AU255" s="135">
        <f ca="1">SUM(INDIRECT(AU$1&amp;AU$2&amp;$C255):INDIRECT(AU$1&amp;AU$3&amp;$C255))</f>
        <v>0</v>
      </c>
      <c r="AV255" s="886">
        <f t="shared" ca="1" si="482"/>
        <v>-2368</v>
      </c>
      <c r="AW255" s="941">
        <f t="shared" ca="1" si="516"/>
        <v>0</v>
      </c>
      <c r="AX255" s="135">
        <f ca="1">SUM(INDIRECT(AX$1&amp;AX$2&amp;$A255):INDIRECT(AX$1&amp;AX$3&amp;$A255))+SUM(INDIRECT(AX$1&amp;AX$2&amp;$B255):INDIRECT(AX$1&amp;AX$3&amp;$B255))</f>
        <v>-1509</v>
      </c>
      <c r="AY255" s="886">
        <f t="shared" ca="1" si="484"/>
        <v>-859</v>
      </c>
      <c r="AZ255" s="941">
        <f t="shared" ca="1" si="517"/>
        <v>1.5692511597084162</v>
      </c>
      <c r="BB255" s="2097">
        <f ca="1">SUM((INDIRECT(BB$2&amp;(ROW())):INDIRECT(BB$3&amp;(ROW()))))</f>
        <v>-2368</v>
      </c>
      <c r="BC255" s="135">
        <f ca="1">SUM(INDIRECT(BC$1&amp;BC$2&amp;$C255):INDIRECT(BC$1&amp;BC$3&amp;$C255))</f>
        <v>0</v>
      </c>
      <c r="BD255" s="886">
        <f t="shared" ca="1" si="486"/>
        <v>-2368</v>
      </c>
      <c r="BE255" s="941">
        <f t="shared" ca="1" si="518"/>
        <v>0</v>
      </c>
      <c r="BF255" s="135">
        <f ca="1">SUM(INDIRECT(BF$1&amp;BF$2&amp;$A255):INDIRECT(BF$1&amp;BF$3&amp;$A255))+SUM(INDIRECT(BF$1&amp;BF$2&amp;$B255):INDIRECT(BF$1&amp;BF$3&amp;$B255))</f>
        <v>-1638</v>
      </c>
      <c r="BG255" s="886">
        <f t="shared" ca="1" si="488"/>
        <v>-730</v>
      </c>
      <c r="BH255" s="941">
        <f t="shared" ca="1" si="519"/>
        <v>1.4456654456654456</v>
      </c>
    </row>
    <row r="256" spans="1:60" s="75" customFormat="1" ht="14.5">
      <c r="A256" s="990">
        <f t="shared" si="459"/>
        <v>229</v>
      </c>
      <c r="B256" s="990">
        <v>1</v>
      </c>
      <c r="C256" s="990">
        <f t="shared" si="430"/>
        <v>253</v>
      </c>
      <c r="D256" s="1121" t="s">
        <v>887</v>
      </c>
      <c r="E256" s="1243">
        <v>1</v>
      </c>
      <c r="F256" s="5"/>
      <c r="G256" s="5"/>
      <c r="H256" s="5"/>
      <c r="I256" s="625"/>
      <c r="J256" s="618"/>
      <c r="K256" s="624"/>
      <c r="L256" s="624"/>
      <c r="M256" s="5"/>
      <c r="N256" s="4" t="s">
        <v>209</v>
      </c>
      <c r="O256" s="4"/>
      <c r="P256" s="4"/>
      <c r="Q256" s="1880" t="str">
        <f>CHOOSE(2, "6722000003175", "PL (3) Gross Profit HW &amp; Solution Label Printer")</f>
        <v>PL (3) Gross Profit HW &amp; Solution Label Printer</v>
      </c>
      <c r="R256" s="2097">
        <f t="shared" si="520"/>
        <v>0</v>
      </c>
      <c r="S256" s="135">
        <f t="shared" si="520"/>
        <v>0</v>
      </c>
      <c r="T256" s="135">
        <f t="shared" si="520"/>
        <v>5473</v>
      </c>
      <c r="U256" s="135">
        <f t="shared" si="520"/>
        <v>0</v>
      </c>
      <c r="V256" s="135">
        <f t="shared" si="520"/>
        <v>0</v>
      </c>
      <c r="W256" s="135">
        <f t="shared" si="520"/>
        <v>0</v>
      </c>
      <c r="X256" s="135">
        <f t="shared" si="520"/>
        <v>0</v>
      </c>
      <c r="Y256" s="135">
        <f t="shared" si="520"/>
        <v>0</v>
      </c>
      <c r="Z256" s="135">
        <f t="shared" si="520"/>
        <v>-10000</v>
      </c>
      <c r="AA256" s="135">
        <f t="shared" si="520"/>
        <v>5081</v>
      </c>
      <c r="AB256" s="135">
        <f t="shared" si="520"/>
        <v>0</v>
      </c>
      <c r="AC256" s="135">
        <f t="shared" si="520"/>
        <v>14670</v>
      </c>
      <c r="AD256" s="135">
        <f t="shared" si="510"/>
        <v>5473</v>
      </c>
      <c r="AE256" s="135">
        <f t="shared" si="511"/>
        <v>0</v>
      </c>
      <c r="AF256" s="135">
        <f t="shared" si="512"/>
        <v>-10000</v>
      </c>
      <c r="AG256" s="135">
        <f t="shared" si="513"/>
        <v>19751</v>
      </c>
      <c r="AH256" s="135">
        <f t="shared" si="521"/>
        <v>5473</v>
      </c>
      <c r="AI256" s="135">
        <f t="shared" si="522"/>
        <v>9751</v>
      </c>
      <c r="AJ256" s="135">
        <f t="shared" si="523"/>
        <v>15224</v>
      </c>
      <c r="AL256" s="2097">
        <f ca="1">SUM((INDIRECT(AL$2&amp;(ROW())):INDIRECT(AL$3&amp;(ROW()))))</f>
        <v>14670</v>
      </c>
      <c r="AM256" s="135">
        <f ca="1">SUM(INDIRECT(AM$1&amp;AM$2&amp;$C256):INDIRECT(AM$1&amp;AM$3&amp;$C256))</f>
        <v>0</v>
      </c>
      <c r="AN256" s="886">
        <f t="shared" ca="1" si="478"/>
        <v>14670</v>
      </c>
      <c r="AO256" s="941">
        <f t="shared" ca="1" si="514"/>
        <v>0</v>
      </c>
      <c r="AP256" s="135">
        <f ca="1">SUM(INDIRECT(AP$1&amp;AP$2&amp;$A256):INDIRECT(AP$1&amp;AP$3&amp;$A256))+SUM(INDIRECT(AP$1&amp;AP$2&amp;$B256):INDIRECT(AP$1&amp;AP$3&amp;$B256))</f>
        <v>1057</v>
      </c>
      <c r="AQ256" s="886">
        <f t="shared" ca="1" si="480"/>
        <v>13613</v>
      </c>
      <c r="AR256" s="941">
        <f t="shared" ca="1" si="515"/>
        <v>13.878902554399243</v>
      </c>
      <c r="AT256" s="2097">
        <f ca="1">SUM((INDIRECT(AT$2&amp;(ROW())):INDIRECT(AT$3&amp;(ROW()))))</f>
        <v>19751</v>
      </c>
      <c r="AU256" s="135">
        <f ca="1">SUM(INDIRECT(AU$1&amp;AU$2&amp;$C256):INDIRECT(AU$1&amp;AU$3&amp;$C256))</f>
        <v>0</v>
      </c>
      <c r="AV256" s="886">
        <f t="shared" ca="1" si="482"/>
        <v>19751</v>
      </c>
      <c r="AW256" s="941">
        <f t="shared" ca="1" si="516"/>
        <v>0</v>
      </c>
      <c r="AX256" s="135">
        <f ca="1">SUM(INDIRECT(AX$1&amp;AX$2&amp;$A256):INDIRECT(AX$1&amp;AX$3&amp;$A256))+SUM(INDIRECT(AX$1&amp;AX$2&amp;$B256):INDIRECT(AX$1&amp;AX$3&amp;$B256))</f>
        <v>6621</v>
      </c>
      <c r="AY256" s="886">
        <f t="shared" ca="1" si="484"/>
        <v>13130</v>
      </c>
      <c r="AZ256" s="941">
        <f t="shared" ca="1" si="517"/>
        <v>2.9830841262649148</v>
      </c>
      <c r="BB256" s="2097">
        <f ca="1">SUM((INDIRECT(BB$2&amp;(ROW())):INDIRECT(BB$3&amp;(ROW()))))</f>
        <v>15224</v>
      </c>
      <c r="BC256" s="135">
        <f ca="1">SUM(INDIRECT(BC$1&amp;BC$2&amp;$C256):INDIRECT(BC$1&amp;BC$3&amp;$C256))</f>
        <v>0</v>
      </c>
      <c r="BD256" s="886">
        <f t="shared" ca="1" si="486"/>
        <v>15224</v>
      </c>
      <c r="BE256" s="941">
        <f t="shared" ca="1" si="518"/>
        <v>0</v>
      </c>
      <c r="BF256" s="135">
        <f ca="1">SUM(INDIRECT(BF$1&amp;BF$2&amp;$A256):INDIRECT(BF$1&amp;BF$3&amp;$A256))+SUM(INDIRECT(BF$1&amp;BF$2&amp;$B256):INDIRECT(BF$1&amp;BF$3&amp;$B256))</f>
        <v>16909</v>
      </c>
      <c r="BG256" s="886">
        <f t="shared" ca="1" si="488"/>
        <v>-1685</v>
      </c>
      <c r="BH256" s="941">
        <f t="shared" ca="1" si="519"/>
        <v>0.90034892660713228</v>
      </c>
    </row>
    <row r="257" spans="1:60" s="75" customFormat="1" ht="14.5">
      <c r="A257" s="990">
        <f t="shared" si="459"/>
        <v>230</v>
      </c>
      <c r="B257" s="990">
        <v>1</v>
      </c>
      <c r="C257" s="990">
        <f t="shared" si="430"/>
        <v>254</v>
      </c>
      <c r="D257" s="1121" t="s">
        <v>887</v>
      </c>
      <c r="E257" s="1243">
        <v>1</v>
      </c>
      <c r="F257" s="5"/>
      <c r="G257" s="5"/>
      <c r="H257" s="5"/>
      <c r="I257" s="625"/>
      <c r="J257" s="618"/>
      <c r="K257" s="624"/>
      <c r="L257" s="624"/>
      <c r="M257" s="5"/>
      <c r="N257" s="4" t="s">
        <v>132</v>
      </c>
      <c r="O257" s="4"/>
      <c r="P257" s="4"/>
      <c r="Q257" s="1880" t="str">
        <f>CHOOSE(2, "6722000003176", "PL (3) Gross Profit HW &amp; Solution MGI")</f>
        <v>PL (3) Gross Profit HW &amp; Solution MGI</v>
      </c>
      <c r="R257" s="2097">
        <f t="shared" si="520"/>
        <v>466</v>
      </c>
      <c r="S257" s="135">
        <f t="shared" si="520"/>
        <v>-5163</v>
      </c>
      <c r="T257" s="135">
        <f t="shared" si="520"/>
        <v>2338</v>
      </c>
      <c r="U257" s="135">
        <f t="shared" si="520"/>
        <v>208</v>
      </c>
      <c r="V257" s="135">
        <f t="shared" si="520"/>
        <v>1519.330102126642</v>
      </c>
      <c r="W257" s="135">
        <f t="shared" si="520"/>
        <v>1637</v>
      </c>
      <c r="X257" s="135">
        <f t="shared" si="520"/>
        <v>152</v>
      </c>
      <c r="Y257" s="135">
        <f t="shared" si="520"/>
        <v>1090</v>
      </c>
      <c r="Z257" s="135">
        <f t="shared" si="520"/>
        <v>-398</v>
      </c>
      <c r="AA257" s="135">
        <f t="shared" si="520"/>
        <v>755</v>
      </c>
      <c r="AB257" s="135">
        <f t="shared" si="520"/>
        <v>-208</v>
      </c>
      <c r="AC257" s="135">
        <f t="shared" si="520"/>
        <v>4082</v>
      </c>
      <c r="AD257" s="135">
        <f t="shared" si="510"/>
        <v>-2359</v>
      </c>
      <c r="AE257" s="135">
        <f t="shared" si="511"/>
        <v>3364.330102126642</v>
      </c>
      <c r="AF257" s="135">
        <f t="shared" si="512"/>
        <v>844</v>
      </c>
      <c r="AG257" s="135">
        <f t="shared" si="513"/>
        <v>4629</v>
      </c>
      <c r="AH257" s="135">
        <f t="shared" si="521"/>
        <v>1005.330102126642</v>
      </c>
      <c r="AI257" s="135">
        <f t="shared" si="522"/>
        <v>5473</v>
      </c>
      <c r="AJ257" s="135">
        <f t="shared" si="523"/>
        <v>6478.3301021266416</v>
      </c>
      <c r="AL257" s="2097">
        <f ca="1">SUM((INDIRECT(AL$2&amp;(ROW())):INDIRECT(AL$3&amp;(ROW()))))</f>
        <v>4082</v>
      </c>
      <c r="AM257" s="135">
        <f ca="1">SUM(INDIRECT(AM$1&amp;AM$2&amp;$C257):INDIRECT(AM$1&amp;AM$3&amp;$C257))</f>
        <v>0</v>
      </c>
      <c r="AN257" s="886">
        <f t="shared" ca="1" si="478"/>
        <v>4082</v>
      </c>
      <c r="AO257" s="941">
        <f t="shared" ca="1" si="514"/>
        <v>0</v>
      </c>
      <c r="AP257" s="135">
        <f ca="1">SUM(INDIRECT(AP$1&amp;AP$2&amp;$A257):INDIRECT(AP$1&amp;AP$3&amp;$A257))+SUM(INDIRECT(AP$1&amp;AP$2&amp;$B257):INDIRECT(AP$1&amp;AP$3&amp;$B257))</f>
        <v>409</v>
      </c>
      <c r="AQ257" s="886">
        <f t="shared" ca="1" si="480"/>
        <v>3673</v>
      </c>
      <c r="AR257" s="941">
        <f t="shared" ca="1" si="515"/>
        <v>9.9804400977995105</v>
      </c>
      <c r="AT257" s="2097">
        <f ca="1">SUM((INDIRECT(AT$2&amp;(ROW())):INDIRECT(AT$3&amp;(ROW()))))</f>
        <v>4629</v>
      </c>
      <c r="AU257" s="135">
        <f ca="1">SUM(INDIRECT(AU$1&amp;AU$2&amp;$C257):INDIRECT(AU$1&amp;AU$3&amp;$C257))</f>
        <v>0</v>
      </c>
      <c r="AV257" s="886">
        <f t="shared" ca="1" si="482"/>
        <v>4629</v>
      </c>
      <c r="AW257" s="941">
        <f t="shared" ca="1" si="516"/>
        <v>0</v>
      </c>
      <c r="AX257" s="135">
        <f ca="1">SUM(INDIRECT(AX$1&amp;AX$2&amp;$A257):INDIRECT(AX$1&amp;AX$3&amp;$A257))+SUM(INDIRECT(AX$1&amp;AX$2&amp;$B257):INDIRECT(AX$1&amp;AX$3&amp;$B257))</f>
        <v>19078</v>
      </c>
      <c r="AY257" s="886">
        <f t="shared" ca="1" si="484"/>
        <v>-14449</v>
      </c>
      <c r="AZ257" s="941">
        <f t="shared" ca="1" si="517"/>
        <v>0.24263549638326867</v>
      </c>
      <c r="BB257" s="2097">
        <f ca="1">SUM((INDIRECT(BB$2&amp;(ROW())):INDIRECT(BB$3&amp;(ROW()))))</f>
        <v>6478.3301021266416</v>
      </c>
      <c r="BC257" s="135">
        <f ca="1">SUM(INDIRECT(BC$1&amp;BC$2&amp;$C257):INDIRECT(BC$1&amp;BC$3&amp;$C257))</f>
        <v>0</v>
      </c>
      <c r="BD257" s="886">
        <f t="shared" ca="1" si="486"/>
        <v>6478.3301021266416</v>
      </c>
      <c r="BE257" s="941">
        <f t="shared" ca="1" si="518"/>
        <v>0</v>
      </c>
      <c r="BF257" s="135">
        <f ca="1">SUM(INDIRECT(BF$1&amp;BF$2&amp;$A257):INDIRECT(BF$1&amp;BF$3&amp;$A257))+SUM(INDIRECT(BF$1&amp;BF$2&amp;$B257):INDIRECT(BF$1&amp;BF$3&amp;$B257))</f>
        <v>15231</v>
      </c>
      <c r="BG257" s="886">
        <f t="shared" ca="1" si="488"/>
        <v>-8752.6698978733584</v>
      </c>
      <c r="BH257" s="941">
        <f t="shared" ca="1" si="519"/>
        <v>0.42533846117304458</v>
      </c>
    </row>
    <row r="258" spans="1:60" s="75" customFormat="1" ht="14.5">
      <c r="A258" s="990">
        <f t="shared" si="459"/>
        <v>231</v>
      </c>
      <c r="B258" s="990">
        <v>1</v>
      </c>
      <c r="C258" s="990">
        <f t="shared" si="430"/>
        <v>255</v>
      </c>
      <c r="D258" s="1121" t="s">
        <v>887</v>
      </c>
      <c r="E258" s="1243">
        <v>1</v>
      </c>
      <c r="F258" s="5"/>
      <c r="G258" s="5"/>
      <c r="H258" s="5"/>
      <c r="I258" s="30"/>
      <c r="J258" s="4"/>
      <c r="K258" s="5"/>
      <c r="L258" s="5"/>
      <c r="M258" s="5"/>
      <c r="N258" s="4" t="s">
        <v>210</v>
      </c>
      <c r="O258" s="4"/>
      <c r="P258" s="4"/>
      <c r="Q258" s="1880" t="str">
        <f>CHOOSE(2, "6722000003177", "PL (3) Gross Profit HW &amp; Solution EFI/LF")</f>
        <v>PL (3) Gross Profit HW &amp; Solution EFI/LF</v>
      </c>
      <c r="R258" s="2097">
        <f t="shared" si="520"/>
        <v>0</v>
      </c>
      <c r="S258" s="135">
        <f t="shared" si="520"/>
        <v>0</v>
      </c>
      <c r="T258" s="135">
        <f t="shared" si="520"/>
        <v>0</v>
      </c>
      <c r="U258" s="135">
        <f t="shared" si="520"/>
        <v>0</v>
      </c>
      <c r="V258" s="135">
        <f t="shared" si="520"/>
        <v>0</v>
      </c>
      <c r="W258" s="135">
        <f t="shared" si="520"/>
        <v>0</v>
      </c>
      <c r="X258" s="135">
        <f t="shared" si="520"/>
        <v>0</v>
      </c>
      <c r="Y258" s="135">
        <f t="shared" si="520"/>
        <v>0</v>
      </c>
      <c r="Z258" s="135">
        <f t="shared" si="520"/>
        <v>0</v>
      </c>
      <c r="AA258" s="135">
        <f t="shared" si="520"/>
        <v>0</v>
      </c>
      <c r="AB258" s="135">
        <f t="shared" si="520"/>
        <v>0</v>
      </c>
      <c r="AC258" s="135">
        <f t="shared" si="520"/>
        <v>0</v>
      </c>
      <c r="AD258" s="135">
        <f t="shared" si="510"/>
        <v>0</v>
      </c>
      <c r="AE258" s="135">
        <f t="shared" si="511"/>
        <v>0</v>
      </c>
      <c r="AF258" s="135">
        <f t="shared" si="512"/>
        <v>0</v>
      </c>
      <c r="AG258" s="135">
        <f t="shared" si="513"/>
        <v>0</v>
      </c>
      <c r="AH258" s="135">
        <f t="shared" si="521"/>
        <v>0</v>
      </c>
      <c r="AI258" s="135">
        <f t="shared" si="522"/>
        <v>0</v>
      </c>
      <c r="AJ258" s="135">
        <f t="shared" si="523"/>
        <v>0</v>
      </c>
      <c r="AL258" s="2097">
        <f ca="1">SUM((INDIRECT(AL$2&amp;(ROW())):INDIRECT(AL$3&amp;(ROW()))))</f>
        <v>0</v>
      </c>
      <c r="AM258" s="135">
        <f ca="1">SUM(INDIRECT(AM$1&amp;AM$2&amp;$C258):INDIRECT(AM$1&amp;AM$3&amp;$C258))</f>
        <v>0</v>
      </c>
      <c r="AN258" s="886">
        <f t="shared" ca="1" si="478"/>
        <v>0</v>
      </c>
      <c r="AO258" s="941">
        <f t="shared" ca="1" si="514"/>
        <v>0</v>
      </c>
      <c r="AP258" s="135">
        <f ca="1">SUM(INDIRECT(AP$1&amp;AP$2&amp;$A258):INDIRECT(AP$1&amp;AP$3&amp;$A258))+SUM(INDIRECT(AP$1&amp;AP$2&amp;$B258):INDIRECT(AP$1&amp;AP$3&amp;$B258))</f>
        <v>0</v>
      </c>
      <c r="AQ258" s="886">
        <f t="shared" ca="1" si="480"/>
        <v>0</v>
      </c>
      <c r="AR258" s="941">
        <f t="shared" ca="1" si="515"/>
        <v>0</v>
      </c>
      <c r="AT258" s="2097">
        <f ca="1">SUM((INDIRECT(AT$2&amp;(ROW())):INDIRECT(AT$3&amp;(ROW()))))</f>
        <v>0</v>
      </c>
      <c r="AU258" s="135">
        <f ca="1">SUM(INDIRECT(AU$1&amp;AU$2&amp;$C258):INDIRECT(AU$1&amp;AU$3&amp;$C258))</f>
        <v>0</v>
      </c>
      <c r="AV258" s="886">
        <f t="shared" ca="1" si="482"/>
        <v>0</v>
      </c>
      <c r="AW258" s="941">
        <f t="shared" ca="1" si="516"/>
        <v>0</v>
      </c>
      <c r="AX258" s="135">
        <f ca="1">SUM(INDIRECT(AX$1&amp;AX$2&amp;$A258):INDIRECT(AX$1&amp;AX$3&amp;$A258))+SUM(INDIRECT(AX$1&amp;AX$2&amp;$B258):INDIRECT(AX$1&amp;AX$3&amp;$B258))</f>
        <v>0</v>
      </c>
      <c r="AY258" s="886">
        <f t="shared" ca="1" si="484"/>
        <v>0</v>
      </c>
      <c r="AZ258" s="941">
        <f t="shared" ca="1" si="517"/>
        <v>0</v>
      </c>
      <c r="BB258" s="2097">
        <f ca="1">SUM((INDIRECT(BB$2&amp;(ROW())):INDIRECT(BB$3&amp;(ROW()))))</f>
        <v>0</v>
      </c>
      <c r="BC258" s="135">
        <f ca="1">SUM(INDIRECT(BC$1&amp;BC$2&amp;$C258):INDIRECT(BC$1&amp;BC$3&amp;$C258))</f>
        <v>0</v>
      </c>
      <c r="BD258" s="886">
        <f t="shared" ca="1" si="486"/>
        <v>0</v>
      </c>
      <c r="BE258" s="941">
        <f t="shared" ca="1" si="518"/>
        <v>0</v>
      </c>
      <c r="BF258" s="135">
        <f ca="1">SUM(INDIRECT(BF$1&amp;BF$2&amp;$A258):INDIRECT(BF$1&amp;BF$3&amp;$A258))+SUM(INDIRECT(BF$1&amp;BF$2&amp;$B258):INDIRECT(BF$1&amp;BF$3&amp;$B258))</f>
        <v>0</v>
      </c>
      <c r="BG258" s="886">
        <f t="shared" ca="1" si="488"/>
        <v>0</v>
      </c>
      <c r="BH258" s="941">
        <f t="shared" ca="1" si="519"/>
        <v>0</v>
      </c>
    </row>
    <row r="259" spans="1:60" s="75" customFormat="1" ht="14.5">
      <c r="A259" s="990">
        <f t="shared" si="459"/>
        <v>232</v>
      </c>
      <c r="B259" s="990">
        <v>1</v>
      </c>
      <c r="C259" s="990">
        <f t="shared" si="430"/>
        <v>256</v>
      </c>
      <c r="D259" s="1121" t="s">
        <v>887</v>
      </c>
      <c r="E259" s="1243">
        <v>1</v>
      </c>
      <c r="F259" s="5"/>
      <c r="G259" s="5"/>
      <c r="H259" s="5"/>
      <c r="I259" s="30"/>
      <c r="J259" s="4"/>
      <c r="K259" s="5"/>
      <c r="L259" s="5"/>
      <c r="M259" s="5"/>
      <c r="N259" s="4" t="s">
        <v>293</v>
      </c>
      <c r="O259" s="4"/>
      <c r="P259" s="4"/>
      <c r="Q259" s="1880" t="str">
        <f>CHOOSE(2, "6722000003178", "PL (3) Gross Profit HW &amp; Solution Textile Printer")</f>
        <v>PL (3) Gross Profit HW &amp; Solution Textile Printer</v>
      </c>
      <c r="R259" s="2097">
        <f t="shared" si="520"/>
        <v>0</v>
      </c>
      <c r="S259" s="135">
        <f t="shared" si="520"/>
        <v>0</v>
      </c>
      <c r="T259" s="135">
        <f t="shared" si="520"/>
        <v>0</v>
      </c>
      <c r="U259" s="135">
        <f t="shared" si="520"/>
        <v>0</v>
      </c>
      <c r="V259" s="135">
        <f t="shared" si="520"/>
        <v>0</v>
      </c>
      <c r="W259" s="135">
        <f t="shared" si="520"/>
        <v>0</v>
      </c>
      <c r="X259" s="135">
        <f t="shared" si="520"/>
        <v>0</v>
      </c>
      <c r="Y259" s="135">
        <f t="shared" si="520"/>
        <v>0</v>
      </c>
      <c r="Z259" s="135">
        <f t="shared" si="520"/>
        <v>0</v>
      </c>
      <c r="AA259" s="135">
        <f t="shared" si="520"/>
        <v>0</v>
      </c>
      <c r="AB259" s="135">
        <f t="shared" si="520"/>
        <v>0</v>
      </c>
      <c r="AC259" s="135">
        <f t="shared" si="520"/>
        <v>0</v>
      </c>
      <c r="AD259" s="135">
        <f t="shared" si="510"/>
        <v>0</v>
      </c>
      <c r="AE259" s="135">
        <f t="shared" si="511"/>
        <v>0</v>
      </c>
      <c r="AF259" s="135">
        <f t="shared" si="512"/>
        <v>0</v>
      </c>
      <c r="AG259" s="135">
        <f t="shared" si="513"/>
        <v>0</v>
      </c>
      <c r="AH259" s="135">
        <f t="shared" si="521"/>
        <v>0</v>
      </c>
      <c r="AI259" s="135">
        <f t="shared" si="522"/>
        <v>0</v>
      </c>
      <c r="AJ259" s="135">
        <f t="shared" si="523"/>
        <v>0</v>
      </c>
      <c r="AL259" s="2097">
        <f ca="1">SUM((INDIRECT(AL$2&amp;(ROW())):INDIRECT(AL$3&amp;(ROW()))))</f>
        <v>0</v>
      </c>
      <c r="AM259" s="135">
        <f ca="1">SUM(INDIRECT(AM$1&amp;AM$2&amp;$C259):INDIRECT(AM$1&amp;AM$3&amp;$C259))</f>
        <v>0</v>
      </c>
      <c r="AN259" s="886">
        <f t="shared" ca="1" si="478"/>
        <v>0</v>
      </c>
      <c r="AO259" s="941">
        <f t="shared" ca="1" si="514"/>
        <v>0</v>
      </c>
      <c r="AP259" s="135">
        <f ca="1">SUM(INDIRECT(AP$1&amp;AP$2&amp;$A259):INDIRECT(AP$1&amp;AP$3&amp;$A259))+SUM(INDIRECT(AP$1&amp;AP$2&amp;$B259):INDIRECT(AP$1&amp;AP$3&amp;$B259))</f>
        <v>0</v>
      </c>
      <c r="AQ259" s="886">
        <f t="shared" ca="1" si="480"/>
        <v>0</v>
      </c>
      <c r="AR259" s="941">
        <f t="shared" ca="1" si="515"/>
        <v>0</v>
      </c>
      <c r="AT259" s="2097">
        <f ca="1">SUM((INDIRECT(AT$2&amp;(ROW())):INDIRECT(AT$3&amp;(ROW()))))</f>
        <v>0</v>
      </c>
      <c r="AU259" s="135">
        <f ca="1">SUM(INDIRECT(AU$1&amp;AU$2&amp;$C259):INDIRECT(AU$1&amp;AU$3&amp;$C259))</f>
        <v>0</v>
      </c>
      <c r="AV259" s="886">
        <f t="shared" ca="1" si="482"/>
        <v>0</v>
      </c>
      <c r="AW259" s="941">
        <f t="shared" ca="1" si="516"/>
        <v>0</v>
      </c>
      <c r="AX259" s="135">
        <f ca="1">SUM(INDIRECT(AX$1&amp;AX$2&amp;$A259):INDIRECT(AX$1&amp;AX$3&amp;$A259))+SUM(INDIRECT(AX$1&amp;AX$2&amp;$B259):INDIRECT(AX$1&amp;AX$3&amp;$B259))</f>
        <v>0</v>
      </c>
      <c r="AY259" s="886">
        <f t="shared" ca="1" si="484"/>
        <v>0</v>
      </c>
      <c r="AZ259" s="941">
        <f t="shared" ca="1" si="517"/>
        <v>0</v>
      </c>
      <c r="BB259" s="2097">
        <f ca="1">SUM((INDIRECT(BB$2&amp;(ROW())):INDIRECT(BB$3&amp;(ROW()))))</f>
        <v>0</v>
      </c>
      <c r="BC259" s="135">
        <f ca="1">SUM(INDIRECT(BC$1&amp;BC$2&amp;$C259):INDIRECT(BC$1&amp;BC$3&amp;$C259))</f>
        <v>0</v>
      </c>
      <c r="BD259" s="886">
        <f t="shared" ca="1" si="486"/>
        <v>0</v>
      </c>
      <c r="BE259" s="941">
        <f t="shared" ca="1" si="518"/>
        <v>0</v>
      </c>
      <c r="BF259" s="135">
        <f ca="1">SUM(INDIRECT(BF$1&amp;BF$2&amp;$A259):INDIRECT(BF$1&amp;BF$3&amp;$A259))+SUM(INDIRECT(BF$1&amp;BF$2&amp;$B259):INDIRECT(BF$1&amp;BF$3&amp;$B259))</f>
        <v>0</v>
      </c>
      <c r="BG259" s="886">
        <f t="shared" ca="1" si="488"/>
        <v>0</v>
      </c>
      <c r="BH259" s="941">
        <f t="shared" ca="1" si="519"/>
        <v>0</v>
      </c>
    </row>
    <row r="260" spans="1:60" s="75" customFormat="1" ht="14.5">
      <c r="A260" s="990">
        <f t="shared" si="459"/>
        <v>233</v>
      </c>
      <c r="B260" s="990">
        <v>1</v>
      </c>
      <c r="C260" s="990">
        <f t="shared" si="430"/>
        <v>257</v>
      </c>
      <c r="D260" s="1121" t="s">
        <v>887</v>
      </c>
      <c r="E260" s="1243">
        <v>1</v>
      </c>
      <c r="F260" s="5"/>
      <c r="G260" s="5"/>
      <c r="H260" s="5"/>
      <c r="I260" s="30"/>
      <c r="J260" s="4"/>
      <c r="K260" s="5"/>
      <c r="L260" s="5"/>
      <c r="M260" s="51"/>
      <c r="N260" s="51" t="s">
        <v>131</v>
      </c>
      <c r="O260" s="51"/>
      <c r="P260" s="51"/>
      <c r="Q260" s="1880" t="str">
        <f>CHOOSE(2, "6722000003179", "PL (3) Gross Profit HW &amp; Solution Others")</f>
        <v>PL (3) Gross Profit HW &amp; Solution Others</v>
      </c>
      <c r="R260" s="2059">
        <f t="shared" si="520"/>
        <v>0</v>
      </c>
      <c r="S260" s="284">
        <f t="shared" si="520"/>
        <v>0</v>
      </c>
      <c r="T260" s="284">
        <f t="shared" si="520"/>
        <v>0</v>
      </c>
      <c r="U260" s="284">
        <f t="shared" si="520"/>
        <v>0</v>
      </c>
      <c r="V260" s="284">
        <f t="shared" si="520"/>
        <v>0</v>
      </c>
      <c r="W260" s="284">
        <f t="shared" si="520"/>
        <v>0</v>
      </c>
      <c r="X260" s="284">
        <f t="shared" si="520"/>
        <v>0</v>
      </c>
      <c r="Y260" s="284">
        <f t="shared" si="520"/>
        <v>0</v>
      </c>
      <c r="Z260" s="284">
        <f t="shared" si="520"/>
        <v>0</v>
      </c>
      <c r="AA260" s="284">
        <f t="shared" si="520"/>
        <v>0</v>
      </c>
      <c r="AB260" s="284">
        <f t="shared" si="520"/>
        <v>0</v>
      </c>
      <c r="AC260" s="284">
        <f t="shared" si="520"/>
        <v>0</v>
      </c>
      <c r="AD260" s="284">
        <f t="shared" si="510"/>
        <v>0</v>
      </c>
      <c r="AE260" s="284">
        <f t="shared" si="511"/>
        <v>0</v>
      </c>
      <c r="AF260" s="284">
        <f t="shared" si="512"/>
        <v>0</v>
      </c>
      <c r="AG260" s="284">
        <f t="shared" si="513"/>
        <v>0</v>
      </c>
      <c r="AH260" s="284">
        <f t="shared" si="521"/>
        <v>0</v>
      </c>
      <c r="AI260" s="284">
        <f t="shared" si="522"/>
        <v>0</v>
      </c>
      <c r="AJ260" s="284">
        <f t="shared" si="523"/>
        <v>0</v>
      </c>
      <c r="AL260" s="2059">
        <f ca="1">SUM((INDIRECT(AL$2&amp;(ROW())):INDIRECT(AL$3&amp;(ROW()))))</f>
        <v>0</v>
      </c>
      <c r="AM260" s="284">
        <f ca="1">SUM(INDIRECT(AM$1&amp;AM$2&amp;$C260):INDIRECT(AM$1&amp;AM$3&amp;$C260))</f>
        <v>0</v>
      </c>
      <c r="AN260" s="887">
        <f t="shared" ca="1" si="478"/>
        <v>0</v>
      </c>
      <c r="AO260" s="942">
        <f t="shared" ca="1" si="514"/>
        <v>0</v>
      </c>
      <c r="AP260" s="284">
        <f ca="1">SUM(INDIRECT(AP$1&amp;AP$2&amp;$A260):INDIRECT(AP$1&amp;AP$3&amp;$A260))+SUM(INDIRECT(AP$1&amp;AP$2&amp;$B260):INDIRECT(AP$1&amp;AP$3&amp;$B260))</f>
        <v>0</v>
      </c>
      <c r="AQ260" s="887">
        <f t="shared" ca="1" si="480"/>
        <v>0</v>
      </c>
      <c r="AR260" s="942">
        <f t="shared" ca="1" si="515"/>
        <v>0</v>
      </c>
      <c r="AT260" s="2059">
        <f ca="1">SUM((INDIRECT(AT$2&amp;(ROW())):INDIRECT(AT$3&amp;(ROW()))))</f>
        <v>0</v>
      </c>
      <c r="AU260" s="284">
        <f ca="1">SUM(INDIRECT(AU$1&amp;AU$2&amp;$C260):INDIRECT(AU$1&amp;AU$3&amp;$C260))</f>
        <v>0</v>
      </c>
      <c r="AV260" s="887">
        <f t="shared" ca="1" si="482"/>
        <v>0</v>
      </c>
      <c r="AW260" s="942">
        <f t="shared" ca="1" si="516"/>
        <v>0</v>
      </c>
      <c r="AX260" s="284">
        <f ca="1">SUM(INDIRECT(AX$1&amp;AX$2&amp;$A260):INDIRECT(AX$1&amp;AX$3&amp;$A260))+SUM(INDIRECT(AX$1&amp;AX$2&amp;$B260):INDIRECT(AX$1&amp;AX$3&amp;$B260))</f>
        <v>0</v>
      </c>
      <c r="AY260" s="887">
        <f t="shared" ca="1" si="484"/>
        <v>0</v>
      </c>
      <c r="AZ260" s="942">
        <f t="shared" ca="1" si="517"/>
        <v>0</v>
      </c>
      <c r="BB260" s="2059">
        <f ca="1">SUM((INDIRECT(BB$2&amp;(ROW())):INDIRECT(BB$3&amp;(ROW()))))</f>
        <v>0</v>
      </c>
      <c r="BC260" s="284">
        <f ca="1">SUM(INDIRECT(BC$1&amp;BC$2&amp;$C260):INDIRECT(BC$1&amp;BC$3&amp;$C260))</f>
        <v>0</v>
      </c>
      <c r="BD260" s="887">
        <f t="shared" ca="1" si="486"/>
        <v>0</v>
      </c>
      <c r="BE260" s="942">
        <f t="shared" ca="1" si="518"/>
        <v>0</v>
      </c>
      <c r="BF260" s="284">
        <f ca="1">SUM(INDIRECT(BF$1&amp;BF$2&amp;$A260):INDIRECT(BF$1&amp;BF$3&amp;$A260))+SUM(INDIRECT(BF$1&amp;BF$2&amp;$B260):INDIRECT(BF$1&amp;BF$3&amp;$B260))</f>
        <v>0</v>
      </c>
      <c r="BG260" s="887">
        <f t="shared" ca="1" si="488"/>
        <v>0</v>
      </c>
      <c r="BH260" s="942">
        <f t="shared" ca="1" si="519"/>
        <v>0</v>
      </c>
    </row>
    <row r="261" spans="1:60" s="75" customFormat="1" ht="14.5">
      <c r="A261" s="990">
        <f t="shared" si="459"/>
        <v>234</v>
      </c>
      <c r="B261" s="990">
        <v>1</v>
      </c>
      <c r="C261" s="990">
        <f t="shared" si="430"/>
        <v>258</v>
      </c>
      <c r="D261" s="1121" t="s">
        <v>887</v>
      </c>
      <c r="E261" s="1243">
        <v>1</v>
      </c>
      <c r="F261" s="5"/>
      <c r="G261" s="5"/>
      <c r="H261" s="5"/>
      <c r="I261" s="30"/>
      <c r="J261" s="4"/>
      <c r="K261" s="5"/>
      <c r="L261" s="5"/>
      <c r="M261" s="387" t="s">
        <v>307</v>
      </c>
      <c r="N261" s="387"/>
      <c r="O261" s="387"/>
      <c r="P261" s="387"/>
      <c r="Q261" s="1861" t="str">
        <f>CHOOSE(2, "6722000003180", "PL (3) Gross Profit NH")</f>
        <v>PL (3) Gross Profit NH</v>
      </c>
      <c r="R261" s="2125">
        <f>SUM(R262:R267)</f>
        <v>589</v>
      </c>
      <c r="S261" s="388">
        <f t="shared" ref="S261:AC261" si="524">SUM(S262:S267)</f>
        <v>2391</v>
      </c>
      <c r="T261" s="388">
        <f t="shared" si="524"/>
        <v>943</v>
      </c>
      <c r="U261" s="388">
        <f t="shared" si="524"/>
        <v>1486</v>
      </c>
      <c r="V261" s="388">
        <f t="shared" si="524"/>
        <v>2040.8295996689412</v>
      </c>
      <c r="W261" s="388">
        <f t="shared" si="524"/>
        <v>627.3970114766837</v>
      </c>
      <c r="X261" s="388">
        <f t="shared" si="524"/>
        <v>2733</v>
      </c>
      <c r="Y261" s="388">
        <f t="shared" si="524"/>
        <v>1402</v>
      </c>
      <c r="Z261" s="388">
        <f t="shared" si="524"/>
        <v>1570</v>
      </c>
      <c r="AA261" s="388">
        <f t="shared" si="524"/>
        <v>684</v>
      </c>
      <c r="AB261" s="388">
        <f t="shared" si="524"/>
        <v>844.03926000000001</v>
      </c>
      <c r="AC261" s="388">
        <f t="shared" si="524"/>
        <v>-8898</v>
      </c>
      <c r="AD261" s="388">
        <f t="shared" si="510"/>
        <v>3923</v>
      </c>
      <c r="AE261" s="388">
        <f t="shared" si="511"/>
        <v>4154.2266111456247</v>
      </c>
      <c r="AF261" s="388">
        <f t="shared" si="512"/>
        <v>5705</v>
      </c>
      <c r="AG261" s="388">
        <f t="shared" si="513"/>
        <v>-7369.9607400000004</v>
      </c>
      <c r="AH261" s="388">
        <f t="shared" si="521"/>
        <v>8077.2266111456247</v>
      </c>
      <c r="AI261" s="388">
        <f t="shared" si="522"/>
        <v>-1664.9607400000004</v>
      </c>
      <c r="AJ261" s="388">
        <f t="shared" si="523"/>
        <v>6412.2658711456243</v>
      </c>
      <c r="AL261" s="2125">
        <f ca="1">SUM((INDIRECT(AL$2&amp;(ROW())):INDIRECT(AL$3&amp;(ROW()))))</f>
        <v>-8898</v>
      </c>
      <c r="AM261" s="388">
        <f ca="1">SUM(INDIRECT(AM$1&amp;AM$2&amp;$C261):INDIRECT(AM$1&amp;AM$3&amp;$C261))</f>
        <v>0</v>
      </c>
      <c r="AN261" s="888">
        <f t="shared" ca="1" si="478"/>
        <v>-8898</v>
      </c>
      <c r="AO261" s="943">
        <f t="shared" ca="1" si="514"/>
        <v>0</v>
      </c>
      <c r="AP261" s="388">
        <f ca="1">SUM(INDIRECT(AP$1&amp;AP$2&amp;$A261):INDIRECT(AP$1&amp;AP$3&amp;$A261))+SUM(INDIRECT(AP$1&amp;AP$2&amp;$B261):INDIRECT(AP$1&amp;AP$3&amp;$B261))</f>
        <v>71</v>
      </c>
      <c r="AQ261" s="888">
        <f t="shared" ca="1" si="480"/>
        <v>-8969</v>
      </c>
      <c r="AR261" s="943">
        <f t="shared" ca="1" si="515"/>
        <v>-125.32394366197182</v>
      </c>
      <c r="AT261" s="2125">
        <f ca="1">SUM((INDIRECT(AT$2&amp;(ROW())):INDIRECT(AT$3&amp;(ROW()))))</f>
        <v>-7369.9607400000004</v>
      </c>
      <c r="AU261" s="388">
        <f ca="1">SUM(INDIRECT(AU$1&amp;AU$2&amp;$C261):INDIRECT(AU$1&amp;AU$3&amp;$C261))</f>
        <v>0</v>
      </c>
      <c r="AV261" s="888">
        <f t="shared" ca="1" si="482"/>
        <v>-7369.9607400000004</v>
      </c>
      <c r="AW261" s="943">
        <f t="shared" ca="1" si="516"/>
        <v>0</v>
      </c>
      <c r="AX261" s="388">
        <f ca="1">SUM(INDIRECT(AX$1&amp;AX$2&amp;$A261):INDIRECT(AX$1&amp;AX$3&amp;$A261))+SUM(INDIRECT(AX$1&amp;AX$2&amp;$B261):INDIRECT(AX$1&amp;AX$3&amp;$B261))</f>
        <v>2500</v>
      </c>
      <c r="AY261" s="888">
        <f t="shared" ca="1" si="484"/>
        <v>-9869.9607400000004</v>
      </c>
      <c r="AZ261" s="943">
        <f t="shared" ca="1" si="517"/>
        <v>-2.947984296</v>
      </c>
      <c r="BB261" s="2125">
        <f ca="1">SUM((INDIRECT(BB$2&amp;(ROW())):INDIRECT(BB$3&amp;(ROW()))))</f>
        <v>6412.2658711456243</v>
      </c>
      <c r="BC261" s="388">
        <f ca="1">SUM(INDIRECT(BC$1&amp;BC$2&amp;$C261):INDIRECT(BC$1&amp;BC$3&amp;$C261))</f>
        <v>0</v>
      </c>
      <c r="BD261" s="888">
        <f t="shared" ca="1" si="486"/>
        <v>6412.2658711456243</v>
      </c>
      <c r="BE261" s="943">
        <f t="shared" ca="1" si="518"/>
        <v>0</v>
      </c>
      <c r="BF261" s="388">
        <f ca="1">SUM(INDIRECT(BF$1&amp;BF$2&amp;$A261):INDIRECT(BF$1&amp;BF$3&amp;$A261))+SUM(INDIRECT(BF$1&amp;BF$2&amp;$B261):INDIRECT(BF$1&amp;BF$3&amp;$B261))</f>
        <v>3341</v>
      </c>
      <c r="BG261" s="888">
        <f t="shared" ca="1" si="488"/>
        <v>3071.2658711456243</v>
      </c>
      <c r="BH261" s="943">
        <f t="shared" ca="1" si="519"/>
        <v>1.9192654508068316</v>
      </c>
    </row>
    <row r="262" spans="1:60" s="75" customFormat="1" ht="14.5">
      <c r="A262" s="990">
        <f t="shared" si="459"/>
        <v>235</v>
      </c>
      <c r="B262" s="990">
        <v>1</v>
      </c>
      <c r="C262" s="990">
        <f t="shared" si="430"/>
        <v>259</v>
      </c>
      <c r="D262" s="1121" t="s">
        <v>887</v>
      </c>
      <c r="E262" s="1243">
        <v>1</v>
      </c>
      <c r="F262" s="5"/>
      <c r="G262" s="5"/>
      <c r="H262" s="5"/>
      <c r="I262" s="30"/>
      <c r="J262" s="4"/>
      <c r="K262" s="5"/>
      <c r="L262" s="5"/>
      <c r="M262" s="5"/>
      <c r="N262" s="4" t="s">
        <v>989</v>
      </c>
      <c r="O262" s="4"/>
      <c r="P262" s="4"/>
      <c r="Q262" s="1880" t="str">
        <f>CHOOSE(2, "6722000003181", "PL (3) Gross Profit NH KM-1/KM-1e")</f>
        <v>PL (3) Gross Profit NH KM-1/KM-1e</v>
      </c>
      <c r="R262" s="2097">
        <f t="shared" ref="R262:AC262" si="525">R673+R717</f>
        <v>-360</v>
      </c>
      <c r="S262" s="135">
        <f t="shared" si="525"/>
        <v>-141</v>
      </c>
      <c r="T262" s="135">
        <f t="shared" si="525"/>
        <v>-107</v>
      </c>
      <c r="U262" s="135">
        <f t="shared" si="525"/>
        <v>-309</v>
      </c>
      <c r="V262" s="135">
        <f t="shared" si="525"/>
        <v>-103.81989147115095</v>
      </c>
      <c r="W262" s="135">
        <f t="shared" si="525"/>
        <v>-1024</v>
      </c>
      <c r="X262" s="135">
        <f t="shared" si="525"/>
        <v>660</v>
      </c>
      <c r="Y262" s="135">
        <f t="shared" si="525"/>
        <v>-124</v>
      </c>
      <c r="Z262" s="135">
        <f t="shared" si="525"/>
        <v>-196</v>
      </c>
      <c r="AA262" s="135">
        <f t="shared" si="525"/>
        <v>-1615</v>
      </c>
      <c r="AB262" s="135">
        <f t="shared" si="525"/>
        <v>941.03926000000001</v>
      </c>
      <c r="AC262" s="135">
        <f t="shared" si="525"/>
        <v>-1114</v>
      </c>
      <c r="AD262" s="135">
        <f t="shared" si="510"/>
        <v>-608</v>
      </c>
      <c r="AE262" s="135">
        <f t="shared" si="511"/>
        <v>-1436.8198914711511</v>
      </c>
      <c r="AF262" s="135">
        <f t="shared" si="512"/>
        <v>340</v>
      </c>
      <c r="AG262" s="135">
        <f t="shared" si="513"/>
        <v>-1787.96074</v>
      </c>
      <c r="AH262" s="135">
        <f t="shared" si="521"/>
        <v>-2044.8198914711511</v>
      </c>
      <c r="AI262" s="135">
        <f t="shared" si="522"/>
        <v>-1447.96074</v>
      </c>
      <c r="AJ262" s="135">
        <f t="shared" si="523"/>
        <v>-3492.7806314711511</v>
      </c>
      <c r="AL262" s="2097">
        <f ca="1">SUM((INDIRECT(AL$2&amp;(ROW())):INDIRECT(AL$3&amp;(ROW()))))</f>
        <v>-1114</v>
      </c>
      <c r="AM262" s="135">
        <f ca="1">SUM(INDIRECT(AM$1&amp;AM$2&amp;$C262):INDIRECT(AM$1&amp;AM$3&amp;$C262))</f>
        <v>0</v>
      </c>
      <c r="AN262" s="886">
        <f t="shared" ca="1" si="478"/>
        <v>-1114</v>
      </c>
      <c r="AO262" s="941">
        <f t="shared" ca="1" si="514"/>
        <v>0</v>
      </c>
      <c r="AP262" s="135">
        <f ca="1">SUM(INDIRECT(AP$1&amp;AP$2&amp;$A262):INDIRECT(AP$1&amp;AP$3&amp;$A262))+SUM(INDIRECT(AP$1&amp;AP$2&amp;$B262):INDIRECT(AP$1&amp;AP$3&amp;$B262))</f>
        <v>-510</v>
      </c>
      <c r="AQ262" s="886">
        <f t="shared" ca="1" si="480"/>
        <v>-604</v>
      </c>
      <c r="AR262" s="941">
        <f t="shared" ca="1" si="515"/>
        <v>2.1843137254901959</v>
      </c>
      <c r="AT262" s="2097">
        <f ca="1">SUM((INDIRECT(AT$2&amp;(ROW())):INDIRECT(AT$3&amp;(ROW()))))</f>
        <v>-1787.96074</v>
      </c>
      <c r="AU262" s="135">
        <f ca="1">SUM(INDIRECT(AU$1&amp;AU$2&amp;$C262):INDIRECT(AU$1&amp;AU$3&amp;$C262))</f>
        <v>0</v>
      </c>
      <c r="AV262" s="886">
        <f t="shared" ca="1" si="482"/>
        <v>-1787.96074</v>
      </c>
      <c r="AW262" s="941">
        <f t="shared" ca="1" si="516"/>
        <v>0</v>
      </c>
      <c r="AX262" s="135">
        <f ca="1">SUM(INDIRECT(AX$1&amp;AX$2&amp;$A262):INDIRECT(AX$1&amp;AX$3&amp;$A262))+SUM(INDIRECT(AX$1&amp;AX$2&amp;$B262):INDIRECT(AX$1&amp;AX$3&amp;$B262))</f>
        <v>-910</v>
      </c>
      <c r="AY262" s="886">
        <f t="shared" ca="1" si="484"/>
        <v>-877.96073999999999</v>
      </c>
      <c r="AZ262" s="941">
        <f t="shared" ca="1" si="517"/>
        <v>1.9647920219780219</v>
      </c>
      <c r="BB262" s="2097">
        <f ca="1">SUM((INDIRECT(BB$2&amp;(ROW())):INDIRECT(BB$3&amp;(ROW()))))</f>
        <v>-3492.7806314711511</v>
      </c>
      <c r="BC262" s="135">
        <f ca="1">SUM(INDIRECT(BC$1&amp;BC$2&amp;$C262):INDIRECT(BC$1&amp;BC$3&amp;$C262))</f>
        <v>0</v>
      </c>
      <c r="BD262" s="886">
        <f t="shared" ca="1" si="486"/>
        <v>-3492.7806314711511</v>
      </c>
      <c r="BE262" s="941">
        <f t="shared" ca="1" si="518"/>
        <v>0</v>
      </c>
      <c r="BF262" s="135">
        <f ca="1">SUM(INDIRECT(BF$1&amp;BF$2&amp;$A262):INDIRECT(BF$1&amp;BF$3&amp;$A262))+SUM(INDIRECT(BF$1&amp;BF$2&amp;$B262):INDIRECT(BF$1&amp;BF$3&amp;$B262))</f>
        <v>-9020</v>
      </c>
      <c r="BG262" s="886">
        <f t="shared" ca="1" si="488"/>
        <v>5527.2193685288494</v>
      </c>
      <c r="BH262" s="941">
        <f t="shared" ca="1" si="519"/>
        <v>0.38722623408771079</v>
      </c>
    </row>
    <row r="263" spans="1:60" s="75" customFormat="1" ht="14.5">
      <c r="A263" s="990">
        <f t="shared" si="459"/>
        <v>236</v>
      </c>
      <c r="B263" s="990">
        <v>1</v>
      </c>
      <c r="C263" s="990">
        <f t="shared" si="430"/>
        <v>260</v>
      </c>
      <c r="D263" s="1121" t="s">
        <v>887</v>
      </c>
      <c r="E263" s="1243">
        <v>1</v>
      </c>
      <c r="F263" s="5"/>
      <c r="G263" s="5"/>
      <c r="H263" s="5"/>
      <c r="I263" s="30"/>
      <c r="J263" s="4"/>
      <c r="K263" s="5"/>
      <c r="L263" s="5"/>
      <c r="M263" s="5"/>
      <c r="N263" s="4" t="s">
        <v>209</v>
      </c>
      <c r="O263" s="4"/>
      <c r="P263" s="4"/>
      <c r="Q263" s="1880" t="str">
        <f>CHOOSE(2, "6722000003182", "PL (3) Gross Profit NH Label Printer")</f>
        <v>PL (3) Gross Profit NH Label Printer</v>
      </c>
      <c r="R263" s="2097">
        <f t="shared" ref="R263:AC263" si="526">R679+R723</f>
        <v>1806</v>
      </c>
      <c r="S263" s="135">
        <f t="shared" si="526"/>
        <v>1954</v>
      </c>
      <c r="T263" s="135">
        <f t="shared" si="526"/>
        <v>1661</v>
      </c>
      <c r="U263" s="135">
        <f t="shared" si="526"/>
        <v>1573</v>
      </c>
      <c r="V263" s="135">
        <f t="shared" si="526"/>
        <v>1904.8495114766838</v>
      </c>
      <c r="W263" s="135">
        <f t="shared" si="526"/>
        <v>1131.3970114766837</v>
      </c>
      <c r="X263" s="135">
        <f t="shared" si="526"/>
        <v>2047</v>
      </c>
      <c r="Y263" s="135">
        <f t="shared" si="526"/>
        <v>1641</v>
      </c>
      <c r="Z263" s="135">
        <f t="shared" si="526"/>
        <v>2056</v>
      </c>
      <c r="AA263" s="135">
        <f t="shared" si="526"/>
        <v>2975</v>
      </c>
      <c r="AB263" s="135">
        <f t="shared" si="526"/>
        <v>523</v>
      </c>
      <c r="AC263" s="135">
        <f t="shared" si="526"/>
        <v>2934</v>
      </c>
      <c r="AD263" s="135">
        <f t="shared" si="510"/>
        <v>5421</v>
      </c>
      <c r="AE263" s="135">
        <f t="shared" si="511"/>
        <v>4609.2465229533673</v>
      </c>
      <c r="AF263" s="135">
        <f t="shared" si="512"/>
        <v>5744</v>
      </c>
      <c r="AG263" s="135">
        <f t="shared" si="513"/>
        <v>6432</v>
      </c>
      <c r="AH263" s="135">
        <f t="shared" si="521"/>
        <v>10030.246522953366</v>
      </c>
      <c r="AI263" s="135">
        <f t="shared" si="522"/>
        <v>12176</v>
      </c>
      <c r="AJ263" s="135">
        <f t="shared" si="523"/>
        <v>22206.246522953366</v>
      </c>
      <c r="AL263" s="2097">
        <f ca="1">SUM((INDIRECT(AL$2&amp;(ROW())):INDIRECT(AL$3&amp;(ROW()))))</f>
        <v>2934</v>
      </c>
      <c r="AM263" s="135">
        <f ca="1">SUM(INDIRECT(AM$1&amp;AM$2&amp;$C263):INDIRECT(AM$1&amp;AM$3&amp;$C263))</f>
        <v>0</v>
      </c>
      <c r="AN263" s="886">
        <f t="shared" ca="1" si="478"/>
        <v>2934</v>
      </c>
      <c r="AO263" s="941">
        <f t="shared" ca="1" si="514"/>
        <v>0</v>
      </c>
      <c r="AP263" s="135">
        <f ca="1">SUM(INDIRECT(AP$1&amp;AP$2&amp;$A263):INDIRECT(AP$1&amp;AP$3&amp;$A263))+SUM(INDIRECT(AP$1&amp;AP$2&amp;$B263):INDIRECT(AP$1&amp;AP$3&amp;$B263))</f>
        <v>1614</v>
      </c>
      <c r="AQ263" s="886">
        <f t="shared" ca="1" si="480"/>
        <v>1320</v>
      </c>
      <c r="AR263" s="941">
        <f t="shared" ca="1" si="515"/>
        <v>1.8178438661710037</v>
      </c>
      <c r="AT263" s="2097">
        <f ca="1">SUM((INDIRECT(AT$2&amp;(ROW())):INDIRECT(AT$3&amp;(ROW()))))</f>
        <v>6432</v>
      </c>
      <c r="AU263" s="135">
        <f ca="1">SUM(INDIRECT(AU$1&amp;AU$2&amp;$C263):INDIRECT(AU$1&amp;AU$3&amp;$C263))</f>
        <v>0</v>
      </c>
      <c r="AV263" s="886">
        <f t="shared" ca="1" si="482"/>
        <v>6432</v>
      </c>
      <c r="AW263" s="941">
        <f t="shared" ca="1" si="516"/>
        <v>0</v>
      </c>
      <c r="AX263" s="135">
        <f ca="1">SUM(INDIRECT(AX$1&amp;AX$2&amp;$A263):INDIRECT(AX$1&amp;AX$3&amp;$A263))+SUM(INDIRECT(AX$1&amp;AX$2&amp;$B263):INDIRECT(AX$1&amp;AX$3&amp;$B263))</f>
        <v>5620</v>
      </c>
      <c r="AY263" s="886">
        <f t="shared" ca="1" si="484"/>
        <v>812</v>
      </c>
      <c r="AZ263" s="941">
        <f t="shared" ca="1" si="517"/>
        <v>1.1444839857651246</v>
      </c>
      <c r="BB263" s="2097">
        <f ca="1">SUM((INDIRECT(BB$2&amp;(ROW())):INDIRECT(BB$3&amp;(ROW()))))</f>
        <v>22206.24652295337</v>
      </c>
      <c r="BC263" s="135">
        <f ca="1">SUM(INDIRECT(BC$1&amp;BC$2&amp;$C263):INDIRECT(BC$1&amp;BC$3&amp;$C263))</f>
        <v>0</v>
      </c>
      <c r="BD263" s="886">
        <f t="shared" ca="1" si="486"/>
        <v>22206.24652295337</v>
      </c>
      <c r="BE263" s="941">
        <f t="shared" ca="1" si="518"/>
        <v>0</v>
      </c>
      <c r="BF263" s="135">
        <f ca="1">SUM(INDIRECT(BF$1&amp;BF$2&amp;$A263):INDIRECT(BF$1&amp;BF$3&amp;$A263))+SUM(INDIRECT(BF$1&amp;BF$2&amp;$B263):INDIRECT(BF$1&amp;BF$3&amp;$B263))</f>
        <v>17668</v>
      </c>
      <c r="BG263" s="886">
        <f t="shared" ca="1" si="488"/>
        <v>4538.24652295337</v>
      </c>
      <c r="BH263" s="941">
        <f t="shared" ca="1" si="519"/>
        <v>1.256862492809224</v>
      </c>
    </row>
    <row r="264" spans="1:60" s="75" customFormat="1" ht="14.5">
      <c r="A264" s="990">
        <f t="shared" si="459"/>
        <v>237</v>
      </c>
      <c r="B264" s="990">
        <v>1</v>
      </c>
      <c r="C264" s="990">
        <f t="shared" si="430"/>
        <v>261</v>
      </c>
      <c r="D264" s="1121" t="s">
        <v>887</v>
      </c>
      <c r="E264" s="1243">
        <v>1</v>
      </c>
      <c r="F264" s="5"/>
      <c r="G264" s="5"/>
      <c r="H264" s="5"/>
      <c r="I264" s="30"/>
      <c r="J264" s="4"/>
      <c r="K264" s="5"/>
      <c r="L264" s="5"/>
      <c r="M264" s="5"/>
      <c r="N264" s="4" t="s">
        <v>132</v>
      </c>
      <c r="O264" s="4"/>
      <c r="P264" s="1498"/>
      <c r="Q264" s="1880" t="str">
        <f>CHOOSE(2, "6722000003183", "PL (3) Gross Profit NH MGI")</f>
        <v>PL (3) Gross Profit NH MGI</v>
      </c>
      <c r="R264" s="2097">
        <f t="shared" ref="R264:AC264" si="527">R685+R729</f>
        <v>-857</v>
      </c>
      <c r="S264" s="135">
        <f t="shared" si="527"/>
        <v>578</v>
      </c>
      <c r="T264" s="135">
        <f t="shared" si="527"/>
        <v>-611</v>
      </c>
      <c r="U264" s="135">
        <f t="shared" si="527"/>
        <v>222</v>
      </c>
      <c r="V264" s="135">
        <f t="shared" si="527"/>
        <v>239.79997966340829</v>
      </c>
      <c r="W264" s="135">
        <f t="shared" si="527"/>
        <v>520</v>
      </c>
      <c r="X264" s="135">
        <f t="shared" si="527"/>
        <v>26</v>
      </c>
      <c r="Y264" s="135">
        <f t="shared" si="527"/>
        <v>-115</v>
      </c>
      <c r="Z264" s="135">
        <f t="shared" si="527"/>
        <v>-290</v>
      </c>
      <c r="AA264" s="135">
        <f t="shared" si="527"/>
        <v>-676</v>
      </c>
      <c r="AB264" s="135">
        <f t="shared" si="527"/>
        <v>-620</v>
      </c>
      <c r="AC264" s="135">
        <f t="shared" si="527"/>
        <v>-10718</v>
      </c>
      <c r="AD264" s="135">
        <f t="shared" si="510"/>
        <v>-890</v>
      </c>
      <c r="AE264" s="135">
        <f t="shared" si="511"/>
        <v>981.79997966340829</v>
      </c>
      <c r="AF264" s="135">
        <f t="shared" si="512"/>
        <v>-379</v>
      </c>
      <c r="AG264" s="135">
        <f t="shared" si="513"/>
        <v>-12014</v>
      </c>
      <c r="AH264" s="135">
        <f t="shared" si="521"/>
        <v>91.799979663408294</v>
      </c>
      <c r="AI264" s="135">
        <f t="shared" si="522"/>
        <v>-12393</v>
      </c>
      <c r="AJ264" s="135">
        <f t="shared" si="523"/>
        <v>-12301.200020336591</v>
      </c>
      <c r="AL264" s="2097">
        <f ca="1">SUM((INDIRECT(AL$2&amp;(ROW())):INDIRECT(AL$3&amp;(ROW()))))</f>
        <v>-10718</v>
      </c>
      <c r="AM264" s="135">
        <f ca="1">SUM(INDIRECT(AM$1&amp;AM$2&amp;$C264):INDIRECT(AM$1&amp;AM$3&amp;$C264))</f>
        <v>0</v>
      </c>
      <c r="AN264" s="886">
        <f t="shared" ca="1" si="478"/>
        <v>-10718</v>
      </c>
      <c r="AO264" s="941">
        <f t="shared" ca="1" si="514"/>
        <v>0</v>
      </c>
      <c r="AP264" s="135">
        <f ca="1">SUM(INDIRECT(AP$1&amp;AP$2&amp;$A264):INDIRECT(AP$1&amp;AP$3&amp;$A264))+SUM(INDIRECT(AP$1&amp;AP$2&amp;$B264):INDIRECT(AP$1&amp;AP$3&amp;$B264))</f>
        <v>-1033</v>
      </c>
      <c r="AQ264" s="886">
        <f t="shared" ca="1" si="480"/>
        <v>-9685</v>
      </c>
      <c r="AR264" s="941">
        <f t="shared" ca="1" si="515"/>
        <v>10.375605033881897</v>
      </c>
      <c r="AT264" s="2097">
        <f ca="1">SUM((INDIRECT(AT$2&amp;(ROW())):INDIRECT(AT$3&amp;(ROW()))))</f>
        <v>-12014</v>
      </c>
      <c r="AU264" s="135">
        <f ca="1">SUM(INDIRECT(AU$1&amp;AU$2&amp;$C264):INDIRECT(AU$1&amp;AU$3&amp;$C264))</f>
        <v>0</v>
      </c>
      <c r="AV264" s="886">
        <f t="shared" ca="1" si="482"/>
        <v>-12014</v>
      </c>
      <c r="AW264" s="941">
        <f t="shared" ca="1" si="516"/>
        <v>0</v>
      </c>
      <c r="AX264" s="135">
        <f ca="1">SUM(INDIRECT(AX$1&amp;AX$2&amp;$A264):INDIRECT(AX$1&amp;AX$3&amp;$A264))+SUM(INDIRECT(AX$1&amp;AX$2&amp;$B264):INDIRECT(AX$1&amp;AX$3&amp;$B264))</f>
        <v>-2210</v>
      </c>
      <c r="AY264" s="886">
        <f t="shared" ca="1" si="484"/>
        <v>-9804</v>
      </c>
      <c r="AZ264" s="941">
        <f t="shared" ca="1" si="517"/>
        <v>5.4361990950226247</v>
      </c>
      <c r="BB264" s="2097">
        <f ca="1">SUM((INDIRECT(BB$2&amp;(ROW())):INDIRECT(BB$3&amp;(ROW()))))</f>
        <v>-12301.200020336591</v>
      </c>
      <c r="BC264" s="135">
        <f ca="1">SUM(INDIRECT(BC$1&amp;BC$2&amp;$C264):INDIRECT(BC$1&amp;BC$3&amp;$C264))</f>
        <v>0</v>
      </c>
      <c r="BD264" s="886">
        <f t="shared" ca="1" si="486"/>
        <v>-12301.200020336591</v>
      </c>
      <c r="BE264" s="941">
        <f t="shared" ca="1" si="518"/>
        <v>0</v>
      </c>
      <c r="BF264" s="135">
        <f ca="1">SUM(INDIRECT(BF$1&amp;BF$2&amp;$A264):INDIRECT(BF$1&amp;BF$3&amp;$A264))+SUM(INDIRECT(BF$1&amp;BF$2&amp;$B264):INDIRECT(BF$1&amp;BF$3&amp;$B264))</f>
        <v>-5307</v>
      </c>
      <c r="BG264" s="886">
        <f t="shared" ca="1" si="488"/>
        <v>-6994.2000203365915</v>
      </c>
      <c r="BH264" s="941">
        <f t="shared" ca="1" si="519"/>
        <v>2.3179197324922916</v>
      </c>
    </row>
    <row r="265" spans="1:60" s="75" customFormat="1" ht="14.5">
      <c r="A265" s="990">
        <f t="shared" si="459"/>
        <v>238</v>
      </c>
      <c r="B265" s="990">
        <v>1</v>
      </c>
      <c r="C265" s="990">
        <f t="shared" si="430"/>
        <v>262</v>
      </c>
      <c r="D265" s="1121" t="s">
        <v>887</v>
      </c>
      <c r="E265" s="1243">
        <v>1</v>
      </c>
      <c r="F265" s="5"/>
      <c r="G265" s="5"/>
      <c r="H265" s="5"/>
      <c r="I265" s="30"/>
      <c r="J265" s="4"/>
      <c r="K265" s="5"/>
      <c r="L265" s="5"/>
      <c r="M265" s="5"/>
      <c r="N265" s="4" t="s">
        <v>210</v>
      </c>
      <c r="O265" s="4"/>
      <c r="P265" s="4"/>
      <c r="Q265" s="1880" t="str">
        <f>CHOOSE(2, "6722000003184", "PL (3) Gross Profit NH EFI/LF")</f>
        <v>PL (3) Gross Profit NH EFI/LF</v>
      </c>
      <c r="R265" s="2097">
        <f t="shared" ref="R265:AC265" si="528">R691+R735</f>
        <v>0</v>
      </c>
      <c r="S265" s="135">
        <f t="shared" si="528"/>
        <v>0</v>
      </c>
      <c r="T265" s="135">
        <f t="shared" si="528"/>
        <v>0</v>
      </c>
      <c r="U265" s="135">
        <f t="shared" si="528"/>
        <v>0</v>
      </c>
      <c r="V265" s="135">
        <f t="shared" si="528"/>
        <v>0</v>
      </c>
      <c r="W265" s="135">
        <f t="shared" si="528"/>
        <v>0</v>
      </c>
      <c r="X265" s="135">
        <f t="shared" si="528"/>
        <v>0</v>
      </c>
      <c r="Y265" s="135">
        <f t="shared" si="528"/>
        <v>0</v>
      </c>
      <c r="Z265" s="135">
        <f t="shared" si="528"/>
        <v>0</v>
      </c>
      <c r="AA265" s="135">
        <f t="shared" si="528"/>
        <v>0</v>
      </c>
      <c r="AB265" s="135">
        <f t="shared" si="528"/>
        <v>0</v>
      </c>
      <c r="AC265" s="135">
        <f t="shared" si="528"/>
        <v>0</v>
      </c>
      <c r="AD265" s="135">
        <f t="shared" si="510"/>
        <v>0</v>
      </c>
      <c r="AE265" s="135">
        <f t="shared" si="511"/>
        <v>0</v>
      </c>
      <c r="AF265" s="135">
        <f t="shared" si="512"/>
        <v>0</v>
      </c>
      <c r="AG265" s="135">
        <f t="shared" si="513"/>
        <v>0</v>
      </c>
      <c r="AH265" s="135">
        <f t="shared" si="521"/>
        <v>0</v>
      </c>
      <c r="AI265" s="135">
        <f t="shared" si="522"/>
        <v>0</v>
      </c>
      <c r="AJ265" s="135">
        <f t="shared" si="523"/>
        <v>0</v>
      </c>
      <c r="AL265" s="2097">
        <f ca="1">SUM((INDIRECT(AL$2&amp;(ROW())):INDIRECT(AL$3&amp;(ROW()))))</f>
        <v>0</v>
      </c>
      <c r="AM265" s="135">
        <f ca="1">SUM(INDIRECT(AM$1&amp;AM$2&amp;$C265):INDIRECT(AM$1&amp;AM$3&amp;$C265))</f>
        <v>0</v>
      </c>
      <c r="AN265" s="886">
        <f t="shared" ca="1" si="478"/>
        <v>0</v>
      </c>
      <c r="AO265" s="941">
        <f t="shared" ca="1" si="514"/>
        <v>0</v>
      </c>
      <c r="AP265" s="135">
        <f ca="1">SUM(INDIRECT(AP$1&amp;AP$2&amp;$A265):INDIRECT(AP$1&amp;AP$3&amp;$A265))+SUM(INDIRECT(AP$1&amp;AP$2&amp;$B265):INDIRECT(AP$1&amp;AP$3&amp;$B265))</f>
        <v>0</v>
      </c>
      <c r="AQ265" s="886">
        <f t="shared" ca="1" si="480"/>
        <v>0</v>
      </c>
      <c r="AR265" s="941">
        <f t="shared" ca="1" si="515"/>
        <v>0</v>
      </c>
      <c r="AT265" s="2097">
        <f ca="1">SUM((INDIRECT(AT$2&amp;(ROW())):INDIRECT(AT$3&amp;(ROW()))))</f>
        <v>0</v>
      </c>
      <c r="AU265" s="135">
        <f ca="1">SUM(INDIRECT(AU$1&amp;AU$2&amp;$C265):INDIRECT(AU$1&amp;AU$3&amp;$C265))</f>
        <v>0</v>
      </c>
      <c r="AV265" s="886">
        <f t="shared" ca="1" si="482"/>
        <v>0</v>
      </c>
      <c r="AW265" s="941">
        <f t="shared" ca="1" si="516"/>
        <v>0</v>
      </c>
      <c r="AX265" s="135">
        <f ca="1">SUM(INDIRECT(AX$1&amp;AX$2&amp;$A265):INDIRECT(AX$1&amp;AX$3&amp;$A265))+SUM(INDIRECT(AX$1&amp;AX$2&amp;$B265):INDIRECT(AX$1&amp;AX$3&amp;$B265))</f>
        <v>0</v>
      </c>
      <c r="AY265" s="886">
        <f t="shared" ca="1" si="484"/>
        <v>0</v>
      </c>
      <c r="AZ265" s="941">
        <f t="shared" ca="1" si="517"/>
        <v>0</v>
      </c>
      <c r="BB265" s="2097">
        <f ca="1">SUM((INDIRECT(BB$2&amp;(ROW())):INDIRECT(BB$3&amp;(ROW()))))</f>
        <v>0</v>
      </c>
      <c r="BC265" s="135">
        <f ca="1">SUM(INDIRECT(BC$1&amp;BC$2&amp;$C265):INDIRECT(BC$1&amp;BC$3&amp;$C265))</f>
        <v>0</v>
      </c>
      <c r="BD265" s="886">
        <f t="shared" ca="1" si="486"/>
        <v>0</v>
      </c>
      <c r="BE265" s="941">
        <f t="shared" ca="1" si="518"/>
        <v>0</v>
      </c>
      <c r="BF265" s="135">
        <f ca="1">SUM(INDIRECT(BF$1&amp;BF$2&amp;$A265):INDIRECT(BF$1&amp;BF$3&amp;$A265))+SUM(INDIRECT(BF$1&amp;BF$2&amp;$B265):INDIRECT(BF$1&amp;BF$3&amp;$B265))</f>
        <v>0</v>
      </c>
      <c r="BG265" s="886">
        <f t="shared" ca="1" si="488"/>
        <v>0</v>
      </c>
      <c r="BH265" s="941">
        <f t="shared" ca="1" si="519"/>
        <v>0</v>
      </c>
    </row>
    <row r="266" spans="1:60" s="75" customFormat="1" ht="14.5">
      <c r="A266" s="990">
        <f t="shared" si="459"/>
        <v>239</v>
      </c>
      <c r="B266" s="990">
        <v>1</v>
      </c>
      <c r="C266" s="990">
        <f t="shared" si="430"/>
        <v>263</v>
      </c>
      <c r="D266" s="1121" t="s">
        <v>887</v>
      </c>
      <c r="E266" s="1243">
        <v>1</v>
      </c>
      <c r="F266" s="5"/>
      <c r="G266" s="5"/>
      <c r="H266" s="5"/>
      <c r="I266" s="30"/>
      <c r="J266" s="4"/>
      <c r="K266" s="5"/>
      <c r="L266" s="5"/>
      <c r="M266" s="5"/>
      <c r="N266" s="4" t="s">
        <v>292</v>
      </c>
      <c r="O266" s="4"/>
      <c r="P266" s="4"/>
      <c r="Q266" s="1880" t="str">
        <f>CHOOSE(2, "6722000003185", "PL (3) Gross Profit NH Textile Printer")</f>
        <v>PL (3) Gross Profit NH Textile Printer</v>
      </c>
      <c r="R266" s="2097">
        <f t="shared" ref="R266:AC266" si="529">R697+R741</f>
        <v>0</v>
      </c>
      <c r="S266" s="135">
        <f t="shared" si="529"/>
        <v>0</v>
      </c>
      <c r="T266" s="135">
        <f t="shared" si="529"/>
        <v>0</v>
      </c>
      <c r="U266" s="135">
        <f t="shared" si="529"/>
        <v>0</v>
      </c>
      <c r="V266" s="135">
        <f t="shared" si="529"/>
        <v>0</v>
      </c>
      <c r="W266" s="135">
        <f t="shared" si="529"/>
        <v>0</v>
      </c>
      <c r="X266" s="135">
        <f t="shared" si="529"/>
        <v>0</v>
      </c>
      <c r="Y266" s="135">
        <f t="shared" si="529"/>
        <v>0</v>
      </c>
      <c r="Z266" s="135">
        <f t="shared" si="529"/>
        <v>0</v>
      </c>
      <c r="AA266" s="135">
        <f t="shared" si="529"/>
        <v>0</v>
      </c>
      <c r="AB266" s="135">
        <f t="shared" si="529"/>
        <v>0</v>
      </c>
      <c r="AC266" s="135">
        <f t="shared" si="529"/>
        <v>0</v>
      </c>
      <c r="AD266" s="135">
        <f t="shared" si="510"/>
        <v>0</v>
      </c>
      <c r="AE266" s="135">
        <f t="shared" si="511"/>
        <v>0</v>
      </c>
      <c r="AF266" s="135">
        <f t="shared" si="512"/>
        <v>0</v>
      </c>
      <c r="AG266" s="135">
        <f t="shared" si="513"/>
        <v>0</v>
      </c>
      <c r="AH266" s="135">
        <f t="shared" si="521"/>
        <v>0</v>
      </c>
      <c r="AI266" s="135">
        <f t="shared" si="522"/>
        <v>0</v>
      </c>
      <c r="AJ266" s="135">
        <f t="shared" si="523"/>
        <v>0</v>
      </c>
      <c r="AL266" s="2097">
        <f ca="1">SUM((INDIRECT(AL$2&amp;(ROW())):INDIRECT(AL$3&amp;(ROW()))))</f>
        <v>0</v>
      </c>
      <c r="AM266" s="135">
        <f ca="1">SUM(INDIRECT(AM$1&amp;AM$2&amp;$C266):INDIRECT(AM$1&amp;AM$3&amp;$C266))</f>
        <v>0</v>
      </c>
      <c r="AN266" s="886">
        <f t="shared" ca="1" si="478"/>
        <v>0</v>
      </c>
      <c r="AO266" s="941">
        <f t="shared" ca="1" si="514"/>
        <v>0</v>
      </c>
      <c r="AP266" s="135">
        <f ca="1">SUM(INDIRECT(AP$1&amp;AP$2&amp;$A266):INDIRECT(AP$1&amp;AP$3&amp;$A266))+SUM(INDIRECT(AP$1&amp;AP$2&amp;$B266):INDIRECT(AP$1&amp;AP$3&amp;$B266))</f>
        <v>0</v>
      </c>
      <c r="AQ266" s="886">
        <f t="shared" ca="1" si="480"/>
        <v>0</v>
      </c>
      <c r="AR266" s="941">
        <f t="shared" ca="1" si="515"/>
        <v>0</v>
      </c>
      <c r="AT266" s="2097">
        <f ca="1">SUM((INDIRECT(AT$2&amp;(ROW())):INDIRECT(AT$3&amp;(ROW()))))</f>
        <v>0</v>
      </c>
      <c r="AU266" s="135">
        <f ca="1">SUM(INDIRECT(AU$1&amp;AU$2&amp;$C266):INDIRECT(AU$1&amp;AU$3&amp;$C266))</f>
        <v>0</v>
      </c>
      <c r="AV266" s="886">
        <f t="shared" ca="1" si="482"/>
        <v>0</v>
      </c>
      <c r="AW266" s="941">
        <f t="shared" ca="1" si="516"/>
        <v>0</v>
      </c>
      <c r="AX266" s="135">
        <f ca="1">SUM(INDIRECT(AX$1&amp;AX$2&amp;$A266):INDIRECT(AX$1&amp;AX$3&amp;$A266))+SUM(INDIRECT(AX$1&amp;AX$2&amp;$B266):INDIRECT(AX$1&amp;AX$3&amp;$B266))</f>
        <v>0</v>
      </c>
      <c r="AY266" s="886">
        <f t="shared" ca="1" si="484"/>
        <v>0</v>
      </c>
      <c r="AZ266" s="941">
        <f t="shared" ca="1" si="517"/>
        <v>0</v>
      </c>
      <c r="BB266" s="2097">
        <f ca="1">SUM((INDIRECT(BB$2&amp;(ROW())):INDIRECT(BB$3&amp;(ROW()))))</f>
        <v>0</v>
      </c>
      <c r="BC266" s="135">
        <f ca="1">SUM(INDIRECT(BC$1&amp;BC$2&amp;$C266):INDIRECT(BC$1&amp;BC$3&amp;$C266))</f>
        <v>0</v>
      </c>
      <c r="BD266" s="886">
        <f t="shared" ca="1" si="486"/>
        <v>0</v>
      </c>
      <c r="BE266" s="941">
        <f t="shared" ca="1" si="518"/>
        <v>0</v>
      </c>
      <c r="BF266" s="135">
        <f ca="1">SUM(INDIRECT(BF$1&amp;BF$2&amp;$A266):INDIRECT(BF$1&amp;BF$3&amp;$A266))+SUM(INDIRECT(BF$1&amp;BF$2&amp;$B266):INDIRECT(BF$1&amp;BF$3&amp;$B266))</f>
        <v>0</v>
      </c>
      <c r="BG266" s="886">
        <f t="shared" ca="1" si="488"/>
        <v>0</v>
      </c>
      <c r="BH266" s="941">
        <f t="shared" ca="1" si="519"/>
        <v>0</v>
      </c>
    </row>
    <row r="267" spans="1:60" s="75" customFormat="1" ht="14.5">
      <c r="A267" s="990">
        <f t="shared" si="459"/>
        <v>240</v>
      </c>
      <c r="B267" s="990">
        <v>1</v>
      </c>
      <c r="C267" s="990">
        <f t="shared" si="430"/>
        <v>264</v>
      </c>
      <c r="D267" s="1121" t="s">
        <v>887</v>
      </c>
      <c r="E267" s="1243">
        <v>1</v>
      </c>
      <c r="F267" s="5"/>
      <c r="G267" s="5"/>
      <c r="H267" s="5"/>
      <c r="I267" s="28"/>
      <c r="J267" s="2"/>
      <c r="K267" s="3"/>
      <c r="L267" s="3"/>
      <c r="M267" s="3"/>
      <c r="N267" s="2" t="s">
        <v>131</v>
      </c>
      <c r="O267" s="2"/>
      <c r="P267" s="2"/>
      <c r="Q267" s="1880" t="str">
        <f>CHOOSE(2, "6722000003186", "PL (3) Gross Profit NH Others")</f>
        <v>PL (3) Gross Profit NH Others</v>
      </c>
      <c r="R267" s="2098">
        <f>R703+R706+R707+R747+R750+R751</f>
        <v>0</v>
      </c>
      <c r="S267" s="285">
        <f t="shared" ref="S267:AC267" si="530">S703+S706+S707+S747+S750+S751</f>
        <v>0</v>
      </c>
      <c r="T267" s="285">
        <f t="shared" si="530"/>
        <v>0</v>
      </c>
      <c r="U267" s="285">
        <f t="shared" si="530"/>
        <v>0</v>
      </c>
      <c r="V267" s="285">
        <f t="shared" si="530"/>
        <v>0</v>
      </c>
      <c r="W267" s="285">
        <f t="shared" si="530"/>
        <v>0</v>
      </c>
      <c r="X267" s="285">
        <f t="shared" si="530"/>
        <v>0</v>
      </c>
      <c r="Y267" s="285">
        <f t="shared" si="530"/>
        <v>0</v>
      </c>
      <c r="Z267" s="285">
        <f t="shared" si="530"/>
        <v>0</v>
      </c>
      <c r="AA267" s="285">
        <f t="shared" si="530"/>
        <v>0</v>
      </c>
      <c r="AB267" s="285">
        <f t="shared" si="530"/>
        <v>0</v>
      </c>
      <c r="AC267" s="285">
        <f t="shared" si="530"/>
        <v>0</v>
      </c>
      <c r="AD267" s="285">
        <f t="shared" si="510"/>
        <v>0</v>
      </c>
      <c r="AE267" s="285">
        <f t="shared" si="511"/>
        <v>0</v>
      </c>
      <c r="AF267" s="285">
        <f t="shared" si="512"/>
        <v>0</v>
      </c>
      <c r="AG267" s="285">
        <f t="shared" si="513"/>
        <v>0</v>
      </c>
      <c r="AH267" s="285">
        <f t="shared" si="521"/>
        <v>0</v>
      </c>
      <c r="AI267" s="285">
        <f t="shared" si="522"/>
        <v>0</v>
      </c>
      <c r="AJ267" s="285">
        <f t="shared" si="523"/>
        <v>0</v>
      </c>
      <c r="AL267" s="2098">
        <f ca="1">SUM((INDIRECT(AL$2&amp;(ROW())):INDIRECT(AL$3&amp;(ROW()))))</f>
        <v>0</v>
      </c>
      <c r="AM267" s="285">
        <f ca="1">SUM(INDIRECT(AM$1&amp;AM$2&amp;$C267):INDIRECT(AM$1&amp;AM$3&amp;$C267))</f>
        <v>0</v>
      </c>
      <c r="AN267" s="889">
        <f t="shared" ca="1" si="478"/>
        <v>0</v>
      </c>
      <c r="AO267" s="944">
        <f t="shared" ca="1" si="514"/>
        <v>0</v>
      </c>
      <c r="AP267" s="285">
        <f ca="1">SUM(INDIRECT(AP$1&amp;AP$2&amp;$A267):INDIRECT(AP$1&amp;AP$3&amp;$A267))+SUM(INDIRECT(AP$1&amp;AP$2&amp;$B267):INDIRECT(AP$1&amp;AP$3&amp;$B267))</f>
        <v>0</v>
      </c>
      <c r="AQ267" s="889">
        <f t="shared" ca="1" si="480"/>
        <v>0</v>
      </c>
      <c r="AR267" s="944">
        <f t="shared" ca="1" si="515"/>
        <v>0</v>
      </c>
      <c r="AT267" s="2098">
        <f ca="1">SUM((INDIRECT(AT$2&amp;(ROW())):INDIRECT(AT$3&amp;(ROW()))))</f>
        <v>0</v>
      </c>
      <c r="AU267" s="285">
        <f ca="1">SUM(INDIRECT(AU$1&amp;AU$2&amp;$C267):INDIRECT(AU$1&amp;AU$3&amp;$C267))</f>
        <v>0</v>
      </c>
      <c r="AV267" s="889">
        <f t="shared" ca="1" si="482"/>
        <v>0</v>
      </c>
      <c r="AW267" s="944">
        <f t="shared" ca="1" si="516"/>
        <v>0</v>
      </c>
      <c r="AX267" s="285">
        <f ca="1">SUM(INDIRECT(AX$1&amp;AX$2&amp;$A267):INDIRECT(AX$1&amp;AX$3&amp;$A267))+SUM(INDIRECT(AX$1&amp;AX$2&amp;$B267):INDIRECT(AX$1&amp;AX$3&amp;$B267))</f>
        <v>0</v>
      </c>
      <c r="AY267" s="889">
        <f t="shared" ca="1" si="484"/>
        <v>0</v>
      </c>
      <c r="AZ267" s="944">
        <f t="shared" ca="1" si="517"/>
        <v>0</v>
      </c>
      <c r="BB267" s="2098">
        <f ca="1">SUM((INDIRECT(BB$2&amp;(ROW())):INDIRECT(BB$3&amp;(ROW()))))</f>
        <v>0</v>
      </c>
      <c r="BC267" s="285">
        <f ca="1">SUM(INDIRECT(BC$1&amp;BC$2&amp;$C267):INDIRECT(BC$1&amp;BC$3&amp;$C267))</f>
        <v>0</v>
      </c>
      <c r="BD267" s="889">
        <f t="shared" ca="1" si="486"/>
        <v>0</v>
      </c>
      <c r="BE267" s="944">
        <f t="shared" ca="1" si="518"/>
        <v>0</v>
      </c>
      <c r="BF267" s="285">
        <f ca="1">SUM(INDIRECT(BF$1&amp;BF$2&amp;$A267):INDIRECT(BF$1&amp;BF$3&amp;$A267))+SUM(INDIRECT(BF$1&amp;BF$2&amp;$B267):INDIRECT(BF$1&amp;BF$3&amp;$B267))</f>
        <v>0</v>
      </c>
      <c r="BG267" s="889">
        <f t="shared" ca="1" si="488"/>
        <v>0</v>
      </c>
      <c r="BH267" s="944">
        <f t="shared" ca="1" si="519"/>
        <v>0</v>
      </c>
    </row>
    <row r="268" spans="1:60" ht="14.5">
      <c r="A268" s="990">
        <f t="shared" si="459"/>
        <v>241</v>
      </c>
      <c r="B268" s="990">
        <v>1</v>
      </c>
      <c r="C268" s="990">
        <f t="shared" si="430"/>
        <v>265</v>
      </c>
      <c r="D268" s="1121" t="s">
        <v>887</v>
      </c>
      <c r="E268" s="1243">
        <v>1</v>
      </c>
      <c r="F268" s="5"/>
      <c r="G268" s="5"/>
      <c r="H268" s="5"/>
      <c r="I268" s="458" t="s">
        <v>97</v>
      </c>
      <c r="J268" s="450"/>
      <c r="K268" s="449"/>
      <c r="L268" s="449"/>
      <c r="M268" s="450"/>
      <c r="N268" s="450"/>
      <c r="O268" s="450"/>
      <c r="P268" s="604"/>
      <c r="Q268" s="1860" t="str">
        <f>CHOOSE(2, "6722000003187", "PL (3) SGA Expenses")</f>
        <v>PL (3) SGA Expenses</v>
      </c>
      <c r="R268" s="2123">
        <f>SUM(R269:R271)</f>
        <v>2598.9108360598129</v>
      </c>
      <c r="S268" s="2014">
        <f t="shared" ref="S268:AC268" si="531">SUM(S269:S271)</f>
        <v>2277.5850230155347</v>
      </c>
      <c r="T268" s="2014">
        <f t="shared" si="531"/>
        <v>2653.8869849289322</v>
      </c>
      <c r="U268" s="2014">
        <f t="shared" si="531"/>
        <v>2642.4913994741919</v>
      </c>
      <c r="V268" s="2014">
        <f t="shared" si="531"/>
        <v>2654.6348013777306</v>
      </c>
      <c r="W268" s="2014">
        <f t="shared" si="531"/>
        <v>2761.8275081004808</v>
      </c>
      <c r="X268" s="2014">
        <f t="shared" si="531"/>
        <v>2687.8747639580652</v>
      </c>
      <c r="Y268" s="2014">
        <f t="shared" si="531"/>
        <v>2764.0233053629686</v>
      </c>
      <c r="Z268" s="2014">
        <f t="shared" si="531"/>
        <v>2798.3414142982901</v>
      </c>
      <c r="AA268" s="2014">
        <f t="shared" si="531"/>
        <v>3475.1798832428681</v>
      </c>
      <c r="AB268" s="2014">
        <f t="shared" si="531"/>
        <v>3704.6254925391677</v>
      </c>
      <c r="AC268" s="2014">
        <f t="shared" si="531"/>
        <v>1221.7619243365768</v>
      </c>
      <c r="AD268" s="1527">
        <f t="shared" ref="AD268:AJ268" si="532">SUM(AD269:AD271)</f>
        <v>7530.3828440042798</v>
      </c>
      <c r="AE268" s="455">
        <f t="shared" si="532"/>
        <v>8058.9537089524038</v>
      </c>
      <c r="AF268" s="455">
        <f t="shared" si="532"/>
        <v>8250.2394836193234</v>
      </c>
      <c r="AG268" s="455">
        <f t="shared" si="532"/>
        <v>8401.5673001186133</v>
      </c>
      <c r="AH268" s="455">
        <f t="shared" si="532"/>
        <v>15589.336552956684</v>
      </c>
      <c r="AI268" s="455">
        <f t="shared" si="532"/>
        <v>16651.806783737939</v>
      </c>
      <c r="AJ268" s="455">
        <f t="shared" si="532"/>
        <v>32241.143336694622</v>
      </c>
      <c r="AL268" s="2123">
        <f ca="1">SUM((INDIRECT(AL$2&amp;(ROW())):INDIRECT(AL$3&amp;(ROW()))))</f>
        <v>1221.7619243365768</v>
      </c>
      <c r="AM268" s="455">
        <f ca="1">SUM(INDIRECT(AM$1&amp;AM$2&amp;$C268):INDIRECT(AM$1&amp;AM$3&amp;$C268))</f>
        <v>0</v>
      </c>
      <c r="AN268" s="2520">
        <f t="shared" ca="1" si="478"/>
        <v>1221.7619243365768</v>
      </c>
      <c r="AO268" s="1715">
        <f t="shared" ca="1" si="514"/>
        <v>0</v>
      </c>
      <c r="AP268" s="455">
        <f ca="1">SUM(INDIRECT(AP$1&amp;AP$2&amp;$A268):INDIRECT(AP$1&amp;AP$3&amp;$A268))+SUM(INDIRECT(AP$1&amp;AP$2&amp;$B268):INDIRECT(AP$1&amp;AP$3&amp;$B268))</f>
        <v>1206.2545536721029</v>
      </c>
      <c r="AQ268" s="2520">
        <f t="shared" ca="1" si="480"/>
        <v>15.50737066447391</v>
      </c>
      <c r="AR268" s="1715">
        <f t="shared" ca="1" si="515"/>
        <v>1.0128558027965706</v>
      </c>
      <c r="AT268" s="2123">
        <f ca="1">SUM((INDIRECT(AT$2&amp;(ROW())):INDIRECT(AT$3&amp;(ROW()))))</f>
        <v>8401.5673001186133</v>
      </c>
      <c r="AU268" s="455">
        <f ca="1">SUM(INDIRECT(AU$1&amp;AU$2&amp;$C268):INDIRECT(AU$1&amp;AU$3&amp;$C268))</f>
        <v>0</v>
      </c>
      <c r="AV268" s="2520">
        <f t="shared" ca="1" si="482"/>
        <v>8401.5673001186133</v>
      </c>
      <c r="AW268" s="1715">
        <f t="shared" ca="1" si="516"/>
        <v>0</v>
      </c>
      <c r="AX268" s="455">
        <f ca="1">SUM(INDIRECT(AX$1&amp;AX$2&amp;$A268):INDIRECT(AX$1&amp;AX$3&amp;$A268))+SUM(INDIRECT(AX$1&amp;AX$2&amp;$B268):INDIRECT(AX$1&amp;AX$3&amp;$B268))</f>
        <v>6439.5958489465174</v>
      </c>
      <c r="AY268" s="2520">
        <f t="shared" ca="1" si="484"/>
        <v>1961.9714511720958</v>
      </c>
      <c r="AZ268" s="1715">
        <f t="shared" ca="1" si="517"/>
        <v>1.3046730722228574</v>
      </c>
      <c r="BB268" s="2123">
        <f ca="1">SUM((INDIRECT(BB$2&amp;(ROW())):INDIRECT(BB$3&amp;(ROW()))))</f>
        <v>32241.143336694622</v>
      </c>
      <c r="BC268" s="455">
        <f ca="1">SUM(INDIRECT(BC$1&amp;BC$2&amp;$C268):INDIRECT(BC$1&amp;BC$3&amp;$C268))</f>
        <v>0</v>
      </c>
      <c r="BD268" s="2520">
        <f t="shared" ca="1" si="486"/>
        <v>32241.143336694622</v>
      </c>
      <c r="BE268" s="1715">
        <f t="shared" ca="1" si="518"/>
        <v>0</v>
      </c>
      <c r="BF268" s="455">
        <f ca="1">SUM(INDIRECT(BF$1&amp;BF$2&amp;$A268):INDIRECT(BF$1&amp;BF$3&amp;$A268))+SUM(INDIRECT(BF$1&amp;BF$2&amp;$B268):INDIRECT(BF$1&amp;BF$3&amp;$B268))</f>
        <v>24188.595848946519</v>
      </c>
      <c r="BG268" s="2520">
        <f t="shared" ca="1" si="488"/>
        <v>8052.5474877481029</v>
      </c>
      <c r="BH268" s="1715">
        <f t="shared" ca="1" si="519"/>
        <v>1.3329067771455123</v>
      </c>
    </row>
    <row r="269" spans="1:60" ht="14.5">
      <c r="A269" s="990">
        <f t="shared" si="459"/>
        <v>242</v>
      </c>
      <c r="B269" s="990">
        <v>1</v>
      </c>
      <c r="C269" s="990">
        <f t="shared" si="430"/>
        <v>266</v>
      </c>
      <c r="D269" s="1121" t="s">
        <v>887</v>
      </c>
      <c r="E269" s="1243">
        <v>1</v>
      </c>
      <c r="F269" s="5"/>
      <c r="G269" s="5"/>
      <c r="H269" s="5"/>
      <c r="I269" s="30"/>
      <c r="J269" s="123" t="s">
        <v>199</v>
      </c>
      <c r="K269" s="5"/>
      <c r="L269" s="5"/>
      <c r="M269" s="4"/>
      <c r="N269" s="4"/>
      <c r="O269" s="4"/>
      <c r="P269" s="4"/>
      <c r="Q269" s="1855" t="str">
        <f>CHOOSE(2, "6722000003188", "PL (3) SGA Expenses Variable Expenses")</f>
        <v>PL (3) SGA Expenses Variable Expenses</v>
      </c>
      <c r="R269" s="2032">
        <v>169.92407056187767</v>
      </c>
      <c r="S269" s="2039">
        <v>239.55089132340413</v>
      </c>
      <c r="T269" s="2039">
        <v>185.98715867134592</v>
      </c>
      <c r="U269" s="2039">
        <v>348.9773196471948</v>
      </c>
      <c r="V269" s="2039">
        <v>133.9207567772001</v>
      </c>
      <c r="W269" s="2039">
        <v>470.97790040105588</v>
      </c>
      <c r="X269" s="2039">
        <v>204.33572717881862</v>
      </c>
      <c r="Y269" s="2039">
        <v>489.00176305503419</v>
      </c>
      <c r="Z269" s="2039">
        <v>163.4234496295926</v>
      </c>
      <c r="AA269" s="2039">
        <v>1375.4058572666568</v>
      </c>
      <c r="AB269" s="2039">
        <v>1648.2257486920998</v>
      </c>
      <c r="AC269" s="2039">
        <v>-701.86655152023945</v>
      </c>
      <c r="AD269" s="89">
        <f>SUM(R269,S269,T269)</f>
        <v>595.46212055662772</v>
      </c>
      <c r="AE269" s="89">
        <f t="shared" ref="AE269:AE271" si="533">SUM(U269,V269,W269)</f>
        <v>953.87597682545083</v>
      </c>
      <c r="AF269" s="89">
        <f t="shared" ref="AF269:AF271" si="534">SUM(X269,Y269,Z269)</f>
        <v>856.7609398634454</v>
      </c>
      <c r="AG269" s="89">
        <f t="shared" ref="AG269:AG271" si="535">SUM(AA269,AB269,AC269)</f>
        <v>2321.7650544385169</v>
      </c>
      <c r="AH269" s="89">
        <f>AD269+AE269</f>
        <v>1549.3380973820786</v>
      </c>
      <c r="AI269" s="89">
        <f>AG269+AF269</f>
        <v>3178.5259943019623</v>
      </c>
      <c r="AJ269" s="89">
        <f>AH269+AI269</f>
        <v>4727.8640916840413</v>
      </c>
      <c r="AL269" s="13">
        <f ca="1">SUM((INDIRECT(AL$2&amp;(ROW())):INDIRECT(AL$3&amp;(ROW()))))</f>
        <v>-701.86655152023945</v>
      </c>
      <c r="AM269" s="89">
        <f ca="1">SUM(INDIRECT(AM$1&amp;AM$2&amp;$C269):INDIRECT(AM$1&amp;AM$3&amp;$C269))</f>
        <v>0</v>
      </c>
      <c r="AN269" s="880">
        <f t="shared" ca="1" si="478"/>
        <v>-701.86655152023945</v>
      </c>
      <c r="AO269" s="931">
        <f t="shared" ca="1" si="514"/>
        <v>0</v>
      </c>
      <c r="AP269" s="89">
        <f ca="1">SUM(INDIRECT(AP$1&amp;AP$2&amp;$A269):INDIRECT(AP$1&amp;AP$3&amp;$A269))+SUM(INDIRECT(AP$1&amp;AP$2&amp;$B269):INDIRECT(AP$1&amp;AP$3&amp;$B269))</f>
        <v>-72.388808322818306</v>
      </c>
      <c r="AQ269" s="880">
        <f t="shared" ca="1" si="480"/>
        <v>-629.4777431974212</v>
      </c>
      <c r="AR269" s="931">
        <f t="shared" ca="1" si="515"/>
        <v>9.6957881719817998</v>
      </c>
      <c r="AT269" s="13">
        <f ca="1">SUM((INDIRECT(AT$2&amp;(ROW())):INDIRECT(AT$3&amp;(ROW()))))</f>
        <v>2321.7650544385169</v>
      </c>
      <c r="AU269" s="89">
        <f ca="1">SUM(INDIRECT(AU$1&amp;AU$2&amp;$C269):INDIRECT(AU$1&amp;AU$3&amp;$C269))</f>
        <v>0</v>
      </c>
      <c r="AV269" s="880">
        <f t="shared" ca="1" si="482"/>
        <v>2321.7650544385169</v>
      </c>
      <c r="AW269" s="931">
        <f t="shared" ca="1" si="516"/>
        <v>0</v>
      </c>
      <c r="AX269" s="89">
        <f ca="1">SUM(INDIRECT(AX$1&amp;AX$2&amp;$A269):INDIRECT(AX$1&amp;AX$3&amp;$A269))+SUM(INDIRECT(AX$1&amp;AX$2&amp;$B269):INDIRECT(AX$1&amp;AX$3&amp;$B269))</f>
        <v>27.031675365602339</v>
      </c>
      <c r="AY269" s="880">
        <f t="shared" ca="1" si="484"/>
        <v>2294.7333790729144</v>
      </c>
      <c r="AZ269" s="931">
        <f t="shared" ca="1" si="517"/>
        <v>85.890534827632266</v>
      </c>
      <c r="BB269" s="13">
        <f ca="1">SUM((INDIRECT(BB$2&amp;(ROW())):INDIRECT(BB$3&amp;(ROW()))))</f>
        <v>4727.8640916840413</v>
      </c>
      <c r="BC269" s="89">
        <f ca="1">SUM(INDIRECT(BC$1&amp;BC$2&amp;$C269):INDIRECT(BC$1&amp;BC$3&amp;$C269))</f>
        <v>0</v>
      </c>
      <c r="BD269" s="880">
        <f t="shared" ca="1" si="486"/>
        <v>4727.8640916840413</v>
      </c>
      <c r="BE269" s="931">
        <f t="shared" ca="1" si="518"/>
        <v>0</v>
      </c>
      <c r="BF269" s="89">
        <f ca="1">SUM(INDIRECT(BF$1&amp;BF$2&amp;$A269):INDIRECT(BF$1&amp;BF$3&amp;$A269))+SUM(INDIRECT(BF$1&amp;BF$2&amp;$B269):INDIRECT(BF$1&amp;BF$3&amp;$B269))</f>
        <v>670.03167536560227</v>
      </c>
      <c r="BG269" s="880">
        <f t="shared" ca="1" si="488"/>
        <v>4057.8324163184388</v>
      </c>
      <c r="BH269" s="931">
        <f t="shared" ca="1" si="519"/>
        <v>7.0561799770201699</v>
      </c>
    </row>
    <row r="270" spans="1:60" ht="14.5">
      <c r="A270" s="990">
        <f t="shared" si="459"/>
        <v>243</v>
      </c>
      <c r="B270" s="990">
        <v>1</v>
      </c>
      <c r="C270" s="990">
        <f t="shared" ref="C270:C333" si="536">ROW()-3</f>
        <v>267</v>
      </c>
      <c r="D270" s="1121" t="s">
        <v>887</v>
      </c>
      <c r="E270" s="1243">
        <v>1</v>
      </c>
      <c r="F270" s="5"/>
      <c r="G270" s="5"/>
      <c r="H270" s="5"/>
      <c r="I270" s="30"/>
      <c r="J270" s="40" t="s">
        <v>200</v>
      </c>
      <c r="K270" s="5"/>
      <c r="L270" s="5"/>
      <c r="M270" s="4"/>
      <c r="N270" s="4"/>
      <c r="O270" s="4"/>
      <c r="P270" s="4"/>
      <c r="Q270" s="1855" t="str">
        <f>CHOOSE(2, "6722000003189", "PL (3) SGA Expenses Wages &amp; Salaries")</f>
        <v>PL (3) SGA Expenses Wages &amp; Salaries</v>
      </c>
      <c r="R270" s="2032">
        <v>1965</v>
      </c>
      <c r="S270" s="2039">
        <v>1727.0701752737095</v>
      </c>
      <c r="T270" s="2039">
        <v>1812.0943117414163</v>
      </c>
      <c r="U270" s="2039">
        <v>1705.3713716575785</v>
      </c>
      <c r="V270" s="2039">
        <v>1719.2948784058999</v>
      </c>
      <c r="W270" s="2039">
        <v>1819.5483783134659</v>
      </c>
      <c r="X270" s="2039">
        <v>1668.497553102123</v>
      </c>
      <c r="Y270" s="2039">
        <v>1751.2024207938862</v>
      </c>
      <c r="Z270" s="2039">
        <v>2062.8042584419636</v>
      </c>
      <c r="AA270" s="2039">
        <v>1545.4615870404195</v>
      </c>
      <c r="AB270" s="2039">
        <v>1492.5247886308562</v>
      </c>
      <c r="AC270" s="2039">
        <v>1551.2666141716552</v>
      </c>
      <c r="AD270" s="89">
        <f>SUM(R270,S270,T270)</f>
        <v>5504.1644870151258</v>
      </c>
      <c r="AE270" s="89">
        <f t="shared" si="533"/>
        <v>5244.2146283769443</v>
      </c>
      <c r="AF270" s="89">
        <f t="shared" si="534"/>
        <v>5482.504232337973</v>
      </c>
      <c r="AG270" s="89">
        <f t="shared" si="535"/>
        <v>4589.2529898429311</v>
      </c>
      <c r="AH270" s="89">
        <f>AD270+AE270</f>
        <v>10748.37911539207</v>
      </c>
      <c r="AI270" s="89">
        <f>AG270+AF270</f>
        <v>10071.757222180904</v>
      </c>
      <c r="AJ270" s="89">
        <f>AH270+AI270</f>
        <v>20820.136337572974</v>
      </c>
      <c r="AL270" s="13">
        <f ca="1">SUM((INDIRECT(AL$2&amp;(ROW())):INDIRECT(AL$3&amp;(ROW()))))</f>
        <v>1551.2666141716552</v>
      </c>
      <c r="AM270" s="89">
        <f ca="1">SUM(INDIRECT(AM$1&amp;AM$2&amp;$C270):INDIRECT(AM$1&amp;AM$3&amp;$C270))</f>
        <v>0</v>
      </c>
      <c r="AN270" s="880">
        <f t="shared" ca="1" si="478"/>
        <v>1551.2666141716552</v>
      </c>
      <c r="AO270" s="931">
        <f t="shared" ca="1" si="514"/>
        <v>0</v>
      </c>
      <c r="AP270" s="89">
        <f ca="1">SUM(INDIRECT(AP$1&amp;AP$2&amp;$A270):INDIRECT(AP$1&amp;AP$3&amp;$A270))+SUM(INDIRECT(AP$1&amp;AP$2&amp;$B270):INDIRECT(AP$1&amp;AP$3&amp;$B270))</f>
        <v>1550.6433619949212</v>
      </c>
      <c r="AQ270" s="880">
        <f t="shared" ca="1" si="480"/>
        <v>0.62325217673401312</v>
      </c>
      <c r="AR270" s="931">
        <f t="shared" ca="1" si="515"/>
        <v>1.0004019313479873</v>
      </c>
      <c r="AT270" s="13">
        <f ca="1">SUM((INDIRECT(AT$2&amp;(ROW())):INDIRECT(AT$3&amp;(ROW()))))</f>
        <v>4589.2529898429311</v>
      </c>
      <c r="AU270" s="89">
        <f ca="1">SUM(INDIRECT(AU$1&amp;AU$2&amp;$C270):INDIRECT(AU$1&amp;AU$3&amp;$C270))</f>
        <v>0</v>
      </c>
      <c r="AV270" s="880">
        <f t="shared" ca="1" si="482"/>
        <v>4589.2529898429311</v>
      </c>
      <c r="AW270" s="931">
        <f t="shared" ca="1" si="516"/>
        <v>0</v>
      </c>
      <c r="AX270" s="89">
        <f ca="1">SUM(INDIRECT(AX$1&amp;AX$2&amp;$A270):INDIRECT(AX$1&amp;AX$3&amp;$A270))+SUM(INDIRECT(AX$1&amp;AX$2&amp;$B270):INDIRECT(AX$1&amp;AX$3&amp;$B270))</f>
        <v>5880.4285695843855</v>
      </c>
      <c r="AY270" s="880">
        <f t="shared" ca="1" si="484"/>
        <v>-1291.1755797414544</v>
      </c>
      <c r="AZ270" s="931">
        <f t="shared" ca="1" si="517"/>
        <v>0.78042832006839402</v>
      </c>
      <c r="BB270" s="13">
        <f ca="1">SUM((INDIRECT(BB$2&amp;(ROW())):INDIRECT(BB$3&amp;(ROW()))))</f>
        <v>20820.136337572974</v>
      </c>
      <c r="BC270" s="89">
        <f ca="1">SUM(INDIRECT(BC$1&amp;BC$2&amp;$C270):INDIRECT(BC$1&amp;BC$3&amp;$C270))</f>
        <v>0</v>
      </c>
      <c r="BD270" s="880">
        <f t="shared" ca="1" si="486"/>
        <v>20820.136337572974</v>
      </c>
      <c r="BE270" s="931">
        <f t="shared" ca="1" si="518"/>
        <v>0</v>
      </c>
      <c r="BF270" s="89">
        <f ca="1">SUM(INDIRECT(BF$1&amp;BF$2&amp;$A270):INDIRECT(BF$1&amp;BF$3&amp;$A270))+SUM(INDIRECT(BF$1&amp;BF$2&amp;$B270):INDIRECT(BF$1&amp;BF$3&amp;$B270))</f>
        <v>21343.428569584383</v>
      </c>
      <c r="BG270" s="880">
        <f t="shared" ca="1" si="488"/>
        <v>-523.29223201140849</v>
      </c>
      <c r="BH270" s="931">
        <f t="shared" ca="1" si="519"/>
        <v>0.97548227875829052</v>
      </c>
    </row>
    <row r="271" spans="1:60" ht="14.5">
      <c r="A271" s="990">
        <f t="shared" si="459"/>
        <v>244</v>
      </c>
      <c r="B271" s="990">
        <v>1</v>
      </c>
      <c r="C271" s="990">
        <f t="shared" si="536"/>
        <v>268</v>
      </c>
      <c r="D271" s="1121" t="s">
        <v>887</v>
      </c>
      <c r="E271" s="1243">
        <v>1</v>
      </c>
      <c r="F271" s="5"/>
      <c r="G271" s="5"/>
      <c r="H271" s="5"/>
      <c r="I271" s="30"/>
      <c r="J271" s="40" t="s">
        <v>201</v>
      </c>
      <c r="K271" s="5"/>
      <c r="L271" s="5"/>
      <c r="M271" s="4"/>
      <c r="N271" s="4"/>
      <c r="O271" s="4"/>
      <c r="P271" s="4"/>
      <c r="Q271" s="1855" t="str">
        <f>CHOOSE(2, "6722000003190", "PL (3) SGA Expenses Fixed Expenses")</f>
        <v>PL (3) SGA Expenses Fixed Expenses</v>
      </c>
      <c r="R271" s="2032">
        <v>463.98676549793532</v>
      </c>
      <c r="S271" s="2039">
        <v>310.96395641842105</v>
      </c>
      <c r="T271" s="2039">
        <v>655.80551451616975</v>
      </c>
      <c r="U271" s="2039">
        <v>588.14270816941882</v>
      </c>
      <c r="V271" s="2039">
        <v>801.41916619463086</v>
      </c>
      <c r="W271" s="2039">
        <v>471.30122938595883</v>
      </c>
      <c r="X271" s="2039">
        <v>815.04148367712367</v>
      </c>
      <c r="Y271" s="2039">
        <v>523.81912151404833</v>
      </c>
      <c r="Z271" s="2039">
        <v>572.11370622673394</v>
      </c>
      <c r="AA271" s="2039">
        <v>554.31243893579187</v>
      </c>
      <c r="AB271" s="2039">
        <v>563.87495521621145</v>
      </c>
      <c r="AC271" s="2039">
        <v>372.36186168516116</v>
      </c>
      <c r="AD271" s="89">
        <f>SUM(R271,S271,T271)</f>
        <v>1430.7562364325261</v>
      </c>
      <c r="AE271" s="89">
        <f t="shared" si="533"/>
        <v>1860.8631037500086</v>
      </c>
      <c r="AF271" s="89">
        <f t="shared" si="534"/>
        <v>1910.9743114179059</v>
      </c>
      <c r="AG271" s="89">
        <f t="shared" si="535"/>
        <v>1490.5492558371645</v>
      </c>
      <c r="AH271" s="89">
        <f>AD271+AE271</f>
        <v>3291.6193401825349</v>
      </c>
      <c r="AI271" s="89">
        <f>AG271+AF271</f>
        <v>3401.5235672550707</v>
      </c>
      <c r="AJ271" s="89">
        <f>AH271+AI271</f>
        <v>6693.1429074376056</v>
      </c>
      <c r="AL271" s="13">
        <f ca="1">SUM((INDIRECT(AL$2&amp;(ROW())):INDIRECT(AL$3&amp;(ROW()))))</f>
        <v>372.36186168516116</v>
      </c>
      <c r="AM271" s="89">
        <f ca="1">SUM(INDIRECT(AM$1&amp;AM$2&amp;$C271):INDIRECT(AM$1&amp;AM$3&amp;$C271))</f>
        <v>0</v>
      </c>
      <c r="AN271" s="880">
        <f t="shared" ca="1" si="478"/>
        <v>372.36186168516116</v>
      </c>
      <c r="AO271" s="931">
        <f t="shared" ca="1" si="514"/>
        <v>0</v>
      </c>
      <c r="AP271" s="89">
        <f ca="1">SUM(INDIRECT(AP$1&amp;AP$2&amp;$A271):INDIRECT(AP$1&amp;AP$3&amp;$A271))+SUM(INDIRECT(AP$1&amp;AP$2&amp;$B271):INDIRECT(AP$1&amp;AP$3&amp;$B271))</f>
        <v>-272</v>
      </c>
      <c r="AQ271" s="880">
        <f t="shared" ca="1" si="480"/>
        <v>644.3618616851611</v>
      </c>
      <c r="AR271" s="931">
        <f t="shared" ca="1" si="515"/>
        <v>-1.3689774326660338</v>
      </c>
      <c r="AT271" s="13">
        <f ca="1">SUM((INDIRECT(AT$2&amp;(ROW())):INDIRECT(AT$3&amp;(ROW()))))</f>
        <v>1490.5492558371645</v>
      </c>
      <c r="AU271" s="89">
        <f ca="1">SUM(INDIRECT(AU$1&amp;AU$2&amp;$C271):INDIRECT(AU$1&amp;AU$3&amp;$C271))</f>
        <v>0</v>
      </c>
      <c r="AV271" s="880">
        <f t="shared" ca="1" si="482"/>
        <v>1490.5492558371645</v>
      </c>
      <c r="AW271" s="931">
        <f t="shared" ca="1" si="516"/>
        <v>0</v>
      </c>
      <c r="AX271" s="89">
        <f ca="1">SUM(INDIRECT(AX$1&amp;AX$2&amp;$A271):INDIRECT(AX$1&amp;AX$3&amp;$A271))+SUM(INDIRECT(AX$1&amp;AX$2&amp;$B271):INDIRECT(AX$1&amp;AX$3&amp;$B271))</f>
        <v>532.13560399653045</v>
      </c>
      <c r="AY271" s="880">
        <f t="shared" ca="1" si="484"/>
        <v>958.41365184063409</v>
      </c>
      <c r="AZ271" s="931">
        <f t="shared" ca="1" si="517"/>
        <v>2.801070337415128</v>
      </c>
      <c r="BB271" s="13">
        <f ca="1">SUM((INDIRECT(BB$2&amp;(ROW())):INDIRECT(BB$3&amp;(ROW()))))</f>
        <v>6693.1429074376047</v>
      </c>
      <c r="BC271" s="89">
        <f ca="1">SUM(INDIRECT(BC$1&amp;BC$2&amp;$C271):INDIRECT(BC$1&amp;BC$3&amp;$C271))</f>
        <v>0</v>
      </c>
      <c r="BD271" s="880">
        <f t="shared" ca="1" si="486"/>
        <v>6693.1429074376047</v>
      </c>
      <c r="BE271" s="931">
        <f t="shared" ca="1" si="518"/>
        <v>0</v>
      </c>
      <c r="BF271" s="89">
        <f ca="1">SUM(INDIRECT(BF$1&amp;BF$2&amp;$A271):INDIRECT(BF$1&amp;BF$3&amp;$A271))+SUM(INDIRECT(BF$1&amp;BF$2&amp;$B271):INDIRECT(BF$1&amp;BF$3&amp;$B271))</f>
        <v>2175.1356039965303</v>
      </c>
      <c r="BG271" s="880">
        <f t="shared" ca="1" si="488"/>
        <v>4518.0073034410743</v>
      </c>
      <c r="BH271" s="931">
        <f t="shared" ca="1" si="519"/>
        <v>3.0771152360063532</v>
      </c>
    </row>
    <row r="272" spans="1:60" ht="14.5">
      <c r="A272" s="990">
        <f t="shared" si="459"/>
        <v>245</v>
      </c>
      <c r="B272" s="990">
        <v>1</v>
      </c>
      <c r="C272" s="990">
        <f t="shared" si="536"/>
        <v>269</v>
      </c>
      <c r="D272" s="1121" t="s">
        <v>887</v>
      </c>
      <c r="E272" s="1243">
        <v>1</v>
      </c>
      <c r="F272" s="5"/>
      <c r="G272" s="5"/>
      <c r="H272" s="5"/>
      <c r="I272" s="458" t="s">
        <v>136</v>
      </c>
      <c r="J272" s="450"/>
      <c r="K272" s="449"/>
      <c r="L272" s="449"/>
      <c r="M272" s="449"/>
      <c r="N272" s="449"/>
      <c r="O272" s="449"/>
      <c r="P272" s="788"/>
      <c r="Q272" s="1860" t="str">
        <f>CHOOSE(2, "6722000003191", "PL (3) Business Contribution Profit")</f>
        <v>PL (3) Business Contribution Profit</v>
      </c>
      <c r="R272" s="2123">
        <f t="shared" ref="R272:AC272" si="537">R238-R268</f>
        <v>-1543.9108360598129</v>
      </c>
      <c r="S272" s="2014">
        <f t="shared" si="537"/>
        <v>-5049.5850230155347</v>
      </c>
      <c r="T272" s="2014">
        <f t="shared" si="537"/>
        <v>6100.1130150710678</v>
      </c>
      <c r="U272" s="2014">
        <f t="shared" si="537"/>
        <v>-948.49139947419189</v>
      </c>
      <c r="V272" s="2014">
        <f t="shared" si="537"/>
        <v>905.52490041785268</v>
      </c>
      <c r="W272" s="2014">
        <f t="shared" si="537"/>
        <v>-497.43049662379735</v>
      </c>
      <c r="X272" s="2014">
        <f t="shared" si="537"/>
        <v>197.12523604193484</v>
      </c>
      <c r="Y272" s="2014">
        <f t="shared" si="537"/>
        <v>-272.02330536296859</v>
      </c>
      <c r="Z272" s="2014">
        <f t="shared" si="537"/>
        <v>-11626.341414298291</v>
      </c>
      <c r="AA272" s="2014">
        <f t="shared" si="537"/>
        <v>3044.8201167571319</v>
      </c>
      <c r="AB272" s="2014">
        <f t="shared" si="537"/>
        <v>-3068.5862325391677</v>
      </c>
      <c r="AC272" s="2014">
        <f t="shared" si="537"/>
        <v>6264.2380756634229</v>
      </c>
      <c r="AD272" s="1527">
        <f t="shared" ref="AD272:AJ272" si="538">AD238-AD268</f>
        <v>-493.38284400427983</v>
      </c>
      <c r="AE272" s="455">
        <f t="shared" si="538"/>
        <v>-540.39699568013748</v>
      </c>
      <c r="AF272" s="455">
        <f t="shared" si="538"/>
        <v>-11701.239483619323</v>
      </c>
      <c r="AG272" s="455">
        <f t="shared" si="538"/>
        <v>6240.4719598813863</v>
      </c>
      <c r="AH272" s="455">
        <f t="shared" si="538"/>
        <v>-1033.7798396844173</v>
      </c>
      <c r="AI272" s="455">
        <f t="shared" si="538"/>
        <v>-5460.767523737939</v>
      </c>
      <c r="AJ272" s="455">
        <f t="shared" si="538"/>
        <v>-6494.5473634223563</v>
      </c>
      <c r="AL272" s="2123">
        <f ca="1">SUM((INDIRECT(AL$2&amp;(ROW())):INDIRECT(AL$3&amp;(ROW()))))</f>
        <v>6264.2380756634229</v>
      </c>
      <c r="AM272" s="455">
        <f ca="1">SUM(INDIRECT(AM$1&amp;AM$2&amp;$C272):INDIRECT(AM$1&amp;AM$3&amp;$C272))</f>
        <v>0</v>
      </c>
      <c r="AN272" s="2520">
        <f t="shared" ref="AN272:AN287" ca="1" si="539">AL272-AM272</f>
        <v>6264.2380756634229</v>
      </c>
      <c r="AO272" s="1715">
        <f t="shared" ca="1" si="514"/>
        <v>0</v>
      </c>
      <c r="AP272" s="455">
        <f ca="1">SUM(INDIRECT(AP$1&amp;AP$2&amp;$A272):INDIRECT(AP$1&amp;AP$3&amp;$A272))+SUM(INDIRECT(AP$1&amp;AP$2&amp;$B272):INDIRECT(AP$1&amp;AP$3&amp;$B272))</f>
        <v>597.74544632789707</v>
      </c>
      <c r="AQ272" s="2520">
        <f t="shared" ref="AQ272:AQ283" ca="1" si="540">AL272-AP272</f>
        <v>5666.4926293355256</v>
      </c>
      <c r="AR272" s="1715">
        <f t="shared" ca="1" si="515"/>
        <v>10.47977548661598</v>
      </c>
      <c r="AT272" s="2123">
        <f ca="1">SUM((INDIRECT(AT$2&amp;(ROW())):INDIRECT(AT$3&amp;(ROW()))))</f>
        <v>6240.4719598813872</v>
      </c>
      <c r="AU272" s="455">
        <f ca="1">SUM(INDIRECT(AU$1&amp;AU$2&amp;$C272):INDIRECT(AU$1&amp;AU$3&amp;$C272))</f>
        <v>0</v>
      </c>
      <c r="AV272" s="2520">
        <f t="shared" ref="AV272:AV287" ca="1" si="541">AT272-AU272</f>
        <v>6240.4719598813872</v>
      </c>
      <c r="AW272" s="1715">
        <f t="shared" ca="1" si="516"/>
        <v>0</v>
      </c>
      <c r="AX272" s="455">
        <f ca="1">SUM(INDIRECT(AX$1&amp;AX$2&amp;$A272):INDIRECT(AX$1&amp;AX$3&amp;$A272))+SUM(INDIRECT(AX$1&amp;AX$2&amp;$B272):INDIRECT(AX$1&amp;AX$3&amp;$B272))</f>
        <v>20250.404151053481</v>
      </c>
      <c r="AY272" s="2520">
        <f t="shared" ref="AY272:AY283" ca="1" si="542">AT272-AX272</f>
        <v>-14009.932191172094</v>
      </c>
      <c r="AZ272" s="1715">
        <f t="shared" ca="1" si="517"/>
        <v>0.30816530442217083</v>
      </c>
      <c r="BB272" s="2123">
        <f ca="1">SUM((INDIRECT(BB$2&amp;(ROW())):INDIRECT(BB$3&amp;(ROW()))))</f>
        <v>-6494.5473634223545</v>
      </c>
      <c r="BC272" s="455">
        <f ca="1">SUM(INDIRECT(BC$1&amp;BC$2&amp;$C272):INDIRECT(BC$1&amp;BC$3&amp;$C272))</f>
        <v>0</v>
      </c>
      <c r="BD272" s="2520">
        <f t="shared" ref="BD272:BD287" ca="1" si="543">BB272-BC272</f>
        <v>-6494.5473634223545</v>
      </c>
      <c r="BE272" s="1715">
        <f t="shared" ca="1" si="518"/>
        <v>0</v>
      </c>
      <c r="BF272" s="455">
        <f ca="1">SUM(INDIRECT(BF$1&amp;BF$2&amp;$A272):INDIRECT(BF$1&amp;BF$3&amp;$A272))+SUM(INDIRECT(BF$1&amp;BF$2&amp;$B272):INDIRECT(BF$1&amp;BF$3&amp;$B272))</f>
        <v>9654.4041510534826</v>
      </c>
      <c r="BG272" s="2520">
        <f t="shared" ref="BG272:BG283" ca="1" si="544">BB272-BF272</f>
        <v>-16148.951514475837</v>
      </c>
      <c r="BH272" s="1715">
        <f t="shared" ca="1" si="519"/>
        <v>-0.67270307538489293</v>
      </c>
    </row>
    <row r="273" spans="1:60" ht="14.5">
      <c r="A273" s="990">
        <f t="shared" si="459"/>
        <v>246</v>
      </c>
      <c r="B273" s="990">
        <v>1</v>
      </c>
      <c r="C273" s="990">
        <f t="shared" si="536"/>
        <v>270</v>
      </c>
      <c r="D273" s="1121" t="s">
        <v>887</v>
      </c>
      <c r="E273" s="1243">
        <v>1</v>
      </c>
      <c r="F273" s="5"/>
      <c r="G273" s="5"/>
      <c r="H273" s="5"/>
      <c r="I273" s="28"/>
      <c r="J273" s="629" t="s">
        <v>135</v>
      </c>
      <c r="K273" s="3"/>
      <c r="L273" s="3"/>
      <c r="M273" s="2"/>
      <c r="N273" s="2"/>
      <c r="O273" s="2"/>
      <c r="P273" s="2"/>
      <c r="Q273" s="1857" t="str">
        <f>CHOOSE(2, "6722000003192", "PL (3) Business Contribution Profit (%)")</f>
        <v>PL (3) Business Contribution Profit (%)</v>
      </c>
      <c r="R273" s="2138">
        <f t="shared" ref="R273:AC273" si="545">IFERROR(R272/R208,0)</f>
        <v>-0.10085646956230813</v>
      </c>
      <c r="S273" s="866">
        <f t="shared" si="545"/>
        <v>-0.84229942001927183</v>
      </c>
      <c r="T273" s="866">
        <f t="shared" si="545"/>
        <v>0.23765439516405906</v>
      </c>
      <c r="U273" s="866">
        <f t="shared" si="545"/>
        <v>-0.12717771513464626</v>
      </c>
      <c r="V273" s="866">
        <f t="shared" si="545"/>
        <v>5.1898049496130097E-2</v>
      </c>
      <c r="W273" s="866">
        <f t="shared" si="545"/>
        <v>-2.6095399046469278E-2</v>
      </c>
      <c r="X273" s="866">
        <f t="shared" si="545"/>
        <v>2.6776044015476071E-2</v>
      </c>
      <c r="Y273" s="866">
        <f t="shared" si="545"/>
        <v>-1.5979751240261329E-2</v>
      </c>
      <c r="Z273" s="866">
        <f t="shared" si="545"/>
        <v>-1.5328070420960174</v>
      </c>
      <c r="AA273" s="866">
        <f t="shared" si="545"/>
        <v>0.11643671574597063</v>
      </c>
      <c r="AB273" s="866">
        <f t="shared" si="545"/>
        <v>-0.35750841318715965</v>
      </c>
      <c r="AC273" s="866">
        <f t="shared" si="545"/>
        <v>0.24329972717844497</v>
      </c>
      <c r="AD273" s="866">
        <f t="shared" ref="AD273:AJ273" si="546">IFERROR(AD272/AD208,0)</f>
        <v>-1.0503988503635858E-2</v>
      </c>
      <c r="AE273" s="866">
        <f t="shared" si="546"/>
        <v>-1.2290646933536764E-2</v>
      </c>
      <c r="AF273" s="866">
        <f t="shared" si="546"/>
        <v>-0.36600686529932197</v>
      </c>
      <c r="AG273" s="866">
        <f t="shared" si="546"/>
        <v>0.1031819699949912</v>
      </c>
      <c r="AH273" s="866">
        <f t="shared" si="546"/>
        <v>-1.1367819592026502E-2</v>
      </c>
      <c r="AI273" s="866">
        <f t="shared" si="546"/>
        <v>-5.9067089265149676E-2</v>
      </c>
      <c r="AJ273" s="866">
        <f t="shared" si="546"/>
        <v>-3.5413972597939103E-2</v>
      </c>
      <c r="AK273" s="619"/>
      <c r="AL273" s="2138">
        <f ca="1">IFERROR(AL272/AL208,0)</f>
        <v>0.24329972717844497</v>
      </c>
      <c r="AM273" s="866">
        <f ca="1">IFERROR(AM272/AM208,0)</f>
        <v>0</v>
      </c>
      <c r="AN273" s="866">
        <f t="shared" ca="1" si="539"/>
        <v>0.24329972717844497</v>
      </c>
      <c r="AO273" s="939"/>
      <c r="AP273" s="866">
        <f ca="1">IFERROR(AP272/AP208,0)</f>
        <v>3.4237095270513607E-2</v>
      </c>
      <c r="AQ273" s="866">
        <f t="shared" ca="1" si="540"/>
        <v>0.20906263190793137</v>
      </c>
      <c r="AR273" s="939"/>
      <c r="AS273" s="619"/>
      <c r="AT273" s="2138">
        <f ca="1">IFERROR(AT272/AT208,0)</f>
        <v>0.10318196999499121</v>
      </c>
      <c r="AU273" s="866">
        <f ca="1">IFERROR(AU272/AU208,0)</f>
        <v>0</v>
      </c>
      <c r="AV273" s="866">
        <f t="shared" ca="1" si="541"/>
        <v>0.10318196999499121</v>
      </c>
      <c r="AW273" s="939"/>
      <c r="AX273" s="866">
        <f ca="1">IFERROR(AX272/AX208,0)</f>
        <v>0.22102119743133178</v>
      </c>
      <c r="AY273" s="866">
        <f t="shared" ca="1" si="542"/>
        <v>-0.11783922743634057</v>
      </c>
      <c r="AZ273" s="939"/>
      <c r="BA273" s="619"/>
      <c r="BB273" s="2138">
        <f ca="1">IFERROR(BB272/BB208,0)</f>
        <v>-3.5413972597939096E-2</v>
      </c>
      <c r="BC273" s="866">
        <f ca="1">IFERROR(BC272/BC208,0)</f>
        <v>0</v>
      </c>
      <c r="BD273" s="866">
        <f t="shared" ca="1" si="543"/>
        <v>-3.5413972597939096E-2</v>
      </c>
      <c r="BE273" s="939"/>
      <c r="BF273" s="866">
        <f ca="1">IFERROR(BF272/BF208,0)</f>
        <v>4.0217802531330511E-2</v>
      </c>
      <c r="BG273" s="866">
        <f t="shared" ca="1" si="544"/>
        <v>-7.5631775129269607E-2</v>
      </c>
      <c r="BH273" s="939"/>
    </row>
    <row r="274" spans="1:60" ht="14.5">
      <c r="A274" s="990">
        <f t="shared" si="459"/>
        <v>247</v>
      </c>
      <c r="B274" s="990">
        <v>1</v>
      </c>
      <c r="C274" s="990">
        <f t="shared" si="536"/>
        <v>271</v>
      </c>
      <c r="D274" s="1121" t="s">
        <v>887</v>
      </c>
      <c r="E274" s="1243">
        <v>1</v>
      </c>
      <c r="F274" s="5"/>
      <c r="G274" s="5"/>
      <c r="H274" s="5"/>
      <c r="I274" s="258" t="s">
        <v>202</v>
      </c>
      <c r="J274" s="418"/>
      <c r="K274" s="419"/>
      <c r="L274" s="419"/>
      <c r="M274" s="418"/>
      <c r="N274" s="418"/>
      <c r="O274" s="418"/>
      <c r="P274" s="555"/>
      <c r="Q274" s="1855" t="str">
        <f>CHOOSE(2, "6722000003193", "PL (3) Other Income")</f>
        <v>PL (3) Other Income</v>
      </c>
      <c r="R274" s="2212">
        <v>0</v>
      </c>
      <c r="S274" s="2015">
        <v>0</v>
      </c>
      <c r="T274" s="2015">
        <v>0</v>
      </c>
      <c r="U274" s="2015">
        <v>0</v>
      </c>
      <c r="V274" s="2015">
        <v>0</v>
      </c>
      <c r="W274" s="2015">
        <v>0</v>
      </c>
      <c r="X274" s="2015">
        <v>0</v>
      </c>
      <c r="Y274" s="2015">
        <v>0</v>
      </c>
      <c r="Z274" s="2015">
        <v>0</v>
      </c>
      <c r="AA274" s="2015">
        <v>0</v>
      </c>
      <c r="AB274" s="2015">
        <v>0</v>
      </c>
      <c r="AC274" s="2015">
        <v>0</v>
      </c>
      <c r="AD274" s="1521">
        <f>SUM(R274,S274,T274)</f>
        <v>0</v>
      </c>
      <c r="AE274" s="122">
        <f t="shared" ref="AE274:AE275" si="547">SUM(U274,V274,W274)</f>
        <v>0</v>
      </c>
      <c r="AF274" s="122">
        <f t="shared" ref="AF274:AF275" si="548">SUM(X274,Y274,Z274)</f>
        <v>0</v>
      </c>
      <c r="AG274" s="122">
        <f t="shared" ref="AG274:AG275" si="549">SUM(AA274,AB274,AC274)</f>
        <v>0</v>
      </c>
      <c r="AH274" s="122">
        <f>AD274+AE274</f>
        <v>0</v>
      </c>
      <c r="AI274" s="122">
        <f>AG274+AF274</f>
        <v>0</v>
      </c>
      <c r="AJ274" s="122">
        <f>AH274+AI274</f>
        <v>0</v>
      </c>
      <c r="AL274" s="2120">
        <f ca="1">SUM((INDIRECT(AL$2&amp;(ROW())):INDIRECT(AL$3&amp;(ROW()))))</f>
        <v>0</v>
      </c>
      <c r="AM274" s="122">
        <f ca="1">SUM(INDIRECT(AM$1&amp;AM$2&amp;$C274):INDIRECT(AM$1&amp;AM$3&amp;$C274))</f>
        <v>0</v>
      </c>
      <c r="AN274" s="2504">
        <f t="shared" ca="1" si="539"/>
        <v>0</v>
      </c>
      <c r="AO274" s="1712">
        <f ca="1">IFERROR(AL274/AM274,0)</f>
        <v>0</v>
      </c>
      <c r="AP274" s="122">
        <f ca="1">SUM(INDIRECT(AP$1&amp;AP$2&amp;$A274):INDIRECT(AP$1&amp;AP$3&amp;$A274))+SUM(INDIRECT(AP$1&amp;AP$2&amp;$B274):INDIRECT(AP$1&amp;AP$3&amp;$B274))</f>
        <v>0</v>
      </c>
      <c r="AQ274" s="2504">
        <f t="shared" ca="1" si="540"/>
        <v>0</v>
      </c>
      <c r="AR274" s="1712">
        <f ca="1">IFERROR(AL274/AP274,0)</f>
        <v>0</v>
      </c>
      <c r="AT274" s="2120">
        <f ca="1">SUM((INDIRECT(AT$2&amp;(ROW())):INDIRECT(AT$3&amp;(ROW()))))</f>
        <v>0</v>
      </c>
      <c r="AU274" s="122">
        <f ca="1">SUM(INDIRECT(AU$1&amp;AU$2&amp;$C274):INDIRECT(AU$1&amp;AU$3&amp;$C274))</f>
        <v>0</v>
      </c>
      <c r="AV274" s="2504">
        <f t="shared" ca="1" si="541"/>
        <v>0</v>
      </c>
      <c r="AW274" s="1712">
        <f ca="1">IFERROR(AT274/AU274,0)</f>
        <v>0</v>
      </c>
      <c r="AX274" s="122">
        <f ca="1">SUM(INDIRECT(AX$1&amp;AX$2&amp;$A274):INDIRECT(AX$1&amp;AX$3&amp;$A274))+SUM(INDIRECT(AX$1&amp;AX$2&amp;$B274):INDIRECT(AX$1&amp;AX$3&amp;$B274))</f>
        <v>0</v>
      </c>
      <c r="AY274" s="2504">
        <f t="shared" ca="1" si="542"/>
        <v>0</v>
      </c>
      <c r="AZ274" s="1712">
        <f ca="1">IFERROR(AT274/AX274,0)</f>
        <v>0</v>
      </c>
      <c r="BB274" s="2120">
        <f ca="1">SUM((INDIRECT(BB$2&amp;(ROW())):INDIRECT(BB$3&amp;(ROW()))))</f>
        <v>0</v>
      </c>
      <c r="BC274" s="122">
        <f ca="1">SUM(INDIRECT(BC$1&amp;BC$2&amp;$C274):INDIRECT(BC$1&amp;BC$3&amp;$C274))</f>
        <v>0</v>
      </c>
      <c r="BD274" s="2504">
        <f t="shared" ca="1" si="543"/>
        <v>0</v>
      </c>
      <c r="BE274" s="1712">
        <f ca="1">IFERROR(BB274/BC274,0)</f>
        <v>0</v>
      </c>
      <c r="BF274" s="122">
        <f ca="1">SUM(INDIRECT(BF$1&amp;BF$2&amp;$A274):INDIRECT(BF$1&amp;BF$3&amp;$A274))+SUM(INDIRECT(BF$1&amp;BF$2&amp;$B274):INDIRECT(BF$1&amp;BF$3&amp;$B274))</f>
        <v>0</v>
      </c>
      <c r="BG274" s="2504">
        <f t="shared" ca="1" si="544"/>
        <v>0</v>
      </c>
      <c r="BH274" s="1712">
        <f ca="1">IFERROR(BB274/BF274,0)</f>
        <v>0</v>
      </c>
    </row>
    <row r="275" spans="1:60" ht="14.5">
      <c r="A275" s="990">
        <f t="shared" si="459"/>
        <v>248</v>
      </c>
      <c r="B275" s="990">
        <v>1</v>
      </c>
      <c r="C275" s="990">
        <f t="shared" si="536"/>
        <v>272</v>
      </c>
      <c r="D275" s="1121" t="s">
        <v>887</v>
      </c>
      <c r="E275" s="1243">
        <v>1</v>
      </c>
      <c r="F275" s="5"/>
      <c r="G275" s="5"/>
      <c r="H275" s="5"/>
      <c r="I275" s="121" t="s">
        <v>203</v>
      </c>
      <c r="J275" s="119"/>
      <c r="K275" s="120"/>
      <c r="L275" s="120"/>
      <c r="M275" s="119"/>
      <c r="N275" s="119"/>
      <c r="O275" s="119"/>
      <c r="P275" s="119"/>
      <c r="Q275" s="1855" t="str">
        <f>CHOOSE(2, "6722000003194", "PL (3) Other Expenses")</f>
        <v>PL (3) Other Expenses</v>
      </c>
      <c r="R275" s="2031">
        <v>0</v>
      </c>
      <c r="S275" s="2035">
        <v>0</v>
      </c>
      <c r="T275" s="2035">
        <v>0</v>
      </c>
      <c r="U275" s="2035">
        <v>0</v>
      </c>
      <c r="V275" s="2035">
        <v>0</v>
      </c>
      <c r="W275" s="2035">
        <v>0</v>
      </c>
      <c r="X275" s="2035">
        <v>0</v>
      </c>
      <c r="Y275" s="2035">
        <v>0</v>
      </c>
      <c r="Z275" s="2035">
        <v>0</v>
      </c>
      <c r="AA275" s="2035">
        <v>0</v>
      </c>
      <c r="AB275" s="2035">
        <v>0</v>
      </c>
      <c r="AC275" s="2035">
        <v>0</v>
      </c>
      <c r="AD275" s="92">
        <f>SUM(R275,S275,T275)</f>
        <v>0</v>
      </c>
      <c r="AE275" s="92">
        <f t="shared" si="547"/>
        <v>0</v>
      </c>
      <c r="AF275" s="92">
        <f t="shared" si="548"/>
        <v>0</v>
      </c>
      <c r="AG275" s="92">
        <f t="shared" si="549"/>
        <v>0</v>
      </c>
      <c r="AH275" s="92">
        <f>AD275+AE275</f>
        <v>0</v>
      </c>
      <c r="AI275" s="92">
        <f>AG275+AF275</f>
        <v>0</v>
      </c>
      <c r="AJ275" s="92">
        <f>AH275+AI275</f>
        <v>0</v>
      </c>
      <c r="AL275" s="66">
        <f ca="1">SUM((INDIRECT(AL$2&amp;(ROW())):INDIRECT(AL$3&amp;(ROW()))))</f>
        <v>0</v>
      </c>
      <c r="AM275" s="92">
        <f ca="1">SUM(INDIRECT(AM$1&amp;AM$2&amp;$C275):INDIRECT(AM$1&amp;AM$3&amp;$C275))</f>
        <v>0</v>
      </c>
      <c r="AN275" s="884">
        <f t="shared" ca="1" si="539"/>
        <v>0</v>
      </c>
      <c r="AO275" s="937">
        <f ca="1">IFERROR(AL275/AM275,0)</f>
        <v>0</v>
      </c>
      <c r="AP275" s="92">
        <f ca="1">SUM(INDIRECT(AP$1&amp;AP$2&amp;$A275):INDIRECT(AP$1&amp;AP$3&amp;$A275))+SUM(INDIRECT(AP$1&amp;AP$2&amp;$B275):INDIRECT(AP$1&amp;AP$3&amp;$B275))</f>
        <v>0</v>
      </c>
      <c r="AQ275" s="884">
        <f t="shared" ca="1" si="540"/>
        <v>0</v>
      </c>
      <c r="AR275" s="937">
        <f ca="1">IFERROR(AL275/AP275,0)</f>
        <v>0</v>
      </c>
      <c r="AT275" s="66">
        <f ca="1">SUM((INDIRECT(AT$2&amp;(ROW())):INDIRECT(AT$3&amp;(ROW()))))</f>
        <v>0</v>
      </c>
      <c r="AU275" s="92">
        <f ca="1">SUM(INDIRECT(AU$1&amp;AU$2&amp;$C275):INDIRECT(AU$1&amp;AU$3&amp;$C275))</f>
        <v>0</v>
      </c>
      <c r="AV275" s="884">
        <f t="shared" ca="1" si="541"/>
        <v>0</v>
      </c>
      <c r="AW275" s="937">
        <f ca="1">IFERROR(AT275/AU275,0)</f>
        <v>0</v>
      </c>
      <c r="AX275" s="92">
        <f ca="1">SUM(INDIRECT(AX$1&amp;AX$2&amp;$A275):INDIRECT(AX$1&amp;AX$3&amp;$A275))+SUM(INDIRECT(AX$1&amp;AX$2&amp;$B275):INDIRECT(AX$1&amp;AX$3&amp;$B275))</f>
        <v>0</v>
      </c>
      <c r="AY275" s="884">
        <f t="shared" ca="1" si="542"/>
        <v>0</v>
      </c>
      <c r="AZ275" s="937">
        <f ca="1">IFERROR(AT275/AX275,0)</f>
        <v>0</v>
      </c>
      <c r="BB275" s="66">
        <f ca="1">SUM((INDIRECT(BB$2&amp;(ROW())):INDIRECT(BB$3&amp;(ROW()))))</f>
        <v>0</v>
      </c>
      <c r="BC275" s="92">
        <f ca="1">SUM(INDIRECT(BC$1&amp;BC$2&amp;$C275):INDIRECT(BC$1&amp;BC$3&amp;$C275))</f>
        <v>0</v>
      </c>
      <c r="BD275" s="884">
        <f t="shared" ca="1" si="543"/>
        <v>0</v>
      </c>
      <c r="BE275" s="937">
        <f ca="1">IFERROR(BB275/BC275,0)</f>
        <v>0</v>
      </c>
      <c r="BF275" s="92">
        <f ca="1">SUM(INDIRECT(BF$1&amp;BF$2&amp;$A275):INDIRECT(BF$1&amp;BF$3&amp;$A275))+SUM(INDIRECT(BF$1&amp;BF$2&amp;$B275):INDIRECT(BF$1&amp;BF$3&amp;$B275))</f>
        <v>0</v>
      </c>
      <c r="BG275" s="884">
        <f t="shared" ca="1" si="544"/>
        <v>0</v>
      </c>
      <c r="BH275" s="937">
        <f ca="1">IFERROR(BB275/BF275,0)</f>
        <v>0</v>
      </c>
    </row>
    <row r="276" spans="1:60" ht="14.5">
      <c r="A276" s="990">
        <f t="shared" si="459"/>
        <v>249</v>
      </c>
      <c r="B276" s="990">
        <v>1</v>
      </c>
      <c r="C276" s="990">
        <f t="shared" si="536"/>
        <v>273</v>
      </c>
      <c r="D276" s="1121" t="s">
        <v>887</v>
      </c>
      <c r="E276" s="1243">
        <v>1</v>
      </c>
      <c r="F276" s="5"/>
      <c r="G276" s="5"/>
      <c r="H276" s="5"/>
      <c r="I276" s="458" t="s">
        <v>204</v>
      </c>
      <c r="J276" s="450"/>
      <c r="K276" s="449"/>
      <c r="L276" s="449"/>
      <c r="M276" s="449"/>
      <c r="N276" s="449"/>
      <c r="O276" s="449"/>
      <c r="P276" s="788"/>
      <c r="Q276" s="1860" t="str">
        <f>CHOOSE(2, "6722000003195", "PL (3) Operating Profit")</f>
        <v>PL (3) Operating Profit</v>
      </c>
      <c r="R276" s="2123">
        <f>R272+R274-R275</f>
        <v>-1543.9108360598129</v>
      </c>
      <c r="S276" s="2014">
        <f t="shared" ref="S276:AC276" si="550">S272+S274-S275</f>
        <v>-5049.5850230155347</v>
      </c>
      <c r="T276" s="2014">
        <f t="shared" si="550"/>
        <v>6100.1130150710678</v>
      </c>
      <c r="U276" s="2014">
        <f t="shared" si="550"/>
        <v>-948.49139947419189</v>
      </c>
      <c r="V276" s="2014">
        <f t="shared" si="550"/>
        <v>905.52490041785268</v>
      </c>
      <c r="W276" s="2014">
        <f t="shared" si="550"/>
        <v>-497.43049662379735</v>
      </c>
      <c r="X276" s="2014">
        <f t="shared" si="550"/>
        <v>197.12523604193484</v>
      </c>
      <c r="Y276" s="2014">
        <f t="shared" si="550"/>
        <v>-272.02330536296859</v>
      </c>
      <c r="Z276" s="2014">
        <f t="shared" si="550"/>
        <v>-11626.341414298291</v>
      </c>
      <c r="AA276" s="2014">
        <f t="shared" si="550"/>
        <v>3044.8201167571319</v>
      </c>
      <c r="AB276" s="2014">
        <f t="shared" si="550"/>
        <v>-3068.5862325391677</v>
      </c>
      <c r="AC276" s="2014">
        <f t="shared" si="550"/>
        <v>6264.2380756634229</v>
      </c>
      <c r="AD276" s="1527">
        <f t="shared" ref="AD276:AJ276" si="551">AD272+AD274-AD275</f>
        <v>-493.38284400427983</v>
      </c>
      <c r="AE276" s="455">
        <f t="shared" si="551"/>
        <v>-540.39699568013748</v>
      </c>
      <c r="AF276" s="455">
        <f t="shared" si="551"/>
        <v>-11701.239483619323</v>
      </c>
      <c r="AG276" s="455">
        <f t="shared" si="551"/>
        <v>6240.4719598813863</v>
      </c>
      <c r="AH276" s="455">
        <f t="shared" si="551"/>
        <v>-1033.7798396844173</v>
      </c>
      <c r="AI276" s="455">
        <f t="shared" si="551"/>
        <v>-5460.767523737939</v>
      </c>
      <c r="AJ276" s="455">
        <f t="shared" si="551"/>
        <v>-6494.5473634223563</v>
      </c>
      <c r="AL276" s="2123">
        <f ca="1">SUM((INDIRECT(AL$2&amp;(ROW())):INDIRECT(AL$3&amp;(ROW()))))</f>
        <v>6264.2380756634229</v>
      </c>
      <c r="AM276" s="455">
        <f ca="1">SUM(INDIRECT(AM$1&amp;AM$2&amp;$C276):INDIRECT(AM$1&amp;AM$3&amp;$C276))</f>
        <v>0</v>
      </c>
      <c r="AN276" s="2520">
        <f t="shared" ca="1" si="539"/>
        <v>6264.2380756634229</v>
      </c>
      <c r="AO276" s="1715">
        <f ca="1">IFERROR(AL276/AM276,0)</f>
        <v>0</v>
      </c>
      <c r="AP276" s="455">
        <f ca="1">SUM(INDIRECT(AP$1&amp;AP$2&amp;$A276):INDIRECT(AP$1&amp;AP$3&amp;$A276))+SUM(INDIRECT(AP$1&amp;AP$2&amp;$B276):INDIRECT(AP$1&amp;AP$3&amp;$B276))</f>
        <v>597.74544632789707</v>
      </c>
      <c r="AQ276" s="2520">
        <f t="shared" ca="1" si="540"/>
        <v>5666.4926293355256</v>
      </c>
      <c r="AR276" s="1715">
        <f ca="1">IFERROR(AL276/AP276,0)</f>
        <v>10.47977548661598</v>
      </c>
      <c r="AT276" s="2123">
        <f ca="1">SUM((INDIRECT(AT$2&amp;(ROW())):INDIRECT(AT$3&amp;(ROW()))))</f>
        <v>6240.4719598813872</v>
      </c>
      <c r="AU276" s="455">
        <f ca="1">SUM(INDIRECT(AU$1&amp;AU$2&amp;$C276):INDIRECT(AU$1&amp;AU$3&amp;$C276))</f>
        <v>0</v>
      </c>
      <c r="AV276" s="2520">
        <f t="shared" ca="1" si="541"/>
        <v>6240.4719598813872</v>
      </c>
      <c r="AW276" s="1715">
        <f ca="1">IFERROR(AT276/AU276,0)</f>
        <v>0</v>
      </c>
      <c r="AX276" s="455">
        <f ca="1">SUM(INDIRECT(AX$1&amp;AX$2&amp;$A276):INDIRECT(AX$1&amp;AX$3&amp;$A276))+SUM(INDIRECT(AX$1&amp;AX$2&amp;$B276):INDIRECT(AX$1&amp;AX$3&amp;$B276))</f>
        <v>20250.404151053481</v>
      </c>
      <c r="AY276" s="2520">
        <f t="shared" ca="1" si="542"/>
        <v>-14009.932191172094</v>
      </c>
      <c r="AZ276" s="1715">
        <f ca="1">IFERROR(AT276/AX276,0)</f>
        <v>0.30816530442217083</v>
      </c>
      <c r="BB276" s="2123">
        <f ca="1">SUM((INDIRECT(BB$2&amp;(ROW())):INDIRECT(BB$3&amp;(ROW()))))</f>
        <v>-6494.5473634223545</v>
      </c>
      <c r="BC276" s="455">
        <f ca="1">SUM(INDIRECT(BC$1&amp;BC$2&amp;$C276):INDIRECT(BC$1&amp;BC$3&amp;$C276))</f>
        <v>0</v>
      </c>
      <c r="BD276" s="2520">
        <f t="shared" ca="1" si="543"/>
        <v>-6494.5473634223545</v>
      </c>
      <c r="BE276" s="1715">
        <f ca="1">IFERROR(BB276/BC276,0)</f>
        <v>0</v>
      </c>
      <c r="BF276" s="455">
        <f ca="1">SUM(INDIRECT(BF$1&amp;BF$2&amp;$A276):INDIRECT(BF$1&amp;BF$3&amp;$A276))+SUM(INDIRECT(BF$1&amp;BF$2&amp;$B276):INDIRECT(BF$1&amp;BF$3&amp;$B276))</f>
        <v>9654.4041510534826</v>
      </c>
      <c r="BG276" s="2520">
        <f t="shared" ca="1" si="544"/>
        <v>-16148.951514475837</v>
      </c>
      <c r="BH276" s="1715">
        <f ca="1">IFERROR(BB276/BF276,0)</f>
        <v>-0.67270307538489293</v>
      </c>
    </row>
    <row r="277" spans="1:60" ht="14.5">
      <c r="A277" s="990">
        <f t="shared" si="459"/>
        <v>250</v>
      </c>
      <c r="B277" s="990">
        <v>1</v>
      </c>
      <c r="C277" s="990">
        <f t="shared" si="536"/>
        <v>274</v>
      </c>
      <c r="D277" s="1121" t="s">
        <v>887</v>
      </c>
      <c r="E277" s="1243">
        <v>1</v>
      </c>
      <c r="F277" s="5"/>
      <c r="G277" s="5"/>
      <c r="H277" s="5"/>
      <c r="I277" s="28"/>
      <c r="J277" s="629" t="s">
        <v>135</v>
      </c>
      <c r="K277" s="3"/>
      <c r="L277" s="3"/>
      <c r="M277" s="2"/>
      <c r="N277" s="2"/>
      <c r="O277" s="2"/>
      <c r="P277" s="2"/>
      <c r="Q277" s="1857" t="str">
        <f>CHOOSE(2, "6722000003196", "PL (3) Operating Profit (%)")</f>
        <v>PL (3) Operating Profit (%)</v>
      </c>
      <c r="R277" s="2138">
        <f t="shared" ref="R277:AC277" si="552">IFERROR(R276/R208,0)</f>
        <v>-0.10085646956230813</v>
      </c>
      <c r="S277" s="866">
        <f t="shared" si="552"/>
        <v>-0.84229942001927183</v>
      </c>
      <c r="T277" s="866">
        <f t="shared" si="552"/>
        <v>0.23765439516405906</v>
      </c>
      <c r="U277" s="866">
        <f t="shared" si="552"/>
        <v>-0.12717771513464626</v>
      </c>
      <c r="V277" s="866">
        <f t="shared" si="552"/>
        <v>5.1898049496130097E-2</v>
      </c>
      <c r="W277" s="866">
        <f t="shared" si="552"/>
        <v>-2.6095399046469278E-2</v>
      </c>
      <c r="X277" s="866">
        <f t="shared" si="552"/>
        <v>2.6776044015476071E-2</v>
      </c>
      <c r="Y277" s="866">
        <f t="shared" si="552"/>
        <v>-1.5979751240261329E-2</v>
      </c>
      <c r="Z277" s="866">
        <f t="shared" si="552"/>
        <v>-1.5328070420960174</v>
      </c>
      <c r="AA277" s="866">
        <f t="shared" si="552"/>
        <v>0.11643671574597063</v>
      </c>
      <c r="AB277" s="866">
        <f t="shared" si="552"/>
        <v>-0.35750841318715965</v>
      </c>
      <c r="AC277" s="866">
        <f t="shared" si="552"/>
        <v>0.24329972717844497</v>
      </c>
      <c r="AD277" s="866">
        <f t="shared" ref="AD277:AJ277" si="553">IFERROR(AD276/AD208,0)</f>
        <v>-1.0503988503635858E-2</v>
      </c>
      <c r="AE277" s="866">
        <f t="shared" si="553"/>
        <v>-1.2290646933536764E-2</v>
      </c>
      <c r="AF277" s="866">
        <f t="shared" si="553"/>
        <v>-0.36600686529932197</v>
      </c>
      <c r="AG277" s="866">
        <f t="shared" si="553"/>
        <v>0.1031819699949912</v>
      </c>
      <c r="AH277" s="866">
        <f t="shared" si="553"/>
        <v>-1.1367819592026502E-2</v>
      </c>
      <c r="AI277" s="866">
        <f t="shared" si="553"/>
        <v>-5.9067089265149676E-2</v>
      </c>
      <c r="AJ277" s="866">
        <f t="shared" si="553"/>
        <v>-3.5413972597939103E-2</v>
      </c>
      <c r="AK277" s="619"/>
      <c r="AL277" s="2138">
        <f ca="1">IFERROR(AL276/AL208,0)</f>
        <v>0.24329972717844497</v>
      </c>
      <c r="AM277" s="866">
        <f ca="1">IFERROR(AM276/AM208,0)</f>
        <v>0</v>
      </c>
      <c r="AN277" s="866">
        <f t="shared" ca="1" si="539"/>
        <v>0.24329972717844497</v>
      </c>
      <c r="AO277" s="939"/>
      <c r="AP277" s="866">
        <f ca="1">IFERROR(AP276/AP208,0)</f>
        <v>3.4237095270513607E-2</v>
      </c>
      <c r="AQ277" s="866">
        <f t="shared" ca="1" si="540"/>
        <v>0.20906263190793137</v>
      </c>
      <c r="AR277" s="939"/>
      <c r="AS277" s="619"/>
      <c r="AT277" s="2138">
        <f ca="1">IFERROR(AT276/AT208,0)</f>
        <v>0.10318196999499121</v>
      </c>
      <c r="AU277" s="866">
        <f ca="1">IFERROR(AU276/AU208,0)</f>
        <v>0</v>
      </c>
      <c r="AV277" s="866">
        <f t="shared" ca="1" si="541"/>
        <v>0.10318196999499121</v>
      </c>
      <c r="AW277" s="939"/>
      <c r="AX277" s="866">
        <f ca="1">IFERROR(AX276/AX208,0)</f>
        <v>0.22102119743133178</v>
      </c>
      <c r="AY277" s="866">
        <f t="shared" ca="1" si="542"/>
        <v>-0.11783922743634057</v>
      </c>
      <c r="AZ277" s="939"/>
      <c r="BA277" s="619"/>
      <c r="BB277" s="2138">
        <f ca="1">IFERROR(BB276/BB208,0)</f>
        <v>-3.5413972597939096E-2</v>
      </c>
      <c r="BC277" s="866">
        <f ca="1">IFERROR(BC276/BC208,0)</f>
        <v>0</v>
      </c>
      <c r="BD277" s="866">
        <f t="shared" ca="1" si="543"/>
        <v>-3.5413972597939096E-2</v>
      </c>
      <c r="BE277" s="939"/>
      <c r="BF277" s="866">
        <f ca="1">IFERROR(BF276/BF208,0)</f>
        <v>4.0217802531330511E-2</v>
      </c>
      <c r="BG277" s="866">
        <f t="shared" ca="1" si="544"/>
        <v>-7.5631775129269607E-2</v>
      </c>
      <c r="BH277" s="939"/>
    </row>
    <row r="278" spans="1:60" ht="14.5">
      <c r="A278" s="990">
        <f t="shared" si="459"/>
        <v>251</v>
      </c>
      <c r="B278" s="990">
        <v>1</v>
      </c>
      <c r="C278" s="990">
        <f t="shared" si="536"/>
        <v>275</v>
      </c>
      <c r="D278" s="1121" t="s">
        <v>887</v>
      </c>
      <c r="E278" s="1255">
        <v>1</v>
      </c>
      <c r="F278" s="9"/>
      <c r="G278" s="1241"/>
      <c r="H278" s="5"/>
      <c r="I278" s="5"/>
      <c r="J278" s="4"/>
      <c r="K278" s="1256" t="s">
        <v>890</v>
      </c>
      <c r="L278" s="1116"/>
      <c r="M278" s="798"/>
      <c r="N278" s="798"/>
      <c r="O278" s="798"/>
      <c r="P278" s="798"/>
      <c r="Q278" s="1850" t="str">
        <f>CHOOSE(2, "6722000003197", "PL (3) CAI (%)")</f>
        <v>PL (3) CAI (%)</v>
      </c>
      <c r="R278" s="2186">
        <f>R439</f>
        <v>0</v>
      </c>
      <c r="S278" s="2186">
        <f t="shared" ref="S278:AC278" si="554">S439</f>
        <v>0</v>
      </c>
      <c r="T278" s="2186">
        <f t="shared" si="554"/>
        <v>0</v>
      </c>
      <c r="U278" s="2186">
        <f t="shared" si="554"/>
        <v>0</v>
      </c>
      <c r="V278" s="2186">
        <f t="shared" si="554"/>
        <v>0</v>
      </c>
      <c r="W278" s="2186">
        <f t="shared" si="554"/>
        <v>0</v>
      </c>
      <c r="X278" s="2186">
        <f t="shared" si="554"/>
        <v>0</v>
      </c>
      <c r="Y278" s="2186">
        <f t="shared" si="554"/>
        <v>0</v>
      </c>
      <c r="Z278" s="2186">
        <f t="shared" si="554"/>
        <v>0</v>
      </c>
      <c r="AA278" s="2186">
        <f t="shared" si="554"/>
        <v>0</v>
      </c>
      <c r="AB278" s="2186">
        <f t="shared" si="554"/>
        <v>0</v>
      </c>
      <c r="AC278" s="2186">
        <f t="shared" si="554"/>
        <v>0</v>
      </c>
      <c r="AD278" s="1522">
        <f t="shared" ref="AD278:AJ278" si="555">AD439</f>
        <v>0</v>
      </c>
      <c r="AE278" s="1258">
        <f t="shared" si="555"/>
        <v>0</v>
      </c>
      <c r="AF278" s="1258">
        <f t="shared" si="555"/>
        <v>0</v>
      </c>
      <c r="AG278" s="1258">
        <f t="shared" si="555"/>
        <v>0</v>
      </c>
      <c r="AH278" s="1258">
        <f t="shared" si="555"/>
        <v>0</v>
      </c>
      <c r="AI278" s="1258">
        <f t="shared" si="555"/>
        <v>0</v>
      </c>
      <c r="AJ278" s="1258">
        <f t="shared" si="555"/>
        <v>0</v>
      </c>
      <c r="AL278" s="2496">
        <f ca="1">AL439</f>
        <v>0</v>
      </c>
      <c r="AM278" s="2496">
        <f ca="1">AM439</f>
        <v>0</v>
      </c>
      <c r="AN278" s="2496">
        <f t="shared" ca="1" si="539"/>
        <v>0</v>
      </c>
      <c r="AO278" s="2497"/>
      <c r="AP278" s="2496">
        <f ca="1">AP439</f>
        <v>0</v>
      </c>
      <c r="AQ278" s="2496">
        <f t="shared" ca="1" si="540"/>
        <v>0</v>
      </c>
      <c r="AR278" s="2498"/>
      <c r="AT278" s="2496">
        <f ca="1">AT439</f>
        <v>0</v>
      </c>
      <c r="AU278" s="2496">
        <f ca="1">AU439</f>
        <v>0</v>
      </c>
      <c r="AV278" s="2496">
        <f t="shared" ca="1" si="541"/>
        <v>0</v>
      </c>
      <c r="AW278" s="2497"/>
      <c r="AX278" s="2496">
        <f ca="1">AX439</f>
        <v>0</v>
      </c>
      <c r="AY278" s="2496">
        <f t="shared" ca="1" si="542"/>
        <v>0</v>
      </c>
      <c r="AZ278" s="2498"/>
      <c r="BA278" s="75"/>
      <c r="BB278" s="2496">
        <f ca="1">BB439</f>
        <v>0</v>
      </c>
      <c r="BC278" s="2496">
        <f ca="1">BC439</f>
        <v>0</v>
      </c>
      <c r="BD278" s="2496">
        <f t="shared" ca="1" si="543"/>
        <v>0</v>
      </c>
      <c r="BE278" s="2499"/>
      <c r="BF278" s="2496">
        <f ca="1">BF439</f>
        <v>0</v>
      </c>
      <c r="BG278" s="2496">
        <f t="shared" ca="1" si="544"/>
        <v>0</v>
      </c>
      <c r="BH278" s="2498"/>
    </row>
    <row r="279" spans="1:60" ht="14.5">
      <c r="A279" s="990">
        <f t="shared" si="459"/>
        <v>252</v>
      </c>
      <c r="B279" s="990">
        <v>1</v>
      </c>
      <c r="C279" s="990">
        <f t="shared" si="536"/>
        <v>276</v>
      </c>
      <c r="D279" s="1121" t="s">
        <v>887</v>
      </c>
      <c r="E279" s="1255">
        <v>1</v>
      </c>
      <c r="F279" s="9"/>
      <c r="G279" s="1241"/>
      <c r="H279" s="5"/>
      <c r="I279" s="5"/>
      <c r="J279" s="4"/>
      <c r="K279" s="30"/>
      <c r="L279" s="764" t="s">
        <v>884</v>
      </c>
      <c r="M279" s="323"/>
      <c r="N279" s="323"/>
      <c r="O279" s="323"/>
      <c r="P279" s="323"/>
      <c r="Q279" s="1851" t="str">
        <f>CHOOSE(2, "6722000003198", "PL (3) CAI Directly assigned")</f>
        <v>PL (3) CAI Directly assigned</v>
      </c>
      <c r="R279" s="325">
        <f>SUM(R280:R282)</f>
        <v>2598.9108360598129</v>
      </c>
      <c r="S279" s="325">
        <f t="shared" ref="S279:AC279" si="556">SUM(S280:S282)</f>
        <v>2277.5850230155347</v>
      </c>
      <c r="T279" s="325">
        <f t="shared" si="556"/>
        <v>2653.8869849289322</v>
      </c>
      <c r="U279" s="325">
        <f t="shared" si="556"/>
        <v>2642.4913994741919</v>
      </c>
      <c r="V279" s="325">
        <f t="shared" si="556"/>
        <v>2654.6348013777306</v>
      </c>
      <c r="W279" s="325">
        <f t="shared" si="556"/>
        <v>2761.8275081004808</v>
      </c>
      <c r="X279" s="361">
        <f t="shared" si="556"/>
        <v>2687.8747639580652</v>
      </c>
      <c r="Y279" s="361">
        <f t="shared" si="556"/>
        <v>2764.0233053629686</v>
      </c>
      <c r="Z279" s="361">
        <f t="shared" si="556"/>
        <v>2798.3414142982901</v>
      </c>
      <c r="AA279" s="1117">
        <f t="shared" si="556"/>
        <v>3475.1798832428681</v>
      </c>
      <c r="AB279" s="1117">
        <f t="shared" si="556"/>
        <v>3704.6254925391677</v>
      </c>
      <c r="AC279" s="1117">
        <f t="shared" si="556"/>
        <v>1221.7619243365768</v>
      </c>
      <c r="AD279" s="1523">
        <f t="shared" ref="AD279:AJ279" si="557">SUM(AD280:AD282)</f>
        <v>7530.3828440042798</v>
      </c>
      <c r="AE279" s="1117">
        <f t="shared" si="557"/>
        <v>8058.9537089524038</v>
      </c>
      <c r="AF279" s="1117">
        <f t="shared" si="557"/>
        <v>8250.2394836193234</v>
      </c>
      <c r="AG279" s="1117">
        <f t="shared" si="557"/>
        <v>8401.5673001186133</v>
      </c>
      <c r="AH279" s="1117">
        <f t="shared" si="557"/>
        <v>15589.336552956684</v>
      </c>
      <c r="AI279" s="1117">
        <f t="shared" si="557"/>
        <v>16651.806783737939</v>
      </c>
      <c r="AJ279" s="1117">
        <f t="shared" si="557"/>
        <v>32241.143336694622</v>
      </c>
      <c r="AL279" s="325">
        <f ca="1">SUM((INDIRECT(AL$2&amp;(ROW())):INDIRECT(AL$3&amp;(ROW()))))</f>
        <v>1221.7619243365768</v>
      </c>
      <c r="AM279" s="1278">
        <f ca="1">SUM(INDIRECT(AM$1&amp;AM$2&amp;$C279):INDIRECT(AM$1&amp;AM$3&amp;$C279))</f>
        <v>0</v>
      </c>
      <c r="AN279" s="1279">
        <f t="shared" ca="1" si="539"/>
        <v>1221.7619243365768</v>
      </c>
      <c r="AO279" s="1280">
        <f ca="1">IFERROR(AL279/AM279,0)</f>
        <v>0</v>
      </c>
      <c r="AP279" s="1371">
        <f ca="1">SUM(INDIRECT(AP$1&amp;AP$2&amp;$A279):INDIRECT(AP$1&amp;AP$3&amp;$A279))+SUM(INDIRECT(AP$1&amp;AP$2&amp;$B279):INDIRECT(AP$1&amp;AP$3&amp;$B279))</f>
        <v>1733.0556686818518</v>
      </c>
      <c r="AQ279" s="1372">
        <f t="shared" ca="1" si="540"/>
        <v>-511.29374434527494</v>
      </c>
      <c r="AR279" s="1373">
        <f ca="1">IFERROR(AL279/AP279,0)</f>
        <v>0.70497557950105505</v>
      </c>
      <c r="AT279" s="325">
        <f ca="1">SUM((INDIRECT(AT$2&amp;(ROW())):INDIRECT(AT$3&amp;(ROW()))))</f>
        <v>8401.5673001186133</v>
      </c>
      <c r="AU279" s="1278">
        <f ca="1">SUM(INDIRECT(AU$1&amp;AU$2&amp;$C279):INDIRECT(AU$1&amp;AU$3&amp;$C279))</f>
        <v>0</v>
      </c>
      <c r="AV279" s="1279">
        <f t="shared" ca="1" si="541"/>
        <v>8401.5673001186133</v>
      </c>
      <c r="AW279" s="1280">
        <f ca="1">IFERROR(AT279/AU279,0)</f>
        <v>0</v>
      </c>
      <c r="AX279" s="1371">
        <f ca="1">SUM(INDIRECT(AX$1&amp;AX$2&amp;$A279):INDIRECT(AX$1&amp;AX$3&amp;$A279))+SUM(INDIRECT(AX$1&amp;AX$2&amp;$B279):INDIRECT(AX$1&amp;AX$3&amp;$B279))</f>
        <v>6966.0556686818518</v>
      </c>
      <c r="AY279" s="1372">
        <f t="shared" ca="1" si="542"/>
        <v>1435.5116314367615</v>
      </c>
      <c r="AZ279" s="1373">
        <f ca="1">IFERROR(AT279/AX279,0)</f>
        <v>1.2060723743409871</v>
      </c>
      <c r="BA279" s="75"/>
      <c r="BB279" s="2193">
        <f ca="1">SUM((INDIRECT(BB$2&amp;(ROW())):INDIRECT(BB$3&amp;(ROW()))))</f>
        <v>32241.143336694622</v>
      </c>
      <c r="BC279" s="1371">
        <f ca="1">SUM(INDIRECT(BC$1&amp;BC$2&amp;$C279):INDIRECT(BC$1&amp;BC$3&amp;$C279))</f>
        <v>0</v>
      </c>
      <c r="BD279" s="1372">
        <f t="shared" ca="1" si="543"/>
        <v>32241.143336694622</v>
      </c>
      <c r="BE279" s="1373">
        <f ca="1">IFERROR(BB279/BC279,0)</f>
        <v>0</v>
      </c>
      <c r="BF279" s="1371">
        <f ca="1">SUM(INDIRECT(BF$1&amp;BF$2&amp;$A279):INDIRECT(BF$1&amp;BF$3&amp;$A279))+SUM(INDIRECT(BF$1&amp;BF$2&amp;$B279):INDIRECT(BF$1&amp;BF$3&amp;$B279))</f>
        <v>24715.055668681853</v>
      </c>
      <c r="BG279" s="1372">
        <f t="shared" ca="1" si="544"/>
        <v>7526.0876680127694</v>
      </c>
      <c r="BH279" s="1373">
        <f ca="1">IFERROR(BB279/BF279,0)</f>
        <v>1.3045142915680175</v>
      </c>
    </row>
    <row r="280" spans="1:60" ht="14.5">
      <c r="A280" s="990">
        <f t="shared" si="459"/>
        <v>253</v>
      </c>
      <c r="B280" s="990">
        <v>1</v>
      </c>
      <c r="C280" s="990">
        <f t="shared" si="536"/>
        <v>277</v>
      </c>
      <c r="D280" s="1121" t="s">
        <v>887</v>
      </c>
      <c r="E280" s="1255">
        <v>1</v>
      </c>
      <c r="F280" s="9"/>
      <c r="G280" s="1241"/>
      <c r="H280" s="5"/>
      <c r="I280" s="5"/>
      <c r="J280" s="4"/>
      <c r="K280" s="30"/>
      <c r="L280" s="30"/>
      <c r="M280" s="40" t="s">
        <v>170</v>
      </c>
      <c r="N280" s="4"/>
      <c r="O280" s="4"/>
      <c r="P280" s="4"/>
      <c r="Q280" s="1852" t="str">
        <f>CHOOSE(2, "6722000003199", "PL (3) CAI Directly assigned Variable Expenses")</f>
        <v>PL (3) CAI Directly assigned Variable Expenses</v>
      </c>
      <c r="R280" s="2159">
        <v>169.92407056187767</v>
      </c>
      <c r="S280" s="2159">
        <v>239.55089132340413</v>
      </c>
      <c r="T280" s="2159">
        <v>185.98715867134592</v>
      </c>
      <c r="U280" s="2159">
        <v>348.9773196471948</v>
      </c>
      <c r="V280" s="2159">
        <v>133.9207567772001</v>
      </c>
      <c r="W280" s="2159">
        <v>470.97790040105588</v>
      </c>
      <c r="X280" s="2091">
        <v>204.33572717881862</v>
      </c>
      <c r="Y280" s="2091">
        <v>489.00176305503419</v>
      </c>
      <c r="Z280" s="2091">
        <v>163.4234496295926</v>
      </c>
      <c r="AA280" s="2160">
        <v>1375.4058572666568</v>
      </c>
      <c r="AB280" s="2160">
        <v>1648.2257486920998</v>
      </c>
      <c r="AC280" s="2160">
        <v>-701.86655152023945</v>
      </c>
      <c r="AD280" s="144">
        <f>SUM(R280,S280,T280)</f>
        <v>595.46212055662772</v>
      </c>
      <c r="AE280" s="145">
        <f t="shared" ref="AE280:AE282" si="558">SUM(U280,V280,W280)</f>
        <v>953.87597682545083</v>
      </c>
      <c r="AF280" s="145">
        <f t="shared" ref="AF280:AF282" si="559">SUM(X280,Y280,Z280)</f>
        <v>856.7609398634454</v>
      </c>
      <c r="AG280" s="145">
        <f t="shared" ref="AG280:AG282" si="560">SUM(AA280,AB280,AC280)</f>
        <v>2321.7650544385169</v>
      </c>
      <c r="AH280" s="145">
        <f>AD280+AE280</f>
        <v>1549.3380973820786</v>
      </c>
      <c r="AI280" s="145">
        <f>AG280+AF280</f>
        <v>3178.5259943019623</v>
      </c>
      <c r="AJ280" s="145">
        <f>AH280+AI280</f>
        <v>4727.8640916840413</v>
      </c>
      <c r="AL280" s="41">
        <f ca="1">SUM((INDIRECT(AL$2&amp;(ROW())):INDIRECT(AL$3&amp;(ROW()))))</f>
        <v>-701.86655152023945</v>
      </c>
      <c r="AM280" s="1275">
        <f ca="1">SUM(INDIRECT(AM$1&amp;AM$2&amp;$C280):INDIRECT(AM$1&amp;AM$3&amp;$C280))</f>
        <v>0</v>
      </c>
      <c r="AN280" s="1276">
        <f t="shared" ca="1" si="539"/>
        <v>-701.86655152023945</v>
      </c>
      <c r="AO280" s="1277">
        <f ca="1">IFERROR(AL280/AM280,0)</f>
        <v>0</v>
      </c>
      <c r="AP280" s="135">
        <f ca="1">SUM(INDIRECT(AP$1&amp;AP$2&amp;$A280):INDIRECT(AP$1&amp;AP$3&amp;$A280))+SUM(INDIRECT(AP$1&amp;AP$2&amp;$B280):INDIRECT(AP$1&amp;AP$3&amp;$B280))</f>
        <v>-72.388808322818306</v>
      </c>
      <c r="AQ280" s="886">
        <f t="shared" ca="1" si="540"/>
        <v>-629.4777431974212</v>
      </c>
      <c r="AR280" s="941">
        <f ca="1">IFERROR(AL280/AP280,0)</f>
        <v>9.6957881719817998</v>
      </c>
      <c r="AT280" s="41">
        <f ca="1">SUM((INDIRECT(AT$2&amp;(ROW())):INDIRECT(AT$3&amp;(ROW()))))</f>
        <v>2321.7650544385169</v>
      </c>
      <c r="AU280" s="1275">
        <f ca="1">SUM(INDIRECT(AU$1&amp;AU$2&amp;$C280):INDIRECT(AU$1&amp;AU$3&amp;$C280))</f>
        <v>0</v>
      </c>
      <c r="AV280" s="1276">
        <f t="shared" ca="1" si="541"/>
        <v>2321.7650544385169</v>
      </c>
      <c r="AW280" s="1277">
        <f ca="1">IFERROR(AT280/AU280,0)</f>
        <v>0</v>
      </c>
      <c r="AX280" s="135">
        <f ca="1">SUM(INDIRECT(AX$1&amp;AX$2&amp;$A280):INDIRECT(AX$1&amp;AX$3&amp;$A280))+SUM(INDIRECT(AX$1&amp;AX$2&amp;$B280):INDIRECT(AX$1&amp;AX$3&amp;$B280))</f>
        <v>26.611191677181694</v>
      </c>
      <c r="AY280" s="886">
        <f t="shared" ca="1" si="542"/>
        <v>2295.1538627613354</v>
      </c>
      <c r="AZ280" s="941">
        <f ca="1">IFERROR(AT280/AX280,0)</f>
        <v>87.247691971245374</v>
      </c>
      <c r="BA280" s="75"/>
      <c r="BB280" s="2097">
        <f ca="1">SUM((INDIRECT(BB$2&amp;(ROW())):INDIRECT(BB$3&amp;(ROW()))))</f>
        <v>4727.8640916840413</v>
      </c>
      <c r="BC280" s="135">
        <f ca="1">SUM(INDIRECT(BC$1&amp;BC$2&amp;$C280):INDIRECT(BC$1&amp;BC$3&amp;$C280))</f>
        <v>0</v>
      </c>
      <c r="BD280" s="886">
        <f t="shared" ca="1" si="543"/>
        <v>4727.8640916840413</v>
      </c>
      <c r="BE280" s="941">
        <f ca="1">IFERROR(BB280/BC280,0)</f>
        <v>0</v>
      </c>
      <c r="BF280" s="135">
        <f ca="1">SUM(INDIRECT(BF$1&amp;BF$2&amp;$A280):INDIRECT(BF$1&amp;BF$3&amp;$A280))+SUM(INDIRECT(BF$1&amp;BF$2&amp;$B280):INDIRECT(BF$1&amp;BF$3&amp;$B280))</f>
        <v>669.61119167718175</v>
      </c>
      <c r="BG280" s="886">
        <f t="shared" ca="1" si="544"/>
        <v>4058.2529000068598</v>
      </c>
      <c r="BH280" s="941">
        <f ca="1">IFERROR(BB280/BF280,0)</f>
        <v>7.0606109193636888</v>
      </c>
    </row>
    <row r="281" spans="1:60" ht="14.5">
      <c r="A281" s="990">
        <f t="shared" si="459"/>
        <v>254</v>
      </c>
      <c r="B281" s="990">
        <v>1</v>
      </c>
      <c r="C281" s="990">
        <f t="shared" si="536"/>
        <v>278</v>
      </c>
      <c r="D281" s="1121" t="s">
        <v>887</v>
      </c>
      <c r="E281" s="1255">
        <v>1</v>
      </c>
      <c r="F281" s="9"/>
      <c r="G281" s="1241"/>
      <c r="H281" s="5"/>
      <c r="I281" s="5"/>
      <c r="J281" s="4"/>
      <c r="K281" s="30"/>
      <c r="L281" s="30"/>
      <c r="M281" s="40" t="s">
        <v>171</v>
      </c>
      <c r="N281" s="4"/>
      <c r="O281" s="4"/>
      <c r="P281" s="4"/>
      <c r="Q281" s="1852" t="str">
        <f>CHOOSE(2, "6722000003200", "PL (3) CAI Directly assigned Wages &amp; Salaries")</f>
        <v>PL (3) CAI Directly assigned Wages &amp; Salaries</v>
      </c>
      <c r="R281" s="2159">
        <v>1965</v>
      </c>
      <c r="S281" s="2159">
        <v>1727.0701752737095</v>
      </c>
      <c r="T281" s="2159">
        <v>1812.0943117414163</v>
      </c>
      <c r="U281" s="2159">
        <v>1705.3713716575785</v>
      </c>
      <c r="V281" s="2159">
        <v>1719.2948784058999</v>
      </c>
      <c r="W281" s="2159">
        <v>1819.5483783134659</v>
      </c>
      <c r="X281" s="2091">
        <v>1668.497553102123</v>
      </c>
      <c r="Y281" s="2091">
        <v>1751.2024207938862</v>
      </c>
      <c r="Z281" s="2091">
        <v>2062.8042584419636</v>
      </c>
      <c r="AA281" s="2160">
        <v>1545.4615870404195</v>
      </c>
      <c r="AB281" s="2160">
        <v>1492.5247886308562</v>
      </c>
      <c r="AC281" s="2160">
        <v>1551.2666141716552</v>
      </c>
      <c r="AD281" s="144">
        <f>SUM(R281,S281,T281)</f>
        <v>5504.1644870151258</v>
      </c>
      <c r="AE281" s="145">
        <f t="shared" si="558"/>
        <v>5244.2146283769443</v>
      </c>
      <c r="AF281" s="145">
        <f t="shared" si="559"/>
        <v>5482.504232337973</v>
      </c>
      <c r="AG281" s="145">
        <f t="shared" si="560"/>
        <v>4589.2529898429311</v>
      </c>
      <c r="AH281" s="145">
        <f>AD281+AE281</f>
        <v>10748.37911539207</v>
      </c>
      <c r="AI281" s="145">
        <f>AG281+AF281</f>
        <v>10071.757222180904</v>
      </c>
      <c r="AJ281" s="145">
        <f>AH281+AI281</f>
        <v>20820.136337572974</v>
      </c>
      <c r="AL281" s="41">
        <f ca="1">SUM((INDIRECT(AL$2&amp;(ROW())):INDIRECT(AL$3&amp;(ROW()))))</f>
        <v>1551.2666141716552</v>
      </c>
      <c r="AM281" s="1275">
        <f ca="1">SUM(INDIRECT(AM$1&amp;AM$2&amp;$C281):INDIRECT(AM$1&amp;AM$3&amp;$C281))</f>
        <v>0</v>
      </c>
      <c r="AN281" s="1276">
        <f t="shared" ca="1" si="539"/>
        <v>1551.2666141716552</v>
      </c>
      <c r="AO281" s="1277">
        <f ca="1">IFERROR(AL281/AM281,0)</f>
        <v>0</v>
      </c>
      <c r="AP281" s="135">
        <f ca="1">SUM(INDIRECT(AP$1&amp;AP$2&amp;$A281):INDIRECT(AP$1&amp;AP$3&amp;$A281))+SUM(INDIRECT(AP$1&amp;AP$2&amp;$B281):INDIRECT(AP$1&amp;AP$3&amp;$B281))</f>
        <v>1550.6433619949212</v>
      </c>
      <c r="AQ281" s="886">
        <f t="shared" ca="1" si="540"/>
        <v>0.62325217673401312</v>
      </c>
      <c r="AR281" s="941">
        <f ca="1">IFERROR(AL281/AP281,0)</f>
        <v>1.0004019313479873</v>
      </c>
      <c r="AT281" s="41">
        <f ca="1">SUM((INDIRECT(AT$2&amp;(ROW())):INDIRECT(AT$3&amp;(ROW()))))</f>
        <v>4589.2529898429311</v>
      </c>
      <c r="AU281" s="1275">
        <f ca="1">SUM(INDIRECT(AU$1&amp;AU$2&amp;$C281):INDIRECT(AU$1&amp;AU$3&amp;$C281))</f>
        <v>0</v>
      </c>
      <c r="AV281" s="1276">
        <f t="shared" ca="1" si="541"/>
        <v>4589.2529898429311</v>
      </c>
      <c r="AW281" s="1277">
        <f ca="1">IFERROR(AT281/AU281,0)</f>
        <v>0</v>
      </c>
      <c r="AX281" s="135">
        <f ca="1">SUM(INDIRECT(AX$1&amp;AX$2&amp;$A281):INDIRECT(AX$1&amp;AX$3&amp;$A281))+SUM(INDIRECT(AX$1&amp;AX$2&amp;$B281):INDIRECT(AX$1&amp;AX$3&amp;$B281))</f>
        <v>5880.6433619949212</v>
      </c>
      <c r="AY281" s="886">
        <f t="shared" ca="1" si="542"/>
        <v>-1291.3903721519901</v>
      </c>
      <c r="AZ281" s="941">
        <f ca="1">IFERROR(AT281/AX281,0)</f>
        <v>0.78039981467029396</v>
      </c>
      <c r="BA281" s="75"/>
      <c r="BB281" s="2097">
        <f ca="1">SUM((INDIRECT(BB$2&amp;(ROW())):INDIRECT(BB$3&amp;(ROW()))))</f>
        <v>20820.136337572974</v>
      </c>
      <c r="BC281" s="135">
        <f ca="1">SUM(INDIRECT(BC$1&amp;BC$2&amp;$C281):INDIRECT(BC$1&amp;BC$3&amp;$C281))</f>
        <v>0</v>
      </c>
      <c r="BD281" s="886">
        <f t="shared" ca="1" si="543"/>
        <v>20820.136337572974</v>
      </c>
      <c r="BE281" s="941">
        <f ca="1">IFERROR(BB281/BC281,0)</f>
        <v>0</v>
      </c>
      <c r="BF281" s="135">
        <f ca="1">SUM(INDIRECT(BF$1&amp;BF$2&amp;$A281):INDIRECT(BF$1&amp;BF$3&amp;$A281))+SUM(INDIRECT(BF$1&amp;BF$2&amp;$B281):INDIRECT(BF$1&amp;BF$3&amp;$B281))</f>
        <v>21343.64336199492</v>
      </c>
      <c r="BG281" s="886">
        <f t="shared" ca="1" si="544"/>
        <v>-523.50702442194597</v>
      </c>
      <c r="BH281" s="941">
        <f ca="1">IFERROR(BB281/BF281,0)</f>
        <v>0.97547246196241655</v>
      </c>
    </row>
    <row r="282" spans="1:60" ht="14.5">
      <c r="A282" s="990">
        <f t="shared" ref="A282:A345" si="561">A281+1</f>
        <v>255</v>
      </c>
      <c r="B282" s="990">
        <v>1</v>
      </c>
      <c r="C282" s="990">
        <f t="shared" si="536"/>
        <v>279</v>
      </c>
      <c r="D282" s="1121" t="s">
        <v>887</v>
      </c>
      <c r="E282" s="1255">
        <v>1</v>
      </c>
      <c r="F282" s="9"/>
      <c r="G282" s="1241"/>
      <c r="H282" s="5"/>
      <c r="I282" s="5"/>
      <c r="J282" s="4"/>
      <c r="K282" s="30"/>
      <c r="L282" s="28"/>
      <c r="M282" s="119" t="s">
        <v>172</v>
      </c>
      <c r="N282" s="2"/>
      <c r="O282" s="2"/>
      <c r="P282" s="2"/>
      <c r="Q282" s="1852" t="str">
        <f>CHOOSE(2, "6722000003201", "PL (3) CAI Directly assigned Fixed Expenses")</f>
        <v>PL (3) CAI Directly assigned Fixed Expenses</v>
      </c>
      <c r="R282" s="2161">
        <v>463.98676549793532</v>
      </c>
      <c r="S282" s="2161">
        <v>310.96395641842105</v>
      </c>
      <c r="T282" s="2161">
        <v>655.80551451616975</v>
      </c>
      <c r="U282" s="2161">
        <v>588.14270816941882</v>
      </c>
      <c r="V282" s="2161">
        <v>801.41916619463086</v>
      </c>
      <c r="W282" s="2161">
        <v>471.30122938595883</v>
      </c>
      <c r="X282" s="2092">
        <v>815.04148367712367</v>
      </c>
      <c r="Y282" s="2092">
        <v>523.81912151404833</v>
      </c>
      <c r="Z282" s="2092">
        <v>572.11370622673394</v>
      </c>
      <c r="AA282" s="2162">
        <v>554.31243893579187</v>
      </c>
      <c r="AB282" s="2162">
        <v>563.87495521621145</v>
      </c>
      <c r="AC282" s="2162">
        <v>372.36186168516116</v>
      </c>
      <c r="AD282" s="141">
        <f>SUM(R282,S282,T282)</f>
        <v>1430.7562364325261</v>
      </c>
      <c r="AE282" s="142">
        <f t="shared" si="558"/>
        <v>1860.8631037500086</v>
      </c>
      <c r="AF282" s="142">
        <f t="shared" si="559"/>
        <v>1910.9743114179059</v>
      </c>
      <c r="AG282" s="142">
        <f t="shared" si="560"/>
        <v>1490.5492558371645</v>
      </c>
      <c r="AH282" s="142">
        <f>AD282+AE282</f>
        <v>3291.6193401825349</v>
      </c>
      <c r="AI282" s="142">
        <f>AG282+AF282</f>
        <v>3401.5235672550707</v>
      </c>
      <c r="AJ282" s="142">
        <f>AH282+AI282</f>
        <v>6693.1429074376056</v>
      </c>
      <c r="AL282" s="66">
        <f ca="1">SUM((INDIRECT(AL$2&amp;(ROW())):INDIRECT(AL$3&amp;(ROW()))))</f>
        <v>372.36186168516116</v>
      </c>
      <c r="AM282" s="92">
        <f ca="1">SUM(INDIRECT(AM$1&amp;AM$2&amp;$C282):INDIRECT(AM$1&amp;AM$3&amp;$C282))</f>
        <v>0</v>
      </c>
      <c r="AN282" s="884">
        <f t="shared" ca="1" si="539"/>
        <v>372.36186168516116</v>
      </c>
      <c r="AO282" s="937">
        <f ca="1">IFERROR(AL282/AM282,0)</f>
        <v>0</v>
      </c>
      <c r="AP282" s="285">
        <f ca="1">SUM(INDIRECT(AP$1&amp;AP$2&amp;$A282):INDIRECT(AP$1&amp;AP$3&amp;$A282))+SUM(INDIRECT(AP$1&amp;AP$2&amp;$B282):INDIRECT(AP$1&amp;AP$3&amp;$B282))</f>
        <v>254.80111500974888</v>
      </c>
      <c r="AQ282" s="889">
        <f t="shared" ca="1" si="540"/>
        <v>117.56074667541228</v>
      </c>
      <c r="AR282" s="944">
        <f ca="1">IFERROR(AL282/AP282,0)</f>
        <v>1.4613823870861566</v>
      </c>
      <c r="AT282" s="66">
        <f ca="1">SUM((INDIRECT(AT$2&amp;(ROW())):INDIRECT(AT$3&amp;(ROW()))))</f>
        <v>1490.5492558371645</v>
      </c>
      <c r="AU282" s="92">
        <f ca="1">SUM(INDIRECT(AU$1&amp;AU$2&amp;$C282):INDIRECT(AU$1&amp;AU$3&amp;$C282))</f>
        <v>0</v>
      </c>
      <c r="AV282" s="884">
        <f t="shared" ca="1" si="541"/>
        <v>1490.5492558371645</v>
      </c>
      <c r="AW282" s="937">
        <f ca="1">IFERROR(AT282/AU282,0)</f>
        <v>0</v>
      </c>
      <c r="AX282" s="285">
        <f ca="1">SUM(INDIRECT(AX$1&amp;AX$2&amp;$A282):INDIRECT(AX$1&amp;AX$3&amp;$A282))+SUM(INDIRECT(AX$1&amp;AX$2&amp;$B282):INDIRECT(AX$1&amp;AX$3&amp;$B282))</f>
        <v>1058.8011150097489</v>
      </c>
      <c r="AY282" s="889">
        <f t="shared" ca="1" si="542"/>
        <v>431.74814082741568</v>
      </c>
      <c r="AZ282" s="944">
        <f ca="1">IFERROR(AT282/AX282,0)</f>
        <v>1.4077707651672056</v>
      </c>
      <c r="BA282" s="75"/>
      <c r="BB282" s="2098">
        <f ca="1">SUM((INDIRECT(BB$2&amp;(ROW())):INDIRECT(BB$3&amp;(ROW()))))</f>
        <v>6693.1429074376047</v>
      </c>
      <c r="BC282" s="285">
        <f ca="1">SUM(INDIRECT(BC$1&amp;BC$2&amp;$C282):INDIRECT(BC$1&amp;BC$3&amp;$C282))</f>
        <v>0</v>
      </c>
      <c r="BD282" s="889">
        <f t="shared" ca="1" si="543"/>
        <v>6693.1429074376047</v>
      </c>
      <c r="BE282" s="944">
        <f ca="1">IFERROR(BB282/BC282,0)</f>
        <v>0</v>
      </c>
      <c r="BF282" s="285">
        <f ca="1">SUM(INDIRECT(BF$1&amp;BF$2&amp;$A282):INDIRECT(BF$1&amp;BF$3&amp;$A282))+SUM(INDIRECT(BF$1&amp;BF$2&amp;$B282):INDIRECT(BF$1&amp;BF$3&amp;$B282))</f>
        <v>2701.8011150097491</v>
      </c>
      <c r="BG282" s="889">
        <f t="shared" ca="1" si="544"/>
        <v>3991.3417924278556</v>
      </c>
      <c r="BH282" s="944">
        <f ca="1">IFERROR(BB282/BF282,0)</f>
        <v>2.4772892683529202</v>
      </c>
    </row>
    <row r="283" spans="1:60" ht="14.5">
      <c r="A283" s="990">
        <f t="shared" si="561"/>
        <v>256</v>
      </c>
      <c r="B283" s="990">
        <v>1</v>
      </c>
      <c r="C283" s="990">
        <f t="shared" si="536"/>
        <v>280</v>
      </c>
      <c r="D283" s="1121" t="s">
        <v>887</v>
      </c>
      <c r="E283" s="1255">
        <v>1</v>
      </c>
      <c r="F283" s="9"/>
      <c r="G283" s="1241"/>
      <c r="H283" s="5"/>
      <c r="I283" s="5"/>
      <c r="J283" s="4"/>
      <c r="K283" s="30"/>
      <c r="L283" s="764" t="s">
        <v>885</v>
      </c>
      <c r="M283" s="798"/>
      <c r="N283" s="798"/>
      <c r="O283" s="798"/>
      <c r="P283" s="798"/>
      <c r="Q283" s="1851" t="str">
        <f>CHOOSE(2, "6722000003202", "PL (3) CAI Allocation")</f>
        <v>PL (3) CAI Allocation</v>
      </c>
      <c r="R283" s="2120">
        <f>SUM(R285:R287)</f>
        <v>0</v>
      </c>
      <c r="S283" s="2120">
        <f t="shared" ref="S283:AC283" si="562">SUM(S285:S287)</f>
        <v>0</v>
      </c>
      <c r="T283" s="2120">
        <f t="shared" si="562"/>
        <v>0</v>
      </c>
      <c r="U283" s="2120">
        <f t="shared" si="562"/>
        <v>0</v>
      </c>
      <c r="V283" s="2120">
        <f t="shared" si="562"/>
        <v>0</v>
      </c>
      <c r="W283" s="2120">
        <f t="shared" si="562"/>
        <v>0</v>
      </c>
      <c r="X283" s="2081">
        <f t="shared" si="562"/>
        <v>0</v>
      </c>
      <c r="Y283" s="2081">
        <f t="shared" si="562"/>
        <v>0</v>
      </c>
      <c r="Z283" s="2081">
        <f t="shared" si="562"/>
        <v>0</v>
      </c>
      <c r="AA283" s="2158">
        <f t="shared" si="562"/>
        <v>0</v>
      </c>
      <c r="AB283" s="2158">
        <f t="shared" si="562"/>
        <v>0</v>
      </c>
      <c r="AC283" s="2158">
        <f t="shared" si="562"/>
        <v>0</v>
      </c>
      <c r="AD283" s="1524">
        <f t="shared" ref="AD283:AJ283" si="563">SUM(AD285:AD287)</f>
        <v>0</v>
      </c>
      <c r="AE283" s="1118">
        <f t="shared" si="563"/>
        <v>0</v>
      </c>
      <c r="AF283" s="1118">
        <f t="shared" si="563"/>
        <v>0</v>
      </c>
      <c r="AG283" s="1118">
        <f t="shared" si="563"/>
        <v>0</v>
      </c>
      <c r="AH283" s="1118">
        <f t="shared" si="563"/>
        <v>0</v>
      </c>
      <c r="AI283" s="1118">
        <f t="shared" si="563"/>
        <v>0</v>
      </c>
      <c r="AJ283" s="1118">
        <f t="shared" si="563"/>
        <v>0</v>
      </c>
      <c r="AL283" s="41">
        <f ca="1">SUM((INDIRECT(AL$2&amp;(ROW())):INDIRECT(AL$3&amp;(ROW()))))</f>
        <v>0</v>
      </c>
      <c r="AM283" s="1275">
        <f ca="1">SUM(INDIRECT(AM$1&amp;AM$2&amp;$C283):INDIRECT(AM$1&amp;AM$3&amp;$C283))</f>
        <v>0</v>
      </c>
      <c r="AN283" s="1276">
        <f t="shared" ca="1" si="539"/>
        <v>0</v>
      </c>
      <c r="AO283" s="1277">
        <f ca="1">IFERROR(AL283/AM283,0)</f>
        <v>0</v>
      </c>
      <c r="AP283" s="135">
        <f ca="1">SUM(INDIRECT(AP$1&amp;AP$2&amp;$A283):INDIRECT(AP$1&amp;AP$3&amp;$A283))+SUM(INDIRECT(AP$1&amp;AP$2&amp;$B283):INDIRECT(AP$1&amp;AP$3&amp;$B283))</f>
        <v>-526.80111500974886</v>
      </c>
      <c r="AQ283" s="886">
        <f t="shared" ca="1" si="540"/>
        <v>526.80111500974886</v>
      </c>
      <c r="AR283" s="941">
        <f ca="1">IFERROR(AL283/AP283,0)</f>
        <v>0</v>
      </c>
      <c r="AT283" s="41">
        <f ca="1">SUM((INDIRECT(AT$2&amp;(ROW())):INDIRECT(AT$3&amp;(ROW()))))</f>
        <v>0</v>
      </c>
      <c r="AU283" s="1275">
        <f ca="1">SUM(INDIRECT(AU$1&amp;AU$2&amp;$C283):INDIRECT(AU$1&amp;AU$3&amp;$C283))</f>
        <v>0</v>
      </c>
      <c r="AV283" s="1276">
        <f t="shared" ca="1" si="541"/>
        <v>0</v>
      </c>
      <c r="AW283" s="1277">
        <f ca="1">IFERROR(AT283/AU283,0)</f>
        <v>0</v>
      </c>
      <c r="AX283" s="135">
        <f ca="1">SUM(INDIRECT(AX$1&amp;AX$2&amp;$A283):INDIRECT(AX$1&amp;AX$3&amp;$A283))+SUM(INDIRECT(AX$1&amp;AX$2&amp;$B283):INDIRECT(AX$1&amp;AX$3&amp;$B283))</f>
        <v>-526.45981973533389</v>
      </c>
      <c r="AY283" s="886">
        <f t="shared" ca="1" si="542"/>
        <v>526.45981973533389</v>
      </c>
      <c r="AZ283" s="941">
        <f ca="1">IFERROR(AT283/AX283,0)</f>
        <v>0</v>
      </c>
      <c r="BA283" s="75"/>
      <c r="BB283" s="2097">
        <f ca="1">SUM((INDIRECT(BB$2&amp;(ROW())):INDIRECT(BB$3&amp;(ROW()))))</f>
        <v>0</v>
      </c>
      <c r="BC283" s="135">
        <f ca="1">SUM(INDIRECT(BC$1&amp;BC$2&amp;$C283):INDIRECT(BC$1&amp;BC$3&amp;$C283))</f>
        <v>0</v>
      </c>
      <c r="BD283" s="886">
        <f t="shared" ca="1" si="543"/>
        <v>0</v>
      </c>
      <c r="BE283" s="941">
        <f ca="1">IFERROR(BB283/BC283,0)</f>
        <v>0</v>
      </c>
      <c r="BF283" s="135">
        <f ca="1">SUM(INDIRECT(BF$1&amp;BF$2&amp;$A283):INDIRECT(BF$1&amp;BF$3&amp;$A283))+SUM(INDIRECT(BF$1&amp;BF$2&amp;$B283):INDIRECT(BF$1&amp;BF$3&amp;$B283))</f>
        <v>-526.45981973533389</v>
      </c>
      <c r="BG283" s="886">
        <f t="shared" ca="1" si="544"/>
        <v>526.45981973533389</v>
      </c>
      <c r="BH283" s="941">
        <f ca="1">IFERROR(BB283/BF283,0)</f>
        <v>0</v>
      </c>
    </row>
    <row r="284" spans="1:60" ht="14.5">
      <c r="A284" s="990">
        <f t="shared" si="561"/>
        <v>257</v>
      </c>
      <c r="B284" s="990">
        <v>1</v>
      </c>
      <c r="C284" s="990">
        <f t="shared" si="536"/>
        <v>281</v>
      </c>
      <c r="D284" s="1121" t="s">
        <v>887</v>
      </c>
      <c r="E284" s="1255">
        <v>1</v>
      </c>
      <c r="F284" s="9"/>
      <c r="G284" s="1241"/>
      <c r="H284" s="5"/>
      <c r="I284" s="5"/>
      <c r="J284" s="4"/>
      <c r="K284" s="30"/>
      <c r="L284" s="613"/>
      <c r="M284" s="676" t="s">
        <v>888</v>
      </c>
      <c r="N284" s="51"/>
      <c r="O284" s="51"/>
      <c r="P284" s="51"/>
      <c r="Q284" s="1842" t="str">
        <f>CHOOSE(2, "6722000003203", "PL (3) CAI Allocation SGA (%)")</f>
        <v>PL (3) CAI Allocation SGA (%)</v>
      </c>
      <c r="R284" s="1119">
        <f>IFERROR(R283/R268,0)</f>
        <v>0</v>
      </c>
      <c r="S284" s="1119">
        <f t="shared" ref="S284:AC284" si="564">IFERROR(S283/S268,0)</f>
        <v>0</v>
      </c>
      <c r="T284" s="1119">
        <f t="shared" si="564"/>
        <v>0</v>
      </c>
      <c r="U284" s="1119">
        <f t="shared" si="564"/>
        <v>0</v>
      </c>
      <c r="V284" s="1119">
        <f t="shared" si="564"/>
        <v>0</v>
      </c>
      <c r="W284" s="1119">
        <f t="shared" si="564"/>
        <v>0</v>
      </c>
      <c r="X284" s="1119">
        <f t="shared" si="564"/>
        <v>0</v>
      </c>
      <c r="Y284" s="1119">
        <f t="shared" si="564"/>
        <v>0</v>
      </c>
      <c r="Z284" s="1119">
        <f t="shared" si="564"/>
        <v>0</v>
      </c>
      <c r="AA284" s="1119">
        <f t="shared" si="564"/>
        <v>0</v>
      </c>
      <c r="AB284" s="1119">
        <f t="shared" si="564"/>
        <v>0</v>
      </c>
      <c r="AC284" s="1119">
        <f t="shared" si="564"/>
        <v>0</v>
      </c>
      <c r="AD284" s="1525">
        <f t="shared" ref="AD284:AJ284" si="565">IFERROR(AD283/AD268,0)</f>
        <v>0</v>
      </c>
      <c r="AE284" s="1119">
        <f t="shared" si="565"/>
        <v>0</v>
      </c>
      <c r="AF284" s="1119">
        <f t="shared" si="565"/>
        <v>0</v>
      </c>
      <c r="AG284" s="1119">
        <f t="shared" si="565"/>
        <v>0</v>
      </c>
      <c r="AH284" s="1119">
        <f t="shared" si="565"/>
        <v>0</v>
      </c>
      <c r="AI284" s="1119">
        <f t="shared" si="565"/>
        <v>0</v>
      </c>
      <c r="AJ284" s="1119">
        <f t="shared" si="565"/>
        <v>0</v>
      </c>
      <c r="AL284" s="1283">
        <f ca="1">IFERROR(AL283/AL268,0)</f>
        <v>0</v>
      </c>
      <c r="AM284" s="1283">
        <f ca="1">IFERROR(AM283/AM268,0)</f>
        <v>0</v>
      </c>
      <c r="AN284" s="1283">
        <f t="shared" ca="1" si="539"/>
        <v>0</v>
      </c>
      <c r="AO284" s="1281"/>
      <c r="AP284" s="1283">
        <f ca="1">IFERROR(AP283/AP268,0)</f>
        <v>-0.43672466429747431</v>
      </c>
      <c r="AQ284" s="1283">
        <f ca="1">IFERROR(AQ283/AQ264,0)</f>
        <v>-5.4393506970547123E-2</v>
      </c>
      <c r="AR284" s="1374"/>
      <c r="AT284" s="1283">
        <f ca="1">IFERROR(AT283/AT268,0)</f>
        <v>0</v>
      </c>
      <c r="AU284" s="1283">
        <f ca="1">IFERROR(AU283/AU268,0)</f>
        <v>0</v>
      </c>
      <c r="AV284" s="1283">
        <f t="shared" ca="1" si="541"/>
        <v>0</v>
      </c>
      <c r="AW284" s="1281"/>
      <c r="AX284" s="1283">
        <f ca="1">IFERROR(AX283/AX268,0)</f>
        <v>-8.1753549769968847E-2</v>
      </c>
      <c r="AY284" s="1283">
        <f ca="1">IFERROR(AY283/AY264,0)</f>
        <v>-5.3698472025227859E-2</v>
      </c>
      <c r="AZ284" s="1374"/>
      <c r="BA284" s="75"/>
      <c r="BB284" s="1283">
        <f ca="1">IFERROR(BB283/BB268,0)</f>
        <v>0</v>
      </c>
      <c r="BC284" s="1283">
        <f ca="1">IFERROR(BC283/BC268,0)</f>
        <v>0</v>
      </c>
      <c r="BD284" s="1283">
        <f t="shared" ca="1" si="543"/>
        <v>0</v>
      </c>
      <c r="BE284" s="1377"/>
      <c r="BF284" s="1283">
        <f ca="1">IFERROR(BF283/BF268,0)</f>
        <v>-2.1764794576046576E-2</v>
      </c>
      <c r="BG284" s="1283">
        <f ca="1">IFERROR(BG283/BG264,0)</f>
        <v>-7.5270912785533745E-2</v>
      </c>
      <c r="BH284" s="1374"/>
    </row>
    <row r="285" spans="1:60" ht="14.5">
      <c r="A285" s="990">
        <f t="shared" si="561"/>
        <v>258</v>
      </c>
      <c r="B285" s="990">
        <v>1</v>
      </c>
      <c r="C285" s="990">
        <f t="shared" si="536"/>
        <v>282</v>
      </c>
      <c r="D285" s="1121" t="s">
        <v>887</v>
      </c>
      <c r="E285" s="1255">
        <v>1</v>
      </c>
      <c r="F285" s="9"/>
      <c r="G285" s="1241"/>
      <c r="H285" s="5"/>
      <c r="I285" s="5"/>
      <c r="J285" s="4"/>
      <c r="K285" s="30"/>
      <c r="L285" s="30"/>
      <c r="M285" s="40" t="s">
        <v>170</v>
      </c>
      <c r="N285" s="4"/>
      <c r="O285" s="4"/>
      <c r="P285" s="4"/>
      <c r="Q285" s="1851" t="str">
        <f>CHOOSE(2, "6722000003204", "PL (3) CAI Allocation Variable Expenses")</f>
        <v>PL (3) CAI Allocation Variable Expenses</v>
      </c>
      <c r="R285" s="41">
        <f>R269-R280</f>
        <v>0</v>
      </c>
      <c r="S285" s="41">
        <f t="shared" ref="S285:AC285" si="566">S269-S280</f>
        <v>0</v>
      </c>
      <c r="T285" s="41">
        <f t="shared" si="566"/>
        <v>0</v>
      </c>
      <c r="U285" s="41">
        <f t="shared" si="566"/>
        <v>0</v>
      </c>
      <c r="V285" s="41">
        <f t="shared" si="566"/>
        <v>0</v>
      </c>
      <c r="W285" s="41">
        <f t="shared" si="566"/>
        <v>0</v>
      </c>
      <c r="X285" s="19">
        <f t="shared" si="566"/>
        <v>0</v>
      </c>
      <c r="Y285" s="19">
        <f t="shared" si="566"/>
        <v>0</v>
      </c>
      <c r="Z285" s="19">
        <f t="shared" si="566"/>
        <v>0</v>
      </c>
      <c r="AA285" s="145">
        <f t="shared" si="566"/>
        <v>0</v>
      </c>
      <c r="AB285" s="145">
        <f t="shared" si="566"/>
        <v>0</v>
      </c>
      <c r="AC285" s="145">
        <f t="shared" si="566"/>
        <v>0</v>
      </c>
      <c r="AD285" s="144">
        <f>SUM(R285,S285,T285)</f>
        <v>0</v>
      </c>
      <c r="AE285" s="145">
        <f t="shared" ref="AE285:AE287" si="567">SUM(U285,V285,W285)</f>
        <v>0</v>
      </c>
      <c r="AF285" s="145">
        <f t="shared" ref="AF285:AF287" si="568">SUM(X285,Y285,Z285)</f>
        <v>0</v>
      </c>
      <c r="AG285" s="145">
        <f t="shared" ref="AG285:AG287" si="569">SUM(AA285,AB285,AC285)</f>
        <v>0</v>
      </c>
      <c r="AH285" s="145">
        <f>AD285+AE285</f>
        <v>0</v>
      </c>
      <c r="AI285" s="145">
        <f>AG285+AF285</f>
        <v>0</v>
      </c>
      <c r="AJ285" s="145">
        <f>AH285+AI285</f>
        <v>0</v>
      </c>
      <c r="AL285" s="41">
        <f ca="1">SUM((INDIRECT(AL$2&amp;(ROW())):INDIRECT(AL$3&amp;(ROW()))))</f>
        <v>0</v>
      </c>
      <c r="AM285" s="1275">
        <f ca="1">SUM(INDIRECT(AM$1&amp;AM$2&amp;$C285):INDIRECT(AM$1&amp;AM$3&amp;$C285))</f>
        <v>0</v>
      </c>
      <c r="AN285" s="1276">
        <f t="shared" ca="1" si="539"/>
        <v>0</v>
      </c>
      <c r="AO285" s="1277">
        <f ca="1">IFERROR(AL285/AM285,0)</f>
        <v>0</v>
      </c>
      <c r="AP285" s="135">
        <f ca="1">SUM(INDIRECT(AP$1&amp;AP$2&amp;$A285):INDIRECT(AP$1&amp;AP$3&amp;$A285))+SUM(INDIRECT(AP$1&amp;AP$2&amp;$B285):INDIRECT(AP$1&amp;AP$3&amp;$B285))</f>
        <v>0</v>
      </c>
      <c r="AQ285" s="886">
        <f ca="1">AL285-AP285</f>
        <v>0</v>
      </c>
      <c r="AR285" s="941">
        <f ca="1">IFERROR(AL285/AP285,0)</f>
        <v>0</v>
      </c>
      <c r="AT285" s="41">
        <f ca="1">SUM((INDIRECT(AT$2&amp;(ROW())):INDIRECT(AT$3&amp;(ROW()))))</f>
        <v>0</v>
      </c>
      <c r="AU285" s="1275">
        <f ca="1">SUM(INDIRECT(AU$1&amp;AU$2&amp;$C285):INDIRECT(AU$1&amp;AU$3&amp;$C285))</f>
        <v>0</v>
      </c>
      <c r="AV285" s="1276">
        <f t="shared" ca="1" si="541"/>
        <v>0</v>
      </c>
      <c r="AW285" s="1277">
        <f ca="1">IFERROR(AT285/AU285,0)</f>
        <v>0</v>
      </c>
      <c r="AX285" s="135">
        <f ca="1">SUM(INDIRECT(AX$1&amp;AX$2&amp;$A285):INDIRECT(AX$1&amp;AX$3&amp;$A285))+SUM(INDIRECT(AX$1&amp;AX$2&amp;$B285):INDIRECT(AX$1&amp;AX$3&amp;$B285))</f>
        <v>0.42048368842064576</v>
      </c>
      <c r="AY285" s="886">
        <f ca="1">AT285-AX285</f>
        <v>-0.42048368842064576</v>
      </c>
      <c r="AZ285" s="941">
        <f ca="1">IFERROR(AT285/AX285,0)</f>
        <v>0</v>
      </c>
      <c r="BA285" s="75"/>
      <c r="BB285" s="2097">
        <f ca="1">SUM((INDIRECT(BB$2&amp;(ROW())):INDIRECT(BB$3&amp;(ROW()))))</f>
        <v>0</v>
      </c>
      <c r="BC285" s="135">
        <f ca="1">SUM(INDIRECT(BC$1&amp;BC$2&amp;$C285):INDIRECT(BC$1&amp;BC$3&amp;$C285))</f>
        <v>0</v>
      </c>
      <c r="BD285" s="886">
        <f t="shared" ca="1" si="543"/>
        <v>0</v>
      </c>
      <c r="BE285" s="941">
        <f ca="1">IFERROR(BB285/BC285,0)</f>
        <v>0</v>
      </c>
      <c r="BF285" s="135">
        <f ca="1">SUM(INDIRECT(BF$1&amp;BF$2&amp;$A285):INDIRECT(BF$1&amp;BF$3&amp;$A285))+SUM(INDIRECT(BF$1&amp;BF$2&amp;$B285):INDIRECT(BF$1&amp;BF$3&amp;$B285))</f>
        <v>0.42048368842064576</v>
      </c>
      <c r="BG285" s="886">
        <f ca="1">BB285-BF285</f>
        <v>-0.42048368842064576</v>
      </c>
      <c r="BH285" s="941">
        <f ca="1">IFERROR(BB285/BF285,0)</f>
        <v>0</v>
      </c>
    </row>
    <row r="286" spans="1:60" ht="14.5">
      <c r="A286" s="990">
        <f t="shared" si="561"/>
        <v>259</v>
      </c>
      <c r="B286" s="990">
        <v>1</v>
      </c>
      <c r="C286" s="990">
        <f t="shared" si="536"/>
        <v>283</v>
      </c>
      <c r="D286" s="1121" t="s">
        <v>887</v>
      </c>
      <c r="E286" s="1255">
        <v>1</v>
      </c>
      <c r="F286" s="9"/>
      <c r="G286" s="1241"/>
      <c r="H286" s="5"/>
      <c r="I286" s="5"/>
      <c r="J286" s="4"/>
      <c r="K286" s="30"/>
      <c r="L286" s="30"/>
      <c r="M286" s="40" t="s">
        <v>171</v>
      </c>
      <c r="N286" s="4"/>
      <c r="O286" s="4"/>
      <c r="P286" s="4"/>
      <c r="Q286" s="1851" t="str">
        <f>CHOOSE(2, "6722000003205", "PL (3) CAI Allocation Wages &amp; Salaries")</f>
        <v>PL (3) CAI Allocation Wages &amp; Salaries</v>
      </c>
      <c r="R286" s="41">
        <f t="shared" ref="R286:AC287" si="570">R270-R281</f>
        <v>0</v>
      </c>
      <c r="S286" s="41">
        <f t="shared" si="570"/>
        <v>0</v>
      </c>
      <c r="T286" s="41">
        <f t="shared" si="570"/>
        <v>0</v>
      </c>
      <c r="U286" s="41">
        <f t="shared" si="570"/>
        <v>0</v>
      </c>
      <c r="V286" s="41">
        <f t="shared" si="570"/>
        <v>0</v>
      </c>
      <c r="W286" s="41">
        <f t="shared" si="570"/>
        <v>0</v>
      </c>
      <c r="X286" s="19">
        <f t="shared" si="570"/>
        <v>0</v>
      </c>
      <c r="Y286" s="19">
        <f t="shared" si="570"/>
        <v>0</v>
      </c>
      <c r="Z286" s="19">
        <f t="shared" si="570"/>
        <v>0</v>
      </c>
      <c r="AA286" s="145">
        <f t="shared" si="570"/>
        <v>0</v>
      </c>
      <c r="AB286" s="145">
        <f t="shared" si="570"/>
        <v>0</v>
      </c>
      <c r="AC286" s="145">
        <f t="shared" si="570"/>
        <v>0</v>
      </c>
      <c r="AD286" s="144">
        <f>SUM(R286,S286,T286)</f>
        <v>0</v>
      </c>
      <c r="AE286" s="145">
        <f t="shared" si="567"/>
        <v>0</v>
      </c>
      <c r="AF286" s="145">
        <f t="shared" si="568"/>
        <v>0</v>
      </c>
      <c r="AG286" s="145">
        <f t="shared" si="569"/>
        <v>0</v>
      </c>
      <c r="AH286" s="145">
        <f>AD286+AE286</f>
        <v>0</v>
      </c>
      <c r="AI286" s="145">
        <f>AG286+AF286</f>
        <v>0</v>
      </c>
      <c r="AJ286" s="145">
        <f>AH286+AI286</f>
        <v>0</v>
      </c>
      <c r="AL286" s="41">
        <f ca="1">SUM((INDIRECT(AL$2&amp;(ROW())):INDIRECT(AL$3&amp;(ROW()))))</f>
        <v>0</v>
      </c>
      <c r="AM286" s="1275">
        <f ca="1">SUM(INDIRECT(AM$1&amp;AM$2&amp;$C286):INDIRECT(AM$1&amp;AM$3&amp;$C286))</f>
        <v>0</v>
      </c>
      <c r="AN286" s="1276">
        <f t="shared" ca="1" si="539"/>
        <v>0</v>
      </c>
      <c r="AO286" s="1277">
        <f ca="1">IFERROR(AL286/AM286,0)</f>
        <v>0</v>
      </c>
      <c r="AP286" s="135">
        <f ca="1">SUM(INDIRECT(AP$1&amp;AP$2&amp;$A286):INDIRECT(AP$1&amp;AP$3&amp;$A286))+SUM(INDIRECT(AP$1&amp;AP$2&amp;$B286):INDIRECT(AP$1&amp;AP$3&amp;$B286))</f>
        <v>0</v>
      </c>
      <c r="AQ286" s="886">
        <f ca="1">AL286-AP286</f>
        <v>0</v>
      </c>
      <c r="AR286" s="941">
        <f ca="1">IFERROR(AL286/AP286,0)</f>
        <v>0</v>
      </c>
      <c r="AT286" s="41">
        <f ca="1">SUM((INDIRECT(AT$2&amp;(ROW())):INDIRECT(AT$3&amp;(ROW()))))</f>
        <v>0</v>
      </c>
      <c r="AU286" s="1275">
        <f ca="1">SUM(INDIRECT(AU$1&amp;AU$2&amp;$C286):INDIRECT(AU$1&amp;AU$3&amp;$C286))</f>
        <v>0</v>
      </c>
      <c r="AV286" s="1276">
        <f t="shared" ca="1" si="541"/>
        <v>0</v>
      </c>
      <c r="AW286" s="1277">
        <f ca="1">IFERROR(AT286/AU286,0)</f>
        <v>0</v>
      </c>
      <c r="AX286" s="135">
        <f ca="1">SUM(INDIRECT(AX$1&amp;AX$2&amp;$A286):INDIRECT(AX$1&amp;AX$3&amp;$A286))+SUM(INDIRECT(AX$1&amp;AX$2&amp;$B286):INDIRECT(AX$1&amp;AX$3&amp;$B286))</f>
        <v>-0.21479241053611986</v>
      </c>
      <c r="AY286" s="886">
        <f ca="1">AT286-AX286</f>
        <v>0.21479241053611986</v>
      </c>
      <c r="AZ286" s="941">
        <f ca="1">IFERROR(AT286/AX286,0)</f>
        <v>0</v>
      </c>
      <c r="BA286" s="75"/>
      <c r="BB286" s="2097">
        <f ca="1">SUM((INDIRECT(BB$2&amp;(ROW())):INDIRECT(BB$3&amp;(ROW()))))</f>
        <v>0</v>
      </c>
      <c r="BC286" s="135">
        <f ca="1">SUM(INDIRECT(BC$1&amp;BC$2&amp;$C286):INDIRECT(BC$1&amp;BC$3&amp;$C286))</f>
        <v>0</v>
      </c>
      <c r="BD286" s="886">
        <f t="shared" ca="1" si="543"/>
        <v>0</v>
      </c>
      <c r="BE286" s="941">
        <f ca="1">IFERROR(BB286/BC286,0)</f>
        <v>0</v>
      </c>
      <c r="BF286" s="135">
        <f ca="1">SUM(INDIRECT(BF$1&amp;BF$2&amp;$A286):INDIRECT(BF$1&amp;BF$3&amp;$A286))+SUM(INDIRECT(BF$1&amp;BF$2&amp;$B286):INDIRECT(BF$1&amp;BF$3&amp;$B286))</f>
        <v>-0.21479241053611986</v>
      </c>
      <c r="BG286" s="886">
        <f ca="1">BB286-BF286</f>
        <v>0.21479241053611986</v>
      </c>
      <c r="BH286" s="941">
        <f ca="1">IFERROR(BB286/BF286,0)</f>
        <v>0</v>
      </c>
    </row>
    <row r="287" spans="1:60" ht="14.5">
      <c r="A287" s="990">
        <f t="shared" si="561"/>
        <v>260</v>
      </c>
      <c r="B287" s="990">
        <v>1</v>
      </c>
      <c r="C287" s="990">
        <f t="shared" si="536"/>
        <v>284</v>
      </c>
      <c r="D287" s="1121" t="s">
        <v>887</v>
      </c>
      <c r="E287" s="1255">
        <v>1</v>
      </c>
      <c r="F287" s="9"/>
      <c r="G287" s="1241"/>
      <c r="H287" s="5"/>
      <c r="I287" s="5"/>
      <c r="J287" s="4"/>
      <c r="K287" s="28"/>
      <c r="L287" s="28"/>
      <c r="M287" s="119" t="s">
        <v>172</v>
      </c>
      <c r="N287" s="2"/>
      <c r="O287" s="2"/>
      <c r="P287" s="2"/>
      <c r="Q287" s="1851" t="str">
        <f>CHOOSE(2, "6722000003206", "PL (3) CAI Allocation Fixed Expenses")</f>
        <v>PL (3) CAI Allocation Fixed Expenses</v>
      </c>
      <c r="R287" s="66">
        <f t="shared" si="570"/>
        <v>0</v>
      </c>
      <c r="S287" s="66">
        <f t="shared" si="570"/>
        <v>0</v>
      </c>
      <c r="T287" s="66">
        <f t="shared" si="570"/>
        <v>0</v>
      </c>
      <c r="U287" s="66">
        <f t="shared" si="570"/>
        <v>0</v>
      </c>
      <c r="V287" s="66">
        <f t="shared" si="570"/>
        <v>0</v>
      </c>
      <c r="W287" s="66">
        <f t="shared" si="570"/>
        <v>0</v>
      </c>
      <c r="X287" s="17">
        <f t="shared" si="570"/>
        <v>0</v>
      </c>
      <c r="Y287" s="17">
        <f t="shared" si="570"/>
        <v>0</v>
      </c>
      <c r="Z287" s="17">
        <f t="shared" si="570"/>
        <v>0</v>
      </c>
      <c r="AA287" s="142">
        <f t="shared" si="570"/>
        <v>0</v>
      </c>
      <c r="AB287" s="142">
        <f t="shared" si="570"/>
        <v>0</v>
      </c>
      <c r="AC287" s="142">
        <f t="shared" si="570"/>
        <v>0</v>
      </c>
      <c r="AD287" s="141">
        <f>SUM(R287,S287,T287)</f>
        <v>0</v>
      </c>
      <c r="AE287" s="142">
        <f t="shared" si="567"/>
        <v>0</v>
      </c>
      <c r="AF287" s="142">
        <f t="shared" si="568"/>
        <v>0</v>
      </c>
      <c r="AG287" s="142">
        <f t="shared" si="569"/>
        <v>0</v>
      </c>
      <c r="AH287" s="142">
        <f>AD287+AE287</f>
        <v>0</v>
      </c>
      <c r="AI287" s="142">
        <f>AG287+AF287</f>
        <v>0</v>
      </c>
      <c r="AJ287" s="142">
        <f>AH287+AI287</f>
        <v>0</v>
      </c>
      <c r="AL287" s="66">
        <f ca="1">SUM((INDIRECT(AL$2&amp;(ROW())):INDIRECT(AL$3&amp;(ROW()))))</f>
        <v>0</v>
      </c>
      <c r="AM287" s="92">
        <f ca="1">SUM(INDIRECT(AM$1&amp;AM$2&amp;$C287):INDIRECT(AM$1&amp;AM$3&amp;$C287))</f>
        <v>0</v>
      </c>
      <c r="AN287" s="884">
        <f t="shared" ca="1" si="539"/>
        <v>0</v>
      </c>
      <c r="AO287" s="937">
        <f ca="1">IFERROR(AL287/AM287,0)</f>
        <v>0</v>
      </c>
      <c r="AP287" s="285">
        <f ca="1">SUM(INDIRECT(AP$1&amp;AP$2&amp;$A287):INDIRECT(AP$1&amp;AP$3&amp;$A287))+SUM(INDIRECT(AP$1&amp;AP$2&amp;$B287):INDIRECT(AP$1&amp;AP$3&amp;$B287))</f>
        <v>-526.80111500974886</v>
      </c>
      <c r="AQ287" s="889">
        <f ca="1">AL287-AP287</f>
        <v>526.80111500974886</v>
      </c>
      <c r="AR287" s="944">
        <f ca="1">IFERROR(AL287/AP287,0)</f>
        <v>0</v>
      </c>
      <c r="AT287" s="66">
        <f ca="1">SUM((INDIRECT(AT$2&amp;(ROW())):INDIRECT(AT$3&amp;(ROW()))))</f>
        <v>0</v>
      </c>
      <c r="AU287" s="92">
        <f ca="1">SUM(INDIRECT(AU$1&amp;AU$2&amp;$C287):INDIRECT(AU$1&amp;AU$3&amp;$C287))</f>
        <v>0</v>
      </c>
      <c r="AV287" s="884">
        <f t="shared" ca="1" si="541"/>
        <v>0</v>
      </c>
      <c r="AW287" s="937">
        <f ca="1">IFERROR(AT287/AU287,0)</f>
        <v>0</v>
      </c>
      <c r="AX287" s="285">
        <f ca="1">SUM(INDIRECT(AX$1&amp;AX$2&amp;$A287):INDIRECT(AX$1&amp;AX$3&amp;$A287))+SUM(INDIRECT(AX$1&amp;AX$2&amp;$B287):INDIRECT(AX$1&amp;AX$3&amp;$B287))</f>
        <v>-526.66551101321841</v>
      </c>
      <c r="AY287" s="889">
        <f ca="1">AT287-AX287</f>
        <v>526.66551101321841</v>
      </c>
      <c r="AZ287" s="944">
        <f ca="1">IFERROR(AT287/AX287,0)</f>
        <v>0</v>
      </c>
      <c r="BA287" s="75"/>
      <c r="BB287" s="2098">
        <f ca="1">SUM((INDIRECT(BB$2&amp;(ROW())):INDIRECT(BB$3&amp;(ROW()))))</f>
        <v>0</v>
      </c>
      <c r="BC287" s="285">
        <f ca="1">SUM(INDIRECT(BC$1&amp;BC$2&amp;$C287):INDIRECT(BC$1&amp;BC$3&amp;$C287))</f>
        <v>0</v>
      </c>
      <c r="BD287" s="889">
        <f t="shared" ca="1" si="543"/>
        <v>0</v>
      </c>
      <c r="BE287" s="944">
        <f ca="1">IFERROR(BB287/BC287,0)</f>
        <v>0</v>
      </c>
      <c r="BF287" s="285">
        <f ca="1">SUM(INDIRECT(BF$1&amp;BF$2&amp;$A287):INDIRECT(BF$1&amp;BF$3&amp;$A287))+SUM(INDIRECT(BF$1&amp;BF$2&amp;$B287):INDIRECT(BF$1&amp;BF$3&amp;$B287))</f>
        <v>-526.66551101321841</v>
      </c>
      <c r="BG287" s="889">
        <f ca="1">BB287-BF287</f>
        <v>526.66551101321841</v>
      </c>
      <c r="BH287" s="944">
        <f ca="1">IFERROR(BB287/BF287,0)</f>
        <v>0</v>
      </c>
    </row>
    <row r="288" spans="1:60" ht="14.5">
      <c r="A288" s="990">
        <f t="shared" si="561"/>
        <v>261</v>
      </c>
      <c r="B288" s="990">
        <v>1</v>
      </c>
      <c r="C288" s="990">
        <f t="shared" si="536"/>
        <v>285</v>
      </c>
      <c r="D288" s="1121" t="s">
        <v>887</v>
      </c>
      <c r="E288" s="1243">
        <v>1</v>
      </c>
      <c r="F288" s="5"/>
      <c r="G288" s="5"/>
      <c r="H288" s="5"/>
      <c r="I288" s="5"/>
      <c r="J288" s="4"/>
      <c r="K288" s="5"/>
      <c r="L288" s="5"/>
      <c r="M288" s="4"/>
      <c r="N288" s="4"/>
      <c r="O288" s="4"/>
      <c r="P288" s="4"/>
      <c r="Q288" s="1839" t="str">
        <f>CHOOSE(2, "6722000003207", "▷ Blank 13")</f>
        <v>▷ Blank 13</v>
      </c>
      <c r="R288" s="2225"/>
      <c r="S288" s="1151"/>
      <c r="T288" s="1151"/>
      <c r="U288" s="1151"/>
      <c r="V288" s="1151"/>
      <c r="W288" s="1151"/>
      <c r="AA288" s="163"/>
      <c r="AB288" s="163"/>
      <c r="AC288" s="163"/>
      <c r="AD288" s="163"/>
      <c r="AE288" s="163"/>
      <c r="AF288" s="163"/>
      <c r="AG288" s="163"/>
      <c r="AH288" s="163"/>
      <c r="AI288" s="163"/>
      <c r="AJ288" s="868"/>
      <c r="AL288" s="163"/>
      <c r="AM288" s="163"/>
      <c r="AN288" s="163"/>
      <c r="AO288" s="163"/>
      <c r="AP288" s="163"/>
      <c r="AQ288" s="163"/>
      <c r="AR288" s="163"/>
      <c r="AT288" s="163"/>
      <c r="AU288" s="163"/>
      <c r="AV288" s="163"/>
      <c r="AW288" s="163"/>
      <c r="AX288" s="163"/>
      <c r="AY288" s="163"/>
      <c r="AZ288" s="163"/>
      <c r="BB288" s="163"/>
      <c r="BC288" s="163"/>
      <c r="BD288" s="163"/>
      <c r="BE288" s="163"/>
      <c r="BF288" s="163"/>
      <c r="BG288" s="163"/>
      <c r="BH288" s="163"/>
    </row>
    <row r="289" spans="1:60" ht="14.5">
      <c r="A289" s="990">
        <f t="shared" si="561"/>
        <v>262</v>
      </c>
      <c r="B289" s="990">
        <v>1</v>
      </c>
      <c r="C289" s="990">
        <f t="shared" si="536"/>
        <v>286</v>
      </c>
      <c r="D289" s="1121" t="s">
        <v>887</v>
      </c>
      <c r="E289" s="1243">
        <v>1</v>
      </c>
      <c r="F289" s="5"/>
      <c r="G289" s="5"/>
      <c r="H289" s="5" t="s">
        <v>483</v>
      </c>
      <c r="I289" s="5"/>
      <c r="J289" s="4"/>
      <c r="K289" s="5"/>
      <c r="L289" s="5"/>
      <c r="M289" s="4"/>
      <c r="N289" s="4"/>
      <c r="O289" s="4"/>
      <c r="P289" s="4"/>
      <c r="Q289" s="1839" t="str">
        <f>CHOOSE(2, "6722000003208", "PL (4) MS (Marketing Service)")</f>
        <v>PL (4) MS (Marketing Service)</v>
      </c>
      <c r="R289" s="2225"/>
      <c r="S289" s="1151"/>
      <c r="T289" s="1151"/>
      <c r="U289" s="1151"/>
      <c r="V289" s="1151"/>
      <c r="W289" s="1151"/>
      <c r="AB289" s="1"/>
      <c r="AC289" s="1"/>
      <c r="AD289" s="1"/>
      <c r="AE289" s="1"/>
      <c r="AF289" s="1"/>
      <c r="AG289" s="1"/>
      <c r="AH289" s="1"/>
      <c r="AI289" s="1"/>
      <c r="AJ289" s="1"/>
      <c r="AL289" s="1"/>
      <c r="AM289" s="1"/>
      <c r="AN289" s="1"/>
      <c r="AO289" s="1"/>
      <c r="AP289" s="1"/>
      <c r="AQ289" s="1"/>
      <c r="AR289" s="1"/>
      <c r="AT289" s="1"/>
      <c r="AU289" s="1"/>
      <c r="AV289" s="1"/>
      <c r="AW289" s="1"/>
      <c r="AX289" s="1"/>
      <c r="AY289" s="1"/>
      <c r="AZ289" s="1"/>
      <c r="BB289" s="1"/>
      <c r="BC289" s="1"/>
      <c r="BD289" s="1"/>
      <c r="BE289" s="1"/>
      <c r="BF289" s="1"/>
      <c r="BG289" s="1"/>
      <c r="BH289" s="1"/>
    </row>
    <row r="290" spans="1:60" ht="14.5">
      <c r="A290" s="990">
        <f t="shared" si="561"/>
        <v>263</v>
      </c>
      <c r="B290" s="990">
        <v>1</v>
      </c>
      <c r="C290" s="990">
        <f t="shared" si="536"/>
        <v>287</v>
      </c>
      <c r="D290" s="1121" t="s">
        <v>887</v>
      </c>
      <c r="E290" s="1243">
        <v>1</v>
      </c>
      <c r="F290" s="5"/>
      <c r="G290" s="5"/>
      <c r="H290" s="5"/>
      <c r="I290" s="326" t="s">
        <v>9</v>
      </c>
      <c r="J290" s="327"/>
      <c r="K290" s="328"/>
      <c r="L290" s="328"/>
      <c r="M290" s="327"/>
      <c r="N290" s="327"/>
      <c r="O290" s="608" t="s">
        <v>530</v>
      </c>
      <c r="P290" s="829"/>
      <c r="Q290" s="1863" t="str">
        <f>CHOOSE(2, "6722000003209", "PL (4) Net Sales")</f>
        <v>PL (4) Net Sales</v>
      </c>
      <c r="R290" s="2765">
        <f>SUM(R291,R295)</f>
        <v>0</v>
      </c>
      <c r="S290" s="2766">
        <f t="shared" ref="S290:AC290" si="571">SUM(S291,S295)</f>
        <v>0</v>
      </c>
      <c r="T290" s="2766">
        <f t="shared" si="571"/>
        <v>0</v>
      </c>
      <c r="U290" s="2766">
        <f t="shared" si="571"/>
        <v>0</v>
      </c>
      <c r="V290" s="2766">
        <f t="shared" si="571"/>
        <v>0</v>
      </c>
      <c r="W290" s="2766">
        <f t="shared" si="571"/>
        <v>0</v>
      </c>
      <c r="X290" s="2766">
        <f t="shared" si="571"/>
        <v>0</v>
      </c>
      <c r="Y290" s="2766">
        <f t="shared" si="571"/>
        <v>0</v>
      </c>
      <c r="Z290" s="2766">
        <f t="shared" si="571"/>
        <v>0</v>
      </c>
      <c r="AA290" s="2766">
        <f t="shared" si="571"/>
        <v>0</v>
      </c>
      <c r="AB290" s="2766">
        <f t="shared" si="571"/>
        <v>0</v>
      </c>
      <c r="AC290" s="2766">
        <f t="shared" si="571"/>
        <v>0</v>
      </c>
      <c r="AD290" s="673">
        <f t="shared" ref="AD290:AJ290" si="572">SUM(AD291,AD295)</f>
        <v>0</v>
      </c>
      <c r="AE290" s="673">
        <f t="shared" si="572"/>
        <v>0</v>
      </c>
      <c r="AF290" s="673">
        <f t="shared" si="572"/>
        <v>0</v>
      </c>
      <c r="AG290" s="673">
        <f t="shared" si="572"/>
        <v>0</v>
      </c>
      <c r="AH290" s="673">
        <f t="shared" si="572"/>
        <v>0</v>
      </c>
      <c r="AI290" s="673">
        <f t="shared" si="572"/>
        <v>0</v>
      </c>
      <c r="AJ290" s="673">
        <f t="shared" si="572"/>
        <v>0</v>
      </c>
      <c r="AL290" s="2130">
        <f ca="1">SUM((INDIRECT(AL$2&amp;(ROW())):INDIRECT(AL$3&amp;(ROW()))))</f>
        <v>0</v>
      </c>
      <c r="AM290" s="125">
        <f ca="1">SUM(INDIRECT(AM$1&amp;AM$2&amp;$C290):INDIRECT(AM$1&amp;AM$3&amp;$C290))</f>
        <v>0</v>
      </c>
      <c r="AN290" s="2521">
        <f t="shared" ref="AN290:AN321" ca="1" si="573">AL290-AM290</f>
        <v>0</v>
      </c>
      <c r="AO290" s="1717">
        <f t="shared" ref="AO290:AO310" ca="1" si="574">IFERROR(AL290/AM290,0)</f>
        <v>0</v>
      </c>
      <c r="AP290" s="125">
        <f ca="1">SUM(INDIRECT(AP$1&amp;AP$2&amp;$A290):INDIRECT(AP$1&amp;AP$3&amp;$A290))+SUM(INDIRECT(AP$1&amp;AP$2&amp;$B290):INDIRECT(AP$1&amp;AP$3&amp;$B290))</f>
        <v>0</v>
      </c>
      <c r="AQ290" s="2521">
        <f t="shared" ref="AQ290:AQ321" ca="1" si="575">AL290-AP290</f>
        <v>0</v>
      </c>
      <c r="AR290" s="1717">
        <f t="shared" ref="AR290:AR310" ca="1" si="576">IFERROR(AL290/AP290,0)</f>
        <v>0</v>
      </c>
      <c r="AT290" s="2130">
        <f ca="1">SUM((INDIRECT(AT$2&amp;(ROW())):INDIRECT(AT$3&amp;(ROW()))))</f>
        <v>0</v>
      </c>
      <c r="AU290" s="125">
        <f ca="1">SUM(INDIRECT(AU$1&amp;AU$2&amp;$C290):INDIRECT(AU$1&amp;AU$3&amp;$C290))</f>
        <v>0</v>
      </c>
      <c r="AV290" s="2521">
        <f t="shared" ref="AV290:AV321" ca="1" si="577">AT290-AU290</f>
        <v>0</v>
      </c>
      <c r="AW290" s="1717">
        <f t="shared" ref="AW290:AW310" ca="1" si="578">IFERROR(AT290/AU290,0)</f>
        <v>0</v>
      </c>
      <c r="AX290" s="125">
        <f ca="1">SUM(INDIRECT(AX$1&amp;AX$2&amp;$A290):INDIRECT(AX$1&amp;AX$3&amp;$A290))+SUM(INDIRECT(AX$1&amp;AX$2&amp;$B290):INDIRECT(AX$1&amp;AX$3&amp;$B290))</f>
        <v>0</v>
      </c>
      <c r="AY290" s="2521">
        <f t="shared" ref="AY290:AY321" ca="1" si="579">AT290-AX290</f>
        <v>0</v>
      </c>
      <c r="AZ290" s="1717">
        <f t="shared" ref="AZ290:AZ310" ca="1" si="580">IFERROR(AT290/AX290,0)</f>
        <v>0</v>
      </c>
      <c r="BB290" s="2130">
        <f ca="1">SUM((INDIRECT(BB$2&amp;(ROW())):INDIRECT(BB$3&amp;(ROW()))))</f>
        <v>0</v>
      </c>
      <c r="BC290" s="125">
        <f ca="1">SUM(INDIRECT(BC$1&amp;BC$2&amp;$C290):INDIRECT(BC$1&amp;BC$3&amp;$C290))</f>
        <v>0</v>
      </c>
      <c r="BD290" s="2521">
        <f t="shared" ref="BD290:BD321" ca="1" si="581">BB290-BC290</f>
        <v>0</v>
      </c>
      <c r="BE290" s="1717">
        <f t="shared" ref="BE290:BE310" ca="1" si="582">IFERROR(BB290/BC290,0)</f>
        <v>0</v>
      </c>
      <c r="BF290" s="125">
        <f ca="1">SUM(INDIRECT(BF$1&amp;BF$2&amp;$A290):INDIRECT(BF$1&amp;BF$3&amp;$A290))+SUM(INDIRECT(BF$1&amp;BF$2&amp;$B290):INDIRECT(BF$1&amp;BF$3&amp;$B290))</f>
        <v>0</v>
      </c>
      <c r="BG290" s="2521">
        <f t="shared" ref="BG290:BG321" ca="1" si="583">BB290-BF290</f>
        <v>0</v>
      </c>
      <c r="BH290" s="1717">
        <f t="shared" ref="BH290:BH310" ca="1" si="584">IFERROR(BB290/BF290,0)</f>
        <v>0</v>
      </c>
    </row>
    <row r="291" spans="1:60" ht="14.5">
      <c r="A291" s="990">
        <f t="shared" si="561"/>
        <v>264</v>
      </c>
      <c r="B291" s="990">
        <v>1</v>
      </c>
      <c r="C291" s="990">
        <f t="shared" si="536"/>
        <v>288</v>
      </c>
      <c r="D291" s="1121" t="s">
        <v>887</v>
      </c>
      <c r="E291" s="1243">
        <v>1</v>
      </c>
      <c r="F291" s="5"/>
      <c r="G291" s="5"/>
      <c r="H291" s="5"/>
      <c r="I291" s="30"/>
      <c r="J291" s="4"/>
      <c r="K291" s="5"/>
      <c r="L291" s="389" t="s">
        <v>681</v>
      </c>
      <c r="M291" s="389"/>
      <c r="N291" s="389"/>
      <c r="O291" s="389"/>
      <c r="P291" s="389"/>
      <c r="Q291" s="1864" t="str">
        <f>CHOOSE(2, "6722000003210", "PL (4) Net Sales MPM")</f>
        <v>PL (4) Net Sales MPM</v>
      </c>
      <c r="R291" s="2767">
        <f>SUM(R292:R294)</f>
        <v>0</v>
      </c>
      <c r="S291" s="2768">
        <f t="shared" ref="S291:AC291" si="585">SUM(S292:S294)</f>
        <v>0</v>
      </c>
      <c r="T291" s="2768">
        <f t="shared" si="585"/>
        <v>0</v>
      </c>
      <c r="U291" s="2768">
        <f t="shared" si="585"/>
        <v>0</v>
      </c>
      <c r="V291" s="2768">
        <f t="shared" si="585"/>
        <v>0</v>
      </c>
      <c r="W291" s="2768">
        <f t="shared" si="585"/>
        <v>0</v>
      </c>
      <c r="X291" s="2768">
        <f t="shared" si="585"/>
        <v>0</v>
      </c>
      <c r="Y291" s="2768">
        <f t="shared" si="585"/>
        <v>0</v>
      </c>
      <c r="Z291" s="2768">
        <f t="shared" si="585"/>
        <v>0</v>
      </c>
      <c r="AA291" s="2768">
        <f t="shared" si="585"/>
        <v>0</v>
      </c>
      <c r="AB291" s="2768">
        <f t="shared" si="585"/>
        <v>0</v>
      </c>
      <c r="AC291" s="2768">
        <f t="shared" si="585"/>
        <v>0</v>
      </c>
      <c r="AD291" s="390">
        <f t="shared" ref="AD291:AD299" si="586">SUM(R291,S291,T291)</f>
        <v>0</v>
      </c>
      <c r="AE291" s="390">
        <f t="shared" ref="AE291:AE299" si="587">SUM(U291,V291,W291)</f>
        <v>0</v>
      </c>
      <c r="AF291" s="390">
        <f t="shared" ref="AF291:AF299" si="588">SUM(X291,Y291,Z291)</f>
        <v>0</v>
      </c>
      <c r="AG291" s="390">
        <f t="shared" ref="AG291:AG299" si="589">SUM(AA291,AB291,AC291)</f>
        <v>0</v>
      </c>
      <c r="AH291" s="390">
        <f t="shared" ref="AH291:AH299" si="590">AD291+AE291</f>
        <v>0</v>
      </c>
      <c r="AI291" s="390">
        <f t="shared" ref="AI291:AI299" si="591">AG291+AF291</f>
        <v>0</v>
      </c>
      <c r="AJ291" s="390">
        <f t="shared" ref="AJ291:AJ299" si="592">AH291+AI291</f>
        <v>0</v>
      </c>
      <c r="AL291" s="2124">
        <f ca="1">SUM((INDIRECT(AL$2&amp;(ROW())):INDIRECT(AL$3&amp;(ROW()))))</f>
        <v>0</v>
      </c>
      <c r="AM291" s="390">
        <f ca="1">SUM(INDIRECT(AM$1&amp;AM$2&amp;$C291):INDIRECT(AM$1&amp;AM$3&amp;$C291))</f>
        <v>0</v>
      </c>
      <c r="AN291" s="885">
        <f t="shared" ca="1" si="573"/>
        <v>0</v>
      </c>
      <c r="AO291" s="940">
        <f t="shared" ca="1" si="574"/>
        <v>0</v>
      </c>
      <c r="AP291" s="390">
        <f ca="1">SUM(INDIRECT(AP$1&amp;AP$2&amp;$A291):INDIRECT(AP$1&amp;AP$3&amp;$A291))+SUM(INDIRECT(AP$1&amp;AP$2&amp;$B291):INDIRECT(AP$1&amp;AP$3&amp;$B291))</f>
        <v>0</v>
      </c>
      <c r="AQ291" s="885">
        <f t="shared" ca="1" si="575"/>
        <v>0</v>
      </c>
      <c r="AR291" s="940">
        <f t="shared" ca="1" si="576"/>
        <v>0</v>
      </c>
      <c r="AT291" s="2124">
        <f ca="1">SUM((INDIRECT(AT$2&amp;(ROW())):INDIRECT(AT$3&amp;(ROW()))))</f>
        <v>0</v>
      </c>
      <c r="AU291" s="390">
        <f ca="1">SUM(INDIRECT(AU$1&amp;AU$2&amp;$C291):INDIRECT(AU$1&amp;AU$3&amp;$C291))</f>
        <v>0</v>
      </c>
      <c r="AV291" s="885">
        <f t="shared" ca="1" si="577"/>
        <v>0</v>
      </c>
      <c r="AW291" s="940">
        <f t="shared" ca="1" si="578"/>
        <v>0</v>
      </c>
      <c r="AX291" s="390">
        <f ca="1">SUM(INDIRECT(AX$1&amp;AX$2&amp;$A291):INDIRECT(AX$1&amp;AX$3&amp;$A291))+SUM(INDIRECT(AX$1&amp;AX$2&amp;$B291):INDIRECT(AX$1&amp;AX$3&amp;$B291))</f>
        <v>0</v>
      </c>
      <c r="AY291" s="885">
        <f t="shared" ca="1" si="579"/>
        <v>0</v>
      </c>
      <c r="AZ291" s="940">
        <f t="shared" ca="1" si="580"/>
        <v>0</v>
      </c>
      <c r="BB291" s="2124">
        <f ca="1">SUM((INDIRECT(BB$2&amp;(ROW())):INDIRECT(BB$3&amp;(ROW()))))</f>
        <v>0</v>
      </c>
      <c r="BC291" s="390">
        <f ca="1">SUM(INDIRECT(BC$1&amp;BC$2&amp;$C291):INDIRECT(BC$1&amp;BC$3&amp;$C291))</f>
        <v>0</v>
      </c>
      <c r="BD291" s="885">
        <f t="shared" ca="1" si="581"/>
        <v>0</v>
      </c>
      <c r="BE291" s="940">
        <f t="shared" ca="1" si="582"/>
        <v>0</v>
      </c>
      <c r="BF291" s="390">
        <f ca="1">SUM(INDIRECT(BF$1&amp;BF$2&amp;$A291):INDIRECT(BF$1&amp;BF$3&amp;$A291))+SUM(INDIRECT(BF$1&amp;BF$2&amp;$B291):INDIRECT(BF$1&amp;BF$3&amp;$B291))</f>
        <v>0</v>
      </c>
      <c r="BG291" s="885">
        <f t="shared" ca="1" si="583"/>
        <v>0</v>
      </c>
      <c r="BH291" s="940">
        <f t="shared" ca="1" si="584"/>
        <v>0</v>
      </c>
    </row>
    <row r="292" spans="1:60" ht="15" customHeight="1">
      <c r="A292" s="990">
        <f t="shared" si="561"/>
        <v>265</v>
      </c>
      <c r="B292" s="990">
        <v>1</v>
      </c>
      <c r="C292" s="990">
        <f t="shared" si="536"/>
        <v>289</v>
      </c>
      <c r="D292" s="1121" t="s">
        <v>887</v>
      </c>
      <c r="E292" s="1243">
        <v>1</v>
      </c>
      <c r="F292" s="5"/>
      <c r="G292" s="5"/>
      <c r="H292" s="5"/>
      <c r="I292" s="30"/>
      <c r="J292" s="4"/>
      <c r="K292" s="5"/>
      <c r="L292" s="5"/>
      <c r="M292" s="4" t="s">
        <v>206</v>
      </c>
      <c r="N292" s="4"/>
      <c r="O292" s="4"/>
      <c r="P292" s="4"/>
      <c r="Q292" s="1865" t="str">
        <f>CHOOSE(2, "6722000003211", "PL (4) Net Sales MPM Procurement")</f>
        <v>PL (4) Net Sales MPM Procurement</v>
      </c>
      <c r="R292" s="2758">
        <v>0</v>
      </c>
      <c r="S292" s="2039">
        <v>0</v>
      </c>
      <c r="T292" s="2039">
        <v>0</v>
      </c>
      <c r="U292" s="2039">
        <v>0</v>
      </c>
      <c r="V292" s="2039">
        <v>0</v>
      </c>
      <c r="W292" s="2039">
        <v>0</v>
      </c>
      <c r="X292" s="2039">
        <v>0</v>
      </c>
      <c r="Y292" s="2039">
        <v>0</v>
      </c>
      <c r="Z292" s="2039">
        <v>0</v>
      </c>
      <c r="AA292" s="2039">
        <v>0</v>
      </c>
      <c r="AB292" s="2039">
        <v>0</v>
      </c>
      <c r="AC292" s="2039">
        <v>0</v>
      </c>
      <c r="AD292" s="89">
        <f t="shared" si="586"/>
        <v>0</v>
      </c>
      <c r="AE292" s="89">
        <f t="shared" si="587"/>
        <v>0</v>
      </c>
      <c r="AF292" s="89">
        <f t="shared" si="588"/>
        <v>0</v>
      </c>
      <c r="AG292" s="89">
        <f t="shared" si="589"/>
        <v>0</v>
      </c>
      <c r="AH292" s="89">
        <f t="shared" si="590"/>
        <v>0</v>
      </c>
      <c r="AI292" s="89">
        <f t="shared" si="591"/>
        <v>0</v>
      </c>
      <c r="AJ292" s="89">
        <f t="shared" si="592"/>
        <v>0</v>
      </c>
      <c r="AL292" s="13">
        <f ca="1">SUM((INDIRECT(AL$2&amp;(ROW())):INDIRECT(AL$3&amp;(ROW()))))</f>
        <v>0</v>
      </c>
      <c r="AM292" s="89">
        <f ca="1">SUM(INDIRECT(AM$1&amp;AM$2&amp;$C292):INDIRECT(AM$1&amp;AM$3&amp;$C292))</f>
        <v>0</v>
      </c>
      <c r="AN292" s="880">
        <f t="shared" ca="1" si="573"/>
        <v>0</v>
      </c>
      <c r="AO292" s="931">
        <f t="shared" ca="1" si="574"/>
        <v>0</v>
      </c>
      <c r="AP292" s="89">
        <f ca="1">SUM(INDIRECT(AP$1&amp;AP$2&amp;$A292):INDIRECT(AP$1&amp;AP$3&amp;$A292))+SUM(INDIRECT(AP$1&amp;AP$2&amp;$B292):INDIRECT(AP$1&amp;AP$3&amp;$B292))</f>
        <v>0</v>
      </c>
      <c r="AQ292" s="880">
        <f t="shared" ca="1" si="575"/>
        <v>0</v>
      </c>
      <c r="AR292" s="931">
        <f t="shared" ca="1" si="576"/>
        <v>0</v>
      </c>
      <c r="AT292" s="13">
        <f ca="1">SUM((INDIRECT(AT$2&amp;(ROW())):INDIRECT(AT$3&amp;(ROW()))))</f>
        <v>0</v>
      </c>
      <c r="AU292" s="89">
        <f ca="1">SUM(INDIRECT(AU$1&amp;AU$2&amp;$C292):INDIRECT(AU$1&amp;AU$3&amp;$C292))</f>
        <v>0</v>
      </c>
      <c r="AV292" s="880">
        <f t="shared" ca="1" si="577"/>
        <v>0</v>
      </c>
      <c r="AW292" s="931">
        <f t="shared" ca="1" si="578"/>
        <v>0</v>
      </c>
      <c r="AX292" s="89">
        <f ca="1">SUM(INDIRECT(AX$1&amp;AX$2&amp;$A292):INDIRECT(AX$1&amp;AX$3&amp;$A292))+SUM(INDIRECT(AX$1&amp;AX$2&amp;$B292):INDIRECT(AX$1&amp;AX$3&amp;$B292))</f>
        <v>0</v>
      </c>
      <c r="AY292" s="880">
        <f t="shared" ca="1" si="579"/>
        <v>0</v>
      </c>
      <c r="AZ292" s="931">
        <f t="shared" ca="1" si="580"/>
        <v>0</v>
      </c>
      <c r="BB292" s="13">
        <f ca="1">SUM((INDIRECT(BB$2&amp;(ROW())):INDIRECT(BB$3&amp;(ROW()))))</f>
        <v>0</v>
      </c>
      <c r="BC292" s="89">
        <f ca="1">SUM(INDIRECT(BC$1&amp;BC$2&amp;$C292):INDIRECT(BC$1&amp;BC$3&amp;$C292))</f>
        <v>0</v>
      </c>
      <c r="BD292" s="880">
        <f t="shared" ca="1" si="581"/>
        <v>0</v>
      </c>
      <c r="BE292" s="931">
        <f t="shared" ca="1" si="582"/>
        <v>0</v>
      </c>
      <c r="BF292" s="89">
        <f ca="1">SUM(INDIRECT(BF$1&amp;BF$2&amp;$A292):INDIRECT(BF$1&amp;BF$3&amp;$A292))+SUM(INDIRECT(BF$1&amp;BF$2&amp;$B292):INDIRECT(BF$1&amp;BF$3&amp;$B292))</f>
        <v>0</v>
      </c>
      <c r="BG292" s="880">
        <f t="shared" ca="1" si="583"/>
        <v>0</v>
      </c>
      <c r="BH292" s="931">
        <f t="shared" ca="1" si="584"/>
        <v>0</v>
      </c>
    </row>
    <row r="293" spans="1:60" ht="15" customHeight="1">
      <c r="A293" s="990">
        <f t="shared" si="561"/>
        <v>266</v>
      </c>
      <c r="B293" s="990">
        <v>1</v>
      </c>
      <c r="C293" s="990">
        <f t="shared" si="536"/>
        <v>290</v>
      </c>
      <c r="D293" s="1121" t="s">
        <v>887</v>
      </c>
      <c r="E293" s="1243">
        <v>1</v>
      </c>
      <c r="F293" s="5"/>
      <c r="G293" s="5"/>
      <c r="H293" s="5"/>
      <c r="I293" s="30"/>
      <c r="J293" s="4"/>
      <c r="K293" s="5"/>
      <c r="L293" s="5"/>
      <c r="M293" s="4" t="s">
        <v>207</v>
      </c>
      <c r="N293" s="4"/>
      <c r="O293" s="4"/>
      <c r="P293" s="4"/>
      <c r="Q293" s="1865" t="str">
        <f>CHOOSE(2, "6722000003212", "PL (4) Net Sales MPM Production")</f>
        <v>PL (4) Net Sales MPM Production</v>
      </c>
      <c r="R293" s="2758">
        <v>0</v>
      </c>
      <c r="S293" s="2039">
        <v>0</v>
      </c>
      <c r="T293" s="2039">
        <v>0</v>
      </c>
      <c r="U293" s="2039">
        <v>0</v>
      </c>
      <c r="V293" s="2039">
        <v>0</v>
      </c>
      <c r="W293" s="2039">
        <v>0</v>
      </c>
      <c r="X293" s="2039">
        <v>0</v>
      </c>
      <c r="Y293" s="2039">
        <v>0</v>
      </c>
      <c r="Z293" s="2039">
        <v>0</v>
      </c>
      <c r="AA293" s="2039">
        <v>0</v>
      </c>
      <c r="AB293" s="2039">
        <v>0</v>
      </c>
      <c r="AC293" s="2039">
        <v>0</v>
      </c>
      <c r="AD293" s="89">
        <f t="shared" si="586"/>
        <v>0</v>
      </c>
      <c r="AE293" s="89">
        <f t="shared" si="587"/>
        <v>0</v>
      </c>
      <c r="AF293" s="89">
        <f t="shared" si="588"/>
        <v>0</v>
      </c>
      <c r="AG293" s="89">
        <f t="shared" si="589"/>
        <v>0</v>
      </c>
      <c r="AH293" s="89">
        <f t="shared" si="590"/>
        <v>0</v>
      </c>
      <c r="AI293" s="89">
        <f t="shared" si="591"/>
        <v>0</v>
      </c>
      <c r="AJ293" s="89">
        <f t="shared" si="592"/>
        <v>0</v>
      </c>
      <c r="AL293" s="13">
        <f ca="1">SUM((INDIRECT(AL$2&amp;(ROW())):INDIRECT(AL$3&amp;(ROW()))))</f>
        <v>0</v>
      </c>
      <c r="AM293" s="89">
        <f ca="1">SUM(INDIRECT(AM$1&amp;AM$2&amp;$C293):INDIRECT(AM$1&amp;AM$3&amp;$C293))</f>
        <v>0</v>
      </c>
      <c r="AN293" s="880">
        <f t="shared" ca="1" si="573"/>
        <v>0</v>
      </c>
      <c r="AO293" s="931">
        <f t="shared" ca="1" si="574"/>
        <v>0</v>
      </c>
      <c r="AP293" s="89">
        <f ca="1">SUM(INDIRECT(AP$1&amp;AP$2&amp;$A293):INDIRECT(AP$1&amp;AP$3&amp;$A293))+SUM(INDIRECT(AP$1&amp;AP$2&amp;$B293):INDIRECT(AP$1&amp;AP$3&amp;$B293))</f>
        <v>0</v>
      </c>
      <c r="AQ293" s="880">
        <f t="shared" ca="1" si="575"/>
        <v>0</v>
      </c>
      <c r="AR293" s="931">
        <f t="shared" ca="1" si="576"/>
        <v>0</v>
      </c>
      <c r="AT293" s="13">
        <f ca="1">SUM((INDIRECT(AT$2&amp;(ROW())):INDIRECT(AT$3&amp;(ROW()))))</f>
        <v>0</v>
      </c>
      <c r="AU293" s="89">
        <f ca="1">SUM(INDIRECT(AU$1&amp;AU$2&amp;$C293):INDIRECT(AU$1&amp;AU$3&amp;$C293))</f>
        <v>0</v>
      </c>
      <c r="AV293" s="880">
        <f t="shared" ca="1" si="577"/>
        <v>0</v>
      </c>
      <c r="AW293" s="931">
        <f t="shared" ca="1" si="578"/>
        <v>0</v>
      </c>
      <c r="AX293" s="89">
        <f ca="1">SUM(INDIRECT(AX$1&amp;AX$2&amp;$A293):INDIRECT(AX$1&amp;AX$3&amp;$A293))+SUM(INDIRECT(AX$1&amp;AX$2&amp;$B293):INDIRECT(AX$1&amp;AX$3&amp;$B293))</f>
        <v>0</v>
      </c>
      <c r="AY293" s="880">
        <f t="shared" ca="1" si="579"/>
        <v>0</v>
      </c>
      <c r="AZ293" s="931">
        <f t="shared" ca="1" si="580"/>
        <v>0</v>
      </c>
      <c r="BB293" s="13">
        <f ca="1">SUM((INDIRECT(BB$2&amp;(ROW())):INDIRECT(BB$3&amp;(ROW()))))</f>
        <v>0</v>
      </c>
      <c r="BC293" s="89">
        <f ca="1">SUM(INDIRECT(BC$1&amp;BC$2&amp;$C293):INDIRECT(BC$1&amp;BC$3&amp;$C293))</f>
        <v>0</v>
      </c>
      <c r="BD293" s="880">
        <f t="shared" ca="1" si="581"/>
        <v>0</v>
      </c>
      <c r="BE293" s="931">
        <f t="shared" ca="1" si="582"/>
        <v>0</v>
      </c>
      <c r="BF293" s="89">
        <f ca="1">SUM(INDIRECT(BF$1&amp;BF$2&amp;$A293):INDIRECT(BF$1&amp;BF$3&amp;$A293))+SUM(INDIRECT(BF$1&amp;BF$2&amp;$B293):INDIRECT(BF$1&amp;BF$3&amp;$B293))</f>
        <v>0</v>
      </c>
      <c r="BG293" s="880">
        <f t="shared" ca="1" si="583"/>
        <v>0</v>
      </c>
      <c r="BH293" s="931">
        <f t="shared" ca="1" si="584"/>
        <v>0</v>
      </c>
    </row>
    <row r="294" spans="1:60" ht="15" customHeight="1">
      <c r="A294" s="990">
        <f t="shared" si="561"/>
        <v>267</v>
      </c>
      <c r="B294" s="990">
        <v>1</v>
      </c>
      <c r="C294" s="990">
        <f t="shared" si="536"/>
        <v>291</v>
      </c>
      <c r="D294" s="1121" t="s">
        <v>887</v>
      </c>
      <c r="E294" s="1243">
        <v>1</v>
      </c>
      <c r="F294" s="5"/>
      <c r="G294" s="5"/>
      <c r="H294" s="5"/>
      <c r="I294" s="30"/>
      <c r="J294" s="4"/>
      <c r="K294" s="5"/>
      <c r="L294" s="52"/>
      <c r="M294" s="51" t="s">
        <v>208</v>
      </c>
      <c r="N294" s="51"/>
      <c r="O294" s="51"/>
      <c r="P294" s="51"/>
      <c r="Q294" s="1865" t="str">
        <f>CHOOSE(2, "6722000003213", "PL (4) Net Sales MPM Solution")</f>
        <v>PL (4) Net Sales MPM Solution</v>
      </c>
      <c r="R294" s="2759">
        <v>0</v>
      </c>
      <c r="S294" s="2043">
        <v>0</v>
      </c>
      <c r="T294" s="2043">
        <v>0</v>
      </c>
      <c r="U294" s="2043">
        <v>0</v>
      </c>
      <c r="V294" s="2043">
        <v>0</v>
      </c>
      <c r="W294" s="2043">
        <v>0</v>
      </c>
      <c r="X294" s="2043">
        <v>0</v>
      </c>
      <c r="Y294" s="2043">
        <v>0</v>
      </c>
      <c r="Z294" s="2043">
        <v>0</v>
      </c>
      <c r="AA294" s="2043">
        <v>0</v>
      </c>
      <c r="AB294" s="2043">
        <v>0</v>
      </c>
      <c r="AC294" s="2043">
        <v>0</v>
      </c>
      <c r="AD294" s="134">
        <f t="shared" si="586"/>
        <v>0</v>
      </c>
      <c r="AE294" s="134">
        <f t="shared" si="587"/>
        <v>0</v>
      </c>
      <c r="AF294" s="134">
        <f t="shared" si="588"/>
        <v>0</v>
      </c>
      <c r="AG294" s="134">
        <f t="shared" si="589"/>
        <v>0</v>
      </c>
      <c r="AH294" s="134">
        <f t="shared" si="590"/>
        <v>0</v>
      </c>
      <c r="AI294" s="134">
        <f t="shared" si="591"/>
        <v>0</v>
      </c>
      <c r="AJ294" s="134">
        <f t="shared" si="592"/>
        <v>0</v>
      </c>
      <c r="AL294" s="2061">
        <f ca="1">SUM((INDIRECT(AL$2&amp;(ROW())):INDIRECT(AL$3&amp;(ROW()))))</f>
        <v>0</v>
      </c>
      <c r="AM294" s="134">
        <f ca="1">SUM(INDIRECT(AM$1&amp;AM$2&amp;$C294):INDIRECT(AM$1&amp;AM$3&amp;$C294))</f>
        <v>0</v>
      </c>
      <c r="AN294" s="883">
        <f t="shared" ca="1" si="573"/>
        <v>0</v>
      </c>
      <c r="AO294" s="934">
        <f t="shared" ca="1" si="574"/>
        <v>0</v>
      </c>
      <c r="AP294" s="134">
        <f ca="1">SUM(INDIRECT(AP$1&amp;AP$2&amp;$A294):INDIRECT(AP$1&amp;AP$3&amp;$A294))+SUM(INDIRECT(AP$1&amp;AP$2&amp;$B294):INDIRECT(AP$1&amp;AP$3&amp;$B294))</f>
        <v>0</v>
      </c>
      <c r="AQ294" s="883">
        <f t="shared" ca="1" si="575"/>
        <v>0</v>
      </c>
      <c r="AR294" s="934">
        <f t="shared" ca="1" si="576"/>
        <v>0</v>
      </c>
      <c r="AT294" s="2061">
        <f ca="1">SUM((INDIRECT(AT$2&amp;(ROW())):INDIRECT(AT$3&amp;(ROW()))))</f>
        <v>0</v>
      </c>
      <c r="AU294" s="134">
        <f ca="1">SUM(INDIRECT(AU$1&amp;AU$2&amp;$C294):INDIRECT(AU$1&amp;AU$3&amp;$C294))</f>
        <v>0</v>
      </c>
      <c r="AV294" s="883">
        <f t="shared" ca="1" si="577"/>
        <v>0</v>
      </c>
      <c r="AW294" s="934">
        <f t="shared" ca="1" si="578"/>
        <v>0</v>
      </c>
      <c r="AX294" s="134">
        <f ca="1">SUM(INDIRECT(AX$1&amp;AX$2&amp;$A294):INDIRECT(AX$1&amp;AX$3&amp;$A294))+SUM(INDIRECT(AX$1&amp;AX$2&amp;$B294):INDIRECT(AX$1&amp;AX$3&amp;$B294))</f>
        <v>0</v>
      </c>
      <c r="AY294" s="883">
        <f t="shared" ca="1" si="579"/>
        <v>0</v>
      </c>
      <c r="AZ294" s="934">
        <f t="shared" ca="1" si="580"/>
        <v>0</v>
      </c>
      <c r="BB294" s="2061">
        <f ca="1">SUM((INDIRECT(BB$2&amp;(ROW())):INDIRECT(BB$3&amp;(ROW()))))</f>
        <v>0</v>
      </c>
      <c r="BC294" s="134">
        <f ca="1">SUM(INDIRECT(BC$1&amp;BC$2&amp;$C294):INDIRECT(BC$1&amp;BC$3&amp;$C294))</f>
        <v>0</v>
      </c>
      <c r="BD294" s="883">
        <f t="shared" ca="1" si="581"/>
        <v>0</v>
      </c>
      <c r="BE294" s="934">
        <f t="shared" ca="1" si="582"/>
        <v>0</v>
      </c>
      <c r="BF294" s="134">
        <f ca="1">SUM(INDIRECT(BF$1&amp;BF$2&amp;$A294):INDIRECT(BF$1&amp;BF$3&amp;$A294))+SUM(INDIRECT(BF$1&amp;BF$2&amp;$B294):INDIRECT(BF$1&amp;BF$3&amp;$B294))</f>
        <v>0</v>
      </c>
      <c r="BG294" s="883">
        <f t="shared" ca="1" si="583"/>
        <v>0</v>
      </c>
      <c r="BH294" s="934">
        <f t="shared" ca="1" si="584"/>
        <v>0</v>
      </c>
    </row>
    <row r="295" spans="1:60" ht="15" customHeight="1">
      <c r="A295" s="990">
        <f t="shared" si="561"/>
        <v>268</v>
      </c>
      <c r="B295" s="990">
        <v>1</v>
      </c>
      <c r="C295" s="990">
        <f t="shared" si="536"/>
        <v>292</v>
      </c>
      <c r="D295" s="1121" t="s">
        <v>887</v>
      </c>
      <c r="E295" s="1243">
        <v>1</v>
      </c>
      <c r="F295" s="5"/>
      <c r="G295" s="5"/>
      <c r="H295" s="5"/>
      <c r="I295" s="30"/>
      <c r="J295" s="4"/>
      <c r="K295" s="5"/>
      <c r="L295" s="389" t="s">
        <v>682</v>
      </c>
      <c r="M295" s="389"/>
      <c r="N295" s="389"/>
      <c r="O295" s="389"/>
      <c r="P295" s="389"/>
      <c r="Q295" s="1864" t="str">
        <f>CHOOSE(2, "6722000003214", "PL (4) Net Sales ODP")</f>
        <v>PL (4) Net Sales ODP</v>
      </c>
      <c r="R295" s="2767">
        <f>SUM(R296:R299)</f>
        <v>0</v>
      </c>
      <c r="S295" s="2768">
        <f t="shared" ref="S295:AC295" si="593">SUM(S296:S299)</f>
        <v>0</v>
      </c>
      <c r="T295" s="2768">
        <f t="shared" si="593"/>
        <v>0</v>
      </c>
      <c r="U295" s="2768">
        <f t="shared" si="593"/>
        <v>0</v>
      </c>
      <c r="V295" s="2768">
        <f t="shared" si="593"/>
        <v>0</v>
      </c>
      <c r="W295" s="2768">
        <f t="shared" si="593"/>
        <v>0</v>
      </c>
      <c r="X295" s="2768">
        <f t="shared" si="593"/>
        <v>0</v>
      </c>
      <c r="Y295" s="2768">
        <f t="shared" si="593"/>
        <v>0</v>
      </c>
      <c r="Z295" s="2768">
        <f t="shared" si="593"/>
        <v>0</v>
      </c>
      <c r="AA295" s="2768">
        <f t="shared" si="593"/>
        <v>0</v>
      </c>
      <c r="AB295" s="2768">
        <f t="shared" si="593"/>
        <v>0</v>
      </c>
      <c r="AC295" s="2768">
        <f t="shared" si="593"/>
        <v>0</v>
      </c>
      <c r="AD295" s="390">
        <f t="shared" si="586"/>
        <v>0</v>
      </c>
      <c r="AE295" s="390">
        <f t="shared" si="587"/>
        <v>0</v>
      </c>
      <c r="AF295" s="390">
        <f t="shared" si="588"/>
        <v>0</v>
      </c>
      <c r="AG295" s="390">
        <f t="shared" si="589"/>
        <v>0</v>
      </c>
      <c r="AH295" s="390">
        <f t="shared" si="590"/>
        <v>0</v>
      </c>
      <c r="AI295" s="390">
        <f t="shared" si="591"/>
        <v>0</v>
      </c>
      <c r="AJ295" s="390">
        <f t="shared" si="592"/>
        <v>0</v>
      </c>
      <c r="AL295" s="2124">
        <f ca="1">SUM((INDIRECT(AL$2&amp;(ROW())):INDIRECT(AL$3&amp;(ROW()))))</f>
        <v>0</v>
      </c>
      <c r="AM295" s="390">
        <f ca="1">SUM(INDIRECT(AM$1&amp;AM$2&amp;$C295):INDIRECT(AM$1&amp;AM$3&amp;$C295))</f>
        <v>0</v>
      </c>
      <c r="AN295" s="885">
        <f t="shared" ca="1" si="573"/>
        <v>0</v>
      </c>
      <c r="AO295" s="940">
        <f t="shared" ca="1" si="574"/>
        <v>0</v>
      </c>
      <c r="AP295" s="390">
        <f ca="1">SUM(INDIRECT(AP$1&amp;AP$2&amp;$A295):INDIRECT(AP$1&amp;AP$3&amp;$A295))+SUM(INDIRECT(AP$1&amp;AP$2&amp;$B295):INDIRECT(AP$1&amp;AP$3&amp;$B295))</f>
        <v>0</v>
      </c>
      <c r="AQ295" s="885">
        <f t="shared" ca="1" si="575"/>
        <v>0</v>
      </c>
      <c r="AR295" s="940">
        <f t="shared" ca="1" si="576"/>
        <v>0</v>
      </c>
      <c r="AT295" s="2124">
        <f ca="1">SUM((INDIRECT(AT$2&amp;(ROW())):INDIRECT(AT$3&amp;(ROW()))))</f>
        <v>0</v>
      </c>
      <c r="AU295" s="390">
        <f ca="1">SUM(INDIRECT(AU$1&amp;AU$2&amp;$C295):INDIRECT(AU$1&amp;AU$3&amp;$C295))</f>
        <v>0</v>
      </c>
      <c r="AV295" s="885">
        <f t="shared" ca="1" si="577"/>
        <v>0</v>
      </c>
      <c r="AW295" s="940">
        <f t="shared" ca="1" si="578"/>
        <v>0</v>
      </c>
      <c r="AX295" s="390">
        <f ca="1">SUM(INDIRECT(AX$1&amp;AX$2&amp;$A295):INDIRECT(AX$1&amp;AX$3&amp;$A295))+SUM(INDIRECT(AX$1&amp;AX$2&amp;$B295):INDIRECT(AX$1&amp;AX$3&amp;$B295))</f>
        <v>0</v>
      </c>
      <c r="AY295" s="885">
        <f t="shared" ca="1" si="579"/>
        <v>0</v>
      </c>
      <c r="AZ295" s="940">
        <f t="shared" ca="1" si="580"/>
        <v>0</v>
      </c>
      <c r="BB295" s="2124">
        <f ca="1">SUM((INDIRECT(BB$2&amp;(ROW())):INDIRECT(BB$3&amp;(ROW()))))</f>
        <v>0</v>
      </c>
      <c r="BC295" s="390">
        <f ca="1">SUM(INDIRECT(BC$1&amp;BC$2&amp;$C295):INDIRECT(BC$1&amp;BC$3&amp;$C295))</f>
        <v>0</v>
      </c>
      <c r="BD295" s="885">
        <f t="shared" ca="1" si="581"/>
        <v>0</v>
      </c>
      <c r="BE295" s="940">
        <f t="shared" ca="1" si="582"/>
        <v>0</v>
      </c>
      <c r="BF295" s="390">
        <f ca="1">SUM(INDIRECT(BF$1&amp;BF$2&amp;$A295):INDIRECT(BF$1&amp;BF$3&amp;$A295))+SUM(INDIRECT(BF$1&amp;BF$2&amp;$B295):INDIRECT(BF$1&amp;BF$3&amp;$B295))</f>
        <v>0</v>
      </c>
      <c r="BG295" s="885">
        <f t="shared" ca="1" si="583"/>
        <v>0</v>
      </c>
      <c r="BH295" s="940">
        <f t="shared" ca="1" si="584"/>
        <v>0</v>
      </c>
    </row>
    <row r="296" spans="1:60" ht="15" customHeight="1">
      <c r="A296" s="990">
        <f t="shared" si="561"/>
        <v>269</v>
      </c>
      <c r="B296" s="990">
        <v>1</v>
      </c>
      <c r="C296" s="990">
        <f t="shared" si="536"/>
        <v>293</v>
      </c>
      <c r="D296" s="1121" t="s">
        <v>887</v>
      </c>
      <c r="E296" s="1243">
        <v>1</v>
      </c>
      <c r="F296" s="5"/>
      <c r="G296" s="5"/>
      <c r="H296" s="5"/>
      <c r="I296" s="30"/>
      <c r="J296" s="4"/>
      <c r="K296" s="5"/>
      <c r="L296" s="5"/>
      <c r="M296" s="4" t="s">
        <v>59</v>
      </c>
      <c r="N296" s="4"/>
      <c r="O296" s="4"/>
      <c r="P296" s="4"/>
      <c r="Q296" s="1865" t="str">
        <f>CHOOSE(2, "6722000003215", "PL (4) Net Sales ODP On Demand Printing")</f>
        <v>PL (4) Net Sales ODP On Demand Printing</v>
      </c>
      <c r="R296" s="2758">
        <v>0</v>
      </c>
      <c r="S296" s="2039">
        <v>0</v>
      </c>
      <c r="T296" s="2039">
        <v>0</v>
      </c>
      <c r="U296" s="2039">
        <v>0</v>
      </c>
      <c r="V296" s="2039">
        <v>0</v>
      </c>
      <c r="W296" s="2039">
        <v>0</v>
      </c>
      <c r="X296" s="2039">
        <v>0</v>
      </c>
      <c r="Y296" s="2039">
        <v>0</v>
      </c>
      <c r="Z296" s="2039">
        <v>0</v>
      </c>
      <c r="AA296" s="2039">
        <v>0</v>
      </c>
      <c r="AB296" s="2039">
        <v>0</v>
      </c>
      <c r="AC296" s="2039">
        <v>0</v>
      </c>
      <c r="AD296" s="89">
        <f t="shared" si="586"/>
        <v>0</v>
      </c>
      <c r="AE296" s="89">
        <f t="shared" si="587"/>
        <v>0</v>
      </c>
      <c r="AF296" s="89">
        <f t="shared" si="588"/>
        <v>0</v>
      </c>
      <c r="AG296" s="89">
        <f t="shared" si="589"/>
        <v>0</v>
      </c>
      <c r="AH296" s="89">
        <f t="shared" si="590"/>
        <v>0</v>
      </c>
      <c r="AI296" s="89">
        <f t="shared" si="591"/>
        <v>0</v>
      </c>
      <c r="AJ296" s="89">
        <f t="shared" si="592"/>
        <v>0</v>
      </c>
      <c r="AL296" s="13">
        <f ca="1">SUM((INDIRECT(AL$2&amp;(ROW())):INDIRECT(AL$3&amp;(ROW()))))</f>
        <v>0</v>
      </c>
      <c r="AM296" s="89">
        <f ca="1">SUM(INDIRECT(AM$1&amp;AM$2&amp;$C296):INDIRECT(AM$1&amp;AM$3&amp;$C296))</f>
        <v>0</v>
      </c>
      <c r="AN296" s="880">
        <f t="shared" ca="1" si="573"/>
        <v>0</v>
      </c>
      <c r="AO296" s="931">
        <f t="shared" ca="1" si="574"/>
        <v>0</v>
      </c>
      <c r="AP296" s="89">
        <f ca="1">SUM(INDIRECT(AP$1&amp;AP$2&amp;$A296):INDIRECT(AP$1&amp;AP$3&amp;$A296))+SUM(INDIRECT(AP$1&amp;AP$2&amp;$B296):INDIRECT(AP$1&amp;AP$3&amp;$B296))</f>
        <v>0</v>
      </c>
      <c r="AQ296" s="880">
        <f t="shared" ca="1" si="575"/>
        <v>0</v>
      </c>
      <c r="AR296" s="931">
        <f t="shared" ca="1" si="576"/>
        <v>0</v>
      </c>
      <c r="AT296" s="13">
        <f ca="1">SUM((INDIRECT(AT$2&amp;(ROW())):INDIRECT(AT$3&amp;(ROW()))))</f>
        <v>0</v>
      </c>
      <c r="AU296" s="89">
        <f ca="1">SUM(INDIRECT(AU$1&amp;AU$2&amp;$C296):INDIRECT(AU$1&amp;AU$3&amp;$C296))</f>
        <v>0</v>
      </c>
      <c r="AV296" s="880">
        <f t="shared" ca="1" si="577"/>
        <v>0</v>
      </c>
      <c r="AW296" s="931">
        <f t="shared" ca="1" si="578"/>
        <v>0</v>
      </c>
      <c r="AX296" s="89">
        <f ca="1">SUM(INDIRECT(AX$1&amp;AX$2&amp;$A296):INDIRECT(AX$1&amp;AX$3&amp;$A296))+SUM(INDIRECT(AX$1&amp;AX$2&amp;$B296):INDIRECT(AX$1&amp;AX$3&amp;$B296))</f>
        <v>0</v>
      </c>
      <c r="AY296" s="880">
        <f t="shared" ca="1" si="579"/>
        <v>0</v>
      </c>
      <c r="AZ296" s="931">
        <f t="shared" ca="1" si="580"/>
        <v>0</v>
      </c>
      <c r="BB296" s="13">
        <f ca="1">SUM((INDIRECT(BB$2&amp;(ROW())):INDIRECT(BB$3&amp;(ROW()))))</f>
        <v>0</v>
      </c>
      <c r="BC296" s="89">
        <f ca="1">SUM(INDIRECT(BC$1&amp;BC$2&amp;$C296):INDIRECT(BC$1&amp;BC$3&amp;$C296))</f>
        <v>0</v>
      </c>
      <c r="BD296" s="880">
        <f t="shared" ca="1" si="581"/>
        <v>0</v>
      </c>
      <c r="BE296" s="931">
        <f t="shared" ca="1" si="582"/>
        <v>0</v>
      </c>
      <c r="BF296" s="89">
        <f ca="1">SUM(INDIRECT(BF$1&amp;BF$2&amp;$A296):INDIRECT(BF$1&amp;BF$3&amp;$A296))+SUM(INDIRECT(BF$1&amp;BF$2&amp;$B296):INDIRECT(BF$1&amp;BF$3&amp;$B296))</f>
        <v>0</v>
      </c>
      <c r="BG296" s="880">
        <f t="shared" ca="1" si="583"/>
        <v>0</v>
      </c>
      <c r="BH296" s="931">
        <f t="shared" ca="1" si="584"/>
        <v>0</v>
      </c>
    </row>
    <row r="297" spans="1:60" ht="15" customHeight="1">
      <c r="A297" s="990">
        <f t="shared" si="561"/>
        <v>270</v>
      </c>
      <c r="B297" s="990">
        <v>1</v>
      </c>
      <c r="C297" s="990">
        <f t="shared" si="536"/>
        <v>294</v>
      </c>
      <c r="D297" s="1121" t="s">
        <v>887</v>
      </c>
      <c r="E297" s="1243">
        <v>1</v>
      </c>
      <c r="F297" s="423"/>
      <c r="G297" s="316"/>
      <c r="H297" s="5"/>
      <c r="I297" s="30"/>
      <c r="J297" s="4"/>
      <c r="K297" s="5"/>
      <c r="L297" s="5"/>
      <c r="M297" s="4" t="s">
        <v>683</v>
      </c>
      <c r="N297" s="4"/>
      <c r="O297" s="4"/>
      <c r="P297" s="4"/>
      <c r="Q297" s="1865" t="str">
        <f>CHOOSE(2, "6722000003216", "PL (4) Net Sales ODP Marketing Service")</f>
        <v>PL (4) Net Sales ODP Marketing Service</v>
      </c>
      <c r="R297" s="2758">
        <v>0</v>
      </c>
      <c r="S297" s="2039">
        <v>0</v>
      </c>
      <c r="T297" s="2039">
        <v>0</v>
      </c>
      <c r="U297" s="2039">
        <v>0</v>
      </c>
      <c r="V297" s="2039">
        <v>0</v>
      </c>
      <c r="W297" s="2039">
        <v>0</v>
      </c>
      <c r="X297" s="2039">
        <v>0</v>
      </c>
      <c r="Y297" s="2039">
        <v>0</v>
      </c>
      <c r="Z297" s="2039">
        <v>0</v>
      </c>
      <c r="AA297" s="2039">
        <v>0</v>
      </c>
      <c r="AB297" s="2039">
        <v>0</v>
      </c>
      <c r="AC297" s="2039">
        <v>0</v>
      </c>
      <c r="AD297" s="89">
        <f t="shared" si="586"/>
        <v>0</v>
      </c>
      <c r="AE297" s="89">
        <f t="shared" si="587"/>
        <v>0</v>
      </c>
      <c r="AF297" s="89">
        <f t="shared" si="588"/>
        <v>0</v>
      </c>
      <c r="AG297" s="89">
        <f t="shared" si="589"/>
        <v>0</v>
      </c>
      <c r="AH297" s="89">
        <f t="shared" si="590"/>
        <v>0</v>
      </c>
      <c r="AI297" s="89">
        <f t="shared" si="591"/>
        <v>0</v>
      </c>
      <c r="AJ297" s="89">
        <f t="shared" si="592"/>
        <v>0</v>
      </c>
      <c r="AL297" s="13">
        <f ca="1">SUM((INDIRECT(AL$2&amp;(ROW())):INDIRECT(AL$3&amp;(ROW()))))</f>
        <v>0</v>
      </c>
      <c r="AM297" s="89">
        <f ca="1">SUM(INDIRECT(AM$1&amp;AM$2&amp;$C297):INDIRECT(AM$1&amp;AM$3&amp;$C297))</f>
        <v>0</v>
      </c>
      <c r="AN297" s="880">
        <f t="shared" ca="1" si="573"/>
        <v>0</v>
      </c>
      <c r="AO297" s="931">
        <f t="shared" ca="1" si="574"/>
        <v>0</v>
      </c>
      <c r="AP297" s="89">
        <f ca="1">SUM(INDIRECT(AP$1&amp;AP$2&amp;$A297):INDIRECT(AP$1&amp;AP$3&amp;$A297))+SUM(INDIRECT(AP$1&amp;AP$2&amp;$B297):INDIRECT(AP$1&amp;AP$3&amp;$B297))</f>
        <v>0</v>
      </c>
      <c r="AQ297" s="880">
        <f t="shared" ca="1" si="575"/>
        <v>0</v>
      </c>
      <c r="AR297" s="931">
        <f t="shared" ca="1" si="576"/>
        <v>0</v>
      </c>
      <c r="AT297" s="13">
        <f ca="1">SUM((INDIRECT(AT$2&amp;(ROW())):INDIRECT(AT$3&amp;(ROW()))))</f>
        <v>0</v>
      </c>
      <c r="AU297" s="89">
        <f ca="1">SUM(INDIRECT(AU$1&amp;AU$2&amp;$C297):INDIRECT(AU$1&amp;AU$3&amp;$C297))</f>
        <v>0</v>
      </c>
      <c r="AV297" s="880">
        <f t="shared" ca="1" si="577"/>
        <v>0</v>
      </c>
      <c r="AW297" s="931">
        <f t="shared" ca="1" si="578"/>
        <v>0</v>
      </c>
      <c r="AX297" s="89">
        <f ca="1">SUM(INDIRECT(AX$1&amp;AX$2&amp;$A297):INDIRECT(AX$1&amp;AX$3&amp;$A297))+SUM(INDIRECT(AX$1&amp;AX$2&amp;$B297):INDIRECT(AX$1&amp;AX$3&amp;$B297))</f>
        <v>0</v>
      </c>
      <c r="AY297" s="880">
        <f t="shared" ca="1" si="579"/>
        <v>0</v>
      </c>
      <c r="AZ297" s="931">
        <f t="shared" ca="1" si="580"/>
        <v>0</v>
      </c>
      <c r="BB297" s="13">
        <f ca="1">SUM((INDIRECT(BB$2&amp;(ROW())):INDIRECT(BB$3&amp;(ROW()))))</f>
        <v>0</v>
      </c>
      <c r="BC297" s="89">
        <f ca="1">SUM(INDIRECT(BC$1&amp;BC$2&amp;$C297):INDIRECT(BC$1&amp;BC$3&amp;$C297))</f>
        <v>0</v>
      </c>
      <c r="BD297" s="880">
        <f t="shared" ca="1" si="581"/>
        <v>0</v>
      </c>
      <c r="BE297" s="931">
        <f t="shared" ca="1" si="582"/>
        <v>0</v>
      </c>
      <c r="BF297" s="89">
        <f ca="1">SUM(INDIRECT(BF$1&amp;BF$2&amp;$A297):INDIRECT(BF$1&amp;BF$3&amp;$A297))+SUM(INDIRECT(BF$1&amp;BF$2&amp;$B297):INDIRECT(BF$1&amp;BF$3&amp;$B297))</f>
        <v>0</v>
      </c>
      <c r="BG297" s="880">
        <f t="shared" ca="1" si="583"/>
        <v>0</v>
      </c>
      <c r="BH297" s="931">
        <f t="shared" ca="1" si="584"/>
        <v>0</v>
      </c>
    </row>
    <row r="298" spans="1:60" ht="15" customHeight="1">
      <c r="A298" s="990">
        <f t="shared" si="561"/>
        <v>271</v>
      </c>
      <c r="B298" s="990">
        <v>1</v>
      </c>
      <c r="C298" s="990">
        <f t="shared" si="536"/>
        <v>295</v>
      </c>
      <c r="D298" s="1121" t="s">
        <v>887</v>
      </c>
      <c r="E298" s="1243">
        <v>1</v>
      </c>
      <c r="F298" s="423"/>
      <c r="G298" s="316"/>
      <c r="H298" s="5"/>
      <c r="I298" s="30"/>
      <c r="J298" s="4"/>
      <c r="K298" s="5"/>
      <c r="L298" s="5"/>
      <c r="M298" s="4" t="s">
        <v>684</v>
      </c>
      <c r="N298" s="4"/>
      <c r="O298" s="4"/>
      <c r="P298" s="4"/>
      <c r="Q298" s="1865" t="str">
        <f>CHOOSE(2, "6722000003217", "PL (4) Net Sales ODP Digital Solution")</f>
        <v>PL (4) Net Sales ODP Digital Solution</v>
      </c>
      <c r="R298" s="2758">
        <v>0</v>
      </c>
      <c r="S298" s="2039">
        <v>0</v>
      </c>
      <c r="T298" s="2039">
        <v>0</v>
      </c>
      <c r="U298" s="2039">
        <v>0</v>
      </c>
      <c r="V298" s="2039">
        <v>0</v>
      </c>
      <c r="W298" s="2039">
        <v>0</v>
      </c>
      <c r="X298" s="2039">
        <v>0</v>
      </c>
      <c r="Y298" s="2039">
        <v>0</v>
      </c>
      <c r="Z298" s="2039">
        <v>0</v>
      </c>
      <c r="AA298" s="2039">
        <v>0</v>
      </c>
      <c r="AB298" s="2039">
        <v>0</v>
      </c>
      <c r="AC298" s="2039">
        <v>0</v>
      </c>
      <c r="AD298" s="89">
        <f t="shared" si="586"/>
        <v>0</v>
      </c>
      <c r="AE298" s="89">
        <f t="shared" si="587"/>
        <v>0</v>
      </c>
      <c r="AF298" s="89">
        <f t="shared" si="588"/>
        <v>0</v>
      </c>
      <c r="AG298" s="89">
        <f t="shared" si="589"/>
        <v>0</v>
      </c>
      <c r="AH298" s="89">
        <f t="shared" si="590"/>
        <v>0</v>
      </c>
      <c r="AI298" s="89">
        <f t="shared" si="591"/>
        <v>0</v>
      </c>
      <c r="AJ298" s="89">
        <f t="shared" si="592"/>
        <v>0</v>
      </c>
      <c r="AL298" s="13">
        <f ca="1">SUM((INDIRECT(AL$2&amp;(ROW())):INDIRECT(AL$3&amp;(ROW()))))</f>
        <v>0</v>
      </c>
      <c r="AM298" s="89">
        <f ca="1">SUM(INDIRECT(AM$1&amp;AM$2&amp;$C298):INDIRECT(AM$1&amp;AM$3&amp;$C298))</f>
        <v>0</v>
      </c>
      <c r="AN298" s="880">
        <f t="shared" ca="1" si="573"/>
        <v>0</v>
      </c>
      <c r="AO298" s="931">
        <f t="shared" ca="1" si="574"/>
        <v>0</v>
      </c>
      <c r="AP298" s="89">
        <f ca="1">SUM(INDIRECT(AP$1&amp;AP$2&amp;$A298):INDIRECT(AP$1&amp;AP$3&amp;$A298))+SUM(INDIRECT(AP$1&amp;AP$2&amp;$B298):INDIRECT(AP$1&amp;AP$3&amp;$B298))</f>
        <v>0</v>
      </c>
      <c r="AQ298" s="880">
        <f t="shared" ca="1" si="575"/>
        <v>0</v>
      </c>
      <c r="AR298" s="931">
        <f t="shared" ca="1" si="576"/>
        <v>0</v>
      </c>
      <c r="AT298" s="13">
        <f ca="1">SUM((INDIRECT(AT$2&amp;(ROW())):INDIRECT(AT$3&amp;(ROW()))))</f>
        <v>0</v>
      </c>
      <c r="AU298" s="89">
        <f ca="1">SUM(INDIRECT(AU$1&amp;AU$2&amp;$C298):INDIRECT(AU$1&amp;AU$3&amp;$C298))</f>
        <v>0</v>
      </c>
      <c r="AV298" s="880">
        <f t="shared" ca="1" si="577"/>
        <v>0</v>
      </c>
      <c r="AW298" s="931">
        <f t="shared" ca="1" si="578"/>
        <v>0</v>
      </c>
      <c r="AX298" s="89">
        <f ca="1">SUM(INDIRECT(AX$1&amp;AX$2&amp;$A298):INDIRECT(AX$1&amp;AX$3&amp;$A298))+SUM(INDIRECT(AX$1&amp;AX$2&amp;$B298):INDIRECT(AX$1&amp;AX$3&amp;$B298))</f>
        <v>0</v>
      </c>
      <c r="AY298" s="880">
        <f t="shared" ca="1" si="579"/>
        <v>0</v>
      </c>
      <c r="AZ298" s="931">
        <f t="shared" ca="1" si="580"/>
        <v>0</v>
      </c>
      <c r="BB298" s="13">
        <f ca="1">SUM((INDIRECT(BB$2&amp;(ROW())):INDIRECT(BB$3&amp;(ROW()))))</f>
        <v>0</v>
      </c>
      <c r="BC298" s="89">
        <f ca="1">SUM(INDIRECT(BC$1&amp;BC$2&amp;$C298):INDIRECT(BC$1&amp;BC$3&amp;$C298))</f>
        <v>0</v>
      </c>
      <c r="BD298" s="880">
        <f t="shared" ca="1" si="581"/>
        <v>0</v>
      </c>
      <c r="BE298" s="931">
        <f t="shared" ca="1" si="582"/>
        <v>0</v>
      </c>
      <c r="BF298" s="89">
        <f ca="1">SUM(INDIRECT(BF$1&amp;BF$2&amp;$A298):INDIRECT(BF$1&amp;BF$3&amp;$A298))+SUM(INDIRECT(BF$1&amp;BF$2&amp;$B298):INDIRECT(BF$1&amp;BF$3&amp;$B298))</f>
        <v>0</v>
      </c>
      <c r="BG298" s="880">
        <f t="shared" ca="1" si="583"/>
        <v>0</v>
      </c>
      <c r="BH298" s="931">
        <f t="shared" ca="1" si="584"/>
        <v>0</v>
      </c>
    </row>
    <row r="299" spans="1:60" ht="15" customHeight="1">
      <c r="A299" s="990">
        <f t="shared" si="561"/>
        <v>272</v>
      </c>
      <c r="B299" s="990">
        <v>1</v>
      </c>
      <c r="C299" s="990">
        <f t="shared" si="536"/>
        <v>296</v>
      </c>
      <c r="D299" s="1121" t="s">
        <v>887</v>
      </c>
      <c r="E299" s="1243">
        <v>1</v>
      </c>
      <c r="F299" s="423"/>
      <c r="G299" s="316"/>
      <c r="H299" s="5"/>
      <c r="I299" s="30"/>
      <c r="J299" s="4"/>
      <c r="K299" s="5"/>
      <c r="L299" s="5"/>
      <c r="M299" s="4" t="s">
        <v>685</v>
      </c>
      <c r="N299" s="4"/>
      <c r="O299" s="4"/>
      <c r="P299" s="4"/>
      <c r="Q299" s="1865" t="str">
        <f>CHOOSE(2, "6722000003218", "PL (4) Net Sales ODP ODP New Business")</f>
        <v>PL (4) Net Sales ODP ODP New Business</v>
      </c>
      <c r="R299" s="2758">
        <v>0</v>
      </c>
      <c r="S299" s="2039">
        <v>0</v>
      </c>
      <c r="T299" s="2039">
        <v>0</v>
      </c>
      <c r="U299" s="2039">
        <v>0</v>
      </c>
      <c r="V299" s="2039">
        <v>0</v>
      </c>
      <c r="W299" s="2039">
        <v>0</v>
      </c>
      <c r="X299" s="2039">
        <v>0</v>
      </c>
      <c r="Y299" s="2039">
        <v>0</v>
      </c>
      <c r="Z299" s="2039">
        <v>0</v>
      </c>
      <c r="AA299" s="2039">
        <v>0</v>
      </c>
      <c r="AB299" s="2039">
        <v>0</v>
      </c>
      <c r="AC299" s="2039">
        <v>0</v>
      </c>
      <c r="AD299" s="89">
        <f t="shared" si="586"/>
        <v>0</v>
      </c>
      <c r="AE299" s="89">
        <f t="shared" si="587"/>
        <v>0</v>
      </c>
      <c r="AF299" s="89">
        <f t="shared" si="588"/>
        <v>0</v>
      </c>
      <c r="AG299" s="89">
        <f t="shared" si="589"/>
        <v>0</v>
      </c>
      <c r="AH299" s="89">
        <f t="shared" si="590"/>
        <v>0</v>
      </c>
      <c r="AI299" s="89">
        <f t="shared" si="591"/>
        <v>0</v>
      </c>
      <c r="AJ299" s="89">
        <f t="shared" si="592"/>
        <v>0</v>
      </c>
      <c r="AL299" s="13">
        <f ca="1">SUM((INDIRECT(AL$2&amp;(ROW())):INDIRECT(AL$3&amp;(ROW()))))</f>
        <v>0</v>
      </c>
      <c r="AM299" s="89">
        <f ca="1">SUM(INDIRECT(AM$1&amp;AM$2&amp;$C299):INDIRECT(AM$1&amp;AM$3&amp;$C299))</f>
        <v>0</v>
      </c>
      <c r="AN299" s="880">
        <f t="shared" ca="1" si="573"/>
        <v>0</v>
      </c>
      <c r="AO299" s="931">
        <f t="shared" ca="1" si="574"/>
        <v>0</v>
      </c>
      <c r="AP299" s="89">
        <f ca="1">SUM(INDIRECT(AP$1&amp;AP$2&amp;$A299):INDIRECT(AP$1&amp;AP$3&amp;$A299))+SUM(INDIRECT(AP$1&amp;AP$2&amp;$B299):INDIRECT(AP$1&amp;AP$3&amp;$B299))</f>
        <v>0</v>
      </c>
      <c r="AQ299" s="880">
        <f t="shared" ca="1" si="575"/>
        <v>0</v>
      </c>
      <c r="AR299" s="931">
        <f t="shared" ca="1" si="576"/>
        <v>0</v>
      </c>
      <c r="AT299" s="13">
        <f ca="1">SUM((INDIRECT(AT$2&amp;(ROW())):INDIRECT(AT$3&amp;(ROW()))))</f>
        <v>0</v>
      </c>
      <c r="AU299" s="89">
        <f ca="1">SUM(INDIRECT(AU$1&amp;AU$2&amp;$C299):INDIRECT(AU$1&amp;AU$3&amp;$C299))</f>
        <v>0</v>
      </c>
      <c r="AV299" s="880">
        <f t="shared" ca="1" si="577"/>
        <v>0</v>
      </c>
      <c r="AW299" s="931">
        <f t="shared" ca="1" si="578"/>
        <v>0</v>
      </c>
      <c r="AX299" s="89">
        <f ca="1">SUM(INDIRECT(AX$1&amp;AX$2&amp;$A299):INDIRECT(AX$1&amp;AX$3&amp;$A299))+SUM(INDIRECT(AX$1&amp;AX$2&amp;$B299):INDIRECT(AX$1&amp;AX$3&amp;$B299))</f>
        <v>0</v>
      </c>
      <c r="AY299" s="880">
        <f t="shared" ca="1" si="579"/>
        <v>0</v>
      </c>
      <c r="AZ299" s="931">
        <f t="shared" ca="1" si="580"/>
        <v>0</v>
      </c>
      <c r="BB299" s="13">
        <f ca="1">SUM((INDIRECT(BB$2&amp;(ROW())):INDIRECT(BB$3&amp;(ROW()))))</f>
        <v>0</v>
      </c>
      <c r="BC299" s="89">
        <f ca="1">SUM(INDIRECT(BC$1&amp;BC$2&amp;$C299):INDIRECT(BC$1&amp;BC$3&amp;$C299))</f>
        <v>0</v>
      </c>
      <c r="BD299" s="880">
        <f t="shared" ca="1" si="581"/>
        <v>0</v>
      </c>
      <c r="BE299" s="931">
        <f t="shared" ca="1" si="582"/>
        <v>0</v>
      </c>
      <c r="BF299" s="89">
        <f ca="1">SUM(INDIRECT(BF$1&amp;BF$2&amp;$A299):INDIRECT(BF$1&amp;BF$3&amp;$A299))+SUM(INDIRECT(BF$1&amp;BF$2&amp;$B299):INDIRECT(BF$1&amp;BF$3&amp;$B299))</f>
        <v>0</v>
      </c>
      <c r="BG299" s="880">
        <f t="shared" ca="1" si="583"/>
        <v>0</v>
      </c>
      <c r="BH299" s="931">
        <f t="shared" ca="1" si="584"/>
        <v>0</v>
      </c>
    </row>
    <row r="300" spans="1:60" ht="14.5">
      <c r="A300" s="990">
        <f t="shared" si="561"/>
        <v>273</v>
      </c>
      <c r="B300" s="990">
        <v>1</v>
      </c>
      <c r="C300" s="990">
        <f t="shared" si="536"/>
        <v>297</v>
      </c>
      <c r="D300" s="1121" t="s">
        <v>887</v>
      </c>
      <c r="E300" s="1243">
        <v>1</v>
      </c>
      <c r="F300" s="5"/>
      <c r="G300" s="5"/>
      <c r="H300" s="5"/>
      <c r="I300" s="326" t="s">
        <v>128</v>
      </c>
      <c r="J300" s="327"/>
      <c r="K300" s="328"/>
      <c r="L300" s="328"/>
      <c r="M300" s="327"/>
      <c r="N300" s="327"/>
      <c r="O300" s="608" t="s">
        <v>532</v>
      </c>
      <c r="P300" s="829"/>
      <c r="Q300" s="1863" t="str">
        <f>CHOOSE(2, "6722000003219", "PL (4) BT Cons. Sales")</f>
        <v>PL (4) BT Cons. Sales</v>
      </c>
      <c r="R300" s="2765">
        <f>SUM(R301,R305)</f>
        <v>0</v>
      </c>
      <c r="S300" s="2766">
        <f t="shared" ref="S300:AC300" si="594">SUM(S301,S305)</f>
        <v>0</v>
      </c>
      <c r="T300" s="2766">
        <f t="shared" si="594"/>
        <v>0</v>
      </c>
      <c r="U300" s="2766">
        <f t="shared" si="594"/>
        <v>0</v>
      </c>
      <c r="V300" s="2766">
        <f t="shared" si="594"/>
        <v>0</v>
      </c>
      <c r="W300" s="2766">
        <f t="shared" si="594"/>
        <v>0</v>
      </c>
      <c r="X300" s="2766">
        <f t="shared" si="594"/>
        <v>0</v>
      </c>
      <c r="Y300" s="2766">
        <f t="shared" si="594"/>
        <v>0</v>
      </c>
      <c r="Z300" s="2766">
        <f t="shared" si="594"/>
        <v>0</v>
      </c>
      <c r="AA300" s="2766">
        <f t="shared" si="594"/>
        <v>0</v>
      </c>
      <c r="AB300" s="2766">
        <f t="shared" si="594"/>
        <v>0</v>
      </c>
      <c r="AC300" s="2766">
        <f t="shared" si="594"/>
        <v>0</v>
      </c>
      <c r="AD300" s="673">
        <f t="shared" ref="AD300:AJ300" si="595">SUM(AD301,AD305)</f>
        <v>0</v>
      </c>
      <c r="AE300" s="673">
        <f t="shared" si="595"/>
        <v>0</v>
      </c>
      <c r="AF300" s="673">
        <f t="shared" si="595"/>
        <v>0</v>
      </c>
      <c r="AG300" s="673">
        <f t="shared" si="595"/>
        <v>0</v>
      </c>
      <c r="AH300" s="673">
        <f t="shared" si="595"/>
        <v>0</v>
      </c>
      <c r="AI300" s="673">
        <f t="shared" si="595"/>
        <v>0</v>
      </c>
      <c r="AJ300" s="673">
        <f t="shared" si="595"/>
        <v>0</v>
      </c>
      <c r="AL300" s="2130">
        <f ca="1">SUM((INDIRECT(AL$2&amp;(ROW())):INDIRECT(AL$3&amp;(ROW()))))</f>
        <v>0</v>
      </c>
      <c r="AM300" s="125">
        <f ca="1">SUM(INDIRECT(AM$1&amp;AM$2&amp;$C300):INDIRECT(AM$1&amp;AM$3&amp;$C300))</f>
        <v>0</v>
      </c>
      <c r="AN300" s="2521">
        <f t="shared" ca="1" si="573"/>
        <v>0</v>
      </c>
      <c r="AO300" s="1717">
        <f t="shared" ca="1" si="574"/>
        <v>0</v>
      </c>
      <c r="AP300" s="125">
        <f ca="1">SUM(INDIRECT(AP$1&amp;AP$2&amp;$A300):INDIRECT(AP$1&amp;AP$3&amp;$A300))+SUM(INDIRECT(AP$1&amp;AP$2&amp;$B300):INDIRECT(AP$1&amp;AP$3&amp;$B300))</f>
        <v>0</v>
      </c>
      <c r="AQ300" s="2521">
        <f t="shared" ca="1" si="575"/>
        <v>0</v>
      </c>
      <c r="AR300" s="1717">
        <f t="shared" ca="1" si="576"/>
        <v>0</v>
      </c>
      <c r="AT300" s="2130">
        <f ca="1">SUM((INDIRECT(AT$2&amp;(ROW())):INDIRECT(AT$3&amp;(ROW()))))</f>
        <v>0</v>
      </c>
      <c r="AU300" s="125">
        <f ca="1">SUM(INDIRECT(AU$1&amp;AU$2&amp;$C300):INDIRECT(AU$1&amp;AU$3&amp;$C300))</f>
        <v>0</v>
      </c>
      <c r="AV300" s="2521">
        <f t="shared" ca="1" si="577"/>
        <v>0</v>
      </c>
      <c r="AW300" s="1717">
        <f t="shared" ca="1" si="578"/>
        <v>0</v>
      </c>
      <c r="AX300" s="125">
        <f ca="1">SUM(INDIRECT(AX$1&amp;AX$2&amp;$A300):INDIRECT(AX$1&amp;AX$3&amp;$A300))+SUM(INDIRECT(AX$1&amp;AX$2&amp;$B300):INDIRECT(AX$1&amp;AX$3&amp;$B300))</f>
        <v>0</v>
      </c>
      <c r="AY300" s="2521">
        <f t="shared" ca="1" si="579"/>
        <v>0</v>
      </c>
      <c r="AZ300" s="1717">
        <f t="shared" ca="1" si="580"/>
        <v>0</v>
      </c>
      <c r="BB300" s="2130">
        <f ca="1">SUM((INDIRECT(BB$2&amp;(ROW())):INDIRECT(BB$3&amp;(ROW()))))</f>
        <v>0</v>
      </c>
      <c r="BC300" s="125">
        <f ca="1">SUM(INDIRECT(BC$1&amp;BC$2&amp;$C300):INDIRECT(BC$1&amp;BC$3&amp;$C300))</f>
        <v>0</v>
      </c>
      <c r="BD300" s="2521">
        <f t="shared" ca="1" si="581"/>
        <v>0</v>
      </c>
      <c r="BE300" s="1717">
        <f t="shared" ca="1" si="582"/>
        <v>0</v>
      </c>
      <c r="BF300" s="125">
        <f ca="1">SUM(INDIRECT(BF$1&amp;BF$2&amp;$A300):INDIRECT(BF$1&amp;BF$3&amp;$A300))+SUM(INDIRECT(BF$1&amp;BF$2&amp;$B300):INDIRECT(BF$1&amp;BF$3&amp;$B300))</f>
        <v>0</v>
      </c>
      <c r="BG300" s="2521">
        <f t="shared" ca="1" si="583"/>
        <v>0</v>
      </c>
      <c r="BH300" s="1717">
        <f t="shared" ca="1" si="584"/>
        <v>0</v>
      </c>
    </row>
    <row r="301" spans="1:60" ht="14.5">
      <c r="A301" s="990">
        <f t="shared" si="561"/>
        <v>274</v>
      </c>
      <c r="B301" s="990">
        <v>1</v>
      </c>
      <c r="C301" s="990">
        <f t="shared" si="536"/>
        <v>298</v>
      </c>
      <c r="D301" s="1121" t="s">
        <v>887</v>
      </c>
      <c r="E301" s="1243">
        <v>1</v>
      </c>
      <c r="F301" s="5"/>
      <c r="G301" s="5"/>
      <c r="H301" s="5"/>
      <c r="I301" s="30"/>
      <c r="J301" s="4"/>
      <c r="K301" s="5"/>
      <c r="L301" s="389" t="s">
        <v>681</v>
      </c>
      <c r="M301" s="389"/>
      <c r="N301" s="389"/>
      <c r="O301" s="389"/>
      <c r="P301" s="389"/>
      <c r="Q301" s="1864" t="str">
        <f>CHOOSE(2, "6722000003220", "PL (4) BT Cons. Sales MPM")</f>
        <v>PL (4) BT Cons. Sales MPM</v>
      </c>
      <c r="R301" s="2767">
        <f>SUM(R302:R304)</f>
        <v>0</v>
      </c>
      <c r="S301" s="2768">
        <f t="shared" ref="S301:AC301" si="596">SUM(S302:S304)</f>
        <v>0</v>
      </c>
      <c r="T301" s="2768">
        <f t="shared" si="596"/>
        <v>0</v>
      </c>
      <c r="U301" s="2768">
        <f t="shared" si="596"/>
        <v>0</v>
      </c>
      <c r="V301" s="2768">
        <f t="shared" si="596"/>
        <v>0</v>
      </c>
      <c r="W301" s="2768">
        <f t="shared" si="596"/>
        <v>0</v>
      </c>
      <c r="X301" s="2768">
        <f t="shared" si="596"/>
        <v>0</v>
      </c>
      <c r="Y301" s="2768">
        <f t="shared" si="596"/>
        <v>0</v>
      </c>
      <c r="Z301" s="2768">
        <f t="shared" si="596"/>
        <v>0</v>
      </c>
      <c r="AA301" s="2768">
        <f t="shared" si="596"/>
        <v>0</v>
      </c>
      <c r="AB301" s="2768">
        <f t="shared" si="596"/>
        <v>0</v>
      </c>
      <c r="AC301" s="2768">
        <f t="shared" si="596"/>
        <v>0</v>
      </c>
      <c r="AD301" s="390">
        <f t="shared" ref="AD301:AD309" si="597">SUM(R301,S301,T301)</f>
        <v>0</v>
      </c>
      <c r="AE301" s="390">
        <f t="shared" ref="AE301:AE309" si="598">SUM(U301,V301,W301)</f>
        <v>0</v>
      </c>
      <c r="AF301" s="390">
        <f t="shared" ref="AF301:AF309" si="599">SUM(X301,Y301,Z301)</f>
        <v>0</v>
      </c>
      <c r="AG301" s="390">
        <f t="shared" ref="AG301:AG309" si="600">SUM(AA301,AB301,AC301)</f>
        <v>0</v>
      </c>
      <c r="AH301" s="390">
        <f t="shared" ref="AH301:AH309" si="601">AD301+AE301</f>
        <v>0</v>
      </c>
      <c r="AI301" s="390">
        <f t="shared" ref="AI301:AI309" si="602">AG301+AF301</f>
        <v>0</v>
      </c>
      <c r="AJ301" s="390">
        <f t="shared" ref="AJ301:AJ309" si="603">AH301+AI301</f>
        <v>0</v>
      </c>
      <c r="AL301" s="2124">
        <f ca="1">SUM((INDIRECT(AL$2&amp;(ROW())):INDIRECT(AL$3&amp;(ROW()))))</f>
        <v>0</v>
      </c>
      <c r="AM301" s="390">
        <f ca="1">SUM(INDIRECT(AM$1&amp;AM$2&amp;$C301):INDIRECT(AM$1&amp;AM$3&amp;$C301))</f>
        <v>0</v>
      </c>
      <c r="AN301" s="885">
        <f t="shared" ca="1" si="573"/>
        <v>0</v>
      </c>
      <c r="AO301" s="940">
        <f t="shared" ca="1" si="574"/>
        <v>0</v>
      </c>
      <c r="AP301" s="390">
        <f ca="1">SUM(INDIRECT(AP$1&amp;AP$2&amp;$A301):INDIRECT(AP$1&amp;AP$3&amp;$A301))+SUM(INDIRECT(AP$1&amp;AP$2&amp;$B301):INDIRECT(AP$1&amp;AP$3&amp;$B301))</f>
        <v>0</v>
      </c>
      <c r="AQ301" s="885">
        <f t="shared" ca="1" si="575"/>
        <v>0</v>
      </c>
      <c r="AR301" s="940">
        <f t="shared" ca="1" si="576"/>
        <v>0</v>
      </c>
      <c r="AT301" s="2124">
        <f ca="1">SUM((INDIRECT(AT$2&amp;(ROW())):INDIRECT(AT$3&amp;(ROW()))))</f>
        <v>0</v>
      </c>
      <c r="AU301" s="390">
        <f ca="1">SUM(INDIRECT(AU$1&amp;AU$2&amp;$C301):INDIRECT(AU$1&amp;AU$3&amp;$C301))</f>
        <v>0</v>
      </c>
      <c r="AV301" s="885">
        <f t="shared" ca="1" si="577"/>
        <v>0</v>
      </c>
      <c r="AW301" s="940">
        <f t="shared" ca="1" si="578"/>
        <v>0</v>
      </c>
      <c r="AX301" s="390">
        <f ca="1">SUM(INDIRECT(AX$1&amp;AX$2&amp;$A301):INDIRECT(AX$1&amp;AX$3&amp;$A301))+SUM(INDIRECT(AX$1&amp;AX$2&amp;$B301):INDIRECT(AX$1&amp;AX$3&amp;$B301))</f>
        <v>0</v>
      </c>
      <c r="AY301" s="885">
        <f t="shared" ca="1" si="579"/>
        <v>0</v>
      </c>
      <c r="AZ301" s="940">
        <f t="shared" ca="1" si="580"/>
        <v>0</v>
      </c>
      <c r="BB301" s="2124">
        <f ca="1">SUM((INDIRECT(BB$2&amp;(ROW())):INDIRECT(BB$3&amp;(ROW()))))</f>
        <v>0</v>
      </c>
      <c r="BC301" s="390">
        <f ca="1">SUM(INDIRECT(BC$1&amp;BC$2&amp;$C301):INDIRECT(BC$1&amp;BC$3&amp;$C301))</f>
        <v>0</v>
      </c>
      <c r="BD301" s="885">
        <f t="shared" ca="1" si="581"/>
        <v>0</v>
      </c>
      <c r="BE301" s="940">
        <f t="shared" ca="1" si="582"/>
        <v>0</v>
      </c>
      <c r="BF301" s="390">
        <f ca="1">SUM(INDIRECT(BF$1&amp;BF$2&amp;$A301):INDIRECT(BF$1&amp;BF$3&amp;$A301))+SUM(INDIRECT(BF$1&amp;BF$2&amp;$B301):INDIRECT(BF$1&amp;BF$3&amp;$B301))</f>
        <v>0</v>
      </c>
      <c r="BG301" s="885">
        <f t="shared" ca="1" si="583"/>
        <v>0</v>
      </c>
      <c r="BH301" s="940">
        <f t="shared" ca="1" si="584"/>
        <v>0</v>
      </c>
    </row>
    <row r="302" spans="1:60" ht="15" customHeight="1">
      <c r="A302" s="990">
        <f t="shared" si="561"/>
        <v>275</v>
      </c>
      <c r="B302" s="990">
        <v>1</v>
      </c>
      <c r="C302" s="990">
        <f t="shared" si="536"/>
        <v>299</v>
      </c>
      <c r="D302" s="1121" t="s">
        <v>887</v>
      </c>
      <c r="E302" s="1243">
        <v>1</v>
      </c>
      <c r="F302" s="5"/>
      <c r="G302" s="5"/>
      <c r="H302" s="5"/>
      <c r="I302" s="30"/>
      <c r="J302" s="4"/>
      <c r="K302" s="5"/>
      <c r="L302" s="5"/>
      <c r="M302" s="4" t="s">
        <v>206</v>
      </c>
      <c r="N302" s="4"/>
      <c r="O302" s="4"/>
      <c r="P302" s="4"/>
      <c r="Q302" s="1865" t="str">
        <f>CHOOSE(2, "6722000003221", "PL (4) BT Cons. Sales MPM Procurement")</f>
        <v>PL (4) BT Cons. Sales MPM Procurement</v>
      </c>
      <c r="R302" s="2758">
        <v>0</v>
      </c>
      <c r="S302" s="2039">
        <v>0</v>
      </c>
      <c r="T302" s="2039">
        <v>0</v>
      </c>
      <c r="U302" s="2039">
        <v>0</v>
      </c>
      <c r="V302" s="2039">
        <v>0</v>
      </c>
      <c r="W302" s="2039">
        <v>0</v>
      </c>
      <c r="X302" s="2039">
        <v>0</v>
      </c>
      <c r="Y302" s="2039">
        <v>0</v>
      </c>
      <c r="Z302" s="2039">
        <v>0</v>
      </c>
      <c r="AA302" s="2039">
        <v>0</v>
      </c>
      <c r="AB302" s="2039">
        <v>0</v>
      </c>
      <c r="AC302" s="2039">
        <v>0</v>
      </c>
      <c r="AD302" s="89">
        <f t="shared" si="597"/>
        <v>0</v>
      </c>
      <c r="AE302" s="89">
        <f t="shared" si="598"/>
        <v>0</v>
      </c>
      <c r="AF302" s="89">
        <f t="shared" si="599"/>
        <v>0</v>
      </c>
      <c r="AG302" s="89">
        <f t="shared" si="600"/>
        <v>0</v>
      </c>
      <c r="AH302" s="89">
        <f t="shared" si="601"/>
        <v>0</v>
      </c>
      <c r="AI302" s="89">
        <f t="shared" si="602"/>
        <v>0</v>
      </c>
      <c r="AJ302" s="89">
        <f t="shared" si="603"/>
        <v>0</v>
      </c>
      <c r="AL302" s="13">
        <f ca="1">SUM((INDIRECT(AL$2&amp;(ROW())):INDIRECT(AL$3&amp;(ROW()))))</f>
        <v>0</v>
      </c>
      <c r="AM302" s="89">
        <f ca="1">SUM(INDIRECT(AM$1&amp;AM$2&amp;$C302):INDIRECT(AM$1&amp;AM$3&amp;$C302))</f>
        <v>0</v>
      </c>
      <c r="AN302" s="880">
        <f t="shared" ca="1" si="573"/>
        <v>0</v>
      </c>
      <c r="AO302" s="931">
        <f t="shared" ca="1" si="574"/>
        <v>0</v>
      </c>
      <c r="AP302" s="89">
        <f ca="1">SUM(INDIRECT(AP$1&amp;AP$2&amp;$A302):INDIRECT(AP$1&amp;AP$3&amp;$A302))+SUM(INDIRECT(AP$1&amp;AP$2&amp;$B302):INDIRECT(AP$1&amp;AP$3&amp;$B302))</f>
        <v>0</v>
      </c>
      <c r="AQ302" s="880">
        <f t="shared" ca="1" si="575"/>
        <v>0</v>
      </c>
      <c r="AR302" s="931">
        <f t="shared" ca="1" si="576"/>
        <v>0</v>
      </c>
      <c r="AT302" s="13">
        <f ca="1">SUM((INDIRECT(AT$2&amp;(ROW())):INDIRECT(AT$3&amp;(ROW()))))</f>
        <v>0</v>
      </c>
      <c r="AU302" s="89">
        <f ca="1">SUM(INDIRECT(AU$1&amp;AU$2&amp;$C302):INDIRECT(AU$1&amp;AU$3&amp;$C302))</f>
        <v>0</v>
      </c>
      <c r="AV302" s="880">
        <f t="shared" ca="1" si="577"/>
        <v>0</v>
      </c>
      <c r="AW302" s="931">
        <f t="shared" ca="1" si="578"/>
        <v>0</v>
      </c>
      <c r="AX302" s="89">
        <f ca="1">SUM(INDIRECT(AX$1&amp;AX$2&amp;$A302):INDIRECT(AX$1&amp;AX$3&amp;$A302))+SUM(INDIRECT(AX$1&amp;AX$2&amp;$B302):INDIRECT(AX$1&amp;AX$3&amp;$B302))</f>
        <v>0</v>
      </c>
      <c r="AY302" s="880">
        <f t="shared" ca="1" si="579"/>
        <v>0</v>
      </c>
      <c r="AZ302" s="931">
        <f t="shared" ca="1" si="580"/>
        <v>0</v>
      </c>
      <c r="BB302" s="13">
        <f ca="1">SUM((INDIRECT(BB$2&amp;(ROW())):INDIRECT(BB$3&amp;(ROW()))))</f>
        <v>0</v>
      </c>
      <c r="BC302" s="89">
        <f ca="1">SUM(INDIRECT(BC$1&amp;BC$2&amp;$C302):INDIRECT(BC$1&amp;BC$3&amp;$C302))</f>
        <v>0</v>
      </c>
      <c r="BD302" s="880">
        <f t="shared" ca="1" si="581"/>
        <v>0</v>
      </c>
      <c r="BE302" s="931">
        <f t="shared" ca="1" si="582"/>
        <v>0</v>
      </c>
      <c r="BF302" s="89">
        <f ca="1">SUM(INDIRECT(BF$1&amp;BF$2&amp;$A302):INDIRECT(BF$1&amp;BF$3&amp;$A302))+SUM(INDIRECT(BF$1&amp;BF$2&amp;$B302):INDIRECT(BF$1&amp;BF$3&amp;$B302))</f>
        <v>0</v>
      </c>
      <c r="BG302" s="880">
        <f t="shared" ca="1" si="583"/>
        <v>0</v>
      </c>
      <c r="BH302" s="931">
        <f t="shared" ca="1" si="584"/>
        <v>0</v>
      </c>
    </row>
    <row r="303" spans="1:60" ht="15" customHeight="1">
      <c r="A303" s="990">
        <f t="shared" si="561"/>
        <v>276</v>
      </c>
      <c r="B303" s="990">
        <v>1</v>
      </c>
      <c r="C303" s="990">
        <f t="shared" si="536"/>
        <v>300</v>
      </c>
      <c r="D303" s="1121" t="s">
        <v>887</v>
      </c>
      <c r="E303" s="1243">
        <v>1</v>
      </c>
      <c r="F303" s="5"/>
      <c r="G303" s="5"/>
      <c r="H303" s="5"/>
      <c r="I303" s="30"/>
      <c r="J303" s="4"/>
      <c r="K303" s="5"/>
      <c r="L303" s="5"/>
      <c r="M303" s="4" t="s">
        <v>207</v>
      </c>
      <c r="N303" s="4"/>
      <c r="O303" s="4"/>
      <c r="P303" s="4"/>
      <c r="Q303" s="1865" t="str">
        <f>CHOOSE(2, "6722000003222", "PL (4) BT Cons. Sales MPM Production")</f>
        <v>PL (4) BT Cons. Sales MPM Production</v>
      </c>
      <c r="R303" s="2758">
        <v>0</v>
      </c>
      <c r="S303" s="2039">
        <v>0</v>
      </c>
      <c r="T303" s="2039">
        <v>0</v>
      </c>
      <c r="U303" s="2039">
        <v>0</v>
      </c>
      <c r="V303" s="2039">
        <v>0</v>
      </c>
      <c r="W303" s="2039">
        <v>0</v>
      </c>
      <c r="X303" s="2039">
        <v>0</v>
      </c>
      <c r="Y303" s="2039">
        <v>0</v>
      </c>
      <c r="Z303" s="2039">
        <v>0</v>
      </c>
      <c r="AA303" s="2039">
        <v>0</v>
      </c>
      <c r="AB303" s="2039">
        <v>0</v>
      </c>
      <c r="AC303" s="2039">
        <v>0</v>
      </c>
      <c r="AD303" s="89">
        <f t="shared" si="597"/>
        <v>0</v>
      </c>
      <c r="AE303" s="89">
        <f t="shared" si="598"/>
        <v>0</v>
      </c>
      <c r="AF303" s="89">
        <f t="shared" si="599"/>
        <v>0</v>
      </c>
      <c r="AG303" s="89">
        <f t="shared" si="600"/>
        <v>0</v>
      </c>
      <c r="AH303" s="89">
        <f t="shared" si="601"/>
        <v>0</v>
      </c>
      <c r="AI303" s="89">
        <f t="shared" si="602"/>
        <v>0</v>
      </c>
      <c r="AJ303" s="89">
        <f t="shared" si="603"/>
        <v>0</v>
      </c>
      <c r="AL303" s="13">
        <f ca="1">SUM((INDIRECT(AL$2&amp;(ROW())):INDIRECT(AL$3&amp;(ROW()))))</f>
        <v>0</v>
      </c>
      <c r="AM303" s="89">
        <f ca="1">SUM(INDIRECT(AM$1&amp;AM$2&amp;$C303):INDIRECT(AM$1&amp;AM$3&amp;$C303))</f>
        <v>0</v>
      </c>
      <c r="AN303" s="880">
        <f t="shared" ca="1" si="573"/>
        <v>0</v>
      </c>
      <c r="AO303" s="931">
        <f t="shared" ca="1" si="574"/>
        <v>0</v>
      </c>
      <c r="AP303" s="89">
        <f ca="1">SUM(INDIRECT(AP$1&amp;AP$2&amp;$A303):INDIRECT(AP$1&amp;AP$3&amp;$A303))+SUM(INDIRECT(AP$1&amp;AP$2&amp;$B303):INDIRECT(AP$1&amp;AP$3&amp;$B303))</f>
        <v>0</v>
      </c>
      <c r="AQ303" s="880">
        <f t="shared" ca="1" si="575"/>
        <v>0</v>
      </c>
      <c r="AR303" s="931">
        <f t="shared" ca="1" si="576"/>
        <v>0</v>
      </c>
      <c r="AT303" s="13">
        <f ca="1">SUM((INDIRECT(AT$2&amp;(ROW())):INDIRECT(AT$3&amp;(ROW()))))</f>
        <v>0</v>
      </c>
      <c r="AU303" s="89">
        <f ca="1">SUM(INDIRECT(AU$1&amp;AU$2&amp;$C303):INDIRECT(AU$1&amp;AU$3&amp;$C303))</f>
        <v>0</v>
      </c>
      <c r="AV303" s="880">
        <f t="shared" ca="1" si="577"/>
        <v>0</v>
      </c>
      <c r="AW303" s="931">
        <f t="shared" ca="1" si="578"/>
        <v>0</v>
      </c>
      <c r="AX303" s="89">
        <f ca="1">SUM(INDIRECT(AX$1&amp;AX$2&amp;$A303):INDIRECT(AX$1&amp;AX$3&amp;$A303))+SUM(INDIRECT(AX$1&amp;AX$2&amp;$B303):INDIRECT(AX$1&amp;AX$3&amp;$B303))</f>
        <v>0</v>
      </c>
      <c r="AY303" s="880">
        <f t="shared" ca="1" si="579"/>
        <v>0</v>
      </c>
      <c r="AZ303" s="931">
        <f t="shared" ca="1" si="580"/>
        <v>0</v>
      </c>
      <c r="BB303" s="13">
        <f ca="1">SUM((INDIRECT(BB$2&amp;(ROW())):INDIRECT(BB$3&amp;(ROW()))))</f>
        <v>0</v>
      </c>
      <c r="BC303" s="89">
        <f ca="1">SUM(INDIRECT(BC$1&amp;BC$2&amp;$C303):INDIRECT(BC$1&amp;BC$3&amp;$C303))</f>
        <v>0</v>
      </c>
      <c r="BD303" s="880">
        <f t="shared" ca="1" si="581"/>
        <v>0</v>
      </c>
      <c r="BE303" s="931">
        <f t="shared" ca="1" si="582"/>
        <v>0</v>
      </c>
      <c r="BF303" s="89">
        <f ca="1">SUM(INDIRECT(BF$1&amp;BF$2&amp;$A303):INDIRECT(BF$1&amp;BF$3&amp;$A303))+SUM(INDIRECT(BF$1&amp;BF$2&amp;$B303):INDIRECT(BF$1&amp;BF$3&amp;$B303))</f>
        <v>0</v>
      </c>
      <c r="BG303" s="880">
        <f t="shared" ca="1" si="583"/>
        <v>0</v>
      </c>
      <c r="BH303" s="931">
        <f t="shared" ca="1" si="584"/>
        <v>0</v>
      </c>
    </row>
    <row r="304" spans="1:60" ht="15" customHeight="1">
      <c r="A304" s="990">
        <f t="shared" si="561"/>
        <v>277</v>
      </c>
      <c r="B304" s="990">
        <v>1</v>
      </c>
      <c r="C304" s="990">
        <f t="shared" si="536"/>
        <v>301</v>
      </c>
      <c r="D304" s="1121" t="s">
        <v>887</v>
      </c>
      <c r="E304" s="1243">
        <v>1</v>
      </c>
      <c r="F304" s="5"/>
      <c r="G304" s="5"/>
      <c r="H304" s="5"/>
      <c r="I304" s="30"/>
      <c r="J304" s="4"/>
      <c r="K304" s="5"/>
      <c r="L304" s="52"/>
      <c r="M304" s="51" t="s">
        <v>208</v>
      </c>
      <c r="N304" s="51"/>
      <c r="O304" s="51"/>
      <c r="P304" s="51"/>
      <c r="Q304" s="1865" t="str">
        <f>CHOOSE(2, "6722000003223", "PL (4) BT Cons. Sales MPM Solution")</f>
        <v>PL (4) BT Cons. Sales MPM Solution</v>
      </c>
      <c r="R304" s="2759">
        <v>0</v>
      </c>
      <c r="S304" s="2043">
        <v>0</v>
      </c>
      <c r="T304" s="2043">
        <v>0</v>
      </c>
      <c r="U304" s="2043">
        <v>0</v>
      </c>
      <c r="V304" s="2043">
        <v>0</v>
      </c>
      <c r="W304" s="2043">
        <v>0</v>
      </c>
      <c r="X304" s="2043">
        <v>0</v>
      </c>
      <c r="Y304" s="2043">
        <v>0</v>
      </c>
      <c r="Z304" s="2043">
        <v>0</v>
      </c>
      <c r="AA304" s="2043">
        <v>0</v>
      </c>
      <c r="AB304" s="2043">
        <v>0</v>
      </c>
      <c r="AC304" s="2043">
        <v>0</v>
      </c>
      <c r="AD304" s="134">
        <f t="shared" si="597"/>
        <v>0</v>
      </c>
      <c r="AE304" s="134">
        <f t="shared" si="598"/>
        <v>0</v>
      </c>
      <c r="AF304" s="134">
        <f t="shared" si="599"/>
        <v>0</v>
      </c>
      <c r="AG304" s="134">
        <f t="shared" si="600"/>
        <v>0</v>
      </c>
      <c r="AH304" s="134">
        <f t="shared" si="601"/>
        <v>0</v>
      </c>
      <c r="AI304" s="134">
        <f t="shared" si="602"/>
        <v>0</v>
      </c>
      <c r="AJ304" s="134">
        <f t="shared" si="603"/>
        <v>0</v>
      </c>
      <c r="AL304" s="2061">
        <f ca="1">SUM((INDIRECT(AL$2&amp;(ROW())):INDIRECT(AL$3&amp;(ROW()))))</f>
        <v>0</v>
      </c>
      <c r="AM304" s="134">
        <f ca="1">SUM(INDIRECT(AM$1&amp;AM$2&amp;$C304):INDIRECT(AM$1&amp;AM$3&amp;$C304))</f>
        <v>0</v>
      </c>
      <c r="AN304" s="883">
        <f t="shared" ca="1" si="573"/>
        <v>0</v>
      </c>
      <c r="AO304" s="934">
        <f t="shared" ca="1" si="574"/>
        <v>0</v>
      </c>
      <c r="AP304" s="134">
        <f ca="1">SUM(INDIRECT(AP$1&amp;AP$2&amp;$A304):INDIRECT(AP$1&amp;AP$3&amp;$A304))+SUM(INDIRECT(AP$1&amp;AP$2&amp;$B304):INDIRECT(AP$1&amp;AP$3&amp;$B304))</f>
        <v>0</v>
      </c>
      <c r="AQ304" s="883">
        <f t="shared" ca="1" si="575"/>
        <v>0</v>
      </c>
      <c r="AR304" s="934">
        <f t="shared" ca="1" si="576"/>
        <v>0</v>
      </c>
      <c r="AT304" s="2061">
        <f ca="1">SUM((INDIRECT(AT$2&amp;(ROW())):INDIRECT(AT$3&amp;(ROW()))))</f>
        <v>0</v>
      </c>
      <c r="AU304" s="134">
        <f ca="1">SUM(INDIRECT(AU$1&amp;AU$2&amp;$C304):INDIRECT(AU$1&amp;AU$3&amp;$C304))</f>
        <v>0</v>
      </c>
      <c r="AV304" s="883">
        <f t="shared" ca="1" si="577"/>
        <v>0</v>
      </c>
      <c r="AW304" s="934">
        <f t="shared" ca="1" si="578"/>
        <v>0</v>
      </c>
      <c r="AX304" s="134">
        <f ca="1">SUM(INDIRECT(AX$1&amp;AX$2&amp;$A304):INDIRECT(AX$1&amp;AX$3&amp;$A304))+SUM(INDIRECT(AX$1&amp;AX$2&amp;$B304):INDIRECT(AX$1&amp;AX$3&amp;$B304))</f>
        <v>0</v>
      </c>
      <c r="AY304" s="883">
        <f t="shared" ca="1" si="579"/>
        <v>0</v>
      </c>
      <c r="AZ304" s="934">
        <f t="shared" ca="1" si="580"/>
        <v>0</v>
      </c>
      <c r="BB304" s="2061">
        <f ca="1">SUM((INDIRECT(BB$2&amp;(ROW())):INDIRECT(BB$3&amp;(ROW()))))</f>
        <v>0</v>
      </c>
      <c r="BC304" s="134">
        <f ca="1">SUM(INDIRECT(BC$1&amp;BC$2&amp;$C304):INDIRECT(BC$1&amp;BC$3&amp;$C304))</f>
        <v>0</v>
      </c>
      <c r="BD304" s="883">
        <f t="shared" ca="1" si="581"/>
        <v>0</v>
      </c>
      <c r="BE304" s="934">
        <f t="shared" ca="1" si="582"/>
        <v>0</v>
      </c>
      <c r="BF304" s="134">
        <f ca="1">SUM(INDIRECT(BF$1&amp;BF$2&amp;$A304):INDIRECT(BF$1&amp;BF$3&amp;$A304))+SUM(INDIRECT(BF$1&amp;BF$2&amp;$B304):INDIRECT(BF$1&amp;BF$3&amp;$B304))</f>
        <v>0</v>
      </c>
      <c r="BG304" s="883">
        <f t="shared" ca="1" si="583"/>
        <v>0</v>
      </c>
      <c r="BH304" s="934">
        <f t="shared" ca="1" si="584"/>
        <v>0</v>
      </c>
    </row>
    <row r="305" spans="1:60" ht="15" customHeight="1">
      <c r="A305" s="990">
        <f t="shared" si="561"/>
        <v>278</v>
      </c>
      <c r="B305" s="990">
        <v>1</v>
      </c>
      <c r="C305" s="990">
        <f t="shared" si="536"/>
        <v>302</v>
      </c>
      <c r="D305" s="1121" t="s">
        <v>887</v>
      </c>
      <c r="E305" s="1243">
        <v>1</v>
      </c>
      <c r="F305" s="5"/>
      <c r="G305" s="5"/>
      <c r="H305" s="5"/>
      <c r="I305" s="30"/>
      <c r="J305" s="4"/>
      <c r="K305" s="5"/>
      <c r="L305" s="389" t="s">
        <v>682</v>
      </c>
      <c r="M305" s="389"/>
      <c r="N305" s="389"/>
      <c r="O305" s="389"/>
      <c r="P305" s="389"/>
      <c r="Q305" s="1864" t="str">
        <f>CHOOSE(2, "6722000003224", "PL (4) BT Cons. Sales ODP")</f>
        <v>PL (4) BT Cons. Sales ODP</v>
      </c>
      <c r="R305" s="2767">
        <f>SUM(R306:R309)</f>
        <v>0</v>
      </c>
      <c r="S305" s="2768">
        <f t="shared" ref="S305:AC305" si="604">SUM(S306:S309)</f>
        <v>0</v>
      </c>
      <c r="T305" s="2768">
        <f t="shared" si="604"/>
        <v>0</v>
      </c>
      <c r="U305" s="2768">
        <f t="shared" si="604"/>
        <v>0</v>
      </c>
      <c r="V305" s="2768">
        <f t="shared" si="604"/>
        <v>0</v>
      </c>
      <c r="W305" s="2768">
        <f t="shared" si="604"/>
        <v>0</v>
      </c>
      <c r="X305" s="2768">
        <f t="shared" si="604"/>
        <v>0</v>
      </c>
      <c r="Y305" s="2768">
        <f t="shared" si="604"/>
        <v>0</v>
      </c>
      <c r="Z305" s="2768">
        <f t="shared" si="604"/>
        <v>0</v>
      </c>
      <c r="AA305" s="2768">
        <f t="shared" si="604"/>
        <v>0</v>
      </c>
      <c r="AB305" s="2768">
        <f t="shared" si="604"/>
        <v>0</v>
      </c>
      <c r="AC305" s="2768">
        <f t="shared" si="604"/>
        <v>0</v>
      </c>
      <c r="AD305" s="390">
        <f t="shared" si="597"/>
        <v>0</v>
      </c>
      <c r="AE305" s="390">
        <f t="shared" si="598"/>
        <v>0</v>
      </c>
      <c r="AF305" s="390">
        <f t="shared" si="599"/>
        <v>0</v>
      </c>
      <c r="AG305" s="390">
        <f t="shared" si="600"/>
        <v>0</v>
      </c>
      <c r="AH305" s="390">
        <f t="shared" si="601"/>
        <v>0</v>
      </c>
      <c r="AI305" s="390">
        <f t="shared" si="602"/>
        <v>0</v>
      </c>
      <c r="AJ305" s="390">
        <f t="shared" si="603"/>
        <v>0</v>
      </c>
      <c r="AL305" s="2124">
        <f ca="1">SUM((INDIRECT(AL$2&amp;(ROW())):INDIRECT(AL$3&amp;(ROW()))))</f>
        <v>0</v>
      </c>
      <c r="AM305" s="390">
        <f ca="1">SUM(INDIRECT(AM$1&amp;AM$2&amp;$C305):INDIRECT(AM$1&amp;AM$3&amp;$C305))</f>
        <v>0</v>
      </c>
      <c r="AN305" s="885">
        <f t="shared" ca="1" si="573"/>
        <v>0</v>
      </c>
      <c r="AO305" s="940">
        <f t="shared" ca="1" si="574"/>
        <v>0</v>
      </c>
      <c r="AP305" s="390">
        <f ca="1">SUM(INDIRECT(AP$1&amp;AP$2&amp;$A305):INDIRECT(AP$1&amp;AP$3&amp;$A305))+SUM(INDIRECT(AP$1&amp;AP$2&amp;$B305):INDIRECT(AP$1&amp;AP$3&amp;$B305))</f>
        <v>0</v>
      </c>
      <c r="AQ305" s="885">
        <f t="shared" ca="1" si="575"/>
        <v>0</v>
      </c>
      <c r="AR305" s="940">
        <f t="shared" ca="1" si="576"/>
        <v>0</v>
      </c>
      <c r="AT305" s="2124">
        <f ca="1">SUM((INDIRECT(AT$2&amp;(ROW())):INDIRECT(AT$3&amp;(ROW()))))</f>
        <v>0</v>
      </c>
      <c r="AU305" s="390">
        <f ca="1">SUM(INDIRECT(AU$1&amp;AU$2&amp;$C305):INDIRECT(AU$1&amp;AU$3&amp;$C305))</f>
        <v>0</v>
      </c>
      <c r="AV305" s="885">
        <f t="shared" ca="1" si="577"/>
        <v>0</v>
      </c>
      <c r="AW305" s="940">
        <f t="shared" ca="1" si="578"/>
        <v>0</v>
      </c>
      <c r="AX305" s="390">
        <f ca="1">SUM(INDIRECT(AX$1&amp;AX$2&amp;$A305):INDIRECT(AX$1&amp;AX$3&amp;$A305))+SUM(INDIRECT(AX$1&amp;AX$2&amp;$B305):INDIRECT(AX$1&amp;AX$3&amp;$B305))</f>
        <v>0</v>
      </c>
      <c r="AY305" s="885">
        <f t="shared" ca="1" si="579"/>
        <v>0</v>
      </c>
      <c r="AZ305" s="940">
        <f t="shared" ca="1" si="580"/>
        <v>0</v>
      </c>
      <c r="BB305" s="2124">
        <f ca="1">SUM((INDIRECT(BB$2&amp;(ROW())):INDIRECT(BB$3&amp;(ROW()))))</f>
        <v>0</v>
      </c>
      <c r="BC305" s="390">
        <f ca="1">SUM(INDIRECT(BC$1&amp;BC$2&amp;$C305):INDIRECT(BC$1&amp;BC$3&amp;$C305))</f>
        <v>0</v>
      </c>
      <c r="BD305" s="885">
        <f t="shared" ca="1" si="581"/>
        <v>0</v>
      </c>
      <c r="BE305" s="940">
        <f t="shared" ca="1" si="582"/>
        <v>0</v>
      </c>
      <c r="BF305" s="390">
        <f ca="1">SUM(INDIRECT(BF$1&amp;BF$2&amp;$A305):INDIRECT(BF$1&amp;BF$3&amp;$A305))+SUM(INDIRECT(BF$1&amp;BF$2&amp;$B305):INDIRECT(BF$1&amp;BF$3&amp;$B305))</f>
        <v>0</v>
      </c>
      <c r="BG305" s="885">
        <f t="shared" ca="1" si="583"/>
        <v>0</v>
      </c>
      <c r="BH305" s="940">
        <f t="shared" ca="1" si="584"/>
        <v>0</v>
      </c>
    </row>
    <row r="306" spans="1:60" ht="15" customHeight="1">
      <c r="A306" s="990">
        <f t="shared" si="561"/>
        <v>279</v>
      </c>
      <c r="B306" s="990">
        <v>1</v>
      </c>
      <c r="C306" s="990">
        <f t="shared" si="536"/>
        <v>303</v>
      </c>
      <c r="D306" s="1121" t="s">
        <v>887</v>
      </c>
      <c r="E306" s="1243">
        <v>1</v>
      </c>
      <c r="F306" s="5"/>
      <c r="G306" s="5"/>
      <c r="H306" s="5"/>
      <c r="I306" s="30"/>
      <c r="J306" s="4"/>
      <c r="K306" s="5"/>
      <c r="L306" s="5"/>
      <c r="M306" s="4" t="s">
        <v>59</v>
      </c>
      <c r="N306" s="4"/>
      <c r="O306" s="4"/>
      <c r="P306" s="4"/>
      <c r="Q306" s="1865" t="str">
        <f>CHOOSE(2, "6722000003225", "PL (4) BT Cons. Sales ODP On Demand Printing")</f>
        <v>PL (4) BT Cons. Sales ODP On Demand Printing</v>
      </c>
      <c r="R306" s="2758">
        <v>0</v>
      </c>
      <c r="S306" s="2039">
        <v>0</v>
      </c>
      <c r="T306" s="2039">
        <v>0</v>
      </c>
      <c r="U306" s="2039">
        <v>0</v>
      </c>
      <c r="V306" s="2039">
        <v>0</v>
      </c>
      <c r="W306" s="2039">
        <v>0</v>
      </c>
      <c r="X306" s="2039">
        <v>0</v>
      </c>
      <c r="Y306" s="2039">
        <v>0</v>
      </c>
      <c r="Z306" s="2039">
        <v>0</v>
      </c>
      <c r="AA306" s="2039">
        <v>0</v>
      </c>
      <c r="AB306" s="2039">
        <v>0</v>
      </c>
      <c r="AC306" s="2039">
        <v>0</v>
      </c>
      <c r="AD306" s="89">
        <f t="shared" si="597"/>
        <v>0</v>
      </c>
      <c r="AE306" s="89">
        <f t="shared" si="598"/>
        <v>0</v>
      </c>
      <c r="AF306" s="89">
        <f t="shared" si="599"/>
        <v>0</v>
      </c>
      <c r="AG306" s="89">
        <f t="shared" si="600"/>
        <v>0</v>
      </c>
      <c r="AH306" s="89">
        <f t="shared" si="601"/>
        <v>0</v>
      </c>
      <c r="AI306" s="89">
        <f t="shared" si="602"/>
        <v>0</v>
      </c>
      <c r="AJ306" s="89">
        <f t="shared" si="603"/>
        <v>0</v>
      </c>
      <c r="AL306" s="13">
        <f ca="1">SUM((INDIRECT(AL$2&amp;(ROW())):INDIRECT(AL$3&amp;(ROW()))))</f>
        <v>0</v>
      </c>
      <c r="AM306" s="89">
        <f ca="1">SUM(INDIRECT(AM$1&amp;AM$2&amp;$C306):INDIRECT(AM$1&amp;AM$3&amp;$C306))</f>
        <v>0</v>
      </c>
      <c r="AN306" s="880">
        <f t="shared" ca="1" si="573"/>
        <v>0</v>
      </c>
      <c r="AO306" s="931">
        <f t="shared" ca="1" si="574"/>
        <v>0</v>
      </c>
      <c r="AP306" s="89">
        <f ca="1">SUM(INDIRECT(AP$1&amp;AP$2&amp;$A306):INDIRECT(AP$1&amp;AP$3&amp;$A306))+SUM(INDIRECT(AP$1&amp;AP$2&amp;$B306):INDIRECT(AP$1&amp;AP$3&amp;$B306))</f>
        <v>0</v>
      </c>
      <c r="AQ306" s="880">
        <f t="shared" ca="1" si="575"/>
        <v>0</v>
      </c>
      <c r="AR306" s="931">
        <f t="shared" ca="1" si="576"/>
        <v>0</v>
      </c>
      <c r="AT306" s="13">
        <f ca="1">SUM((INDIRECT(AT$2&amp;(ROW())):INDIRECT(AT$3&amp;(ROW()))))</f>
        <v>0</v>
      </c>
      <c r="AU306" s="89">
        <f ca="1">SUM(INDIRECT(AU$1&amp;AU$2&amp;$C306):INDIRECT(AU$1&amp;AU$3&amp;$C306))</f>
        <v>0</v>
      </c>
      <c r="AV306" s="880">
        <f t="shared" ca="1" si="577"/>
        <v>0</v>
      </c>
      <c r="AW306" s="931">
        <f t="shared" ca="1" si="578"/>
        <v>0</v>
      </c>
      <c r="AX306" s="89">
        <f ca="1">SUM(INDIRECT(AX$1&amp;AX$2&amp;$A306):INDIRECT(AX$1&amp;AX$3&amp;$A306))+SUM(INDIRECT(AX$1&amp;AX$2&amp;$B306):INDIRECT(AX$1&amp;AX$3&amp;$B306))</f>
        <v>0</v>
      </c>
      <c r="AY306" s="880">
        <f t="shared" ca="1" si="579"/>
        <v>0</v>
      </c>
      <c r="AZ306" s="931">
        <f t="shared" ca="1" si="580"/>
        <v>0</v>
      </c>
      <c r="BB306" s="13">
        <f ca="1">SUM((INDIRECT(BB$2&amp;(ROW())):INDIRECT(BB$3&amp;(ROW()))))</f>
        <v>0</v>
      </c>
      <c r="BC306" s="89">
        <f ca="1">SUM(INDIRECT(BC$1&amp;BC$2&amp;$C306):INDIRECT(BC$1&amp;BC$3&amp;$C306))</f>
        <v>0</v>
      </c>
      <c r="BD306" s="880">
        <f t="shared" ca="1" si="581"/>
        <v>0</v>
      </c>
      <c r="BE306" s="931">
        <f t="shared" ca="1" si="582"/>
        <v>0</v>
      </c>
      <c r="BF306" s="89">
        <f ca="1">SUM(INDIRECT(BF$1&amp;BF$2&amp;$A306):INDIRECT(BF$1&amp;BF$3&amp;$A306))+SUM(INDIRECT(BF$1&amp;BF$2&amp;$B306):INDIRECT(BF$1&amp;BF$3&amp;$B306))</f>
        <v>0</v>
      </c>
      <c r="BG306" s="880">
        <f t="shared" ca="1" si="583"/>
        <v>0</v>
      </c>
      <c r="BH306" s="931">
        <f t="shared" ca="1" si="584"/>
        <v>0</v>
      </c>
    </row>
    <row r="307" spans="1:60" ht="15" customHeight="1">
      <c r="A307" s="990">
        <f t="shared" si="561"/>
        <v>280</v>
      </c>
      <c r="B307" s="990">
        <v>1</v>
      </c>
      <c r="C307" s="990">
        <f t="shared" si="536"/>
        <v>304</v>
      </c>
      <c r="D307" s="1121" t="s">
        <v>887</v>
      </c>
      <c r="E307" s="1243">
        <v>1</v>
      </c>
      <c r="F307" s="423"/>
      <c r="G307" s="316"/>
      <c r="H307" s="5"/>
      <c r="I307" s="30"/>
      <c r="J307" s="4"/>
      <c r="K307" s="5"/>
      <c r="L307" s="5"/>
      <c r="M307" s="4" t="s">
        <v>683</v>
      </c>
      <c r="N307" s="4"/>
      <c r="O307" s="4"/>
      <c r="P307" s="4"/>
      <c r="Q307" s="1865" t="str">
        <f>CHOOSE(2, "6722000003226", "PL (4) BT Cons. Sales ODP Marketing Service")</f>
        <v>PL (4) BT Cons. Sales ODP Marketing Service</v>
      </c>
      <c r="R307" s="2758">
        <v>0</v>
      </c>
      <c r="S307" s="2039">
        <v>0</v>
      </c>
      <c r="T307" s="2039">
        <v>0</v>
      </c>
      <c r="U307" s="2039">
        <v>0</v>
      </c>
      <c r="V307" s="2039">
        <v>0</v>
      </c>
      <c r="W307" s="2039">
        <v>0</v>
      </c>
      <c r="X307" s="2039">
        <v>0</v>
      </c>
      <c r="Y307" s="2039">
        <v>0</v>
      </c>
      <c r="Z307" s="2039">
        <v>0</v>
      </c>
      <c r="AA307" s="2039">
        <v>0</v>
      </c>
      <c r="AB307" s="2039">
        <v>0</v>
      </c>
      <c r="AC307" s="2039">
        <v>0</v>
      </c>
      <c r="AD307" s="89">
        <f t="shared" si="597"/>
        <v>0</v>
      </c>
      <c r="AE307" s="89">
        <f t="shared" si="598"/>
        <v>0</v>
      </c>
      <c r="AF307" s="89">
        <f t="shared" si="599"/>
        <v>0</v>
      </c>
      <c r="AG307" s="89">
        <f t="shared" si="600"/>
        <v>0</v>
      </c>
      <c r="AH307" s="89">
        <f t="shared" si="601"/>
        <v>0</v>
      </c>
      <c r="AI307" s="89">
        <f t="shared" si="602"/>
        <v>0</v>
      </c>
      <c r="AJ307" s="89">
        <f t="shared" si="603"/>
        <v>0</v>
      </c>
      <c r="AL307" s="13">
        <f ca="1">SUM((INDIRECT(AL$2&amp;(ROW())):INDIRECT(AL$3&amp;(ROW()))))</f>
        <v>0</v>
      </c>
      <c r="AM307" s="89">
        <f ca="1">SUM(INDIRECT(AM$1&amp;AM$2&amp;$C307):INDIRECT(AM$1&amp;AM$3&amp;$C307))</f>
        <v>0</v>
      </c>
      <c r="AN307" s="880">
        <f t="shared" ca="1" si="573"/>
        <v>0</v>
      </c>
      <c r="AO307" s="931">
        <f t="shared" ca="1" si="574"/>
        <v>0</v>
      </c>
      <c r="AP307" s="89">
        <f ca="1">SUM(INDIRECT(AP$1&amp;AP$2&amp;$A307):INDIRECT(AP$1&amp;AP$3&amp;$A307))+SUM(INDIRECT(AP$1&amp;AP$2&amp;$B307):INDIRECT(AP$1&amp;AP$3&amp;$B307))</f>
        <v>0</v>
      </c>
      <c r="AQ307" s="880">
        <f t="shared" ca="1" si="575"/>
        <v>0</v>
      </c>
      <c r="AR307" s="931">
        <f t="shared" ca="1" si="576"/>
        <v>0</v>
      </c>
      <c r="AT307" s="13">
        <f ca="1">SUM((INDIRECT(AT$2&amp;(ROW())):INDIRECT(AT$3&amp;(ROW()))))</f>
        <v>0</v>
      </c>
      <c r="AU307" s="89">
        <f ca="1">SUM(INDIRECT(AU$1&amp;AU$2&amp;$C307):INDIRECT(AU$1&amp;AU$3&amp;$C307))</f>
        <v>0</v>
      </c>
      <c r="AV307" s="880">
        <f t="shared" ca="1" si="577"/>
        <v>0</v>
      </c>
      <c r="AW307" s="931">
        <f t="shared" ca="1" si="578"/>
        <v>0</v>
      </c>
      <c r="AX307" s="89">
        <f ca="1">SUM(INDIRECT(AX$1&amp;AX$2&amp;$A307):INDIRECT(AX$1&amp;AX$3&amp;$A307))+SUM(INDIRECT(AX$1&amp;AX$2&amp;$B307):INDIRECT(AX$1&amp;AX$3&amp;$B307))</f>
        <v>0</v>
      </c>
      <c r="AY307" s="880">
        <f t="shared" ca="1" si="579"/>
        <v>0</v>
      </c>
      <c r="AZ307" s="931">
        <f t="shared" ca="1" si="580"/>
        <v>0</v>
      </c>
      <c r="BB307" s="13">
        <f ca="1">SUM((INDIRECT(BB$2&amp;(ROW())):INDIRECT(BB$3&amp;(ROW()))))</f>
        <v>0</v>
      </c>
      <c r="BC307" s="89">
        <f ca="1">SUM(INDIRECT(BC$1&amp;BC$2&amp;$C307):INDIRECT(BC$1&amp;BC$3&amp;$C307))</f>
        <v>0</v>
      </c>
      <c r="BD307" s="880">
        <f t="shared" ca="1" si="581"/>
        <v>0</v>
      </c>
      <c r="BE307" s="931">
        <f t="shared" ca="1" si="582"/>
        <v>0</v>
      </c>
      <c r="BF307" s="89">
        <f ca="1">SUM(INDIRECT(BF$1&amp;BF$2&amp;$A307):INDIRECT(BF$1&amp;BF$3&amp;$A307))+SUM(INDIRECT(BF$1&amp;BF$2&amp;$B307):INDIRECT(BF$1&amp;BF$3&amp;$B307))</f>
        <v>0</v>
      </c>
      <c r="BG307" s="880">
        <f t="shared" ca="1" si="583"/>
        <v>0</v>
      </c>
      <c r="BH307" s="931">
        <f t="shared" ca="1" si="584"/>
        <v>0</v>
      </c>
    </row>
    <row r="308" spans="1:60" ht="15" customHeight="1">
      <c r="A308" s="990">
        <f t="shared" si="561"/>
        <v>281</v>
      </c>
      <c r="B308" s="990">
        <v>1</v>
      </c>
      <c r="C308" s="990">
        <f t="shared" si="536"/>
        <v>305</v>
      </c>
      <c r="D308" s="1121" t="s">
        <v>887</v>
      </c>
      <c r="E308" s="1243">
        <v>1</v>
      </c>
      <c r="F308" s="423"/>
      <c r="G308" s="316"/>
      <c r="H308" s="5"/>
      <c r="I308" s="30"/>
      <c r="J308" s="4"/>
      <c r="K308" s="5"/>
      <c r="L308" s="5"/>
      <c r="M308" s="4" t="s">
        <v>684</v>
      </c>
      <c r="N308" s="4"/>
      <c r="O308" s="4"/>
      <c r="P308" s="4"/>
      <c r="Q308" s="1865" t="str">
        <f>CHOOSE(2, "6722000003227", "PL (4) BT Cons. Sales ODP Digital Solution")</f>
        <v>PL (4) BT Cons. Sales ODP Digital Solution</v>
      </c>
      <c r="R308" s="2758">
        <v>0</v>
      </c>
      <c r="S308" s="2039">
        <v>0</v>
      </c>
      <c r="T308" s="2039">
        <v>0</v>
      </c>
      <c r="U308" s="2039">
        <v>0</v>
      </c>
      <c r="V308" s="2039">
        <v>0</v>
      </c>
      <c r="W308" s="2039">
        <v>0</v>
      </c>
      <c r="X308" s="2039">
        <v>0</v>
      </c>
      <c r="Y308" s="2039">
        <v>0</v>
      </c>
      <c r="Z308" s="2039">
        <v>0</v>
      </c>
      <c r="AA308" s="2039">
        <v>0</v>
      </c>
      <c r="AB308" s="2039">
        <v>0</v>
      </c>
      <c r="AC308" s="2039">
        <v>0</v>
      </c>
      <c r="AD308" s="89">
        <f t="shared" si="597"/>
        <v>0</v>
      </c>
      <c r="AE308" s="89">
        <f t="shared" si="598"/>
        <v>0</v>
      </c>
      <c r="AF308" s="89">
        <f t="shared" si="599"/>
        <v>0</v>
      </c>
      <c r="AG308" s="89">
        <f t="shared" si="600"/>
        <v>0</v>
      </c>
      <c r="AH308" s="89">
        <f t="shared" si="601"/>
        <v>0</v>
      </c>
      <c r="AI308" s="89">
        <f t="shared" si="602"/>
        <v>0</v>
      </c>
      <c r="AJ308" s="89">
        <f t="shared" si="603"/>
        <v>0</v>
      </c>
      <c r="AL308" s="13">
        <f ca="1">SUM((INDIRECT(AL$2&amp;(ROW())):INDIRECT(AL$3&amp;(ROW()))))</f>
        <v>0</v>
      </c>
      <c r="AM308" s="89">
        <f ca="1">SUM(INDIRECT(AM$1&amp;AM$2&amp;$C308):INDIRECT(AM$1&amp;AM$3&amp;$C308))</f>
        <v>0</v>
      </c>
      <c r="AN308" s="880">
        <f t="shared" ca="1" si="573"/>
        <v>0</v>
      </c>
      <c r="AO308" s="931">
        <f t="shared" ca="1" si="574"/>
        <v>0</v>
      </c>
      <c r="AP308" s="89">
        <f ca="1">SUM(INDIRECT(AP$1&amp;AP$2&amp;$A308):INDIRECT(AP$1&amp;AP$3&amp;$A308))+SUM(INDIRECT(AP$1&amp;AP$2&amp;$B308):INDIRECT(AP$1&amp;AP$3&amp;$B308))</f>
        <v>0</v>
      </c>
      <c r="AQ308" s="880">
        <f t="shared" ca="1" si="575"/>
        <v>0</v>
      </c>
      <c r="AR308" s="931">
        <f t="shared" ca="1" si="576"/>
        <v>0</v>
      </c>
      <c r="AT308" s="13">
        <f ca="1">SUM((INDIRECT(AT$2&amp;(ROW())):INDIRECT(AT$3&amp;(ROW()))))</f>
        <v>0</v>
      </c>
      <c r="AU308" s="89">
        <f ca="1">SUM(INDIRECT(AU$1&amp;AU$2&amp;$C308):INDIRECT(AU$1&amp;AU$3&amp;$C308))</f>
        <v>0</v>
      </c>
      <c r="AV308" s="880">
        <f t="shared" ca="1" si="577"/>
        <v>0</v>
      </c>
      <c r="AW308" s="931">
        <f t="shared" ca="1" si="578"/>
        <v>0</v>
      </c>
      <c r="AX308" s="89">
        <f ca="1">SUM(INDIRECT(AX$1&amp;AX$2&amp;$A308):INDIRECT(AX$1&amp;AX$3&amp;$A308))+SUM(INDIRECT(AX$1&amp;AX$2&amp;$B308):INDIRECT(AX$1&amp;AX$3&amp;$B308))</f>
        <v>0</v>
      </c>
      <c r="AY308" s="880">
        <f t="shared" ca="1" si="579"/>
        <v>0</v>
      </c>
      <c r="AZ308" s="931">
        <f t="shared" ca="1" si="580"/>
        <v>0</v>
      </c>
      <c r="BB308" s="13">
        <f ca="1">SUM((INDIRECT(BB$2&amp;(ROW())):INDIRECT(BB$3&amp;(ROW()))))</f>
        <v>0</v>
      </c>
      <c r="BC308" s="89">
        <f ca="1">SUM(INDIRECT(BC$1&amp;BC$2&amp;$C308):INDIRECT(BC$1&amp;BC$3&amp;$C308))</f>
        <v>0</v>
      </c>
      <c r="BD308" s="880">
        <f t="shared" ca="1" si="581"/>
        <v>0</v>
      </c>
      <c r="BE308" s="931">
        <f t="shared" ca="1" si="582"/>
        <v>0</v>
      </c>
      <c r="BF308" s="89">
        <f ca="1">SUM(INDIRECT(BF$1&amp;BF$2&amp;$A308):INDIRECT(BF$1&amp;BF$3&amp;$A308))+SUM(INDIRECT(BF$1&amp;BF$2&amp;$B308):INDIRECT(BF$1&amp;BF$3&amp;$B308))</f>
        <v>0</v>
      </c>
      <c r="BG308" s="880">
        <f t="shared" ca="1" si="583"/>
        <v>0</v>
      </c>
      <c r="BH308" s="931">
        <f t="shared" ca="1" si="584"/>
        <v>0</v>
      </c>
    </row>
    <row r="309" spans="1:60" ht="15" customHeight="1">
      <c r="A309" s="990">
        <f t="shared" si="561"/>
        <v>282</v>
      </c>
      <c r="B309" s="990">
        <v>1</v>
      </c>
      <c r="C309" s="990">
        <f t="shared" si="536"/>
        <v>306</v>
      </c>
      <c r="D309" s="1121" t="s">
        <v>887</v>
      </c>
      <c r="E309" s="1243">
        <v>1</v>
      </c>
      <c r="F309" s="423"/>
      <c r="G309" s="316"/>
      <c r="H309" s="5"/>
      <c r="I309" s="30"/>
      <c r="J309" s="4"/>
      <c r="K309" s="5"/>
      <c r="L309" s="5"/>
      <c r="M309" s="4" t="s">
        <v>685</v>
      </c>
      <c r="N309" s="4"/>
      <c r="O309" s="4"/>
      <c r="P309" s="4"/>
      <c r="Q309" s="1865" t="str">
        <f>CHOOSE(2, "6722000003228", "PL (4) BT Cons. Sales ODP ODP New Business")</f>
        <v>PL (4) BT Cons. Sales ODP ODP New Business</v>
      </c>
      <c r="R309" s="2758">
        <v>0</v>
      </c>
      <c r="S309" s="2039">
        <v>0</v>
      </c>
      <c r="T309" s="2039">
        <v>0</v>
      </c>
      <c r="U309" s="2039">
        <v>0</v>
      </c>
      <c r="V309" s="2039">
        <v>0</v>
      </c>
      <c r="W309" s="2039">
        <v>0</v>
      </c>
      <c r="X309" s="2039">
        <v>0</v>
      </c>
      <c r="Y309" s="2039">
        <v>0</v>
      </c>
      <c r="Z309" s="2039">
        <v>0</v>
      </c>
      <c r="AA309" s="2039">
        <v>0</v>
      </c>
      <c r="AB309" s="2039">
        <v>0</v>
      </c>
      <c r="AC309" s="2039">
        <v>0</v>
      </c>
      <c r="AD309" s="89">
        <f t="shared" si="597"/>
        <v>0</v>
      </c>
      <c r="AE309" s="89">
        <f t="shared" si="598"/>
        <v>0</v>
      </c>
      <c r="AF309" s="89">
        <f t="shared" si="599"/>
        <v>0</v>
      </c>
      <c r="AG309" s="89">
        <f t="shared" si="600"/>
        <v>0</v>
      </c>
      <c r="AH309" s="89">
        <f t="shared" si="601"/>
        <v>0</v>
      </c>
      <c r="AI309" s="89">
        <f t="shared" si="602"/>
        <v>0</v>
      </c>
      <c r="AJ309" s="89">
        <f t="shared" si="603"/>
        <v>0</v>
      </c>
      <c r="AL309" s="13">
        <f ca="1">SUM((INDIRECT(AL$2&amp;(ROW())):INDIRECT(AL$3&amp;(ROW()))))</f>
        <v>0</v>
      </c>
      <c r="AM309" s="89">
        <f ca="1">SUM(INDIRECT(AM$1&amp;AM$2&amp;$C309):INDIRECT(AM$1&amp;AM$3&amp;$C309))</f>
        <v>0</v>
      </c>
      <c r="AN309" s="880">
        <f t="shared" ca="1" si="573"/>
        <v>0</v>
      </c>
      <c r="AO309" s="931">
        <f t="shared" ca="1" si="574"/>
        <v>0</v>
      </c>
      <c r="AP309" s="89">
        <f ca="1">SUM(INDIRECT(AP$1&amp;AP$2&amp;$A309):INDIRECT(AP$1&amp;AP$3&amp;$A309))+SUM(INDIRECT(AP$1&amp;AP$2&amp;$B309):INDIRECT(AP$1&amp;AP$3&amp;$B309))</f>
        <v>0</v>
      </c>
      <c r="AQ309" s="880">
        <f t="shared" ca="1" si="575"/>
        <v>0</v>
      </c>
      <c r="AR309" s="931">
        <f t="shared" ca="1" si="576"/>
        <v>0</v>
      </c>
      <c r="AT309" s="13">
        <f ca="1">SUM((INDIRECT(AT$2&amp;(ROW())):INDIRECT(AT$3&amp;(ROW()))))</f>
        <v>0</v>
      </c>
      <c r="AU309" s="89">
        <f ca="1">SUM(INDIRECT(AU$1&amp;AU$2&amp;$C309):INDIRECT(AU$1&amp;AU$3&amp;$C309))</f>
        <v>0</v>
      </c>
      <c r="AV309" s="880">
        <f t="shared" ca="1" si="577"/>
        <v>0</v>
      </c>
      <c r="AW309" s="931">
        <f t="shared" ca="1" si="578"/>
        <v>0</v>
      </c>
      <c r="AX309" s="89">
        <f ca="1">SUM(INDIRECT(AX$1&amp;AX$2&amp;$A309):INDIRECT(AX$1&amp;AX$3&amp;$A309))+SUM(INDIRECT(AX$1&amp;AX$2&amp;$B309):INDIRECT(AX$1&amp;AX$3&amp;$B309))</f>
        <v>0</v>
      </c>
      <c r="AY309" s="880">
        <f t="shared" ca="1" si="579"/>
        <v>0</v>
      </c>
      <c r="AZ309" s="931">
        <f t="shared" ca="1" si="580"/>
        <v>0</v>
      </c>
      <c r="BB309" s="13">
        <f ca="1">SUM((INDIRECT(BB$2&amp;(ROW())):INDIRECT(BB$3&amp;(ROW()))))</f>
        <v>0</v>
      </c>
      <c r="BC309" s="89">
        <f ca="1">SUM(INDIRECT(BC$1&amp;BC$2&amp;$C309):INDIRECT(BC$1&amp;BC$3&amp;$C309))</f>
        <v>0</v>
      </c>
      <c r="BD309" s="880">
        <f t="shared" ca="1" si="581"/>
        <v>0</v>
      </c>
      <c r="BE309" s="931">
        <f t="shared" ca="1" si="582"/>
        <v>0</v>
      </c>
      <c r="BF309" s="89">
        <f ca="1">SUM(INDIRECT(BF$1&amp;BF$2&amp;$A309):INDIRECT(BF$1&amp;BF$3&amp;$A309))+SUM(INDIRECT(BF$1&amp;BF$2&amp;$B309):INDIRECT(BF$1&amp;BF$3&amp;$B309))</f>
        <v>0</v>
      </c>
      <c r="BG309" s="880">
        <f t="shared" ca="1" si="583"/>
        <v>0</v>
      </c>
      <c r="BH309" s="931">
        <f t="shared" ca="1" si="584"/>
        <v>0</v>
      </c>
    </row>
    <row r="310" spans="1:60" ht="14.5">
      <c r="A310" s="990">
        <f t="shared" si="561"/>
        <v>283</v>
      </c>
      <c r="B310" s="990">
        <v>1</v>
      </c>
      <c r="C310" s="990">
        <f t="shared" si="536"/>
        <v>307</v>
      </c>
      <c r="D310" s="1121" t="s">
        <v>887</v>
      </c>
      <c r="E310" s="1243">
        <v>1</v>
      </c>
      <c r="F310" s="5"/>
      <c r="G310" s="5"/>
      <c r="H310" s="5"/>
      <c r="I310" s="326" t="s">
        <v>134</v>
      </c>
      <c r="J310" s="327"/>
      <c r="K310" s="328"/>
      <c r="L310" s="328"/>
      <c r="M310" s="327"/>
      <c r="N310" s="327"/>
      <c r="O310" s="327"/>
      <c r="P310" s="829"/>
      <c r="Q310" s="1863" t="str">
        <f>CHOOSE(2, "6722000003229", "PL (4) Gross Profit")</f>
        <v>PL (4) Gross Profit</v>
      </c>
      <c r="R310" s="2765">
        <f>SUM(R321,R325)</f>
        <v>0</v>
      </c>
      <c r="S310" s="2766">
        <f t="shared" ref="S310:AC310" si="605">SUM(S321,S325)</f>
        <v>0</v>
      </c>
      <c r="T310" s="2766">
        <f t="shared" si="605"/>
        <v>0</v>
      </c>
      <c r="U310" s="2766">
        <f t="shared" si="605"/>
        <v>0</v>
      </c>
      <c r="V310" s="2766">
        <f t="shared" si="605"/>
        <v>0</v>
      </c>
      <c r="W310" s="2766">
        <f t="shared" si="605"/>
        <v>0</v>
      </c>
      <c r="X310" s="2766">
        <f t="shared" si="605"/>
        <v>0</v>
      </c>
      <c r="Y310" s="2766">
        <f t="shared" si="605"/>
        <v>0</v>
      </c>
      <c r="Z310" s="2766">
        <f t="shared" si="605"/>
        <v>0</v>
      </c>
      <c r="AA310" s="2766">
        <f t="shared" si="605"/>
        <v>0</v>
      </c>
      <c r="AB310" s="2766">
        <f t="shared" si="605"/>
        <v>0</v>
      </c>
      <c r="AC310" s="2766">
        <f t="shared" si="605"/>
        <v>0</v>
      </c>
      <c r="AD310" s="673">
        <f t="shared" ref="AD310:AJ310" si="606">SUM(AD321,AD325)</f>
        <v>0</v>
      </c>
      <c r="AE310" s="673">
        <f t="shared" si="606"/>
        <v>0</v>
      </c>
      <c r="AF310" s="673">
        <f t="shared" si="606"/>
        <v>0</v>
      </c>
      <c r="AG310" s="673">
        <f t="shared" si="606"/>
        <v>0</v>
      </c>
      <c r="AH310" s="673">
        <f t="shared" si="606"/>
        <v>0</v>
      </c>
      <c r="AI310" s="673">
        <f t="shared" si="606"/>
        <v>0</v>
      </c>
      <c r="AJ310" s="673">
        <f t="shared" si="606"/>
        <v>0</v>
      </c>
      <c r="AL310" s="2130">
        <f ca="1">SUM((INDIRECT(AL$2&amp;(ROW())):INDIRECT(AL$3&amp;(ROW()))))</f>
        <v>0</v>
      </c>
      <c r="AM310" s="125">
        <f ca="1">SUM(INDIRECT(AM$1&amp;AM$2&amp;$C310):INDIRECT(AM$1&amp;AM$3&amp;$C310))</f>
        <v>0</v>
      </c>
      <c r="AN310" s="2521">
        <f t="shared" ca="1" si="573"/>
        <v>0</v>
      </c>
      <c r="AO310" s="1717">
        <f t="shared" ca="1" si="574"/>
        <v>0</v>
      </c>
      <c r="AP310" s="125">
        <f ca="1">SUM(INDIRECT(AP$1&amp;AP$2&amp;$A310):INDIRECT(AP$1&amp;AP$3&amp;$A310))+SUM(INDIRECT(AP$1&amp;AP$2&amp;$B310):INDIRECT(AP$1&amp;AP$3&amp;$B310))</f>
        <v>0</v>
      </c>
      <c r="AQ310" s="2521">
        <f t="shared" ca="1" si="575"/>
        <v>0</v>
      </c>
      <c r="AR310" s="1717">
        <f t="shared" ca="1" si="576"/>
        <v>0</v>
      </c>
      <c r="AT310" s="2130">
        <f ca="1">SUM((INDIRECT(AT$2&amp;(ROW())):INDIRECT(AT$3&amp;(ROW()))))</f>
        <v>0</v>
      </c>
      <c r="AU310" s="125">
        <f ca="1">SUM(INDIRECT(AU$1&amp;AU$2&amp;$C310):INDIRECT(AU$1&amp;AU$3&amp;$C310))</f>
        <v>0</v>
      </c>
      <c r="AV310" s="2521">
        <f t="shared" ca="1" si="577"/>
        <v>0</v>
      </c>
      <c r="AW310" s="1717">
        <f t="shared" ca="1" si="578"/>
        <v>0</v>
      </c>
      <c r="AX310" s="125">
        <f ca="1">SUM(INDIRECT(AX$1&amp;AX$2&amp;$A310):INDIRECT(AX$1&amp;AX$3&amp;$A310))+SUM(INDIRECT(AX$1&amp;AX$2&amp;$B310):INDIRECT(AX$1&amp;AX$3&amp;$B310))</f>
        <v>0</v>
      </c>
      <c r="AY310" s="2521">
        <f t="shared" ca="1" si="579"/>
        <v>0</v>
      </c>
      <c r="AZ310" s="1717">
        <f t="shared" ca="1" si="580"/>
        <v>0</v>
      </c>
      <c r="BB310" s="2130">
        <f ca="1">SUM((INDIRECT(BB$2&amp;(ROW())):INDIRECT(BB$3&amp;(ROW()))))</f>
        <v>0</v>
      </c>
      <c r="BC310" s="125">
        <f ca="1">SUM(INDIRECT(BC$1&amp;BC$2&amp;$C310):INDIRECT(BC$1&amp;BC$3&amp;$C310))</f>
        <v>0</v>
      </c>
      <c r="BD310" s="2521">
        <f t="shared" ca="1" si="581"/>
        <v>0</v>
      </c>
      <c r="BE310" s="1717">
        <f t="shared" ca="1" si="582"/>
        <v>0</v>
      </c>
      <c r="BF310" s="125">
        <f ca="1">SUM(INDIRECT(BF$1&amp;BF$2&amp;$A310):INDIRECT(BF$1&amp;BF$3&amp;$A310))+SUM(INDIRECT(BF$1&amp;BF$2&amp;$B310):INDIRECT(BF$1&amp;BF$3&amp;$B310))</f>
        <v>0</v>
      </c>
      <c r="BG310" s="2521">
        <f t="shared" ca="1" si="583"/>
        <v>0</v>
      </c>
      <c r="BH310" s="1717">
        <f t="shared" ca="1" si="584"/>
        <v>0</v>
      </c>
    </row>
    <row r="311" spans="1:60" ht="14.5">
      <c r="A311" s="990">
        <f t="shared" si="561"/>
        <v>284</v>
      </c>
      <c r="B311" s="990">
        <v>1</v>
      </c>
      <c r="C311" s="990">
        <f t="shared" si="536"/>
        <v>308</v>
      </c>
      <c r="D311" s="1121" t="s">
        <v>887</v>
      </c>
      <c r="E311" s="1243">
        <v>1</v>
      </c>
      <c r="F311" s="5"/>
      <c r="G311" s="5"/>
      <c r="H311" s="5"/>
      <c r="I311" s="625"/>
      <c r="J311" s="618" t="s">
        <v>198</v>
      </c>
      <c r="K311" s="5"/>
      <c r="L311" s="52"/>
      <c r="M311" s="52"/>
      <c r="N311" s="52"/>
      <c r="O311" s="674" t="s">
        <v>529</v>
      </c>
      <c r="P311" s="52"/>
      <c r="Q311" s="1850" t="str">
        <f>CHOOSE(2, "6722000003230", "PL (4) Gross Profit (%)")</f>
        <v>PL (4) Gross Profit (%)</v>
      </c>
      <c r="R311" s="2139">
        <f>IFERROR(R310/R290,0)</f>
        <v>0</v>
      </c>
      <c r="S311" s="867">
        <f t="shared" ref="S311:AC311" si="607">IFERROR(S310/S290,0)</f>
        <v>0</v>
      </c>
      <c r="T311" s="867">
        <f t="shared" si="607"/>
        <v>0</v>
      </c>
      <c r="U311" s="867">
        <f t="shared" si="607"/>
        <v>0</v>
      </c>
      <c r="V311" s="867">
        <f t="shared" si="607"/>
        <v>0</v>
      </c>
      <c r="W311" s="867">
        <f t="shared" si="607"/>
        <v>0</v>
      </c>
      <c r="X311" s="867">
        <f t="shared" si="607"/>
        <v>0</v>
      </c>
      <c r="Y311" s="867">
        <f t="shared" si="607"/>
        <v>0</v>
      </c>
      <c r="Z311" s="867">
        <f t="shared" si="607"/>
        <v>0</v>
      </c>
      <c r="AA311" s="867">
        <f t="shared" si="607"/>
        <v>0</v>
      </c>
      <c r="AB311" s="867">
        <f t="shared" si="607"/>
        <v>0</v>
      </c>
      <c r="AC311" s="867">
        <f t="shared" si="607"/>
        <v>0</v>
      </c>
      <c r="AD311" s="867">
        <f t="shared" ref="AD311:AJ311" si="608">IFERROR(AD310/AD290,0)</f>
        <v>0</v>
      </c>
      <c r="AE311" s="867">
        <f t="shared" si="608"/>
        <v>0</v>
      </c>
      <c r="AF311" s="867">
        <f t="shared" si="608"/>
        <v>0</v>
      </c>
      <c r="AG311" s="867">
        <f t="shared" si="608"/>
        <v>0</v>
      </c>
      <c r="AH311" s="867">
        <f t="shared" si="608"/>
        <v>0</v>
      </c>
      <c r="AI311" s="867">
        <f t="shared" si="608"/>
        <v>0</v>
      </c>
      <c r="AJ311" s="867">
        <f t="shared" si="608"/>
        <v>0</v>
      </c>
      <c r="AK311" s="619"/>
      <c r="AL311" s="2139">
        <f ca="1">IFERROR(AL310/AL290,0)</f>
        <v>0</v>
      </c>
      <c r="AM311" s="867">
        <f ca="1">IFERROR(AM310/AM290,0)</f>
        <v>0</v>
      </c>
      <c r="AN311" s="867">
        <f t="shared" ca="1" si="573"/>
        <v>0</v>
      </c>
      <c r="AO311" s="949"/>
      <c r="AP311" s="867">
        <f ca="1">IFERROR(AP310/AP290,0)</f>
        <v>0</v>
      </c>
      <c r="AQ311" s="867">
        <f t="shared" ca="1" si="575"/>
        <v>0</v>
      </c>
      <c r="AR311" s="949"/>
      <c r="AS311" s="619"/>
      <c r="AT311" s="2139">
        <f ca="1">IFERROR(AT310/AT290,0)</f>
        <v>0</v>
      </c>
      <c r="AU311" s="867">
        <f ca="1">IFERROR(AU310/AU290,0)</f>
        <v>0</v>
      </c>
      <c r="AV311" s="867">
        <f t="shared" ca="1" si="577"/>
        <v>0</v>
      </c>
      <c r="AW311" s="949"/>
      <c r="AX311" s="867">
        <f ca="1">IFERROR(AX310/AX290,0)</f>
        <v>0</v>
      </c>
      <c r="AY311" s="867">
        <f t="shared" ca="1" si="579"/>
        <v>0</v>
      </c>
      <c r="AZ311" s="949"/>
      <c r="BA311" s="619"/>
      <c r="BB311" s="2139">
        <f ca="1">IFERROR(BB310/BB290,0)</f>
        <v>0</v>
      </c>
      <c r="BC311" s="867">
        <f ca="1">IFERROR(BC310/BC290,0)</f>
        <v>0</v>
      </c>
      <c r="BD311" s="867">
        <f t="shared" ca="1" si="581"/>
        <v>0</v>
      </c>
      <c r="BE311" s="949"/>
      <c r="BF311" s="867">
        <f ca="1">IFERROR(BF310/BF290,0)</f>
        <v>0</v>
      </c>
      <c r="BG311" s="867">
        <f t="shared" ca="1" si="583"/>
        <v>0</v>
      </c>
      <c r="BH311" s="949"/>
    </row>
    <row r="312" spans="1:60" s="619" customFormat="1" ht="14.5" hidden="1" outlineLevel="1">
      <c r="A312" s="990">
        <f t="shared" si="561"/>
        <v>285</v>
      </c>
      <c r="B312" s="990">
        <v>1</v>
      </c>
      <c r="C312" s="990">
        <f t="shared" si="536"/>
        <v>309</v>
      </c>
      <c r="D312" s="1121" t="s">
        <v>887</v>
      </c>
      <c r="E312" s="1243">
        <v>1</v>
      </c>
      <c r="F312" s="5"/>
      <c r="G312" s="5"/>
      <c r="H312" s="616"/>
      <c r="I312" s="617"/>
      <c r="J312" s="620"/>
      <c r="K312" s="616"/>
      <c r="L312" s="618" t="s">
        <v>686</v>
      </c>
      <c r="M312" s="618"/>
      <c r="N312" s="620"/>
      <c r="O312" s="620"/>
      <c r="P312" s="620"/>
      <c r="Q312" s="1857" t="str">
        <f>CHOOSE(2, "6722000003231", "PL (4) Gross Profit MPM(%)")</f>
        <v>PL (4) Gross Profit MPM(%)</v>
      </c>
      <c r="R312" s="2119">
        <f t="shared" ref="R312:AC320" si="609">IFERROR(R321/R291,0)</f>
        <v>0</v>
      </c>
      <c r="S312" s="621">
        <f t="shared" si="609"/>
        <v>0</v>
      </c>
      <c r="T312" s="621">
        <f t="shared" si="609"/>
        <v>0</v>
      </c>
      <c r="U312" s="621">
        <f t="shared" si="609"/>
        <v>0</v>
      </c>
      <c r="V312" s="621">
        <f t="shared" si="609"/>
        <v>0</v>
      </c>
      <c r="W312" s="621">
        <f t="shared" si="609"/>
        <v>0</v>
      </c>
      <c r="X312" s="621">
        <f t="shared" si="609"/>
        <v>0</v>
      </c>
      <c r="Y312" s="621">
        <f t="shared" si="609"/>
        <v>0</v>
      </c>
      <c r="Z312" s="621">
        <f t="shared" si="609"/>
        <v>0</v>
      </c>
      <c r="AA312" s="621">
        <f t="shared" si="609"/>
        <v>0</v>
      </c>
      <c r="AB312" s="621">
        <f t="shared" si="609"/>
        <v>0</v>
      </c>
      <c r="AC312" s="621">
        <f t="shared" si="609"/>
        <v>0</v>
      </c>
      <c r="AD312" s="621">
        <f t="shared" ref="AD312:AJ320" si="610">IFERROR(AD321/AD291,0)</f>
        <v>0</v>
      </c>
      <c r="AE312" s="621">
        <f t="shared" si="610"/>
        <v>0</v>
      </c>
      <c r="AF312" s="621">
        <f t="shared" si="610"/>
        <v>0</v>
      </c>
      <c r="AG312" s="621">
        <f t="shared" si="610"/>
        <v>0</v>
      </c>
      <c r="AH312" s="621">
        <f t="shared" si="610"/>
        <v>0</v>
      </c>
      <c r="AI312" s="621">
        <f t="shared" si="610"/>
        <v>0</v>
      </c>
      <c r="AJ312" s="621">
        <f t="shared" si="610"/>
        <v>0</v>
      </c>
      <c r="AL312" s="2119">
        <f t="shared" ref="AL312:AM320" ca="1" si="611">IFERROR(AL321/AL291,0)</f>
        <v>0</v>
      </c>
      <c r="AM312" s="621">
        <f t="shared" ca="1" si="611"/>
        <v>0</v>
      </c>
      <c r="AN312" s="621">
        <f t="shared" ca="1" si="573"/>
        <v>0</v>
      </c>
      <c r="AO312" s="936"/>
      <c r="AP312" s="621">
        <f t="shared" ref="AP312:AP320" ca="1" si="612">IFERROR(AP321/AP291,0)</f>
        <v>0</v>
      </c>
      <c r="AQ312" s="621">
        <f t="shared" ca="1" si="575"/>
        <v>0</v>
      </c>
      <c r="AR312" s="936"/>
      <c r="AT312" s="2119">
        <f t="shared" ref="AT312:AU320" ca="1" si="613">IFERROR(AT321/AT291,0)</f>
        <v>0</v>
      </c>
      <c r="AU312" s="621">
        <f t="shared" ca="1" si="613"/>
        <v>0</v>
      </c>
      <c r="AV312" s="621">
        <f t="shared" ca="1" si="577"/>
        <v>0</v>
      </c>
      <c r="AW312" s="936"/>
      <c r="AX312" s="621">
        <f t="shared" ref="AX312:AX320" ca="1" si="614">IFERROR(AX321/AX291,0)</f>
        <v>0</v>
      </c>
      <c r="AY312" s="621">
        <f t="shared" ca="1" si="579"/>
        <v>0</v>
      </c>
      <c r="AZ312" s="936"/>
      <c r="BB312" s="2119">
        <f t="shared" ref="BB312:BC320" ca="1" si="615">IFERROR(BB321/BB291,0)</f>
        <v>0</v>
      </c>
      <c r="BC312" s="621">
        <f t="shared" ca="1" si="615"/>
        <v>0</v>
      </c>
      <c r="BD312" s="621">
        <f t="shared" ca="1" si="581"/>
        <v>0</v>
      </c>
      <c r="BE312" s="936"/>
      <c r="BF312" s="621">
        <f t="shared" ref="BF312:BF320" ca="1" si="616">IFERROR(BF321/BF291,0)</f>
        <v>0</v>
      </c>
      <c r="BG312" s="621">
        <f t="shared" ca="1" si="583"/>
        <v>0</v>
      </c>
      <c r="BH312" s="936"/>
    </row>
    <row r="313" spans="1:60" s="619" customFormat="1" ht="14.5" hidden="1" outlineLevel="1">
      <c r="A313" s="990">
        <f t="shared" si="561"/>
        <v>286</v>
      </c>
      <c r="B313" s="990">
        <v>1</v>
      </c>
      <c r="C313" s="990">
        <f t="shared" si="536"/>
        <v>310</v>
      </c>
      <c r="D313" s="1121" t="s">
        <v>887</v>
      </c>
      <c r="E313" s="1243">
        <v>1</v>
      </c>
      <c r="F313" s="5"/>
      <c r="G313" s="5"/>
      <c r="H313" s="616"/>
      <c r="I313" s="617"/>
      <c r="J313" s="620"/>
      <c r="K313" s="616"/>
      <c r="L313" s="616"/>
      <c r="M313" s="618" t="s">
        <v>571</v>
      </c>
      <c r="N313" s="620"/>
      <c r="O313" s="620"/>
      <c r="P313" s="620"/>
      <c r="Q313" s="1857" t="str">
        <f>CHOOSE(2, "6722000003232", "PL (4) Gross Profit MPM(%) Procurement (%)")</f>
        <v>PL (4) Gross Profit MPM(%) Procurement (%)</v>
      </c>
      <c r="R313" s="2119">
        <f t="shared" si="609"/>
        <v>0</v>
      </c>
      <c r="S313" s="621">
        <f t="shared" si="609"/>
        <v>0</v>
      </c>
      <c r="T313" s="621">
        <f t="shared" si="609"/>
        <v>0</v>
      </c>
      <c r="U313" s="621">
        <f t="shared" si="609"/>
        <v>0</v>
      </c>
      <c r="V313" s="621">
        <f t="shared" si="609"/>
        <v>0</v>
      </c>
      <c r="W313" s="621">
        <f t="shared" si="609"/>
        <v>0</v>
      </c>
      <c r="X313" s="621">
        <f t="shared" si="609"/>
        <v>0</v>
      </c>
      <c r="Y313" s="621">
        <f t="shared" si="609"/>
        <v>0</v>
      </c>
      <c r="Z313" s="621">
        <f t="shared" si="609"/>
        <v>0</v>
      </c>
      <c r="AA313" s="621">
        <f t="shared" si="609"/>
        <v>0</v>
      </c>
      <c r="AB313" s="621">
        <f t="shared" si="609"/>
        <v>0</v>
      </c>
      <c r="AC313" s="621">
        <f t="shared" si="609"/>
        <v>0</v>
      </c>
      <c r="AD313" s="621">
        <f t="shared" si="610"/>
        <v>0</v>
      </c>
      <c r="AE313" s="621">
        <f t="shared" si="610"/>
        <v>0</v>
      </c>
      <c r="AF313" s="621">
        <f t="shared" si="610"/>
        <v>0</v>
      </c>
      <c r="AG313" s="621">
        <f t="shared" si="610"/>
        <v>0</v>
      </c>
      <c r="AH313" s="621">
        <f t="shared" si="610"/>
        <v>0</v>
      </c>
      <c r="AI313" s="621">
        <f t="shared" si="610"/>
        <v>0</v>
      </c>
      <c r="AJ313" s="621">
        <f t="shared" si="610"/>
        <v>0</v>
      </c>
      <c r="AL313" s="2119">
        <f t="shared" ca="1" si="611"/>
        <v>0</v>
      </c>
      <c r="AM313" s="621">
        <f t="shared" ca="1" si="611"/>
        <v>0</v>
      </c>
      <c r="AN313" s="621">
        <f t="shared" ca="1" si="573"/>
        <v>0</v>
      </c>
      <c r="AO313" s="936"/>
      <c r="AP313" s="621">
        <f t="shared" ca="1" si="612"/>
        <v>0</v>
      </c>
      <c r="AQ313" s="621">
        <f t="shared" ca="1" si="575"/>
        <v>0</v>
      </c>
      <c r="AR313" s="936"/>
      <c r="AT313" s="2119">
        <f t="shared" ca="1" si="613"/>
        <v>0</v>
      </c>
      <c r="AU313" s="621">
        <f t="shared" ca="1" si="613"/>
        <v>0</v>
      </c>
      <c r="AV313" s="621">
        <f t="shared" ca="1" si="577"/>
        <v>0</v>
      </c>
      <c r="AW313" s="936"/>
      <c r="AX313" s="621">
        <f t="shared" ca="1" si="614"/>
        <v>0</v>
      </c>
      <c r="AY313" s="621">
        <f t="shared" ca="1" si="579"/>
        <v>0</v>
      </c>
      <c r="AZ313" s="936"/>
      <c r="BB313" s="2119">
        <f t="shared" ca="1" si="615"/>
        <v>0</v>
      </c>
      <c r="BC313" s="621">
        <f t="shared" ca="1" si="615"/>
        <v>0</v>
      </c>
      <c r="BD313" s="621">
        <f t="shared" ca="1" si="581"/>
        <v>0</v>
      </c>
      <c r="BE313" s="936"/>
      <c r="BF313" s="621">
        <f t="shared" ca="1" si="616"/>
        <v>0</v>
      </c>
      <c r="BG313" s="621">
        <f t="shared" ca="1" si="583"/>
        <v>0</v>
      </c>
      <c r="BH313" s="936"/>
    </row>
    <row r="314" spans="1:60" s="619" customFormat="1" ht="14.5" hidden="1" outlineLevel="1">
      <c r="A314" s="990">
        <f t="shared" si="561"/>
        <v>287</v>
      </c>
      <c r="B314" s="990">
        <v>1</v>
      </c>
      <c r="C314" s="990">
        <f t="shared" si="536"/>
        <v>311</v>
      </c>
      <c r="D314" s="1121" t="s">
        <v>887</v>
      </c>
      <c r="E314" s="1243">
        <v>1</v>
      </c>
      <c r="F314" s="5"/>
      <c r="G314" s="5"/>
      <c r="H314" s="616"/>
      <c r="I314" s="617"/>
      <c r="J314" s="620"/>
      <c r="K314" s="616"/>
      <c r="L314" s="616"/>
      <c r="M314" s="618" t="s">
        <v>572</v>
      </c>
      <c r="N314" s="620"/>
      <c r="O314" s="620"/>
      <c r="P314" s="620"/>
      <c r="Q314" s="1857" t="str">
        <f>CHOOSE(2, "6722000003233", "PL (4) Gross Profit MPM(%) Production (%)")</f>
        <v>PL (4) Gross Profit MPM(%) Production (%)</v>
      </c>
      <c r="R314" s="2119">
        <f t="shared" si="609"/>
        <v>0</v>
      </c>
      <c r="S314" s="621">
        <f t="shared" si="609"/>
        <v>0</v>
      </c>
      <c r="T314" s="621">
        <f t="shared" si="609"/>
        <v>0</v>
      </c>
      <c r="U314" s="621">
        <f t="shared" si="609"/>
        <v>0</v>
      </c>
      <c r="V314" s="621">
        <f t="shared" si="609"/>
        <v>0</v>
      </c>
      <c r="W314" s="621">
        <f t="shared" si="609"/>
        <v>0</v>
      </c>
      <c r="X314" s="621">
        <f t="shared" si="609"/>
        <v>0</v>
      </c>
      <c r="Y314" s="621">
        <f t="shared" si="609"/>
        <v>0</v>
      </c>
      <c r="Z314" s="621">
        <f t="shared" si="609"/>
        <v>0</v>
      </c>
      <c r="AA314" s="621">
        <f t="shared" si="609"/>
        <v>0</v>
      </c>
      <c r="AB314" s="621">
        <f t="shared" si="609"/>
        <v>0</v>
      </c>
      <c r="AC314" s="621">
        <f t="shared" si="609"/>
        <v>0</v>
      </c>
      <c r="AD314" s="621">
        <f t="shared" si="610"/>
        <v>0</v>
      </c>
      <c r="AE314" s="621">
        <f t="shared" si="610"/>
        <v>0</v>
      </c>
      <c r="AF314" s="621">
        <f t="shared" si="610"/>
        <v>0</v>
      </c>
      <c r="AG314" s="621">
        <f t="shared" si="610"/>
        <v>0</v>
      </c>
      <c r="AH314" s="621">
        <f t="shared" si="610"/>
        <v>0</v>
      </c>
      <c r="AI314" s="621">
        <f t="shared" si="610"/>
        <v>0</v>
      </c>
      <c r="AJ314" s="621">
        <f t="shared" si="610"/>
        <v>0</v>
      </c>
      <c r="AL314" s="2119">
        <f t="shared" ca="1" si="611"/>
        <v>0</v>
      </c>
      <c r="AM314" s="621">
        <f t="shared" ca="1" si="611"/>
        <v>0</v>
      </c>
      <c r="AN314" s="621">
        <f t="shared" ca="1" si="573"/>
        <v>0</v>
      </c>
      <c r="AO314" s="936"/>
      <c r="AP314" s="621">
        <f t="shared" ca="1" si="612"/>
        <v>0</v>
      </c>
      <c r="AQ314" s="621">
        <f t="shared" ca="1" si="575"/>
        <v>0</v>
      </c>
      <c r="AR314" s="936"/>
      <c r="AT314" s="2119">
        <f t="shared" ca="1" si="613"/>
        <v>0</v>
      </c>
      <c r="AU314" s="621">
        <f t="shared" ca="1" si="613"/>
        <v>0</v>
      </c>
      <c r="AV314" s="621">
        <f t="shared" ca="1" si="577"/>
        <v>0</v>
      </c>
      <c r="AW314" s="936"/>
      <c r="AX314" s="621">
        <f t="shared" ca="1" si="614"/>
        <v>0</v>
      </c>
      <c r="AY314" s="621">
        <f t="shared" ca="1" si="579"/>
        <v>0</v>
      </c>
      <c r="AZ314" s="936"/>
      <c r="BB314" s="2119">
        <f t="shared" ca="1" si="615"/>
        <v>0</v>
      </c>
      <c r="BC314" s="621">
        <f t="shared" ca="1" si="615"/>
        <v>0</v>
      </c>
      <c r="BD314" s="621">
        <f t="shared" ca="1" si="581"/>
        <v>0</v>
      </c>
      <c r="BE314" s="936"/>
      <c r="BF314" s="621">
        <f t="shared" ca="1" si="616"/>
        <v>0</v>
      </c>
      <c r="BG314" s="621">
        <f t="shared" ca="1" si="583"/>
        <v>0</v>
      </c>
      <c r="BH314" s="936"/>
    </row>
    <row r="315" spans="1:60" s="619" customFormat="1" ht="14.5" hidden="1" outlineLevel="1">
      <c r="A315" s="990">
        <f t="shared" si="561"/>
        <v>288</v>
      </c>
      <c r="B315" s="990">
        <v>1</v>
      </c>
      <c r="C315" s="990">
        <f t="shared" si="536"/>
        <v>312</v>
      </c>
      <c r="D315" s="1121" t="s">
        <v>887</v>
      </c>
      <c r="E315" s="1243">
        <v>1</v>
      </c>
      <c r="F315" s="5"/>
      <c r="G315" s="5"/>
      <c r="H315" s="616"/>
      <c r="I315" s="617"/>
      <c r="J315" s="620"/>
      <c r="K315" s="616"/>
      <c r="L315" s="675"/>
      <c r="M315" s="628" t="s">
        <v>562</v>
      </c>
      <c r="N315" s="676"/>
      <c r="O315" s="676"/>
      <c r="P315" s="676"/>
      <c r="Q315" s="1857" t="str">
        <f>CHOOSE(2, "6722000003234", "PL (4) Gross Profit MPM(%) Solution (%)")</f>
        <v>PL (4) Gross Profit MPM(%) Solution (%)</v>
      </c>
      <c r="R315" s="2131">
        <f t="shared" si="609"/>
        <v>0</v>
      </c>
      <c r="S315" s="677">
        <f t="shared" si="609"/>
        <v>0</v>
      </c>
      <c r="T315" s="677">
        <f t="shared" si="609"/>
        <v>0</v>
      </c>
      <c r="U315" s="677">
        <f t="shared" si="609"/>
        <v>0</v>
      </c>
      <c r="V315" s="677">
        <f t="shared" si="609"/>
        <v>0</v>
      </c>
      <c r="W315" s="677">
        <f t="shared" si="609"/>
        <v>0</v>
      </c>
      <c r="X315" s="677">
        <f t="shared" si="609"/>
        <v>0</v>
      </c>
      <c r="Y315" s="677">
        <f t="shared" si="609"/>
        <v>0</v>
      </c>
      <c r="Z315" s="677">
        <f t="shared" si="609"/>
        <v>0</v>
      </c>
      <c r="AA315" s="677">
        <f t="shared" si="609"/>
        <v>0</v>
      </c>
      <c r="AB315" s="677">
        <f t="shared" si="609"/>
        <v>0</v>
      </c>
      <c r="AC315" s="677">
        <f t="shared" si="609"/>
        <v>0</v>
      </c>
      <c r="AD315" s="677">
        <f t="shared" si="610"/>
        <v>0</v>
      </c>
      <c r="AE315" s="677">
        <f t="shared" si="610"/>
        <v>0</v>
      </c>
      <c r="AF315" s="677">
        <f t="shared" si="610"/>
        <v>0</v>
      </c>
      <c r="AG315" s="677">
        <f t="shared" si="610"/>
        <v>0</v>
      </c>
      <c r="AH315" s="677">
        <f t="shared" si="610"/>
        <v>0</v>
      </c>
      <c r="AI315" s="677">
        <f t="shared" si="610"/>
        <v>0</v>
      </c>
      <c r="AJ315" s="677">
        <f t="shared" si="610"/>
        <v>0</v>
      </c>
      <c r="AL315" s="2131">
        <f t="shared" ca="1" si="611"/>
        <v>0</v>
      </c>
      <c r="AM315" s="677">
        <f t="shared" ca="1" si="611"/>
        <v>0</v>
      </c>
      <c r="AN315" s="677">
        <f t="shared" ca="1" si="573"/>
        <v>0</v>
      </c>
      <c r="AO315" s="950"/>
      <c r="AP315" s="677">
        <f t="shared" ca="1" si="612"/>
        <v>0</v>
      </c>
      <c r="AQ315" s="677">
        <f t="shared" ca="1" si="575"/>
        <v>0</v>
      </c>
      <c r="AR315" s="950"/>
      <c r="AT315" s="2131">
        <f t="shared" ca="1" si="613"/>
        <v>0</v>
      </c>
      <c r="AU315" s="677">
        <f t="shared" ca="1" si="613"/>
        <v>0</v>
      </c>
      <c r="AV315" s="677">
        <f t="shared" ca="1" si="577"/>
        <v>0</v>
      </c>
      <c r="AW315" s="950"/>
      <c r="AX315" s="677">
        <f t="shared" ca="1" si="614"/>
        <v>0</v>
      </c>
      <c r="AY315" s="677">
        <f t="shared" ca="1" si="579"/>
        <v>0</v>
      </c>
      <c r="AZ315" s="950"/>
      <c r="BB315" s="2131">
        <f t="shared" ca="1" si="615"/>
        <v>0</v>
      </c>
      <c r="BC315" s="677">
        <f t="shared" ca="1" si="615"/>
        <v>0</v>
      </c>
      <c r="BD315" s="677">
        <f t="shared" ca="1" si="581"/>
        <v>0</v>
      </c>
      <c r="BE315" s="950"/>
      <c r="BF315" s="677">
        <f t="shared" ca="1" si="616"/>
        <v>0</v>
      </c>
      <c r="BG315" s="677">
        <f t="shared" ca="1" si="583"/>
        <v>0</v>
      </c>
      <c r="BH315" s="950"/>
    </row>
    <row r="316" spans="1:60" s="619" customFormat="1" ht="14.5" hidden="1" outlineLevel="1">
      <c r="A316" s="990">
        <f t="shared" si="561"/>
        <v>289</v>
      </c>
      <c r="B316" s="990">
        <v>1</v>
      </c>
      <c r="C316" s="990">
        <f t="shared" si="536"/>
        <v>313</v>
      </c>
      <c r="D316" s="1121" t="s">
        <v>887</v>
      </c>
      <c r="E316" s="1243">
        <v>1</v>
      </c>
      <c r="F316" s="5"/>
      <c r="G316" s="5"/>
      <c r="H316" s="616"/>
      <c r="I316" s="617"/>
      <c r="J316" s="620"/>
      <c r="K316" s="616"/>
      <c r="L316" s="618" t="s">
        <v>687</v>
      </c>
      <c r="M316" s="618"/>
      <c r="N316" s="620"/>
      <c r="O316" s="620"/>
      <c r="P316" s="620"/>
      <c r="Q316" s="1857" t="str">
        <f>CHOOSE(2, "6722000003235", "PL (4) Gross Profit ODP(%)")</f>
        <v>PL (4) Gross Profit ODP(%)</v>
      </c>
      <c r="R316" s="2119">
        <f t="shared" si="609"/>
        <v>0</v>
      </c>
      <c r="S316" s="621">
        <f t="shared" si="609"/>
        <v>0</v>
      </c>
      <c r="T316" s="621">
        <f t="shared" si="609"/>
        <v>0</v>
      </c>
      <c r="U316" s="621">
        <f t="shared" si="609"/>
        <v>0</v>
      </c>
      <c r="V316" s="621">
        <f t="shared" si="609"/>
        <v>0</v>
      </c>
      <c r="W316" s="621">
        <f t="shared" si="609"/>
        <v>0</v>
      </c>
      <c r="X316" s="621">
        <f t="shared" si="609"/>
        <v>0</v>
      </c>
      <c r="Y316" s="621">
        <f t="shared" si="609"/>
        <v>0</v>
      </c>
      <c r="Z316" s="621">
        <f t="shared" si="609"/>
        <v>0</v>
      </c>
      <c r="AA316" s="621">
        <f t="shared" si="609"/>
        <v>0</v>
      </c>
      <c r="AB316" s="621">
        <f t="shared" si="609"/>
        <v>0</v>
      </c>
      <c r="AC316" s="621">
        <f t="shared" si="609"/>
        <v>0</v>
      </c>
      <c r="AD316" s="621">
        <f t="shared" si="610"/>
        <v>0</v>
      </c>
      <c r="AE316" s="621">
        <f t="shared" si="610"/>
        <v>0</v>
      </c>
      <c r="AF316" s="621">
        <f t="shared" si="610"/>
        <v>0</v>
      </c>
      <c r="AG316" s="621">
        <f t="shared" si="610"/>
        <v>0</v>
      </c>
      <c r="AH316" s="621">
        <f t="shared" si="610"/>
        <v>0</v>
      </c>
      <c r="AI316" s="621">
        <f t="shared" si="610"/>
        <v>0</v>
      </c>
      <c r="AJ316" s="621">
        <f t="shared" si="610"/>
        <v>0</v>
      </c>
      <c r="AL316" s="2119">
        <f t="shared" ca="1" si="611"/>
        <v>0</v>
      </c>
      <c r="AM316" s="621">
        <f t="shared" ca="1" si="611"/>
        <v>0</v>
      </c>
      <c r="AN316" s="621">
        <f t="shared" ca="1" si="573"/>
        <v>0</v>
      </c>
      <c r="AO316" s="936"/>
      <c r="AP316" s="621">
        <f t="shared" ca="1" si="612"/>
        <v>0</v>
      </c>
      <c r="AQ316" s="621">
        <f t="shared" ca="1" si="575"/>
        <v>0</v>
      </c>
      <c r="AR316" s="936"/>
      <c r="AT316" s="2119">
        <f t="shared" ca="1" si="613"/>
        <v>0</v>
      </c>
      <c r="AU316" s="621">
        <f t="shared" ca="1" si="613"/>
        <v>0</v>
      </c>
      <c r="AV316" s="621">
        <f t="shared" ca="1" si="577"/>
        <v>0</v>
      </c>
      <c r="AW316" s="936"/>
      <c r="AX316" s="621">
        <f t="shared" ca="1" si="614"/>
        <v>0</v>
      </c>
      <c r="AY316" s="621">
        <f t="shared" ca="1" si="579"/>
        <v>0</v>
      </c>
      <c r="AZ316" s="936"/>
      <c r="BB316" s="2119">
        <f t="shared" ca="1" si="615"/>
        <v>0</v>
      </c>
      <c r="BC316" s="621">
        <f t="shared" ca="1" si="615"/>
        <v>0</v>
      </c>
      <c r="BD316" s="621">
        <f t="shared" ca="1" si="581"/>
        <v>0</v>
      </c>
      <c r="BE316" s="936"/>
      <c r="BF316" s="621">
        <f t="shared" ca="1" si="616"/>
        <v>0</v>
      </c>
      <c r="BG316" s="621">
        <f t="shared" ca="1" si="583"/>
        <v>0</v>
      </c>
      <c r="BH316" s="936"/>
    </row>
    <row r="317" spans="1:60" s="619" customFormat="1" ht="14.5" hidden="1" outlineLevel="1">
      <c r="A317" s="990">
        <f t="shared" si="561"/>
        <v>290</v>
      </c>
      <c r="B317" s="990">
        <v>1</v>
      </c>
      <c r="C317" s="990">
        <f t="shared" si="536"/>
        <v>314</v>
      </c>
      <c r="D317" s="1121" t="s">
        <v>887</v>
      </c>
      <c r="E317" s="1243">
        <v>1</v>
      </c>
      <c r="F317" s="5"/>
      <c r="G317" s="5"/>
      <c r="H317" s="616"/>
      <c r="I317" s="617"/>
      <c r="J317" s="620"/>
      <c r="K317" s="616"/>
      <c r="L317" s="616"/>
      <c r="M317" s="618" t="s">
        <v>573</v>
      </c>
      <c r="N317" s="620"/>
      <c r="O317" s="620"/>
      <c r="P317" s="620"/>
      <c r="Q317" s="1857" t="str">
        <f>CHOOSE(2, "6722000003236", "PL (4) Gross Profit ODP(%) On Demand Printing (%)")</f>
        <v>PL (4) Gross Profit ODP(%) On Demand Printing (%)</v>
      </c>
      <c r="R317" s="2119">
        <f t="shared" si="609"/>
        <v>0</v>
      </c>
      <c r="S317" s="621">
        <f t="shared" si="609"/>
        <v>0</v>
      </c>
      <c r="T317" s="621">
        <f t="shared" si="609"/>
        <v>0</v>
      </c>
      <c r="U317" s="621">
        <f t="shared" si="609"/>
        <v>0</v>
      </c>
      <c r="V317" s="621">
        <f t="shared" si="609"/>
        <v>0</v>
      </c>
      <c r="W317" s="621">
        <f t="shared" si="609"/>
        <v>0</v>
      </c>
      <c r="X317" s="621">
        <f t="shared" si="609"/>
        <v>0</v>
      </c>
      <c r="Y317" s="621">
        <f t="shared" si="609"/>
        <v>0</v>
      </c>
      <c r="Z317" s="621">
        <f t="shared" si="609"/>
        <v>0</v>
      </c>
      <c r="AA317" s="621">
        <f t="shared" si="609"/>
        <v>0</v>
      </c>
      <c r="AB317" s="621">
        <f t="shared" si="609"/>
        <v>0</v>
      </c>
      <c r="AC317" s="621">
        <f t="shared" si="609"/>
        <v>0</v>
      </c>
      <c r="AD317" s="621">
        <f t="shared" si="610"/>
        <v>0</v>
      </c>
      <c r="AE317" s="621">
        <f t="shared" si="610"/>
        <v>0</v>
      </c>
      <c r="AF317" s="621">
        <f t="shared" si="610"/>
        <v>0</v>
      </c>
      <c r="AG317" s="621">
        <f t="shared" si="610"/>
        <v>0</v>
      </c>
      <c r="AH317" s="621">
        <f t="shared" si="610"/>
        <v>0</v>
      </c>
      <c r="AI317" s="621">
        <f t="shared" si="610"/>
        <v>0</v>
      </c>
      <c r="AJ317" s="621">
        <f t="shared" si="610"/>
        <v>0</v>
      </c>
      <c r="AL317" s="2119">
        <f t="shared" ca="1" si="611"/>
        <v>0</v>
      </c>
      <c r="AM317" s="621">
        <f t="shared" ca="1" si="611"/>
        <v>0</v>
      </c>
      <c r="AN317" s="621">
        <f t="shared" ca="1" si="573"/>
        <v>0</v>
      </c>
      <c r="AO317" s="936"/>
      <c r="AP317" s="621">
        <f t="shared" ca="1" si="612"/>
        <v>0</v>
      </c>
      <c r="AQ317" s="621">
        <f t="shared" ca="1" si="575"/>
        <v>0</v>
      </c>
      <c r="AR317" s="936"/>
      <c r="AT317" s="2119">
        <f t="shared" ca="1" si="613"/>
        <v>0</v>
      </c>
      <c r="AU317" s="621">
        <f t="shared" ca="1" si="613"/>
        <v>0</v>
      </c>
      <c r="AV317" s="621">
        <f t="shared" ca="1" si="577"/>
        <v>0</v>
      </c>
      <c r="AW317" s="936"/>
      <c r="AX317" s="621">
        <f t="shared" ca="1" si="614"/>
        <v>0</v>
      </c>
      <c r="AY317" s="621">
        <f t="shared" ca="1" si="579"/>
        <v>0</v>
      </c>
      <c r="AZ317" s="936"/>
      <c r="BB317" s="2119">
        <f t="shared" ca="1" si="615"/>
        <v>0</v>
      </c>
      <c r="BC317" s="621">
        <f t="shared" ca="1" si="615"/>
        <v>0</v>
      </c>
      <c r="BD317" s="621">
        <f t="shared" ca="1" si="581"/>
        <v>0</v>
      </c>
      <c r="BE317" s="936"/>
      <c r="BF317" s="621">
        <f t="shared" ca="1" si="616"/>
        <v>0</v>
      </c>
      <c r="BG317" s="621">
        <f t="shared" ca="1" si="583"/>
        <v>0</v>
      </c>
      <c r="BH317" s="936"/>
    </row>
    <row r="318" spans="1:60" s="619" customFormat="1" ht="14.5" hidden="1" outlineLevel="1">
      <c r="A318" s="990">
        <f t="shared" si="561"/>
        <v>291</v>
      </c>
      <c r="B318" s="990">
        <v>1</v>
      </c>
      <c r="C318" s="990">
        <f t="shared" si="536"/>
        <v>315</v>
      </c>
      <c r="D318" s="1121" t="s">
        <v>887</v>
      </c>
      <c r="E318" s="1243">
        <v>1</v>
      </c>
      <c r="F318" s="5"/>
      <c r="G318" s="5"/>
      <c r="H318" s="616"/>
      <c r="I318" s="617"/>
      <c r="J318" s="620"/>
      <c r="K318" s="616"/>
      <c r="L318" s="616"/>
      <c r="M318" s="618" t="s">
        <v>688</v>
      </c>
      <c r="N318" s="620"/>
      <c r="O318" s="620"/>
      <c r="P318" s="620"/>
      <c r="Q318" s="1857" t="str">
        <f>CHOOSE(2, "6722000003237", "PL (4) Gross Profit ODP(%) Marketing Service (%)")</f>
        <v>PL (4) Gross Profit ODP(%) Marketing Service (%)</v>
      </c>
      <c r="R318" s="2119">
        <f t="shared" si="609"/>
        <v>0</v>
      </c>
      <c r="S318" s="621">
        <f t="shared" si="609"/>
        <v>0</v>
      </c>
      <c r="T318" s="621">
        <f t="shared" si="609"/>
        <v>0</v>
      </c>
      <c r="U318" s="621">
        <f t="shared" si="609"/>
        <v>0</v>
      </c>
      <c r="V318" s="621">
        <f t="shared" si="609"/>
        <v>0</v>
      </c>
      <c r="W318" s="621">
        <f t="shared" si="609"/>
        <v>0</v>
      </c>
      <c r="X318" s="621">
        <f t="shared" si="609"/>
        <v>0</v>
      </c>
      <c r="Y318" s="621">
        <f t="shared" si="609"/>
        <v>0</v>
      </c>
      <c r="Z318" s="621">
        <f t="shared" si="609"/>
        <v>0</v>
      </c>
      <c r="AA318" s="621">
        <f t="shared" si="609"/>
        <v>0</v>
      </c>
      <c r="AB318" s="621">
        <f t="shared" si="609"/>
        <v>0</v>
      </c>
      <c r="AC318" s="621">
        <f t="shared" si="609"/>
        <v>0</v>
      </c>
      <c r="AD318" s="621">
        <f t="shared" si="610"/>
        <v>0</v>
      </c>
      <c r="AE318" s="621">
        <f t="shared" si="610"/>
        <v>0</v>
      </c>
      <c r="AF318" s="621">
        <f t="shared" si="610"/>
        <v>0</v>
      </c>
      <c r="AG318" s="621">
        <f t="shared" si="610"/>
        <v>0</v>
      </c>
      <c r="AH318" s="621">
        <f t="shared" si="610"/>
        <v>0</v>
      </c>
      <c r="AI318" s="621">
        <f t="shared" si="610"/>
        <v>0</v>
      </c>
      <c r="AJ318" s="621">
        <f t="shared" si="610"/>
        <v>0</v>
      </c>
      <c r="AL318" s="2119">
        <f t="shared" ca="1" si="611"/>
        <v>0</v>
      </c>
      <c r="AM318" s="621">
        <f t="shared" ca="1" si="611"/>
        <v>0</v>
      </c>
      <c r="AN318" s="621">
        <f t="shared" ca="1" si="573"/>
        <v>0</v>
      </c>
      <c r="AO318" s="936"/>
      <c r="AP318" s="621">
        <f t="shared" ca="1" si="612"/>
        <v>0</v>
      </c>
      <c r="AQ318" s="621">
        <f t="shared" ca="1" si="575"/>
        <v>0</v>
      </c>
      <c r="AR318" s="936"/>
      <c r="AT318" s="2119">
        <f t="shared" ca="1" si="613"/>
        <v>0</v>
      </c>
      <c r="AU318" s="621">
        <f t="shared" ca="1" si="613"/>
        <v>0</v>
      </c>
      <c r="AV318" s="621">
        <f t="shared" ca="1" si="577"/>
        <v>0</v>
      </c>
      <c r="AW318" s="936"/>
      <c r="AX318" s="621">
        <f t="shared" ca="1" si="614"/>
        <v>0</v>
      </c>
      <c r="AY318" s="621">
        <f t="shared" ca="1" si="579"/>
        <v>0</v>
      </c>
      <c r="AZ318" s="936"/>
      <c r="BB318" s="2119">
        <f t="shared" ca="1" si="615"/>
        <v>0</v>
      </c>
      <c r="BC318" s="621">
        <f t="shared" ca="1" si="615"/>
        <v>0</v>
      </c>
      <c r="BD318" s="621">
        <f t="shared" ca="1" si="581"/>
        <v>0</v>
      </c>
      <c r="BE318" s="936"/>
      <c r="BF318" s="621">
        <f t="shared" ca="1" si="616"/>
        <v>0</v>
      </c>
      <c r="BG318" s="621">
        <f t="shared" ca="1" si="583"/>
        <v>0</v>
      </c>
      <c r="BH318" s="936"/>
    </row>
    <row r="319" spans="1:60" s="619" customFormat="1" ht="14.5" hidden="1" outlineLevel="1">
      <c r="A319" s="990">
        <f t="shared" si="561"/>
        <v>292</v>
      </c>
      <c r="B319" s="990">
        <v>1</v>
      </c>
      <c r="C319" s="990">
        <f t="shared" si="536"/>
        <v>316</v>
      </c>
      <c r="D319" s="1121" t="s">
        <v>887</v>
      </c>
      <c r="E319" s="1243">
        <v>1</v>
      </c>
      <c r="F319" s="5"/>
      <c r="G319" s="5"/>
      <c r="H319" s="616"/>
      <c r="I319" s="617"/>
      <c r="J319" s="620"/>
      <c r="K319" s="616"/>
      <c r="L319" s="616"/>
      <c r="M319" s="618" t="s">
        <v>689</v>
      </c>
      <c r="N319" s="620"/>
      <c r="O319" s="620"/>
      <c r="P319" s="620"/>
      <c r="Q319" s="1857" t="str">
        <f>CHOOSE(2, "6722000003238", "PL (4) Gross Profit ODP(%) Digital Solution (%)")</f>
        <v>PL (4) Gross Profit ODP(%) Digital Solution (%)</v>
      </c>
      <c r="R319" s="2119">
        <f t="shared" si="609"/>
        <v>0</v>
      </c>
      <c r="S319" s="621">
        <f t="shared" si="609"/>
        <v>0</v>
      </c>
      <c r="T319" s="621">
        <f t="shared" si="609"/>
        <v>0</v>
      </c>
      <c r="U319" s="621">
        <f t="shared" si="609"/>
        <v>0</v>
      </c>
      <c r="V319" s="621">
        <f t="shared" si="609"/>
        <v>0</v>
      </c>
      <c r="W319" s="621">
        <f t="shared" si="609"/>
        <v>0</v>
      </c>
      <c r="X319" s="621">
        <f t="shared" si="609"/>
        <v>0</v>
      </c>
      <c r="Y319" s="621">
        <f t="shared" si="609"/>
        <v>0</v>
      </c>
      <c r="Z319" s="621">
        <f t="shared" si="609"/>
        <v>0</v>
      </c>
      <c r="AA319" s="621">
        <f t="shared" si="609"/>
        <v>0</v>
      </c>
      <c r="AB319" s="621">
        <f t="shared" si="609"/>
        <v>0</v>
      </c>
      <c r="AC319" s="621">
        <f t="shared" si="609"/>
        <v>0</v>
      </c>
      <c r="AD319" s="621">
        <f t="shared" si="610"/>
        <v>0</v>
      </c>
      <c r="AE319" s="621">
        <f t="shared" si="610"/>
        <v>0</v>
      </c>
      <c r="AF319" s="621">
        <f t="shared" si="610"/>
        <v>0</v>
      </c>
      <c r="AG319" s="621">
        <f t="shared" si="610"/>
        <v>0</v>
      </c>
      <c r="AH319" s="621">
        <f t="shared" si="610"/>
        <v>0</v>
      </c>
      <c r="AI319" s="621">
        <f t="shared" si="610"/>
        <v>0</v>
      </c>
      <c r="AJ319" s="621">
        <f t="shared" si="610"/>
        <v>0</v>
      </c>
      <c r="AL319" s="2119">
        <f t="shared" ca="1" si="611"/>
        <v>0</v>
      </c>
      <c r="AM319" s="621">
        <f t="shared" ca="1" si="611"/>
        <v>0</v>
      </c>
      <c r="AN319" s="621">
        <f t="shared" ca="1" si="573"/>
        <v>0</v>
      </c>
      <c r="AO319" s="936"/>
      <c r="AP319" s="621">
        <f t="shared" ca="1" si="612"/>
        <v>0</v>
      </c>
      <c r="AQ319" s="621">
        <f t="shared" ca="1" si="575"/>
        <v>0</v>
      </c>
      <c r="AR319" s="936"/>
      <c r="AT319" s="2119">
        <f t="shared" ca="1" si="613"/>
        <v>0</v>
      </c>
      <c r="AU319" s="621">
        <f t="shared" ca="1" si="613"/>
        <v>0</v>
      </c>
      <c r="AV319" s="621">
        <f t="shared" ca="1" si="577"/>
        <v>0</v>
      </c>
      <c r="AW319" s="936"/>
      <c r="AX319" s="621">
        <f t="shared" ca="1" si="614"/>
        <v>0</v>
      </c>
      <c r="AY319" s="621">
        <f t="shared" ca="1" si="579"/>
        <v>0</v>
      </c>
      <c r="AZ319" s="936"/>
      <c r="BB319" s="2119">
        <f t="shared" ca="1" si="615"/>
        <v>0</v>
      </c>
      <c r="BC319" s="621">
        <f t="shared" ca="1" si="615"/>
        <v>0</v>
      </c>
      <c r="BD319" s="621">
        <f t="shared" ca="1" si="581"/>
        <v>0</v>
      </c>
      <c r="BE319" s="936"/>
      <c r="BF319" s="621">
        <f t="shared" ca="1" si="616"/>
        <v>0</v>
      </c>
      <c r="BG319" s="621">
        <f t="shared" ca="1" si="583"/>
        <v>0</v>
      </c>
      <c r="BH319" s="936"/>
    </row>
    <row r="320" spans="1:60" s="619" customFormat="1" ht="14.5" hidden="1" outlineLevel="1">
      <c r="A320" s="990">
        <f t="shared" si="561"/>
        <v>293</v>
      </c>
      <c r="B320" s="990">
        <v>1</v>
      </c>
      <c r="C320" s="990">
        <f t="shared" si="536"/>
        <v>317</v>
      </c>
      <c r="D320" s="1121" t="s">
        <v>887</v>
      </c>
      <c r="E320" s="1243">
        <v>1</v>
      </c>
      <c r="F320" s="5"/>
      <c r="G320" s="5"/>
      <c r="H320" s="616"/>
      <c r="I320" s="617"/>
      <c r="J320" s="620"/>
      <c r="K320" s="616"/>
      <c r="L320" s="616"/>
      <c r="M320" s="618" t="s">
        <v>690</v>
      </c>
      <c r="N320" s="620"/>
      <c r="O320" s="620"/>
      <c r="P320" s="620"/>
      <c r="Q320" s="1857" t="str">
        <f>CHOOSE(2, "6722000003239", "PL (4) Gross Profit ODP(%) ODP New Business (%)")</f>
        <v>PL (4) Gross Profit ODP(%) ODP New Business (%)</v>
      </c>
      <c r="R320" s="2119">
        <f t="shared" si="609"/>
        <v>0</v>
      </c>
      <c r="S320" s="621">
        <f t="shared" si="609"/>
        <v>0</v>
      </c>
      <c r="T320" s="621">
        <f t="shared" si="609"/>
        <v>0</v>
      </c>
      <c r="U320" s="621">
        <f t="shared" si="609"/>
        <v>0</v>
      </c>
      <c r="V320" s="621">
        <f t="shared" si="609"/>
        <v>0</v>
      </c>
      <c r="W320" s="621">
        <f t="shared" si="609"/>
        <v>0</v>
      </c>
      <c r="X320" s="621">
        <f t="shared" si="609"/>
        <v>0</v>
      </c>
      <c r="Y320" s="621">
        <f t="shared" si="609"/>
        <v>0</v>
      </c>
      <c r="Z320" s="621">
        <f t="shared" si="609"/>
        <v>0</v>
      </c>
      <c r="AA320" s="621">
        <f t="shared" si="609"/>
        <v>0</v>
      </c>
      <c r="AB320" s="621">
        <f t="shared" si="609"/>
        <v>0</v>
      </c>
      <c r="AC320" s="621">
        <f t="shared" si="609"/>
        <v>0</v>
      </c>
      <c r="AD320" s="621">
        <f t="shared" si="610"/>
        <v>0</v>
      </c>
      <c r="AE320" s="621">
        <f t="shared" si="610"/>
        <v>0</v>
      </c>
      <c r="AF320" s="621">
        <f t="shared" si="610"/>
        <v>0</v>
      </c>
      <c r="AG320" s="621">
        <f t="shared" si="610"/>
        <v>0</v>
      </c>
      <c r="AH320" s="621">
        <f t="shared" si="610"/>
        <v>0</v>
      </c>
      <c r="AI320" s="621">
        <f t="shared" si="610"/>
        <v>0</v>
      </c>
      <c r="AJ320" s="621">
        <f t="shared" si="610"/>
        <v>0</v>
      </c>
      <c r="AL320" s="2119">
        <f t="shared" ca="1" si="611"/>
        <v>0</v>
      </c>
      <c r="AM320" s="621">
        <f t="shared" ca="1" si="611"/>
        <v>0</v>
      </c>
      <c r="AN320" s="621">
        <f t="shared" ca="1" si="573"/>
        <v>0</v>
      </c>
      <c r="AO320" s="936"/>
      <c r="AP320" s="621">
        <f t="shared" ca="1" si="612"/>
        <v>0</v>
      </c>
      <c r="AQ320" s="621">
        <f t="shared" ca="1" si="575"/>
        <v>0</v>
      </c>
      <c r="AR320" s="936"/>
      <c r="AT320" s="2119">
        <f t="shared" ca="1" si="613"/>
        <v>0</v>
      </c>
      <c r="AU320" s="621">
        <f t="shared" ca="1" si="613"/>
        <v>0</v>
      </c>
      <c r="AV320" s="621">
        <f t="shared" ca="1" si="577"/>
        <v>0</v>
      </c>
      <c r="AW320" s="936"/>
      <c r="AX320" s="621">
        <f t="shared" ca="1" si="614"/>
        <v>0</v>
      </c>
      <c r="AY320" s="621">
        <f t="shared" ca="1" si="579"/>
        <v>0</v>
      </c>
      <c r="AZ320" s="936"/>
      <c r="BB320" s="2119">
        <f t="shared" ca="1" si="615"/>
        <v>0</v>
      </c>
      <c r="BC320" s="621">
        <f t="shared" ca="1" si="615"/>
        <v>0</v>
      </c>
      <c r="BD320" s="621">
        <f t="shared" ca="1" si="581"/>
        <v>0</v>
      </c>
      <c r="BE320" s="936"/>
      <c r="BF320" s="621">
        <f t="shared" ca="1" si="616"/>
        <v>0</v>
      </c>
      <c r="BG320" s="621">
        <f t="shared" ca="1" si="583"/>
        <v>0</v>
      </c>
      <c r="BH320" s="936"/>
    </row>
    <row r="321" spans="1:60" ht="14.5" collapsed="1">
      <c r="A321" s="990">
        <f t="shared" si="561"/>
        <v>294</v>
      </c>
      <c r="B321" s="990">
        <v>1</v>
      </c>
      <c r="C321" s="990">
        <f t="shared" si="536"/>
        <v>318</v>
      </c>
      <c r="D321" s="1121" t="s">
        <v>887</v>
      </c>
      <c r="E321" s="1243">
        <v>1</v>
      </c>
      <c r="F321" s="5"/>
      <c r="G321" s="5"/>
      <c r="H321" s="5"/>
      <c r="I321" s="30"/>
      <c r="J321" s="4"/>
      <c r="K321" s="5"/>
      <c r="L321" s="389" t="s">
        <v>681</v>
      </c>
      <c r="M321" s="389"/>
      <c r="N321" s="389"/>
      <c r="O321" s="389"/>
      <c r="P321" s="389"/>
      <c r="Q321" s="1864" t="str">
        <f>CHOOSE(2, "6722000003240", "PL (4) Gross Profit MPM")</f>
        <v>PL (4) Gross Profit MPM</v>
      </c>
      <c r="R321" s="2767">
        <f>SUM(R322:R324)</f>
        <v>0</v>
      </c>
      <c r="S321" s="2768">
        <f t="shared" ref="S321:AC321" si="617">SUM(S322:S324)</f>
        <v>0</v>
      </c>
      <c r="T321" s="2768">
        <f t="shared" si="617"/>
        <v>0</v>
      </c>
      <c r="U321" s="2768">
        <f t="shared" si="617"/>
        <v>0</v>
      </c>
      <c r="V321" s="2768">
        <f t="shared" si="617"/>
        <v>0</v>
      </c>
      <c r="W321" s="2768">
        <f t="shared" si="617"/>
        <v>0</v>
      </c>
      <c r="X321" s="2768">
        <f t="shared" si="617"/>
        <v>0</v>
      </c>
      <c r="Y321" s="2768">
        <f t="shared" si="617"/>
        <v>0</v>
      </c>
      <c r="Z321" s="2768">
        <f t="shared" si="617"/>
        <v>0</v>
      </c>
      <c r="AA321" s="2768">
        <f t="shared" si="617"/>
        <v>0</v>
      </c>
      <c r="AB321" s="2768">
        <f t="shared" si="617"/>
        <v>0</v>
      </c>
      <c r="AC321" s="2768">
        <f t="shared" si="617"/>
        <v>0</v>
      </c>
      <c r="AD321" s="390">
        <f t="shared" ref="AD321:AD330" si="618">SUM(R321,S321,T321)</f>
        <v>0</v>
      </c>
      <c r="AE321" s="390">
        <f t="shared" ref="AE321:AE330" si="619">SUM(U321,V321,W321)</f>
        <v>0</v>
      </c>
      <c r="AF321" s="390">
        <f t="shared" ref="AF321:AF330" si="620">SUM(X321,Y321,Z321)</f>
        <v>0</v>
      </c>
      <c r="AG321" s="390">
        <f t="shared" ref="AG321:AG330" si="621">SUM(AA321,AB321,AC321)</f>
        <v>0</v>
      </c>
      <c r="AH321" s="390">
        <f t="shared" ref="AH321:AH330" si="622">AD321+AE321</f>
        <v>0</v>
      </c>
      <c r="AI321" s="390">
        <f t="shared" ref="AI321:AI330" si="623">AG321+AF321</f>
        <v>0</v>
      </c>
      <c r="AJ321" s="390">
        <f t="shared" ref="AJ321:AJ330" si="624">AH321+AI321</f>
        <v>0</v>
      </c>
      <c r="AL321" s="2124">
        <f ca="1">SUM((INDIRECT(AL$2&amp;(ROW())):INDIRECT(AL$3&amp;(ROW()))))</f>
        <v>0</v>
      </c>
      <c r="AM321" s="390">
        <f ca="1">SUM(INDIRECT(AM$1&amp;AM$2&amp;$C321):INDIRECT(AM$1&amp;AM$3&amp;$C321))</f>
        <v>0</v>
      </c>
      <c r="AN321" s="885">
        <f t="shared" ca="1" si="573"/>
        <v>0</v>
      </c>
      <c r="AO321" s="940">
        <f t="shared" ref="AO321:AO335" ca="1" si="625">IFERROR(AL321/AM321,0)</f>
        <v>0</v>
      </c>
      <c r="AP321" s="390">
        <f ca="1">SUM(INDIRECT(AP$1&amp;AP$2&amp;$A321):INDIRECT(AP$1&amp;AP$3&amp;$A321))+SUM(INDIRECT(AP$1&amp;AP$2&amp;$B321):INDIRECT(AP$1&amp;AP$3&amp;$B321))</f>
        <v>0</v>
      </c>
      <c r="AQ321" s="885">
        <f t="shared" ca="1" si="575"/>
        <v>0</v>
      </c>
      <c r="AR321" s="940">
        <f t="shared" ref="AR321:AR335" ca="1" si="626">IFERROR(AL321/AP321,0)</f>
        <v>0</v>
      </c>
      <c r="AT321" s="2124">
        <f ca="1">SUM((INDIRECT(AT$2&amp;(ROW())):INDIRECT(AT$3&amp;(ROW()))))</f>
        <v>0</v>
      </c>
      <c r="AU321" s="390">
        <f ca="1">SUM(INDIRECT(AU$1&amp;AU$2&amp;$C321):INDIRECT(AU$1&amp;AU$3&amp;$C321))</f>
        <v>0</v>
      </c>
      <c r="AV321" s="885">
        <f t="shared" ca="1" si="577"/>
        <v>0</v>
      </c>
      <c r="AW321" s="940">
        <f t="shared" ref="AW321:AW335" ca="1" si="627">IFERROR(AT321/AU321,0)</f>
        <v>0</v>
      </c>
      <c r="AX321" s="390">
        <f ca="1">SUM(INDIRECT(AX$1&amp;AX$2&amp;$A321):INDIRECT(AX$1&amp;AX$3&amp;$A321))+SUM(INDIRECT(AX$1&amp;AX$2&amp;$B321):INDIRECT(AX$1&amp;AX$3&amp;$B321))</f>
        <v>0</v>
      </c>
      <c r="AY321" s="885">
        <f t="shared" ca="1" si="579"/>
        <v>0</v>
      </c>
      <c r="AZ321" s="940">
        <f t="shared" ref="AZ321:AZ335" ca="1" si="628">IFERROR(AT321/AX321,0)</f>
        <v>0</v>
      </c>
      <c r="BB321" s="2124">
        <f ca="1">SUM((INDIRECT(BB$2&amp;(ROW())):INDIRECT(BB$3&amp;(ROW()))))</f>
        <v>0</v>
      </c>
      <c r="BC321" s="390">
        <f ca="1">SUM(INDIRECT(BC$1&amp;BC$2&amp;$C321):INDIRECT(BC$1&amp;BC$3&amp;$C321))</f>
        <v>0</v>
      </c>
      <c r="BD321" s="885">
        <f t="shared" ca="1" si="581"/>
        <v>0</v>
      </c>
      <c r="BE321" s="940">
        <f t="shared" ref="BE321:BE335" ca="1" si="629">IFERROR(BB321/BC321,0)</f>
        <v>0</v>
      </c>
      <c r="BF321" s="390">
        <f ca="1">SUM(INDIRECT(BF$1&amp;BF$2&amp;$A321):INDIRECT(BF$1&amp;BF$3&amp;$A321))+SUM(INDIRECT(BF$1&amp;BF$2&amp;$B321):INDIRECT(BF$1&amp;BF$3&amp;$B321))</f>
        <v>0</v>
      </c>
      <c r="BG321" s="885">
        <f t="shared" ca="1" si="583"/>
        <v>0</v>
      </c>
      <c r="BH321" s="940">
        <f t="shared" ref="BH321:BH335" ca="1" si="630">IFERROR(BB321/BF321,0)</f>
        <v>0</v>
      </c>
    </row>
    <row r="322" spans="1:60" ht="15" customHeight="1">
      <c r="A322" s="990">
        <f t="shared" si="561"/>
        <v>295</v>
      </c>
      <c r="B322" s="990">
        <v>1</v>
      </c>
      <c r="C322" s="990">
        <f t="shared" si="536"/>
        <v>319</v>
      </c>
      <c r="D322" s="1121" t="s">
        <v>887</v>
      </c>
      <c r="E322" s="1243">
        <v>1</v>
      </c>
      <c r="F322" s="5"/>
      <c r="G322" s="5"/>
      <c r="H322" s="5"/>
      <c r="I322" s="30"/>
      <c r="J322" s="4"/>
      <c r="K322" s="5"/>
      <c r="L322" s="5"/>
      <c r="M322" s="4" t="s">
        <v>206</v>
      </c>
      <c r="N322" s="4"/>
      <c r="O322" s="4"/>
      <c r="P322" s="4"/>
      <c r="Q322" s="1865" t="str">
        <f>CHOOSE(2, "6722000003241", "PL (4) Gross Profit MPM Procurement")</f>
        <v>PL (4) Gross Profit MPM Procurement</v>
      </c>
      <c r="R322" s="2758">
        <v>0</v>
      </c>
      <c r="S322" s="2039">
        <v>0</v>
      </c>
      <c r="T322" s="2039">
        <v>0</v>
      </c>
      <c r="U322" s="2039">
        <v>0</v>
      </c>
      <c r="V322" s="2039">
        <v>0</v>
      </c>
      <c r="W322" s="2039">
        <v>0</v>
      </c>
      <c r="X322" s="2039">
        <v>0</v>
      </c>
      <c r="Y322" s="2039">
        <v>0</v>
      </c>
      <c r="Z322" s="2039">
        <v>0</v>
      </c>
      <c r="AA322" s="2039">
        <v>0</v>
      </c>
      <c r="AB322" s="2039">
        <v>0</v>
      </c>
      <c r="AC322" s="2039">
        <v>0</v>
      </c>
      <c r="AD322" s="89">
        <f t="shared" si="618"/>
        <v>0</v>
      </c>
      <c r="AE322" s="89">
        <f t="shared" si="619"/>
        <v>0</v>
      </c>
      <c r="AF322" s="89">
        <f t="shared" si="620"/>
        <v>0</v>
      </c>
      <c r="AG322" s="89">
        <f t="shared" si="621"/>
        <v>0</v>
      </c>
      <c r="AH322" s="89">
        <f t="shared" si="622"/>
        <v>0</v>
      </c>
      <c r="AI322" s="89">
        <f t="shared" si="623"/>
        <v>0</v>
      </c>
      <c r="AJ322" s="89">
        <f t="shared" si="624"/>
        <v>0</v>
      </c>
      <c r="AL322" s="13">
        <f ca="1">SUM((INDIRECT(AL$2&amp;(ROW())):INDIRECT(AL$3&amp;(ROW()))))</f>
        <v>0</v>
      </c>
      <c r="AM322" s="89">
        <f ca="1">SUM(INDIRECT(AM$1&amp;AM$2&amp;$C322):INDIRECT(AM$1&amp;AM$3&amp;$C322))</f>
        <v>0</v>
      </c>
      <c r="AN322" s="880">
        <f t="shared" ref="AN322:AN350" ca="1" si="631">AL322-AM322</f>
        <v>0</v>
      </c>
      <c r="AO322" s="931">
        <f t="shared" ca="1" si="625"/>
        <v>0</v>
      </c>
      <c r="AP322" s="89">
        <f ca="1">SUM(INDIRECT(AP$1&amp;AP$2&amp;$A322):INDIRECT(AP$1&amp;AP$3&amp;$A322))+SUM(INDIRECT(AP$1&amp;AP$2&amp;$B322):INDIRECT(AP$1&amp;AP$3&amp;$B322))</f>
        <v>0</v>
      </c>
      <c r="AQ322" s="880">
        <f t="shared" ref="AQ322:AQ346" ca="1" si="632">AL322-AP322</f>
        <v>0</v>
      </c>
      <c r="AR322" s="931">
        <f t="shared" ca="1" si="626"/>
        <v>0</v>
      </c>
      <c r="AT322" s="13">
        <f ca="1">SUM((INDIRECT(AT$2&amp;(ROW())):INDIRECT(AT$3&amp;(ROW()))))</f>
        <v>0</v>
      </c>
      <c r="AU322" s="89">
        <f ca="1">SUM(INDIRECT(AU$1&amp;AU$2&amp;$C322):INDIRECT(AU$1&amp;AU$3&amp;$C322))</f>
        <v>0</v>
      </c>
      <c r="AV322" s="880">
        <f t="shared" ref="AV322:AV350" ca="1" si="633">AT322-AU322</f>
        <v>0</v>
      </c>
      <c r="AW322" s="931">
        <f t="shared" ca="1" si="627"/>
        <v>0</v>
      </c>
      <c r="AX322" s="89">
        <f ca="1">SUM(INDIRECT(AX$1&amp;AX$2&amp;$A322):INDIRECT(AX$1&amp;AX$3&amp;$A322))+SUM(INDIRECT(AX$1&amp;AX$2&amp;$B322):INDIRECT(AX$1&amp;AX$3&amp;$B322))</f>
        <v>0</v>
      </c>
      <c r="AY322" s="880">
        <f t="shared" ref="AY322:AY346" ca="1" si="634">AT322-AX322</f>
        <v>0</v>
      </c>
      <c r="AZ322" s="931">
        <f t="shared" ca="1" si="628"/>
        <v>0</v>
      </c>
      <c r="BB322" s="13">
        <f ca="1">SUM((INDIRECT(BB$2&amp;(ROW())):INDIRECT(BB$3&amp;(ROW()))))</f>
        <v>0</v>
      </c>
      <c r="BC322" s="89">
        <f ca="1">SUM(INDIRECT(BC$1&amp;BC$2&amp;$C322):INDIRECT(BC$1&amp;BC$3&amp;$C322))</f>
        <v>0</v>
      </c>
      <c r="BD322" s="880">
        <f t="shared" ref="BD322:BD350" ca="1" si="635">BB322-BC322</f>
        <v>0</v>
      </c>
      <c r="BE322" s="931">
        <f t="shared" ca="1" si="629"/>
        <v>0</v>
      </c>
      <c r="BF322" s="89">
        <f ca="1">SUM(INDIRECT(BF$1&amp;BF$2&amp;$A322):INDIRECT(BF$1&amp;BF$3&amp;$A322))+SUM(INDIRECT(BF$1&amp;BF$2&amp;$B322):INDIRECT(BF$1&amp;BF$3&amp;$B322))</f>
        <v>0</v>
      </c>
      <c r="BG322" s="880">
        <f t="shared" ref="BG322:BG346" ca="1" si="636">BB322-BF322</f>
        <v>0</v>
      </c>
      <c r="BH322" s="931">
        <f t="shared" ca="1" si="630"/>
        <v>0</v>
      </c>
    </row>
    <row r="323" spans="1:60" ht="15" customHeight="1">
      <c r="A323" s="990">
        <f t="shared" si="561"/>
        <v>296</v>
      </c>
      <c r="B323" s="990">
        <v>1</v>
      </c>
      <c r="C323" s="990">
        <f t="shared" si="536"/>
        <v>320</v>
      </c>
      <c r="D323" s="1121" t="s">
        <v>887</v>
      </c>
      <c r="E323" s="1243">
        <v>1</v>
      </c>
      <c r="F323" s="5"/>
      <c r="G323" s="5"/>
      <c r="H323" s="5"/>
      <c r="I323" s="30"/>
      <c r="J323" s="4"/>
      <c r="K323" s="5"/>
      <c r="L323" s="5"/>
      <c r="M323" s="4" t="s">
        <v>207</v>
      </c>
      <c r="N323" s="4"/>
      <c r="O323" s="4"/>
      <c r="P323" s="4"/>
      <c r="Q323" s="1865" t="str">
        <f>CHOOSE(2, "6722000003242", "PL (4) Gross Profit MPM Production")</f>
        <v>PL (4) Gross Profit MPM Production</v>
      </c>
      <c r="R323" s="2758">
        <v>0</v>
      </c>
      <c r="S323" s="2039">
        <v>0</v>
      </c>
      <c r="T323" s="2039">
        <v>0</v>
      </c>
      <c r="U323" s="2039">
        <v>0</v>
      </c>
      <c r="V323" s="2039">
        <v>0</v>
      </c>
      <c r="W323" s="2039">
        <v>0</v>
      </c>
      <c r="X323" s="2039">
        <v>0</v>
      </c>
      <c r="Y323" s="2039">
        <v>0</v>
      </c>
      <c r="Z323" s="2039">
        <v>0</v>
      </c>
      <c r="AA323" s="2039">
        <v>0</v>
      </c>
      <c r="AB323" s="2039">
        <v>0</v>
      </c>
      <c r="AC323" s="2039">
        <v>0</v>
      </c>
      <c r="AD323" s="89">
        <f t="shared" si="618"/>
        <v>0</v>
      </c>
      <c r="AE323" s="89">
        <f t="shared" si="619"/>
        <v>0</v>
      </c>
      <c r="AF323" s="89">
        <f t="shared" si="620"/>
        <v>0</v>
      </c>
      <c r="AG323" s="89">
        <f t="shared" si="621"/>
        <v>0</v>
      </c>
      <c r="AH323" s="89">
        <f t="shared" si="622"/>
        <v>0</v>
      </c>
      <c r="AI323" s="89">
        <f t="shared" si="623"/>
        <v>0</v>
      </c>
      <c r="AJ323" s="89">
        <f t="shared" si="624"/>
        <v>0</v>
      </c>
      <c r="AL323" s="13">
        <f ca="1">SUM((INDIRECT(AL$2&amp;(ROW())):INDIRECT(AL$3&amp;(ROW()))))</f>
        <v>0</v>
      </c>
      <c r="AM323" s="89">
        <f ca="1">SUM(INDIRECT(AM$1&amp;AM$2&amp;$C323):INDIRECT(AM$1&amp;AM$3&amp;$C323))</f>
        <v>0</v>
      </c>
      <c r="AN323" s="880">
        <f t="shared" ca="1" si="631"/>
        <v>0</v>
      </c>
      <c r="AO323" s="931">
        <f t="shared" ca="1" si="625"/>
        <v>0</v>
      </c>
      <c r="AP323" s="89">
        <f ca="1">SUM(INDIRECT(AP$1&amp;AP$2&amp;$A323):INDIRECT(AP$1&amp;AP$3&amp;$A323))+SUM(INDIRECT(AP$1&amp;AP$2&amp;$B323):INDIRECT(AP$1&amp;AP$3&amp;$B323))</f>
        <v>0</v>
      </c>
      <c r="AQ323" s="880">
        <f t="shared" ca="1" si="632"/>
        <v>0</v>
      </c>
      <c r="AR323" s="931">
        <f t="shared" ca="1" si="626"/>
        <v>0</v>
      </c>
      <c r="AT323" s="13">
        <f ca="1">SUM((INDIRECT(AT$2&amp;(ROW())):INDIRECT(AT$3&amp;(ROW()))))</f>
        <v>0</v>
      </c>
      <c r="AU323" s="89">
        <f ca="1">SUM(INDIRECT(AU$1&amp;AU$2&amp;$C323):INDIRECT(AU$1&amp;AU$3&amp;$C323))</f>
        <v>0</v>
      </c>
      <c r="AV323" s="880">
        <f t="shared" ca="1" si="633"/>
        <v>0</v>
      </c>
      <c r="AW323" s="931">
        <f t="shared" ca="1" si="627"/>
        <v>0</v>
      </c>
      <c r="AX323" s="89">
        <f ca="1">SUM(INDIRECT(AX$1&amp;AX$2&amp;$A323):INDIRECT(AX$1&amp;AX$3&amp;$A323))+SUM(INDIRECT(AX$1&amp;AX$2&amp;$B323):INDIRECT(AX$1&amp;AX$3&amp;$B323))</f>
        <v>0</v>
      </c>
      <c r="AY323" s="880">
        <f t="shared" ca="1" si="634"/>
        <v>0</v>
      </c>
      <c r="AZ323" s="931">
        <f t="shared" ca="1" si="628"/>
        <v>0</v>
      </c>
      <c r="BB323" s="13">
        <f ca="1">SUM((INDIRECT(BB$2&amp;(ROW())):INDIRECT(BB$3&amp;(ROW()))))</f>
        <v>0</v>
      </c>
      <c r="BC323" s="89">
        <f ca="1">SUM(INDIRECT(BC$1&amp;BC$2&amp;$C323):INDIRECT(BC$1&amp;BC$3&amp;$C323))</f>
        <v>0</v>
      </c>
      <c r="BD323" s="880">
        <f t="shared" ca="1" si="635"/>
        <v>0</v>
      </c>
      <c r="BE323" s="931">
        <f t="shared" ca="1" si="629"/>
        <v>0</v>
      </c>
      <c r="BF323" s="89">
        <f ca="1">SUM(INDIRECT(BF$1&amp;BF$2&amp;$A323):INDIRECT(BF$1&amp;BF$3&amp;$A323))+SUM(INDIRECT(BF$1&amp;BF$2&amp;$B323):INDIRECT(BF$1&amp;BF$3&amp;$B323))</f>
        <v>0</v>
      </c>
      <c r="BG323" s="880">
        <f t="shared" ca="1" si="636"/>
        <v>0</v>
      </c>
      <c r="BH323" s="931">
        <f t="shared" ca="1" si="630"/>
        <v>0</v>
      </c>
    </row>
    <row r="324" spans="1:60" ht="15" customHeight="1">
      <c r="A324" s="990">
        <f t="shared" si="561"/>
        <v>297</v>
      </c>
      <c r="B324" s="990">
        <v>1</v>
      </c>
      <c r="C324" s="990">
        <f t="shared" si="536"/>
        <v>321</v>
      </c>
      <c r="D324" s="1121" t="s">
        <v>887</v>
      </c>
      <c r="E324" s="1243">
        <v>1</v>
      </c>
      <c r="F324" s="5"/>
      <c r="G324" s="5"/>
      <c r="H324" s="5"/>
      <c r="I324" s="30"/>
      <c r="J324" s="4"/>
      <c r="K324" s="5"/>
      <c r="L324" s="52"/>
      <c r="M324" s="51" t="s">
        <v>208</v>
      </c>
      <c r="N324" s="51"/>
      <c r="O324" s="51"/>
      <c r="P324" s="51"/>
      <c r="Q324" s="1865" t="str">
        <f>CHOOSE(2, "6722000003243", "PL (4) Gross Profit MPM Solution")</f>
        <v>PL (4) Gross Profit MPM Solution</v>
      </c>
      <c r="R324" s="2759">
        <v>0</v>
      </c>
      <c r="S324" s="2043">
        <v>0</v>
      </c>
      <c r="T324" s="2043">
        <v>0</v>
      </c>
      <c r="U324" s="2043">
        <v>0</v>
      </c>
      <c r="V324" s="2043">
        <v>0</v>
      </c>
      <c r="W324" s="2043">
        <v>0</v>
      </c>
      <c r="X324" s="2043">
        <v>0</v>
      </c>
      <c r="Y324" s="2043">
        <v>0</v>
      </c>
      <c r="Z324" s="2043">
        <v>0</v>
      </c>
      <c r="AA324" s="2043">
        <v>0</v>
      </c>
      <c r="AB324" s="2043">
        <v>0</v>
      </c>
      <c r="AC324" s="2043">
        <v>0</v>
      </c>
      <c r="AD324" s="134">
        <f t="shared" si="618"/>
        <v>0</v>
      </c>
      <c r="AE324" s="134">
        <f t="shared" si="619"/>
        <v>0</v>
      </c>
      <c r="AF324" s="134">
        <f t="shared" si="620"/>
        <v>0</v>
      </c>
      <c r="AG324" s="134">
        <f t="shared" si="621"/>
        <v>0</v>
      </c>
      <c r="AH324" s="134">
        <f t="shared" si="622"/>
        <v>0</v>
      </c>
      <c r="AI324" s="134">
        <f t="shared" si="623"/>
        <v>0</v>
      </c>
      <c r="AJ324" s="134">
        <f t="shared" si="624"/>
        <v>0</v>
      </c>
      <c r="AL324" s="2061">
        <f ca="1">SUM((INDIRECT(AL$2&amp;(ROW())):INDIRECT(AL$3&amp;(ROW()))))</f>
        <v>0</v>
      </c>
      <c r="AM324" s="134">
        <f ca="1">SUM(INDIRECT(AM$1&amp;AM$2&amp;$C324):INDIRECT(AM$1&amp;AM$3&amp;$C324))</f>
        <v>0</v>
      </c>
      <c r="AN324" s="883">
        <f t="shared" ca="1" si="631"/>
        <v>0</v>
      </c>
      <c r="AO324" s="934">
        <f t="shared" ca="1" si="625"/>
        <v>0</v>
      </c>
      <c r="AP324" s="134">
        <f ca="1">SUM(INDIRECT(AP$1&amp;AP$2&amp;$A324):INDIRECT(AP$1&amp;AP$3&amp;$A324))+SUM(INDIRECT(AP$1&amp;AP$2&amp;$B324):INDIRECT(AP$1&amp;AP$3&amp;$B324))</f>
        <v>0</v>
      </c>
      <c r="AQ324" s="883">
        <f t="shared" ca="1" si="632"/>
        <v>0</v>
      </c>
      <c r="AR324" s="934">
        <f t="shared" ca="1" si="626"/>
        <v>0</v>
      </c>
      <c r="AT324" s="2061">
        <f ca="1">SUM((INDIRECT(AT$2&amp;(ROW())):INDIRECT(AT$3&amp;(ROW()))))</f>
        <v>0</v>
      </c>
      <c r="AU324" s="134">
        <f ca="1">SUM(INDIRECT(AU$1&amp;AU$2&amp;$C324):INDIRECT(AU$1&amp;AU$3&amp;$C324))</f>
        <v>0</v>
      </c>
      <c r="AV324" s="883">
        <f t="shared" ca="1" si="633"/>
        <v>0</v>
      </c>
      <c r="AW324" s="934">
        <f t="shared" ca="1" si="627"/>
        <v>0</v>
      </c>
      <c r="AX324" s="134">
        <f ca="1">SUM(INDIRECT(AX$1&amp;AX$2&amp;$A324):INDIRECT(AX$1&amp;AX$3&amp;$A324))+SUM(INDIRECT(AX$1&amp;AX$2&amp;$B324):INDIRECT(AX$1&amp;AX$3&amp;$B324))</f>
        <v>0</v>
      </c>
      <c r="AY324" s="883">
        <f t="shared" ca="1" si="634"/>
        <v>0</v>
      </c>
      <c r="AZ324" s="934">
        <f t="shared" ca="1" si="628"/>
        <v>0</v>
      </c>
      <c r="BB324" s="2061">
        <f ca="1">SUM((INDIRECT(BB$2&amp;(ROW())):INDIRECT(BB$3&amp;(ROW()))))</f>
        <v>0</v>
      </c>
      <c r="BC324" s="134">
        <f ca="1">SUM(INDIRECT(BC$1&amp;BC$2&amp;$C324):INDIRECT(BC$1&amp;BC$3&amp;$C324))</f>
        <v>0</v>
      </c>
      <c r="BD324" s="883">
        <f t="shared" ca="1" si="635"/>
        <v>0</v>
      </c>
      <c r="BE324" s="934">
        <f t="shared" ca="1" si="629"/>
        <v>0</v>
      </c>
      <c r="BF324" s="134">
        <f ca="1">SUM(INDIRECT(BF$1&amp;BF$2&amp;$A324):INDIRECT(BF$1&amp;BF$3&amp;$A324))+SUM(INDIRECT(BF$1&amp;BF$2&amp;$B324):INDIRECT(BF$1&amp;BF$3&amp;$B324))</f>
        <v>0</v>
      </c>
      <c r="BG324" s="883">
        <f t="shared" ca="1" si="636"/>
        <v>0</v>
      </c>
      <c r="BH324" s="934">
        <f t="shared" ca="1" si="630"/>
        <v>0</v>
      </c>
    </row>
    <row r="325" spans="1:60" ht="15" customHeight="1">
      <c r="A325" s="990">
        <f t="shared" si="561"/>
        <v>298</v>
      </c>
      <c r="B325" s="990">
        <v>1</v>
      </c>
      <c r="C325" s="990">
        <f t="shared" si="536"/>
        <v>322</v>
      </c>
      <c r="D325" s="1121" t="s">
        <v>887</v>
      </c>
      <c r="E325" s="1243">
        <v>1</v>
      </c>
      <c r="F325" s="5"/>
      <c r="G325" s="5"/>
      <c r="H325" s="5"/>
      <c r="I325" s="30"/>
      <c r="J325" s="4"/>
      <c r="K325" s="5"/>
      <c r="L325" s="389" t="s">
        <v>682</v>
      </c>
      <c r="M325" s="389"/>
      <c r="N325" s="389"/>
      <c r="O325" s="389"/>
      <c r="P325" s="389"/>
      <c r="Q325" s="1864" t="str">
        <f>CHOOSE(2, "6722000003244", "PL (4) Gross Profit ODP")</f>
        <v>PL (4) Gross Profit ODP</v>
      </c>
      <c r="R325" s="2767">
        <f>SUM(R326:R330)</f>
        <v>0</v>
      </c>
      <c r="S325" s="2768">
        <f t="shared" ref="S325:AC325" si="637">SUM(S326:S330)</f>
        <v>0</v>
      </c>
      <c r="T325" s="2768">
        <f t="shared" si="637"/>
        <v>0</v>
      </c>
      <c r="U325" s="2768">
        <f t="shared" si="637"/>
        <v>0</v>
      </c>
      <c r="V325" s="2768">
        <f t="shared" si="637"/>
        <v>0</v>
      </c>
      <c r="W325" s="2768">
        <f t="shared" si="637"/>
        <v>0</v>
      </c>
      <c r="X325" s="2768">
        <f t="shared" si="637"/>
        <v>0</v>
      </c>
      <c r="Y325" s="2768">
        <f t="shared" si="637"/>
        <v>0</v>
      </c>
      <c r="Z325" s="2768">
        <f t="shared" si="637"/>
        <v>0</v>
      </c>
      <c r="AA325" s="2768">
        <f t="shared" si="637"/>
        <v>0</v>
      </c>
      <c r="AB325" s="2768">
        <f t="shared" si="637"/>
        <v>0</v>
      </c>
      <c r="AC325" s="2768">
        <f t="shared" si="637"/>
        <v>0</v>
      </c>
      <c r="AD325" s="390">
        <f t="shared" si="618"/>
        <v>0</v>
      </c>
      <c r="AE325" s="390">
        <f t="shared" si="619"/>
        <v>0</v>
      </c>
      <c r="AF325" s="390">
        <f t="shared" si="620"/>
        <v>0</v>
      </c>
      <c r="AG325" s="390">
        <f t="shared" si="621"/>
        <v>0</v>
      </c>
      <c r="AH325" s="390">
        <f t="shared" si="622"/>
        <v>0</v>
      </c>
      <c r="AI325" s="390">
        <f t="shared" si="623"/>
        <v>0</v>
      </c>
      <c r="AJ325" s="390">
        <f t="shared" si="624"/>
        <v>0</v>
      </c>
      <c r="AL325" s="2124">
        <f ca="1">SUM((INDIRECT(AL$2&amp;(ROW())):INDIRECT(AL$3&amp;(ROW()))))</f>
        <v>0</v>
      </c>
      <c r="AM325" s="390">
        <f ca="1">SUM(INDIRECT(AM$1&amp;AM$2&amp;$C325):INDIRECT(AM$1&amp;AM$3&amp;$C325))</f>
        <v>0</v>
      </c>
      <c r="AN325" s="885">
        <f t="shared" ca="1" si="631"/>
        <v>0</v>
      </c>
      <c r="AO325" s="940">
        <f t="shared" ca="1" si="625"/>
        <v>0</v>
      </c>
      <c r="AP325" s="390">
        <f ca="1">SUM(INDIRECT(AP$1&amp;AP$2&amp;$A325):INDIRECT(AP$1&amp;AP$3&amp;$A325))+SUM(INDIRECT(AP$1&amp;AP$2&amp;$B325):INDIRECT(AP$1&amp;AP$3&amp;$B325))</f>
        <v>0</v>
      </c>
      <c r="AQ325" s="885">
        <f t="shared" ca="1" si="632"/>
        <v>0</v>
      </c>
      <c r="AR325" s="940">
        <f t="shared" ca="1" si="626"/>
        <v>0</v>
      </c>
      <c r="AT325" s="2124">
        <f ca="1">SUM((INDIRECT(AT$2&amp;(ROW())):INDIRECT(AT$3&amp;(ROW()))))</f>
        <v>0</v>
      </c>
      <c r="AU325" s="390">
        <f ca="1">SUM(INDIRECT(AU$1&amp;AU$2&amp;$C325):INDIRECT(AU$1&amp;AU$3&amp;$C325))</f>
        <v>0</v>
      </c>
      <c r="AV325" s="885">
        <f t="shared" ca="1" si="633"/>
        <v>0</v>
      </c>
      <c r="AW325" s="940">
        <f t="shared" ca="1" si="627"/>
        <v>0</v>
      </c>
      <c r="AX325" s="390">
        <f ca="1">SUM(INDIRECT(AX$1&amp;AX$2&amp;$A325):INDIRECT(AX$1&amp;AX$3&amp;$A325))+SUM(INDIRECT(AX$1&amp;AX$2&amp;$B325):INDIRECT(AX$1&amp;AX$3&amp;$B325))</f>
        <v>0</v>
      </c>
      <c r="AY325" s="885">
        <f t="shared" ca="1" si="634"/>
        <v>0</v>
      </c>
      <c r="AZ325" s="940">
        <f t="shared" ca="1" si="628"/>
        <v>0</v>
      </c>
      <c r="BB325" s="2124">
        <f ca="1">SUM((INDIRECT(BB$2&amp;(ROW())):INDIRECT(BB$3&amp;(ROW()))))</f>
        <v>0</v>
      </c>
      <c r="BC325" s="390">
        <f ca="1">SUM(INDIRECT(BC$1&amp;BC$2&amp;$C325):INDIRECT(BC$1&amp;BC$3&amp;$C325))</f>
        <v>0</v>
      </c>
      <c r="BD325" s="885">
        <f t="shared" ca="1" si="635"/>
        <v>0</v>
      </c>
      <c r="BE325" s="940">
        <f t="shared" ca="1" si="629"/>
        <v>0</v>
      </c>
      <c r="BF325" s="390">
        <f ca="1">SUM(INDIRECT(BF$1&amp;BF$2&amp;$A325):INDIRECT(BF$1&amp;BF$3&amp;$A325))+SUM(INDIRECT(BF$1&amp;BF$2&amp;$B325):INDIRECT(BF$1&amp;BF$3&amp;$B325))</f>
        <v>0</v>
      </c>
      <c r="BG325" s="885">
        <f t="shared" ca="1" si="636"/>
        <v>0</v>
      </c>
      <c r="BH325" s="940">
        <f t="shared" ca="1" si="630"/>
        <v>0</v>
      </c>
    </row>
    <row r="326" spans="1:60" ht="15" customHeight="1">
      <c r="A326" s="990">
        <f t="shared" si="561"/>
        <v>299</v>
      </c>
      <c r="B326" s="990">
        <v>1</v>
      </c>
      <c r="C326" s="990">
        <f t="shared" si="536"/>
        <v>323</v>
      </c>
      <c r="D326" s="1121" t="s">
        <v>887</v>
      </c>
      <c r="E326" s="1243">
        <v>1</v>
      </c>
      <c r="F326" s="5"/>
      <c r="G326" s="5"/>
      <c r="H326" s="5"/>
      <c r="I326" s="30"/>
      <c r="J326" s="4"/>
      <c r="K326" s="5"/>
      <c r="L326" s="5"/>
      <c r="M326" s="4" t="s">
        <v>59</v>
      </c>
      <c r="N326" s="4"/>
      <c r="O326" s="4"/>
      <c r="P326" s="4"/>
      <c r="Q326" s="1865" t="str">
        <f>CHOOSE(2, "6722000003245", "PL (4) Gross Profit ODP On Demand Printing")</f>
        <v>PL (4) Gross Profit ODP On Demand Printing</v>
      </c>
      <c r="R326" s="2758">
        <v>0</v>
      </c>
      <c r="S326" s="2039">
        <v>0</v>
      </c>
      <c r="T326" s="2039">
        <v>0</v>
      </c>
      <c r="U326" s="2039">
        <v>0</v>
      </c>
      <c r="V326" s="2039">
        <v>0</v>
      </c>
      <c r="W326" s="2039">
        <v>0</v>
      </c>
      <c r="X326" s="2039">
        <v>0</v>
      </c>
      <c r="Y326" s="2039">
        <v>0</v>
      </c>
      <c r="Z326" s="2039">
        <v>0</v>
      </c>
      <c r="AA326" s="2039">
        <v>0</v>
      </c>
      <c r="AB326" s="2039">
        <v>0</v>
      </c>
      <c r="AC326" s="2039">
        <v>0</v>
      </c>
      <c r="AD326" s="89">
        <f t="shared" si="618"/>
        <v>0</v>
      </c>
      <c r="AE326" s="89">
        <f t="shared" si="619"/>
        <v>0</v>
      </c>
      <c r="AF326" s="89">
        <f t="shared" si="620"/>
        <v>0</v>
      </c>
      <c r="AG326" s="89">
        <f t="shared" si="621"/>
        <v>0</v>
      </c>
      <c r="AH326" s="89">
        <f t="shared" si="622"/>
        <v>0</v>
      </c>
      <c r="AI326" s="89">
        <f t="shared" si="623"/>
        <v>0</v>
      </c>
      <c r="AJ326" s="89">
        <f t="shared" si="624"/>
        <v>0</v>
      </c>
      <c r="AL326" s="13">
        <f ca="1">SUM((INDIRECT(AL$2&amp;(ROW())):INDIRECT(AL$3&amp;(ROW()))))</f>
        <v>0</v>
      </c>
      <c r="AM326" s="89">
        <f ca="1">SUM(INDIRECT(AM$1&amp;AM$2&amp;$C326):INDIRECT(AM$1&amp;AM$3&amp;$C326))</f>
        <v>0</v>
      </c>
      <c r="AN326" s="880">
        <f t="shared" ca="1" si="631"/>
        <v>0</v>
      </c>
      <c r="AO326" s="931">
        <f t="shared" ca="1" si="625"/>
        <v>0</v>
      </c>
      <c r="AP326" s="89">
        <f ca="1">SUM(INDIRECT(AP$1&amp;AP$2&amp;$A326):INDIRECT(AP$1&amp;AP$3&amp;$A326))+SUM(INDIRECT(AP$1&amp;AP$2&amp;$B326):INDIRECT(AP$1&amp;AP$3&amp;$B326))</f>
        <v>0</v>
      </c>
      <c r="AQ326" s="880">
        <f t="shared" ca="1" si="632"/>
        <v>0</v>
      </c>
      <c r="AR326" s="931">
        <f t="shared" ca="1" si="626"/>
        <v>0</v>
      </c>
      <c r="AT326" s="13">
        <f ca="1">SUM((INDIRECT(AT$2&amp;(ROW())):INDIRECT(AT$3&amp;(ROW()))))</f>
        <v>0</v>
      </c>
      <c r="AU326" s="89">
        <f ca="1">SUM(INDIRECT(AU$1&amp;AU$2&amp;$C326):INDIRECT(AU$1&amp;AU$3&amp;$C326))</f>
        <v>0</v>
      </c>
      <c r="AV326" s="880">
        <f t="shared" ca="1" si="633"/>
        <v>0</v>
      </c>
      <c r="AW326" s="931">
        <f t="shared" ca="1" si="627"/>
        <v>0</v>
      </c>
      <c r="AX326" s="89">
        <f ca="1">SUM(INDIRECT(AX$1&amp;AX$2&amp;$A326):INDIRECT(AX$1&amp;AX$3&amp;$A326))+SUM(INDIRECT(AX$1&amp;AX$2&amp;$B326):INDIRECT(AX$1&amp;AX$3&amp;$B326))</f>
        <v>0</v>
      </c>
      <c r="AY326" s="880">
        <f t="shared" ca="1" si="634"/>
        <v>0</v>
      </c>
      <c r="AZ326" s="931">
        <f t="shared" ca="1" si="628"/>
        <v>0</v>
      </c>
      <c r="BB326" s="13">
        <f ca="1">SUM((INDIRECT(BB$2&amp;(ROW())):INDIRECT(BB$3&amp;(ROW()))))</f>
        <v>0</v>
      </c>
      <c r="BC326" s="89">
        <f ca="1">SUM(INDIRECT(BC$1&amp;BC$2&amp;$C326):INDIRECT(BC$1&amp;BC$3&amp;$C326))</f>
        <v>0</v>
      </c>
      <c r="BD326" s="880">
        <f t="shared" ca="1" si="635"/>
        <v>0</v>
      </c>
      <c r="BE326" s="931">
        <f t="shared" ca="1" si="629"/>
        <v>0</v>
      </c>
      <c r="BF326" s="89">
        <f ca="1">SUM(INDIRECT(BF$1&amp;BF$2&amp;$A326):INDIRECT(BF$1&amp;BF$3&amp;$A326))+SUM(INDIRECT(BF$1&amp;BF$2&amp;$B326):INDIRECT(BF$1&amp;BF$3&amp;$B326))</f>
        <v>0</v>
      </c>
      <c r="BG326" s="880">
        <f t="shared" ca="1" si="636"/>
        <v>0</v>
      </c>
      <c r="BH326" s="931">
        <f t="shared" ca="1" si="630"/>
        <v>0</v>
      </c>
    </row>
    <row r="327" spans="1:60" ht="15" customHeight="1">
      <c r="A327" s="990">
        <f t="shared" si="561"/>
        <v>300</v>
      </c>
      <c r="B327" s="990">
        <v>1</v>
      </c>
      <c r="C327" s="990">
        <f t="shared" si="536"/>
        <v>324</v>
      </c>
      <c r="D327" s="1121" t="s">
        <v>887</v>
      </c>
      <c r="E327" s="1243">
        <v>1</v>
      </c>
      <c r="F327" s="423"/>
      <c r="G327" s="316"/>
      <c r="H327" s="5"/>
      <c r="I327" s="30"/>
      <c r="J327" s="4"/>
      <c r="K327" s="5"/>
      <c r="L327" s="5"/>
      <c r="M327" s="4" t="s">
        <v>683</v>
      </c>
      <c r="N327" s="4"/>
      <c r="O327" s="4"/>
      <c r="P327" s="4"/>
      <c r="Q327" s="1865" t="str">
        <f>CHOOSE(2, "6722000003246", "PL (4) Gross Profit ODP Marketing Service")</f>
        <v>PL (4) Gross Profit ODP Marketing Service</v>
      </c>
      <c r="R327" s="2758">
        <v>0</v>
      </c>
      <c r="S327" s="2039">
        <v>0</v>
      </c>
      <c r="T327" s="2039">
        <v>0</v>
      </c>
      <c r="U327" s="2039">
        <v>0</v>
      </c>
      <c r="V327" s="2039">
        <v>0</v>
      </c>
      <c r="W327" s="2039">
        <v>0</v>
      </c>
      <c r="X327" s="2039">
        <v>0</v>
      </c>
      <c r="Y327" s="2039">
        <v>0</v>
      </c>
      <c r="Z327" s="2039">
        <v>0</v>
      </c>
      <c r="AA327" s="2039">
        <v>0</v>
      </c>
      <c r="AB327" s="2039">
        <v>0</v>
      </c>
      <c r="AC327" s="2039">
        <v>0</v>
      </c>
      <c r="AD327" s="89">
        <f t="shared" si="618"/>
        <v>0</v>
      </c>
      <c r="AE327" s="89">
        <f t="shared" si="619"/>
        <v>0</v>
      </c>
      <c r="AF327" s="89">
        <f t="shared" si="620"/>
        <v>0</v>
      </c>
      <c r="AG327" s="89">
        <f t="shared" si="621"/>
        <v>0</v>
      </c>
      <c r="AH327" s="89">
        <f t="shared" si="622"/>
        <v>0</v>
      </c>
      <c r="AI327" s="89">
        <f t="shared" si="623"/>
        <v>0</v>
      </c>
      <c r="AJ327" s="89">
        <f t="shared" si="624"/>
        <v>0</v>
      </c>
      <c r="AL327" s="13">
        <f ca="1">SUM((INDIRECT(AL$2&amp;(ROW())):INDIRECT(AL$3&amp;(ROW()))))</f>
        <v>0</v>
      </c>
      <c r="AM327" s="89">
        <f ca="1">SUM(INDIRECT(AM$1&amp;AM$2&amp;$C327):INDIRECT(AM$1&amp;AM$3&amp;$C327))</f>
        <v>0</v>
      </c>
      <c r="AN327" s="880">
        <f t="shared" ca="1" si="631"/>
        <v>0</v>
      </c>
      <c r="AO327" s="931">
        <f t="shared" ca="1" si="625"/>
        <v>0</v>
      </c>
      <c r="AP327" s="89">
        <f ca="1">SUM(INDIRECT(AP$1&amp;AP$2&amp;$A327):INDIRECT(AP$1&amp;AP$3&amp;$A327))+SUM(INDIRECT(AP$1&amp;AP$2&amp;$B327):INDIRECT(AP$1&amp;AP$3&amp;$B327))</f>
        <v>0</v>
      </c>
      <c r="AQ327" s="880">
        <f t="shared" ca="1" si="632"/>
        <v>0</v>
      </c>
      <c r="AR327" s="931">
        <f t="shared" ca="1" si="626"/>
        <v>0</v>
      </c>
      <c r="AT327" s="13">
        <f ca="1">SUM((INDIRECT(AT$2&amp;(ROW())):INDIRECT(AT$3&amp;(ROW()))))</f>
        <v>0</v>
      </c>
      <c r="AU327" s="89">
        <f ca="1">SUM(INDIRECT(AU$1&amp;AU$2&amp;$C327):INDIRECT(AU$1&amp;AU$3&amp;$C327))</f>
        <v>0</v>
      </c>
      <c r="AV327" s="880">
        <f t="shared" ca="1" si="633"/>
        <v>0</v>
      </c>
      <c r="AW327" s="931">
        <f t="shared" ca="1" si="627"/>
        <v>0</v>
      </c>
      <c r="AX327" s="89">
        <f ca="1">SUM(INDIRECT(AX$1&amp;AX$2&amp;$A327):INDIRECT(AX$1&amp;AX$3&amp;$A327))+SUM(INDIRECT(AX$1&amp;AX$2&amp;$B327):INDIRECT(AX$1&amp;AX$3&amp;$B327))</f>
        <v>0</v>
      </c>
      <c r="AY327" s="880">
        <f t="shared" ca="1" si="634"/>
        <v>0</v>
      </c>
      <c r="AZ327" s="931">
        <f t="shared" ca="1" si="628"/>
        <v>0</v>
      </c>
      <c r="BB327" s="13">
        <f ca="1">SUM((INDIRECT(BB$2&amp;(ROW())):INDIRECT(BB$3&amp;(ROW()))))</f>
        <v>0</v>
      </c>
      <c r="BC327" s="89">
        <f ca="1">SUM(INDIRECT(BC$1&amp;BC$2&amp;$C327):INDIRECT(BC$1&amp;BC$3&amp;$C327))</f>
        <v>0</v>
      </c>
      <c r="BD327" s="880">
        <f t="shared" ca="1" si="635"/>
        <v>0</v>
      </c>
      <c r="BE327" s="931">
        <f t="shared" ca="1" si="629"/>
        <v>0</v>
      </c>
      <c r="BF327" s="89">
        <f ca="1">SUM(INDIRECT(BF$1&amp;BF$2&amp;$A327):INDIRECT(BF$1&amp;BF$3&amp;$A327))+SUM(INDIRECT(BF$1&amp;BF$2&amp;$B327):INDIRECT(BF$1&amp;BF$3&amp;$B327))</f>
        <v>0</v>
      </c>
      <c r="BG327" s="880">
        <f t="shared" ca="1" si="636"/>
        <v>0</v>
      </c>
      <c r="BH327" s="931">
        <f t="shared" ca="1" si="630"/>
        <v>0</v>
      </c>
    </row>
    <row r="328" spans="1:60" ht="15" customHeight="1">
      <c r="A328" s="990">
        <f t="shared" si="561"/>
        <v>301</v>
      </c>
      <c r="B328" s="990">
        <v>1</v>
      </c>
      <c r="C328" s="990">
        <f t="shared" si="536"/>
        <v>325</v>
      </c>
      <c r="D328" s="1121" t="s">
        <v>887</v>
      </c>
      <c r="E328" s="1243">
        <v>1</v>
      </c>
      <c r="F328" s="423"/>
      <c r="G328" s="316"/>
      <c r="H328" s="5"/>
      <c r="I328" s="30"/>
      <c r="J328" s="4"/>
      <c r="K328" s="5"/>
      <c r="L328" s="5"/>
      <c r="M328" s="4" t="s">
        <v>684</v>
      </c>
      <c r="N328" s="4"/>
      <c r="O328" s="4"/>
      <c r="P328" s="4"/>
      <c r="Q328" s="1865" t="str">
        <f>CHOOSE(2, "6722000003247", "PL (4) Gross Profit ODP Digital Solution")</f>
        <v>PL (4) Gross Profit ODP Digital Solution</v>
      </c>
      <c r="R328" s="2758">
        <v>0</v>
      </c>
      <c r="S328" s="2039">
        <v>0</v>
      </c>
      <c r="T328" s="2039">
        <v>0</v>
      </c>
      <c r="U328" s="2039">
        <v>0</v>
      </c>
      <c r="V328" s="2039">
        <v>0</v>
      </c>
      <c r="W328" s="2039">
        <v>0</v>
      </c>
      <c r="X328" s="2039">
        <v>0</v>
      </c>
      <c r="Y328" s="2039">
        <v>0</v>
      </c>
      <c r="Z328" s="2039">
        <v>0</v>
      </c>
      <c r="AA328" s="2039">
        <v>0</v>
      </c>
      <c r="AB328" s="2039">
        <v>0</v>
      </c>
      <c r="AC328" s="2039">
        <v>0</v>
      </c>
      <c r="AD328" s="89">
        <f t="shared" si="618"/>
        <v>0</v>
      </c>
      <c r="AE328" s="89">
        <f t="shared" si="619"/>
        <v>0</v>
      </c>
      <c r="AF328" s="89">
        <f t="shared" si="620"/>
        <v>0</v>
      </c>
      <c r="AG328" s="89">
        <f t="shared" si="621"/>
        <v>0</v>
      </c>
      <c r="AH328" s="89">
        <f t="shared" si="622"/>
        <v>0</v>
      </c>
      <c r="AI328" s="89">
        <f t="shared" si="623"/>
        <v>0</v>
      </c>
      <c r="AJ328" s="89">
        <f t="shared" si="624"/>
        <v>0</v>
      </c>
      <c r="AL328" s="13">
        <f ca="1">SUM((INDIRECT(AL$2&amp;(ROW())):INDIRECT(AL$3&amp;(ROW()))))</f>
        <v>0</v>
      </c>
      <c r="AM328" s="89">
        <f ca="1">SUM(INDIRECT(AM$1&amp;AM$2&amp;$C328):INDIRECT(AM$1&amp;AM$3&amp;$C328))</f>
        <v>0</v>
      </c>
      <c r="AN328" s="880">
        <f t="shared" ca="1" si="631"/>
        <v>0</v>
      </c>
      <c r="AO328" s="931">
        <f t="shared" ca="1" si="625"/>
        <v>0</v>
      </c>
      <c r="AP328" s="89">
        <f ca="1">SUM(INDIRECT(AP$1&amp;AP$2&amp;$A328):INDIRECT(AP$1&amp;AP$3&amp;$A328))+SUM(INDIRECT(AP$1&amp;AP$2&amp;$B328):INDIRECT(AP$1&amp;AP$3&amp;$B328))</f>
        <v>0</v>
      </c>
      <c r="AQ328" s="880">
        <f t="shared" ca="1" si="632"/>
        <v>0</v>
      </c>
      <c r="AR328" s="931">
        <f t="shared" ca="1" si="626"/>
        <v>0</v>
      </c>
      <c r="AT328" s="13">
        <f ca="1">SUM((INDIRECT(AT$2&amp;(ROW())):INDIRECT(AT$3&amp;(ROW()))))</f>
        <v>0</v>
      </c>
      <c r="AU328" s="89">
        <f ca="1">SUM(INDIRECT(AU$1&amp;AU$2&amp;$C328):INDIRECT(AU$1&amp;AU$3&amp;$C328))</f>
        <v>0</v>
      </c>
      <c r="AV328" s="880">
        <f t="shared" ca="1" si="633"/>
        <v>0</v>
      </c>
      <c r="AW328" s="931">
        <f t="shared" ca="1" si="627"/>
        <v>0</v>
      </c>
      <c r="AX328" s="89">
        <f ca="1">SUM(INDIRECT(AX$1&amp;AX$2&amp;$A328):INDIRECT(AX$1&amp;AX$3&amp;$A328))+SUM(INDIRECT(AX$1&amp;AX$2&amp;$B328):INDIRECT(AX$1&amp;AX$3&amp;$B328))</f>
        <v>0</v>
      </c>
      <c r="AY328" s="880">
        <f t="shared" ca="1" si="634"/>
        <v>0</v>
      </c>
      <c r="AZ328" s="931">
        <f t="shared" ca="1" si="628"/>
        <v>0</v>
      </c>
      <c r="BB328" s="13">
        <f ca="1">SUM((INDIRECT(BB$2&amp;(ROW())):INDIRECT(BB$3&amp;(ROW()))))</f>
        <v>0</v>
      </c>
      <c r="BC328" s="89">
        <f ca="1">SUM(INDIRECT(BC$1&amp;BC$2&amp;$C328):INDIRECT(BC$1&amp;BC$3&amp;$C328))</f>
        <v>0</v>
      </c>
      <c r="BD328" s="880">
        <f t="shared" ca="1" si="635"/>
        <v>0</v>
      </c>
      <c r="BE328" s="931">
        <f t="shared" ca="1" si="629"/>
        <v>0</v>
      </c>
      <c r="BF328" s="89">
        <f ca="1">SUM(INDIRECT(BF$1&amp;BF$2&amp;$A328):INDIRECT(BF$1&amp;BF$3&amp;$A328))+SUM(INDIRECT(BF$1&amp;BF$2&amp;$B328):INDIRECT(BF$1&amp;BF$3&amp;$B328))</f>
        <v>0</v>
      </c>
      <c r="BG328" s="880">
        <f t="shared" ca="1" si="636"/>
        <v>0</v>
      </c>
      <c r="BH328" s="931">
        <f t="shared" ca="1" si="630"/>
        <v>0</v>
      </c>
    </row>
    <row r="329" spans="1:60" ht="15" customHeight="1">
      <c r="A329" s="990">
        <f t="shared" si="561"/>
        <v>302</v>
      </c>
      <c r="B329" s="990">
        <v>1</v>
      </c>
      <c r="C329" s="990">
        <f t="shared" si="536"/>
        <v>326</v>
      </c>
      <c r="D329" s="1121" t="s">
        <v>887</v>
      </c>
      <c r="E329" s="1243">
        <v>1</v>
      </c>
      <c r="F329" s="423"/>
      <c r="G329" s="316"/>
      <c r="H329" s="5"/>
      <c r="I329" s="30"/>
      <c r="J329" s="4"/>
      <c r="K329" s="5"/>
      <c r="L329" s="5"/>
      <c r="M329" s="4" t="s">
        <v>685</v>
      </c>
      <c r="N329" s="4"/>
      <c r="O329" s="4"/>
      <c r="P329" s="4"/>
      <c r="Q329" s="1865" t="str">
        <f>CHOOSE(2, "6722000003248", "PL (4) Gross Profit ODP ODP New Business")</f>
        <v>PL (4) Gross Profit ODP ODP New Business</v>
      </c>
      <c r="R329" s="2758">
        <v>0</v>
      </c>
      <c r="S329" s="2039">
        <v>0</v>
      </c>
      <c r="T329" s="2039">
        <v>0</v>
      </c>
      <c r="U329" s="2039">
        <v>0</v>
      </c>
      <c r="V329" s="2039">
        <v>0</v>
      </c>
      <c r="W329" s="2039">
        <v>0</v>
      </c>
      <c r="X329" s="2039">
        <v>0</v>
      </c>
      <c r="Y329" s="2039">
        <v>0</v>
      </c>
      <c r="Z329" s="2039">
        <v>0</v>
      </c>
      <c r="AA329" s="2039">
        <v>0</v>
      </c>
      <c r="AB329" s="2039">
        <v>0</v>
      </c>
      <c r="AC329" s="2039">
        <v>0</v>
      </c>
      <c r="AD329" s="89">
        <f t="shared" si="618"/>
        <v>0</v>
      </c>
      <c r="AE329" s="89">
        <f t="shared" si="619"/>
        <v>0</v>
      </c>
      <c r="AF329" s="89">
        <f t="shared" si="620"/>
        <v>0</v>
      </c>
      <c r="AG329" s="89">
        <f t="shared" si="621"/>
        <v>0</v>
      </c>
      <c r="AH329" s="89">
        <f t="shared" si="622"/>
        <v>0</v>
      </c>
      <c r="AI329" s="89">
        <f t="shared" si="623"/>
        <v>0</v>
      </c>
      <c r="AJ329" s="89">
        <f t="shared" si="624"/>
        <v>0</v>
      </c>
      <c r="AL329" s="13">
        <f ca="1">SUM((INDIRECT(AL$2&amp;(ROW())):INDIRECT(AL$3&amp;(ROW()))))</f>
        <v>0</v>
      </c>
      <c r="AM329" s="89">
        <f ca="1">SUM(INDIRECT(AM$1&amp;AM$2&amp;$C329):INDIRECT(AM$1&amp;AM$3&amp;$C329))</f>
        <v>0</v>
      </c>
      <c r="AN329" s="880">
        <f t="shared" ca="1" si="631"/>
        <v>0</v>
      </c>
      <c r="AO329" s="931">
        <f t="shared" ca="1" si="625"/>
        <v>0</v>
      </c>
      <c r="AP329" s="89">
        <f ca="1">SUM(INDIRECT(AP$1&amp;AP$2&amp;$A329):INDIRECT(AP$1&amp;AP$3&amp;$A329))+SUM(INDIRECT(AP$1&amp;AP$2&amp;$B329):INDIRECT(AP$1&amp;AP$3&amp;$B329))</f>
        <v>0</v>
      </c>
      <c r="AQ329" s="880">
        <f t="shared" ca="1" si="632"/>
        <v>0</v>
      </c>
      <c r="AR329" s="931">
        <f t="shared" ca="1" si="626"/>
        <v>0</v>
      </c>
      <c r="AT329" s="13">
        <f ca="1">SUM((INDIRECT(AT$2&amp;(ROW())):INDIRECT(AT$3&amp;(ROW()))))</f>
        <v>0</v>
      </c>
      <c r="AU329" s="89">
        <f ca="1">SUM(INDIRECT(AU$1&amp;AU$2&amp;$C329):INDIRECT(AU$1&amp;AU$3&amp;$C329))</f>
        <v>0</v>
      </c>
      <c r="AV329" s="880">
        <f t="shared" ca="1" si="633"/>
        <v>0</v>
      </c>
      <c r="AW329" s="931">
        <f t="shared" ca="1" si="627"/>
        <v>0</v>
      </c>
      <c r="AX329" s="89">
        <f ca="1">SUM(INDIRECT(AX$1&amp;AX$2&amp;$A329):INDIRECT(AX$1&amp;AX$3&amp;$A329))+SUM(INDIRECT(AX$1&amp;AX$2&amp;$B329):INDIRECT(AX$1&amp;AX$3&amp;$B329))</f>
        <v>0</v>
      </c>
      <c r="AY329" s="880">
        <f t="shared" ca="1" si="634"/>
        <v>0</v>
      </c>
      <c r="AZ329" s="931">
        <f t="shared" ca="1" si="628"/>
        <v>0</v>
      </c>
      <c r="BB329" s="13">
        <f ca="1">SUM((INDIRECT(BB$2&amp;(ROW())):INDIRECT(BB$3&amp;(ROW()))))</f>
        <v>0</v>
      </c>
      <c r="BC329" s="89">
        <f ca="1">SUM(INDIRECT(BC$1&amp;BC$2&amp;$C329):INDIRECT(BC$1&amp;BC$3&amp;$C329))</f>
        <v>0</v>
      </c>
      <c r="BD329" s="880">
        <f t="shared" ca="1" si="635"/>
        <v>0</v>
      </c>
      <c r="BE329" s="931">
        <f t="shared" ca="1" si="629"/>
        <v>0</v>
      </c>
      <c r="BF329" s="89">
        <f ca="1">SUM(INDIRECT(BF$1&amp;BF$2&amp;$A329):INDIRECT(BF$1&amp;BF$3&amp;$A329))+SUM(INDIRECT(BF$1&amp;BF$2&amp;$B329):INDIRECT(BF$1&amp;BF$3&amp;$B329))</f>
        <v>0</v>
      </c>
      <c r="BG329" s="880">
        <f t="shared" ca="1" si="636"/>
        <v>0</v>
      </c>
      <c r="BH329" s="931">
        <f t="shared" ca="1" si="630"/>
        <v>0</v>
      </c>
    </row>
    <row r="330" spans="1:60" ht="15" customHeight="1">
      <c r="A330" s="990">
        <f t="shared" si="561"/>
        <v>303</v>
      </c>
      <c r="B330" s="990">
        <v>1</v>
      </c>
      <c r="C330" s="990">
        <f t="shared" si="536"/>
        <v>327</v>
      </c>
      <c r="D330" s="1121" t="s">
        <v>887</v>
      </c>
      <c r="E330" s="1243">
        <v>1</v>
      </c>
      <c r="F330" s="9"/>
      <c r="G330" s="9"/>
      <c r="H330" s="5"/>
      <c r="I330" s="30"/>
      <c r="J330" s="4"/>
      <c r="K330" s="5"/>
      <c r="L330" s="5"/>
      <c r="M330" s="4" t="s">
        <v>435</v>
      </c>
      <c r="N330" s="4"/>
      <c r="O330" s="4"/>
      <c r="P330" s="4"/>
      <c r="Q330" s="1859" t="str">
        <f>CHOOSE(2, "6722000003249", "PL (4) Gross Profit ODP Fixed Cost in COGS")</f>
        <v>PL (4) Gross Profit ODP Fixed Cost in COGS</v>
      </c>
      <c r="R330" s="2769">
        <f>-R864</f>
        <v>0</v>
      </c>
      <c r="S330" s="2770">
        <f t="shared" ref="S330:AC330" si="638">-S864</f>
        <v>0</v>
      </c>
      <c r="T330" s="2770">
        <f t="shared" si="638"/>
        <v>0</v>
      </c>
      <c r="U330" s="2770">
        <f t="shared" si="638"/>
        <v>0</v>
      </c>
      <c r="V330" s="2770">
        <f t="shared" si="638"/>
        <v>0</v>
      </c>
      <c r="W330" s="2770">
        <f t="shared" si="638"/>
        <v>0</v>
      </c>
      <c r="X330" s="2770">
        <f t="shared" si="638"/>
        <v>0</v>
      </c>
      <c r="Y330" s="2770">
        <f t="shared" si="638"/>
        <v>0</v>
      </c>
      <c r="Z330" s="2770">
        <f t="shared" si="638"/>
        <v>0</v>
      </c>
      <c r="AA330" s="2770">
        <f t="shared" si="638"/>
        <v>0</v>
      </c>
      <c r="AB330" s="2770">
        <f t="shared" si="638"/>
        <v>0</v>
      </c>
      <c r="AC330" s="2770">
        <f t="shared" si="638"/>
        <v>0</v>
      </c>
      <c r="AD330" s="89">
        <f t="shared" si="618"/>
        <v>0</v>
      </c>
      <c r="AE330" s="89">
        <f t="shared" si="619"/>
        <v>0</v>
      </c>
      <c r="AF330" s="89">
        <f t="shared" si="620"/>
        <v>0</v>
      </c>
      <c r="AG330" s="89">
        <f t="shared" si="621"/>
        <v>0</v>
      </c>
      <c r="AH330" s="89">
        <f t="shared" si="622"/>
        <v>0</v>
      </c>
      <c r="AI330" s="89">
        <f t="shared" si="623"/>
        <v>0</v>
      </c>
      <c r="AJ330" s="89">
        <f t="shared" si="624"/>
        <v>0</v>
      </c>
      <c r="AL330" s="13">
        <f ca="1">SUM((INDIRECT(AL$2&amp;(ROW())):INDIRECT(AL$3&amp;(ROW()))))</f>
        <v>0</v>
      </c>
      <c r="AM330" s="89">
        <f ca="1">SUM(INDIRECT(AM$1&amp;AM$2&amp;$C330):INDIRECT(AM$1&amp;AM$3&amp;$C330))</f>
        <v>0</v>
      </c>
      <c r="AN330" s="880">
        <f t="shared" ca="1" si="631"/>
        <v>0</v>
      </c>
      <c r="AO330" s="931">
        <f t="shared" ca="1" si="625"/>
        <v>0</v>
      </c>
      <c r="AP330" s="89">
        <f ca="1">SUM(INDIRECT(AP$1&amp;AP$2&amp;$A330):INDIRECT(AP$1&amp;AP$3&amp;$A330))+SUM(INDIRECT(AP$1&amp;AP$2&amp;$B330):INDIRECT(AP$1&amp;AP$3&amp;$B330))</f>
        <v>0</v>
      </c>
      <c r="AQ330" s="880">
        <f t="shared" ca="1" si="632"/>
        <v>0</v>
      </c>
      <c r="AR330" s="931">
        <f t="shared" ca="1" si="626"/>
        <v>0</v>
      </c>
      <c r="AT330" s="13">
        <f ca="1">SUM((INDIRECT(AT$2&amp;(ROW())):INDIRECT(AT$3&amp;(ROW()))))</f>
        <v>0</v>
      </c>
      <c r="AU330" s="89">
        <f ca="1">SUM(INDIRECT(AU$1&amp;AU$2&amp;$C330):INDIRECT(AU$1&amp;AU$3&amp;$C330))</f>
        <v>0</v>
      </c>
      <c r="AV330" s="880">
        <f t="shared" ca="1" si="633"/>
        <v>0</v>
      </c>
      <c r="AW330" s="931">
        <f t="shared" ca="1" si="627"/>
        <v>0</v>
      </c>
      <c r="AX330" s="89">
        <f ca="1">SUM(INDIRECT(AX$1&amp;AX$2&amp;$A330):INDIRECT(AX$1&amp;AX$3&amp;$A330))+SUM(INDIRECT(AX$1&amp;AX$2&amp;$B330):INDIRECT(AX$1&amp;AX$3&amp;$B330))</f>
        <v>0</v>
      </c>
      <c r="AY330" s="880">
        <f t="shared" ca="1" si="634"/>
        <v>0</v>
      </c>
      <c r="AZ330" s="931">
        <f t="shared" ca="1" si="628"/>
        <v>0</v>
      </c>
      <c r="BB330" s="13">
        <f ca="1">SUM((INDIRECT(BB$2&amp;(ROW())):INDIRECT(BB$3&amp;(ROW()))))</f>
        <v>0</v>
      </c>
      <c r="BC330" s="89">
        <f ca="1">SUM(INDIRECT(BC$1&amp;BC$2&amp;$C330):INDIRECT(BC$1&amp;BC$3&amp;$C330))</f>
        <v>0</v>
      </c>
      <c r="BD330" s="880">
        <f t="shared" ca="1" si="635"/>
        <v>0</v>
      </c>
      <c r="BE330" s="931">
        <f t="shared" ca="1" si="629"/>
        <v>0</v>
      </c>
      <c r="BF330" s="89">
        <f ca="1">SUM(INDIRECT(BF$1&amp;BF$2&amp;$A330):INDIRECT(BF$1&amp;BF$3&amp;$A330))+SUM(INDIRECT(BF$1&amp;BF$2&amp;$B330):INDIRECT(BF$1&amp;BF$3&amp;$B330))</f>
        <v>0</v>
      </c>
      <c r="BG330" s="880">
        <f t="shared" ca="1" si="636"/>
        <v>0</v>
      </c>
      <c r="BH330" s="931">
        <f t="shared" ca="1" si="630"/>
        <v>0</v>
      </c>
    </row>
    <row r="331" spans="1:60" ht="14.5">
      <c r="A331" s="990">
        <f t="shared" si="561"/>
        <v>304</v>
      </c>
      <c r="B331" s="990">
        <v>1</v>
      </c>
      <c r="C331" s="990">
        <f t="shared" si="536"/>
        <v>328</v>
      </c>
      <c r="D331" s="1121" t="s">
        <v>887</v>
      </c>
      <c r="E331" s="1243">
        <v>1</v>
      </c>
      <c r="F331" s="5"/>
      <c r="G331" s="5"/>
      <c r="H331" s="5"/>
      <c r="I331" s="326" t="s">
        <v>97</v>
      </c>
      <c r="J331" s="327"/>
      <c r="K331" s="328"/>
      <c r="L331" s="328"/>
      <c r="M331" s="327"/>
      <c r="N331" s="327"/>
      <c r="O331" s="327"/>
      <c r="P331" s="829"/>
      <c r="Q331" s="1863" t="str">
        <f>CHOOSE(2, "6722000003250", "PL (4) SGA Expenses")</f>
        <v>PL (4) SGA Expenses</v>
      </c>
      <c r="R331" s="2765">
        <f>SUM(R332:R334)</f>
        <v>0</v>
      </c>
      <c r="S331" s="2766">
        <f t="shared" ref="S331:AC331" si="639">SUM(S332:S334)</f>
        <v>0</v>
      </c>
      <c r="T331" s="2766">
        <f t="shared" si="639"/>
        <v>0</v>
      </c>
      <c r="U331" s="2766">
        <f t="shared" si="639"/>
        <v>0</v>
      </c>
      <c r="V331" s="2766">
        <f t="shared" si="639"/>
        <v>0</v>
      </c>
      <c r="W331" s="2766">
        <f t="shared" si="639"/>
        <v>0</v>
      </c>
      <c r="X331" s="2766">
        <f t="shared" si="639"/>
        <v>0</v>
      </c>
      <c r="Y331" s="2766">
        <f t="shared" si="639"/>
        <v>0</v>
      </c>
      <c r="Z331" s="2766">
        <f t="shared" si="639"/>
        <v>0</v>
      </c>
      <c r="AA331" s="2766">
        <f t="shared" si="639"/>
        <v>0</v>
      </c>
      <c r="AB331" s="2766">
        <f t="shared" si="639"/>
        <v>0</v>
      </c>
      <c r="AC331" s="2766">
        <f t="shared" si="639"/>
        <v>0</v>
      </c>
      <c r="AD331" s="673">
        <f t="shared" ref="AD331:AJ331" si="640">SUM(AD332:AD334)</f>
        <v>0</v>
      </c>
      <c r="AE331" s="125">
        <f t="shared" si="640"/>
        <v>0</v>
      </c>
      <c r="AF331" s="125">
        <f t="shared" si="640"/>
        <v>0</v>
      </c>
      <c r="AG331" s="125">
        <f t="shared" si="640"/>
        <v>0</v>
      </c>
      <c r="AH331" s="125">
        <f t="shared" si="640"/>
        <v>0</v>
      </c>
      <c r="AI331" s="125">
        <f t="shared" si="640"/>
        <v>0</v>
      </c>
      <c r="AJ331" s="125">
        <f t="shared" si="640"/>
        <v>0</v>
      </c>
      <c r="AL331" s="2130">
        <f ca="1">SUM((INDIRECT(AL$2&amp;(ROW())):INDIRECT(AL$3&amp;(ROW()))))</f>
        <v>0</v>
      </c>
      <c r="AM331" s="125">
        <f ca="1">SUM(INDIRECT(AM$1&amp;AM$2&amp;$C331):INDIRECT(AM$1&amp;AM$3&amp;$C331))</f>
        <v>0</v>
      </c>
      <c r="AN331" s="2521">
        <f t="shared" ca="1" si="631"/>
        <v>0</v>
      </c>
      <c r="AO331" s="1717">
        <f t="shared" ca="1" si="625"/>
        <v>0</v>
      </c>
      <c r="AP331" s="125">
        <f ca="1">SUM(INDIRECT(AP$1&amp;AP$2&amp;$A331):INDIRECT(AP$1&amp;AP$3&amp;$A331))+SUM(INDIRECT(AP$1&amp;AP$2&amp;$B331):INDIRECT(AP$1&amp;AP$3&amp;$B331))</f>
        <v>0</v>
      </c>
      <c r="AQ331" s="2521">
        <f t="shared" ca="1" si="632"/>
        <v>0</v>
      </c>
      <c r="AR331" s="1717">
        <f t="shared" ca="1" si="626"/>
        <v>0</v>
      </c>
      <c r="AT331" s="2130">
        <f ca="1">SUM((INDIRECT(AT$2&amp;(ROW())):INDIRECT(AT$3&amp;(ROW()))))</f>
        <v>0</v>
      </c>
      <c r="AU331" s="125">
        <f ca="1">SUM(INDIRECT(AU$1&amp;AU$2&amp;$C331):INDIRECT(AU$1&amp;AU$3&amp;$C331))</f>
        <v>0</v>
      </c>
      <c r="AV331" s="2521">
        <f t="shared" ca="1" si="633"/>
        <v>0</v>
      </c>
      <c r="AW331" s="1717">
        <f t="shared" ca="1" si="627"/>
        <v>0</v>
      </c>
      <c r="AX331" s="125">
        <f ca="1">SUM(INDIRECT(AX$1&amp;AX$2&amp;$A331):INDIRECT(AX$1&amp;AX$3&amp;$A331))+SUM(INDIRECT(AX$1&amp;AX$2&amp;$B331):INDIRECT(AX$1&amp;AX$3&amp;$B331))</f>
        <v>0</v>
      </c>
      <c r="AY331" s="2521">
        <f t="shared" ca="1" si="634"/>
        <v>0</v>
      </c>
      <c r="AZ331" s="1717">
        <f t="shared" ca="1" si="628"/>
        <v>0</v>
      </c>
      <c r="BB331" s="2130">
        <f ca="1">SUM((INDIRECT(BB$2&amp;(ROW())):INDIRECT(BB$3&amp;(ROW()))))</f>
        <v>0</v>
      </c>
      <c r="BC331" s="125">
        <f ca="1">SUM(INDIRECT(BC$1&amp;BC$2&amp;$C331):INDIRECT(BC$1&amp;BC$3&amp;$C331))</f>
        <v>0</v>
      </c>
      <c r="BD331" s="2521">
        <f t="shared" ca="1" si="635"/>
        <v>0</v>
      </c>
      <c r="BE331" s="1717">
        <f t="shared" ca="1" si="629"/>
        <v>0</v>
      </c>
      <c r="BF331" s="125">
        <f ca="1">SUM(INDIRECT(BF$1&amp;BF$2&amp;$A331):INDIRECT(BF$1&amp;BF$3&amp;$A331))+SUM(INDIRECT(BF$1&amp;BF$2&amp;$B331):INDIRECT(BF$1&amp;BF$3&amp;$B331))</f>
        <v>0</v>
      </c>
      <c r="BG331" s="2521">
        <f t="shared" ca="1" si="636"/>
        <v>0</v>
      </c>
      <c r="BH331" s="1717">
        <f t="shared" ca="1" si="630"/>
        <v>0</v>
      </c>
    </row>
    <row r="332" spans="1:60" ht="14.5">
      <c r="A332" s="990">
        <f t="shared" si="561"/>
        <v>305</v>
      </c>
      <c r="B332" s="990">
        <v>1</v>
      </c>
      <c r="C332" s="990">
        <f t="shared" si="536"/>
        <v>329</v>
      </c>
      <c r="D332" s="1121" t="s">
        <v>887</v>
      </c>
      <c r="E332" s="1243">
        <v>1</v>
      </c>
      <c r="F332" s="5"/>
      <c r="G332" s="5"/>
      <c r="H332" s="5"/>
      <c r="I332" s="30"/>
      <c r="J332" s="40" t="s">
        <v>199</v>
      </c>
      <c r="K332" s="5"/>
      <c r="L332" s="5"/>
      <c r="M332" s="4"/>
      <c r="N332" s="4"/>
      <c r="O332" s="4"/>
      <c r="P332" s="4"/>
      <c r="Q332" s="1865" t="str">
        <f>CHOOSE(2, "6722000003251", "PL (4) SGA Expenses Variable Expenses")</f>
        <v>PL (4) SGA Expenses Variable Expenses</v>
      </c>
      <c r="R332" s="2758">
        <v>0</v>
      </c>
      <c r="S332" s="2039">
        <v>0</v>
      </c>
      <c r="T332" s="2039">
        <v>0</v>
      </c>
      <c r="U332" s="2039">
        <v>0</v>
      </c>
      <c r="V332" s="2039">
        <v>0</v>
      </c>
      <c r="W332" s="2039">
        <v>0</v>
      </c>
      <c r="X332" s="2039">
        <v>0</v>
      </c>
      <c r="Y332" s="2039">
        <v>0</v>
      </c>
      <c r="Z332" s="2039">
        <v>0</v>
      </c>
      <c r="AA332" s="2039">
        <v>0</v>
      </c>
      <c r="AB332" s="2039">
        <v>0</v>
      </c>
      <c r="AC332" s="2039">
        <v>0</v>
      </c>
      <c r="AD332" s="89">
        <f>SUM(R332,S332,T332)</f>
        <v>0</v>
      </c>
      <c r="AE332" s="89">
        <f t="shared" ref="AE332:AE334" si="641">SUM(U332,V332,W332)</f>
        <v>0</v>
      </c>
      <c r="AF332" s="89">
        <f t="shared" ref="AF332:AF334" si="642">SUM(X332,Y332,Z332)</f>
        <v>0</v>
      </c>
      <c r="AG332" s="89">
        <f t="shared" ref="AG332:AG334" si="643">SUM(AA332,AB332,AC332)</f>
        <v>0</v>
      </c>
      <c r="AH332" s="89">
        <f>AD332+AE332</f>
        <v>0</v>
      </c>
      <c r="AI332" s="89">
        <f>AG332+AF332</f>
        <v>0</v>
      </c>
      <c r="AJ332" s="89">
        <f>AH332+AI332</f>
        <v>0</v>
      </c>
      <c r="AL332" s="13">
        <f ca="1">SUM((INDIRECT(AL$2&amp;(ROW())):INDIRECT(AL$3&amp;(ROW()))))</f>
        <v>0</v>
      </c>
      <c r="AM332" s="89">
        <f ca="1">SUM(INDIRECT(AM$1&amp;AM$2&amp;$C332):INDIRECT(AM$1&amp;AM$3&amp;$C332))</f>
        <v>0</v>
      </c>
      <c r="AN332" s="880">
        <f t="shared" ca="1" si="631"/>
        <v>0</v>
      </c>
      <c r="AO332" s="931">
        <f t="shared" ca="1" si="625"/>
        <v>0</v>
      </c>
      <c r="AP332" s="89">
        <f ca="1">SUM(INDIRECT(AP$1&amp;AP$2&amp;$A332):INDIRECT(AP$1&amp;AP$3&amp;$A332))+SUM(INDIRECT(AP$1&amp;AP$2&amp;$B332):INDIRECT(AP$1&amp;AP$3&amp;$B332))</f>
        <v>0</v>
      </c>
      <c r="AQ332" s="880">
        <f t="shared" ca="1" si="632"/>
        <v>0</v>
      </c>
      <c r="AR332" s="931">
        <f t="shared" ca="1" si="626"/>
        <v>0</v>
      </c>
      <c r="AT332" s="13">
        <f ca="1">SUM((INDIRECT(AT$2&amp;(ROW())):INDIRECT(AT$3&amp;(ROW()))))</f>
        <v>0</v>
      </c>
      <c r="AU332" s="89">
        <f ca="1">SUM(INDIRECT(AU$1&amp;AU$2&amp;$C332):INDIRECT(AU$1&amp;AU$3&amp;$C332))</f>
        <v>0</v>
      </c>
      <c r="AV332" s="880">
        <f t="shared" ca="1" si="633"/>
        <v>0</v>
      </c>
      <c r="AW332" s="931">
        <f t="shared" ca="1" si="627"/>
        <v>0</v>
      </c>
      <c r="AX332" s="89">
        <f ca="1">SUM(INDIRECT(AX$1&amp;AX$2&amp;$A332):INDIRECT(AX$1&amp;AX$3&amp;$A332))+SUM(INDIRECT(AX$1&amp;AX$2&amp;$B332):INDIRECT(AX$1&amp;AX$3&amp;$B332))</f>
        <v>0</v>
      </c>
      <c r="AY332" s="880">
        <f t="shared" ca="1" si="634"/>
        <v>0</v>
      </c>
      <c r="AZ332" s="931">
        <f t="shared" ca="1" si="628"/>
        <v>0</v>
      </c>
      <c r="BB332" s="13">
        <f ca="1">SUM((INDIRECT(BB$2&amp;(ROW())):INDIRECT(BB$3&amp;(ROW()))))</f>
        <v>0</v>
      </c>
      <c r="BC332" s="89">
        <f ca="1">SUM(INDIRECT(BC$1&amp;BC$2&amp;$C332):INDIRECT(BC$1&amp;BC$3&amp;$C332))</f>
        <v>0</v>
      </c>
      <c r="BD332" s="880">
        <f t="shared" ca="1" si="635"/>
        <v>0</v>
      </c>
      <c r="BE332" s="931">
        <f t="shared" ca="1" si="629"/>
        <v>0</v>
      </c>
      <c r="BF332" s="89">
        <f ca="1">SUM(INDIRECT(BF$1&amp;BF$2&amp;$A332):INDIRECT(BF$1&amp;BF$3&amp;$A332))+SUM(INDIRECT(BF$1&amp;BF$2&amp;$B332):INDIRECT(BF$1&amp;BF$3&amp;$B332))</f>
        <v>0</v>
      </c>
      <c r="BG332" s="880">
        <f t="shared" ca="1" si="636"/>
        <v>0</v>
      </c>
      <c r="BH332" s="931">
        <f t="shared" ca="1" si="630"/>
        <v>0</v>
      </c>
    </row>
    <row r="333" spans="1:60" ht="14.5">
      <c r="A333" s="990">
        <f t="shared" si="561"/>
        <v>306</v>
      </c>
      <c r="B333" s="990">
        <v>1</v>
      </c>
      <c r="C333" s="990">
        <f t="shared" si="536"/>
        <v>330</v>
      </c>
      <c r="D333" s="1121" t="s">
        <v>887</v>
      </c>
      <c r="E333" s="1243">
        <v>1</v>
      </c>
      <c r="F333" s="5"/>
      <c r="G333" s="5"/>
      <c r="H333" s="5"/>
      <c r="I333" s="30"/>
      <c r="J333" s="40" t="s">
        <v>200</v>
      </c>
      <c r="K333" s="5"/>
      <c r="L333" s="5"/>
      <c r="M333" s="4"/>
      <c r="N333" s="4"/>
      <c r="O333" s="4"/>
      <c r="P333" s="4"/>
      <c r="Q333" s="1865" t="str">
        <f>CHOOSE(2, "6722000003252", "PL (4) SGA Expenses Wages &amp; Salaries")</f>
        <v>PL (4) SGA Expenses Wages &amp; Salaries</v>
      </c>
      <c r="R333" s="2758">
        <v>0</v>
      </c>
      <c r="S333" s="2039">
        <v>0</v>
      </c>
      <c r="T333" s="2039">
        <v>0</v>
      </c>
      <c r="U333" s="2039">
        <v>0</v>
      </c>
      <c r="V333" s="2039">
        <v>0</v>
      </c>
      <c r="W333" s="2039">
        <v>0</v>
      </c>
      <c r="X333" s="2039">
        <v>0</v>
      </c>
      <c r="Y333" s="2039">
        <v>0</v>
      </c>
      <c r="Z333" s="2039">
        <v>0</v>
      </c>
      <c r="AA333" s="2039">
        <v>0</v>
      </c>
      <c r="AB333" s="2039">
        <v>0</v>
      </c>
      <c r="AC333" s="2039">
        <v>0</v>
      </c>
      <c r="AD333" s="89">
        <f>SUM(R333,S333,T333)</f>
        <v>0</v>
      </c>
      <c r="AE333" s="89">
        <f t="shared" si="641"/>
        <v>0</v>
      </c>
      <c r="AF333" s="89">
        <f t="shared" si="642"/>
        <v>0</v>
      </c>
      <c r="AG333" s="89">
        <f t="shared" si="643"/>
        <v>0</v>
      </c>
      <c r="AH333" s="89">
        <f>AD333+AE333</f>
        <v>0</v>
      </c>
      <c r="AI333" s="89">
        <f>AG333+AF333</f>
        <v>0</v>
      </c>
      <c r="AJ333" s="89">
        <f>AH333+AI333</f>
        <v>0</v>
      </c>
      <c r="AL333" s="13">
        <f ca="1">SUM((INDIRECT(AL$2&amp;(ROW())):INDIRECT(AL$3&amp;(ROW()))))</f>
        <v>0</v>
      </c>
      <c r="AM333" s="89">
        <f ca="1">SUM(INDIRECT(AM$1&amp;AM$2&amp;$C333):INDIRECT(AM$1&amp;AM$3&amp;$C333))</f>
        <v>0</v>
      </c>
      <c r="AN333" s="880">
        <f t="shared" ca="1" si="631"/>
        <v>0</v>
      </c>
      <c r="AO333" s="931">
        <f t="shared" ca="1" si="625"/>
        <v>0</v>
      </c>
      <c r="AP333" s="89">
        <f ca="1">SUM(INDIRECT(AP$1&amp;AP$2&amp;$A333):INDIRECT(AP$1&amp;AP$3&amp;$A333))+SUM(INDIRECT(AP$1&amp;AP$2&amp;$B333):INDIRECT(AP$1&amp;AP$3&amp;$B333))</f>
        <v>0</v>
      </c>
      <c r="AQ333" s="880">
        <f t="shared" ca="1" si="632"/>
        <v>0</v>
      </c>
      <c r="AR333" s="931">
        <f t="shared" ca="1" si="626"/>
        <v>0</v>
      </c>
      <c r="AT333" s="13">
        <f ca="1">SUM((INDIRECT(AT$2&amp;(ROW())):INDIRECT(AT$3&amp;(ROW()))))</f>
        <v>0</v>
      </c>
      <c r="AU333" s="89">
        <f ca="1">SUM(INDIRECT(AU$1&amp;AU$2&amp;$C333):INDIRECT(AU$1&amp;AU$3&amp;$C333))</f>
        <v>0</v>
      </c>
      <c r="AV333" s="880">
        <f t="shared" ca="1" si="633"/>
        <v>0</v>
      </c>
      <c r="AW333" s="931">
        <f t="shared" ca="1" si="627"/>
        <v>0</v>
      </c>
      <c r="AX333" s="89">
        <f ca="1">SUM(INDIRECT(AX$1&amp;AX$2&amp;$A333):INDIRECT(AX$1&amp;AX$3&amp;$A333))+SUM(INDIRECT(AX$1&amp;AX$2&amp;$B333):INDIRECT(AX$1&amp;AX$3&amp;$B333))</f>
        <v>0</v>
      </c>
      <c r="AY333" s="880">
        <f t="shared" ca="1" si="634"/>
        <v>0</v>
      </c>
      <c r="AZ333" s="931">
        <f t="shared" ca="1" si="628"/>
        <v>0</v>
      </c>
      <c r="BB333" s="13">
        <f ca="1">SUM((INDIRECT(BB$2&amp;(ROW())):INDIRECT(BB$3&amp;(ROW()))))</f>
        <v>0</v>
      </c>
      <c r="BC333" s="89">
        <f ca="1">SUM(INDIRECT(BC$1&amp;BC$2&amp;$C333):INDIRECT(BC$1&amp;BC$3&amp;$C333))</f>
        <v>0</v>
      </c>
      <c r="BD333" s="880">
        <f t="shared" ca="1" si="635"/>
        <v>0</v>
      </c>
      <c r="BE333" s="931">
        <f t="shared" ca="1" si="629"/>
        <v>0</v>
      </c>
      <c r="BF333" s="89">
        <f ca="1">SUM(INDIRECT(BF$1&amp;BF$2&amp;$A333):INDIRECT(BF$1&amp;BF$3&amp;$A333))+SUM(INDIRECT(BF$1&amp;BF$2&amp;$B333):INDIRECT(BF$1&amp;BF$3&amp;$B333))</f>
        <v>0</v>
      </c>
      <c r="BG333" s="880">
        <f t="shared" ca="1" si="636"/>
        <v>0</v>
      </c>
      <c r="BH333" s="931">
        <f t="shared" ca="1" si="630"/>
        <v>0</v>
      </c>
    </row>
    <row r="334" spans="1:60" ht="14.5">
      <c r="A334" s="990">
        <f t="shared" si="561"/>
        <v>307</v>
      </c>
      <c r="B334" s="990">
        <v>1</v>
      </c>
      <c r="C334" s="990">
        <f t="shared" ref="C334:C380" si="644">ROW()-3</f>
        <v>331</v>
      </c>
      <c r="D334" s="1121" t="s">
        <v>887</v>
      </c>
      <c r="E334" s="1243">
        <v>1</v>
      </c>
      <c r="F334" s="5"/>
      <c r="G334" s="5"/>
      <c r="H334" s="5"/>
      <c r="I334" s="30"/>
      <c r="J334" s="40" t="s">
        <v>201</v>
      </c>
      <c r="K334" s="5"/>
      <c r="L334" s="5"/>
      <c r="M334" s="4"/>
      <c r="N334" s="4"/>
      <c r="O334" s="4"/>
      <c r="P334" s="4"/>
      <c r="Q334" s="1865" t="str">
        <f>CHOOSE(2, "6722000003253", "PL (4) SGA Expenses Fixed Expenses")</f>
        <v>PL (4) SGA Expenses Fixed Expenses</v>
      </c>
      <c r="R334" s="2758">
        <v>0</v>
      </c>
      <c r="S334" s="2039">
        <v>0</v>
      </c>
      <c r="T334" s="2039">
        <v>0</v>
      </c>
      <c r="U334" s="2039">
        <v>0</v>
      </c>
      <c r="V334" s="2039">
        <v>0</v>
      </c>
      <c r="W334" s="2039">
        <v>0</v>
      </c>
      <c r="X334" s="2039">
        <v>0</v>
      </c>
      <c r="Y334" s="2039">
        <v>0</v>
      </c>
      <c r="Z334" s="2039">
        <v>0</v>
      </c>
      <c r="AA334" s="2039">
        <v>0</v>
      </c>
      <c r="AB334" s="2039">
        <v>0</v>
      </c>
      <c r="AC334" s="2039">
        <v>0</v>
      </c>
      <c r="AD334" s="89">
        <f>SUM(R334,S334,T334)</f>
        <v>0</v>
      </c>
      <c r="AE334" s="89">
        <f t="shared" si="641"/>
        <v>0</v>
      </c>
      <c r="AF334" s="89">
        <f t="shared" si="642"/>
        <v>0</v>
      </c>
      <c r="AG334" s="89">
        <f t="shared" si="643"/>
        <v>0</v>
      </c>
      <c r="AH334" s="89">
        <f>AD334+AE334</f>
        <v>0</v>
      </c>
      <c r="AI334" s="89">
        <f>AG334+AF334</f>
        <v>0</v>
      </c>
      <c r="AJ334" s="89">
        <f>AH334+AI334</f>
        <v>0</v>
      </c>
      <c r="AL334" s="13">
        <f ca="1">SUM((INDIRECT(AL$2&amp;(ROW())):INDIRECT(AL$3&amp;(ROW()))))</f>
        <v>0</v>
      </c>
      <c r="AM334" s="89">
        <f ca="1">SUM(INDIRECT(AM$1&amp;AM$2&amp;$C334):INDIRECT(AM$1&amp;AM$3&amp;$C334))</f>
        <v>0</v>
      </c>
      <c r="AN334" s="880">
        <f t="shared" ca="1" si="631"/>
        <v>0</v>
      </c>
      <c r="AO334" s="931">
        <f t="shared" ca="1" si="625"/>
        <v>0</v>
      </c>
      <c r="AP334" s="89">
        <f ca="1">SUM(INDIRECT(AP$1&amp;AP$2&amp;$A334):INDIRECT(AP$1&amp;AP$3&amp;$A334))+SUM(INDIRECT(AP$1&amp;AP$2&amp;$B334):INDIRECT(AP$1&amp;AP$3&amp;$B334))</f>
        <v>0</v>
      </c>
      <c r="AQ334" s="880">
        <f t="shared" ca="1" si="632"/>
        <v>0</v>
      </c>
      <c r="AR334" s="931">
        <f t="shared" ca="1" si="626"/>
        <v>0</v>
      </c>
      <c r="AT334" s="13">
        <f ca="1">SUM((INDIRECT(AT$2&amp;(ROW())):INDIRECT(AT$3&amp;(ROW()))))</f>
        <v>0</v>
      </c>
      <c r="AU334" s="89">
        <f ca="1">SUM(INDIRECT(AU$1&amp;AU$2&amp;$C334):INDIRECT(AU$1&amp;AU$3&amp;$C334))</f>
        <v>0</v>
      </c>
      <c r="AV334" s="880">
        <f t="shared" ca="1" si="633"/>
        <v>0</v>
      </c>
      <c r="AW334" s="931">
        <f t="shared" ca="1" si="627"/>
        <v>0</v>
      </c>
      <c r="AX334" s="89">
        <f ca="1">SUM(INDIRECT(AX$1&amp;AX$2&amp;$A334):INDIRECT(AX$1&amp;AX$3&amp;$A334))+SUM(INDIRECT(AX$1&amp;AX$2&amp;$B334):INDIRECT(AX$1&amp;AX$3&amp;$B334))</f>
        <v>0</v>
      </c>
      <c r="AY334" s="880">
        <f t="shared" ca="1" si="634"/>
        <v>0</v>
      </c>
      <c r="AZ334" s="931">
        <f t="shared" ca="1" si="628"/>
        <v>0</v>
      </c>
      <c r="BB334" s="13">
        <f ca="1">SUM((INDIRECT(BB$2&amp;(ROW())):INDIRECT(BB$3&amp;(ROW()))))</f>
        <v>0</v>
      </c>
      <c r="BC334" s="89">
        <f ca="1">SUM(INDIRECT(BC$1&amp;BC$2&amp;$C334):INDIRECT(BC$1&amp;BC$3&amp;$C334))</f>
        <v>0</v>
      </c>
      <c r="BD334" s="880">
        <f t="shared" ca="1" si="635"/>
        <v>0</v>
      </c>
      <c r="BE334" s="931">
        <f t="shared" ca="1" si="629"/>
        <v>0</v>
      </c>
      <c r="BF334" s="89">
        <f ca="1">SUM(INDIRECT(BF$1&amp;BF$2&amp;$A334):INDIRECT(BF$1&amp;BF$3&amp;$A334))+SUM(INDIRECT(BF$1&amp;BF$2&amp;$B334):INDIRECT(BF$1&amp;BF$3&amp;$B334))</f>
        <v>0</v>
      </c>
      <c r="BG334" s="880">
        <f t="shared" ca="1" si="636"/>
        <v>0</v>
      </c>
      <c r="BH334" s="931">
        <f t="shared" ca="1" si="630"/>
        <v>0</v>
      </c>
    </row>
    <row r="335" spans="1:60" ht="14.5">
      <c r="A335" s="990">
        <f t="shared" si="561"/>
        <v>308</v>
      </c>
      <c r="B335" s="990">
        <v>1</v>
      </c>
      <c r="C335" s="990">
        <f t="shared" si="644"/>
        <v>332</v>
      </c>
      <c r="D335" s="1121" t="s">
        <v>887</v>
      </c>
      <c r="E335" s="1243">
        <v>1</v>
      </c>
      <c r="F335" s="5"/>
      <c r="G335" s="5"/>
      <c r="H335" s="5"/>
      <c r="I335" s="128" t="s">
        <v>136</v>
      </c>
      <c r="J335" s="127"/>
      <c r="K335" s="126"/>
      <c r="L335" s="126"/>
      <c r="M335" s="126"/>
      <c r="N335" s="126"/>
      <c r="O335" s="126"/>
      <c r="P335" s="1186"/>
      <c r="Q335" s="1863" t="str">
        <f>CHOOSE(2, "6722000003254", "PL (4) Business Contribution Profit")</f>
        <v>PL (4) Business Contribution Profit</v>
      </c>
      <c r="R335" s="2765">
        <f t="shared" ref="R335:AC335" si="645">R310-R331</f>
        <v>0</v>
      </c>
      <c r="S335" s="2766">
        <f t="shared" si="645"/>
        <v>0</v>
      </c>
      <c r="T335" s="2766">
        <f t="shared" si="645"/>
        <v>0</v>
      </c>
      <c r="U335" s="2766">
        <f t="shared" si="645"/>
        <v>0</v>
      </c>
      <c r="V335" s="2766">
        <f t="shared" si="645"/>
        <v>0</v>
      </c>
      <c r="W335" s="2766">
        <f t="shared" si="645"/>
        <v>0</v>
      </c>
      <c r="X335" s="2766">
        <f t="shared" si="645"/>
        <v>0</v>
      </c>
      <c r="Y335" s="2766">
        <f t="shared" si="645"/>
        <v>0</v>
      </c>
      <c r="Z335" s="2766">
        <f t="shared" si="645"/>
        <v>0</v>
      </c>
      <c r="AA335" s="2766">
        <f t="shared" si="645"/>
        <v>0</v>
      </c>
      <c r="AB335" s="2766">
        <f t="shared" si="645"/>
        <v>0</v>
      </c>
      <c r="AC335" s="2766">
        <f t="shared" si="645"/>
        <v>0</v>
      </c>
      <c r="AD335" s="673">
        <f t="shared" ref="AD335:AJ335" si="646">AD310-AD331</f>
        <v>0</v>
      </c>
      <c r="AE335" s="125">
        <f t="shared" si="646"/>
        <v>0</v>
      </c>
      <c r="AF335" s="125">
        <f t="shared" si="646"/>
        <v>0</v>
      </c>
      <c r="AG335" s="125">
        <f t="shared" si="646"/>
        <v>0</v>
      </c>
      <c r="AH335" s="125">
        <f t="shared" si="646"/>
        <v>0</v>
      </c>
      <c r="AI335" s="125">
        <f t="shared" si="646"/>
        <v>0</v>
      </c>
      <c r="AJ335" s="125">
        <f t="shared" si="646"/>
        <v>0</v>
      </c>
      <c r="AL335" s="2130">
        <f ca="1">SUM((INDIRECT(AL$2&amp;(ROW())):INDIRECT(AL$3&amp;(ROW()))))</f>
        <v>0</v>
      </c>
      <c r="AM335" s="125">
        <f ca="1">SUM(INDIRECT(AM$1&amp;AM$2&amp;$C335):INDIRECT(AM$1&amp;AM$3&amp;$C335))</f>
        <v>0</v>
      </c>
      <c r="AN335" s="2521">
        <f t="shared" ca="1" si="631"/>
        <v>0</v>
      </c>
      <c r="AO335" s="1717">
        <f t="shared" ca="1" si="625"/>
        <v>0</v>
      </c>
      <c r="AP335" s="125">
        <f ca="1">SUM(INDIRECT(AP$1&amp;AP$2&amp;$A335):INDIRECT(AP$1&amp;AP$3&amp;$A335))+SUM(INDIRECT(AP$1&amp;AP$2&amp;$B335):INDIRECT(AP$1&amp;AP$3&amp;$B335))</f>
        <v>0</v>
      </c>
      <c r="AQ335" s="2521">
        <f t="shared" ca="1" si="632"/>
        <v>0</v>
      </c>
      <c r="AR335" s="1717">
        <f t="shared" ca="1" si="626"/>
        <v>0</v>
      </c>
      <c r="AT335" s="2130">
        <f ca="1">SUM((INDIRECT(AT$2&amp;(ROW())):INDIRECT(AT$3&amp;(ROW()))))</f>
        <v>0</v>
      </c>
      <c r="AU335" s="125">
        <f ca="1">SUM(INDIRECT(AU$1&amp;AU$2&amp;$C335):INDIRECT(AU$1&amp;AU$3&amp;$C335))</f>
        <v>0</v>
      </c>
      <c r="AV335" s="2521">
        <f t="shared" ca="1" si="633"/>
        <v>0</v>
      </c>
      <c r="AW335" s="1717">
        <f t="shared" ca="1" si="627"/>
        <v>0</v>
      </c>
      <c r="AX335" s="125">
        <f ca="1">SUM(INDIRECT(AX$1&amp;AX$2&amp;$A335):INDIRECT(AX$1&amp;AX$3&amp;$A335))+SUM(INDIRECT(AX$1&amp;AX$2&amp;$B335):INDIRECT(AX$1&amp;AX$3&amp;$B335))</f>
        <v>0</v>
      </c>
      <c r="AY335" s="2521">
        <f t="shared" ca="1" si="634"/>
        <v>0</v>
      </c>
      <c r="AZ335" s="1717">
        <f t="shared" ca="1" si="628"/>
        <v>0</v>
      </c>
      <c r="BB335" s="2130">
        <f ca="1">SUM((INDIRECT(BB$2&amp;(ROW())):INDIRECT(BB$3&amp;(ROW()))))</f>
        <v>0</v>
      </c>
      <c r="BC335" s="125">
        <f ca="1">SUM(INDIRECT(BC$1&amp;BC$2&amp;$C335):INDIRECT(BC$1&amp;BC$3&amp;$C335))</f>
        <v>0</v>
      </c>
      <c r="BD335" s="2521">
        <f t="shared" ca="1" si="635"/>
        <v>0</v>
      </c>
      <c r="BE335" s="1717">
        <f t="shared" ca="1" si="629"/>
        <v>0</v>
      </c>
      <c r="BF335" s="125">
        <f ca="1">SUM(INDIRECT(BF$1&amp;BF$2&amp;$A335):INDIRECT(BF$1&amp;BF$3&amp;$A335))+SUM(INDIRECT(BF$1&amp;BF$2&amp;$B335):INDIRECT(BF$1&amp;BF$3&amp;$B335))</f>
        <v>0</v>
      </c>
      <c r="BG335" s="2521">
        <f t="shared" ca="1" si="636"/>
        <v>0</v>
      </c>
      <c r="BH335" s="1717">
        <f t="shared" ca="1" si="630"/>
        <v>0</v>
      </c>
    </row>
    <row r="336" spans="1:60" ht="14.5">
      <c r="A336" s="990">
        <f t="shared" si="561"/>
        <v>309</v>
      </c>
      <c r="B336" s="990">
        <v>1</v>
      </c>
      <c r="C336" s="990">
        <f t="shared" si="644"/>
        <v>333</v>
      </c>
      <c r="D336" s="1121" t="s">
        <v>887</v>
      </c>
      <c r="E336" s="1243">
        <v>1</v>
      </c>
      <c r="F336" s="5"/>
      <c r="G336" s="5"/>
      <c r="H336" s="5"/>
      <c r="I336" s="28"/>
      <c r="J336" s="629" t="s">
        <v>135</v>
      </c>
      <c r="K336" s="3"/>
      <c r="L336" s="3"/>
      <c r="M336" s="2"/>
      <c r="N336" s="2"/>
      <c r="O336" s="2"/>
      <c r="P336" s="2"/>
      <c r="Q336" s="1857" t="str">
        <f>CHOOSE(2, "6722000003255", "PL (4) Business Contribution Profit (%)")</f>
        <v>PL (4) Business Contribution Profit (%)</v>
      </c>
      <c r="R336" s="2138">
        <f t="shared" ref="R336:AC336" si="647">IFERROR(R335/R290,0)</f>
        <v>0</v>
      </c>
      <c r="S336" s="866">
        <f t="shared" si="647"/>
        <v>0</v>
      </c>
      <c r="T336" s="866">
        <f t="shared" si="647"/>
        <v>0</v>
      </c>
      <c r="U336" s="866">
        <f t="shared" si="647"/>
        <v>0</v>
      </c>
      <c r="V336" s="866">
        <f t="shared" si="647"/>
        <v>0</v>
      </c>
      <c r="W336" s="866">
        <f t="shared" si="647"/>
        <v>0</v>
      </c>
      <c r="X336" s="866">
        <f t="shared" si="647"/>
        <v>0</v>
      </c>
      <c r="Y336" s="866">
        <f t="shared" si="647"/>
        <v>0</v>
      </c>
      <c r="Z336" s="866">
        <f t="shared" si="647"/>
        <v>0</v>
      </c>
      <c r="AA336" s="866">
        <f t="shared" si="647"/>
        <v>0</v>
      </c>
      <c r="AB336" s="866">
        <f t="shared" si="647"/>
        <v>0</v>
      </c>
      <c r="AC336" s="866">
        <f t="shared" si="647"/>
        <v>0</v>
      </c>
      <c r="AD336" s="866">
        <f t="shared" ref="AD336:AJ336" si="648">IFERROR(AD335/AD290,0)</f>
        <v>0</v>
      </c>
      <c r="AE336" s="866">
        <f t="shared" si="648"/>
        <v>0</v>
      </c>
      <c r="AF336" s="866">
        <f t="shared" si="648"/>
        <v>0</v>
      </c>
      <c r="AG336" s="866">
        <f t="shared" si="648"/>
        <v>0</v>
      </c>
      <c r="AH336" s="866">
        <f t="shared" si="648"/>
        <v>0</v>
      </c>
      <c r="AI336" s="866">
        <f t="shared" si="648"/>
        <v>0</v>
      </c>
      <c r="AJ336" s="866">
        <f t="shared" si="648"/>
        <v>0</v>
      </c>
      <c r="AK336" s="619"/>
      <c r="AL336" s="2138">
        <f ca="1">IFERROR(AL335/AL290,0)</f>
        <v>0</v>
      </c>
      <c r="AM336" s="866">
        <f ca="1">IFERROR(AM335/AM290,0)</f>
        <v>0</v>
      </c>
      <c r="AN336" s="866">
        <f t="shared" ca="1" si="631"/>
        <v>0</v>
      </c>
      <c r="AO336" s="939"/>
      <c r="AP336" s="866">
        <f ca="1">IFERROR(AP335/AP290,0)</f>
        <v>0</v>
      </c>
      <c r="AQ336" s="866">
        <f t="shared" ca="1" si="632"/>
        <v>0</v>
      </c>
      <c r="AR336" s="939"/>
      <c r="AS336" s="619"/>
      <c r="AT336" s="2138">
        <f ca="1">IFERROR(AT335/AT290,0)</f>
        <v>0</v>
      </c>
      <c r="AU336" s="866">
        <f ca="1">IFERROR(AU335/AU290,0)</f>
        <v>0</v>
      </c>
      <c r="AV336" s="866">
        <f t="shared" ca="1" si="633"/>
        <v>0</v>
      </c>
      <c r="AW336" s="939"/>
      <c r="AX336" s="866">
        <f ca="1">IFERROR(AX335/AX290,0)</f>
        <v>0</v>
      </c>
      <c r="AY336" s="866">
        <f t="shared" ca="1" si="634"/>
        <v>0</v>
      </c>
      <c r="AZ336" s="939"/>
      <c r="BA336" s="619"/>
      <c r="BB336" s="2138">
        <f ca="1">IFERROR(BB335/BB290,0)</f>
        <v>0</v>
      </c>
      <c r="BC336" s="866">
        <f ca="1">IFERROR(BC335/BC290,0)</f>
        <v>0</v>
      </c>
      <c r="BD336" s="866">
        <f t="shared" ca="1" si="635"/>
        <v>0</v>
      </c>
      <c r="BE336" s="939"/>
      <c r="BF336" s="866">
        <f ca="1">IFERROR(BF335/BF290,0)</f>
        <v>0</v>
      </c>
      <c r="BG336" s="866">
        <f t="shared" ca="1" si="636"/>
        <v>0</v>
      </c>
      <c r="BH336" s="939"/>
    </row>
    <row r="337" spans="1:60" ht="14.5">
      <c r="A337" s="990">
        <f t="shared" si="561"/>
        <v>310</v>
      </c>
      <c r="B337" s="990">
        <v>1</v>
      </c>
      <c r="C337" s="990">
        <f t="shared" si="644"/>
        <v>334</v>
      </c>
      <c r="D337" s="1121" t="s">
        <v>887</v>
      </c>
      <c r="E337" s="1243">
        <v>1</v>
      </c>
      <c r="F337" s="5"/>
      <c r="G337" s="5"/>
      <c r="H337" s="5"/>
      <c r="I337" s="58" t="s">
        <v>202</v>
      </c>
      <c r="J337" s="56"/>
      <c r="K337" s="57"/>
      <c r="L337" s="57"/>
      <c r="M337" s="56"/>
      <c r="N337" s="56"/>
      <c r="O337" s="56"/>
      <c r="P337" s="555"/>
      <c r="Q337" s="1865" t="str">
        <f>CHOOSE(2, "6722000003256", "PL (4) Other Income")</f>
        <v>PL (4) Other Income</v>
      </c>
      <c r="R337" s="2199">
        <v>0</v>
      </c>
      <c r="S337" s="2015">
        <v>0</v>
      </c>
      <c r="T337" s="2015">
        <v>0</v>
      </c>
      <c r="U337" s="2015">
        <v>0</v>
      </c>
      <c r="V337" s="2015">
        <v>0</v>
      </c>
      <c r="W337" s="2015">
        <v>0</v>
      </c>
      <c r="X337" s="2015">
        <v>0</v>
      </c>
      <c r="Y337" s="2015">
        <v>0</v>
      </c>
      <c r="Z337" s="2015">
        <v>0</v>
      </c>
      <c r="AA337" s="2015">
        <v>0</v>
      </c>
      <c r="AB337" s="2015">
        <v>0</v>
      </c>
      <c r="AC337" s="2015">
        <v>0</v>
      </c>
      <c r="AD337" s="1521">
        <f>SUM(R337,S337,T337)</f>
        <v>0</v>
      </c>
      <c r="AE337" s="122">
        <f t="shared" ref="AE337:AE338" si="649">SUM(U337,V337,W337)</f>
        <v>0</v>
      </c>
      <c r="AF337" s="122">
        <f t="shared" ref="AF337:AF338" si="650">SUM(X337,Y337,Z337)</f>
        <v>0</v>
      </c>
      <c r="AG337" s="122">
        <f t="shared" ref="AG337:AG338" si="651">SUM(AA337,AB337,AC337)</f>
        <v>0</v>
      </c>
      <c r="AH337" s="122">
        <f>AD337+AE337</f>
        <v>0</v>
      </c>
      <c r="AI337" s="122">
        <f>AG337+AF337</f>
        <v>0</v>
      </c>
      <c r="AJ337" s="122">
        <f>AH337+AI337</f>
        <v>0</v>
      </c>
      <c r="AL337" s="2120">
        <f ca="1">SUM((INDIRECT(AL$2&amp;(ROW())):INDIRECT(AL$3&amp;(ROW()))))</f>
        <v>0</v>
      </c>
      <c r="AM337" s="122">
        <f ca="1">SUM(INDIRECT(AM$1&amp;AM$2&amp;$C337):INDIRECT(AM$1&amp;AM$3&amp;$C337))</f>
        <v>0</v>
      </c>
      <c r="AN337" s="2504">
        <f t="shared" ca="1" si="631"/>
        <v>0</v>
      </c>
      <c r="AO337" s="1712">
        <f ca="1">IFERROR(AL337/AM337,0)</f>
        <v>0</v>
      </c>
      <c r="AP337" s="122">
        <f ca="1">SUM(INDIRECT(AP$1&amp;AP$2&amp;$A337):INDIRECT(AP$1&amp;AP$3&amp;$A337))+SUM(INDIRECT(AP$1&amp;AP$2&amp;$B337):INDIRECT(AP$1&amp;AP$3&amp;$B337))</f>
        <v>0</v>
      </c>
      <c r="AQ337" s="2504">
        <f t="shared" ca="1" si="632"/>
        <v>0</v>
      </c>
      <c r="AR337" s="1712">
        <f ca="1">IFERROR(AL337/AP337,0)</f>
        <v>0</v>
      </c>
      <c r="AT337" s="2120">
        <f ca="1">SUM((INDIRECT(AT$2&amp;(ROW())):INDIRECT(AT$3&amp;(ROW()))))</f>
        <v>0</v>
      </c>
      <c r="AU337" s="122">
        <f ca="1">SUM(INDIRECT(AU$1&amp;AU$2&amp;$C337):INDIRECT(AU$1&amp;AU$3&amp;$C337))</f>
        <v>0</v>
      </c>
      <c r="AV337" s="2504">
        <f t="shared" ca="1" si="633"/>
        <v>0</v>
      </c>
      <c r="AW337" s="1712">
        <f ca="1">IFERROR(AT337/AU337,0)</f>
        <v>0</v>
      </c>
      <c r="AX337" s="122">
        <f ca="1">SUM(INDIRECT(AX$1&amp;AX$2&amp;$A337):INDIRECT(AX$1&amp;AX$3&amp;$A337))+SUM(INDIRECT(AX$1&amp;AX$2&amp;$B337):INDIRECT(AX$1&amp;AX$3&amp;$B337))</f>
        <v>0</v>
      </c>
      <c r="AY337" s="2504">
        <f t="shared" ca="1" si="634"/>
        <v>0</v>
      </c>
      <c r="AZ337" s="1712">
        <f ca="1">IFERROR(AT337/AX337,0)</f>
        <v>0</v>
      </c>
      <c r="BB337" s="2120">
        <f ca="1">SUM((INDIRECT(BB$2&amp;(ROW())):INDIRECT(BB$3&amp;(ROW()))))</f>
        <v>0</v>
      </c>
      <c r="BC337" s="122">
        <f ca="1">SUM(INDIRECT(BC$1&amp;BC$2&amp;$C337):INDIRECT(BC$1&amp;BC$3&amp;$C337))</f>
        <v>0</v>
      </c>
      <c r="BD337" s="2504">
        <f t="shared" ca="1" si="635"/>
        <v>0</v>
      </c>
      <c r="BE337" s="1712">
        <f ca="1">IFERROR(BB337/BC337,0)</f>
        <v>0</v>
      </c>
      <c r="BF337" s="122">
        <f ca="1">SUM(INDIRECT(BF$1&amp;BF$2&amp;$A337):INDIRECT(BF$1&amp;BF$3&amp;$A337))+SUM(INDIRECT(BF$1&amp;BF$2&amp;$B337):INDIRECT(BF$1&amp;BF$3&amp;$B337))</f>
        <v>0</v>
      </c>
      <c r="BG337" s="2504">
        <f t="shared" ca="1" si="636"/>
        <v>0</v>
      </c>
      <c r="BH337" s="1712">
        <f ca="1">IFERROR(BB337/BF337,0)</f>
        <v>0</v>
      </c>
    </row>
    <row r="338" spans="1:60" ht="14.5">
      <c r="A338" s="990">
        <f t="shared" si="561"/>
        <v>311</v>
      </c>
      <c r="B338" s="990">
        <v>1</v>
      </c>
      <c r="C338" s="990">
        <f t="shared" si="644"/>
        <v>335</v>
      </c>
      <c r="D338" s="1121" t="s">
        <v>887</v>
      </c>
      <c r="E338" s="1243">
        <v>1</v>
      </c>
      <c r="F338" s="5"/>
      <c r="G338" s="5"/>
      <c r="H338" s="5"/>
      <c r="I338" s="121" t="s">
        <v>203</v>
      </c>
      <c r="J338" s="119"/>
      <c r="K338" s="120"/>
      <c r="L338" s="120"/>
      <c r="M338" s="119"/>
      <c r="N338" s="119"/>
      <c r="O338" s="119"/>
      <c r="P338" s="119"/>
      <c r="Q338" s="1865" t="str">
        <f>CHOOSE(2, "6722000003257", "PL (4) Other Expenses")</f>
        <v>PL (4) Other Expenses</v>
      </c>
      <c r="R338" s="2760">
        <v>0</v>
      </c>
      <c r="S338" s="2035">
        <v>0</v>
      </c>
      <c r="T338" s="2035">
        <v>0</v>
      </c>
      <c r="U338" s="2035">
        <v>0</v>
      </c>
      <c r="V338" s="2035">
        <v>0</v>
      </c>
      <c r="W338" s="2035">
        <v>0</v>
      </c>
      <c r="X338" s="2035">
        <v>0</v>
      </c>
      <c r="Y338" s="2035">
        <v>0</v>
      </c>
      <c r="Z338" s="2035">
        <v>0</v>
      </c>
      <c r="AA338" s="2035">
        <v>0</v>
      </c>
      <c r="AB338" s="2035">
        <v>0</v>
      </c>
      <c r="AC338" s="2035">
        <v>0</v>
      </c>
      <c r="AD338" s="92">
        <f>SUM(R338,S338,T338)</f>
        <v>0</v>
      </c>
      <c r="AE338" s="92">
        <f t="shared" si="649"/>
        <v>0</v>
      </c>
      <c r="AF338" s="92">
        <f t="shared" si="650"/>
        <v>0</v>
      </c>
      <c r="AG338" s="92">
        <f t="shared" si="651"/>
        <v>0</v>
      </c>
      <c r="AH338" s="92">
        <f>AD338+AE338</f>
        <v>0</v>
      </c>
      <c r="AI338" s="92">
        <f>AG338+AF338</f>
        <v>0</v>
      </c>
      <c r="AJ338" s="92">
        <f>AH338+AI338</f>
        <v>0</v>
      </c>
      <c r="AL338" s="66">
        <f ca="1">SUM((INDIRECT(AL$2&amp;(ROW())):INDIRECT(AL$3&amp;(ROW()))))</f>
        <v>0</v>
      </c>
      <c r="AM338" s="92">
        <f ca="1">SUM(INDIRECT(AM$1&amp;AM$2&amp;$C338):INDIRECT(AM$1&amp;AM$3&amp;$C338))</f>
        <v>0</v>
      </c>
      <c r="AN338" s="884">
        <f t="shared" ca="1" si="631"/>
        <v>0</v>
      </c>
      <c r="AO338" s="937">
        <f ca="1">IFERROR(AL338/AM338,0)</f>
        <v>0</v>
      </c>
      <c r="AP338" s="92">
        <f ca="1">SUM(INDIRECT(AP$1&amp;AP$2&amp;$A338):INDIRECT(AP$1&amp;AP$3&amp;$A338))+SUM(INDIRECT(AP$1&amp;AP$2&amp;$B338):INDIRECT(AP$1&amp;AP$3&amp;$B338))</f>
        <v>0</v>
      </c>
      <c r="AQ338" s="884">
        <f t="shared" ca="1" si="632"/>
        <v>0</v>
      </c>
      <c r="AR338" s="937">
        <f ca="1">IFERROR(AL338/AP338,0)</f>
        <v>0</v>
      </c>
      <c r="AT338" s="66">
        <f ca="1">SUM((INDIRECT(AT$2&amp;(ROW())):INDIRECT(AT$3&amp;(ROW()))))</f>
        <v>0</v>
      </c>
      <c r="AU338" s="92">
        <f ca="1">SUM(INDIRECT(AU$1&amp;AU$2&amp;$C338):INDIRECT(AU$1&amp;AU$3&amp;$C338))</f>
        <v>0</v>
      </c>
      <c r="AV338" s="884">
        <f t="shared" ca="1" si="633"/>
        <v>0</v>
      </c>
      <c r="AW338" s="937">
        <f ca="1">IFERROR(AT338/AU338,0)</f>
        <v>0</v>
      </c>
      <c r="AX338" s="92">
        <f ca="1">SUM(INDIRECT(AX$1&amp;AX$2&amp;$A338):INDIRECT(AX$1&amp;AX$3&amp;$A338))+SUM(INDIRECT(AX$1&amp;AX$2&amp;$B338):INDIRECT(AX$1&amp;AX$3&amp;$B338))</f>
        <v>0</v>
      </c>
      <c r="AY338" s="884">
        <f t="shared" ca="1" si="634"/>
        <v>0</v>
      </c>
      <c r="AZ338" s="937">
        <f ca="1">IFERROR(AT338/AX338,0)</f>
        <v>0</v>
      </c>
      <c r="BB338" s="66">
        <f ca="1">SUM((INDIRECT(BB$2&amp;(ROW())):INDIRECT(BB$3&amp;(ROW()))))</f>
        <v>0</v>
      </c>
      <c r="BC338" s="92">
        <f ca="1">SUM(INDIRECT(BC$1&amp;BC$2&amp;$C338):INDIRECT(BC$1&amp;BC$3&amp;$C338))</f>
        <v>0</v>
      </c>
      <c r="BD338" s="884">
        <f t="shared" ca="1" si="635"/>
        <v>0</v>
      </c>
      <c r="BE338" s="937">
        <f ca="1">IFERROR(BB338/BC338,0)</f>
        <v>0</v>
      </c>
      <c r="BF338" s="92">
        <f ca="1">SUM(INDIRECT(BF$1&amp;BF$2&amp;$A338):INDIRECT(BF$1&amp;BF$3&amp;$A338))+SUM(INDIRECT(BF$1&amp;BF$2&amp;$B338):INDIRECT(BF$1&amp;BF$3&amp;$B338))</f>
        <v>0</v>
      </c>
      <c r="BG338" s="884">
        <f t="shared" ca="1" si="636"/>
        <v>0</v>
      </c>
      <c r="BH338" s="937">
        <f ca="1">IFERROR(BB338/BF338,0)</f>
        <v>0</v>
      </c>
    </row>
    <row r="339" spans="1:60" ht="14.5">
      <c r="A339" s="990">
        <f t="shared" si="561"/>
        <v>312</v>
      </c>
      <c r="B339" s="990">
        <v>1</v>
      </c>
      <c r="C339" s="990">
        <f t="shared" si="644"/>
        <v>336</v>
      </c>
      <c r="D339" s="1121" t="s">
        <v>887</v>
      </c>
      <c r="E339" s="1243">
        <v>1</v>
      </c>
      <c r="F339" s="5"/>
      <c r="G339" s="5"/>
      <c r="H339" s="5"/>
      <c r="I339" s="128" t="s">
        <v>204</v>
      </c>
      <c r="J339" s="127"/>
      <c r="K339" s="126"/>
      <c r="L339" s="126"/>
      <c r="M339" s="126"/>
      <c r="N339" s="126"/>
      <c r="O339" s="126"/>
      <c r="P339" s="1186"/>
      <c r="Q339" s="1863" t="str">
        <f>CHOOSE(2, "6722000003258", "PL (4) Operating Profit")</f>
        <v>PL (4) Operating Profit</v>
      </c>
      <c r="R339" s="2765">
        <f>R335+R337-R338</f>
        <v>0</v>
      </c>
      <c r="S339" s="2766">
        <f t="shared" ref="S339:AC339" si="652">S335+S337-S338</f>
        <v>0</v>
      </c>
      <c r="T339" s="2766">
        <f t="shared" si="652"/>
        <v>0</v>
      </c>
      <c r="U339" s="2766">
        <f t="shared" si="652"/>
        <v>0</v>
      </c>
      <c r="V339" s="2766">
        <f t="shared" si="652"/>
        <v>0</v>
      </c>
      <c r="W339" s="2766">
        <f t="shared" si="652"/>
        <v>0</v>
      </c>
      <c r="X339" s="2766">
        <f t="shared" si="652"/>
        <v>0</v>
      </c>
      <c r="Y339" s="2766">
        <f t="shared" si="652"/>
        <v>0</v>
      </c>
      <c r="Z339" s="2766">
        <f t="shared" si="652"/>
        <v>0</v>
      </c>
      <c r="AA339" s="2766">
        <f t="shared" si="652"/>
        <v>0</v>
      </c>
      <c r="AB339" s="2766">
        <f t="shared" si="652"/>
        <v>0</v>
      </c>
      <c r="AC339" s="2766">
        <f t="shared" si="652"/>
        <v>0</v>
      </c>
      <c r="AD339" s="673">
        <f t="shared" ref="AD339:AJ339" si="653">AD335+AD337-AD338</f>
        <v>0</v>
      </c>
      <c r="AE339" s="125">
        <f t="shared" si="653"/>
        <v>0</v>
      </c>
      <c r="AF339" s="125">
        <f t="shared" si="653"/>
        <v>0</v>
      </c>
      <c r="AG339" s="125">
        <f t="shared" si="653"/>
        <v>0</v>
      </c>
      <c r="AH339" s="125">
        <f t="shared" si="653"/>
        <v>0</v>
      </c>
      <c r="AI339" s="125">
        <f t="shared" si="653"/>
        <v>0</v>
      </c>
      <c r="AJ339" s="125">
        <f t="shared" si="653"/>
        <v>0</v>
      </c>
      <c r="AL339" s="2130">
        <f ca="1">SUM((INDIRECT(AL$2&amp;(ROW())):INDIRECT(AL$3&amp;(ROW()))))</f>
        <v>0</v>
      </c>
      <c r="AM339" s="125">
        <f ca="1">SUM(INDIRECT(AM$1&amp;AM$2&amp;$C339):INDIRECT(AM$1&amp;AM$3&amp;$C339))</f>
        <v>0</v>
      </c>
      <c r="AN339" s="2521">
        <f t="shared" ca="1" si="631"/>
        <v>0</v>
      </c>
      <c r="AO339" s="1717">
        <f ca="1">IFERROR(AL339/AM339,0)</f>
        <v>0</v>
      </c>
      <c r="AP339" s="125">
        <f ca="1">SUM(INDIRECT(AP$1&amp;AP$2&amp;$A339):INDIRECT(AP$1&amp;AP$3&amp;$A339))+SUM(INDIRECT(AP$1&amp;AP$2&amp;$B339):INDIRECT(AP$1&amp;AP$3&amp;$B339))</f>
        <v>0</v>
      </c>
      <c r="AQ339" s="2521">
        <f t="shared" ca="1" si="632"/>
        <v>0</v>
      </c>
      <c r="AR339" s="1717">
        <f ca="1">IFERROR(AL339/AP339,0)</f>
        <v>0</v>
      </c>
      <c r="AT339" s="2130">
        <f ca="1">SUM((INDIRECT(AT$2&amp;(ROW())):INDIRECT(AT$3&amp;(ROW()))))</f>
        <v>0</v>
      </c>
      <c r="AU339" s="125">
        <f ca="1">SUM(INDIRECT(AU$1&amp;AU$2&amp;$C339):INDIRECT(AU$1&amp;AU$3&amp;$C339))</f>
        <v>0</v>
      </c>
      <c r="AV339" s="2521">
        <f t="shared" ca="1" si="633"/>
        <v>0</v>
      </c>
      <c r="AW339" s="1717">
        <f ca="1">IFERROR(AT339/AU339,0)</f>
        <v>0</v>
      </c>
      <c r="AX339" s="125">
        <f ca="1">SUM(INDIRECT(AX$1&amp;AX$2&amp;$A339):INDIRECT(AX$1&amp;AX$3&amp;$A339))+SUM(INDIRECT(AX$1&amp;AX$2&amp;$B339):INDIRECT(AX$1&amp;AX$3&amp;$B339))</f>
        <v>0</v>
      </c>
      <c r="AY339" s="2521">
        <f t="shared" ca="1" si="634"/>
        <v>0</v>
      </c>
      <c r="AZ339" s="1717">
        <f ca="1">IFERROR(AT339/AX339,0)</f>
        <v>0</v>
      </c>
      <c r="BB339" s="2130">
        <f ca="1">SUM((INDIRECT(BB$2&amp;(ROW())):INDIRECT(BB$3&amp;(ROW()))))</f>
        <v>0</v>
      </c>
      <c r="BC339" s="125">
        <f ca="1">SUM(INDIRECT(BC$1&amp;BC$2&amp;$C339):INDIRECT(BC$1&amp;BC$3&amp;$C339))</f>
        <v>0</v>
      </c>
      <c r="BD339" s="2521">
        <f t="shared" ca="1" si="635"/>
        <v>0</v>
      </c>
      <c r="BE339" s="1717">
        <f ca="1">IFERROR(BB339/BC339,0)</f>
        <v>0</v>
      </c>
      <c r="BF339" s="125">
        <f ca="1">SUM(INDIRECT(BF$1&amp;BF$2&amp;$A339):INDIRECT(BF$1&amp;BF$3&amp;$A339))+SUM(INDIRECT(BF$1&amp;BF$2&amp;$B339):INDIRECT(BF$1&amp;BF$3&amp;$B339))</f>
        <v>0</v>
      </c>
      <c r="BG339" s="2521">
        <f t="shared" ca="1" si="636"/>
        <v>0</v>
      </c>
      <c r="BH339" s="1717">
        <f ca="1">IFERROR(BB339/BF339,0)</f>
        <v>0</v>
      </c>
    </row>
    <row r="340" spans="1:60" ht="14.5">
      <c r="A340" s="990">
        <f t="shared" si="561"/>
        <v>313</v>
      </c>
      <c r="B340" s="990">
        <v>1</v>
      </c>
      <c r="C340" s="990">
        <f t="shared" si="644"/>
        <v>337</v>
      </c>
      <c r="D340" s="1121" t="s">
        <v>887</v>
      </c>
      <c r="E340" s="1243">
        <v>1</v>
      </c>
      <c r="F340" s="5"/>
      <c r="G340" s="5"/>
      <c r="H340" s="5"/>
      <c r="I340" s="28"/>
      <c r="J340" s="629" t="s">
        <v>135</v>
      </c>
      <c r="K340" s="3"/>
      <c r="L340" s="3"/>
      <c r="M340" s="2"/>
      <c r="N340" s="2"/>
      <c r="O340" s="2"/>
      <c r="P340" s="2"/>
      <c r="Q340" s="1857" t="str">
        <f>CHOOSE(2, "6722000003259", "PL (4) Operating Profit (%)")</f>
        <v>PL (4) Operating Profit (%)</v>
      </c>
      <c r="R340" s="2138">
        <f t="shared" ref="R340:AC340" si="654">IFERROR(R339/R290,0)</f>
        <v>0</v>
      </c>
      <c r="S340" s="866">
        <f t="shared" si="654"/>
        <v>0</v>
      </c>
      <c r="T340" s="866">
        <f t="shared" si="654"/>
        <v>0</v>
      </c>
      <c r="U340" s="866">
        <f t="shared" si="654"/>
        <v>0</v>
      </c>
      <c r="V340" s="866">
        <f t="shared" si="654"/>
        <v>0</v>
      </c>
      <c r="W340" s="866">
        <f t="shared" si="654"/>
        <v>0</v>
      </c>
      <c r="X340" s="866">
        <f t="shared" si="654"/>
        <v>0</v>
      </c>
      <c r="Y340" s="866">
        <f t="shared" si="654"/>
        <v>0</v>
      </c>
      <c r="Z340" s="866">
        <f t="shared" si="654"/>
        <v>0</v>
      </c>
      <c r="AA340" s="866">
        <f t="shared" si="654"/>
        <v>0</v>
      </c>
      <c r="AB340" s="866">
        <f t="shared" si="654"/>
        <v>0</v>
      </c>
      <c r="AC340" s="866">
        <f t="shared" si="654"/>
        <v>0</v>
      </c>
      <c r="AD340" s="866">
        <f t="shared" ref="AD340:AJ340" si="655">IFERROR(AD339/AD290,0)</f>
        <v>0</v>
      </c>
      <c r="AE340" s="866">
        <f t="shared" si="655"/>
        <v>0</v>
      </c>
      <c r="AF340" s="866">
        <f t="shared" si="655"/>
        <v>0</v>
      </c>
      <c r="AG340" s="866">
        <f t="shared" si="655"/>
        <v>0</v>
      </c>
      <c r="AH340" s="866">
        <f t="shared" si="655"/>
        <v>0</v>
      </c>
      <c r="AI340" s="866">
        <f t="shared" si="655"/>
        <v>0</v>
      </c>
      <c r="AJ340" s="866">
        <f t="shared" si="655"/>
        <v>0</v>
      </c>
      <c r="AK340" s="619"/>
      <c r="AL340" s="2138">
        <f ca="1">IFERROR(AL339/AL290,0)</f>
        <v>0</v>
      </c>
      <c r="AM340" s="866">
        <f ca="1">IFERROR(AM339/AM290,0)</f>
        <v>0</v>
      </c>
      <c r="AN340" s="866">
        <f t="shared" ca="1" si="631"/>
        <v>0</v>
      </c>
      <c r="AO340" s="939"/>
      <c r="AP340" s="634">
        <f ca="1">IFERROR(AP339/AP290,0)</f>
        <v>0</v>
      </c>
      <c r="AQ340" s="634">
        <f t="shared" ca="1" si="632"/>
        <v>0</v>
      </c>
      <c r="AR340" s="948"/>
      <c r="AS340" s="619"/>
      <c r="AT340" s="2138">
        <f ca="1">IFERROR(AT339/AT290,0)</f>
        <v>0</v>
      </c>
      <c r="AU340" s="866">
        <f ca="1">IFERROR(AU339/AU290,0)</f>
        <v>0</v>
      </c>
      <c r="AV340" s="866">
        <f t="shared" ca="1" si="633"/>
        <v>0</v>
      </c>
      <c r="AW340" s="939"/>
      <c r="AX340" s="866">
        <f ca="1">IFERROR(AX339/AX290,0)</f>
        <v>0</v>
      </c>
      <c r="AY340" s="866">
        <f t="shared" ca="1" si="634"/>
        <v>0</v>
      </c>
      <c r="AZ340" s="939"/>
      <c r="BA340" s="619"/>
      <c r="BB340" s="2138">
        <f ca="1">IFERROR(BB339/BB290,0)</f>
        <v>0</v>
      </c>
      <c r="BC340" s="866">
        <f ca="1">IFERROR(BC339/BC290,0)</f>
        <v>0</v>
      </c>
      <c r="BD340" s="866">
        <f t="shared" ca="1" si="635"/>
        <v>0</v>
      </c>
      <c r="BE340" s="939"/>
      <c r="BF340" s="866">
        <f ca="1">IFERROR(BF339/BF290,0)</f>
        <v>0</v>
      </c>
      <c r="BG340" s="866">
        <f t="shared" ca="1" si="636"/>
        <v>0</v>
      </c>
      <c r="BH340" s="939"/>
    </row>
    <row r="341" spans="1:60" ht="14.5">
      <c r="A341" s="990">
        <f t="shared" si="561"/>
        <v>314</v>
      </c>
      <c r="B341" s="990">
        <v>1</v>
      </c>
      <c r="C341" s="990">
        <f t="shared" si="644"/>
        <v>338</v>
      </c>
      <c r="D341" s="1121" t="s">
        <v>887</v>
      </c>
      <c r="E341" s="1255">
        <v>1</v>
      </c>
      <c r="F341" s="9"/>
      <c r="G341" s="1241"/>
      <c r="H341" s="5"/>
      <c r="I341" s="5"/>
      <c r="J341" s="4"/>
      <c r="K341" s="1256" t="s">
        <v>891</v>
      </c>
      <c r="L341" s="1116"/>
      <c r="M341" s="798"/>
      <c r="N341" s="798"/>
      <c r="O341" s="798"/>
      <c r="P341" s="798"/>
      <c r="Q341" s="1850" t="str">
        <f>CHOOSE(2, "6722000003260", "PL (4) CAI (%)")</f>
        <v>PL (4) CAI (%)</v>
      </c>
      <c r="R341" s="2186">
        <f>R443</f>
        <v>0</v>
      </c>
      <c r="S341" s="2186">
        <f t="shared" ref="S341:AC341" si="656">S443</f>
        <v>0</v>
      </c>
      <c r="T341" s="2186">
        <f t="shared" si="656"/>
        <v>0</v>
      </c>
      <c r="U341" s="2186">
        <f t="shared" si="656"/>
        <v>0</v>
      </c>
      <c r="V341" s="2186">
        <f t="shared" si="656"/>
        <v>0</v>
      </c>
      <c r="W341" s="2186">
        <f t="shared" si="656"/>
        <v>0</v>
      </c>
      <c r="X341" s="2186">
        <f t="shared" si="656"/>
        <v>0</v>
      </c>
      <c r="Y341" s="2186">
        <f t="shared" si="656"/>
        <v>0</v>
      </c>
      <c r="Z341" s="2186">
        <f t="shared" si="656"/>
        <v>0</v>
      </c>
      <c r="AA341" s="2186">
        <f t="shared" si="656"/>
        <v>0</v>
      </c>
      <c r="AB341" s="2186">
        <f t="shared" si="656"/>
        <v>0</v>
      </c>
      <c r="AC341" s="2186">
        <f t="shared" si="656"/>
        <v>0</v>
      </c>
      <c r="AD341" s="1522">
        <f t="shared" ref="AD341:AJ341" si="657">AD443</f>
        <v>0</v>
      </c>
      <c r="AE341" s="1258">
        <f t="shared" si="657"/>
        <v>0</v>
      </c>
      <c r="AF341" s="1258">
        <f t="shared" si="657"/>
        <v>0</v>
      </c>
      <c r="AG341" s="1258">
        <f t="shared" si="657"/>
        <v>0</v>
      </c>
      <c r="AH341" s="1258">
        <f t="shared" si="657"/>
        <v>0</v>
      </c>
      <c r="AI341" s="1258">
        <f t="shared" si="657"/>
        <v>0</v>
      </c>
      <c r="AJ341" s="1258">
        <f t="shared" si="657"/>
        <v>0</v>
      </c>
      <c r="AL341" s="2496">
        <f ca="1">AL443</f>
        <v>0</v>
      </c>
      <c r="AM341" s="2496">
        <f ca="1">AM443</f>
        <v>0</v>
      </c>
      <c r="AN341" s="2496">
        <f t="shared" ca="1" si="631"/>
        <v>0</v>
      </c>
      <c r="AO341" s="2497"/>
      <c r="AP341" s="2496">
        <f ca="1">AP443</f>
        <v>0</v>
      </c>
      <c r="AQ341" s="2496">
        <f t="shared" ca="1" si="632"/>
        <v>0</v>
      </c>
      <c r="AR341" s="2498"/>
      <c r="AT341" s="2496">
        <f ca="1">AT443</f>
        <v>0</v>
      </c>
      <c r="AU341" s="2496">
        <f ca="1">AU443</f>
        <v>0</v>
      </c>
      <c r="AV341" s="2496">
        <f t="shared" ca="1" si="633"/>
        <v>0</v>
      </c>
      <c r="AW341" s="2497"/>
      <c r="AX341" s="2496">
        <f ca="1">AX443</f>
        <v>0</v>
      </c>
      <c r="AY341" s="2496">
        <f t="shared" ca="1" si="634"/>
        <v>0</v>
      </c>
      <c r="AZ341" s="2498"/>
      <c r="BA341" s="75"/>
      <c r="BB341" s="2496">
        <f ca="1">BB443</f>
        <v>0</v>
      </c>
      <c r="BC341" s="2496">
        <f ca="1">BC443</f>
        <v>0</v>
      </c>
      <c r="BD341" s="2496">
        <f t="shared" ca="1" si="635"/>
        <v>0</v>
      </c>
      <c r="BE341" s="2499"/>
      <c r="BF341" s="2496">
        <f ca="1">BF443</f>
        <v>0</v>
      </c>
      <c r="BG341" s="2496">
        <f t="shared" ca="1" si="636"/>
        <v>0</v>
      </c>
      <c r="BH341" s="2498"/>
    </row>
    <row r="342" spans="1:60" ht="14.5">
      <c r="A342" s="990">
        <f t="shared" si="561"/>
        <v>315</v>
      </c>
      <c r="B342" s="990">
        <v>1</v>
      </c>
      <c r="C342" s="990">
        <f t="shared" si="644"/>
        <v>339</v>
      </c>
      <c r="D342" s="1121" t="s">
        <v>887</v>
      </c>
      <c r="E342" s="1255">
        <v>1</v>
      </c>
      <c r="F342" s="9"/>
      <c r="G342" s="1241"/>
      <c r="H342" s="5"/>
      <c r="I342" s="5"/>
      <c r="J342" s="4"/>
      <c r="K342" s="30"/>
      <c r="L342" s="764" t="s">
        <v>884</v>
      </c>
      <c r="M342" s="323"/>
      <c r="N342" s="323"/>
      <c r="O342" s="323"/>
      <c r="P342" s="323"/>
      <c r="Q342" s="1851" t="str">
        <f>CHOOSE(2, "6722000003261", "PL (4) CAI Directly assigned")</f>
        <v>PL (4) CAI Directly assigned</v>
      </c>
      <c r="R342" s="325">
        <f>SUM(R343:R345)</f>
        <v>0</v>
      </c>
      <c r="S342" s="325">
        <f t="shared" ref="S342:AC342" si="658">SUM(S343:S345)</f>
        <v>0</v>
      </c>
      <c r="T342" s="325">
        <f t="shared" si="658"/>
        <v>0</v>
      </c>
      <c r="U342" s="325">
        <f t="shared" si="658"/>
        <v>0</v>
      </c>
      <c r="V342" s="325">
        <f t="shared" si="658"/>
        <v>0</v>
      </c>
      <c r="W342" s="325">
        <f t="shared" si="658"/>
        <v>0</v>
      </c>
      <c r="X342" s="361">
        <f t="shared" si="658"/>
        <v>0</v>
      </c>
      <c r="Y342" s="361">
        <f t="shared" si="658"/>
        <v>0</v>
      </c>
      <c r="Z342" s="361">
        <f t="shared" si="658"/>
        <v>0</v>
      </c>
      <c r="AA342" s="1117">
        <f t="shared" si="658"/>
        <v>0</v>
      </c>
      <c r="AB342" s="1117">
        <f t="shared" si="658"/>
        <v>0</v>
      </c>
      <c r="AC342" s="1117">
        <f t="shared" si="658"/>
        <v>0</v>
      </c>
      <c r="AD342" s="1523">
        <f t="shared" ref="AD342:AJ342" si="659">SUM(AD343:AD345)</f>
        <v>0</v>
      </c>
      <c r="AE342" s="1117">
        <f t="shared" si="659"/>
        <v>0</v>
      </c>
      <c r="AF342" s="1117">
        <f t="shared" si="659"/>
        <v>0</v>
      </c>
      <c r="AG342" s="1117">
        <f t="shared" si="659"/>
        <v>0</v>
      </c>
      <c r="AH342" s="1117">
        <f t="shared" si="659"/>
        <v>0</v>
      </c>
      <c r="AI342" s="1117">
        <f t="shared" si="659"/>
        <v>0</v>
      </c>
      <c r="AJ342" s="1117">
        <f t="shared" si="659"/>
        <v>0</v>
      </c>
      <c r="AL342" s="325">
        <f ca="1">SUM((INDIRECT(AL$2&amp;(ROW())):INDIRECT(AL$3&amp;(ROW()))))</f>
        <v>0</v>
      </c>
      <c r="AM342" s="1278">
        <f ca="1">SUM(INDIRECT(AM$1&amp;AM$2&amp;$C342):INDIRECT(AM$1&amp;AM$3&amp;$C342))</f>
        <v>0</v>
      </c>
      <c r="AN342" s="1279">
        <f t="shared" ca="1" si="631"/>
        <v>0</v>
      </c>
      <c r="AO342" s="1280">
        <f ca="1">IFERROR(AL342/AM342,0)</f>
        <v>0</v>
      </c>
      <c r="AP342" s="1371">
        <f ca="1">SUM(INDIRECT(AP$1&amp;AP$2&amp;$A342):INDIRECT(AP$1&amp;AP$3&amp;$A342))+SUM(INDIRECT(AP$1&amp;AP$2&amp;$B342):INDIRECT(AP$1&amp;AP$3&amp;$B342))</f>
        <v>0</v>
      </c>
      <c r="AQ342" s="1372">
        <f t="shared" ca="1" si="632"/>
        <v>0</v>
      </c>
      <c r="AR342" s="1373">
        <f ca="1">IFERROR(AL342/AP342,0)</f>
        <v>0</v>
      </c>
      <c r="AT342" s="325">
        <f ca="1">SUM((INDIRECT(AT$2&amp;(ROW())):INDIRECT(AT$3&amp;(ROW()))))</f>
        <v>0</v>
      </c>
      <c r="AU342" s="1278">
        <f ca="1">SUM(INDIRECT(AU$1&amp;AU$2&amp;$C342):INDIRECT(AU$1&amp;AU$3&amp;$C342))</f>
        <v>0</v>
      </c>
      <c r="AV342" s="1279">
        <f t="shared" ca="1" si="633"/>
        <v>0</v>
      </c>
      <c r="AW342" s="1280">
        <f ca="1">IFERROR(AT342/AU342,0)</f>
        <v>0</v>
      </c>
      <c r="AX342" s="1371">
        <f ca="1">SUM(INDIRECT(AX$1&amp;AX$2&amp;$A342):INDIRECT(AX$1&amp;AX$3&amp;$A342))+SUM(INDIRECT(AX$1&amp;AX$2&amp;$B342):INDIRECT(AX$1&amp;AX$3&amp;$B342))</f>
        <v>0</v>
      </c>
      <c r="AY342" s="1372">
        <f t="shared" ca="1" si="634"/>
        <v>0</v>
      </c>
      <c r="AZ342" s="1373">
        <f ca="1">IFERROR(AT342/AX342,0)</f>
        <v>0</v>
      </c>
      <c r="BA342" s="75"/>
      <c r="BB342" s="2193">
        <f ca="1">SUM((INDIRECT(BB$2&amp;(ROW())):INDIRECT(BB$3&amp;(ROW()))))</f>
        <v>0</v>
      </c>
      <c r="BC342" s="1371">
        <f ca="1">SUM(INDIRECT(BC$1&amp;BC$2&amp;$C342):INDIRECT(BC$1&amp;BC$3&amp;$C342))</f>
        <v>0</v>
      </c>
      <c r="BD342" s="1372">
        <f t="shared" ca="1" si="635"/>
        <v>0</v>
      </c>
      <c r="BE342" s="1373">
        <f ca="1">IFERROR(BB342/BC342,0)</f>
        <v>0</v>
      </c>
      <c r="BF342" s="1371">
        <f ca="1">SUM(INDIRECT(BF$1&amp;BF$2&amp;$A342):INDIRECT(BF$1&amp;BF$3&amp;$A342))+SUM(INDIRECT(BF$1&amp;BF$2&amp;$B342):INDIRECT(BF$1&amp;BF$3&amp;$B342))</f>
        <v>0</v>
      </c>
      <c r="BG342" s="1372">
        <f t="shared" ca="1" si="636"/>
        <v>0</v>
      </c>
      <c r="BH342" s="1373">
        <f ca="1">IFERROR(BB342/BF342,0)</f>
        <v>0</v>
      </c>
    </row>
    <row r="343" spans="1:60" ht="14.5">
      <c r="A343" s="990">
        <f t="shared" si="561"/>
        <v>316</v>
      </c>
      <c r="B343" s="990">
        <v>1</v>
      </c>
      <c r="C343" s="990">
        <f t="shared" si="644"/>
        <v>340</v>
      </c>
      <c r="D343" s="1121" t="s">
        <v>887</v>
      </c>
      <c r="E343" s="1255">
        <v>1</v>
      </c>
      <c r="F343" s="9"/>
      <c r="G343" s="1241"/>
      <c r="H343" s="5"/>
      <c r="I343" s="5"/>
      <c r="J343" s="4"/>
      <c r="K343" s="30"/>
      <c r="L343" s="30"/>
      <c r="M343" s="40" t="s">
        <v>170</v>
      </c>
      <c r="N343" s="4"/>
      <c r="O343" s="4"/>
      <c r="P343" s="4"/>
      <c r="Q343" s="1852" t="str">
        <f>CHOOSE(2, "6722000003262", "PL (4) CAI Directly assigned Variable Expenses")</f>
        <v>PL (4) CAI Directly assigned Variable Expenses</v>
      </c>
      <c r="R343" s="2159">
        <v>0</v>
      </c>
      <c r="S343" s="2159">
        <v>0</v>
      </c>
      <c r="T343" s="2159">
        <v>0</v>
      </c>
      <c r="U343" s="2159">
        <v>0</v>
      </c>
      <c r="V343" s="2159">
        <v>0</v>
      </c>
      <c r="W343" s="2159">
        <v>0</v>
      </c>
      <c r="X343" s="2091">
        <v>0</v>
      </c>
      <c r="Y343" s="2091">
        <v>0</v>
      </c>
      <c r="Z343" s="2091">
        <v>0</v>
      </c>
      <c r="AA343" s="2160">
        <v>0</v>
      </c>
      <c r="AB343" s="2160">
        <v>0</v>
      </c>
      <c r="AC343" s="2160">
        <v>0</v>
      </c>
      <c r="AD343" s="144">
        <f>SUM(R343,S343,T343)</f>
        <v>0</v>
      </c>
      <c r="AE343" s="145">
        <f t="shared" ref="AE343:AE345" si="660">SUM(U343,V343,W343)</f>
        <v>0</v>
      </c>
      <c r="AF343" s="145">
        <f t="shared" ref="AF343:AF345" si="661">SUM(X343,Y343,Z343)</f>
        <v>0</v>
      </c>
      <c r="AG343" s="145">
        <f t="shared" ref="AG343:AG345" si="662">SUM(AA343,AB343,AC343)</f>
        <v>0</v>
      </c>
      <c r="AH343" s="145">
        <f>AD343+AE343</f>
        <v>0</v>
      </c>
      <c r="AI343" s="145">
        <f>AG343+AF343</f>
        <v>0</v>
      </c>
      <c r="AJ343" s="145">
        <f>AH343+AI343</f>
        <v>0</v>
      </c>
      <c r="AL343" s="41">
        <f ca="1">SUM((INDIRECT(AL$2&amp;(ROW())):INDIRECT(AL$3&amp;(ROW()))))</f>
        <v>0</v>
      </c>
      <c r="AM343" s="1275">
        <f ca="1">SUM(INDIRECT(AM$1&amp;AM$2&amp;$C343):INDIRECT(AM$1&amp;AM$3&amp;$C343))</f>
        <v>0</v>
      </c>
      <c r="AN343" s="1276">
        <f t="shared" ca="1" si="631"/>
        <v>0</v>
      </c>
      <c r="AO343" s="1277">
        <f ca="1">IFERROR(AL343/AM343,0)</f>
        <v>0</v>
      </c>
      <c r="AP343" s="135">
        <f ca="1">SUM(INDIRECT(AP$1&amp;AP$2&amp;$A343):INDIRECT(AP$1&amp;AP$3&amp;$A343))+SUM(INDIRECT(AP$1&amp;AP$2&amp;$B343):INDIRECT(AP$1&amp;AP$3&amp;$B343))</f>
        <v>0</v>
      </c>
      <c r="AQ343" s="886">
        <f t="shared" ca="1" si="632"/>
        <v>0</v>
      </c>
      <c r="AR343" s="941">
        <f ca="1">IFERROR(AL343/AP343,0)</f>
        <v>0</v>
      </c>
      <c r="AT343" s="41">
        <f ca="1">SUM((INDIRECT(AT$2&amp;(ROW())):INDIRECT(AT$3&amp;(ROW()))))</f>
        <v>0</v>
      </c>
      <c r="AU343" s="1275">
        <f ca="1">SUM(INDIRECT(AU$1&amp;AU$2&amp;$C343):INDIRECT(AU$1&amp;AU$3&amp;$C343))</f>
        <v>0</v>
      </c>
      <c r="AV343" s="1276">
        <f t="shared" ca="1" si="633"/>
        <v>0</v>
      </c>
      <c r="AW343" s="1277">
        <f ca="1">IFERROR(AT343/AU343,0)</f>
        <v>0</v>
      </c>
      <c r="AX343" s="135">
        <f ca="1">SUM(INDIRECT(AX$1&amp;AX$2&amp;$A343):INDIRECT(AX$1&amp;AX$3&amp;$A343))+SUM(INDIRECT(AX$1&amp;AX$2&amp;$B343):INDIRECT(AX$1&amp;AX$3&amp;$B343))</f>
        <v>0</v>
      </c>
      <c r="AY343" s="886">
        <f t="shared" ca="1" si="634"/>
        <v>0</v>
      </c>
      <c r="AZ343" s="941">
        <f ca="1">IFERROR(AT343/AX343,0)</f>
        <v>0</v>
      </c>
      <c r="BA343" s="75"/>
      <c r="BB343" s="2097">
        <f ca="1">SUM((INDIRECT(BB$2&amp;(ROW())):INDIRECT(BB$3&amp;(ROW()))))</f>
        <v>0</v>
      </c>
      <c r="BC343" s="135">
        <f ca="1">SUM(INDIRECT(BC$1&amp;BC$2&amp;$C343):INDIRECT(BC$1&amp;BC$3&amp;$C343))</f>
        <v>0</v>
      </c>
      <c r="BD343" s="886">
        <f t="shared" ca="1" si="635"/>
        <v>0</v>
      </c>
      <c r="BE343" s="941">
        <f ca="1">IFERROR(BB343/BC343,0)</f>
        <v>0</v>
      </c>
      <c r="BF343" s="135">
        <f ca="1">SUM(INDIRECT(BF$1&amp;BF$2&amp;$A343):INDIRECT(BF$1&amp;BF$3&amp;$A343))+SUM(INDIRECT(BF$1&amp;BF$2&amp;$B343):INDIRECT(BF$1&amp;BF$3&amp;$B343))</f>
        <v>0</v>
      </c>
      <c r="BG343" s="886">
        <f t="shared" ca="1" si="636"/>
        <v>0</v>
      </c>
      <c r="BH343" s="941">
        <f ca="1">IFERROR(BB343/BF343,0)</f>
        <v>0</v>
      </c>
    </row>
    <row r="344" spans="1:60" ht="14.5">
      <c r="A344" s="990">
        <f t="shared" si="561"/>
        <v>317</v>
      </c>
      <c r="B344" s="990">
        <v>1</v>
      </c>
      <c r="C344" s="990">
        <f t="shared" si="644"/>
        <v>341</v>
      </c>
      <c r="D344" s="1121" t="s">
        <v>887</v>
      </c>
      <c r="E344" s="1255">
        <v>1</v>
      </c>
      <c r="F344" s="9"/>
      <c r="G344" s="1241"/>
      <c r="H344" s="5"/>
      <c r="I344" s="5"/>
      <c r="J344" s="4"/>
      <c r="K344" s="30"/>
      <c r="L344" s="30"/>
      <c r="M344" s="40" t="s">
        <v>171</v>
      </c>
      <c r="N344" s="4"/>
      <c r="O344" s="4"/>
      <c r="P344" s="4"/>
      <c r="Q344" s="1852" t="str">
        <f>CHOOSE(2, "6722000003263", "PL (4) CAI Directly assigned Wages &amp; Salaries")</f>
        <v>PL (4) CAI Directly assigned Wages &amp; Salaries</v>
      </c>
      <c r="R344" s="2159">
        <v>0</v>
      </c>
      <c r="S344" s="2159">
        <v>0</v>
      </c>
      <c r="T344" s="2159">
        <v>0</v>
      </c>
      <c r="U344" s="2159">
        <v>0</v>
      </c>
      <c r="V344" s="2159">
        <v>0</v>
      </c>
      <c r="W344" s="2159">
        <v>0</v>
      </c>
      <c r="X344" s="2091">
        <v>0</v>
      </c>
      <c r="Y344" s="2091">
        <v>0</v>
      </c>
      <c r="Z344" s="2091">
        <v>0</v>
      </c>
      <c r="AA344" s="2160">
        <v>0</v>
      </c>
      <c r="AB344" s="2160">
        <v>0</v>
      </c>
      <c r="AC344" s="2160">
        <v>0</v>
      </c>
      <c r="AD344" s="144">
        <f>SUM(R344,S344,T344)</f>
        <v>0</v>
      </c>
      <c r="AE344" s="145">
        <f t="shared" si="660"/>
        <v>0</v>
      </c>
      <c r="AF344" s="145">
        <f t="shared" si="661"/>
        <v>0</v>
      </c>
      <c r="AG344" s="145">
        <f t="shared" si="662"/>
        <v>0</v>
      </c>
      <c r="AH344" s="145">
        <f>AD344+AE344</f>
        <v>0</v>
      </c>
      <c r="AI344" s="145">
        <f>AG344+AF344</f>
        <v>0</v>
      </c>
      <c r="AJ344" s="145">
        <f>AH344+AI344</f>
        <v>0</v>
      </c>
      <c r="AL344" s="41">
        <f ca="1">SUM((INDIRECT(AL$2&amp;(ROW())):INDIRECT(AL$3&amp;(ROW()))))</f>
        <v>0</v>
      </c>
      <c r="AM344" s="1275">
        <f ca="1">SUM(INDIRECT(AM$1&amp;AM$2&amp;$C344):INDIRECT(AM$1&amp;AM$3&amp;$C344))</f>
        <v>0</v>
      </c>
      <c r="AN344" s="1276">
        <f t="shared" ca="1" si="631"/>
        <v>0</v>
      </c>
      <c r="AO344" s="1277">
        <f ca="1">IFERROR(AL344/AM344,0)</f>
        <v>0</v>
      </c>
      <c r="AP344" s="135">
        <f ca="1">SUM(INDIRECT(AP$1&amp;AP$2&amp;$A344):INDIRECT(AP$1&amp;AP$3&amp;$A344))+SUM(INDIRECT(AP$1&amp;AP$2&amp;$B344):INDIRECT(AP$1&amp;AP$3&amp;$B344))</f>
        <v>0</v>
      </c>
      <c r="AQ344" s="886">
        <f t="shared" ca="1" si="632"/>
        <v>0</v>
      </c>
      <c r="AR344" s="941">
        <f ca="1">IFERROR(AL344/AP344,0)</f>
        <v>0</v>
      </c>
      <c r="AT344" s="41">
        <f ca="1">SUM((INDIRECT(AT$2&amp;(ROW())):INDIRECT(AT$3&amp;(ROW()))))</f>
        <v>0</v>
      </c>
      <c r="AU344" s="1275">
        <f ca="1">SUM(INDIRECT(AU$1&amp;AU$2&amp;$C344):INDIRECT(AU$1&amp;AU$3&amp;$C344))</f>
        <v>0</v>
      </c>
      <c r="AV344" s="1276">
        <f t="shared" ca="1" si="633"/>
        <v>0</v>
      </c>
      <c r="AW344" s="1277">
        <f ca="1">IFERROR(AT344/AU344,0)</f>
        <v>0</v>
      </c>
      <c r="AX344" s="135">
        <f ca="1">SUM(INDIRECT(AX$1&amp;AX$2&amp;$A344):INDIRECT(AX$1&amp;AX$3&amp;$A344))+SUM(INDIRECT(AX$1&amp;AX$2&amp;$B344):INDIRECT(AX$1&amp;AX$3&amp;$B344))</f>
        <v>0</v>
      </c>
      <c r="AY344" s="886">
        <f t="shared" ca="1" si="634"/>
        <v>0</v>
      </c>
      <c r="AZ344" s="941">
        <f ca="1">IFERROR(AT344/AX344,0)</f>
        <v>0</v>
      </c>
      <c r="BA344" s="75"/>
      <c r="BB344" s="2097">
        <f ca="1">SUM((INDIRECT(BB$2&amp;(ROW())):INDIRECT(BB$3&amp;(ROW()))))</f>
        <v>0</v>
      </c>
      <c r="BC344" s="135">
        <f ca="1">SUM(INDIRECT(BC$1&amp;BC$2&amp;$C344):INDIRECT(BC$1&amp;BC$3&amp;$C344))</f>
        <v>0</v>
      </c>
      <c r="BD344" s="886">
        <f t="shared" ca="1" si="635"/>
        <v>0</v>
      </c>
      <c r="BE344" s="941">
        <f ca="1">IFERROR(BB344/BC344,0)</f>
        <v>0</v>
      </c>
      <c r="BF344" s="135">
        <f ca="1">SUM(INDIRECT(BF$1&amp;BF$2&amp;$A344):INDIRECT(BF$1&amp;BF$3&amp;$A344))+SUM(INDIRECT(BF$1&amp;BF$2&amp;$B344):INDIRECT(BF$1&amp;BF$3&amp;$B344))</f>
        <v>0</v>
      </c>
      <c r="BG344" s="886">
        <f t="shared" ca="1" si="636"/>
        <v>0</v>
      </c>
      <c r="BH344" s="941">
        <f ca="1">IFERROR(BB344/BF344,0)</f>
        <v>0</v>
      </c>
    </row>
    <row r="345" spans="1:60" ht="14.5">
      <c r="A345" s="990">
        <f t="shared" si="561"/>
        <v>318</v>
      </c>
      <c r="B345" s="990">
        <v>1</v>
      </c>
      <c r="C345" s="990">
        <f t="shared" si="644"/>
        <v>342</v>
      </c>
      <c r="D345" s="1121" t="s">
        <v>887</v>
      </c>
      <c r="E345" s="1255">
        <v>1</v>
      </c>
      <c r="F345" s="9"/>
      <c r="G345" s="1241"/>
      <c r="H345" s="5"/>
      <c r="I345" s="5"/>
      <c r="J345" s="4"/>
      <c r="K345" s="30"/>
      <c r="L345" s="28"/>
      <c r="M345" s="119" t="s">
        <v>172</v>
      </c>
      <c r="N345" s="2"/>
      <c r="O345" s="2"/>
      <c r="P345" s="2"/>
      <c r="Q345" s="1852" t="str">
        <f>CHOOSE(2, "6722000003264", "PL (4) CAI Directly assigned Fixed Expenses")</f>
        <v>PL (4) CAI Directly assigned Fixed Expenses</v>
      </c>
      <c r="R345" s="2161">
        <v>0</v>
      </c>
      <c r="S345" s="2161">
        <v>0</v>
      </c>
      <c r="T345" s="2161">
        <v>0</v>
      </c>
      <c r="U345" s="2161">
        <v>0</v>
      </c>
      <c r="V345" s="2161">
        <v>0</v>
      </c>
      <c r="W345" s="2161">
        <v>0</v>
      </c>
      <c r="X345" s="2092">
        <v>0</v>
      </c>
      <c r="Y345" s="2092">
        <v>0</v>
      </c>
      <c r="Z345" s="2092">
        <v>0</v>
      </c>
      <c r="AA345" s="2162">
        <v>0</v>
      </c>
      <c r="AB345" s="2162">
        <v>0</v>
      </c>
      <c r="AC345" s="2162">
        <v>0</v>
      </c>
      <c r="AD345" s="141">
        <f>SUM(R345,S345,T345)</f>
        <v>0</v>
      </c>
      <c r="AE345" s="142">
        <f t="shared" si="660"/>
        <v>0</v>
      </c>
      <c r="AF345" s="142">
        <f t="shared" si="661"/>
        <v>0</v>
      </c>
      <c r="AG345" s="142">
        <f t="shared" si="662"/>
        <v>0</v>
      </c>
      <c r="AH345" s="142">
        <f>AD345+AE345</f>
        <v>0</v>
      </c>
      <c r="AI345" s="142">
        <f>AG345+AF345</f>
        <v>0</v>
      </c>
      <c r="AJ345" s="142">
        <f>AH345+AI345</f>
        <v>0</v>
      </c>
      <c r="AL345" s="66">
        <f ca="1">SUM((INDIRECT(AL$2&amp;(ROW())):INDIRECT(AL$3&amp;(ROW()))))</f>
        <v>0</v>
      </c>
      <c r="AM345" s="92">
        <f ca="1">SUM(INDIRECT(AM$1&amp;AM$2&amp;$C345):INDIRECT(AM$1&amp;AM$3&amp;$C345))</f>
        <v>0</v>
      </c>
      <c r="AN345" s="884">
        <f t="shared" ca="1" si="631"/>
        <v>0</v>
      </c>
      <c r="AO345" s="937">
        <f ca="1">IFERROR(AL345/AM345,0)</f>
        <v>0</v>
      </c>
      <c r="AP345" s="285">
        <f ca="1">SUM(INDIRECT(AP$1&amp;AP$2&amp;$A345):INDIRECT(AP$1&amp;AP$3&amp;$A345))+SUM(INDIRECT(AP$1&amp;AP$2&amp;$B345):INDIRECT(AP$1&amp;AP$3&amp;$B345))</f>
        <v>0</v>
      </c>
      <c r="AQ345" s="889">
        <f t="shared" ca="1" si="632"/>
        <v>0</v>
      </c>
      <c r="AR345" s="944">
        <f ca="1">IFERROR(AL345/AP345,0)</f>
        <v>0</v>
      </c>
      <c r="AT345" s="66">
        <f ca="1">SUM((INDIRECT(AT$2&amp;(ROW())):INDIRECT(AT$3&amp;(ROW()))))</f>
        <v>0</v>
      </c>
      <c r="AU345" s="92">
        <f ca="1">SUM(INDIRECT(AU$1&amp;AU$2&amp;$C345):INDIRECT(AU$1&amp;AU$3&amp;$C345))</f>
        <v>0</v>
      </c>
      <c r="AV345" s="884">
        <f t="shared" ca="1" si="633"/>
        <v>0</v>
      </c>
      <c r="AW345" s="937">
        <f ca="1">IFERROR(AT345/AU345,0)</f>
        <v>0</v>
      </c>
      <c r="AX345" s="285">
        <f ca="1">SUM(INDIRECT(AX$1&amp;AX$2&amp;$A345):INDIRECT(AX$1&amp;AX$3&amp;$A345))+SUM(INDIRECT(AX$1&amp;AX$2&amp;$B345):INDIRECT(AX$1&amp;AX$3&amp;$B345))</f>
        <v>0</v>
      </c>
      <c r="AY345" s="889">
        <f t="shared" ca="1" si="634"/>
        <v>0</v>
      </c>
      <c r="AZ345" s="944">
        <f ca="1">IFERROR(AT345/AX345,0)</f>
        <v>0</v>
      </c>
      <c r="BA345" s="75"/>
      <c r="BB345" s="2098">
        <f ca="1">SUM((INDIRECT(BB$2&amp;(ROW())):INDIRECT(BB$3&amp;(ROW()))))</f>
        <v>0</v>
      </c>
      <c r="BC345" s="285">
        <f ca="1">SUM(INDIRECT(BC$1&amp;BC$2&amp;$C345):INDIRECT(BC$1&amp;BC$3&amp;$C345))</f>
        <v>0</v>
      </c>
      <c r="BD345" s="889">
        <f t="shared" ca="1" si="635"/>
        <v>0</v>
      </c>
      <c r="BE345" s="944">
        <f ca="1">IFERROR(BB345/BC345,0)</f>
        <v>0</v>
      </c>
      <c r="BF345" s="285">
        <f ca="1">SUM(INDIRECT(BF$1&amp;BF$2&amp;$A345):INDIRECT(BF$1&amp;BF$3&amp;$A345))+SUM(INDIRECT(BF$1&amp;BF$2&amp;$B345):INDIRECT(BF$1&amp;BF$3&amp;$B345))</f>
        <v>0</v>
      </c>
      <c r="BG345" s="889">
        <f t="shared" ca="1" si="636"/>
        <v>0</v>
      </c>
      <c r="BH345" s="944">
        <f ca="1">IFERROR(BB345/BF345,0)</f>
        <v>0</v>
      </c>
    </row>
    <row r="346" spans="1:60" ht="14.5">
      <c r="A346" s="990">
        <f t="shared" ref="A346:A353" si="663">A345+1</f>
        <v>319</v>
      </c>
      <c r="B346" s="990">
        <v>1</v>
      </c>
      <c r="C346" s="990">
        <f t="shared" si="644"/>
        <v>343</v>
      </c>
      <c r="D346" s="1121" t="s">
        <v>887</v>
      </c>
      <c r="E346" s="1255">
        <v>1</v>
      </c>
      <c r="F346" s="9"/>
      <c r="G346" s="1241"/>
      <c r="H346" s="5"/>
      <c r="I346" s="5"/>
      <c r="J346" s="4"/>
      <c r="K346" s="30"/>
      <c r="L346" s="764" t="s">
        <v>885</v>
      </c>
      <c r="M346" s="798"/>
      <c r="N346" s="798"/>
      <c r="O346" s="798"/>
      <c r="P346" s="798"/>
      <c r="Q346" s="1851" t="str">
        <f>CHOOSE(2, "6722000003265", "PL (4) CAI Allocation")</f>
        <v>PL (4) CAI Allocation</v>
      </c>
      <c r="R346" s="2120">
        <f>SUM(R348:R350)</f>
        <v>0</v>
      </c>
      <c r="S346" s="2120">
        <f t="shared" ref="S346:AC346" si="664">SUM(S348:S350)</f>
        <v>0</v>
      </c>
      <c r="T346" s="2120">
        <f t="shared" si="664"/>
        <v>0</v>
      </c>
      <c r="U346" s="2120">
        <f t="shared" si="664"/>
        <v>0</v>
      </c>
      <c r="V346" s="2120">
        <f t="shared" si="664"/>
        <v>0</v>
      </c>
      <c r="W346" s="2120">
        <f t="shared" si="664"/>
        <v>0</v>
      </c>
      <c r="X346" s="2081">
        <f t="shared" si="664"/>
        <v>0</v>
      </c>
      <c r="Y346" s="2081">
        <f t="shared" si="664"/>
        <v>0</v>
      </c>
      <c r="Z346" s="2081">
        <f t="shared" si="664"/>
        <v>0</v>
      </c>
      <c r="AA346" s="2158">
        <f t="shared" si="664"/>
        <v>0</v>
      </c>
      <c r="AB346" s="2158">
        <f t="shared" si="664"/>
        <v>0</v>
      </c>
      <c r="AC346" s="2158">
        <f t="shared" si="664"/>
        <v>0</v>
      </c>
      <c r="AD346" s="1524">
        <f t="shared" ref="AD346:AJ346" si="665">SUM(AD348:AD350)</f>
        <v>0</v>
      </c>
      <c r="AE346" s="1118">
        <f t="shared" si="665"/>
        <v>0</v>
      </c>
      <c r="AF346" s="1118">
        <f t="shared" si="665"/>
        <v>0</v>
      </c>
      <c r="AG346" s="1118">
        <f t="shared" si="665"/>
        <v>0</v>
      </c>
      <c r="AH346" s="1118">
        <f t="shared" si="665"/>
        <v>0</v>
      </c>
      <c r="AI346" s="1118">
        <f t="shared" si="665"/>
        <v>0</v>
      </c>
      <c r="AJ346" s="1118">
        <f t="shared" si="665"/>
        <v>0</v>
      </c>
      <c r="AL346" s="41">
        <f ca="1">SUM((INDIRECT(AL$2&amp;(ROW())):INDIRECT(AL$3&amp;(ROW()))))</f>
        <v>0</v>
      </c>
      <c r="AM346" s="1275">
        <f ca="1">SUM(INDIRECT(AM$1&amp;AM$2&amp;$C346):INDIRECT(AM$1&amp;AM$3&amp;$C346))</f>
        <v>0</v>
      </c>
      <c r="AN346" s="1276">
        <f t="shared" ca="1" si="631"/>
        <v>0</v>
      </c>
      <c r="AO346" s="1277">
        <f ca="1">IFERROR(AL346/AM346,0)</f>
        <v>0</v>
      </c>
      <c r="AP346" s="135">
        <f ca="1">SUM(INDIRECT(AP$1&amp;AP$2&amp;$A346):INDIRECT(AP$1&amp;AP$3&amp;$A346))+SUM(INDIRECT(AP$1&amp;AP$2&amp;$B346):INDIRECT(AP$1&amp;AP$3&amp;$B346))</f>
        <v>0</v>
      </c>
      <c r="AQ346" s="886">
        <f t="shared" ca="1" si="632"/>
        <v>0</v>
      </c>
      <c r="AR346" s="941">
        <f ca="1">IFERROR(AL346/AP346,0)</f>
        <v>0</v>
      </c>
      <c r="AT346" s="41">
        <f ca="1">SUM((INDIRECT(AT$2&amp;(ROW())):INDIRECT(AT$3&amp;(ROW()))))</f>
        <v>0</v>
      </c>
      <c r="AU346" s="1275">
        <f ca="1">SUM(INDIRECT(AU$1&amp;AU$2&amp;$C346):INDIRECT(AU$1&amp;AU$3&amp;$C346))</f>
        <v>0</v>
      </c>
      <c r="AV346" s="1276">
        <f t="shared" ca="1" si="633"/>
        <v>0</v>
      </c>
      <c r="AW346" s="1277">
        <f ca="1">IFERROR(AT346/AU346,0)</f>
        <v>0</v>
      </c>
      <c r="AX346" s="135">
        <f ca="1">SUM(INDIRECT(AX$1&amp;AX$2&amp;$A346):INDIRECT(AX$1&amp;AX$3&amp;$A346))+SUM(INDIRECT(AX$1&amp;AX$2&amp;$B346):INDIRECT(AX$1&amp;AX$3&amp;$B346))</f>
        <v>0</v>
      </c>
      <c r="AY346" s="886">
        <f t="shared" ca="1" si="634"/>
        <v>0</v>
      </c>
      <c r="AZ346" s="941">
        <f ca="1">IFERROR(AT346/AX346,0)</f>
        <v>0</v>
      </c>
      <c r="BA346" s="75"/>
      <c r="BB346" s="2097">
        <f ca="1">SUM((INDIRECT(BB$2&amp;(ROW())):INDIRECT(BB$3&amp;(ROW()))))</f>
        <v>0</v>
      </c>
      <c r="BC346" s="135">
        <f ca="1">SUM(INDIRECT(BC$1&amp;BC$2&amp;$C346):INDIRECT(BC$1&amp;BC$3&amp;$C346))</f>
        <v>0</v>
      </c>
      <c r="BD346" s="886">
        <f t="shared" ca="1" si="635"/>
        <v>0</v>
      </c>
      <c r="BE346" s="941">
        <f ca="1">IFERROR(BB346/BC346,0)</f>
        <v>0</v>
      </c>
      <c r="BF346" s="135">
        <f ca="1">SUM(INDIRECT(BF$1&amp;BF$2&amp;$A346):INDIRECT(BF$1&amp;BF$3&amp;$A346))+SUM(INDIRECT(BF$1&amp;BF$2&amp;$B346):INDIRECT(BF$1&amp;BF$3&amp;$B346))</f>
        <v>0</v>
      </c>
      <c r="BG346" s="886">
        <f t="shared" ca="1" si="636"/>
        <v>0</v>
      </c>
      <c r="BH346" s="941">
        <f ca="1">IFERROR(BB346/BF346,0)</f>
        <v>0</v>
      </c>
    </row>
    <row r="347" spans="1:60" ht="14.5">
      <c r="A347" s="990">
        <f t="shared" si="663"/>
        <v>320</v>
      </c>
      <c r="B347" s="990">
        <v>1</v>
      </c>
      <c r="C347" s="990">
        <f t="shared" si="644"/>
        <v>344</v>
      </c>
      <c r="D347" s="1121" t="s">
        <v>887</v>
      </c>
      <c r="E347" s="1255">
        <v>1</v>
      </c>
      <c r="F347" s="9"/>
      <c r="G347" s="1241"/>
      <c r="H347" s="5"/>
      <c r="I347" s="5"/>
      <c r="J347" s="4"/>
      <c r="K347" s="30"/>
      <c r="L347" s="613"/>
      <c r="M347" s="676" t="s">
        <v>888</v>
      </c>
      <c r="N347" s="51"/>
      <c r="O347" s="51"/>
      <c r="P347" s="51"/>
      <c r="Q347" s="1842" t="str">
        <f>CHOOSE(2, "6722000003266", "PL (4) CAI Allocation SGA (%)")</f>
        <v>PL (4) CAI Allocation SGA (%)</v>
      </c>
      <c r="R347" s="1119">
        <f>IFERROR(R346/R331,0)</f>
        <v>0</v>
      </c>
      <c r="S347" s="1119">
        <f t="shared" ref="S347:AC347" si="666">IFERROR(S346/S331,0)</f>
        <v>0</v>
      </c>
      <c r="T347" s="1119">
        <f t="shared" si="666"/>
        <v>0</v>
      </c>
      <c r="U347" s="1119">
        <f t="shared" si="666"/>
        <v>0</v>
      </c>
      <c r="V347" s="1119">
        <f t="shared" si="666"/>
        <v>0</v>
      </c>
      <c r="W347" s="1119">
        <f t="shared" si="666"/>
        <v>0</v>
      </c>
      <c r="X347" s="1119">
        <f t="shared" si="666"/>
        <v>0</v>
      </c>
      <c r="Y347" s="1119">
        <f t="shared" si="666"/>
        <v>0</v>
      </c>
      <c r="Z347" s="1119">
        <f t="shared" si="666"/>
        <v>0</v>
      </c>
      <c r="AA347" s="1119">
        <f t="shared" si="666"/>
        <v>0</v>
      </c>
      <c r="AB347" s="1119">
        <f t="shared" si="666"/>
        <v>0</v>
      </c>
      <c r="AC347" s="1119">
        <f t="shared" si="666"/>
        <v>0</v>
      </c>
      <c r="AD347" s="1525">
        <f t="shared" ref="AD347:AJ347" si="667">IFERROR(AD346/AD331,0)</f>
        <v>0</v>
      </c>
      <c r="AE347" s="1119">
        <f t="shared" si="667"/>
        <v>0</v>
      </c>
      <c r="AF347" s="1119">
        <f t="shared" si="667"/>
        <v>0</v>
      </c>
      <c r="AG347" s="1119">
        <f t="shared" si="667"/>
        <v>0</v>
      </c>
      <c r="AH347" s="1119">
        <f t="shared" si="667"/>
        <v>0</v>
      </c>
      <c r="AI347" s="1119">
        <f t="shared" si="667"/>
        <v>0</v>
      </c>
      <c r="AJ347" s="1119">
        <f t="shared" si="667"/>
        <v>0</v>
      </c>
      <c r="AL347" s="1283">
        <f ca="1">IFERROR(AL346/AL331,0)</f>
        <v>0</v>
      </c>
      <c r="AM347" s="1283">
        <f ca="1">IFERROR(AM346/AM331,0)</f>
        <v>0</v>
      </c>
      <c r="AN347" s="1283">
        <f t="shared" ca="1" si="631"/>
        <v>0</v>
      </c>
      <c r="AO347" s="1281"/>
      <c r="AP347" s="1283">
        <f ca="1">IFERROR(AP346/AP331,0)</f>
        <v>0</v>
      </c>
      <c r="AQ347" s="1283">
        <f ca="1">IFERROR(AQ346/AQ327,0)</f>
        <v>0</v>
      </c>
      <c r="AR347" s="1374"/>
      <c r="AT347" s="1283">
        <f ca="1">IFERROR(AT346/AT331,0)</f>
        <v>0</v>
      </c>
      <c r="AU347" s="1283">
        <f ca="1">IFERROR(AU346/AU331,0)</f>
        <v>0</v>
      </c>
      <c r="AV347" s="1283">
        <f t="shared" ca="1" si="633"/>
        <v>0</v>
      </c>
      <c r="AW347" s="1281"/>
      <c r="AX347" s="1283">
        <f ca="1">IFERROR(AX346/AX331,0)</f>
        <v>0</v>
      </c>
      <c r="AY347" s="1283">
        <f ca="1">IFERROR(AY346/AY327,0)</f>
        <v>0</v>
      </c>
      <c r="AZ347" s="1374"/>
      <c r="BA347" s="75"/>
      <c r="BB347" s="1283">
        <f ca="1">IFERROR(BB346/BB331,0)</f>
        <v>0</v>
      </c>
      <c r="BC347" s="1283">
        <f ca="1">IFERROR(BC346/BC331,0)</f>
        <v>0</v>
      </c>
      <c r="BD347" s="1283">
        <f t="shared" ca="1" si="635"/>
        <v>0</v>
      </c>
      <c r="BE347" s="1377"/>
      <c r="BF347" s="1283">
        <f ca="1">IFERROR(BF346/BF331,0)</f>
        <v>0</v>
      </c>
      <c r="BG347" s="1283">
        <f ca="1">IFERROR(BG346/BG327,0)</f>
        <v>0</v>
      </c>
      <c r="BH347" s="1374"/>
    </row>
    <row r="348" spans="1:60" ht="14.5">
      <c r="A348" s="990">
        <f t="shared" si="663"/>
        <v>321</v>
      </c>
      <c r="B348" s="990">
        <v>1</v>
      </c>
      <c r="C348" s="990">
        <f t="shared" si="644"/>
        <v>345</v>
      </c>
      <c r="D348" s="1121" t="s">
        <v>887</v>
      </c>
      <c r="E348" s="1255">
        <v>1</v>
      </c>
      <c r="F348" s="9"/>
      <c r="G348" s="1241"/>
      <c r="H348" s="5"/>
      <c r="I348" s="5"/>
      <c r="J348" s="4"/>
      <c r="K348" s="30"/>
      <c r="L348" s="30"/>
      <c r="M348" s="40" t="s">
        <v>170</v>
      </c>
      <c r="N348" s="4"/>
      <c r="O348" s="4"/>
      <c r="P348" s="4"/>
      <c r="Q348" s="1851" t="str">
        <f>CHOOSE(2, "6722000003267", "PL (4) CAI Allocation Variable Expenses")</f>
        <v>PL (4) CAI Allocation Variable Expenses</v>
      </c>
      <c r="R348" s="41">
        <f>R332-R343</f>
        <v>0</v>
      </c>
      <c r="S348" s="41">
        <f t="shared" ref="S348:AC348" si="668">S332-S343</f>
        <v>0</v>
      </c>
      <c r="T348" s="41">
        <f t="shared" si="668"/>
        <v>0</v>
      </c>
      <c r="U348" s="41">
        <f t="shared" si="668"/>
        <v>0</v>
      </c>
      <c r="V348" s="41">
        <f t="shared" si="668"/>
        <v>0</v>
      </c>
      <c r="W348" s="41">
        <f t="shared" si="668"/>
        <v>0</v>
      </c>
      <c r="X348" s="19">
        <f t="shared" si="668"/>
        <v>0</v>
      </c>
      <c r="Y348" s="19">
        <f t="shared" si="668"/>
        <v>0</v>
      </c>
      <c r="Z348" s="19">
        <f t="shared" si="668"/>
        <v>0</v>
      </c>
      <c r="AA348" s="145">
        <f t="shared" si="668"/>
        <v>0</v>
      </c>
      <c r="AB348" s="145">
        <f t="shared" si="668"/>
        <v>0</v>
      </c>
      <c r="AC348" s="145">
        <f t="shared" si="668"/>
        <v>0</v>
      </c>
      <c r="AD348" s="144">
        <f>SUM(R348,S348,T348)</f>
        <v>0</v>
      </c>
      <c r="AE348" s="145">
        <f t="shared" ref="AE348:AE350" si="669">SUM(U348,V348,W348)</f>
        <v>0</v>
      </c>
      <c r="AF348" s="145">
        <f t="shared" ref="AF348:AF350" si="670">SUM(X348,Y348,Z348)</f>
        <v>0</v>
      </c>
      <c r="AG348" s="145">
        <f t="shared" ref="AG348:AG350" si="671">SUM(AA348,AB348,AC348)</f>
        <v>0</v>
      </c>
      <c r="AH348" s="145">
        <f>AD348+AE348</f>
        <v>0</v>
      </c>
      <c r="AI348" s="145">
        <f>AG348+AF348</f>
        <v>0</v>
      </c>
      <c r="AJ348" s="145">
        <f>AH348+AI348</f>
        <v>0</v>
      </c>
      <c r="AL348" s="41">
        <f ca="1">SUM((INDIRECT(AL$2&amp;(ROW())):INDIRECT(AL$3&amp;(ROW()))))</f>
        <v>0</v>
      </c>
      <c r="AM348" s="1275">
        <f ca="1">SUM(INDIRECT(AM$1&amp;AM$2&amp;$C348):INDIRECT(AM$1&amp;AM$3&amp;$C348))</f>
        <v>0</v>
      </c>
      <c r="AN348" s="1276">
        <f t="shared" ca="1" si="631"/>
        <v>0</v>
      </c>
      <c r="AO348" s="1277">
        <f ca="1">IFERROR(AL348/AM348,0)</f>
        <v>0</v>
      </c>
      <c r="AP348" s="135">
        <f ca="1">SUM(INDIRECT(AP$1&amp;AP$2&amp;$A348):INDIRECT(AP$1&amp;AP$3&amp;$A348))+SUM(INDIRECT(AP$1&amp;AP$2&amp;$B348):INDIRECT(AP$1&amp;AP$3&amp;$B348))</f>
        <v>0</v>
      </c>
      <c r="AQ348" s="886">
        <f ca="1">AL348-AP348</f>
        <v>0</v>
      </c>
      <c r="AR348" s="941">
        <f ca="1">IFERROR(AL348/AP348,0)</f>
        <v>0</v>
      </c>
      <c r="AT348" s="41">
        <f ca="1">SUM((INDIRECT(AT$2&amp;(ROW())):INDIRECT(AT$3&amp;(ROW()))))</f>
        <v>0</v>
      </c>
      <c r="AU348" s="1275">
        <f ca="1">SUM(INDIRECT(AU$1&amp;AU$2&amp;$C348):INDIRECT(AU$1&amp;AU$3&amp;$C348))</f>
        <v>0</v>
      </c>
      <c r="AV348" s="1276">
        <f t="shared" ca="1" si="633"/>
        <v>0</v>
      </c>
      <c r="AW348" s="1277">
        <f ca="1">IFERROR(AT348/AU348,0)</f>
        <v>0</v>
      </c>
      <c r="AX348" s="135">
        <f ca="1">SUM(INDIRECT(AX$1&amp;AX$2&amp;$A348):INDIRECT(AX$1&amp;AX$3&amp;$A348))+SUM(INDIRECT(AX$1&amp;AX$2&amp;$B348):INDIRECT(AX$1&amp;AX$3&amp;$B348))</f>
        <v>0</v>
      </c>
      <c r="AY348" s="886">
        <f ca="1">AT348-AX348</f>
        <v>0</v>
      </c>
      <c r="AZ348" s="941">
        <f ca="1">IFERROR(AT348/AX348,0)</f>
        <v>0</v>
      </c>
      <c r="BA348" s="75"/>
      <c r="BB348" s="2097">
        <f ca="1">SUM((INDIRECT(BB$2&amp;(ROW())):INDIRECT(BB$3&amp;(ROW()))))</f>
        <v>0</v>
      </c>
      <c r="BC348" s="135">
        <f ca="1">SUM(INDIRECT(BC$1&amp;BC$2&amp;$C348):INDIRECT(BC$1&amp;BC$3&amp;$C348))</f>
        <v>0</v>
      </c>
      <c r="BD348" s="886">
        <f t="shared" ca="1" si="635"/>
        <v>0</v>
      </c>
      <c r="BE348" s="941">
        <f ca="1">IFERROR(BB348/BC348,0)</f>
        <v>0</v>
      </c>
      <c r="BF348" s="135">
        <f ca="1">SUM(INDIRECT(BF$1&amp;BF$2&amp;$A348):INDIRECT(BF$1&amp;BF$3&amp;$A348))+SUM(INDIRECT(BF$1&amp;BF$2&amp;$B348):INDIRECT(BF$1&amp;BF$3&amp;$B348))</f>
        <v>0</v>
      </c>
      <c r="BG348" s="886">
        <f ca="1">BB348-BF348</f>
        <v>0</v>
      </c>
      <c r="BH348" s="941">
        <f ca="1">IFERROR(BB348/BF348,0)</f>
        <v>0</v>
      </c>
    </row>
    <row r="349" spans="1:60" ht="14.5">
      <c r="A349" s="990">
        <f t="shared" si="663"/>
        <v>322</v>
      </c>
      <c r="B349" s="990">
        <v>1</v>
      </c>
      <c r="C349" s="990">
        <f t="shared" si="644"/>
        <v>346</v>
      </c>
      <c r="D349" s="1121" t="s">
        <v>887</v>
      </c>
      <c r="E349" s="1255">
        <v>1</v>
      </c>
      <c r="F349" s="9"/>
      <c r="G349" s="1241"/>
      <c r="H349" s="5"/>
      <c r="I349" s="5"/>
      <c r="J349" s="4"/>
      <c r="K349" s="30"/>
      <c r="L349" s="30"/>
      <c r="M349" s="40" t="s">
        <v>171</v>
      </c>
      <c r="N349" s="4"/>
      <c r="O349" s="4"/>
      <c r="P349" s="4"/>
      <c r="Q349" s="1851" t="str">
        <f>CHOOSE(2, "6722000003268", "PL (4) CAI Allocation Wages &amp; Salaries")</f>
        <v>PL (4) CAI Allocation Wages &amp; Salaries</v>
      </c>
      <c r="R349" s="41">
        <f t="shared" ref="R349:AC350" si="672">R333-R344</f>
        <v>0</v>
      </c>
      <c r="S349" s="41">
        <f t="shared" si="672"/>
        <v>0</v>
      </c>
      <c r="T349" s="41">
        <f t="shared" si="672"/>
        <v>0</v>
      </c>
      <c r="U349" s="41">
        <f t="shared" si="672"/>
        <v>0</v>
      </c>
      <c r="V349" s="41">
        <f t="shared" si="672"/>
        <v>0</v>
      </c>
      <c r="W349" s="41">
        <f t="shared" si="672"/>
        <v>0</v>
      </c>
      <c r="X349" s="19">
        <f t="shared" si="672"/>
        <v>0</v>
      </c>
      <c r="Y349" s="19">
        <f t="shared" si="672"/>
        <v>0</v>
      </c>
      <c r="Z349" s="19">
        <f t="shared" si="672"/>
        <v>0</v>
      </c>
      <c r="AA349" s="145">
        <f t="shared" si="672"/>
        <v>0</v>
      </c>
      <c r="AB349" s="145">
        <f t="shared" si="672"/>
        <v>0</v>
      </c>
      <c r="AC349" s="145">
        <f t="shared" si="672"/>
        <v>0</v>
      </c>
      <c r="AD349" s="144">
        <f>SUM(R349,S349,T349)</f>
        <v>0</v>
      </c>
      <c r="AE349" s="145">
        <f t="shared" si="669"/>
        <v>0</v>
      </c>
      <c r="AF349" s="145">
        <f t="shared" si="670"/>
        <v>0</v>
      </c>
      <c r="AG349" s="145">
        <f t="shared" si="671"/>
        <v>0</v>
      </c>
      <c r="AH349" s="145">
        <f>AD349+AE349</f>
        <v>0</v>
      </c>
      <c r="AI349" s="145">
        <f>AG349+AF349</f>
        <v>0</v>
      </c>
      <c r="AJ349" s="145">
        <f>AH349+AI349</f>
        <v>0</v>
      </c>
      <c r="AL349" s="41">
        <f ca="1">SUM((INDIRECT(AL$2&amp;(ROW())):INDIRECT(AL$3&amp;(ROW()))))</f>
        <v>0</v>
      </c>
      <c r="AM349" s="1275">
        <f ca="1">SUM(INDIRECT(AM$1&amp;AM$2&amp;$C349):INDIRECT(AM$1&amp;AM$3&amp;$C349))</f>
        <v>0</v>
      </c>
      <c r="AN349" s="1276">
        <f t="shared" ca="1" si="631"/>
        <v>0</v>
      </c>
      <c r="AO349" s="1277">
        <f ca="1">IFERROR(AL349/AM349,0)</f>
        <v>0</v>
      </c>
      <c r="AP349" s="135">
        <f ca="1">SUM(INDIRECT(AP$1&amp;AP$2&amp;$A349):INDIRECT(AP$1&amp;AP$3&amp;$A349))+SUM(INDIRECT(AP$1&amp;AP$2&amp;$B349):INDIRECT(AP$1&amp;AP$3&amp;$B349))</f>
        <v>0</v>
      </c>
      <c r="AQ349" s="886">
        <f ca="1">AL349-AP349</f>
        <v>0</v>
      </c>
      <c r="AR349" s="941">
        <f ca="1">IFERROR(AL349/AP349,0)</f>
        <v>0</v>
      </c>
      <c r="AT349" s="41">
        <f ca="1">SUM((INDIRECT(AT$2&amp;(ROW())):INDIRECT(AT$3&amp;(ROW()))))</f>
        <v>0</v>
      </c>
      <c r="AU349" s="1275">
        <f ca="1">SUM(INDIRECT(AU$1&amp;AU$2&amp;$C349):INDIRECT(AU$1&amp;AU$3&amp;$C349))</f>
        <v>0</v>
      </c>
      <c r="AV349" s="1276">
        <f t="shared" ca="1" si="633"/>
        <v>0</v>
      </c>
      <c r="AW349" s="1277">
        <f ca="1">IFERROR(AT349/AU349,0)</f>
        <v>0</v>
      </c>
      <c r="AX349" s="135">
        <f ca="1">SUM(INDIRECT(AX$1&amp;AX$2&amp;$A349):INDIRECT(AX$1&amp;AX$3&amp;$A349))+SUM(INDIRECT(AX$1&amp;AX$2&amp;$B349):INDIRECT(AX$1&amp;AX$3&amp;$B349))</f>
        <v>0</v>
      </c>
      <c r="AY349" s="886">
        <f ca="1">AT349-AX349</f>
        <v>0</v>
      </c>
      <c r="AZ349" s="941">
        <f ca="1">IFERROR(AT349/AX349,0)</f>
        <v>0</v>
      </c>
      <c r="BA349" s="75"/>
      <c r="BB349" s="2097">
        <f ca="1">SUM((INDIRECT(BB$2&amp;(ROW())):INDIRECT(BB$3&amp;(ROW()))))</f>
        <v>0</v>
      </c>
      <c r="BC349" s="135">
        <f ca="1">SUM(INDIRECT(BC$1&amp;BC$2&amp;$C349):INDIRECT(BC$1&amp;BC$3&amp;$C349))</f>
        <v>0</v>
      </c>
      <c r="BD349" s="886">
        <f t="shared" ca="1" si="635"/>
        <v>0</v>
      </c>
      <c r="BE349" s="941">
        <f ca="1">IFERROR(BB349/BC349,0)</f>
        <v>0</v>
      </c>
      <c r="BF349" s="135">
        <f ca="1">SUM(INDIRECT(BF$1&amp;BF$2&amp;$A349):INDIRECT(BF$1&amp;BF$3&amp;$A349))+SUM(INDIRECT(BF$1&amp;BF$2&amp;$B349):INDIRECT(BF$1&amp;BF$3&amp;$B349))</f>
        <v>0</v>
      </c>
      <c r="BG349" s="886">
        <f ca="1">BB349-BF349</f>
        <v>0</v>
      </c>
      <c r="BH349" s="941">
        <f ca="1">IFERROR(BB349/BF349,0)</f>
        <v>0</v>
      </c>
    </row>
    <row r="350" spans="1:60" ht="14.5">
      <c r="A350" s="990">
        <f t="shared" si="663"/>
        <v>323</v>
      </c>
      <c r="B350" s="990">
        <v>1</v>
      </c>
      <c r="C350" s="990">
        <f t="shared" si="644"/>
        <v>347</v>
      </c>
      <c r="D350" s="1121" t="s">
        <v>887</v>
      </c>
      <c r="E350" s="1255">
        <v>1</v>
      </c>
      <c r="F350" s="9"/>
      <c r="G350" s="1241"/>
      <c r="H350" s="5"/>
      <c r="I350" s="5"/>
      <c r="J350" s="4"/>
      <c r="K350" s="28"/>
      <c r="L350" s="28"/>
      <c r="M350" s="119" t="s">
        <v>172</v>
      </c>
      <c r="N350" s="2"/>
      <c r="O350" s="2"/>
      <c r="P350" s="2"/>
      <c r="Q350" s="1851" t="str">
        <f>CHOOSE(2, "6722000003269", "PL (4) CAI Allocation Fixed Expenses")</f>
        <v>PL (4) CAI Allocation Fixed Expenses</v>
      </c>
      <c r="R350" s="66">
        <f t="shared" si="672"/>
        <v>0</v>
      </c>
      <c r="S350" s="66">
        <f t="shared" si="672"/>
        <v>0</v>
      </c>
      <c r="T350" s="66">
        <f t="shared" si="672"/>
        <v>0</v>
      </c>
      <c r="U350" s="66">
        <f t="shared" si="672"/>
        <v>0</v>
      </c>
      <c r="V350" s="66">
        <f t="shared" si="672"/>
        <v>0</v>
      </c>
      <c r="W350" s="66">
        <f t="shared" si="672"/>
        <v>0</v>
      </c>
      <c r="X350" s="17">
        <f t="shared" si="672"/>
        <v>0</v>
      </c>
      <c r="Y350" s="17">
        <f t="shared" si="672"/>
        <v>0</v>
      </c>
      <c r="Z350" s="17">
        <f t="shared" si="672"/>
        <v>0</v>
      </c>
      <c r="AA350" s="142">
        <f t="shared" si="672"/>
        <v>0</v>
      </c>
      <c r="AB350" s="142">
        <f t="shared" si="672"/>
        <v>0</v>
      </c>
      <c r="AC350" s="142">
        <f t="shared" si="672"/>
        <v>0</v>
      </c>
      <c r="AD350" s="141">
        <f>SUM(R350,S350,T350)</f>
        <v>0</v>
      </c>
      <c r="AE350" s="142">
        <f t="shared" si="669"/>
        <v>0</v>
      </c>
      <c r="AF350" s="142">
        <f t="shared" si="670"/>
        <v>0</v>
      </c>
      <c r="AG350" s="142">
        <f t="shared" si="671"/>
        <v>0</v>
      </c>
      <c r="AH350" s="142">
        <f>AD350+AE350</f>
        <v>0</v>
      </c>
      <c r="AI350" s="142">
        <f>AG350+AF350</f>
        <v>0</v>
      </c>
      <c r="AJ350" s="142">
        <f>AH350+AI350</f>
        <v>0</v>
      </c>
      <c r="AL350" s="66">
        <f ca="1">SUM((INDIRECT(AL$2&amp;(ROW())):INDIRECT(AL$3&amp;(ROW()))))</f>
        <v>0</v>
      </c>
      <c r="AM350" s="92">
        <f ca="1">SUM(INDIRECT(AM$1&amp;AM$2&amp;$C350):INDIRECT(AM$1&amp;AM$3&amp;$C350))</f>
        <v>0</v>
      </c>
      <c r="AN350" s="884">
        <f t="shared" ca="1" si="631"/>
        <v>0</v>
      </c>
      <c r="AO350" s="937">
        <f ca="1">IFERROR(AL350/AM350,0)</f>
        <v>0</v>
      </c>
      <c r="AP350" s="285">
        <f ca="1">SUM(INDIRECT(AP$1&amp;AP$2&amp;$A350):INDIRECT(AP$1&amp;AP$3&amp;$A350))+SUM(INDIRECT(AP$1&amp;AP$2&amp;$B350):INDIRECT(AP$1&amp;AP$3&amp;$B350))</f>
        <v>0</v>
      </c>
      <c r="AQ350" s="889">
        <f ca="1">AL350-AP350</f>
        <v>0</v>
      </c>
      <c r="AR350" s="944">
        <f ca="1">IFERROR(AL350/AP350,0)</f>
        <v>0</v>
      </c>
      <c r="AT350" s="66">
        <f ca="1">SUM((INDIRECT(AT$2&amp;(ROW())):INDIRECT(AT$3&amp;(ROW()))))</f>
        <v>0</v>
      </c>
      <c r="AU350" s="92">
        <f ca="1">SUM(INDIRECT(AU$1&amp;AU$2&amp;$C350):INDIRECT(AU$1&amp;AU$3&amp;$C350))</f>
        <v>0</v>
      </c>
      <c r="AV350" s="884">
        <f t="shared" ca="1" si="633"/>
        <v>0</v>
      </c>
      <c r="AW350" s="937">
        <f ca="1">IFERROR(AT350/AU350,0)</f>
        <v>0</v>
      </c>
      <c r="AX350" s="285">
        <f ca="1">SUM(INDIRECT(AX$1&amp;AX$2&amp;$A350):INDIRECT(AX$1&amp;AX$3&amp;$A350))+SUM(INDIRECT(AX$1&amp;AX$2&amp;$B350):INDIRECT(AX$1&amp;AX$3&amp;$B350))</f>
        <v>0</v>
      </c>
      <c r="AY350" s="889">
        <f ca="1">AT350-AX350</f>
        <v>0</v>
      </c>
      <c r="AZ350" s="944">
        <f ca="1">IFERROR(AT350/AX350,0)</f>
        <v>0</v>
      </c>
      <c r="BA350" s="75"/>
      <c r="BB350" s="2098">
        <f ca="1">SUM((INDIRECT(BB$2&amp;(ROW())):INDIRECT(BB$3&amp;(ROW()))))</f>
        <v>0</v>
      </c>
      <c r="BC350" s="285">
        <f ca="1">SUM(INDIRECT(BC$1&amp;BC$2&amp;$C350):INDIRECT(BC$1&amp;BC$3&amp;$C350))</f>
        <v>0</v>
      </c>
      <c r="BD350" s="889">
        <f t="shared" ca="1" si="635"/>
        <v>0</v>
      </c>
      <c r="BE350" s="944">
        <f ca="1">IFERROR(BB350/BC350,0)</f>
        <v>0</v>
      </c>
      <c r="BF350" s="285">
        <f ca="1">SUM(INDIRECT(BF$1&amp;BF$2&amp;$A350):INDIRECT(BF$1&amp;BF$3&amp;$A350))+SUM(INDIRECT(BF$1&amp;BF$2&amp;$B350):INDIRECT(BF$1&amp;BF$3&amp;$B350))</f>
        <v>0</v>
      </c>
      <c r="BG350" s="889">
        <f ca="1">BB350-BF350</f>
        <v>0</v>
      </c>
      <c r="BH350" s="944">
        <f ca="1">IFERROR(BB350/BF350,0)</f>
        <v>0</v>
      </c>
    </row>
    <row r="351" spans="1:60" ht="14.5">
      <c r="A351" s="990">
        <f t="shared" si="663"/>
        <v>324</v>
      </c>
      <c r="B351" s="990">
        <v>1</v>
      </c>
      <c r="C351" s="990">
        <f t="shared" si="644"/>
        <v>348</v>
      </c>
      <c r="D351" s="1121" t="s">
        <v>887</v>
      </c>
      <c r="E351" s="1243">
        <v>1</v>
      </c>
      <c r="F351" s="5"/>
      <c r="G351" s="5"/>
      <c r="H351" s="5"/>
      <c r="I351" s="5"/>
      <c r="J351" s="4"/>
      <c r="K351" s="5"/>
      <c r="L351" s="5"/>
      <c r="M351" s="4"/>
      <c r="N351" s="4"/>
      <c r="O351" s="4"/>
      <c r="P351" s="4"/>
      <c r="Q351" s="1839" t="str">
        <f>CHOOSE(2, "6722000003270", "▷ Blank 15")</f>
        <v>▷ Blank 15</v>
      </c>
      <c r="R351" s="2225"/>
      <c r="S351" s="1151"/>
      <c r="T351" s="1151"/>
      <c r="U351" s="1151"/>
      <c r="V351" s="1151"/>
      <c r="W351" s="1151"/>
      <c r="AA351" s="163"/>
      <c r="AB351" s="163"/>
      <c r="AC351" s="163"/>
      <c r="AD351" s="163"/>
      <c r="AE351" s="163"/>
      <c r="AF351" s="163"/>
      <c r="AG351" s="163"/>
      <c r="AH351" s="163"/>
      <c r="AI351" s="163"/>
      <c r="AJ351" s="868"/>
      <c r="AL351" s="163"/>
      <c r="AM351" s="163"/>
      <c r="AN351" s="163"/>
      <c r="AO351" s="163"/>
      <c r="AP351" s="163"/>
      <c r="AQ351" s="163"/>
      <c r="AR351" s="163"/>
      <c r="AT351" s="163"/>
      <c r="AU351" s="163"/>
      <c r="AV351" s="163"/>
      <c r="AW351" s="163"/>
      <c r="AX351" s="163"/>
      <c r="AY351" s="163"/>
      <c r="AZ351" s="163"/>
      <c r="BB351" s="163"/>
      <c r="BC351" s="163"/>
      <c r="BD351" s="163"/>
      <c r="BE351" s="163"/>
      <c r="BF351" s="163"/>
      <c r="BG351" s="163"/>
      <c r="BH351" s="163"/>
    </row>
    <row r="352" spans="1:60" ht="14.5">
      <c r="A352" s="990">
        <f t="shared" si="663"/>
        <v>325</v>
      </c>
      <c r="B352" s="990">
        <v>1</v>
      </c>
      <c r="C352" s="990">
        <f t="shared" si="644"/>
        <v>349</v>
      </c>
      <c r="D352" s="1121" t="s">
        <v>887</v>
      </c>
      <c r="E352" s="1255">
        <v>1</v>
      </c>
      <c r="F352" s="9"/>
      <c r="G352" s="5"/>
      <c r="H352" s="5" t="s">
        <v>922</v>
      </c>
      <c r="I352" s="5"/>
      <c r="J352" s="4"/>
      <c r="K352" s="5"/>
      <c r="L352" s="5"/>
      <c r="M352" s="4"/>
      <c r="N352" s="4"/>
      <c r="O352" s="4"/>
      <c r="P352" s="4"/>
      <c r="Q352" s="1839" t="str">
        <f>CHOOSE(2, "6722000003271", "PL (5) DW-DX")</f>
        <v>PL (5) DW-DX</v>
      </c>
      <c r="R352" s="2225"/>
      <c r="S352" s="2225"/>
      <c r="T352" s="2225"/>
      <c r="U352" s="2225"/>
      <c r="V352" s="2225"/>
      <c r="W352" s="2225"/>
      <c r="AB352" s="1"/>
      <c r="AC352" s="1"/>
      <c r="AD352" s="1"/>
      <c r="AE352" s="1"/>
      <c r="AF352" s="1"/>
      <c r="AG352" s="1"/>
      <c r="AH352" s="1"/>
      <c r="AI352" s="1"/>
      <c r="AJ352" s="1"/>
      <c r="AL352" s="1"/>
      <c r="AM352" s="1"/>
      <c r="AN352" s="1"/>
      <c r="AO352" s="1"/>
      <c r="AP352" s="1"/>
      <c r="AQ352" s="1"/>
      <c r="AR352" s="1"/>
      <c r="AT352" s="1"/>
      <c r="AU352" s="1"/>
      <c r="AV352" s="1"/>
      <c r="AW352" s="1"/>
      <c r="AX352" s="1"/>
      <c r="AY352" s="1"/>
      <c r="AZ352" s="1"/>
      <c r="BB352" s="1"/>
      <c r="BC352" s="1"/>
      <c r="BD352" s="1"/>
      <c r="BE352" s="1"/>
      <c r="BF352" s="1"/>
      <c r="BG352" s="1"/>
      <c r="BH352" s="1"/>
    </row>
    <row r="353" spans="1:60" ht="14.5">
      <c r="A353" s="990">
        <f t="shared" si="663"/>
        <v>326</v>
      </c>
      <c r="B353" s="990">
        <v>1</v>
      </c>
      <c r="C353" s="990">
        <f t="shared" si="644"/>
        <v>350</v>
      </c>
      <c r="D353" s="1121" t="s">
        <v>887</v>
      </c>
      <c r="E353" s="1243">
        <v>1</v>
      </c>
      <c r="F353" s="5"/>
      <c r="G353" s="5"/>
      <c r="H353" s="5"/>
      <c r="I353" s="409" t="s">
        <v>9</v>
      </c>
      <c r="J353" s="417"/>
      <c r="K353" s="405"/>
      <c r="L353" s="405"/>
      <c r="M353" s="405"/>
      <c r="N353" s="405"/>
      <c r="O353" s="635" t="s">
        <v>530</v>
      </c>
      <c r="P353" s="580"/>
      <c r="Q353" s="1866" t="str">
        <f>CHOOSE(2, "6722000003272", "PL (5) Net Sales")</f>
        <v>PL (5) Net Sales</v>
      </c>
      <c r="R353" s="2063">
        <f>SUM(R354,R358)</f>
        <v>360</v>
      </c>
      <c r="S353" s="2004">
        <f t="shared" ref="S353:AC353" si="673">SUM(S354,S358)</f>
        <v>263</v>
      </c>
      <c r="T353" s="2004">
        <f t="shared" si="673"/>
        <v>439</v>
      </c>
      <c r="U353" s="2004">
        <f t="shared" si="673"/>
        <v>922</v>
      </c>
      <c r="V353" s="2004">
        <f t="shared" si="673"/>
        <v>3555</v>
      </c>
      <c r="W353" s="2004">
        <f t="shared" si="673"/>
        <v>44</v>
      </c>
      <c r="X353" s="2004">
        <f t="shared" si="673"/>
        <v>708</v>
      </c>
      <c r="Y353" s="2004">
        <f t="shared" si="673"/>
        <v>500</v>
      </c>
      <c r="Z353" s="2004">
        <f t="shared" si="673"/>
        <v>0</v>
      </c>
      <c r="AA353" s="2004">
        <f t="shared" si="673"/>
        <v>554</v>
      </c>
      <c r="AB353" s="2004">
        <f t="shared" si="673"/>
        <v>843</v>
      </c>
      <c r="AC353" s="2004">
        <f t="shared" si="673"/>
        <v>281</v>
      </c>
      <c r="AD353" s="678">
        <f t="shared" ref="AD353:AJ353" si="674">SUM(AD354,AD358)</f>
        <v>1062</v>
      </c>
      <c r="AE353" s="101">
        <f t="shared" si="674"/>
        <v>4521</v>
      </c>
      <c r="AF353" s="101">
        <f t="shared" si="674"/>
        <v>1208</v>
      </c>
      <c r="AG353" s="101">
        <f t="shared" si="674"/>
        <v>1678</v>
      </c>
      <c r="AH353" s="101">
        <f t="shared" si="674"/>
        <v>5583</v>
      </c>
      <c r="AI353" s="101">
        <f t="shared" si="674"/>
        <v>2886</v>
      </c>
      <c r="AJ353" s="101">
        <f t="shared" si="674"/>
        <v>8469</v>
      </c>
      <c r="AL353" s="2063">
        <f ca="1">SUM((INDIRECT(AL$2&amp;(ROW())):INDIRECT(AL$3&amp;(ROW()))))</f>
        <v>281</v>
      </c>
      <c r="AM353" s="101">
        <f ca="1">SUM(INDIRECT(AM$1&amp;AM$2&amp;$C353):INDIRECT(AM$1&amp;AM$3&amp;$C353))</f>
        <v>0</v>
      </c>
      <c r="AN353" s="2522">
        <f t="shared" ref="AN353:AN396" ca="1" si="675">AL353-AM353</f>
        <v>281</v>
      </c>
      <c r="AO353" s="1719">
        <f t="shared" ref="AO353:AO371" ca="1" si="676">IFERROR(AL353/AM353,0)</f>
        <v>0</v>
      </c>
      <c r="AP353" s="2523">
        <f ca="1">SUM(AP354,AP358)</f>
        <v>62</v>
      </c>
      <c r="AQ353" s="2522">
        <f t="shared" ref="AQ353:AQ396" ca="1" si="677">AL353-AP353</f>
        <v>219</v>
      </c>
      <c r="AR353" s="1719">
        <f t="shared" ref="AR353:AR371" ca="1" si="678">IFERROR(AL353/AP353,0)</f>
        <v>4.532258064516129</v>
      </c>
      <c r="AT353" s="2063">
        <f ca="1">SUM((INDIRECT(AT$2&amp;(ROW())):INDIRECT(AT$3&amp;(ROW()))))</f>
        <v>1678</v>
      </c>
      <c r="AU353" s="101">
        <f ca="1">SUM(INDIRECT(AU$1&amp;AU$2&amp;$C353):INDIRECT(AU$1&amp;AU$3&amp;$C353))</f>
        <v>0</v>
      </c>
      <c r="AV353" s="2522">
        <f t="shared" ref="AV353:AV396" ca="1" si="679">AT353-AU353</f>
        <v>1678</v>
      </c>
      <c r="AW353" s="1719">
        <f t="shared" ref="AW353:AW371" ca="1" si="680">IFERROR(AT353/AU353,0)</f>
        <v>0</v>
      </c>
      <c r="AX353" s="2523">
        <f ca="1">SUM(AX354,AX358)</f>
        <v>400</v>
      </c>
      <c r="AY353" s="2522">
        <f t="shared" ref="AY353:AY396" ca="1" si="681">AT353-AX353</f>
        <v>1278</v>
      </c>
      <c r="AZ353" s="1719">
        <f t="shared" ref="AZ353:AZ371" ca="1" si="682">IFERROR(AT353/AX353,0)</f>
        <v>4.1950000000000003</v>
      </c>
      <c r="BB353" s="2063">
        <f ca="1">SUM((INDIRECT(BB$2&amp;(ROW())):INDIRECT(BB$3&amp;(ROW()))))</f>
        <v>8469</v>
      </c>
      <c r="BC353" s="101">
        <f ca="1">SUM(INDIRECT(BC$1&amp;BC$2&amp;$C353):INDIRECT(BC$1&amp;BC$3&amp;$C353))</f>
        <v>0</v>
      </c>
      <c r="BD353" s="2522">
        <f t="shared" ref="BD353:BD396" ca="1" si="683">BB353-BC353</f>
        <v>8469</v>
      </c>
      <c r="BE353" s="1719">
        <f t="shared" ref="BE353:BE371" ca="1" si="684">IFERROR(BB353/BC353,0)</f>
        <v>0</v>
      </c>
      <c r="BF353" s="2523">
        <f ca="1">SUM(BF354,BF358)</f>
        <v>3469</v>
      </c>
      <c r="BG353" s="2522">
        <f t="shared" ref="BG353:BG396" ca="1" si="685">BB353-BF353</f>
        <v>5000</v>
      </c>
      <c r="BH353" s="1719">
        <f t="shared" ref="BH353:BH371" ca="1" si="686">IFERROR(BB353/BF353,0)</f>
        <v>2.4413375612568462</v>
      </c>
    </row>
    <row r="354" spans="1:60" s="75" customFormat="1" ht="14.5">
      <c r="A354" s="990"/>
      <c r="B354" s="990">
        <v>1</v>
      </c>
      <c r="C354" s="990">
        <f t="shared" si="644"/>
        <v>351</v>
      </c>
      <c r="D354" s="1121" t="s">
        <v>887</v>
      </c>
      <c r="E354" s="1292" t="s">
        <v>1407</v>
      </c>
      <c r="F354" s="1757"/>
      <c r="G354" s="5"/>
      <c r="H354" s="5"/>
      <c r="I354" s="1348"/>
      <c r="J354" s="1758" t="s">
        <v>1405</v>
      </c>
      <c r="K354" s="1758"/>
      <c r="L354" s="1759"/>
      <c r="M354" s="1759"/>
      <c r="N354" s="1759"/>
      <c r="O354" s="1760"/>
      <c r="P354" s="1759"/>
      <c r="Q354" s="1867" t="str">
        <f>CHOOSE(2, "6722000003273", "PL (5) Net Sales ITS")</f>
        <v>PL (5) Net Sales ITS</v>
      </c>
      <c r="R354" s="2316">
        <f>SUM(R355:R357)</f>
        <v>360</v>
      </c>
      <c r="S354" s="1761">
        <f t="shared" ref="S354:AC354" si="687">SUM(S355:S357)</f>
        <v>263</v>
      </c>
      <c r="T354" s="1761">
        <f t="shared" si="687"/>
        <v>439</v>
      </c>
      <c r="U354" s="1761">
        <f t="shared" si="687"/>
        <v>922</v>
      </c>
      <c r="V354" s="1761">
        <f t="shared" si="687"/>
        <v>3555</v>
      </c>
      <c r="W354" s="1761">
        <f t="shared" si="687"/>
        <v>44</v>
      </c>
      <c r="X354" s="1761">
        <f t="shared" si="687"/>
        <v>708</v>
      </c>
      <c r="Y354" s="1761">
        <f t="shared" si="687"/>
        <v>500</v>
      </c>
      <c r="Z354" s="1761">
        <f t="shared" si="687"/>
        <v>0</v>
      </c>
      <c r="AA354" s="1761">
        <f t="shared" si="687"/>
        <v>554</v>
      </c>
      <c r="AB354" s="1761">
        <f t="shared" si="687"/>
        <v>843</v>
      </c>
      <c r="AC354" s="1761">
        <f t="shared" si="687"/>
        <v>281</v>
      </c>
      <c r="AD354" s="1761">
        <f t="shared" ref="AD354:AJ354" si="688">SUM(AD355:AD357)</f>
        <v>1062</v>
      </c>
      <c r="AE354" s="1761">
        <f t="shared" si="688"/>
        <v>4521</v>
      </c>
      <c r="AF354" s="1761">
        <f t="shared" si="688"/>
        <v>1208</v>
      </c>
      <c r="AG354" s="1761">
        <f t="shared" si="688"/>
        <v>1678</v>
      </c>
      <c r="AH354" s="1761">
        <f t="shared" si="688"/>
        <v>5583</v>
      </c>
      <c r="AI354" s="1761">
        <f t="shared" si="688"/>
        <v>2886</v>
      </c>
      <c r="AJ354" s="1761">
        <f t="shared" si="688"/>
        <v>8469</v>
      </c>
      <c r="AL354" s="1793">
        <f ca="1">SUM(AL355:AL357)</f>
        <v>281</v>
      </c>
      <c r="AM354" s="1794">
        <f ca="1">SUM(AM355:AM357)</f>
        <v>0</v>
      </c>
      <c r="AN354" s="1795">
        <f t="shared" ca="1" si="675"/>
        <v>281</v>
      </c>
      <c r="AO354" s="1796">
        <f t="shared" ca="1" si="676"/>
        <v>0</v>
      </c>
      <c r="AP354" s="1794">
        <f ca="1">SUM(AP355:AP357)</f>
        <v>62</v>
      </c>
      <c r="AQ354" s="1795">
        <f t="shared" ca="1" si="677"/>
        <v>219</v>
      </c>
      <c r="AR354" s="1796">
        <f t="shared" ca="1" si="678"/>
        <v>4.532258064516129</v>
      </c>
      <c r="AT354" s="1793">
        <f ca="1">SUM(AT355:AT357)</f>
        <v>1678</v>
      </c>
      <c r="AU354" s="1794">
        <f ca="1">SUM(AU355:AU357)</f>
        <v>0</v>
      </c>
      <c r="AV354" s="1795">
        <f t="shared" ca="1" si="679"/>
        <v>1678</v>
      </c>
      <c r="AW354" s="1796">
        <f t="shared" ca="1" si="680"/>
        <v>0</v>
      </c>
      <c r="AX354" s="1794">
        <f ca="1">SUM(AX355:AX357)</f>
        <v>400</v>
      </c>
      <c r="AY354" s="1795">
        <f t="shared" ca="1" si="681"/>
        <v>1278</v>
      </c>
      <c r="AZ354" s="1796">
        <f t="shared" ca="1" si="682"/>
        <v>4.1950000000000003</v>
      </c>
      <c r="BB354" s="1793">
        <f ca="1">SUM(BB355:BB357)</f>
        <v>8469</v>
      </c>
      <c r="BC354" s="1794">
        <f ca="1">SUM(BC355:BC357)</f>
        <v>0</v>
      </c>
      <c r="BD354" s="1795">
        <f t="shared" ca="1" si="683"/>
        <v>8469</v>
      </c>
      <c r="BE354" s="1796">
        <f t="shared" ca="1" si="684"/>
        <v>0</v>
      </c>
      <c r="BF354" s="1794">
        <f ca="1">SUM(BF355:BF357)</f>
        <v>3469</v>
      </c>
      <c r="BG354" s="1795">
        <f t="shared" ca="1" si="685"/>
        <v>5000</v>
      </c>
      <c r="BH354" s="1796">
        <f t="shared" ca="1" si="686"/>
        <v>2.4413375612568462</v>
      </c>
    </row>
    <row r="355" spans="1:60" ht="14.5">
      <c r="A355" s="1397">
        <v>327</v>
      </c>
      <c r="B355" s="990">
        <v>1</v>
      </c>
      <c r="C355" s="990">
        <f t="shared" si="644"/>
        <v>352</v>
      </c>
      <c r="D355" s="1121" t="s">
        <v>887</v>
      </c>
      <c r="E355" s="1463" t="s">
        <v>1262</v>
      </c>
      <c r="F355" s="1459"/>
      <c r="G355" s="5"/>
      <c r="H355" s="5"/>
      <c r="I355" s="613"/>
      <c r="J355" s="4"/>
      <c r="K355" s="4" t="s">
        <v>779</v>
      </c>
      <c r="L355" s="9"/>
      <c r="N355" s="4"/>
      <c r="O355" s="4"/>
      <c r="P355" s="4"/>
      <c r="Q355" s="1854" t="str">
        <f>CHOOSE(2, "6722000003274", "PL (5) Net Sales ITS IMS")</f>
        <v>PL (5) Net Sales ITS IMS</v>
      </c>
      <c r="R355" s="13">
        <f t="shared" ref="R355:AC355" si="689">R756+R787</f>
        <v>0</v>
      </c>
      <c r="S355" s="89">
        <f t="shared" si="689"/>
        <v>0</v>
      </c>
      <c r="T355" s="89">
        <f t="shared" si="689"/>
        <v>0</v>
      </c>
      <c r="U355" s="89">
        <f t="shared" si="689"/>
        <v>510</v>
      </c>
      <c r="V355" s="89">
        <f t="shared" si="689"/>
        <v>0</v>
      </c>
      <c r="W355" s="89">
        <f t="shared" si="689"/>
        <v>0</v>
      </c>
      <c r="X355" s="89">
        <f t="shared" si="689"/>
        <v>510</v>
      </c>
      <c r="Y355" s="89">
        <f t="shared" si="689"/>
        <v>0</v>
      </c>
      <c r="Z355" s="89">
        <f t="shared" si="689"/>
        <v>0</v>
      </c>
      <c r="AA355" s="89">
        <f t="shared" si="689"/>
        <v>510</v>
      </c>
      <c r="AB355" s="89">
        <f t="shared" si="689"/>
        <v>0</v>
      </c>
      <c r="AC355" s="89">
        <f t="shared" si="689"/>
        <v>0</v>
      </c>
      <c r="AD355" s="89">
        <f>SUM(R355,S355,T355)</f>
        <v>0</v>
      </c>
      <c r="AE355" s="89">
        <f t="shared" ref="AE355:AE361" si="690">SUM(U355,V355,W355)</f>
        <v>510</v>
      </c>
      <c r="AF355" s="89">
        <f t="shared" ref="AF355:AF361" si="691">SUM(X355,Y355,Z355)</f>
        <v>510</v>
      </c>
      <c r="AG355" s="89">
        <f t="shared" ref="AG355:AG361" si="692">SUM(AA355,AB355,AC355)</f>
        <v>510</v>
      </c>
      <c r="AH355" s="89">
        <f t="shared" ref="AH355:AH361" si="693">AD355+AE355</f>
        <v>510</v>
      </c>
      <c r="AI355" s="89">
        <f t="shared" ref="AI355:AI361" si="694">AG355+AF355</f>
        <v>1020</v>
      </c>
      <c r="AJ355" s="89">
        <f t="shared" ref="AJ355:AJ361" si="695">AH355+AI355</f>
        <v>1530</v>
      </c>
      <c r="AL355" s="13">
        <f ca="1">SUM((INDIRECT(AL$2&amp;(ROW())):INDIRECT(AL$3&amp;(ROW()))))</f>
        <v>0</v>
      </c>
      <c r="AM355" s="89">
        <f ca="1">SUM(INDIRECT(AM$1&amp;AM$2&amp;$C355):INDIRECT(AM$1&amp;AM$3&amp;$C355))</f>
        <v>0</v>
      </c>
      <c r="AN355" s="880">
        <f t="shared" ca="1" si="675"/>
        <v>0</v>
      </c>
      <c r="AO355" s="931">
        <f t="shared" ca="1" si="676"/>
        <v>0</v>
      </c>
      <c r="AP355" s="89">
        <f ca="1">SUM(INDIRECT(AP$1&amp;AP$2&amp;$A355):INDIRECT(AP$1&amp;AP$3&amp;$A355))+SUM(INDIRECT(AP$1&amp;AP$2&amp;$B355):INDIRECT(AP$1&amp;AP$3&amp;$B355))</f>
        <v>0</v>
      </c>
      <c r="AQ355" s="880">
        <f t="shared" ca="1" si="677"/>
        <v>0</v>
      </c>
      <c r="AR355" s="931">
        <f t="shared" ca="1" si="678"/>
        <v>0</v>
      </c>
      <c r="AT355" s="13">
        <f ca="1">SUM((INDIRECT(AT$2&amp;(ROW())):INDIRECT(AT$3&amp;(ROW()))))</f>
        <v>510</v>
      </c>
      <c r="AU355" s="89">
        <f ca="1">SUM(INDIRECT(AU$1&amp;AU$2&amp;$C355):INDIRECT(AU$1&amp;AU$3&amp;$C355))</f>
        <v>0</v>
      </c>
      <c r="AV355" s="880">
        <f t="shared" ca="1" si="679"/>
        <v>510</v>
      </c>
      <c r="AW355" s="931">
        <f t="shared" ca="1" si="680"/>
        <v>0</v>
      </c>
      <c r="AX355" s="89">
        <f ca="1">SUM(INDIRECT(AX$1&amp;AX$2&amp;$A355):INDIRECT(AX$1&amp;AX$3&amp;$A355))+SUM(INDIRECT(AX$1&amp;AX$2&amp;$B355):INDIRECT(AX$1&amp;AX$3&amp;$B355))</f>
        <v>0</v>
      </c>
      <c r="AY355" s="880">
        <f t="shared" ca="1" si="681"/>
        <v>510</v>
      </c>
      <c r="AZ355" s="931">
        <f t="shared" ca="1" si="682"/>
        <v>0</v>
      </c>
      <c r="BB355" s="13">
        <f ca="1">SUM((INDIRECT(BB$2&amp;(ROW())):INDIRECT(BB$3&amp;(ROW()))))</f>
        <v>1530</v>
      </c>
      <c r="BC355" s="89">
        <f ca="1">SUM(INDIRECT(BC$1&amp;BC$2&amp;$C355):INDIRECT(BC$1&amp;BC$3&amp;$C355))</f>
        <v>0</v>
      </c>
      <c r="BD355" s="880">
        <f t="shared" ca="1" si="683"/>
        <v>1530</v>
      </c>
      <c r="BE355" s="931">
        <f t="shared" ca="1" si="684"/>
        <v>0</v>
      </c>
      <c r="BF355" s="89">
        <f ca="1">SUM(INDIRECT(BF$1&amp;BF$2&amp;$A355):INDIRECT(BF$1&amp;BF$3&amp;$A355))+SUM(INDIRECT(BF$1&amp;BF$2&amp;$B355):INDIRECT(BF$1&amp;BF$3&amp;$B355))</f>
        <v>60</v>
      </c>
      <c r="BG355" s="880">
        <f t="shared" ca="1" si="685"/>
        <v>1470</v>
      </c>
      <c r="BH355" s="931">
        <f t="shared" ca="1" si="686"/>
        <v>25.5</v>
      </c>
    </row>
    <row r="356" spans="1:60" ht="14.5">
      <c r="A356" s="990">
        <f>A359+1</f>
        <v>329</v>
      </c>
      <c r="B356" s="990">
        <v>1</v>
      </c>
      <c r="C356" s="990">
        <f t="shared" si="644"/>
        <v>353</v>
      </c>
      <c r="D356" s="1121" t="s">
        <v>887</v>
      </c>
      <c r="E356" s="1463" t="s">
        <v>1262</v>
      </c>
      <c r="F356" s="1459"/>
      <c r="G356" s="5"/>
      <c r="H356" s="5"/>
      <c r="I356" s="613"/>
      <c r="J356" s="4"/>
      <c r="K356" s="4" t="s">
        <v>780</v>
      </c>
      <c r="L356" s="9"/>
      <c r="N356" s="4"/>
      <c r="O356" s="4"/>
      <c r="P356" s="4"/>
      <c r="Q356" s="1854" t="str">
        <f>CHOOSE(2, "6722000003275", "PL (5) Net Sales ITS MCS")</f>
        <v>PL (5) Net Sales ITS MCS</v>
      </c>
      <c r="R356" s="13">
        <f t="shared" ref="R356:AC356" si="696">R766+R789</f>
        <v>360</v>
      </c>
      <c r="S356" s="89">
        <f t="shared" si="696"/>
        <v>263</v>
      </c>
      <c r="T356" s="89">
        <f t="shared" si="696"/>
        <v>439</v>
      </c>
      <c r="U356" s="89">
        <f t="shared" si="696"/>
        <v>412</v>
      </c>
      <c r="V356" s="89">
        <f t="shared" si="696"/>
        <v>3555</v>
      </c>
      <c r="W356" s="89">
        <f t="shared" si="696"/>
        <v>44</v>
      </c>
      <c r="X356" s="89">
        <f t="shared" si="696"/>
        <v>198</v>
      </c>
      <c r="Y356" s="89">
        <f t="shared" si="696"/>
        <v>500</v>
      </c>
      <c r="Z356" s="89">
        <f t="shared" si="696"/>
        <v>0</v>
      </c>
      <c r="AA356" s="89">
        <f t="shared" si="696"/>
        <v>44</v>
      </c>
      <c r="AB356" s="89">
        <f t="shared" si="696"/>
        <v>843</v>
      </c>
      <c r="AC356" s="89">
        <f t="shared" si="696"/>
        <v>281</v>
      </c>
      <c r="AD356" s="89">
        <f>SUM(R356,S356,T356)</f>
        <v>1062</v>
      </c>
      <c r="AE356" s="89">
        <f t="shared" si="690"/>
        <v>4011</v>
      </c>
      <c r="AF356" s="89">
        <f t="shared" si="691"/>
        <v>698</v>
      </c>
      <c r="AG356" s="89">
        <f t="shared" si="692"/>
        <v>1168</v>
      </c>
      <c r="AH356" s="89">
        <f t="shared" si="693"/>
        <v>5073</v>
      </c>
      <c r="AI356" s="89">
        <f t="shared" si="694"/>
        <v>1866</v>
      </c>
      <c r="AJ356" s="89">
        <f t="shared" si="695"/>
        <v>6939</v>
      </c>
      <c r="AL356" s="13">
        <f ca="1">SUM((INDIRECT(AL$2&amp;(ROW())):INDIRECT(AL$3&amp;(ROW()))))</f>
        <v>281</v>
      </c>
      <c r="AM356" s="89">
        <f ca="1">SUM(INDIRECT(AM$1&amp;AM$2&amp;$C356):INDIRECT(AM$1&amp;AM$3&amp;$C356))</f>
        <v>0</v>
      </c>
      <c r="AN356" s="880">
        <f t="shared" ca="1" si="675"/>
        <v>281</v>
      </c>
      <c r="AO356" s="931">
        <f t="shared" ca="1" si="676"/>
        <v>0</v>
      </c>
      <c r="AP356" s="89">
        <f ca="1">SUM(INDIRECT(AP$1&amp;AP$2&amp;$A356):INDIRECT(AP$1&amp;AP$3&amp;$A356))+SUM(INDIRECT(AP$1&amp;AP$2&amp;$B356):INDIRECT(AP$1&amp;AP$3&amp;$B356))</f>
        <v>62</v>
      </c>
      <c r="AQ356" s="880">
        <f t="shared" ca="1" si="677"/>
        <v>219</v>
      </c>
      <c r="AR356" s="931">
        <f t="shared" ca="1" si="678"/>
        <v>4.532258064516129</v>
      </c>
      <c r="AT356" s="13">
        <f ca="1">SUM((INDIRECT(AT$2&amp;(ROW())):INDIRECT(AT$3&amp;(ROW()))))</f>
        <v>1168</v>
      </c>
      <c r="AU356" s="89">
        <f ca="1">SUM(INDIRECT(AU$1&amp;AU$2&amp;$C356):INDIRECT(AU$1&amp;AU$3&amp;$C356))</f>
        <v>0</v>
      </c>
      <c r="AV356" s="880">
        <f t="shared" ca="1" si="679"/>
        <v>1168</v>
      </c>
      <c r="AW356" s="931">
        <f t="shared" ca="1" si="680"/>
        <v>0</v>
      </c>
      <c r="AX356" s="89">
        <f ca="1">SUM(INDIRECT(AX$1&amp;AX$2&amp;$A356):INDIRECT(AX$1&amp;AX$3&amp;$A356))+SUM(INDIRECT(AX$1&amp;AX$2&amp;$B356):INDIRECT(AX$1&amp;AX$3&amp;$B356))</f>
        <v>400</v>
      </c>
      <c r="AY356" s="880">
        <f t="shared" ca="1" si="681"/>
        <v>768</v>
      </c>
      <c r="AZ356" s="931">
        <f t="shared" ca="1" si="682"/>
        <v>2.92</v>
      </c>
      <c r="BB356" s="13">
        <f ca="1">SUM((INDIRECT(BB$2&amp;(ROW())):INDIRECT(BB$3&amp;(ROW()))))</f>
        <v>6939</v>
      </c>
      <c r="BC356" s="89">
        <f ca="1">SUM(INDIRECT(BC$1&amp;BC$2&amp;$C356):INDIRECT(BC$1&amp;BC$3&amp;$C356))</f>
        <v>0</v>
      </c>
      <c r="BD356" s="880">
        <f t="shared" ca="1" si="683"/>
        <v>6939</v>
      </c>
      <c r="BE356" s="931">
        <f t="shared" ca="1" si="684"/>
        <v>0</v>
      </c>
      <c r="BF356" s="89">
        <f ca="1">SUM(INDIRECT(BF$1&amp;BF$2&amp;$A356):INDIRECT(BF$1&amp;BF$3&amp;$A356))+SUM(INDIRECT(BF$1&amp;BF$2&amp;$B356):INDIRECT(BF$1&amp;BF$3&amp;$B356))</f>
        <v>3409</v>
      </c>
      <c r="BG356" s="880">
        <f t="shared" ca="1" si="685"/>
        <v>3530</v>
      </c>
      <c r="BH356" s="931">
        <f t="shared" ca="1" si="686"/>
        <v>2.0354942798474625</v>
      </c>
    </row>
    <row r="357" spans="1:60" ht="14.5">
      <c r="A357" s="990">
        <f>A356+1</f>
        <v>330</v>
      </c>
      <c r="B357" s="990">
        <v>1</v>
      </c>
      <c r="C357" s="990">
        <f t="shared" si="644"/>
        <v>354</v>
      </c>
      <c r="D357" s="1121" t="s">
        <v>887</v>
      </c>
      <c r="E357" s="1463" t="s">
        <v>1262</v>
      </c>
      <c r="F357" s="1459"/>
      <c r="G357" s="5"/>
      <c r="H357" s="5"/>
      <c r="I357" s="613"/>
      <c r="J357" s="51"/>
      <c r="K357" s="51" t="s">
        <v>1157</v>
      </c>
      <c r="L357" s="363"/>
      <c r="M357" s="363"/>
      <c r="N357" s="51"/>
      <c r="O357" s="51"/>
      <c r="P357" s="51"/>
      <c r="Q357" s="1854" t="str">
        <f>CHOOSE(2, "6722000003276", "PL (5) Net Sales ITS BPS")</f>
        <v>PL (5) Net Sales ITS BPS</v>
      </c>
      <c r="R357" s="2061">
        <f t="shared" ref="R357:AC357" si="697">R771+R790</f>
        <v>0</v>
      </c>
      <c r="S357" s="134">
        <f t="shared" si="697"/>
        <v>0</v>
      </c>
      <c r="T357" s="134">
        <f t="shared" si="697"/>
        <v>0</v>
      </c>
      <c r="U357" s="134">
        <f t="shared" si="697"/>
        <v>0</v>
      </c>
      <c r="V357" s="134">
        <f t="shared" si="697"/>
        <v>0</v>
      </c>
      <c r="W357" s="134">
        <f t="shared" si="697"/>
        <v>0</v>
      </c>
      <c r="X357" s="134">
        <f t="shared" si="697"/>
        <v>0</v>
      </c>
      <c r="Y357" s="134">
        <f t="shared" si="697"/>
        <v>0</v>
      </c>
      <c r="Z357" s="134">
        <f t="shared" si="697"/>
        <v>0</v>
      </c>
      <c r="AA357" s="134">
        <f t="shared" si="697"/>
        <v>0</v>
      </c>
      <c r="AB357" s="134">
        <f t="shared" si="697"/>
        <v>0</v>
      </c>
      <c r="AC357" s="134">
        <f t="shared" si="697"/>
        <v>0</v>
      </c>
      <c r="AD357" s="134">
        <f>SUM(R357,S357,T357)</f>
        <v>0</v>
      </c>
      <c r="AE357" s="134">
        <f t="shared" ref="AE357:AE360" si="698">SUM(U357,V357,W357)</f>
        <v>0</v>
      </c>
      <c r="AF357" s="134">
        <f t="shared" ref="AF357:AF360" si="699">SUM(X357,Y357,Z357)</f>
        <v>0</v>
      </c>
      <c r="AG357" s="134">
        <f t="shared" ref="AG357:AG360" si="700">SUM(AA357,AB357,AC357)</f>
        <v>0</v>
      </c>
      <c r="AH357" s="134">
        <f t="shared" si="693"/>
        <v>0</v>
      </c>
      <c r="AI357" s="134">
        <f t="shared" si="694"/>
        <v>0</v>
      </c>
      <c r="AJ357" s="134">
        <f t="shared" si="695"/>
        <v>0</v>
      </c>
      <c r="AL357" s="13">
        <f ca="1">SUM((INDIRECT(AL$2&amp;(ROW())):INDIRECT(AL$3&amp;(ROW()))))</f>
        <v>0</v>
      </c>
      <c r="AM357" s="89">
        <f ca="1">SUM(INDIRECT(AM$1&amp;AM$2&amp;$C357):INDIRECT(AM$1&amp;AM$3&amp;$C357))</f>
        <v>0</v>
      </c>
      <c r="AN357" s="880">
        <f t="shared" ca="1" si="675"/>
        <v>0</v>
      </c>
      <c r="AO357" s="931">
        <f t="shared" ca="1" si="676"/>
        <v>0</v>
      </c>
      <c r="AP357" s="89">
        <f ca="1">SUM(INDIRECT(AP$1&amp;AP$2&amp;$A357):INDIRECT(AP$1&amp;AP$3&amp;$A357))+SUM(INDIRECT(AP$1&amp;AP$2&amp;$B357):INDIRECT(AP$1&amp;AP$3&amp;$B357))</f>
        <v>0</v>
      </c>
      <c r="AQ357" s="880">
        <f t="shared" ca="1" si="677"/>
        <v>0</v>
      </c>
      <c r="AR357" s="931">
        <f t="shared" ca="1" si="678"/>
        <v>0</v>
      </c>
      <c r="AT357" s="13">
        <f ca="1">SUM((INDIRECT(AT$2&amp;(ROW())):INDIRECT(AT$3&amp;(ROW()))))</f>
        <v>0</v>
      </c>
      <c r="AU357" s="89">
        <f ca="1">SUM(INDIRECT(AU$1&amp;AU$2&amp;$C357):INDIRECT(AU$1&amp;AU$3&amp;$C357))</f>
        <v>0</v>
      </c>
      <c r="AV357" s="880">
        <f t="shared" ca="1" si="679"/>
        <v>0</v>
      </c>
      <c r="AW357" s="931">
        <f t="shared" ca="1" si="680"/>
        <v>0</v>
      </c>
      <c r="AX357" s="89">
        <f ca="1">SUM(INDIRECT(AX$1&amp;AX$2&amp;$A357):INDIRECT(AX$1&amp;AX$3&amp;$A357))+SUM(INDIRECT(AX$1&amp;AX$2&amp;$B357):INDIRECT(AX$1&amp;AX$3&amp;$B357))</f>
        <v>0</v>
      </c>
      <c r="AY357" s="880">
        <f t="shared" ca="1" si="681"/>
        <v>0</v>
      </c>
      <c r="AZ357" s="931">
        <f t="shared" ca="1" si="682"/>
        <v>0</v>
      </c>
      <c r="BB357" s="13">
        <f ca="1">SUM((INDIRECT(BB$2&amp;(ROW())):INDIRECT(BB$3&amp;(ROW()))))</f>
        <v>0</v>
      </c>
      <c r="BC357" s="89">
        <f ca="1">SUM(INDIRECT(BC$1&amp;BC$2&amp;$C357):INDIRECT(BC$1&amp;BC$3&amp;$C357))</f>
        <v>0</v>
      </c>
      <c r="BD357" s="880">
        <f t="shared" ca="1" si="683"/>
        <v>0</v>
      </c>
      <c r="BE357" s="931">
        <f t="shared" ca="1" si="684"/>
        <v>0</v>
      </c>
      <c r="BF357" s="89">
        <f ca="1">SUM(INDIRECT(BF$1&amp;BF$2&amp;$A357):INDIRECT(BF$1&amp;BF$3&amp;$A357))+SUM(INDIRECT(BF$1&amp;BF$2&amp;$B357):INDIRECT(BF$1&amp;BF$3&amp;$B357))</f>
        <v>0</v>
      </c>
      <c r="BG357" s="880">
        <f t="shared" ca="1" si="685"/>
        <v>0</v>
      </c>
      <c r="BH357" s="931">
        <f t="shared" ca="1" si="686"/>
        <v>0</v>
      </c>
    </row>
    <row r="358" spans="1:60" ht="14.5">
      <c r="C358" s="990">
        <f t="shared" si="644"/>
        <v>355</v>
      </c>
      <c r="D358" s="1121" t="s">
        <v>887</v>
      </c>
      <c r="E358" s="1292" t="s">
        <v>1407</v>
      </c>
      <c r="F358" s="1757"/>
      <c r="G358" s="5"/>
      <c r="H358" s="5"/>
      <c r="I358" s="613"/>
      <c r="J358" s="389" t="s">
        <v>1406</v>
      </c>
      <c r="K358" s="389"/>
      <c r="L358" s="72"/>
      <c r="M358" s="72"/>
      <c r="N358" s="389"/>
      <c r="O358" s="389"/>
      <c r="P358" s="1759"/>
      <c r="Q358" s="1867" t="str">
        <f>CHOOSE(2, "6722000003277", "PL (5) Net Sales ICW")</f>
        <v>PL (5) Net Sales ICW</v>
      </c>
      <c r="R358" s="2316">
        <f t="shared" ref="R358" si="701">SUM(R359:R361)</f>
        <v>0</v>
      </c>
      <c r="S358" s="1761">
        <f t="shared" ref="S358:AC358" si="702">SUM(S359:S361)</f>
        <v>0</v>
      </c>
      <c r="T358" s="1761">
        <f t="shared" si="702"/>
        <v>0</v>
      </c>
      <c r="U358" s="1761">
        <f t="shared" si="702"/>
        <v>0</v>
      </c>
      <c r="V358" s="1761">
        <f t="shared" si="702"/>
        <v>0</v>
      </c>
      <c r="W358" s="1761">
        <f t="shared" si="702"/>
        <v>0</v>
      </c>
      <c r="X358" s="1761">
        <f t="shared" si="702"/>
        <v>0</v>
      </c>
      <c r="Y358" s="1761">
        <f t="shared" si="702"/>
        <v>0</v>
      </c>
      <c r="Z358" s="1761">
        <f t="shared" si="702"/>
        <v>0</v>
      </c>
      <c r="AA358" s="1761">
        <f t="shared" si="702"/>
        <v>0</v>
      </c>
      <c r="AB358" s="1761">
        <f t="shared" si="702"/>
        <v>0</v>
      </c>
      <c r="AC358" s="1761">
        <f t="shared" si="702"/>
        <v>0</v>
      </c>
      <c r="AD358" s="1761">
        <f t="shared" ref="AD358:AJ358" si="703">SUM(AD359:AD361)</f>
        <v>0</v>
      </c>
      <c r="AE358" s="1761">
        <f t="shared" si="703"/>
        <v>0</v>
      </c>
      <c r="AF358" s="1761">
        <f t="shared" si="703"/>
        <v>0</v>
      </c>
      <c r="AG358" s="1761">
        <f t="shared" si="703"/>
        <v>0</v>
      </c>
      <c r="AH358" s="1761">
        <f t="shared" si="703"/>
        <v>0</v>
      </c>
      <c r="AI358" s="1761">
        <f t="shared" si="703"/>
        <v>0</v>
      </c>
      <c r="AJ358" s="1761">
        <f t="shared" si="703"/>
        <v>0</v>
      </c>
      <c r="AL358" s="1793">
        <f ca="1">SUM(AL359:AL361)</f>
        <v>0</v>
      </c>
      <c r="AM358" s="1794">
        <f ca="1">SUM(AM359:AM361)</f>
        <v>0</v>
      </c>
      <c r="AN358" s="1795">
        <f t="shared" ca="1" si="675"/>
        <v>0</v>
      </c>
      <c r="AO358" s="1796">
        <f t="shared" ca="1" si="676"/>
        <v>0</v>
      </c>
      <c r="AP358" s="1794">
        <f ca="1">SUM(AP359:AP361)</f>
        <v>0</v>
      </c>
      <c r="AQ358" s="1795">
        <f t="shared" ca="1" si="677"/>
        <v>0</v>
      </c>
      <c r="AR358" s="1796">
        <f t="shared" ca="1" si="678"/>
        <v>0</v>
      </c>
      <c r="AT358" s="1793">
        <f ca="1">SUM(AT359:AT361)</f>
        <v>0</v>
      </c>
      <c r="AU358" s="1794">
        <f ca="1">SUM(AU359:AU361)</f>
        <v>0</v>
      </c>
      <c r="AV358" s="1795">
        <f t="shared" ca="1" si="679"/>
        <v>0</v>
      </c>
      <c r="AW358" s="1796">
        <f t="shared" ca="1" si="680"/>
        <v>0</v>
      </c>
      <c r="AX358" s="1794">
        <f ca="1">SUM(AX359:AX361)</f>
        <v>0</v>
      </c>
      <c r="AY358" s="1795">
        <f t="shared" ca="1" si="681"/>
        <v>0</v>
      </c>
      <c r="AZ358" s="1796">
        <f t="shared" ca="1" si="682"/>
        <v>0</v>
      </c>
      <c r="BB358" s="1793">
        <f ca="1">SUM(BB359:BB361)</f>
        <v>0</v>
      </c>
      <c r="BC358" s="1794">
        <f ca="1">SUM(BC359:BC361)</f>
        <v>0</v>
      </c>
      <c r="BD358" s="1795">
        <f t="shared" ca="1" si="683"/>
        <v>0</v>
      </c>
      <c r="BE358" s="1796">
        <f t="shared" ca="1" si="684"/>
        <v>0</v>
      </c>
      <c r="BF358" s="1794">
        <f ca="1">SUM(BF359:BF361)</f>
        <v>0</v>
      </c>
      <c r="BG358" s="1795">
        <f t="shared" ca="1" si="685"/>
        <v>0</v>
      </c>
      <c r="BH358" s="1796">
        <f t="shared" ca="1" si="686"/>
        <v>0</v>
      </c>
    </row>
    <row r="359" spans="1:60" ht="14.5">
      <c r="A359" s="990">
        <f>A355+1</f>
        <v>328</v>
      </c>
      <c r="B359" s="990">
        <v>1</v>
      </c>
      <c r="C359" s="990">
        <f t="shared" si="644"/>
        <v>356</v>
      </c>
      <c r="D359" s="1121" t="s">
        <v>887</v>
      </c>
      <c r="E359" s="1463" t="s">
        <v>1262</v>
      </c>
      <c r="F359" s="1459"/>
      <c r="G359" s="1241"/>
      <c r="H359" s="5"/>
      <c r="I359" s="30"/>
      <c r="J359" s="4"/>
      <c r="K359" s="4" t="s">
        <v>1162</v>
      </c>
      <c r="L359" s="9"/>
      <c r="N359" s="4"/>
      <c r="O359" s="4"/>
      <c r="P359" s="1144"/>
      <c r="Q359" s="1854" t="str">
        <f>CHOOSE(2, "6722000003278", "PL (5) Net Sales ICW ICW-IT")</f>
        <v>PL (5) Net Sales ICW ICW-IT</v>
      </c>
      <c r="R359" s="13">
        <f t="shared" ref="R359:AC359" si="704">R761+R788</f>
        <v>0</v>
      </c>
      <c r="S359" s="89">
        <f t="shared" si="704"/>
        <v>0</v>
      </c>
      <c r="T359" s="89">
        <f t="shared" si="704"/>
        <v>0</v>
      </c>
      <c r="U359" s="89">
        <f t="shared" si="704"/>
        <v>0</v>
      </c>
      <c r="V359" s="89">
        <f t="shared" si="704"/>
        <v>0</v>
      </c>
      <c r="W359" s="89">
        <f t="shared" si="704"/>
        <v>0</v>
      </c>
      <c r="X359" s="89">
        <f t="shared" si="704"/>
        <v>0</v>
      </c>
      <c r="Y359" s="89">
        <f t="shared" si="704"/>
        <v>0</v>
      </c>
      <c r="Z359" s="89">
        <f t="shared" si="704"/>
        <v>0</v>
      </c>
      <c r="AA359" s="89">
        <f t="shared" si="704"/>
        <v>0</v>
      </c>
      <c r="AB359" s="89">
        <f t="shared" si="704"/>
        <v>0</v>
      </c>
      <c r="AC359" s="89">
        <f t="shared" si="704"/>
        <v>0</v>
      </c>
      <c r="AD359" s="89">
        <f>SUM(R359,S359,T359)</f>
        <v>0</v>
      </c>
      <c r="AE359" s="89">
        <f>SUM(U359,V359,W359)</f>
        <v>0</v>
      </c>
      <c r="AF359" s="89">
        <f>SUM(X359,Y359,Z359)</f>
        <v>0</v>
      </c>
      <c r="AG359" s="89">
        <f>SUM(AA359,AB359,AC359)</f>
        <v>0</v>
      </c>
      <c r="AH359" s="89">
        <f>AD359+AE359</f>
        <v>0</v>
      </c>
      <c r="AI359" s="89">
        <f>AG359+AF359</f>
        <v>0</v>
      </c>
      <c r="AJ359" s="89">
        <f>AH359+AI359</f>
        <v>0</v>
      </c>
      <c r="AL359" s="13">
        <f ca="1">SUM((INDIRECT(AL$2&amp;(ROW())):INDIRECT(AL$3&amp;(ROW()))))</f>
        <v>0</v>
      </c>
      <c r="AM359" s="89">
        <f ca="1">SUM(INDIRECT(AM$1&amp;AM$2&amp;$C359):INDIRECT(AM$1&amp;AM$3&amp;$C359))</f>
        <v>0</v>
      </c>
      <c r="AN359" s="880">
        <f t="shared" ca="1" si="675"/>
        <v>0</v>
      </c>
      <c r="AO359" s="931">
        <f t="shared" ca="1" si="676"/>
        <v>0</v>
      </c>
      <c r="AP359" s="89">
        <f ca="1">SUM(INDIRECT(AP$1&amp;AP$2&amp;$A359):INDIRECT(AP$1&amp;AP$3&amp;$A359))+SUM(INDIRECT(AP$1&amp;AP$2&amp;$B359):INDIRECT(AP$1&amp;AP$3&amp;$B359))</f>
        <v>0</v>
      </c>
      <c r="AQ359" s="880">
        <f t="shared" ca="1" si="677"/>
        <v>0</v>
      </c>
      <c r="AR359" s="931">
        <f t="shared" ca="1" si="678"/>
        <v>0</v>
      </c>
      <c r="AT359" s="13">
        <f ca="1">SUM((INDIRECT(AT$2&amp;(ROW())):INDIRECT(AT$3&amp;(ROW()))))</f>
        <v>0</v>
      </c>
      <c r="AU359" s="89">
        <f ca="1">SUM(INDIRECT(AU$1&amp;AU$2&amp;$C359):INDIRECT(AU$1&amp;AU$3&amp;$C359))</f>
        <v>0</v>
      </c>
      <c r="AV359" s="880">
        <f t="shared" ca="1" si="679"/>
        <v>0</v>
      </c>
      <c r="AW359" s="931">
        <f t="shared" ca="1" si="680"/>
        <v>0</v>
      </c>
      <c r="AX359" s="89">
        <f ca="1">SUM(INDIRECT(AX$1&amp;AX$2&amp;$A359):INDIRECT(AX$1&amp;AX$3&amp;$A359))+SUM(INDIRECT(AX$1&amp;AX$2&amp;$B359):INDIRECT(AX$1&amp;AX$3&amp;$B359))</f>
        <v>0</v>
      </c>
      <c r="AY359" s="880">
        <f t="shared" ca="1" si="681"/>
        <v>0</v>
      </c>
      <c r="AZ359" s="931">
        <f t="shared" ca="1" si="682"/>
        <v>0</v>
      </c>
      <c r="BB359" s="13">
        <f ca="1">SUM((INDIRECT(BB$2&amp;(ROW())):INDIRECT(BB$3&amp;(ROW()))))</f>
        <v>0</v>
      </c>
      <c r="BC359" s="89">
        <f ca="1">SUM(INDIRECT(BC$1&amp;BC$2&amp;$C359):INDIRECT(BC$1&amp;BC$3&amp;$C359))</f>
        <v>0</v>
      </c>
      <c r="BD359" s="880">
        <f t="shared" ca="1" si="683"/>
        <v>0</v>
      </c>
      <c r="BE359" s="931">
        <f t="shared" ca="1" si="684"/>
        <v>0</v>
      </c>
      <c r="BF359" s="89">
        <f ca="1">SUM(INDIRECT(BF$1&amp;BF$2&amp;$A359):INDIRECT(BF$1&amp;BF$3&amp;$A359))+SUM(INDIRECT(BF$1&amp;BF$2&amp;$B359):INDIRECT(BF$1&amp;BF$3&amp;$B359))</f>
        <v>0</v>
      </c>
      <c r="BG359" s="880">
        <f t="shared" ca="1" si="685"/>
        <v>0</v>
      </c>
      <c r="BH359" s="931">
        <f t="shared" ca="1" si="686"/>
        <v>0</v>
      </c>
    </row>
    <row r="360" spans="1:60" ht="14.5">
      <c r="A360" s="990">
        <v>1</v>
      </c>
      <c r="B360" s="990">
        <v>1</v>
      </c>
      <c r="C360" s="990">
        <f t="shared" si="644"/>
        <v>357</v>
      </c>
      <c r="D360" s="1121" t="s">
        <v>887</v>
      </c>
      <c r="E360" s="1463" t="s">
        <v>1262</v>
      </c>
      <c r="F360" s="1459"/>
      <c r="G360" s="5"/>
      <c r="H360" s="5"/>
      <c r="I360" s="30"/>
      <c r="J360" s="4"/>
      <c r="K360" s="4" t="s">
        <v>1257</v>
      </c>
      <c r="L360" s="9"/>
      <c r="N360" s="4"/>
      <c r="O360" s="4"/>
      <c r="P360" s="4"/>
      <c r="Q360" s="1854" t="str">
        <f>CHOOSE(2, "6722000003279", "PL (5) Net Sales ICW ICW-WK")</f>
        <v>PL (5) Net Sales ICW ICW-WK</v>
      </c>
      <c r="R360" s="13">
        <f t="shared" ref="R360:AC360" si="705">R776+R791</f>
        <v>0</v>
      </c>
      <c r="S360" s="89">
        <f t="shared" si="705"/>
        <v>0</v>
      </c>
      <c r="T360" s="89">
        <f t="shared" si="705"/>
        <v>0</v>
      </c>
      <c r="U360" s="89">
        <f t="shared" si="705"/>
        <v>0</v>
      </c>
      <c r="V360" s="89">
        <f t="shared" si="705"/>
        <v>0</v>
      </c>
      <c r="W360" s="89">
        <f t="shared" si="705"/>
        <v>0</v>
      </c>
      <c r="X360" s="89">
        <f t="shared" si="705"/>
        <v>0</v>
      </c>
      <c r="Y360" s="89">
        <f t="shared" si="705"/>
        <v>0</v>
      </c>
      <c r="Z360" s="89">
        <f t="shared" si="705"/>
        <v>0</v>
      </c>
      <c r="AA360" s="89">
        <f t="shared" si="705"/>
        <v>0</v>
      </c>
      <c r="AB360" s="89">
        <f t="shared" si="705"/>
        <v>0</v>
      </c>
      <c r="AC360" s="89">
        <f t="shared" si="705"/>
        <v>0</v>
      </c>
      <c r="AD360" s="89">
        <f>SUM(R360,S360,T360)</f>
        <v>0</v>
      </c>
      <c r="AE360" s="89">
        <f t="shared" si="698"/>
        <v>0</v>
      </c>
      <c r="AF360" s="89">
        <f t="shared" si="699"/>
        <v>0</v>
      </c>
      <c r="AG360" s="89">
        <f t="shared" si="700"/>
        <v>0</v>
      </c>
      <c r="AH360" s="89">
        <f t="shared" si="693"/>
        <v>0</v>
      </c>
      <c r="AI360" s="89">
        <f t="shared" si="694"/>
        <v>0</v>
      </c>
      <c r="AJ360" s="89">
        <f t="shared" si="695"/>
        <v>0</v>
      </c>
      <c r="AL360" s="13">
        <f ca="1">SUM((INDIRECT(AL$2&amp;(ROW())):INDIRECT(AL$3&amp;(ROW()))))</f>
        <v>0</v>
      </c>
      <c r="AM360" s="89">
        <f ca="1">SUM(INDIRECT(AM$1&amp;AM$2&amp;$C360):INDIRECT(AM$1&amp;AM$3&amp;$C360))</f>
        <v>0</v>
      </c>
      <c r="AN360" s="880">
        <f t="shared" ca="1" si="675"/>
        <v>0</v>
      </c>
      <c r="AO360" s="931">
        <f t="shared" ca="1" si="676"/>
        <v>0</v>
      </c>
      <c r="AP360" s="89">
        <f ca="1">SUM(INDIRECT(AP$1&amp;AP$2&amp;$A360):INDIRECT(AP$1&amp;AP$3&amp;$A360))+SUM(INDIRECT(AP$1&amp;AP$2&amp;$B360):INDIRECT(AP$1&amp;AP$3&amp;$B360))</f>
        <v>0</v>
      </c>
      <c r="AQ360" s="880">
        <f t="shared" ca="1" si="677"/>
        <v>0</v>
      </c>
      <c r="AR360" s="931">
        <f t="shared" ca="1" si="678"/>
        <v>0</v>
      </c>
      <c r="AT360" s="13">
        <f ca="1">SUM((INDIRECT(AT$2&amp;(ROW())):INDIRECT(AT$3&amp;(ROW()))))</f>
        <v>0</v>
      </c>
      <c r="AU360" s="89">
        <f ca="1">SUM(INDIRECT(AU$1&amp;AU$2&amp;$C360):INDIRECT(AU$1&amp;AU$3&amp;$C360))</f>
        <v>0</v>
      </c>
      <c r="AV360" s="880">
        <f t="shared" ca="1" si="679"/>
        <v>0</v>
      </c>
      <c r="AW360" s="931">
        <f t="shared" ca="1" si="680"/>
        <v>0</v>
      </c>
      <c r="AX360" s="89">
        <f ca="1">SUM(INDIRECT(AX$1&amp;AX$2&amp;$A360):INDIRECT(AX$1&amp;AX$3&amp;$A360))+SUM(INDIRECT(AX$1&amp;AX$2&amp;$B360):INDIRECT(AX$1&amp;AX$3&amp;$B360))</f>
        <v>0</v>
      </c>
      <c r="AY360" s="880">
        <f t="shared" ca="1" si="681"/>
        <v>0</v>
      </c>
      <c r="AZ360" s="931">
        <f t="shared" ca="1" si="682"/>
        <v>0</v>
      </c>
      <c r="BB360" s="13">
        <f ca="1">SUM((INDIRECT(BB$2&amp;(ROW())):INDIRECT(BB$3&amp;(ROW()))))</f>
        <v>0</v>
      </c>
      <c r="BC360" s="89">
        <f ca="1">SUM(INDIRECT(BC$1&amp;BC$2&amp;$C360):INDIRECT(BC$1&amp;BC$3&amp;$C360))</f>
        <v>0</v>
      </c>
      <c r="BD360" s="880">
        <f t="shared" ca="1" si="683"/>
        <v>0</v>
      </c>
      <c r="BE360" s="931">
        <f t="shared" ca="1" si="684"/>
        <v>0</v>
      </c>
      <c r="BF360" s="89">
        <f ca="1">SUM(INDIRECT(BF$1&amp;BF$2&amp;$A360):INDIRECT(BF$1&amp;BF$3&amp;$A360))+SUM(INDIRECT(BF$1&amp;BF$2&amp;$B360):INDIRECT(BF$1&amp;BF$3&amp;$B360))</f>
        <v>0</v>
      </c>
      <c r="BG360" s="880">
        <f t="shared" ca="1" si="685"/>
        <v>0</v>
      </c>
      <c r="BH360" s="931">
        <f t="shared" ca="1" si="686"/>
        <v>0</v>
      </c>
    </row>
    <row r="361" spans="1:60" ht="14.5">
      <c r="A361" s="990">
        <v>1</v>
      </c>
      <c r="B361" s="990">
        <v>1</v>
      </c>
      <c r="C361" s="990">
        <f t="shared" si="644"/>
        <v>358</v>
      </c>
      <c r="D361" s="1121" t="s">
        <v>887</v>
      </c>
      <c r="E361" s="1463" t="s">
        <v>1262</v>
      </c>
      <c r="F361" s="1459"/>
      <c r="G361" s="5"/>
      <c r="H361" s="5"/>
      <c r="I361" s="30"/>
      <c r="J361" s="4"/>
      <c r="K361" s="4" t="s">
        <v>1163</v>
      </c>
      <c r="L361" s="9"/>
      <c r="N361" s="4"/>
      <c r="O361" s="4"/>
      <c r="P361" s="4"/>
      <c r="Q361" s="1854" t="str">
        <f>CHOOSE(2, "6722000003280", "PL (5) Net Sales ICW ICW-P")</f>
        <v>PL (5) Net Sales ICW ICW-P</v>
      </c>
      <c r="R361" s="13">
        <f t="shared" ref="R361:AC361" si="706">R781+R792</f>
        <v>0</v>
      </c>
      <c r="S361" s="89">
        <f t="shared" si="706"/>
        <v>0</v>
      </c>
      <c r="T361" s="89">
        <f t="shared" si="706"/>
        <v>0</v>
      </c>
      <c r="U361" s="89">
        <f t="shared" si="706"/>
        <v>0</v>
      </c>
      <c r="V361" s="89">
        <f t="shared" si="706"/>
        <v>0</v>
      </c>
      <c r="W361" s="89">
        <f t="shared" si="706"/>
        <v>0</v>
      </c>
      <c r="X361" s="89">
        <f t="shared" si="706"/>
        <v>0</v>
      </c>
      <c r="Y361" s="89">
        <f t="shared" si="706"/>
        <v>0</v>
      </c>
      <c r="Z361" s="89">
        <f t="shared" si="706"/>
        <v>0</v>
      </c>
      <c r="AA361" s="89">
        <f t="shared" si="706"/>
        <v>0</v>
      </c>
      <c r="AB361" s="89">
        <f t="shared" si="706"/>
        <v>0</v>
      </c>
      <c r="AC361" s="89">
        <f t="shared" si="706"/>
        <v>0</v>
      </c>
      <c r="AD361" s="89">
        <f>SUM(R361,S361,T361)</f>
        <v>0</v>
      </c>
      <c r="AE361" s="89">
        <f t="shared" si="690"/>
        <v>0</v>
      </c>
      <c r="AF361" s="89">
        <f t="shared" si="691"/>
        <v>0</v>
      </c>
      <c r="AG361" s="89">
        <f t="shared" si="692"/>
        <v>0</v>
      </c>
      <c r="AH361" s="89">
        <f t="shared" si="693"/>
        <v>0</v>
      </c>
      <c r="AI361" s="89">
        <f t="shared" si="694"/>
        <v>0</v>
      </c>
      <c r="AJ361" s="89">
        <f t="shared" si="695"/>
        <v>0</v>
      </c>
      <c r="AL361" s="13">
        <f ca="1">SUM((INDIRECT(AL$2&amp;(ROW())):INDIRECT(AL$3&amp;(ROW()))))</f>
        <v>0</v>
      </c>
      <c r="AM361" s="89">
        <f ca="1">SUM(INDIRECT(AM$1&amp;AM$2&amp;$C361):INDIRECT(AM$1&amp;AM$3&amp;$C361))</f>
        <v>0</v>
      </c>
      <c r="AN361" s="880">
        <f t="shared" ca="1" si="675"/>
        <v>0</v>
      </c>
      <c r="AO361" s="931">
        <f t="shared" ca="1" si="676"/>
        <v>0</v>
      </c>
      <c r="AP361" s="89">
        <f ca="1">SUM(INDIRECT(AP$1&amp;AP$2&amp;$A361):INDIRECT(AP$1&amp;AP$3&amp;$A361))+SUM(INDIRECT(AP$1&amp;AP$2&amp;$B361):INDIRECT(AP$1&amp;AP$3&amp;$B361))</f>
        <v>0</v>
      </c>
      <c r="AQ361" s="880">
        <f t="shared" ca="1" si="677"/>
        <v>0</v>
      </c>
      <c r="AR361" s="931">
        <f t="shared" ca="1" si="678"/>
        <v>0</v>
      </c>
      <c r="AT361" s="13">
        <f ca="1">SUM((INDIRECT(AT$2&amp;(ROW())):INDIRECT(AT$3&amp;(ROW()))))</f>
        <v>0</v>
      </c>
      <c r="AU361" s="89">
        <f ca="1">SUM(INDIRECT(AU$1&amp;AU$2&amp;$C361):INDIRECT(AU$1&amp;AU$3&amp;$C361))</f>
        <v>0</v>
      </c>
      <c r="AV361" s="880">
        <f t="shared" ca="1" si="679"/>
        <v>0</v>
      </c>
      <c r="AW361" s="931">
        <f t="shared" ca="1" si="680"/>
        <v>0</v>
      </c>
      <c r="AX361" s="89">
        <f ca="1">SUM(INDIRECT(AX$1&amp;AX$2&amp;$A361):INDIRECT(AX$1&amp;AX$3&amp;$A361))+SUM(INDIRECT(AX$1&amp;AX$2&amp;$B361):INDIRECT(AX$1&amp;AX$3&amp;$B361))</f>
        <v>0</v>
      </c>
      <c r="AY361" s="880">
        <f t="shared" ca="1" si="681"/>
        <v>0</v>
      </c>
      <c r="AZ361" s="931">
        <f t="shared" ca="1" si="682"/>
        <v>0</v>
      </c>
      <c r="BB361" s="13">
        <f ca="1">SUM((INDIRECT(BB$2&amp;(ROW())):INDIRECT(BB$3&amp;(ROW()))))</f>
        <v>0</v>
      </c>
      <c r="BC361" s="89">
        <f ca="1">SUM(INDIRECT(BC$1&amp;BC$2&amp;$C361):INDIRECT(BC$1&amp;BC$3&amp;$C361))</f>
        <v>0</v>
      </c>
      <c r="BD361" s="880">
        <f t="shared" ca="1" si="683"/>
        <v>0</v>
      </c>
      <c r="BE361" s="931">
        <f t="shared" ca="1" si="684"/>
        <v>0</v>
      </c>
      <c r="BF361" s="89">
        <f ca="1">SUM(INDIRECT(BF$1&amp;BF$2&amp;$A361):INDIRECT(BF$1&amp;BF$3&amp;$A361))+SUM(INDIRECT(BF$1&amp;BF$2&amp;$B361):INDIRECT(BF$1&amp;BF$3&amp;$B361))</f>
        <v>0</v>
      </c>
      <c r="BG361" s="880">
        <f t="shared" ca="1" si="685"/>
        <v>0</v>
      </c>
      <c r="BH361" s="931">
        <f t="shared" ca="1" si="686"/>
        <v>0</v>
      </c>
    </row>
    <row r="362" spans="1:60" ht="14.5">
      <c r="A362" s="990">
        <v>332</v>
      </c>
      <c r="B362" s="990">
        <v>1</v>
      </c>
      <c r="C362" s="990">
        <f t="shared" si="644"/>
        <v>359</v>
      </c>
      <c r="D362" s="1121" t="s">
        <v>887</v>
      </c>
      <c r="E362" s="1243">
        <v>1</v>
      </c>
      <c r="F362" s="5"/>
      <c r="G362" s="5"/>
      <c r="H362" s="5"/>
      <c r="I362" s="409" t="s">
        <v>128</v>
      </c>
      <c r="J362" s="417"/>
      <c r="K362" s="417"/>
      <c r="L362" s="405"/>
      <c r="M362" s="405"/>
      <c r="N362" s="405"/>
      <c r="O362" s="635" t="s">
        <v>532</v>
      </c>
      <c r="P362" s="580"/>
      <c r="Q362" s="1866" t="str">
        <f>CHOOSE(2, "6722000003281", "PL (5) BT Cons. Sales")</f>
        <v>PL (5) BT Cons. Sales</v>
      </c>
      <c r="R362" s="2063">
        <f>SUM(R363,R367)</f>
        <v>360</v>
      </c>
      <c r="S362" s="2004">
        <f t="shared" ref="S362:AC362" si="707">SUM(S363,S367)</f>
        <v>263</v>
      </c>
      <c r="T362" s="2004">
        <f t="shared" si="707"/>
        <v>439</v>
      </c>
      <c r="U362" s="2004">
        <f t="shared" si="707"/>
        <v>922</v>
      </c>
      <c r="V362" s="2004">
        <f t="shared" si="707"/>
        <v>3555</v>
      </c>
      <c r="W362" s="2004">
        <f t="shared" si="707"/>
        <v>44</v>
      </c>
      <c r="X362" s="2004">
        <f t="shared" si="707"/>
        <v>708</v>
      </c>
      <c r="Y362" s="2004">
        <f t="shared" si="707"/>
        <v>500</v>
      </c>
      <c r="Z362" s="2004">
        <f t="shared" si="707"/>
        <v>0</v>
      </c>
      <c r="AA362" s="2004">
        <f t="shared" si="707"/>
        <v>554</v>
      </c>
      <c r="AB362" s="2004">
        <f t="shared" si="707"/>
        <v>843</v>
      </c>
      <c r="AC362" s="2004">
        <f t="shared" si="707"/>
        <v>281</v>
      </c>
      <c r="AD362" s="678">
        <f t="shared" ref="AD362" si="708">SUM(AD363,AD367)</f>
        <v>1062</v>
      </c>
      <c r="AE362" s="101">
        <f t="shared" ref="AE362" si="709">SUM(AE363,AE367)</f>
        <v>4521</v>
      </c>
      <c r="AF362" s="101">
        <f t="shared" ref="AF362" si="710">SUM(AF363,AF367)</f>
        <v>1208</v>
      </c>
      <c r="AG362" s="101">
        <f t="shared" ref="AG362" si="711">SUM(AG363,AG367)</f>
        <v>1678</v>
      </c>
      <c r="AH362" s="101">
        <f t="shared" ref="AH362" si="712">SUM(AH363,AH367)</f>
        <v>5583</v>
      </c>
      <c r="AI362" s="101">
        <f t="shared" ref="AI362" si="713">SUM(AI363,AI367)</f>
        <v>2886</v>
      </c>
      <c r="AJ362" s="101">
        <f t="shared" ref="AJ362" si="714">SUM(AJ363,AJ367)</f>
        <v>8469</v>
      </c>
      <c r="AL362" s="2063">
        <f ca="1">SUM((INDIRECT(AL$2&amp;(ROW())):INDIRECT(AL$3&amp;(ROW()))))</f>
        <v>281</v>
      </c>
      <c r="AM362" s="101">
        <f ca="1">SUM(INDIRECT(AM$1&amp;AM$2&amp;$C362):INDIRECT(AM$1&amp;AM$3&amp;$C362))</f>
        <v>0</v>
      </c>
      <c r="AN362" s="2522">
        <f t="shared" ca="1" si="675"/>
        <v>281</v>
      </c>
      <c r="AO362" s="1719">
        <f t="shared" ca="1" si="676"/>
        <v>0</v>
      </c>
      <c r="AP362" s="2523">
        <f ca="1">SUM(AP363,AP367)</f>
        <v>62</v>
      </c>
      <c r="AQ362" s="2522">
        <f t="shared" ca="1" si="677"/>
        <v>219</v>
      </c>
      <c r="AR362" s="1719">
        <f t="shared" ca="1" si="678"/>
        <v>4.532258064516129</v>
      </c>
      <c r="AT362" s="2063">
        <f ca="1">SUM((INDIRECT(AT$2&amp;(ROW())):INDIRECT(AT$3&amp;(ROW()))))</f>
        <v>1678</v>
      </c>
      <c r="AU362" s="101">
        <f ca="1">SUM(INDIRECT(AU$1&amp;AU$2&amp;$C362):INDIRECT(AU$1&amp;AU$3&amp;$C362))</f>
        <v>0</v>
      </c>
      <c r="AV362" s="2522">
        <f t="shared" ca="1" si="679"/>
        <v>1678</v>
      </c>
      <c r="AW362" s="1719">
        <f t="shared" ca="1" si="680"/>
        <v>0</v>
      </c>
      <c r="AX362" s="2523">
        <f ca="1">SUM(AX363,AX367)</f>
        <v>400</v>
      </c>
      <c r="AY362" s="2522">
        <f t="shared" ca="1" si="681"/>
        <v>1278</v>
      </c>
      <c r="AZ362" s="1719">
        <f t="shared" ca="1" si="682"/>
        <v>4.1950000000000003</v>
      </c>
      <c r="BB362" s="2063">
        <f ca="1">SUM((INDIRECT(BB$2&amp;(ROW())):INDIRECT(BB$3&amp;(ROW()))))</f>
        <v>8469</v>
      </c>
      <c r="BC362" s="101">
        <f ca="1">SUM(INDIRECT(BC$1&amp;BC$2&amp;$C362):INDIRECT(BC$1&amp;BC$3&amp;$C362))</f>
        <v>0</v>
      </c>
      <c r="BD362" s="2522">
        <f t="shared" ca="1" si="683"/>
        <v>8469</v>
      </c>
      <c r="BE362" s="1719">
        <f t="shared" ca="1" si="684"/>
        <v>0</v>
      </c>
      <c r="BF362" s="2523">
        <f ca="1">SUM(BF363,BF367)</f>
        <v>3469</v>
      </c>
      <c r="BG362" s="2522">
        <f t="shared" ca="1" si="685"/>
        <v>5000</v>
      </c>
      <c r="BH362" s="1719">
        <f t="shared" ca="1" si="686"/>
        <v>2.4413375612568462</v>
      </c>
    </row>
    <row r="363" spans="1:60" s="75" customFormat="1" ht="14.5">
      <c r="A363" s="990">
        <v>1</v>
      </c>
      <c r="B363" s="990">
        <v>1</v>
      </c>
      <c r="C363" s="990">
        <f t="shared" si="644"/>
        <v>360</v>
      </c>
      <c r="D363" s="1121" t="s">
        <v>887</v>
      </c>
      <c r="E363" s="1292" t="s">
        <v>1407</v>
      </c>
      <c r="F363" s="1757"/>
      <c r="G363" s="5"/>
      <c r="H363" s="5"/>
      <c r="I363" s="1348"/>
      <c r="J363" s="1758" t="s">
        <v>1405</v>
      </c>
      <c r="K363" s="1758"/>
      <c r="L363" s="1759"/>
      <c r="M363" s="1759"/>
      <c r="N363" s="1759"/>
      <c r="O363" s="1760"/>
      <c r="P363" s="1759"/>
      <c r="Q363" s="1867" t="str">
        <f>CHOOSE(2, "6722000003282", "PL (5) BT Cons. Sales ITS")</f>
        <v>PL (5) BT Cons. Sales ITS</v>
      </c>
      <c r="R363" s="2316">
        <f>SUM(R364:R366)</f>
        <v>360</v>
      </c>
      <c r="S363" s="1761">
        <f t="shared" ref="S363:AC363" si="715">SUM(S364:S366)</f>
        <v>263</v>
      </c>
      <c r="T363" s="1761">
        <f t="shared" si="715"/>
        <v>439</v>
      </c>
      <c r="U363" s="1761">
        <f t="shared" si="715"/>
        <v>922</v>
      </c>
      <c r="V363" s="1761">
        <f t="shared" si="715"/>
        <v>3555</v>
      </c>
      <c r="W363" s="1761">
        <f t="shared" si="715"/>
        <v>44</v>
      </c>
      <c r="X363" s="1761">
        <f t="shared" si="715"/>
        <v>708</v>
      </c>
      <c r="Y363" s="1761">
        <f t="shared" si="715"/>
        <v>500</v>
      </c>
      <c r="Z363" s="1761">
        <f t="shared" si="715"/>
        <v>0</v>
      </c>
      <c r="AA363" s="1761">
        <f t="shared" si="715"/>
        <v>554</v>
      </c>
      <c r="AB363" s="1761">
        <f t="shared" si="715"/>
        <v>843</v>
      </c>
      <c r="AC363" s="1761">
        <f t="shared" si="715"/>
        <v>281</v>
      </c>
      <c r="AD363" s="1761">
        <f t="shared" ref="AD363" si="716">SUM(AD364:AD366)</f>
        <v>1062</v>
      </c>
      <c r="AE363" s="1761">
        <f t="shared" ref="AE363" si="717">SUM(AE364:AE366)</f>
        <v>4521</v>
      </c>
      <c r="AF363" s="1761">
        <f t="shared" ref="AF363" si="718">SUM(AF364:AF366)</f>
        <v>1208</v>
      </c>
      <c r="AG363" s="1761">
        <f t="shared" ref="AG363" si="719">SUM(AG364:AG366)</f>
        <v>1678</v>
      </c>
      <c r="AH363" s="1761">
        <f t="shared" ref="AH363" si="720">SUM(AH364:AH366)</f>
        <v>5583</v>
      </c>
      <c r="AI363" s="1761">
        <f t="shared" ref="AI363" si="721">SUM(AI364:AI366)</f>
        <v>2886</v>
      </c>
      <c r="AJ363" s="1761">
        <f t="shared" ref="AJ363" si="722">SUM(AJ364:AJ366)</f>
        <v>8469</v>
      </c>
      <c r="AL363" s="1793">
        <f ca="1">SUM(AL364:AL366)</f>
        <v>281</v>
      </c>
      <c r="AM363" s="1794">
        <f ca="1">SUM(AM364:AM366)</f>
        <v>0</v>
      </c>
      <c r="AN363" s="1795">
        <f t="shared" ca="1" si="675"/>
        <v>281</v>
      </c>
      <c r="AO363" s="1796">
        <f t="shared" ca="1" si="676"/>
        <v>0</v>
      </c>
      <c r="AP363" s="1794">
        <f ca="1">SUM(AP364:AP366)</f>
        <v>62</v>
      </c>
      <c r="AQ363" s="1795">
        <f t="shared" ca="1" si="677"/>
        <v>219</v>
      </c>
      <c r="AR363" s="1796">
        <f t="shared" ca="1" si="678"/>
        <v>4.532258064516129</v>
      </c>
      <c r="AT363" s="1793">
        <f ca="1">SUM(AT364:AT366)</f>
        <v>1678</v>
      </c>
      <c r="AU363" s="1794">
        <f ca="1">SUM(AU364:AU366)</f>
        <v>0</v>
      </c>
      <c r="AV363" s="1795">
        <f t="shared" ca="1" si="679"/>
        <v>1678</v>
      </c>
      <c r="AW363" s="1796">
        <f t="shared" ca="1" si="680"/>
        <v>0</v>
      </c>
      <c r="AX363" s="1794">
        <f ca="1">SUM(AX364:AX366)</f>
        <v>400</v>
      </c>
      <c r="AY363" s="1795">
        <f t="shared" ca="1" si="681"/>
        <v>1278</v>
      </c>
      <c r="AZ363" s="1796">
        <f t="shared" ca="1" si="682"/>
        <v>4.1950000000000003</v>
      </c>
      <c r="BB363" s="1793">
        <f ca="1">SUM(BB364:BB366)</f>
        <v>8469</v>
      </c>
      <c r="BC363" s="1794">
        <f ca="1">SUM(BC364:BC366)</f>
        <v>0</v>
      </c>
      <c r="BD363" s="1795">
        <f t="shared" ca="1" si="683"/>
        <v>8469</v>
      </c>
      <c r="BE363" s="1796">
        <f t="shared" ca="1" si="684"/>
        <v>0</v>
      </c>
      <c r="BF363" s="1794">
        <f ca="1">SUM(BF364:BF366)</f>
        <v>3469</v>
      </c>
      <c r="BG363" s="1795">
        <f t="shared" ca="1" si="685"/>
        <v>5000</v>
      </c>
      <c r="BH363" s="1796">
        <f t="shared" ca="1" si="686"/>
        <v>2.4413375612568462</v>
      </c>
    </row>
    <row r="364" spans="1:60" ht="14.5">
      <c r="A364" s="1397">
        <v>333</v>
      </c>
      <c r="B364" s="990">
        <v>1</v>
      </c>
      <c r="C364" s="990">
        <f t="shared" si="644"/>
        <v>361</v>
      </c>
      <c r="D364" s="1121" t="s">
        <v>887</v>
      </c>
      <c r="E364" s="1463" t="s">
        <v>1262</v>
      </c>
      <c r="F364" s="1459"/>
      <c r="G364" s="1241"/>
      <c r="H364" s="5"/>
      <c r="I364" s="30"/>
      <c r="J364" s="4"/>
      <c r="K364" s="4" t="s">
        <v>779</v>
      </c>
      <c r="L364" s="9"/>
      <c r="N364" s="4"/>
      <c r="O364" s="4"/>
      <c r="P364" s="4"/>
      <c r="Q364" s="1855" t="str">
        <f>CHOOSE(2, "6722000003283", "PL (5) BT Cons. Sales ITS IMS")</f>
        <v>PL (5) BT Cons. Sales ITS IMS</v>
      </c>
      <c r="R364" s="2032">
        <v>0</v>
      </c>
      <c r="S364" s="2039">
        <v>0</v>
      </c>
      <c r="T364" s="2039"/>
      <c r="U364" s="2039">
        <v>510</v>
      </c>
      <c r="V364" s="2039">
        <v>0</v>
      </c>
      <c r="W364" s="2039">
        <v>0</v>
      </c>
      <c r="X364" s="2039">
        <v>510</v>
      </c>
      <c r="Y364" s="2039">
        <v>0</v>
      </c>
      <c r="Z364" s="2039">
        <v>0</v>
      </c>
      <c r="AA364" s="2039">
        <v>510</v>
      </c>
      <c r="AB364" s="2039">
        <v>0</v>
      </c>
      <c r="AC364" s="2039">
        <v>0</v>
      </c>
      <c r="AD364" s="89">
        <f>SUM(R364,S364,T364)</f>
        <v>0</v>
      </c>
      <c r="AE364" s="89">
        <f t="shared" ref="AE364:AE366" si="723">SUM(U364,V364,W364)</f>
        <v>510</v>
      </c>
      <c r="AF364" s="89">
        <f t="shared" ref="AF364:AF366" si="724">SUM(X364,Y364,Z364)</f>
        <v>510</v>
      </c>
      <c r="AG364" s="89">
        <f t="shared" ref="AG364:AG366" si="725">SUM(AA364,AB364,AC364)</f>
        <v>510</v>
      </c>
      <c r="AH364" s="89">
        <f>AD364+AE364</f>
        <v>510</v>
      </c>
      <c r="AI364" s="89">
        <f>AG364+AF364</f>
        <v>1020</v>
      </c>
      <c r="AJ364" s="89">
        <f>AH364+AI364</f>
        <v>1530</v>
      </c>
      <c r="AL364" s="13">
        <f ca="1">SUM((INDIRECT(AL$2&amp;(ROW())):INDIRECT(AL$3&amp;(ROW()))))</f>
        <v>0</v>
      </c>
      <c r="AM364" s="89">
        <f ca="1">SUM(INDIRECT(AM$1&amp;AM$2&amp;$C364):INDIRECT(AM$1&amp;AM$3&amp;$C364))</f>
        <v>0</v>
      </c>
      <c r="AN364" s="880">
        <f t="shared" ca="1" si="675"/>
        <v>0</v>
      </c>
      <c r="AO364" s="931">
        <f t="shared" ca="1" si="676"/>
        <v>0</v>
      </c>
      <c r="AP364" s="89">
        <f ca="1">SUM(INDIRECT(AP$1&amp;AP$2&amp;$A364):INDIRECT(AP$1&amp;AP$3&amp;$A364))+SUM(INDIRECT(AP$1&amp;AP$2&amp;$B364):INDIRECT(AP$1&amp;AP$3&amp;$B364))</f>
        <v>0</v>
      </c>
      <c r="AQ364" s="880">
        <f t="shared" ca="1" si="677"/>
        <v>0</v>
      </c>
      <c r="AR364" s="931">
        <f t="shared" ca="1" si="678"/>
        <v>0</v>
      </c>
      <c r="AT364" s="13">
        <f ca="1">SUM((INDIRECT(AT$2&amp;(ROW())):INDIRECT(AT$3&amp;(ROW()))))</f>
        <v>510</v>
      </c>
      <c r="AU364" s="89">
        <f ca="1">SUM(INDIRECT(AU$1&amp;AU$2&amp;$C364):INDIRECT(AU$1&amp;AU$3&amp;$C364))</f>
        <v>0</v>
      </c>
      <c r="AV364" s="880">
        <f t="shared" ca="1" si="679"/>
        <v>510</v>
      </c>
      <c r="AW364" s="931">
        <f t="shared" ca="1" si="680"/>
        <v>0</v>
      </c>
      <c r="AX364" s="89">
        <f ca="1">SUM(INDIRECT(AX$1&amp;AX$2&amp;$A364):INDIRECT(AX$1&amp;AX$3&amp;$A364))+SUM(INDIRECT(AX$1&amp;AX$2&amp;$B364):INDIRECT(AX$1&amp;AX$3&amp;$B364))</f>
        <v>0</v>
      </c>
      <c r="AY364" s="880">
        <f t="shared" ca="1" si="681"/>
        <v>510</v>
      </c>
      <c r="AZ364" s="931">
        <f t="shared" ca="1" si="682"/>
        <v>0</v>
      </c>
      <c r="BB364" s="13">
        <f ca="1">SUM((INDIRECT(BB$2&amp;(ROW())):INDIRECT(BB$3&amp;(ROW()))))</f>
        <v>1530</v>
      </c>
      <c r="BC364" s="89">
        <f ca="1">SUM(INDIRECT(BC$1&amp;BC$2&amp;$C364):INDIRECT(BC$1&amp;BC$3&amp;$C364))</f>
        <v>0</v>
      </c>
      <c r="BD364" s="880">
        <f t="shared" ca="1" si="683"/>
        <v>1530</v>
      </c>
      <c r="BE364" s="931">
        <f t="shared" ca="1" si="684"/>
        <v>0</v>
      </c>
      <c r="BF364" s="89">
        <f ca="1">SUM(INDIRECT(BF$1&amp;BF$2&amp;$A364):INDIRECT(BF$1&amp;BF$3&amp;$A364))+SUM(INDIRECT(BF$1&amp;BF$2&amp;$B364):INDIRECT(BF$1&amp;BF$3&amp;$B364))</f>
        <v>60</v>
      </c>
      <c r="BG364" s="880">
        <f t="shared" ca="1" si="685"/>
        <v>1470</v>
      </c>
      <c r="BH364" s="931">
        <f t="shared" ca="1" si="686"/>
        <v>25.5</v>
      </c>
    </row>
    <row r="365" spans="1:60" ht="14.5">
      <c r="A365" s="990">
        <f>A368+1</f>
        <v>335</v>
      </c>
      <c r="B365" s="990">
        <v>1</v>
      </c>
      <c r="C365" s="990">
        <f t="shared" si="644"/>
        <v>362</v>
      </c>
      <c r="D365" s="1121" t="s">
        <v>887</v>
      </c>
      <c r="E365" s="1463" t="s">
        <v>1262</v>
      </c>
      <c r="F365" s="1459"/>
      <c r="G365" s="5"/>
      <c r="H365" s="5"/>
      <c r="I365" s="30"/>
      <c r="J365" s="4"/>
      <c r="K365" s="4" t="s">
        <v>780</v>
      </c>
      <c r="L365" s="9"/>
      <c r="N365" s="4"/>
      <c r="O365" s="4"/>
      <c r="P365" s="4"/>
      <c r="Q365" s="1855" t="str">
        <f>CHOOSE(2, "6722000003284", "PL (5) BT Cons. Sales ITS MCS")</f>
        <v>PL (5) BT Cons. Sales ITS MCS</v>
      </c>
      <c r="R365" s="2032">
        <v>360</v>
      </c>
      <c r="S365" s="2039">
        <v>263</v>
      </c>
      <c r="T365" s="2039">
        <v>439</v>
      </c>
      <c r="U365" s="2039">
        <v>412</v>
      </c>
      <c r="V365" s="2039">
        <v>3555</v>
      </c>
      <c r="W365" s="2039">
        <v>44</v>
      </c>
      <c r="X365" s="2039">
        <v>198</v>
      </c>
      <c r="Y365" s="2039">
        <v>500</v>
      </c>
      <c r="Z365" s="2039">
        <v>0</v>
      </c>
      <c r="AA365" s="2039">
        <v>44</v>
      </c>
      <c r="AB365" s="2039">
        <v>843</v>
      </c>
      <c r="AC365" s="2039">
        <v>281</v>
      </c>
      <c r="AD365" s="89">
        <f>SUM(R365,S365,T365)</f>
        <v>1062</v>
      </c>
      <c r="AE365" s="89">
        <f t="shared" si="723"/>
        <v>4011</v>
      </c>
      <c r="AF365" s="89">
        <f t="shared" si="724"/>
        <v>698</v>
      </c>
      <c r="AG365" s="89">
        <f t="shared" si="725"/>
        <v>1168</v>
      </c>
      <c r="AH365" s="89">
        <f>AD365+AE365</f>
        <v>5073</v>
      </c>
      <c r="AI365" s="89">
        <f>AG365+AF365</f>
        <v>1866</v>
      </c>
      <c r="AJ365" s="89">
        <f>AH365+AI365</f>
        <v>6939</v>
      </c>
      <c r="AL365" s="13">
        <f ca="1">SUM((INDIRECT(AL$2&amp;(ROW())):INDIRECT(AL$3&amp;(ROW()))))</f>
        <v>281</v>
      </c>
      <c r="AM365" s="89">
        <f ca="1">SUM(INDIRECT(AM$1&amp;AM$2&amp;$C365):INDIRECT(AM$1&amp;AM$3&amp;$C365))</f>
        <v>0</v>
      </c>
      <c r="AN365" s="880">
        <f t="shared" ca="1" si="675"/>
        <v>281</v>
      </c>
      <c r="AO365" s="931">
        <f t="shared" ca="1" si="676"/>
        <v>0</v>
      </c>
      <c r="AP365" s="89">
        <f ca="1">SUM(INDIRECT(AP$1&amp;AP$2&amp;$A365):INDIRECT(AP$1&amp;AP$3&amp;$A365))+SUM(INDIRECT(AP$1&amp;AP$2&amp;$B365):INDIRECT(AP$1&amp;AP$3&amp;$B365))</f>
        <v>62</v>
      </c>
      <c r="AQ365" s="880">
        <f t="shared" ca="1" si="677"/>
        <v>219</v>
      </c>
      <c r="AR365" s="931">
        <f t="shared" ca="1" si="678"/>
        <v>4.532258064516129</v>
      </c>
      <c r="AT365" s="13">
        <f ca="1">SUM((INDIRECT(AT$2&amp;(ROW())):INDIRECT(AT$3&amp;(ROW()))))</f>
        <v>1168</v>
      </c>
      <c r="AU365" s="89">
        <f ca="1">SUM(INDIRECT(AU$1&amp;AU$2&amp;$C365):INDIRECT(AU$1&amp;AU$3&amp;$C365))</f>
        <v>0</v>
      </c>
      <c r="AV365" s="880">
        <f t="shared" ca="1" si="679"/>
        <v>1168</v>
      </c>
      <c r="AW365" s="931">
        <f t="shared" ca="1" si="680"/>
        <v>0</v>
      </c>
      <c r="AX365" s="89">
        <f ca="1">SUM(INDIRECT(AX$1&amp;AX$2&amp;$A365):INDIRECT(AX$1&amp;AX$3&amp;$A365))+SUM(INDIRECT(AX$1&amp;AX$2&amp;$B365):INDIRECT(AX$1&amp;AX$3&amp;$B365))</f>
        <v>400</v>
      </c>
      <c r="AY365" s="880">
        <f t="shared" ca="1" si="681"/>
        <v>768</v>
      </c>
      <c r="AZ365" s="931">
        <f t="shared" ca="1" si="682"/>
        <v>2.92</v>
      </c>
      <c r="BB365" s="13">
        <f ca="1">SUM((INDIRECT(BB$2&amp;(ROW())):INDIRECT(BB$3&amp;(ROW()))))</f>
        <v>6939</v>
      </c>
      <c r="BC365" s="89">
        <f ca="1">SUM(INDIRECT(BC$1&amp;BC$2&amp;$C365):INDIRECT(BC$1&amp;BC$3&amp;$C365))</f>
        <v>0</v>
      </c>
      <c r="BD365" s="880">
        <f t="shared" ca="1" si="683"/>
        <v>6939</v>
      </c>
      <c r="BE365" s="931">
        <f t="shared" ca="1" si="684"/>
        <v>0</v>
      </c>
      <c r="BF365" s="89">
        <f ca="1">SUM(INDIRECT(BF$1&amp;BF$2&amp;$A365):INDIRECT(BF$1&amp;BF$3&amp;$A365))+SUM(INDIRECT(BF$1&amp;BF$2&amp;$B365):INDIRECT(BF$1&amp;BF$3&amp;$B365))</f>
        <v>3409</v>
      </c>
      <c r="BG365" s="880">
        <f t="shared" ca="1" si="685"/>
        <v>3530</v>
      </c>
      <c r="BH365" s="931">
        <f t="shared" ca="1" si="686"/>
        <v>2.0354942798474625</v>
      </c>
    </row>
    <row r="366" spans="1:60" ht="14.5">
      <c r="A366" s="990">
        <f>A365+1</f>
        <v>336</v>
      </c>
      <c r="B366" s="990">
        <v>1</v>
      </c>
      <c r="C366" s="990">
        <f t="shared" si="644"/>
        <v>363</v>
      </c>
      <c r="D366" s="1121" t="s">
        <v>887</v>
      </c>
      <c r="E366" s="1463" t="s">
        <v>1262</v>
      </c>
      <c r="F366" s="1459"/>
      <c r="G366" s="5"/>
      <c r="H366" s="5"/>
      <c r="I366" s="613"/>
      <c r="J366" s="51"/>
      <c r="K366" s="51" t="s">
        <v>1157</v>
      </c>
      <c r="L366" s="363"/>
      <c r="M366" s="363"/>
      <c r="N366" s="51"/>
      <c r="O366" s="51"/>
      <c r="P366" s="51"/>
      <c r="Q366" s="1855" t="str">
        <f>CHOOSE(2, "6722000003285", "PL (5) BT Cons. Sales ITS BPS")</f>
        <v>PL (5) BT Cons. Sales ITS BPS</v>
      </c>
      <c r="R366" s="2211">
        <v>0</v>
      </c>
      <c r="S366" s="2043">
        <v>0</v>
      </c>
      <c r="T366" s="2043">
        <v>0</v>
      </c>
      <c r="U366" s="2043">
        <v>0</v>
      </c>
      <c r="V366" s="2043">
        <v>0</v>
      </c>
      <c r="W366" s="2043">
        <v>0</v>
      </c>
      <c r="X366" s="2043">
        <v>0</v>
      </c>
      <c r="Y366" s="2043">
        <v>0</v>
      </c>
      <c r="Z366" s="2043">
        <v>0</v>
      </c>
      <c r="AA366" s="2043">
        <v>0</v>
      </c>
      <c r="AB366" s="2043">
        <v>0</v>
      </c>
      <c r="AC366" s="2043">
        <v>0</v>
      </c>
      <c r="AD366" s="134">
        <f>SUM(R366,S366,T366)</f>
        <v>0</v>
      </c>
      <c r="AE366" s="134">
        <f t="shared" si="723"/>
        <v>0</v>
      </c>
      <c r="AF366" s="134">
        <f t="shared" si="724"/>
        <v>0</v>
      </c>
      <c r="AG366" s="134">
        <f t="shared" si="725"/>
        <v>0</v>
      </c>
      <c r="AH366" s="134">
        <f>AD366+AE366</f>
        <v>0</v>
      </c>
      <c r="AI366" s="134">
        <f>AG366+AF366</f>
        <v>0</v>
      </c>
      <c r="AJ366" s="134">
        <f>AH366+AI366</f>
        <v>0</v>
      </c>
      <c r="AL366" s="13">
        <f ca="1">SUM((INDIRECT(AL$2&amp;(ROW())):INDIRECT(AL$3&amp;(ROW()))))</f>
        <v>0</v>
      </c>
      <c r="AM366" s="89">
        <f ca="1">SUM(INDIRECT(AM$1&amp;AM$2&amp;$C366):INDIRECT(AM$1&amp;AM$3&amp;$C366))</f>
        <v>0</v>
      </c>
      <c r="AN366" s="880">
        <f t="shared" ca="1" si="675"/>
        <v>0</v>
      </c>
      <c r="AO366" s="931">
        <f t="shared" ca="1" si="676"/>
        <v>0</v>
      </c>
      <c r="AP366" s="89">
        <f ca="1">SUM(INDIRECT(AP$1&amp;AP$2&amp;$A366):INDIRECT(AP$1&amp;AP$3&amp;$A366))+SUM(INDIRECT(AP$1&amp;AP$2&amp;$B366):INDIRECT(AP$1&amp;AP$3&amp;$B366))</f>
        <v>0</v>
      </c>
      <c r="AQ366" s="880">
        <f t="shared" ca="1" si="677"/>
        <v>0</v>
      </c>
      <c r="AR366" s="931">
        <f t="shared" ca="1" si="678"/>
        <v>0</v>
      </c>
      <c r="AT366" s="13">
        <f ca="1">SUM((INDIRECT(AT$2&amp;(ROW())):INDIRECT(AT$3&amp;(ROW()))))</f>
        <v>0</v>
      </c>
      <c r="AU366" s="89">
        <f ca="1">SUM(INDIRECT(AU$1&amp;AU$2&amp;$C366):INDIRECT(AU$1&amp;AU$3&amp;$C366))</f>
        <v>0</v>
      </c>
      <c r="AV366" s="880">
        <f t="shared" ca="1" si="679"/>
        <v>0</v>
      </c>
      <c r="AW366" s="931">
        <f t="shared" ca="1" si="680"/>
        <v>0</v>
      </c>
      <c r="AX366" s="89">
        <f ca="1">SUM(INDIRECT(AX$1&amp;AX$2&amp;$A366):INDIRECT(AX$1&amp;AX$3&amp;$A366))+SUM(INDIRECT(AX$1&amp;AX$2&amp;$B366):INDIRECT(AX$1&amp;AX$3&amp;$B366))</f>
        <v>0</v>
      </c>
      <c r="AY366" s="880">
        <f t="shared" ca="1" si="681"/>
        <v>0</v>
      </c>
      <c r="AZ366" s="931">
        <f t="shared" ca="1" si="682"/>
        <v>0</v>
      </c>
      <c r="BB366" s="13">
        <f ca="1">SUM((INDIRECT(BB$2&amp;(ROW())):INDIRECT(BB$3&amp;(ROW()))))</f>
        <v>0</v>
      </c>
      <c r="BC366" s="89">
        <f ca="1">SUM(INDIRECT(BC$1&amp;BC$2&amp;$C366):INDIRECT(BC$1&amp;BC$3&amp;$C366))</f>
        <v>0</v>
      </c>
      <c r="BD366" s="880">
        <f t="shared" ca="1" si="683"/>
        <v>0</v>
      </c>
      <c r="BE366" s="931">
        <f t="shared" ca="1" si="684"/>
        <v>0</v>
      </c>
      <c r="BF366" s="89">
        <f ca="1">SUM(INDIRECT(BF$1&amp;BF$2&amp;$A366):INDIRECT(BF$1&amp;BF$3&amp;$A366))+SUM(INDIRECT(BF$1&amp;BF$2&amp;$B366):INDIRECT(BF$1&amp;BF$3&amp;$B366))</f>
        <v>0</v>
      </c>
      <c r="BG366" s="880">
        <f t="shared" ca="1" si="685"/>
        <v>0</v>
      </c>
      <c r="BH366" s="931">
        <f t="shared" ca="1" si="686"/>
        <v>0</v>
      </c>
    </row>
    <row r="367" spans="1:60" ht="14.5">
      <c r="A367" s="990">
        <v>1</v>
      </c>
      <c r="B367" s="990">
        <v>1</v>
      </c>
      <c r="C367" s="990">
        <f t="shared" si="644"/>
        <v>364</v>
      </c>
      <c r="D367" s="1121" t="s">
        <v>887</v>
      </c>
      <c r="E367" s="1292" t="s">
        <v>1407</v>
      </c>
      <c r="F367" s="1757"/>
      <c r="G367" s="5"/>
      <c r="H367" s="5"/>
      <c r="I367" s="613"/>
      <c r="J367" s="389" t="s">
        <v>1406</v>
      </c>
      <c r="K367" s="389"/>
      <c r="L367" s="72"/>
      <c r="M367" s="72"/>
      <c r="N367" s="389"/>
      <c r="O367" s="389"/>
      <c r="P367" s="1759"/>
      <c r="Q367" s="1867" t="str">
        <f>CHOOSE(2, "6722000003286", "PL (5) BT Cons. Sales ICW")</f>
        <v>PL (5) BT Cons. Sales ICW</v>
      </c>
      <c r="R367" s="2316">
        <f t="shared" ref="R367:AC367" si="726">SUM(R368:R370)</f>
        <v>0</v>
      </c>
      <c r="S367" s="1761">
        <f t="shared" si="726"/>
        <v>0</v>
      </c>
      <c r="T367" s="1761">
        <f t="shared" si="726"/>
        <v>0</v>
      </c>
      <c r="U367" s="1761">
        <f t="shared" si="726"/>
        <v>0</v>
      </c>
      <c r="V367" s="1761">
        <f t="shared" si="726"/>
        <v>0</v>
      </c>
      <c r="W367" s="1761">
        <f t="shared" si="726"/>
        <v>0</v>
      </c>
      <c r="X367" s="1761">
        <f t="shared" si="726"/>
        <v>0</v>
      </c>
      <c r="Y367" s="1761">
        <f t="shared" si="726"/>
        <v>0</v>
      </c>
      <c r="Z367" s="1761">
        <f t="shared" si="726"/>
        <v>0</v>
      </c>
      <c r="AA367" s="1761">
        <f t="shared" si="726"/>
        <v>0</v>
      </c>
      <c r="AB367" s="1761">
        <f t="shared" si="726"/>
        <v>0</v>
      </c>
      <c r="AC367" s="1761">
        <f t="shared" si="726"/>
        <v>0</v>
      </c>
      <c r="AD367" s="1761">
        <f t="shared" ref="AD367:AJ367" si="727">SUM(AD368:AD370)</f>
        <v>0</v>
      </c>
      <c r="AE367" s="1761">
        <f t="shared" si="727"/>
        <v>0</v>
      </c>
      <c r="AF367" s="1761">
        <f t="shared" si="727"/>
        <v>0</v>
      </c>
      <c r="AG367" s="1761">
        <f t="shared" si="727"/>
        <v>0</v>
      </c>
      <c r="AH367" s="1761">
        <f t="shared" si="727"/>
        <v>0</v>
      </c>
      <c r="AI367" s="1761">
        <f t="shared" si="727"/>
        <v>0</v>
      </c>
      <c r="AJ367" s="1761">
        <f t="shared" si="727"/>
        <v>0</v>
      </c>
      <c r="AL367" s="1793">
        <f ca="1">SUM(AL368:AL370)</f>
        <v>0</v>
      </c>
      <c r="AM367" s="1794">
        <f ca="1">SUM(AM368:AM370)</f>
        <v>0</v>
      </c>
      <c r="AN367" s="1795">
        <f t="shared" ca="1" si="675"/>
        <v>0</v>
      </c>
      <c r="AO367" s="1796">
        <f t="shared" ca="1" si="676"/>
        <v>0</v>
      </c>
      <c r="AP367" s="1794">
        <f ca="1">SUM(AP368:AP370)</f>
        <v>0</v>
      </c>
      <c r="AQ367" s="1795">
        <f t="shared" ca="1" si="677"/>
        <v>0</v>
      </c>
      <c r="AR367" s="1796">
        <f t="shared" ca="1" si="678"/>
        <v>0</v>
      </c>
      <c r="AT367" s="1793">
        <f ca="1">SUM(AT368:AT370)</f>
        <v>0</v>
      </c>
      <c r="AU367" s="1794">
        <f ca="1">SUM(AU368:AU370)</f>
        <v>0</v>
      </c>
      <c r="AV367" s="1795">
        <f t="shared" ca="1" si="679"/>
        <v>0</v>
      </c>
      <c r="AW367" s="1796">
        <f t="shared" ca="1" si="680"/>
        <v>0</v>
      </c>
      <c r="AX367" s="1794">
        <f ca="1">SUM(AX368:AX370)</f>
        <v>0</v>
      </c>
      <c r="AY367" s="1795">
        <f t="shared" ca="1" si="681"/>
        <v>0</v>
      </c>
      <c r="AZ367" s="1796">
        <f t="shared" ca="1" si="682"/>
        <v>0</v>
      </c>
      <c r="BB367" s="1793">
        <f ca="1">SUM(BB368:BB370)</f>
        <v>0</v>
      </c>
      <c r="BC367" s="1794">
        <f ca="1">SUM(BC368:BC370)</f>
        <v>0</v>
      </c>
      <c r="BD367" s="1795">
        <f t="shared" ca="1" si="683"/>
        <v>0</v>
      </c>
      <c r="BE367" s="1796">
        <f t="shared" ca="1" si="684"/>
        <v>0</v>
      </c>
      <c r="BF367" s="1794">
        <f ca="1">SUM(BF368:BF370)</f>
        <v>0</v>
      </c>
      <c r="BG367" s="1795">
        <f t="shared" ca="1" si="685"/>
        <v>0</v>
      </c>
      <c r="BH367" s="1796">
        <f t="shared" ca="1" si="686"/>
        <v>0</v>
      </c>
    </row>
    <row r="368" spans="1:60" ht="14.5">
      <c r="A368" s="990">
        <f>A364+1</f>
        <v>334</v>
      </c>
      <c r="B368" s="990">
        <v>1</v>
      </c>
      <c r="C368" s="990">
        <f t="shared" si="644"/>
        <v>365</v>
      </c>
      <c r="D368" s="1121" t="s">
        <v>887</v>
      </c>
      <c r="E368" s="1463" t="s">
        <v>1262</v>
      </c>
      <c r="F368" s="1459"/>
      <c r="G368" s="5"/>
      <c r="H368" s="5"/>
      <c r="I368" s="30"/>
      <c r="J368" s="4"/>
      <c r="K368" s="4" t="s">
        <v>1162</v>
      </c>
      <c r="L368" s="9"/>
      <c r="N368" s="4"/>
      <c r="O368" s="4"/>
      <c r="P368" s="4"/>
      <c r="Q368" s="1855" t="str">
        <f>CHOOSE(2, "6722000003287", "PL (5) BT Cons. Sales ICW ICW-IT")</f>
        <v>PL (5) BT Cons. Sales ICW ICW-IT</v>
      </c>
      <c r="R368" s="2032">
        <v>0</v>
      </c>
      <c r="S368" s="2039">
        <v>0</v>
      </c>
      <c r="T368" s="2039">
        <v>0</v>
      </c>
      <c r="U368" s="2039">
        <v>0</v>
      </c>
      <c r="V368" s="2039">
        <v>0</v>
      </c>
      <c r="W368" s="2039">
        <v>0</v>
      </c>
      <c r="X368" s="2039">
        <v>0</v>
      </c>
      <c r="Y368" s="2039">
        <v>0</v>
      </c>
      <c r="Z368" s="2039">
        <v>0</v>
      </c>
      <c r="AA368" s="2039">
        <v>0</v>
      </c>
      <c r="AB368" s="2039">
        <v>0</v>
      </c>
      <c r="AC368" s="2039">
        <v>0</v>
      </c>
      <c r="AD368" s="89">
        <f>SUM(R368,S368,T368)</f>
        <v>0</v>
      </c>
      <c r="AE368" s="89">
        <f>SUM(U368,V368,W368)</f>
        <v>0</v>
      </c>
      <c r="AF368" s="89">
        <f>SUM(X368,Y368,Z368)</f>
        <v>0</v>
      </c>
      <c r="AG368" s="89">
        <f>SUM(AA368,AB368,AC368)</f>
        <v>0</v>
      </c>
      <c r="AH368" s="89">
        <f>AD368+AE368</f>
        <v>0</v>
      </c>
      <c r="AI368" s="89">
        <f>AG368+AF368</f>
        <v>0</v>
      </c>
      <c r="AJ368" s="89">
        <f>AH368+AI368</f>
        <v>0</v>
      </c>
      <c r="AL368" s="13">
        <f ca="1">SUM((INDIRECT(AL$2&amp;(ROW())):INDIRECT(AL$3&amp;(ROW()))))</f>
        <v>0</v>
      </c>
      <c r="AM368" s="89">
        <f ca="1">SUM(INDIRECT(AM$1&amp;AM$2&amp;$C368):INDIRECT(AM$1&amp;AM$3&amp;$C368))</f>
        <v>0</v>
      </c>
      <c r="AN368" s="880">
        <f t="shared" ca="1" si="675"/>
        <v>0</v>
      </c>
      <c r="AO368" s="931">
        <f t="shared" ca="1" si="676"/>
        <v>0</v>
      </c>
      <c r="AP368" s="89">
        <f ca="1">SUM(INDIRECT(AP$1&amp;AP$2&amp;$A368):INDIRECT(AP$1&amp;AP$3&amp;$A368))+SUM(INDIRECT(AP$1&amp;AP$2&amp;$B368):INDIRECT(AP$1&amp;AP$3&amp;$B368))</f>
        <v>0</v>
      </c>
      <c r="AQ368" s="880">
        <f t="shared" ca="1" si="677"/>
        <v>0</v>
      </c>
      <c r="AR368" s="931">
        <f t="shared" ca="1" si="678"/>
        <v>0</v>
      </c>
      <c r="AT368" s="13">
        <f ca="1">SUM((INDIRECT(AT$2&amp;(ROW())):INDIRECT(AT$3&amp;(ROW()))))</f>
        <v>0</v>
      </c>
      <c r="AU368" s="89">
        <f ca="1">SUM(INDIRECT(AU$1&amp;AU$2&amp;$C368):INDIRECT(AU$1&amp;AU$3&amp;$C368))</f>
        <v>0</v>
      </c>
      <c r="AV368" s="880">
        <f t="shared" ca="1" si="679"/>
        <v>0</v>
      </c>
      <c r="AW368" s="931">
        <f t="shared" ca="1" si="680"/>
        <v>0</v>
      </c>
      <c r="AX368" s="89">
        <f ca="1">SUM(INDIRECT(AX$1&amp;AX$2&amp;$A368):INDIRECT(AX$1&amp;AX$3&amp;$A368))+SUM(INDIRECT(AX$1&amp;AX$2&amp;$B368):INDIRECT(AX$1&amp;AX$3&amp;$B368))</f>
        <v>0</v>
      </c>
      <c r="AY368" s="880">
        <f t="shared" ca="1" si="681"/>
        <v>0</v>
      </c>
      <c r="AZ368" s="931">
        <f t="shared" ca="1" si="682"/>
        <v>0</v>
      </c>
      <c r="BB368" s="13">
        <f ca="1">SUM((INDIRECT(BB$2&amp;(ROW())):INDIRECT(BB$3&amp;(ROW()))))</f>
        <v>0</v>
      </c>
      <c r="BC368" s="89">
        <f ca="1">SUM(INDIRECT(BC$1&amp;BC$2&amp;$C368):INDIRECT(BC$1&amp;BC$3&amp;$C368))</f>
        <v>0</v>
      </c>
      <c r="BD368" s="880">
        <f t="shared" ca="1" si="683"/>
        <v>0</v>
      </c>
      <c r="BE368" s="931">
        <f t="shared" ca="1" si="684"/>
        <v>0</v>
      </c>
      <c r="BF368" s="89">
        <f ca="1">SUM(INDIRECT(BF$1&amp;BF$2&amp;$A368):INDIRECT(BF$1&amp;BF$3&amp;$A368))+SUM(INDIRECT(BF$1&amp;BF$2&amp;$B368):INDIRECT(BF$1&amp;BF$3&amp;$B368))</f>
        <v>0</v>
      </c>
      <c r="BG368" s="880">
        <f t="shared" ca="1" si="685"/>
        <v>0</v>
      </c>
      <c r="BH368" s="931">
        <f t="shared" ca="1" si="686"/>
        <v>0</v>
      </c>
    </row>
    <row r="369" spans="1:60" ht="14.5">
      <c r="A369" s="990">
        <v>1</v>
      </c>
      <c r="B369" s="990">
        <v>1</v>
      </c>
      <c r="C369" s="990">
        <f t="shared" si="644"/>
        <v>366</v>
      </c>
      <c r="D369" s="1121" t="s">
        <v>887</v>
      </c>
      <c r="E369" s="1463" t="s">
        <v>1262</v>
      </c>
      <c r="F369" s="1459"/>
      <c r="G369" s="5"/>
      <c r="H369" s="5"/>
      <c r="I369" s="30"/>
      <c r="J369" s="4"/>
      <c r="K369" s="4" t="s">
        <v>1257</v>
      </c>
      <c r="L369" s="9"/>
      <c r="N369" s="4"/>
      <c r="O369" s="4"/>
      <c r="P369" s="4"/>
      <c r="Q369" s="1855" t="str">
        <f>CHOOSE(2, "6722000003288", "PL (5) BT Cons. Sales ICW ICW-WK")</f>
        <v>PL (5) BT Cons. Sales ICW ICW-WK</v>
      </c>
      <c r="R369" s="2032">
        <v>0</v>
      </c>
      <c r="S369" s="2039">
        <v>0</v>
      </c>
      <c r="T369" s="2039">
        <v>0</v>
      </c>
      <c r="U369" s="2039">
        <v>0</v>
      </c>
      <c r="V369" s="2039">
        <v>0</v>
      </c>
      <c r="W369" s="2039">
        <v>0</v>
      </c>
      <c r="X369" s="2039">
        <v>0</v>
      </c>
      <c r="Y369" s="2039">
        <v>0</v>
      </c>
      <c r="Z369" s="2039">
        <v>0</v>
      </c>
      <c r="AA369" s="2039">
        <v>0</v>
      </c>
      <c r="AB369" s="2039">
        <v>0</v>
      </c>
      <c r="AC369" s="2039">
        <v>0</v>
      </c>
      <c r="AD369" s="89">
        <f>SUM(R369,S369,T369)</f>
        <v>0</v>
      </c>
      <c r="AE369" s="89">
        <f t="shared" ref="AE369:AE370" si="728">SUM(U369,V369,W369)</f>
        <v>0</v>
      </c>
      <c r="AF369" s="89">
        <f t="shared" ref="AF369:AF370" si="729">SUM(X369,Y369,Z369)</f>
        <v>0</v>
      </c>
      <c r="AG369" s="89">
        <f t="shared" ref="AG369:AG370" si="730">SUM(AA369,AB369,AC369)</f>
        <v>0</v>
      </c>
      <c r="AH369" s="89">
        <f t="shared" ref="AH369:AH370" si="731">AD369+AE369</f>
        <v>0</v>
      </c>
      <c r="AI369" s="89">
        <f t="shared" ref="AI369:AI370" si="732">AG369+AF369</f>
        <v>0</v>
      </c>
      <c r="AJ369" s="89">
        <f t="shared" ref="AJ369:AJ370" si="733">AH369+AI369</f>
        <v>0</v>
      </c>
      <c r="AL369" s="13">
        <f ca="1">SUM((INDIRECT(AL$2&amp;(ROW())):INDIRECT(AL$3&amp;(ROW()))))</f>
        <v>0</v>
      </c>
      <c r="AM369" s="89">
        <f ca="1">SUM(INDIRECT(AM$1&amp;AM$2&amp;$C369):INDIRECT(AM$1&amp;AM$3&amp;$C369))</f>
        <v>0</v>
      </c>
      <c r="AN369" s="880">
        <f t="shared" ca="1" si="675"/>
        <v>0</v>
      </c>
      <c r="AO369" s="931">
        <f t="shared" ca="1" si="676"/>
        <v>0</v>
      </c>
      <c r="AP369" s="89">
        <f ca="1">SUM(INDIRECT(AP$1&amp;AP$2&amp;$A369):INDIRECT(AP$1&amp;AP$3&amp;$A369))+SUM(INDIRECT(AP$1&amp;AP$2&amp;$B369):INDIRECT(AP$1&amp;AP$3&amp;$B369))</f>
        <v>0</v>
      </c>
      <c r="AQ369" s="880">
        <f t="shared" ca="1" si="677"/>
        <v>0</v>
      </c>
      <c r="AR369" s="931">
        <f t="shared" ca="1" si="678"/>
        <v>0</v>
      </c>
      <c r="AT369" s="13">
        <f ca="1">SUM((INDIRECT(AT$2&amp;(ROW())):INDIRECT(AT$3&amp;(ROW()))))</f>
        <v>0</v>
      </c>
      <c r="AU369" s="89">
        <f ca="1">SUM(INDIRECT(AU$1&amp;AU$2&amp;$C369):INDIRECT(AU$1&amp;AU$3&amp;$C369))</f>
        <v>0</v>
      </c>
      <c r="AV369" s="880">
        <f t="shared" ca="1" si="679"/>
        <v>0</v>
      </c>
      <c r="AW369" s="931">
        <f t="shared" ca="1" si="680"/>
        <v>0</v>
      </c>
      <c r="AX369" s="89">
        <f ca="1">SUM(INDIRECT(AX$1&amp;AX$2&amp;$A369):INDIRECT(AX$1&amp;AX$3&amp;$A369))+SUM(INDIRECT(AX$1&amp;AX$2&amp;$B369):INDIRECT(AX$1&amp;AX$3&amp;$B369))</f>
        <v>0</v>
      </c>
      <c r="AY369" s="880">
        <f t="shared" ca="1" si="681"/>
        <v>0</v>
      </c>
      <c r="AZ369" s="931">
        <f t="shared" ca="1" si="682"/>
        <v>0</v>
      </c>
      <c r="BB369" s="13">
        <f ca="1">SUM((INDIRECT(BB$2&amp;(ROW())):INDIRECT(BB$3&amp;(ROW()))))</f>
        <v>0</v>
      </c>
      <c r="BC369" s="89">
        <f ca="1">SUM(INDIRECT(BC$1&amp;BC$2&amp;$C369):INDIRECT(BC$1&amp;BC$3&amp;$C369))</f>
        <v>0</v>
      </c>
      <c r="BD369" s="880">
        <f t="shared" ca="1" si="683"/>
        <v>0</v>
      </c>
      <c r="BE369" s="931">
        <f t="shared" ca="1" si="684"/>
        <v>0</v>
      </c>
      <c r="BF369" s="89">
        <f ca="1">SUM(INDIRECT(BF$1&amp;BF$2&amp;$A369):INDIRECT(BF$1&amp;BF$3&amp;$A369))+SUM(INDIRECT(BF$1&amp;BF$2&amp;$B369):INDIRECT(BF$1&amp;BF$3&amp;$B369))</f>
        <v>0</v>
      </c>
      <c r="BG369" s="880">
        <f t="shared" ca="1" si="685"/>
        <v>0</v>
      </c>
      <c r="BH369" s="931">
        <f t="shared" ca="1" si="686"/>
        <v>0</v>
      </c>
    </row>
    <row r="370" spans="1:60" ht="14.5">
      <c r="A370" s="990">
        <v>1</v>
      </c>
      <c r="B370" s="990">
        <v>1</v>
      </c>
      <c r="C370" s="990">
        <f t="shared" si="644"/>
        <v>367</v>
      </c>
      <c r="D370" s="1121" t="s">
        <v>887</v>
      </c>
      <c r="E370" s="1463" t="s">
        <v>1262</v>
      </c>
      <c r="F370" s="1459"/>
      <c r="G370" s="5"/>
      <c r="H370" s="5"/>
      <c r="I370" s="30"/>
      <c r="J370" s="4"/>
      <c r="K370" s="4" t="s">
        <v>1163</v>
      </c>
      <c r="L370" s="9"/>
      <c r="N370" s="4"/>
      <c r="O370" s="4"/>
      <c r="P370" s="4"/>
      <c r="Q370" s="1855" t="str">
        <f>CHOOSE(2, "6722000003289", "PL (5) BT Cons. Sales ICW ICW-P")</f>
        <v>PL (5) BT Cons. Sales ICW ICW-P</v>
      </c>
      <c r="R370" s="2032">
        <v>0</v>
      </c>
      <c r="S370" s="2039">
        <v>0</v>
      </c>
      <c r="T370" s="2039">
        <v>0</v>
      </c>
      <c r="U370" s="2039">
        <v>0</v>
      </c>
      <c r="V370" s="2039">
        <v>0</v>
      </c>
      <c r="W370" s="2039">
        <v>0</v>
      </c>
      <c r="X370" s="2039">
        <v>0</v>
      </c>
      <c r="Y370" s="2039">
        <v>0</v>
      </c>
      <c r="Z370" s="2039">
        <v>0</v>
      </c>
      <c r="AA370" s="2039">
        <v>0</v>
      </c>
      <c r="AB370" s="2039">
        <v>0</v>
      </c>
      <c r="AC370" s="2039">
        <v>0</v>
      </c>
      <c r="AD370" s="89">
        <f>SUM(R370,S370,T370)</f>
        <v>0</v>
      </c>
      <c r="AE370" s="89">
        <f t="shared" si="728"/>
        <v>0</v>
      </c>
      <c r="AF370" s="89">
        <f t="shared" si="729"/>
        <v>0</v>
      </c>
      <c r="AG370" s="89">
        <f t="shared" si="730"/>
        <v>0</v>
      </c>
      <c r="AH370" s="89">
        <f t="shared" si="731"/>
        <v>0</v>
      </c>
      <c r="AI370" s="89">
        <f t="shared" si="732"/>
        <v>0</v>
      </c>
      <c r="AJ370" s="89">
        <f t="shared" si="733"/>
        <v>0</v>
      </c>
      <c r="AL370" s="13">
        <f ca="1">SUM((INDIRECT(AL$2&amp;(ROW())):INDIRECT(AL$3&amp;(ROW()))))</f>
        <v>0</v>
      </c>
      <c r="AM370" s="89">
        <f ca="1">SUM(INDIRECT(AM$1&amp;AM$2&amp;$C370):INDIRECT(AM$1&amp;AM$3&amp;$C370))</f>
        <v>0</v>
      </c>
      <c r="AN370" s="880">
        <f t="shared" ca="1" si="675"/>
        <v>0</v>
      </c>
      <c r="AO370" s="931">
        <f t="shared" ca="1" si="676"/>
        <v>0</v>
      </c>
      <c r="AP370" s="89">
        <f ca="1">SUM(INDIRECT(AP$1&amp;AP$2&amp;$A370):INDIRECT(AP$1&amp;AP$3&amp;$A370))+SUM(INDIRECT(AP$1&amp;AP$2&amp;$B370):INDIRECT(AP$1&amp;AP$3&amp;$B370))</f>
        <v>0</v>
      </c>
      <c r="AQ370" s="880">
        <f t="shared" ca="1" si="677"/>
        <v>0</v>
      </c>
      <c r="AR370" s="931">
        <f t="shared" ca="1" si="678"/>
        <v>0</v>
      </c>
      <c r="AT370" s="13">
        <f ca="1">SUM((INDIRECT(AT$2&amp;(ROW())):INDIRECT(AT$3&amp;(ROW()))))</f>
        <v>0</v>
      </c>
      <c r="AU370" s="89">
        <f ca="1">SUM(INDIRECT(AU$1&amp;AU$2&amp;$C370):INDIRECT(AU$1&amp;AU$3&amp;$C370))</f>
        <v>0</v>
      </c>
      <c r="AV370" s="880">
        <f t="shared" ca="1" si="679"/>
        <v>0</v>
      </c>
      <c r="AW370" s="931">
        <f t="shared" ca="1" si="680"/>
        <v>0</v>
      </c>
      <c r="AX370" s="89">
        <f ca="1">SUM(INDIRECT(AX$1&amp;AX$2&amp;$A370):INDIRECT(AX$1&amp;AX$3&amp;$A370))+SUM(INDIRECT(AX$1&amp;AX$2&amp;$B370):INDIRECT(AX$1&amp;AX$3&amp;$B370))</f>
        <v>0</v>
      </c>
      <c r="AY370" s="880">
        <f t="shared" ca="1" si="681"/>
        <v>0</v>
      </c>
      <c r="AZ370" s="931">
        <f t="shared" ca="1" si="682"/>
        <v>0</v>
      </c>
      <c r="BB370" s="13">
        <f ca="1">SUM((INDIRECT(BB$2&amp;(ROW())):INDIRECT(BB$3&amp;(ROW()))))</f>
        <v>0</v>
      </c>
      <c r="BC370" s="89">
        <f ca="1">SUM(INDIRECT(BC$1&amp;BC$2&amp;$C370):INDIRECT(BC$1&amp;BC$3&amp;$C370))</f>
        <v>0</v>
      </c>
      <c r="BD370" s="880">
        <f t="shared" ca="1" si="683"/>
        <v>0</v>
      </c>
      <c r="BE370" s="931">
        <f t="shared" ca="1" si="684"/>
        <v>0</v>
      </c>
      <c r="BF370" s="89">
        <f ca="1">SUM(INDIRECT(BF$1&amp;BF$2&amp;$A370):INDIRECT(BF$1&amp;BF$3&amp;$A370))+SUM(INDIRECT(BF$1&amp;BF$2&amp;$B370):INDIRECT(BF$1&amp;BF$3&amp;$B370))</f>
        <v>0</v>
      </c>
      <c r="BG370" s="880">
        <f t="shared" ca="1" si="685"/>
        <v>0</v>
      </c>
      <c r="BH370" s="931">
        <f t="shared" ca="1" si="686"/>
        <v>0</v>
      </c>
    </row>
    <row r="371" spans="1:60" ht="14.5">
      <c r="A371" s="990">
        <f>ROW()-3</f>
        <v>368</v>
      </c>
      <c r="B371" s="990">
        <v>1</v>
      </c>
      <c r="C371" s="990">
        <f t="shared" si="644"/>
        <v>368</v>
      </c>
      <c r="D371" s="1121" t="s">
        <v>887</v>
      </c>
      <c r="E371" s="1243">
        <v>1</v>
      </c>
      <c r="F371" s="5"/>
      <c r="G371" s="5"/>
      <c r="H371" s="5"/>
      <c r="I371" s="409" t="s">
        <v>134</v>
      </c>
      <c r="J371" s="417"/>
      <c r="K371" s="405"/>
      <c r="L371" s="405"/>
      <c r="M371" s="405"/>
      <c r="N371" s="405"/>
      <c r="O371" s="405"/>
      <c r="P371" s="580"/>
      <c r="Q371" s="1866" t="str">
        <f>CHOOSE(2, "6722000003290", "PL (5) Gross Profit")</f>
        <v>PL (5) Gross Profit</v>
      </c>
      <c r="R371" s="2063">
        <f t="shared" ref="R371:AC371" si="734">SUM(R381,R385)</f>
        <v>155</v>
      </c>
      <c r="S371" s="2004">
        <f t="shared" si="734"/>
        <v>130</v>
      </c>
      <c r="T371" s="2004">
        <f t="shared" si="734"/>
        <v>184</v>
      </c>
      <c r="U371" s="2004">
        <f t="shared" si="734"/>
        <v>686</v>
      </c>
      <c r="V371" s="2004">
        <f t="shared" si="734"/>
        <v>461</v>
      </c>
      <c r="W371" s="2004">
        <f t="shared" si="734"/>
        <v>22</v>
      </c>
      <c r="X371" s="2004">
        <f t="shared" si="734"/>
        <v>363</v>
      </c>
      <c r="Y371" s="2004">
        <f t="shared" si="734"/>
        <v>407</v>
      </c>
      <c r="Z371" s="2004">
        <f t="shared" si="734"/>
        <v>0</v>
      </c>
      <c r="AA371" s="2004">
        <f t="shared" si="734"/>
        <v>187</v>
      </c>
      <c r="AB371" s="2004">
        <f t="shared" si="734"/>
        <v>362</v>
      </c>
      <c r="AC371" s="2004">
        <f t="shared" si="734"/>
        <v>401</v>
      </c>
      <c r="AD371" s="678">
        <f>SUM(AD381,AD385)</f>
        <v>469</v>
      </c>
      <c r="AE371" s="101">
        <f t="shared" ref="AE371:AJ371" si="735">SUM(AE381,AE385)</f>
        <v>1169</v>
      </c>
      <c r="AF371" s="101">
        <f t="shared" si="735"/>
        <v>770</v>
      </c>
      <c r="AG371" s="101">
        <f t="shared" si="735"/>
        <v>950</v>
      </c>
      <c r="AH371" s="101">
        <f t="shared" si="735"/>
        <v>1638</v>
      </c>
      <c r="AI371" s="101">
        <f t="shared" si="735"/>
        <v>1720</v>
      </c>
      <c r="AJ371" s="101">
        <f t="shared" si="735"/>
        <v>3358</v>
      </c>
      <c r="AL371" s="2063">
        <f ca="1">SUM((INDIRECT(AL$2&amp;(ROW())):INDIRECT(AL$3&amp;(ROW()))))</f>
        <v>401</v>
      </c>
      <c r="AM371" s="101">
        <f ca="1">SUM(INDIRECT(AM$1&amp;AM$2&amp;$C371):INDIRECT(AM$1&amp;AM$3&amp;$C371))</f>
        <v>0</v>
      </c>
      <c r="AN371" s="2522">
        <f t="shared" ca="1" si="675"/>
        <v>401</v>
      </c>
      <c r="AO371" s="1719">
        <f t="shared" ca="1" si="676"/>
        <v>0</v>
      </c>
      <c r="AP371" s="2523">
        <f ca="1">SUM(AP381,AP385)</f>
        <v>59</v>
      </c>
      <c r="AQ371" s="2522">
        <f t="shared" ca="1" si="677"/>
        <v>342</v>
      </c>
      <c r="AR371" s="1719">
        <f t="shared" ca="1" si="678"/>
        <v>6.7966101694915251</v>
      </c>
      <c r="AT371" s="2063">
        <f ca="1">SUM((INDIRECT(AT$2&amp;(ROW())):INDIRECT(AT$3&amp;(ROW()))))</f>
        <v>950</v>
      </c>
      <c r="AU371" s="101">
        <f ca="1">SUM(INDIRECT(AU$1&amp;AU$2&amp;$C371):INDIRECT(AU$1&amp;AU$3&amp;$C371))</f>
        <v>0</v>
      </c>
      <c r="AV371" s="2522">
        <f t="shared" ca="1" si="679"/>
        <v>950</v>
      </c>
      <c r="AW371" s="1719">
        <f t="shared" ca="1" si="680"/>
        <v>0</v>
      </c>
      <c r="AX371" s="2523">
        <f ca="1">SUM(AX381,AX385)</f>
        <v>350</v>
      </c>
      <c r="AY371" s="2522">
        <f t="shared" ca="1" si="681"/>
        <v>600</v>
      </c>
      <c r="AZ371" s="1719">
        <f t="shared" ca="1" si="682"/>
        <v>2.7142857142857144</v>
      </c>
      <c r="BB371" s="2063">
        <f ca="1">SUM((INDIRECT(BB$2&amp;(ROW())):INDIRECT(BB$3&amp;(ROW()))))</f>
        <v>3358</v>
      </c>
      <c r="BC371" s="101">
        <f ca="1">SUM(INDIRECT(BC$1&amp;BC$2&amp;$C371):INDIRECT(BC$1&amp;BC$3&amp;$C371))</f>
        <v>0</v>
      </c>
      <c r="BD371" s="2522">
        <f t="shared" ca="1" si="683"/>
        <v>3358</v>
      </c>
      <c r="BE371" s="1719">
        <f t="shared" ca="1" si="684"/>
        <v>0</v>
      </c>
      <c r="BF371" s="2523">
        <f ca="1">SUM(BF381,BF385)</f>
        <v>2702</v>
      </c>
      <c r="BG371" s="2522">
        <f t="shared" ca="1" si="685"/>
        <v>656</v>
      </c>
      <c r="BH371" s="1719">
        <f t="shared" ca="1" si="686"/>
        <v>1.2427831236121392</v>
      </c>
    </row>
    <row r="372" spans="1:60" ht="14.5">
      <c r="A372" s="990">
        <f>ROW()-3</f>
        <v>369</v>
      </c>
      <c r="B372" s="990">
        <v>1</v>
      </c>
      <c r="C372" s="990">
        <f t="shared" si="644"/>
        <v>369</v>
      </c>
      <c r="D372" s="1121" t="s">
        <v>887</v>
      </c>
      <c r="E372" s="1243">
        <v>1</v>
      </c>
      <c r="F372" s="5"/>
      <c r="G372" s="5"/>
      <c r="H372" s="5"/>
      <c r="I372" s="30"/>
      <c r="J372" s="618"/>
      <c r="K372" s="618" t="s">
        <v>198</v>
      </c>
      <c r="L372" s="5"/>
      <c r="M372" s="5"/>
      <c r="N372" s="5"/>
      <c r="O372" s="587" t="s">
        <v>529</v>
      </c>
      <c r="P372" s="5"/>
      <c r="Q372" s="1850" t="str">
        <f>CHOOSE(2, "6722000003291", "PL (5) Gross Profit (%)")</f>
        <v>PL (5) Gross Profit (%)</v>
      </c>
      <c r="R372" s="2122">
        <f t="shared" ref="R372:AC372" si="736">IFERROR(R371/R353,0)</f>
        <v>0.43055555555555558</v>
      </c>
      <c r="S372" s="622">
        <f t="shared" si="736"/>
        <v>0.49429657794676807</v>
      </c>
      <c r="T372" s="622">
        <f t="shared" si="736"/>
        <v>0.4191343963553531</v>
      </c>
      <c r="U372" s="622">
        <f t="shared" si="736"/>
        <v>0.7440347071583514</v>
      </c>
      <c r="V372" s="622">
        <f t="shared" si="736"/>
        <v>0.12967651195499297</v>
      </c>
      <c r="W372" s="622">
        <f t="shared" si="736"/>
        <v>0.5</v>
      </c>
      <c r="X372" s="622">
        <f t="shared" si="736"/>
        <v>0.51271186440677963</v>
      </c>
      <c r="Y372" s="622">
        <f t="shared" si="736"/>
        <v>0.81399999999999995</v>
      </c>
      <c r="Z372" s="622">
        <f t="shared" si="736"/>
        <v>0</v>
      </c>
      <c r="AA372" s="622">
        <f t="shared" si="736"/>
        <v>0.33754512635379064</v>
      </c>
      <c r="AB372" s="622">
        <f t="shared" si="736"/>
        <v>0.42941874258600238</v>
      </c>
      <c r="AC372" s="622">
        <f t="shared" si="736"/>
        <v>1.4270462633451957</v>
      </c>
      <c r="AD372" s="622">
        <f t="shared" ref="AD372:AJ372" si="737">IFERROR(AD371/AD353,0)</f>
        <v>0.4416195856873823</v>
      </c>
      <c r="AE372" s="622">
        <f t="shared" si="737"/>
        <v>0.25857111258571114</v>
      </c>
      <c r="AF372" s="622">
        <f t="shared" si="737"/>
        <v>0.63741721854304634</v>
      </c>
      <c r="AG372" s="622">
        <f t="shared" si="737"/>
        <v>0.56615017878426699</v>
      </c>
      <c r="AH372" s="622">
        <f t="shared" si="737"/>
        <v>0.29339065018807092</v>
      </c>
      <c r="AI372" s="622">
        <f t="shared" si="737"/>
        <v>0.59598059598059594</v>
      </c>
      <c r="AJ372" s="622">
        <f t="shared" si="737"/>
        <v>0.39650490022434765</v>
      </c>
      <c r="AK372" s="619"/>
      <c r="AL372" s="2122">
        <f ca="1">IFERROR(AL371/AL353,0)</f>
        <v>1.4270462633451957</v>
      </c>
      <c r="AM372" s="622">
        <f ca="1">IFERROR(AM371/AM353,0)</f>
        <v>0</v>
      </c>
      <c r="AN372" s="622">
        <f t="shared" ca="1" si="675"/>
        <v>1.4270462633451957</v>
      </c>
      <c r="AO372" s="938"/>
      <c r="AP372" s="622">
        <f ca="1">IFERROR(AP371/AP353,0)</f>
        <v>0.95161290322580649</v>
      </c>
      <c r="AQ372" s="622">
        <f t="shared" ca="1" si="677"/>
        <v>0.47543336011938919</v>
      </c>
      <c r="AR372" s="938"/>
      <c r="AS372" s="619"/>
      <c r="AT372" s="2122">
        <f ca="1">IFERROR(AT371/AT353,0)</f>
        <v>0.56615017878426699</v>
      </c>
      <c r="AU372" s="622">
        <f ca="1">IFERROR(AU371/AU353,0)</f>
        <v>0</v>
      </c>
      <c r="AV372" s="622">
        <f t="shared" ca="1" si="679"/>
        <v>0.56615017878426699</v>
      </c>
      <c r="AW372" s="938"/>
      <c r="AX372" s="622">
        <f ca="1">IFERROR(AX371/AX353,0)</f>
        <v>0.875</v>
      </c>
      <c r="AY372" s="622">
        <f t="shared" ca="1" si="681"/>
        <v>-0.30884982121573301</v>
      </c>
      <c r="AZ372" s="938"/>
      <c r="BA372" s="619"/>
      <c r="BB372" s="2122">
        <f ca="1">IFERROR(BB371/BB353,0)</f>
        <v>0.39650490022434765</v>
      </c>
      <c r="BC372" s="622">
        <f ca="1">IFERROR(BC371/BC353,0)</f>
        <v>0</v>
      </c>
      <c r="BD372" s="622">
        <f t="shared" ca="1" si="683"/>
        <v>0.39650490022434765</v>
      </c>
      <c r="BE372" s="938"/>
      <c r="BF372" s="622">
        <f ca="1">IFERROR(BF371/BF353,0)</f>
        <v>0.77889881810319972</v>
      </c>
      <c r="BG372" s="622">
        <f t="shared" ca="1" si="685"/>
        <v>-0.38239391787885207</v>
      </c>
      <c r="BH372" s="938"/>
    </row>
    <row r="373" spans="1:60" s="619" customFormat="1" ht="14.5" hidden="1" outlineLevel="1">
      <c r="A373" s="1397">
        <v>340</v>
      </c>
      <c r="B373" s="990">
        <v>1</v>
      </c>
      <c r="C373" s="990">
        <f t="shared" si="644"/>
        <v>370</v>
      </c>
      <c r="D373" s="1121" t="s">
        <v>887</v>
      </c>
      <c r="E373" s="1292" t="s">
        <v>1407</v>
      </c>
      <c r="F373" s="1757"/>
      <c r="G373" s="1241"/>
      <c r="H373" s="616"/>
      <c r="I373" s="617"/>
      <c r="J373" s="1762" t="s">
        <v>1408</v>
      </c>
      <c r="K373" s="1763"/>
      <c r="L373" s="1764"/>
      <c r="M373" s="1765"/>
      <c r="N373" s="1766"/>
      <c r="O373" s="1766"/>
      <c r="P373" s="1766"/>
      <c r="Q373" s="1862" t="str">
        <f>CHOOSE(2, "6722000003292", "PL (5) Gross Profit ITS (%)")</f>
        <v>PL (5) Gross Profit ITS (%)</v>
      </c>
      <c r="R373" s="2317">
        <f t="shared" ref="R373:AC380" si="738">IFERROR(R381/R354,0)</f>
        <v>0.43055555555555558</v>
      </c>
      <c r="S373" s="1767">
        <f t="shared" si="738"/>
        <v>0.49429657794676807</v>
      </c>
      <c r="T373" s="1767">
        <f t="shared" si="738"/>
        <v>0.4191343963553531</v>
      </c>
      <c r="U373" s="1767">
        <f t="shared" si="738"/>
        <v>0.7440347071583514</v>
      </c>
      <c r="V373" s="1767">
        <f t="shared" si="738"/>
        <v>0.12967651195499297</v>
      </c>
      <c r="W373" s="1767">
        <f t="shared" si="738"/>
        <v>0.5</v>
      </c>
      <c r="X373" s="1767">
        <f t="shared" si="738"/>
        <v>0.51271186440677963</v>
      </c>
      <c r="Y373" s="1767">
        <f t="shared" si="738"/>
        <v>0.81399999999999995</v>
      </c>
      <c r="Z373" s="1767">
        <f t="shared" si="738"/>
        <v>0</v>
      </c>
      <c r="AA373" s="1767">
        <f t="shared" si="738"/>
        <v>0.33754512635379064</v>
      </c>
      <c r="AB373" s="1767">
        <f t="shared" si="738"/>
        <v>0.42941874258600238</v>
      </c>
      <c r="AC373" s="1767">
        <f t="shared" si="738"/>
        <v>1.4270462633451957</v>
      </c>
      <c r="AD373" s="1767">
        <f t="shared" ref="AD373:AJ373" si="739">IFERROR(AD381/AD354,0)</f>
        <v>0.4416195856873823</v>
      </c>
      <c r="AE373" s="1767">
        <f t="shared" si="739"/>
        <v>0.25857111258571114</v>
      </c>
      <c r="AF373" s="1767">
        <f t="shared" si="739"/>
        <v>0.63741721854304634</v>
      </c>
      <c r="AG373" s="1767">
        <f t="shared" si="739"/>
        <v>0.56615017878426699</v>
      </c>
      <c r="AH373" s="1767">
        <f t="shared" si="739"/>
        <v>0.29339065018807092</v>
      </c>
      <c r="AI373" s="1767">
        <f t="shared" si="739"/>
        <v>0.59598059598059594</v>
      </c>
      <c r="AJ373" s="1767">
        <f t="shared" si="739"/>
        <v>0.39650490022434765</v>
      </c>
      <c r="AL373" s="2317">
        <f ca="1">IFERROR(AL381/AL358,0)</f>
        <v>0</v>
      </c>
      <c r="AM373" s="1767">
        <f ca="1">IFERROR(AM388/AM358,0)</f>
        <v>0</v>
      </c>
      <c r="AN373" s="1767">
        <f t="shared" ca="1" si="675"/>
        <v>0</v>
      </c>
      <c r="AO373" s="1797"/>
      <c r="AP373" s="1767">
        <f ca="1">IFERROR(AP388/AP358,0)</f>
        <v>0</v>
      </c>
      <c r="AQ373" s="1767">
        <f t="shared" ca="1" si="677"/>
        <v>0</v>
      </c>
      <c r="AR373" s="1797"/>
      <c r="AT373" s="2317">
        <f ca="1">IFERROR(AT381/AT358,0)</f>
        <v>0</v>
      </c>
      <c r="AU373" s="1767">
        <f ca="1">IFERROR(AU388/AU358,0)</f>
        <v>0</v>
      </c>
      <c r="AV373" s="1767">
        <f t="shared" ca="1" si="679"/>
        <v>0</v>
      </c>
      <c r="AW373" s="1797"/>
      <c r="AX373" s="1767">
        <f ca="1">IFERROR(AX388/AX358,0)</f>
        <v>0</v>
      </c>
      <c r="AY373" s="1767">
        <f t="shared" ca="1" si="681"/>
        <v>0</v>
      </c>
      <c r="AZ373" s="1797"/>
      <c r="BB373" s="2317">
        <f ca="1">IFERROR(BB381/BB358,0)</f>
        <v>0</v>
      </c>
      <c r="BC373" s="1767">
        <f ca="1">IFERROR(BC388/BC358,0)</f>
        <v>0</v>
      </c>
      <c r="BD373" s="1767">
        <f t="shared" ca="1" si="683"/>
        <v>0</v>
      </c>
      <c r="BE373" s="1797"/>
      <c r="BF373" s="1767">
        <f ca="1">IFERROR(BF388/BF358,0)</f>
        <v>0</v>
      </c>
      <c r="BG373" s="1767">
        <f t="shared" ca="1" si="685"/>
        <v>0</v>
      </c>
      <c r="BH373" s="1797"/>
    </row>
    <row r="374" spans="1:60" s="619" customFormat="1" ht="14.5" hidden="1" outlineLevel="1">
      <c r="A374" s="1397">
        <v>340</v>
      </c>
      <c r="B374" s="990">
        <v>1</v>
      </c>
      <c r="C374" s="990">
        <f t="shared" si="644"/>
        <v>371</v>
      </c>
      <c r="D374" s="1121" t="s">
        <v>887</v>
      </c>
      <c r="E374" s="1463" t="s">
        <v>1262</v>
      </c>
      <c r="F374" s="1459"/>
      <c r="G374" s="1241"/>
      <c r="H374" s="616"/>
      <c r="I374" s="617"/>
      <c r="J374" s="618"/>
      <c r="K374" s="618" t="s">
        <v>924</v>
      </c>
      <c r="L374" s="616"/>
      <c r="M374" s="1235"/>
      <c r="N374" s="620"/>
      <c r="O374" s="620"/>
      <c r="P374" s="620"/>
      <c r="Q374" s="1857" t="str">
        <f>CHOOSE(2, "6722000003293", "PL (5) Gross Profit ITS (%) IMS (%)")</f>
        <v>PL (5) Gross Profit ITS (%) IMS (%)</v>
      </c>
      <c r="R374" s="2119">
        <f t="shared" si="738"/>
        <v>0</v>
      </c>
      <c r="S374" s="621">
        <f t="shared" si="738"/>
        <v>0</v>
      </c>
      <c r="T374" s="621">
        <f t="shared" si="738"/>
        <v>0</v>
      </c>
      <c r="U374" s="621">
        <f t="shared" si="738"/>
        <v>1</v>
      </c>
      <c r="V374" s="621">
        <f t="shared" si="738"/>
        <v>0</v>
      </c>
      <c r="W374" s="621">
        <f t="shared" si="738"/>
        <v>0</v>
      </c>
      <c r="X374" s="621">
        <f t="shared" si="738"/>
        <v>0.3235294117647059</v>
      </c>
      <c r="Y374" s="621">
        <f t="shared" si="738"/>
        <v>0</v>
      </c>
      <c r="Z374" s="621">
        <f t="shared" si="738"/>
        <v>0</v>
      </c>
      <c r="AA374" s="621">
        <f t="shared" si="738"/>
        <v>0.3235294117647059</v>
      </c>
      <c r="AB374" s="621">
        <f t="shared" si="738"/>
        <v>0</v>
      </c>
      <c r="AC374" s="621">
        <f t="shared" si="738"/>
        <v>0</v>
      </c>
      <c r="AD374" s="621">
        <f t="shared" ref="AD374:AJ374" si="740">IFERROR(AD382/AD355,0)</f>
        <v>0</v>
      </c>
      <c r="AE374" s="621">
        <f t="shared" si="740"/>
        <v>1</v>
      </c>
      <c r="AF374" s="621">
        <f t="shared" si="740"/>
        <v>0.3235294117647059</v>
      </c>
      <c r="AG374" s="621">
        <f t="shared" si="740"/>
        <v>0.3235294117647059</v>
      </c>
      <c r="AH374" s="621">
        <f t="shared" si="740"/>
        <v>1</v>
      </c>
      <c r="AI374" s="621">
        <f t="shared" si="740"/>
        <v>0.3235294117647059</v>
      </c>
      <c r="AJ374" s="621">
        <f t="shared" si="740"/>
        <v>0.5490196078431373</v>
      </c>
      <c r="AL374" s="2119">
        <f ca="1">IFERROR(AL382/AL359,0)</f>
        <v>0</v>
      </c>
      <c r="AM374" s="621">
        <f ca="1">IFERROR(#REF!/AM359,0)</f>
        <v>0</v>
      </c>
      <c r="AN374" s="621">
        <f t="shared" ca="1" si="675"/>
        <v>0</v>
      </c>
      <c r="AO374" s="936"/>
      <c r="AP374" s="621">
        <f ca="1">IFERROR(#REF!/AP359,0)</f>
        <v>0</v>
      </c>
      <c r="AQ374" s="621">
        <f t="shared" ca="1" si="677"/>
        <v>0</v>
      </c>
      <c r="AR374" s="936"/>
      <c r="AT374" s="2119">
        <f ca="1">IFERROR(AT382/AT359,0)</f>
        <v>0</v>
      </c>
      <c r="AU374" s="621">
        <f ca="1">IFERROR(#REF!/AU359,0)</f>
        <v>0</v>
      </c>
      <c r="AV374" s="621">
        <f t="shared" ca="1" si="679"/>
        <v>0</v>
      </c>
      <c r="AW374" s="936"/>
      <c r="AX374" s="621">
        <f ca="1">IFERROR(#REF!/AX359,0)</f>
        <v>0</v>
      </c>
      <c r="AY374" s="621">
        <f t="shared" ca="1" si="681"/>
        <v>0</v>
      </c>
      <c r="AZ374" s="936"/>
      <c r="BB374" s="2119">
        <f ca="1">IFERROR(BB382/BB359,0)</f>
        <v>0</v>
      </c>
      <c r="BC374" s="621">
        <f ca="1">IFERROR(#REF!/BC359,0)</f>
        <v>0</v>
      </c>
      <c r="BD374" s="621">
        <f t="shared" ca="1" si="683"/>
        <v>0</v>
      </c>
      <c r="BE374" s="936"/>
      <c r="BF374" s="621">
        <f ca="1">IFERROR(#REF!/BF359,0)</f>
        <v>0</v>
      </c>
      <c r="BG374" s="621">
        <f t="shared" ca="1" si="685"/>
        <v>0</v>
      </c>
      <c r="BH374" s="936"/>
    </row>
    <row r="375" spans="1:60" s="619" customFormat="1" ht="14.5" hidden="1" outlineLevel="1">
      <c r="A375" s="990">
        <f>A378+1</f>
        <v>342</v>
      </c>
      <c r="B375" s="990">
        <v>1</v>
      </c>
      <c r="C375" s="990">
        <f t="shared" si="644"/>
        <v>372</v>
      </c>
      <c r="D375" s="1121" t="s">
        <v>887</v>
      </c>
      <c r="E375" s="1463" t="s">
        <v>1262</v>
      </c>
      <c r="F375" s="1459"/>
      <c r="G375" s="5"/>
      <c r="H375" s="616"/>
      <c r="I375" s="617"/>
      <c r="J375" s="618"/>
      <c r="K375" s="618" t="s">
        <v>925</v>
      </c>
      <c r="L375" s="616"/>
      <c r="M375" s="1235"/>
      <c r="N375" s="620"/>
      <c r="O375" s="620"/>
      <c r="P375" s="620"/>
      <c r="Q375" s="1857" t="str">
        <f>CHOOSE(2, "6722000003294", "PL (5) Gross Profit ITS (%) MCS (%)")</f>
        <v>PL (5) Gross Profit ITS (%) MCS (%)</v>
      </c>
      <c r="R375" s="2119">
        <f t="shared" si="738"/>
        <v>0.43055555555555558</v>
      </c>
      <c r="S375" s="621">
        <f t="shared" si="738"/>
        <v>0.49429657794676807</v>
      </c>
      <c r="T375" s="621">
        <f t="shared" si="738"/>
        <v>0.4191343963553531</v>
      </c>
      <c r="U375" s="621">
        <f t="shared" si="738"/>
        <v>0.42718446601941745</v>
      </c>
      <c r="V375" s="621">
        <f t="shared" si="738"/>
        <v>0.12967651195499297</v>
      </c>
      <c r="W375" s="621">
        <f t="shared" si="738"/>
        <v>0.5</v>
      </c>
      <c r="X375" s="621">
        <f t="shared" si="738"/>
        <v>1</v>
      </c>
      <c r="Y375" s="621">
        <f t="shared" si="738"/>
        <v>0.81399999999999995</v>
      </c>
      <c r="Z375" s="621">
        <f t="shared" si="738"/>
        <v>0</v>
      </c>
      <c r="AA375" s="621">
        <f t="shared" si="738"/>
        <v>0.5</v>
      </c>
      <c r="AB375" s="621">
        <f t="shared" si="738"/>
        <v>0.42941874258600238</v>
      </c>
      <c r="AC375" s="621">
        <f t="shared" si="738"/>
        <v>1.4270462633451957</v>
      </c>
      <c r="AD375" s="621">
        <f t="shared" ref="AD375:AJ375" si="741">IFERROR(AD383/AD356,0)</f>
        <v>0.4416195856873823</v>
      </c>
      <c r="AE375" s="621">
        <f t="shared" si="741"/>
        <v>0.16429818000498628</v>
      </c>
      <c r="AF375" s="621">
        <f t="shared" si="741"/>
        <v>0.86676217765042984</v>
      </c>
      <c r="AG375" s="621">
        <f t="shared" si="741"/>
        <v>0.6720890410958904</v>
      </c>
      <c r="AH375" s="621">
        <f t="shared" si="741"/>
        <v>0.22235363690124188</v>
      </c>
      <c r="AI375" s="621">
        <f t="shared" si="741"/>
        <v>0.744908896034298</v>
      </c>
      <c r="AJ375" s="621">
        <f t="shared" si="741"/>
        <v>0.36287649517221504</v>
      </c>
      <c r="AL375" s="2119">
        <f ca="1">IFERROR(AL383/AL361,0)</f>
        <v>0</v>
      </c>
      <c r="AM375" s="621">
        <f ca="1">IFERROR(AM383/AM361,0)</f>
        <v>0</v>
      </c>
      <c r="AN375" s="621">
        <f t="shared" ca="1" si="675"/>
        <v>0</v>
      </c>
      <c r="AO375" s="936"/>
      <c r="AP375" s="621">
        <f ca="1">IFERROR(AP383/AP361,0)</f>
        <v>0</v>
      </c>
      <c r="AQ375" s="621">
        <f t="shared" ca="1" si="677"/>
        <v>0</v>
      </c>
      <c r="AR375" s="936"/>
      <c r="AT375" s="2119">
        <f ca="1">IFERROR(AT383/AT361,0)</f>
        <v>0</v>
      </c>
      <c r="AU375" s="621">
        <f ca="1">IFERROR(AU383/AU361,0)</f>
        <v>0</v>
      </c>
      <c r="AV375" s="621">
        <f t="shared" ca="1" si="679"/>
        <v>0</v>
      </c>
      <c r="AW375" s="936"/>
      <c r="AX375" s="621">
        <f ca="1">IFERROR(AX383/AX361,0)</f>
        <v>0</v>
      </c>
      <c r="AY375" s="621">
        <f t="shared" ca="1" si="681"/>
        <v>0</v>
      </c>
      <c r="AZ375" s="936"/>
      <c r="BB375" s="2119">
        <f ca="1">IFERROR(BB383/BB361,0)</f>
        <v>0</v>
      </c>
      <c r="BC375" s="621">
        <f ca="1">IFERROR(BC383/BC361,0)</f>
        <v>0</v>
      </c>
      <c r="BD375" s="621">
        <f t="shared" ca="1" si="683"/>
        <v>0</v>
      </c>
      <c r="BE375" s="936"/>
      <c r="BF375" s="621">
        <f ca="1">IFERROR(BF383/BF361,0)</f>
        <v>0</v>
      </c>
      <c r="BG375" s="621">
        <f t="shared" ca="1" si="685"/>
        <v>0</v>
      </c>
      <c r="BH375" s="936"/>
    </row>
    <row r="376" spans="1:60" s="619" customFormat="1" ht="14.5" hidden="1" outlineLevel="1">
      <c r="A376" s="990">
        <f>A375+1</f>
        <v>343</v>
      </c>
      <c r="B376" s="990">
        <v>1</v>
      </c>
      <c r="C376" s="990">
        <f t="shared" si="644"/>
        <v>373</v>
      </c>
      <c r="D376" s="1121" t="s">
        <v>887</v>
      </c>
      <c r="E376" s="1463" t="s">
        <v>1262</v>
      </c>
      <c r="F376" s="1459"/>
      <c r="G376" s="5"/>
      <c r="H376" s="616"/>
      <c r="I376" s="617"/>
      <c r="J376" s="618"/>
      <c r="K376" s="618" t="s">
        <v>1159</v>
      </c>
      <c r="L376" s="616"/>
      <c r="M376" s="618"/>
      <c r="N376" s="620"/>
      <c r="O376" s="620"/>
      <c r="P376" s="620"/>
      <c r="Q376" s="1857" t="str">
        <f>CHOOSE(2, "6722000003295", "PL (5) Gross Profit ITS (%) BPS (%)")</f>
        <v>PL (5) Gross Profit ITS (%) BPS (%)</v>
      </c>
      <c r="R376" s="2119">
        <f t="shared" si="738"/>
        <v>0</v>
      </c>
      <c r="S376" s="621">
        <f t="shared" si="738"/>
        <v>0</v>
      </c>
      <c r="T376" s="621">
        <f t="shared" si="738"/>
        <v>0</v>
      </c>
      <c r="U376" s="621">
        <f t="shared" si="738"/>
        <v>0</v>
      </c>
      <c r="V376" s="621">
        <f t="shared" si="738"/>
        <v>0</v>
      </c>
      <c r="W376" s="621">
        <f t="shared" si="738"/>
        <v>0</v>
      </c>
      <c r="X376" s="621">
        <f t="shared" si="738"/>
        <v>0</v>
      </c>
      <c r="Y376" s="621">
        <f t="shared" si="738"/>
        <v>0</v>
      </c>
      <c r="Z376" s="621">
        <f t="shared" si="738"/>
        <v>0</v>
      </c>
      <c r="AA376" s="621">
        <f t="shared" si="738"/>
        <v>0</v>
      </c>
      <c r="AB376" s="621">
        <f t="shared" si="738"/>
        <v>0</v>
      </c>
      <c r="AC376" s="621">
        <f t="shared" si="738"/>
        <v>0</v>
      </c>
      <c r="AD376" s="621">
        <f t="shared" ref="AD376:AJ376" si="742">IFERROR(AD384/AD357,0)</f>
        <v>0</v>
      </c>
      <c r="AE376" s="621">
        <f t="shared" si="742"/>
        <v>0</v>
      </c>
      <c r="AF376" s="621">
        <f t="shared" si="742"/>
        <v>0</v>
      </c>
      <c r="AG376" s="621">
        <f t="shared" si="742"/>
        <v>0</v>
      </c>
      <c r="AH376" s="621">
        <f t="shared" si="742"/>
        <v>0</v>
      </c>
      <c r="AI376" s="621">
        <f t="shared" si="742"/>
        <v>0</v>
      </c>
      <c r="AJ376" s="621">
        <f t="shared" si="742"/>
        <v>0</v>
      </c>
      <c r="AL376" s="2119">
        <f ca="1">IFERROR(AL388/#REF!,0)</f>
        <v>0</v>
      </c>
      <c r="AM376" s="621">
        <f ca="1">IFERROR(AM388/#REF!,0)</f>
        <v>0</v>
      </c>
      <c r="AN376" s="621">
        <f t="shared" ca="1" si="675"/>
        <v>0</v>
      </c>
      <c r="AO376" s="936"/>
      <c r="AP376" s="621">
        <f ca="1">IFERROR(AP388/#REF!,0)</f>
        <v>0</v>
      </c>
      <c r="AQ376" s="621">
        <f t="shared" ca="1" si="677"/>
        <v>0</v>
      </c>
      <c r="AR376" s="936"/>
      <c r="AT376" s="2119">
        <f ca="1">IFERROR(AT388/#REF!,0)</f>
        <v>0</v>
      </c>
      <c r="AU376" s="621">
        <f ca="1">IFERROR(AU388/#REF!,0)</f>
        <v>0</v>
      </c>
      <c r="AV376" s="621">
        <f t="shared" ca="1" si="679"/>
        <v>0</v>
      </c>
      <c r="AW376" s="936"/>
      <c r="AX376" s="621">
        <f ca="1">IFERROR(AX388/#REF!,0)</f>
        <v>0</v>
      </c>
      <c r="AY376" s="621">
        <f t="shared" ca="1" si="681"/>
        <v>0</v>
      </c>
      <c r="AZ376" s="936"/>
      <c r="BB376" s="2119">
        <f ca="1">IFERROR(BB388/#REF!,0)</f>
        <v>0</v>
      </c>
      <c r="BC376" s="621">
        <f ca="1">IFERROR(BC388/#REF!,0)</f>
        <v>0</v>
      </c>
      <c r="BD376" s="621">
        <f t="shared" ca="1" si="683"/>
        <v>0</v>
      </c>
      <c r="BE376" s="936"/>
      <c r="BF376" s="621">
        <f ca="1">IFERROR(BF388/#REF!,0)</f>
        <v>0</v>
      </c>
      <c r="BG376" s="621">
        <f t="shared" ca="1" si="685"/>
        <v>0</v>
      </c>
      <c r="BH376" s="936"/>
    </row>
    <row r="377" spans="1:60" s="619" customFormat="1" ht="14.5" hidden="1" outlineLevel="1">
      <c r="A377" s="990">
        <f>A373+1</f>
        <v>341</v>
      </c>
      <c r="B377" s="990">
        <v>1</v>
      </c>
      <c r="C377" s="990">
        <f t="shared" si="644"/>
        <v>374</v>
      </c>
      <c r="D377" s="1121" t="s">
        <v>887</v>
      </c>
      <c r="E377" s="1292" t="s">
        <v>1407</v>
      </c>
      <c r="F377" s="1757"/>
      <c r="G377" s="5"/>
      <c r="H377" s="616"/>
      <c r="I377" s="617"/>
      <c r="J377" s="1762" t="s">
        <v>1409</v>
      </c>
      <c r="K377" s="1763"/>
      <c r="L377" s="1764"/>
      <c r="M377" s="1768"/>
      <c r="N377" s="1766"/>
      <c r="O377" s="1766"/>
      <c r="P377" s="1766"/>
      <c r="Q377" s="1862" t="str">
        <f>CHOOSE(2, "6722000003296", "PL (5) Gross Profit ICW (%)")</f>
        <v>PL (5) Gross Profit ICW (%)</v>
      </c>
      <c r="R377" s="2317">
        <f t="shared" si="738"/>
        <v>0</v>
      </c>
      <c r="S377" s="1767">
        <f t="shared" si="738"/>
        <v>0</v>
      </c>
      <c r="T377" s="1767">
        <f t="shared" si="738"/>
        <v>0</v>
      </c>
      <c r="U377" s="1767">
        <f t="shared" si="738"/>
        <v>0</v>
      </c>
      <c r="V377" s="1767">
        <f t="shared" si="738"/>
        <v>0</v>
      </c>
      <c r="W377" s="1767">
        <f t="shared" si="738"/>
        <v>0</v>
      </c>
      <c r="X377" s="1767">
        <f t="shared" si="738"/>
        <v>0</v>
      </c>
      <c r="Y377" s="1767">
        <f t="shared" si="738"/>
        <v>0</v>
      </c>
      <c r="Z377" s="1767">
        <f t="shared" si="738"/>
        <v>0</v>
      </c>
      <c r="AA377" s="1767">
        <f t="shared" si="738"/>
        <v>0</v>
      </c>
      <c r="AB377" s="1767">
        <f t="shared" si="738"/>
        <v>0</v>
      </c>
      <c r="AC377" s="1767">
        <f t="shared" si="738"/>
        <v>0</v>
      </c>
      <c r="AD377" s="1767">
        <f t="shared" ref="AD377:AJ377" si="743">IFERROR(AD385/AD358,0)</f>
        <v>0</v>
      </c>
      <c r="AE377" s="1767">
        <f t="shared" si="743"/>
        <v>0</v>
      </c>
      <c r="AF377" s="1767">
        <f t="shared" si="743"/>
        <v>0</v>
      </c>
      <c r="AG377" s="1767">
        <f t="shared" si="743"/>
        <v>0</v>
      </c>
      <c r="AH377" s="1767">
        <f t="shared" si="743"/>
        <v>0</v>
      </c>
      <c r="AI377" s="1767">
        <f t="shared" si="743"/>
        <v>0</v>
      </c>
      <c r="AJ377" s="1767">
        <f t="shared" si="743"/>
        <v>0</v>
      </c>
      <c r="AL377" s="2317">
        <f ca="1">IFERROR(AL385/AL355,0)</f>
        <v>0</v>
      </c>
      <c r="AM377" s="1767">
        <f ca="1">IFERROR(AM385/AM355,0)</f>
        <v>0</v>
      </c>
      <c r="AN377" s="1767">
        <f t="shared" ca="1" si="675"/>
        <v>0</v>
      </c>
      <c r="AO377" s="1797"/>
      <c r="AP377" s="1767">
        <f ca="1">IFERROR(AP385/AP355,0)</f>
        <v>0</v>
      </c>
      <c r="AQ377" s="1767">
        <f t="shared" ca="1" si="677"/>
        <v>0</v>
      </c>
      <c r="AR377" s="1797"/>
      <c r="AT377" s="2317">
        <f ca="1">IFERROR(AT385/AT355,0)</f>
        <v>0</v>
      </c>
      <c r="AU377" s="1767">
        <f ca="1">IFERROR(AU385/AU355,0)</f>
        <v>0</v>
      </c>
      <c r="AV377" s="1767">
        <f t="shared" ca="1" si="679"/>
        <v>0</v>
      </c>
      <c r="AW377" s="1797"/>
      <c r="AX377" s="1767">
        <f ca="1">IFERROR(AX385/AX355,0)</f>
        <v>0</v>
      </c>
      <c r="AY377" s="1767">
        <f t="shared" ca="1" si="681"/>
        <v>0</v>
      </c>
      <c r="AZ377" s="1797"/>
      <c r="BB377" s="2317">
        <f ca="1">IFERROR(BB385/BB355,0)</f>
        <v>0</v>
      </c>
      <c r="BC377" s="1767">
        <f ca="1">IFERROR(BC385/BC355,0)</f>
        <v>0</v>
      </c>
      <c r="BD377" s="1767">
        <f t="shared" ca="1" si="683"/>
        <v>0</v>
      </c>
      <c r="BE377" s="1797"/>
      <c r="BF377" s="1767">
        <f ca="1">IFERROR(BF385/BF355,0)</f>
        <v>0</v>
      </c>
      <c r="BG377" s="1767">
        <f t="shared" ca="1" si="685"/>
        <v>0</v>
      </c>
      <c r="BH377" s="1797"/>
    </row>
    <row r="378" spans="1:60" s="619" customFormat="1" ht="14.5" hidden="1" outlineLevel="1">
      <c r="A378" s="990">
        <f>A374+1</f>
        <v>341</v>
      </c>
      <c r="B378" s="990">
        <v>1</v>
      </c>
      <c r="C378" s="990">
        <f t="shared" si="644"/>
        <v>375</v>
      </c>
      <c r="D378" s="1121" t="s">
        <v>887</v>
      </c>
      <c r="E378" s="1463" t="s">
        <v>1262</v>
      </c>
      <c r="F378" s="1459"/>
      <c r="G378" s="5"/>
      <c r="H378" s="616"/>
      <c r="I378" s="617"/>
      <c r="J378" s="618"/>
      <c r="K378" s="618" t="s">
        <v>1158</v>
      </c>
      <c r="L378" s="616"/>
      <c r="M378" s="1770"/>
      <c r="N378" s="620"/>
      <c r="O378" s="620"/>
      <c r="P378" s="620"/>
      <c r="Q378" s="1857" t="str">
        <f>CHOOSE(2, "6722000003297", "PL (5) Gross Profit ICW (%) ICW-IT (%)")</f>
        <v>PL (5) Gross Profit ICW (%) ICW-IT (%)</v>
      </c>
      <c r="R378" s="2119">
        <f t="shared" si="738"/>
        <v>0</v>
      </c>
      <c r="S378" s="621">
        <f t="shared" si="738"/>
        <v>0</v>
      </c>
      <c r="T378" s="621">
        <f t="shared" si="738"/>
        <v>0</v>
      </c>
      <c r="U378" s="621">
        <f t="shared" si="738"/>
        <v>0</v>
      </c>
      <c r="V378" s="621">
        <f t="shared" si="738"/>
        <v>0</v>
      </c>
      <c r="W378" s="621">
        <f t="shared" si="738"/>
        <v>0</v>
      </c>
      <c r="X378" s="621">
        <f t="shared" si="738"/>
        <v>0</v>
      </c>
      <c r="Y378" s="621">
        <f t="shared" si="738"/>
        <v>0</v>
      </c>
      <c r="Z378" s="621">
        <f t="shared" si="738"/>
        <v>0</v>
      </c>
      <c r="AA378" s="621">
        <f t="shared" si="738"/>
        <v>0</v>
      </c>
      <c r="AB378" s="621">
        <f t="shared" si="738"/>
        <v>0</v>
      </c>
      <c r="AC378" s="621">
        <f t="shared" si="738"/>
        <v>0</v>
      </c>
      <c r="AD378" s="621">
        <f t="shared" ref="AD378:AJ378" si="744">IFERROR(AD386/AD359,0)</f>
        <v>0</v>
      </c>
      <c r="AE378" s="621">
        <f t="shared" si="744"/>
        <v>0</v>
      </c>
      <c r="AF378" s="621">
        <f t="shared" si="744"/>
        <v>0</v>
      </c>
      <c r="AG378" s="621">
        <f t="shared" si="744"/>
        <v>0</v>
      </c>
      <c r="AH378" s="621">
        <f t="shared" si="744"/>
        <v>0</v>
      </c>
      <c r="AI378" s="621">
        <f t="shared" si="744"/>
        <v>0</v>
      </c>
      <c r="AJ378" s="621">
        <f t="shared" si="744"/>
        <v>0</v>
      </c>
      <c r="AL378" s="2119">
        <f ca="1">IFERROR(AL386/AL356,0)</f>
        <v>0</v>
      </c>
      <c r="AM378" s="621">
        <f ca="1">IFERROR(AM386/AM356,0)</f>
        <v>0</v>
      </c>
      <c r="AN378" s="621">
        <f t="shared" ca="1" si="675"/>
        <v>0</v>
      </c>
      <c r="AO378" s="936"/>
      <c r="AP378" s="621">
        <f ca="1">IFERROR(AP386/AP356,0)</f>
        <v>0</v>
      </c>
      <c r="AQ378" s="621">
        <f t="shared" ca="1" si="677"/>
        <v>0</v>
      </c>
      <c r="AR378" s="936"/>
      <c r="AT378" s="2119">
        <f ca="1">IFERROR(AT386/AT356,0)</f>
        <v>0</v>
      </c>
      <c r="AU378" s="621">
        <f ca="1">IFERROR(AU386/AU356,0)</f>
        <v>0</v>
      </c>
      <c r="AV378" s="621">
        <f t="shared" ca="1" si="679"/>
        <v>0</v>
      </c>
      <c r="AW378" s="936"/>
      <c r="AX378" s="621">
        <f ca="1">IFERROR(AX386/AX356,0)</f>
        <v>0</v>
      </c>
      <c r="AY378" s="621">
        <f t="shared" ca="1" si="681"/>
        <v>0</v>
      </c>
      <c r="AZ378" s="936"/>
      <c r="BB378" s="2119">
        <f ca="1">IFERROR(BB386/BB356,0)</f>
        <v>0</v>
      </c>
      <c r="BC378" s="621">
        <f ca="1">IFERROR(BC386/BC356,0)</f>
        <v>0</v>
      </c>
      <c r="BD378" s="621">
        <f t="shared" ca="1" si="683"/>
        <v>0</v>
      </c>
      <c r="BE378" s="936"/>
      <c r="BF378" s="621">
        <f ca="1">IFERROR(BF386/BF356,0)</f>
        <v>0</v>
      </c>
      <c r="BG378" s="621">
        <f t="shared" ca="1" si="685"/>
        <v>0</v>
      </c>
      <c r="BH378" s="936"/>
    </row>
    <row r="379" spans="1:60" s="619" customFormat="1" ht="14.5" hidden="1" outlineLevel="1">
      <c r="A379" s="990">
        <v>1</v>
      </c>
      <c r="B379" s="990">
        <v>1</v>
      </c>
      <c r="C379" s="990">
        <f t="shared" si="644"/>
        <v>376</v>
      </c>
      <c r="D379" s="1121" t="s">
        <v>887</v>
      </c>
      <c r="E379" s="1463" t="s">
        <v>1262</v>
      </c>
      <c r="F379" s="1459"/>
      <c r="G379" s="5"/>
      <c r="H379" s="616"/>
      <c r="I379" s="617"/>
      <c r="J379" s="618"/>
      <c r="K379" s="618" t="s">
        <v>1160</v>
      </c>
      <c r="L379" s="616"/>
      <c r="M379" s="1770"/>
      <c r="N379" s="620"/>
      <c r="O379" s="620"/>
      <c r="P379" s="620"/>
      <c r="Q379" s="1857" t="str">
        <f>CHOOSE(2, "6722000003298", "PL (5) Gross Profit ICW (%) ICW-WK (%)")</f>
        <v>PL (5) Gross Profit ICW (%) ICW-WK (%)</v>
      </c>
      <c r="R379" s="2119">
        <f t="shared" si="738"/>
        <v>0</v>
      </c>
      <c r="S379" s="621">
        <f t="shared" si="738"/>
        <v>0</v>
      </c>
      <c r="T379" s="621">
        <f t="shared" si="738"/>
        <v>0</v>
      </c>
      <c r="U379" s="621">
        <f t="shared" si="738"/>
        <v>0</v>
      </c>
      <c r="V379" s="621">
        <f t="shared" si="738"/>
        <v>0</v>
      </c>
      <c r="W379" s="621">
        <f t="shared" si="738"/>
        <v>0</v>
      </c>
      <c r="X379" s="621">
        <f t="shared" si="738"/>
        <v>0</v>
      </c>
      <c r="Y379" s="621">
        <f t="shared" si="738"/>
        <v>0</v>
      </c>
      <c r="Z379" s="621">
        <f t="shared" si="738"/>
        <v>0</v>
      </c>
      <c r="AA379" s="621">
        <f t="shared" si="738"/>
        <v>0</v>
      </c>
      <c r="AB379" s="621">
        <f t="shared" si="738"/>
        <v>0</v>
      </c>
      <c r="AC379" s="621">
        <f t="shared" si="738"/>
        <v>0</v>
      </c>
      <c r="AD379" s="621">
        <f t="shared" ref="AD379:AJ379" si="745">IFERROR(AD387/AD360,0)</f>
        <v>0</v>
      </c>
      <c r="AE379" s="621">
        <f t="shared" si="745"/>
        <v>0</v>
      </c>
      <c r="AF379" s="621">
        <f t="shared" si="745"/>
        <v>0</v>
      </c>
      <c r="AG379" s="621">
        <f t="shared" si="745"/>
        <v>0</v>
      </c>
      <c r="AH379" s="621">
        <f t="shared" si="745"/>
        <v>0</v>
      </c>
      <c r="AI379" s="621">
        <f t="shared" si="745"/>
        <v>0</v>
      </c>
      <c r="AJ379" s="621">
        <f t="shared" si="745"/>
        <v>0</v>
      </c>
      <c r="AL379" s="2119">
        <f ca="1">IFERROR(AL389/AL355,0)</f>
        <v>0</v>
      </c>
      <c r="AM379" s="621">
        <f ca="1">IFERROR(AM389/AM355,0)</f>
        <v>0</v>
      </c>
      <c r="AN379" s="621">
        <f t="shared" ca="1" si="675"/>
        <v>0</v>
      </c>
      <c r="AO379" s="936"/>
      <c r="AP379" s="621">
        <f ca="1">IFERROR(AP389/AP355,0)</f>
        <v>0</v>
      </c>
      <c r="AQ379" s="621">
        <f t="shared" ca="1" si="677"/>
        <v>0</v>
      </c>
      <c r="AR379" s="936"/>
      <c r="AT379" s="2119">
        <f ca="1">IFERROR(AT389/AT355,0)</f>
        <v>10.556430627034612</v>
      </c>
      <c r="AU379" s="621">
        <f ca="1">IFERROR(AU389/AU355,0)</f>
        <v>0</v>
      </c>
      <c r="AV379" s="621">
        <f t="shared" ca="1" si="679"/>
        <v>10.556430627034612</v>
      </c>
      <c r="AW379" s="936"/>
      <c r="AX379" s="621">
        <f ca="1">IFERROR(AX389/AX355,0)</f>
        <v>0</v>
      </c>
      <c r="AY379" s="621">
        <f t="shared" ca="1" si="681"/>
        <v>10.556430627034612</v>
      </c>
      <c r="AZ379" s="936"/>
      <c r="BB379" s="2119">
        <f ca="1">IFERROR(BB389/BB355,0)</f>
        <v>11.757163665197865</v>
      </c>
      <c r="BC379" s="621">
        <f ca="1">IFERROR(BC389/BC355,0)</f>
        <v>0</v>
      </c>
      <c r="BD379" s="621">
        <f t="shared" ca="1" si="683"/>
        <v>11.757163665197865</v>
      </c>
      <c r="BE379" s="936"/>
      <c r="BF379" s="621">
        <f ca="1">IFERROR(BF389/BF355,0)</f>
        <v>232.32307333333333</v>
      </c>
      <c r="BG379" s="621">
        <f t="shared" ca="1" si="685"/>
        <v>-220.56590966813548</v>
      </c>
      <c r="BH379" s="936"/>
    </row>
    <row r="380" spans="1:60" s="619" customFormat="1" ht="14.5" hidden="1" outlineLevel="1">
      <c r="A380" s="990">
        <v>1</v>
      </c>
      <c r="B380" s="990">
        <v>1</v>
      </c>
      <c r="C380" s="990">
        <f t="shared" si="644"/>
        <v>377</v>
      </c>
      <c r="D380" s="1121" t="s">
        <v>887</v>
      </c>
      <c r="E380" s="1463" t="s">
        <v>1262</v>
      </c>
      <c r="F380" s="1459"/>
      <c r="G380" s="5"/>
      <c r="H380" s="616"/>
      <c r="I380" s="617"/>
      <c r="J380" s="618"/>
      <c r="K380" s="618" t="s">
        <v>1161</v>
      </c>
      <c r="L380" s="616"/>
      <c r="M380" s="1770"/>
      <c r="N380" s="620"/>
      <c r="O380" s="620"/>
      <c r="P380" s="620"/>
      <c r="Q380" s="1857" t="str">
        <f>CHOOSE(2, "6722000003299", "PL (5) Gross Profit ICW (%) ICW-P (%)")</f>
        <v>PL (5) Gross Profit ICW (%) ICW-P (%)</v>
      </c>
      <c r="R380" s="2119">
        <f t="shared" si="738"/>
        <v>0</v>
      </c>
      <c r="S380" s="621">
        <f t="shared" si="738"/>
        <v>0</v>
      </c>
      <c r="T380" s="621">
        <f t="shared" si="738"/>
        <v>0</v>
      </c>
      <c r="U380" s="621">
        <f t="shared" si="738"/>
        <v>0</v>
      </c>
      <c r="V380" s="621">
        <f t="shared" si="738"/>
        <v>0</v>
      </c>
      <c r="W380" s="621">
        <f t="shared" si="738"/>
        <v>0</v>
      </c>
      <c r="X380" s="621">
        <f t="shared" si="738"/>
        <v>0</v>
      </c>
      <c r="Y380" s="621">
        <f t="shared" si="738"/>
        <v>0</v>
      </c>
      <c r="Z380" s="621">
        <f t="shared" si="738"/>
        <v>0</v>
      </c>
      <c r="AA380" s="621">
        <f t="shared" si="738"/>
        <v>0</v>
      </c>
      <c r="AB380" s="621">
        <f t="shared" si="738"/>
        <v>0</v>
      </c>
      <c r="AC380" s="621">
        <f t="shared" si="738"/>
        <v>0</v>
      </c>
      <c r="AD380" s="621">
        <f t="shared" ref="AD380:AJ380" si="746">IFERROR(AD388/AD361,0)</f>
        <v>0</v>
      </c>
      <c r="AE380" s="621">
        <f t="shared" si="746"/>
        <v>0</v>
      </c>
      <c r="AF380" s="621">
        <f t="shared" si="746"/>
        <v>0</v>
      </c>
      <c r="AG380" s="621">
        <f t="shared" si="746"/>
        <v>0</v>
      </c>
      <c r="AH380" s="621">
        <f t="shared" si="746"/>
        <v>0</v>
      </c>
      <c r="AI380" s="621">
        <f t="shared" si="746"/>
        <v>0</v>
      </c>
      <c r="AJ380" s="621">
        <f t="shared" si="746"/>
        <v>0</v>
      </c>
      <c r="AL380" s="2119">
        <f ca="1">IFERROR(AL390/AL359,0)</f>
        <v>0</v>
      </c>
      <c r="AM380" s="621">
        <f ca="1">IFERROR(AM390/AM359,0)</f>
        <v>0</v>
      </c>
      <c r="AN380" s="621">
        <f t="shared" ca="1" si="675"/>
        <v>0</v>
      </c>
      <c r="AO380" s="936"/>
      <c r="AP380" s="621">
        <f ca="1">IFERROR(AP390/AP359,0)</f>
        <v>0</v>
      </c>
      <c r="AQ380" s="621">
        <f t="shared" ca="1" si="677"/>
        <v>0</v>
      </c>
      <c r="AR380" s="936"/>
      <c r="AT380" s="2119">
        <f ca="1">IFERROR(AT390/AT359,0)</f>
        <v>0</v>
      </c>
      <c r="AU380" s="621">
        <f ca="1">IFERROR(AU390/AU359,0)</f>
        <v>0</v>
      </c>
      <c r="AV380" s="621">
        <f t="shared" ca="1" si="679"/>
        <v>0</v>
      </c>
      <c r="AW380" s="936"/>
      <c r="AX380" s="621">
        <f ca="1">IFERROR(AX390/AX359,0)</f>
        <v>0</v>
      </c>
      <c r="AY380" s="621">
        <f t="shared" ca="1" si="681"/>
        <v>0</v>
      </c>
      <c r="AZ380" s="936"/>
      <c r="BB380" s="2119">
        <f ca="1">IFERROR(BB390/BB359,0)</f>
        <v>0</v>
      </c>
      <c r="BC380" s="621">
        <f ca="1">IFERROR(BC390/BC359,0)</f>
        <v>0</v>
      </c>
      <c r="BD380" s="621">
        <f t="shared" ca="1" si="683"/>
        <v>0</v>
      </c>
      <c r="BE380" s="936"/>
      <c r="BF380" s="621">
        <f ca="1">IFERROR(BF390/BF359,0)</f>
        <v>0</v>
      </c>
      <c r="BG380" s="621">
        <f t="shared" ca="1" si="685"/>
        <v>0</v>
      </c>
      <c r="BH380" s="936"/>
    </row>
    <row r="381" spans="1:60" s="75" customFormat="1" ht="14.5" collapsed="1">
      <c r="A381" s="990">
        <v>1</v>
      </c>
      <c r="B381" s="990">
        <v>1</v>
      </c>
      <c r="C381" s="990">
        <v>1</v>
      </c>
      <c r="D381" s="1121" t="s">
        <v>887</v>
      </c>
      <c r="E381" s="1292" t="s">
        <v>1407</v>
      </c>
      <c r="F381" s="1757"/>
      <c r="G381" s="5"/>
      <c r="H381" s="5"/>
      <c r="I381" s="1348"/>
      <c r="J381" s="1758" t="s">
        <v>1405</v>
      </c>
      <c r="K381" s="1758"/>
      <c r="L381" s="1759"/>
      <c r="M381" s="1759"/>
      <c r="N381" s="1759"/>
      <c r="O381" s="1760"/>
      <c r="P381" s="1759"/>
      <c r="Q381" s="1867" t="str">
        <f>CHOOSE(2, "6722000003300", "PL (5) Gross Profit ITS")</f>
        <v>PL (5) Gross Profit ITS</v>
      </c>
      <c r="R381" s="2316">
        <f>SUM(R382:R384)</f>
        <v>155</v>
      </c>
      <c r="S381" s="1761">
        <f t="shared" ref="S381:AC381" si="747">SUM(S382:S384)</f>
        <v>130</v>
      </c>
      <c r="T381" s="1761">
        <f t="shared" si="747"/>
        <v>184</v>
      </c>
      <c r="U381" s="1761">
        <f t="shared" si="747"/>
        <v>686</v>
      </c>
      <c r="V381" s="1761">
        <f t="shared" si="747"/>
        <v>461</v>
      </c>
      <c r="W381" s="1761">
        <f t="shared" si="747"/>
        <v>22</v>
      </c>
      <c r="X381" s="1761">
        <f t="shared" si="747"/>
        <v>363</v>
      </c>
      <c r="Y381" s="1761">
        <f t="shared" si="747"/>
        <v>407</v>
      </c>
      <c r="Z381" s="1761">
        <f t="shared" si="747"/>
        <v>0</v>
      </c>
      <c r="AA381" s="1761">
        <f t="shared" si="747"/>
        <v>187</v>
      </c>
      <c r="AB381" s="1761">
        <f t="shared" si="747"/>
        <v>362</v>
      </c>
      <c r="AC381" s="1761">
        <f t="shared" si="747"/>
        <v>401</v>
      </c>
      <c r="AD381" s="1761">
        <f t="shared" ref="AD381" si="748">SUM(AD382:AD384)</f>
        <v>469</v>
      </c>
      <c r="AE381" s="1761">
        <f t="shared" ref="AE381" si="749">SUM(AE382:AE384)</f>
        <v>1169</v>
      </c>
      <c r="AF381" s="1761">
        <f t="shared" ref="AF381" si="750">SUM(AF382:AF384)</f>
        <v>770</v>
      </c>
      <c r="AG381" s="1761">
        <f t="shared" ref="AG381" si="751">SUM(AG382:AG384)</f>
        <v>950</v>
      </c>
      <c r="AH381" s="1761">
        <f t="shared" ref="AH381" si="752">SUM(AH382:AH384)</f>
        <v>1638</v>
      </c>
      <c r="AI381" s="1761">
        <f t="shared" ref="AI381" si="753">SUM(AI382:AI384)</f>
        <v>1720</v>
      </c>
      <c r="AJ381" s="1761">
        <f t="shared" ref="AJ381" si="754">SUM(AJ382:AJ384)</f>
        <v>3358</v>
      </c>
      <c r="AL381" s="2316">
        <f ca="1">SUM(AL382:AL384)</f>
        <v>401</v>
      </c>
      <c r="AM381" s="1761">
        <f ca="1">SUM(AM382:AM384)</f>
        <v>0</v>
      </c>
      <c r="AN381" s="1798">
        <f t="shared" ca="1" si="675"/>
        <v>401</v>
      </c>
      <c r="AO381" s="1799">
        <f t="shared" ref="AO381:AO396" ca="1" si="755">IFERROR(AL381/AM381,0)</f>
        <v>0</v>
      </c>
      <c r="AP381" s="1761">
        <f ca="1">SUM(AP382:AP384)</f>
        <v>59</v>
      </c>
      <c r="AQ381" s="1798">
        <f t="shared" ca="1" si="677"/>
        <v>342</v>
      </c>
      <c r="AR381" s="1799">
        <f t="shared" ref="AR381:AR396" ca="1" si="756">IFERROR(AL381/AP381,0)</f>
        <v>6.7966101694915251</v>
      </c>
      <c r="AS381" s="9"/>
      <c r="AT381" s="2316">
        <f ca="1">SUM(AT382:AT384)</f>
        <v>950</v>
      </c>
      <c r="AU381" s="1761">
        <f ca="1">SUM(AU382:AU384)</f>
        <v>0</v>
      </c>
      <c r="AV381" s="1798">
        <f t="shared" ca="1" si="679"/>
        <v>950</v>
      </c>
      <c r="AW381" s="1799">
        <f t="shared" ref="AW381:AW396" ca="1" si="757">IFERROR(AT381/AU381,0)</f>
        <v>0</v>
      </c>
      <c r="AX381" s="1761">
        <f ca="1">SUM(AX382:AX384)</f>
        <v>350</v>
      </c>
      <c r="AY381" s="1798">
        <f t="shared" ca="1" si="681"/>
        <v>600</v>
      </c>
      <c r="AZ381" s="1799">
        <f t="shared" ref="AZ381:AZ396" ca="1" si="758">IFERROR(AT381/AX381,0)</f>
        <v>2.7142857142857144</v>
      </c>
      <c r="BA381" s="9"/>
      <c r="BB381" s="2316">
        <f ca="1">SUM(BB382:BB384)</f>
        <v>3358</v>
      </c>
      <c r="BC381" s="1761">
        <f ca="1">SUM(BC382:BC384)</f>
        <v>0</v>
      </c>
      <c r="BD381" s="1798">
        <f t="shared" ca="1" si="683"/>
        <v>3358</v>
      </c>
      <c r="BE381" s="1799">
        <f t="shared" ref="BE381:BE396" ca="1" si="759">IFERROR(BB381/BC381,0)</f>
        <v>0</v>
      </c>
      <c r="BF381" s="1761">
        <f ca="1">SUM(BF382:BF384)</f>
        <v>2702</v>
      </c>
      <c r="BG381" s="1798">
        <f t="shared" ca="1" si="685"/>
        <v>656</v>
      </c>
      <c r="BH381" s="1799">
        <f t="shared" ref="BH381:BH396" ca="1" si="760">IFERROR(BB381/BF381,0)</f>
        <v>1.2427831236121392</v>
      </c>
    </row>
    <row r="382" spans="1:60" ht="14.5">
      <c r="A382" s="1397">
        <v>345</v>
      </c>
      <c r="B382" s="990">
        <v>1</v>
      </c>
      <c r="C382" s="990">
        <f>ROW()-3</f>
        <v>379</v>
      </c>
      <c r="D382" s="1121" t="s">
        <v>887</v>
      </c>
      <c r="E382" s="1463" t="s">
        <v>1262</v>
      </c>
      <c r="F382" s="1459"/>
      <c r="G382" s="1241"/>
      <c r="H382" s="5"/>
      <c r="I382" s="30"/>
      <c r="J382" s="4"/>
      <c r="K382" s="4" t="s">
        <v>779</v>
      </c>
      <c r="L382" s="5"/>
      <c r="M382" s="1144"/>
      <c r="N382" s="4"/>
      <c r="O382" s="4"/>
      <c r="P382" s="4"/>
      <c r="Q382" s="1854" t="str">
        <f>CHOOSE(2, "6722000003301", "PL (5) Gross Profit ITS IMS")</f>
        <v>PL (5) Gross Profit ITS IMS</v>
      </c>
      <c r="R382" s="13">
        <f t="shared" ref="R382:AC382" si="761">R795+R826</f>
        <v>0</v>
      </c>
      <c r="S382" s="89">
        <f t="shared" si="761"/>
        <v>0</v>
      </c>
      <c r="T382" s="89">
        <f t="shared" si="761"/>
        <v>0</v>
      </c>
      <c r="U382" s="89">
        <f t="shared" si="761"/>
        <v>510</v>
      </c>
      <c r="V382" s="89">
        <f t="shared" si="761"/>
        <v>0</v>
      </c>
      <c r="W382" s="89">
        <f t="shared" si="761"/>
        <v>0</v>
      </c>
      <c r="X382" s="89">
        <f t="shared" si="761"/>
        <v>165</v>
      </c>
      <c r="Y382" s="89">
        <f t="shared" si="761"/>
        <v>0</v>
      </c>
      <c r="Z382" s="89">
        <f t="shared" si="761"/>
        <v>0</v>
      </c>
      <c r="AA382" s="89">
        <f t="shared" si="761"/>
        <v>165</v>
      </c>
      <c r="AB382" s="89">
        <f t="shared" si="761"/>
        <v>0</v>
      </c>
      <c r="AC382" s="89">
        <f t="shared" si="761"/>
        <v>0</v>
      </c>
      <c r="AD382" s="89">
        <f>SUM(R382,S382,T382)</f>
        <v>0</v>
      </c>
      <c r="AE382" s="89">
        <f t="shared" ref="AE382:AE388" si="762">SUM(U382,V382,W382)</f>
        <v>510</v>
      </c>
      <c r="AF382" s="89">
        <f t="shared" ref="AF382:AF388" si="763">SUM(X382,Y382,Z382)</f>
        <v>165</v>
      </c>
      <c r="AG382" s="89">
        <f t="shared" ref="AG382:AG388" si="764">SUM(AA382,AB382,AC382)</f>
        <v>165</v>
      </c>
      <c r="AH382" s="89">
        <f>AD382+AE382</f>
        <v>510</v>
      </c>
      <c r="AI382" s="89">
        <f>AG382+AF382</f>
        <v>330</v>
      </c>
      <c r="AJ382" s="89">
        <f>AH382+AI382</f>
        <v>840</v>
      </c>
      <c r="AL382" s="13">
        <f ca="1">SUM((INDIRECT(AL$2&amp;(ROW())):INDIRECT(AL$3&amp;(ROW()))))</f>
        <v>0</v>
      </c>
      <c r="AM382" s="89">
        <f ca="1">SUM(INDIRECT(AM$1&amp;AM$2&amp;$C382):INDIRECT(AM$1&amp;AM$3&amp;$C382))</f>
        <v>0</v>
      </c>
      <c r="AN382" s="880">
        <f t="shared" ca="1" si="675"/>
        <v>0</v>
      </c>
      <c r="AO382" s="931">
        <f t="shared" ca="1" si="755"/>
        <v>0</v>
      </c>
      <c r="AP382" s="89">
        <f ca="1">SUM(INDIRECT(AP$1&amp;AP$2&amp;$A382):INDIRECT(AP$1&amp;AP$3&amp;$A382))+SUM(INDIRECT(AP$1&amp;AP$2&amp;$B382):INDIRECT(AP$1&amp;AP$3&amp;$B382))</f>
        <v>0</v>
      </c>
      <c r="AQ382" s="880">
        <f t="shared" ca="1" si="677"/>
        <v>0</v>
      </c>
      <c r="AR382" s="931">
        <f t="shared" ca="1" si="756"/>
        <v>0</v>
      </c>
      <c r="AT382" s="13">
        <f ca="1">SUM((INDIRECT(AT$2&amp;(ROW())):INDIRECT(AT$3&amp;(ROW()))))</f>
        <v>165</v>
      </c>
      <c r="AU382" s="89">
        <f ca="1">SUM(INDIRECT(AU$1&amp;AU$2&amp;$C382):INDIRECT(AU$1&amp;AU$3&amp;$C382))</f>
        <v>0</v>
      </c>
      <c r="AV382" s="880">
        <f t="shared" ca="1" si="679"/>
        <v>165</v>
      </c>
      <c r="AW382" s="931">
        <f t="shared" ca="1" si="757"/>
        <v>0</v>
      </c>
      <c r="AX382" s="89">
        <f ca="1">SUM(INDIRECT(AX$1&amp;AX$2&amp;$A382):INDIRECT(AX$1&amp;AX$3&amp;$A382))+SUM(INDIRECT(AX$1&amp;AX$2&amp;$B382):INDIRECT(AX$1&amp;AX$3&amp;$B382))</f>
        <v>0</v>
      </c>
      <c r="AY382" s="880">
        <f t="shared" ca="1" si="681"/>
        <v>165</v>
      </c>
      <c r="AZ382" s="931">
        <f t="shared" ca="1" si="758"/>
        <v>0</v>
      </c>
      <c r="BB382" s="13">
        <f ca="1">SUM((INDIRECT(BB$2&amp;(ROW())):INDIRECT(BB$3&amp;(ROW()))))</f>
        <v>840</v>
      </c>
      <c r="BC382" s="89">
        <f ca="1">SUM(INDIRECT(BC$1&amp;BC$2&amp;$C382):INDIRECT(BC$1&amp;BC$3&amp;$C382))</f>
        <v>0</v>
      </c>
      <c r="BD382" s="880">
        <f t="shared" ca="1" si="683"/>
        <v>840</v>
      </c>
      <c r="BE382" s="931">
        <f t="shared" ca="1" si="759"/>
        <v>0</v>
      </c>
      <c r="BF382" s="89">
        <f ca="1">SUM(INDIRECT(BF$1&amp;BF$2&amp;$A382):INDIRECT(BF$1&amp;BF$3&amp;$A382))+SUM(INDIRECT(BF$1&amp;BF$2&amp;$B382):INDIRECT(BF$1&amp;BF$3&amp;$B382))</f>
        <v>43</v>
      </c>
      <c r="BG382" s="880">
        <f t="shared" ca="1" si="685"/>
        <v>797</v>
      </c>
      <c r="BH382" s="931">
        <f t="shared" ca="1" si="760"/>
        <v>19.534883720930232</v>
      </c>
    </row>
    <row r="383" spans="1:60" ht="14.5">
      <c r="A383" s="990">
        <f>A386+1</f>
        <v>347</v>
      </c>
      <c r="B383" s="990">
        <v>1</v>
      </c>
      <c r="C383" s="990">
        <f>ROW()-3</f>
        <v>380</v>
      </c>
      <c r="D383" s="1121" t="s">
        <v>887</v>
      </c>
      <c r="E383" s="1463" t="s">
        <v>1262</v>
      </c>
      <c r="F383" s="1459"/>
      <c r="G383" s="5"/>
      <c r="H383" s="5"/>
      <c r="I383" s="30"/>
      <c r="J383" s="4"/>
      <c r="K383" s="4" t="s">
        <v>780</v>
      </c>
      <c r="L383" s="5"/>
      <c r="M383" s="1144"/>
      <c r="N383" s="4"/>
      <c r="O383" s="4"/>
      <c r="P383" s="4"/>
      <c r="Q383" s="1854" t="str">
        <f>CHOOSE(2, "6722000003302", "PL (5) Gross Profit ITS MCS")</f>
        <v>PL (5) Gross Profit ITS MCS</v>
      </c>
      <c r="R383" s="13">
        <f t="shared" ref="R383:AC383" si="765">R805+R828</f>
        <v>155</v>
      </c>
      <c r="S383" s="89">
        <f t="shared" si="765"/>
        <v>130</v>
      </c>
      <c r="T383" s="89">
        <f t="shared" si="765"/>
        <v>184</v>
      </c>
      <c r="U383" s="89">
        <f t="shared" si="765"/>
        <v>176</v>
      </c>
      <c r="V383" s="89">
        <f t="shared" si="765"/>
        <v>461</v>
      </c>
      <c r="W383" s="89">
        <f t="shared" si="765"/>
        <v>22</v>
      </c>
      <c r="X383" s="89">
        <f t="shared" si="765"/>
        <v>198</v>
      </c>
      <c r="Y383" s="89">
        <f t="shared" si="765"/>
        <v>407</v>
      </c>
      <c r="Z383" s="89">
        <f t="shared" si="765"/>
        <v>0</v>
      </c>
      <c r="AA383" s="89">
        <f t="shared" si="765"/>
        <v>22</v>
      </c>
      <c r="AB383" s="89">
        <f t="shared" si="765"/>
        <v>362</v>
      </c>
      <c r="AC383" s="89">
        <f t="shared" si="765"/>
        <v>401</v>
      </c>
      <c r="AD383" s="89">
        <f>SUM(R383,S383,T383)</f>
        <v>469</v>
      </c>
      <c r="AE383" s="89">
        <f t="shared" si="762"/>
        <v>659</v>
      </c>
      <c r="AF383" s="89">
        <f t="shared" si="763"/>
        <v>605</v>
      </c>
      <c r="AG383" s="89">
        <f t="shared" si="764"/>
        <v>785</v>
      </c>
      <c r="AH383" s="89">
        <f>AD383+AE383</f>
        <v>1128</v>
      </c>
      <c r="AI383" s="89">
        <f>AG383+AF383</f>
        <v>1390</v>
      </c>
      <c r="AJ383" s="89">
        <f>AH383+AI383</f>
        <v>2518</v>
      </c>
      <c r="AL383" s="13">
        <f ca="1">SUM((INDIRECT(AL$2&amp;(ROW())):INDIRECT(AL$3&amp;(ROW()))))</f>
        <v>401</v>
      </c>
      <c r="AM383" s="89">
        <f ca="1">SUM(INDIRECT(AM$1&amp;AM$2&amp;$C383):INDIRECT(AM$1&amp;AM$3&amp;$C383))</f>
        <v>0</v>
      </c>
      <c r="AN383" s="880">
        <f t="shared" ca="1" si="675"/>
        <v>401</v>
      </c>
      <c r="AO383" s="931">
        <f t="shared" ca="1" si="755"/>
        <v>0</v>
      </c>
      <c r="AP383" s="89">
        <f ca="1">SUM(INDIRECT(AP$1&amp;AP$2&amp;$A383):INDIRECT(AP$1&amp;AP$3&amp;$A383))+SUM(INDIRECT(AP$1&amp;AP$2&amp;$B383):INDIRECT(AP$1&amp;AP$3&amp;$B383))</f>
        <v>59</v>
      </c>
      <c r="AQ383" s="880">
        <f t="shared" ca="1" si="677"/>
        <v>342</v>
      </c>
      <c r="AR383" s="931">
        <f t="shared" ca="1" si="756"/>
        <v>6.7966101694915251</v>
      </c>
      <c r="AT383" s="13">
        <f ca="1">SUM((INDIRECT(AT$2&amp;(ROW())):INDIRECT(AT$3&amp;(ROW()))))</f>
        <v>785</v>
      </c>
      <c r="AU383" s="89">
        <f ca="1">SUM(INDIRECT(AU$1&amp;AU$2&amp;$C383):INDIRECT(AU$1&amp;AU$3&amp;$C383))</f>
        <v>0</v>
      </c>
      <c r="AV383" s="880">
        <f t="shared" ca="1" si="679"/>
        <v>785</v>
      </c>
      <c r="AW383" s="931">
        <f t="shared" ca="1" si="757"/>
        <v>0</v>
      </c>
      <c r="AX383" s="89">
        <f ca="1">SUM(INDIRECT(AX$1&amp;AX$2&amp;$A383):INDIRECT(AX$1&amp;AX$3&amp;$A383))+SUM(INDIRECT(AX$1&amp;AX$2&amp;$B383):INDIRECT(AX$1&amp;AX$3&amp;$B383))</f>
        <v>350</v>
      </c>
      <c r="AY383" s="880">
        <f t="shared" ca="1" si="681"/>
        <v>435</v>
      </c>
      <c r="AZ383" s="931">
        <f t="shared" ca="1" si="758"/>
        <v>2.2428571428571429</v>
      </c>
      <c r="BB383" s="13">
        <f ca="1">SUM((INDIRECT(BB$2&amp;(ROW())):INDIRECT(BB$3&amp;(ROW()))))</f>
        <v>2518</v>
      </c>
      <c r="BC383" s="89">
        <f ca="1">SUM(INDIRECT(BC$1&amp;BC$2&amp;$C383):INDIRECT(BC$1&amp;BC$3&amp;$C383))</f>
        <v>0</v>
      </c>
      <c r="BD383" s="880">
        <f t="shared" ca="1" si="683"/>
        <v>2518</v>
      </c>
      <c r="BE383" s="931">
        <f t="shared" ca="1" si="759"/>
        <v>0</v>
      </c>
      <c r="BF383" s="89">
        <f ca="1">SUM(INDIRECT(BF$1&amp;BF$2&amp;$A383):INDIRECT(BF$1&amp;BF$3&amp;$A383))+SUM(INDIRECT(BF$1&amp;BF$2&amp;$B383):INDIRECT(BF$1&amp;BF$3&amp;$B383))</f>
        <v>2659</v>
      </c>
      <c r="BG383" s="880">
        <f t="shared" ca="1" si="685"/>
        <v>-141</v>
      </c>
      <c r="BH383" s="931">
        <f t="shared" ca="1" si="760"/>
        <v>0.94697254606995107</v>
      </c>
    </row>
    <row r="384" spans="1:60" ht="14.5">
      <c r="A384" s="990">
        <f>A383+1</f>
        <v>348</v>
      </c>
      <c r="B384" s="990">
        <v>1</v>
      </c>
      <c r="C384" s="990">
        <f>ROW()-3</f>
        <v>381</v>
      </c>
      <c r="D384" s="1121" t="s">
        <v>887</v>
      </c>
      <c r="E384" s="1463" t="s">
        <v>1262</v>
      </c>
      <c r="F384" s="1459"/>
      <c r="G384" s="5"/>
      <c r="H384" s="5"/>
      <c r="I384" s="30"/>
      <c r="J384" s="4"/>
      <c r="K384" s="4" t="s">
        <v>1157</v>
      </c>
      <c r="L384" s="5"/>
      <c r="M384" s="1144"/>
      <c r="N384" s="4"/>
      <c r="O384" s="4"/>
      <c r="P384" s="4"/>
      <c r="Q384" s="1854" t="str">
        <f>CHOOSE(2, "6722000003303", "PL (5) Gross Profit ITS BPS")</f>
        <v>PL (5) Gross Profit ITS BPS</v>
      </c>
      <c r="R384" s="13">
        <f t="shared" ref="R384:AC384" si="766">R810+R829</f>
        <v>0</v>
      </c>
      <c r="S384" s="89">
        <f t="shared" si="766"/>
        <v>0</v>
      </c>
      <c r="T384" s="89">
        <f t="shared" si="766"/>
        <v>0</v>
      </c>
      <c r="U384" s="89">
        <f t="shared" si="766"/>
        <v>0</v>
      </c>
      <c r="V384" s="89">
        <f t="shared" si="766"/>
        <v>0</v>
      </c>
      <c r="W384" s="89">
        <f t="shared" si="766"/>
        <v>0</v>
      </c>
      <c r="X384" s="89">
        <f t="shared" si="766"/>
        <v>0</v>
      </c>
      <c r="Y384" s="89">
        <f t="shared" si="766"/>
        <v>0</v>
      </c>
      <c r="Z384" s="89">
        <f t="shared" si="766"/>
        <v>0</v>
      </c>
      <c r="AA384" s="89">
        <f t="shared" si="766"/>
        <v>0</v>
      </c>
      <c r="AB384" s="89">
        <f t="shared" si="766"/>
        <v>0</v>
      </c>
      <c r="AC384" s="89">
        <f t="shared" si="766"/>
        <v>0</v>
      </c>
      <c r="AD384" s="89">
        <f>SUM(R384,S384,T384)</f>
        <v>0</v>
      </c>
      <c r="AE384" s="89">
        <f t="shared" ref="AE384:AE387" si="767">SUM(U384,V384,W384)</f>
        <v>0</v>
      </c>
      <c r="AF384" s="89">
        <f t="shared" ref="AF384:AF387" si="768">SUM(X384,Y384,Z384)</f>
        <v>0</v>
      </c>
      <c r="AG384" s="89">
        <f t="shared" ref="AG384:AG387" si="769">SUM(AA384,AB384,AC384)</f>
        <v>0</v>
      </c>
      <c r="AH384" s="89">
        <f t="shared" ref="AH384:AH387" si="770">AD384+AE384</f>
        <v>0</v>
      </c>
      <c r="AI384" s="89">
        <f t="shared" ref="AI384:AI387" si="771">AG384+AF384</f>
        <v>0</v>
      </c>
      <c r="AJ384" s="89">
        <f t="shared" ref="AJ384:AJ387" si="772">AH384+AI384</f>
        <v>0</v>
      </c>
      <c r="AL384" s="13">
        <f ca="1">SUM((INDIRECT(AL$2&amp;(ROW())):INDIRECT(AL$3&amp;(ROW()))))</f>
        <v>0</v>
      </c>
      <c r="AM384" s="89">
        <f ca="1">SUM(INDIRECT(AM$1&amp;AM$2&amp;$C384):INDIRECT(AM$1&amp;AM$3&amp;$C384))</f>
        <v>0</v>
      </c>
      <c r="AN384" s="880">
        <f t="shared" ca="1" si="675"/>
        <v>0</v>
      </c>
      <c r="AO384" s="931">
        <f t="shared" ca="1" si="755"/>
        <v>0</v>
      </c>
      <c r="AP384" s="89">
        <f ca="1">SUM(INDIRECT(AP$1&amp;AP$2&amp;$A384):INDIRECT(AP$1&amp;AP$3&amp;$A384))+SUM(INDIRECT(AP$1&amp;AP$2&amp;$B384):INDIRECT(AP$1&amp;AP$3&amp;$B384))</f>
        <v>0</v>
      </c>
      <c r="AQ384" s="880">
        <f t="shared" ca="1" si="677"/>
        <v>0</v>
      </c>
      <c r="AR384" s="931">
        <f t="shared" ca="1" si="756"/>
        <v>0</v>
      </c>
      <c r="AT384" s="13">
        <f ca="1">SUM((INDIRECT(AT$2&amp;(ROW())):INDIRECT(AT$3&amp;(ROW()))))</f>
        <v>0</v>
      </c>
      <c r="AU384" s="89">
        <f ca="1">SUM(INDIRECT(AU$1&amp;AU$2&amp;$C384):INDIRECT(AU$1&amp;AU$3&amp;$C384))</f>
        <v>0</v>
      </c>
      <c r="AV384" s="880">
        <f t="shared" ca="1" si="679"/>
        <v>0</v>
      </c>
      <c r="AW384" s="931">
        <f t="shared" ca="1" si="757"/>
        <v>0</v>
      </c>
      <c r="AX384" s="89">
        <f ca="1">SUM(INDIRECT(AX$1&amp;AX$2&amp;$A384):INDIRECT(AX$1&amp;AX$3&amp;$A384))+SUM(INDIRECT(AX$1&amp;AX$2&amp;$B384):INDIRECT(AX$1&amp;AX$3&amp;$B384))</f>
        <v>0</v>
      </c>
      <c r="AY384" s="880">
        <f t="shared" ca="1" si="681"/>
        <v>0</v>
      </c>
      <c r="AZ384" s="931">
        <f t="shared" ca="1" si="758"/>
        <v>0</v>
      </c>
      <c r="BB384" s="13">
        <f ca="1">SUM((INDIRECT(BB$2&amp;(ROW())):INDIRECT(BB$3&amp;(ROW()))))</f>
        <v>0</v>
      </c>
      <c r="BC384" s="89">
        <f ca="1">SUM(INDIRECT(BC$1&amp;BC$2&amp;$C384):INDIRECT(BC$1&amp;BC$3&amp;$C384))</f>
        <v>0</v>
      </c>
      <c r="BD384" s="880">
        <f t="shared" ca="1" si="683"/>
        <v>0</v>
      </c>
      <c r="BE384" s="931">
        <f t="shared" ca="1" si="759"/>
        <v>0</v>
      </c>
      <c r="BF384" s="89">
        <f ca="1">SUM(INDIRECT(BF$1&amp;BF$2&amp;$A384):INDIRECT(BF$1&amp;BF$3&amp;$A384))+SUM(INDIRECT(BF$1&amp;BF$2&amp;$B384):INDIRECT(BF$1&amp;BF$3&amp;$B384))</f>
        <v>0</v>
      </c>
      <c r="BG384" s="880">
        <f t="shared" ca="1" si="685"/>
        <v>0</v>
      </c>
      <c r="BH384" s="931">
        <f t="shared" ca="1" si="760"/>
        <v>0</v>
      </c>
    </row>
    <row r="385" spans="1:60" ht="14.5">
      <c r="A385" s="990">
        <v>1</v>
      </c>
      <c r="B385" s="990">
        <v>1</v>
      </c>
      <c r="C385" s="990">
        <v>1</v>
      </c>
      <c r="D385" s="1121" t="s">
        <v>887</v>
      </c>
      <c r="E385" s="1292" t="s">
        <v>1407</v>
      </c>
      <c r="F385" s="1757"/>
      <c r="G385" s="5"/>
      <c r="H385" s="5"/>
      <c r="I385" s="613"/>
      <c r="J385" s="389" t="s">
        <v>1406</v>
      </c>
      <c r="K385" s="389"/>
      <c r="L385" s="72"/>
      <c r="M385" s="72"/>
      <c r="N385" s="389"/>
      <c r="O385" s="389"/>
      <c r="P385" s="1759"/>
      <c r="Q385" s="1867" t="str">
        <f>CHOOSE(2, "6722000003304", "PL (5) Gross Profit ICW")</f>
        <v>PL (5) Gross Profit ICW</v>
      </c>
      <c r="R385" s="2316">
        <f t="shared" ref="R385" si="773">SUM(R386:R388)</f>
        <v>0</v>
      </c>
      <c r="S385" s="1761">
        <f t="shared" ref="S385:AC385" si="774">SUM(S386:S388)</f>
        <v>0</v>
      </c>
      <c r="T385" s="1761">
        <f t="shared" si="774"/>
        <v>0</v>
      </c>
      <c r="U385" s="1761">
        <f t="shared" si="774"/>
        <v>0</v>
      </c>
      <c r="V385" s="1761">
        <f t="shared" si="774"/>
        <v>0</v>
      </c>
      <c r="W385" s="1761">
        <f t="shared" si="774"/>
        <v>0</v>
      </c>
      <c r="X385" s="1761">
        <f t="shared" si="774"/>
        <v>0</v>
      </c>
      <c r="Y385" s="1761">
        <f t="shared" si="774"/>
        <v>0</v>
      </c>
      <c r="Z385" s="1761">
        <f t="shared" si="774"/>
        <v>0</v>
      </c>
      <c r="AA385" s="1761">
        <f t="shared" si="774"/>
        <v>0</v>
      </c>
      <c r="AB385" s="1761">
        <f t="shared" si="774"/>
        <v>0</v>
      </c>
      <c r="AC385" s="1761">
        <f t="shared" si="774"/>
        <v>0</v>
      </c>
      <c r="AD385" s="1761">
        <f t="shared" ref="AD385:AJ385" si="775">SUM(AD386:AD388)</f>
        <v>0</v>
      </c>
      <c r="AE385" s="1761">
        <f t="shared" si="775"/>
        <v>0</v>
      </c>
      <c r="AF385" s="1761">
        <f t="shared" si="775"/>
        <v>0</v>
      </c>
      <c r="AG385" s="1761">
        <f t="shared" si="775"/>
        <v>0</v>
      </c>
      <c r="AH385" s="1761">
        <f t="shared" si="775"/>
        <v>0</v>
      </c>
      <c r="AI385" s="1761">
        <f t="shared" si="775"/>
        <v>0</v>
      </c>
      <c r="AJ385" s="1761">
        <f t="shared" si="775"/>
        <v>0</v>
      </c>
      <c r="AL385" s="2316">
        <f ca="1">SUM(AL386:AL388)</f>
        <v>0</v>
      </c>
      <c r="AM385" s="1761">
        <f ca="1">SUM(AM386:AM388)</f>
        <v>0</v>
      </c>
      <c r="AN385" s="1798">
        <f t="shared" ca="1" si="675"/>
        <v>0</v>
      </c>
      <c r="AO385" s="1799">
        <f t="shared" ca="1" si="755"/>
        <v>0</v>
      </c>
      <c r="AP385" s="1761">
        <f ca="1">SUM(AP386:AP388)</f>
        <v>0</v>
      </c>
      <c r="AQ385" s="1798">
        <f t="shared" ca="1" si="677"/>
        <v>0</v>
      </c>
      <c r="AR385" s="1799">
        <f t="shared" ca="1" si="756"/>
        <v>0</v>
      </c>
      <c r="AT385" s="2316">
        <f ca="1">SUM(AT386:AT388)</f>
        <v>0</v>
      </c>
      <c r="AU385" s="1761">
        <f ca="1">SUM(AU386:AU388)</f>
        <v>0</v>
      </c>
      <c r="AV385" s="1798">
        <f t="shared" ca="1" si="679"/>
        <v>0</v>
      </c>
      <c r="AW385" s="1799">
        <f t="shared" ca="1" si="757"/>
        <v>0</v>
      </c>
      <c r="AX385" s="1761">
        <f ca="1">SUM(AX386:AX388)</f>
        <v>0</v>
      </c>
      <c r="AY385" s="1798">
        <f t="shared" ca="1" si="681"/>
        <v>0</v>
      </c>
      <c r="AZ385" s="1799">
        <f t="shared" ca="1" si="758"/>
        <v>0</v>
      </c>
      <c r="BB385" s="2316">
        <f ca="1">SUM(BB386:BB388)</f>
        <v>0</v>
      </c>
      <c r="BC385" s="1761">
        <f ca="1">SUM(BC386:BC388)</f>
        <v>0</v>
      </c>
      <c r="BD385" s="1798">
        <f t="shared" ca="1" si="683"/>
        <v>0</v>
      </c>
      <c r="BE385" s="1799">
        <f t="shared" ca="1" si="759"/>
        <v>0</v>
      </c>
      <c r="BF385" s="1761">
        <f ca="1">SUM(BF386:BF388)</f>
        <v>0</v>
      </c>
      <c r="BG385" s="1798">
        <f t="shared" ca="1" si="685"/>
        <v>0</v>
      </c>
      <c r="BH385" s="1799">
        <f t="shared" ca="1" si="760"/>
        <v>0</v>
      </c>
    </row>
    <row r="386" spans="1:60" ht="14.5">
      <c r="A386" s="990">
        <f>A382+1</f>
        <v>346</v>
      </c>
      <c r="B386" s="990">
        <v>1</v>
      </c>
      <c r="C386" s="990">
        <f t="shared" ref="C386:C449" si="776">ROW()-3</f>
        <v>383</v>
      </c>
      <c r="D386" s="1121" t="s">
        <v>887</v>
      </c>
      <c r="E386" s="1463" t="s">
        <v>1262</v>
      </c>
      <c r="F386" s="1459"/>
      <c r="G386" s="5"/>
      <c r="H386" s="5"/>
      <c r="I386" s="30"/>
      <c r="J386" s="4"/>
      <c r="K386" s="4" t="s">
        <v>1162</v>
      </c>
      <c r="L386" s="5"/>
      <c r="M386" s="4"/>
      <c r="N386" s="4"/>
      <c r="O386" s="4"/>
      <c r="P386" s="4"/>
      <c r="Q386" s="1854" t="str">
        <f>CHOOSE(2, "6722000003305", "PL (5) Gross Profit ICW ICW-IT")</f>
        <v>PL (5) Gross Profit ICW ICW-IT</v>
      </c>
      <c r="R386" s="13">
        <f t="shared" ref="R386:AC386" si="777">R800+R827</f>
        <v>0</v>
      </c>
      <c r="S386" s="89">
        <f t="shared" si="777"/>
        <v>0</v>
      </c>
      <c r="T386" s="89">
        <f t="shared" si="777"/>
        <v>0</v>
      </c>
      <c r="U386" s="89">
        <f t="shared" si="777"/>
        <v>0</v>
      </c>
      <c r="V386" s="89">
        <f t="shared" si="777"/>
        <v>0</v>
      </c>
      <c r="W386" s="89">
        <f t="shared" si="777"/>
        <v>0</v>
      </c>
      <c r="X386" s="89">
        <f t="shared" si="777"/>
        <v>0</v>
      </c>
      <c r="Y386" s="89">
        <f t="shared" si="777"/>
        <v>0</v>
      </c>
      <c r="Z386" s="89">
        <f t="shared" si="777"/>
        <v>0</v>
      </c>
      <c r="AA386" s="89">
        <f t="shared" si="777"/>
        <v>0</v>
      </c>
      <c r="AB386" s="89">
        <f t="shared" si="777"/>
        <v>0</v>
      </c>
      <c r="AC386" s="89">
        <f t="shared" si="777"/>
        <v>0</v>
      </c>
      <c r="AD386" s="89">
        <f>SUM(R386,S386,T386)</f>
        <v>0</v>
      </c>
      <c r="AE386" s="89">
        <f>SUM(U386,V386,W386)</f>
        <v>0</v>
      </c>
      <c r="AF386" s="89">
        <f>SUM(X386,Y386,Z386)</f>
        <v>0</v>
      </c>
      <c r="AG386" s="89">
        <f>SUM(AA386,AB386,AC386)</f>
        <v>0</v>
      </c>
      <c r="AH386" s="89">
        <f>AD386+AE386</f>
        <v>0</v>
      </c>
      <c r="AI386" s="89">
        <f>AG386+AF386</f>
        <v>0</v>
      </c>
      <c r="AJ386" s="89">
        <f>AH386+AI386</f>
        <v>0</v>
      </c>
      <c r="AL386" s="13">
        <f ca="1">SUM((INDIRECT(AL$2&amp;(ROW())):INDIRECT(AL$3&amp;(ROW()))))</f>
        <v>0</v>
      </c>
      <c r="AM386" s="89">
        <f ca="1">SUM(INDIRECT(AM$1&amp;AM$2&amp;$C386):INDIRECT(AM$1&amp;AM$3&amp;$C386))</f>
        <v>0</v>
      </c>
      <c r="AN386" s="880">
        <f t="shared" ca="1" si="675"/>
        <v>0</v>
      </c>
      <c r="AO386" s="931">
        <f t="shared" ca="1" si="755"/>
        <v>0</v>
      </c>
      <c r="AP386" s="89">
        <f ca="1">SUM(INDIRECT(AP$1&amp;AP$2&amp;$A386):INDIRECT(AP$1&amp;AP$3&amp;$A386))+SUM(INDIRECT(AP$1&amp;AP$2&amp;$B386):INDIRECT(AP$1&amp;AP$3&amp;$B386))</f>
        <v>0</v>
      </c>
      <c r="AQ386" s="880">
        <f t="shared" ca="1" si="677"/>
        <v>0</v>
      </c>
      <c r="AR386" s="931">
        <f t="shared" ca="1" si="756"/>
        <v>0</v>
      </c>
      <c r="AT386" s="13">
        <f ca="1">SUM((INDIRECT(AT$2&amp;(ROW())):INDIRECT(AT$3&amp;(ROW()))))</f>
        <v>0</v>
      </c>
      <c r="AU386" s="89">
        <f ca="1">SUM(INDIRECT(AU$1&amp;AU$2&amp;$C386):INDIRECT(AU$1&amp;AU$3&amp;$C386))</f>
        <v>0</v>
      </c>
      <c r="AV386" s="880">
        <f t="shared" ca="1" si="679"/>
        <v>0</v>
      </c>
      <c r="AW386" s="931">
        <f t="shared" ca="1" si="757"/>
        <v>0</v>
      </c>
      <c r="AX386" s="89">
        <f ca="1">SUM(INDIRECT(AX$1&amp;AX$2&amp;$A386):INDIRECT(AX$1&amp;AX$3&amp;$A386))+SUM(INDIRECT(AX$1&amp;AX$2&amp;$B386):INDIRECT(AX$1&amp;AX$3&amp;$B386))</f>
        <v>0</v>
      </c>
      <c r="AY386" s="880">
        <f t="shared" ca="1" si="681"/>
        <v>0</v>
      </c>
      <c r="AZ386" s="931">
        <f t="shared" ca="1" si="758"/>
        <v>0</v>
      </c>
      <c r="BB386" s="13">
        <f ca="1">SUM((INDIRECT(BB$2&amp;(ROW())):INDIRECT(BB$3&amp;(ROW()))))</f>
        <v>0</v>
      </c>
      <c r="BC386" s="89">
        <f ca="1">SUM(INDIRECT(BC$1&amp;BC$2&amp;$C386):INDIRECT(BC$1&amp;BC$3&amp;$C386))</f>
        <v>0</v>
      </c>
      <c r="BD386" s="880">
        <f t="shared" ca="1" si="683"/>
        <v>0</v>
      </c>
      <c r="BE386" s="931">
        <f t="shared" ca="1" si="759"/>
        <v>0</v>
      </c>
      <c r="BF386" s="89">
        <f ca="1">SUM(INDIRECT(BF$1&amp;BF$2&amp;$A386):INDIRECT(BF$1&amp;BF$3&amp;$A386))+SUM(INDIRECT(BF$1&amp;BF$2&amp;$B386):INDIRECT(BF$1&amp;BF$3&amp;$B386))</f>
        <v>0</v>
      </c>
      <c r="BG386" s="880">
        <f t="shared" ca="1" si="685"/>
        <v>0</v>
      </c>
      <c r="BH386" s="931">
        <f t="shared" ca="1" si="760"/>
        <v>0</v>
      </c>
    </row>
    <row r="387" spans="1:60" ht="14.5">
      <c r="A387" s="990">
        <v>1</v>
      </c>
      <c r="B387" s="990">
        <v>1</v>
      </c>
      <c r="C387" s="990">
        <f t="shared" si="776"/>
        <v>384</v>
      </c>
      <c r="D387" s="1121" t="s">
        <v>887</v>
      </c>
      <c r="E387" s="1463" t="s">
        <v>1262</v>
      </c>
      <c r="F387" s="1459"/>
      <c r="G387" s="5"/>
      <c r="H387" s="5"/>
      <c r="I387" s="30"/>
      <c r="J387" s="4"/>
      <c r="K387" s="4" t="s">
        <v>1257</v>
      </c>
      <c r="L387" s="5"/>
      <c r="M387" s="1144"/>
      <c r="N387" s="4"/>
      <c r="O387" s="4"/>
      <c r="P387" s="4"/>
      <c r="Q387" s="1854" t="str">
        <f>CHOOSE(2, "6722000003306", "PL (5) Gross Profit ICW ICW-WK")</f>
        <v>PL (5) Gross Profit ICW ICW-WK</v>
      </c>
      <c r="R387" s="13">
        <f t="shared" ref="R387:AC387" si="778">R815+R830</f>
        <v>0</v>
      </c>
      <c r="S387" s="89">
        <f t="shared" si="778"/>
        <v>0</v>
      </c>
      <c r="T387" s="89">
        <f t="shared" si="778"/>
        <v>0</v>
      </c>
      <c r="U387" s="89">
        <f t="shared" si="778"/>
        <v>0</v>
      </c>
      <c r="V387" s="89">
        <f t="shared" si="778"/>
        <v>0</v>
      </c>
      <c r="W387" s="89">
        <f t="shared" si="778"/>
        <v>0</v>
      </c>
      <c r="X387" s="89">
        <f t="shared" si="778"/>
        <v>0</v>
      </c>
      <c r="Y387" s="89">
        <f t="shared" si="778"/>
        <v>0</v>
      </c>
      <c r="Z387" s="89">
        <f t="shared" si="778"/>
        <v>0</v>
      </c>
      <c r="AA387" s="89">
        <f t="shared" si="778"/>
        <v>0</v>
      </c>
      <c r="AB387" s="89">
        <f t="shared" si="778"/>
        <v>0</v>
      </c>
      <c r="AC387" s="89">
        <f t="shared" si="778"/>
        <v>0</v>
      </c>
      <c r="AD387" s="89">
        <f>SUM(R387,S387,T387)</f>
        <v>0</v>
      </c>
      <c r="AE387" s="89">
        <f t="shared" si="767"/>
        <v>0</v>
      </c>
      <c r="AF387" s="89">
        <f t="shared" si="768"/>
        <v>0</v>
      </c>
      <c r="AG387" s="89">
        <f t="shared" si="769"/>
        <v>0</v>
      </c>
      <c r="AH387" s="89">
        <f t="shared" si="770"/>
        <v>0</v>
      </c>
      <c r="AI387" s="89">
        <f t="shared" si="771"/>
        <v>0</v>
      </c>
      <c r="AJ387" s="89">
        <f t="shared" si="772"/>
        <v>0</v>
      </c>
      <c r="AL387" s="13">
        <f ca="1">SUM((INDIRECT(AL$2&amp;(ROW())):INDIRECT(AL$3&amp;(ROW()))))</f>
        <v>0</v>
      </c>
      <c r="AM387" s="89">
        <f ca="1">SUM(INDIRECT(AM$1&amp;AM$2&amp;$C387):INDIRECT(AM$1&amp;AM$3&amp;$C387))</f>
        <v>0</v>
      </c>
      <c r="AN387" s="880">
        <f t="shared" ca="1" si="675"/>
        <v>0</v>
      </c>
      <c r="AO387" s="931">
        <f t="shared" ca="1" si="755"/>
        <v>0</v>
      </c>
      <c r="AP387" s="89">
        <f ca="1">SUM(INDIRECT(AP$1&amp;AP$2&amp;$A387):INDIRECT(AP$1&amp;AP$3&amp;$A387))+SUM(INDIRECT(AP$1&amp;AP$2&amp;$B387):INDIRECT(AP$1&amp;AP$3&amp;$B387))</f>
        <v>0</v>
      </c>
      <c r="AQ387" s="880">
        <f t="shared" ca="1" si="677"/>
        <v>0</v>
      </c>
      <c r="AR387" s="931">
        <f t="shared" ca="1" si="756"/>
        <v>0</v>
      </c>
      <c r="AT387" s="13">
        <f ca="1">SUM((INDIRECT(AT$2&amp;(ROW())):INDIRECT(AT$3&amp;(ROW()))))</f>
        <v>0</v>
      </c>
      <c r="AU387" s="89">
        <f ca="1">SUM(INDIRECT(AU$1&amp;AU$2&amp;$C387):INDIRECT(AU$1&amp;AU$3&amp;$C387))</f>
        <v>0</v>
      </c>
      <c r="AV387" s="880">
        <f t="shared" ca="1" si="679"/>
        <v>0</v>
      </c>
      <c r="AW387" s="931">
        <f t="shared" ca="1" si="757"/>
        <v>0</v>
      </c>
      <c r="AX387" s="89">
        <f ca="1">SUM(INDIRECT(AX$1&amp;AX$2&amp;$A387):INDIRECT(AX$1&amp;AX$3&amp;$A387))+SUM(INDIRECT(AX$1&amp;AX$2&amp;$B387):INDIRECT(AX$1&amp;AX$3&amp;$B387))</f>
        <v>0</v>
      </c>
      <c r="AY387" s="880">
        <f t="shared" ca="1" si="681"/>
        <v>0</v>
      </c>
      <c r="AZ387" s="931">
        <f t="shared" ca="1" si="758"/>
        <v>0</v>
      </c>
      <c r="BB387" s="13">
        <f ca="1">SUM((INDIRECT(BB$2&amp;(ROW())):INDIRECT(BB$3&amp;(ROW()))))</f>
        <v>0</v>
      </c>
      <c r="BC387" s="89">
        <f ca="1">SUM(INDIRECT(BC$1&amp;BC$2&amp;$C387):INDIRECT(BC$1&amp;BC$3&amp;$C387))</f>
        <v>0</v>
      </c>
      <c r="BD387" s="880">
        <f t="shared" ca="1" si="683"/>
        <v>0</v>
      </c>
      <c r="BE387" s="931">
        <f t="shared" ca="1" si="759"/>
        <v>0</v>
      </c>
      <c r="BF387" s="89">
        <f ca="1">SUM(INDIRECT(BF$1&amp;BF$2&amp;$A387):INDIRECT(BF$1&amp;BF$3&amp;$A387))+SUM(INDIRECT(BF$1&amp;BF$2&amp;$B387):INDIRECT(BF$1&amp;BF$3&amp;$B387))</f>
        <v>0</v>
      </c>
      <c r="BG387" s="880">
        <f t="shared" ca="1" si="685"/>
        <v>0</v>
      </c>
      <c r="BH387" s="931">
        <f t="shared" ca="1" si="760"/>
        <v>0</v>
      </c>
    </row>
    <row r="388" spans="1:60" ht="14.5">
      <c r="A388" s="990">
        <v>1</v>
      </c>
      <c r="B388" s="990">
        <v>1</v>
      </c>
      <c r="C388" s="990">
        <f t="shared" si="776"/>
        <v>385</v>
      </c>
      <c r="D388" s="1121" t="s">
        <v>887</v>
      </c>
      <c r="E388" s="1463" t="s">
        <v>1262</v>
      </c>
      <c r="F388" s="1459"/>
      <c r="G388" s="5"/>
      <c r="H388" s="5"/>
      <c r="I388" s="30"/>
      <c r="J388" s="4"/>
      <c r="K388" s="4" t="s">
        <v>1163</v>
      </c>
      <c r="L388" s="5"/>
      <c r="M388" s="4"/>
      <c r="N388" s="4"/>
      <c r="O388" s="4"/>
      <c r="P388" s="4"/>
      <c r="Q388" s="1854" t="str">
        <f>CHOOSE(2, "6722000003307", "PL (5) Gross Profit ICW ICW-P")</f>
        <v>PL (5) Gross Profit ICW ICW-P</v>
      </c>
      <c r="R388" s="13">
        <f t="shared" ref="R388:AC388" si="779">R820+R831</f>
        <v>0</v>
      </c>
      <c r="S388" s="89">
        <f t="shared" si="779"/>
        <v>0</v>
      </c>
      <c r="T388" s="89">
        <f t="shared" si="779"/>
        <v>0</v>
      </c>
      <c r="U388" s="89">
        <f t="shared" si="779"/>
        <v>0</v>
      </c>
      <c r="V388" s="89">
        <f t="shared" si="779"/>
        <v>0</v>
      </c>
      <c r="W388" s="89">
        <f t="shared" si="779"/>
        <v>0</v>
      </c>
      <c r="X388" s="89">
        <f t="shared" si="779"/>
        <v>0</v>
      </c>
      <c r="Y388" s="89">
        <f t="shared" si="779"/>
        <v>0</v>
      </c>
      <c r="Z388" s="89">
        <f t="shared" si="779"/>
        <v>0</v>
      </c>
      <c r="AA388" s="89">
        <f t="shared" si="779"/>
        <v>0</v>
      </c>
      <c r="AB388" s="89">
        <f t="shared" si="779"/>
        <v>0</v>
      </c>
      <c r="AC388" s="89">
        <f t="shared" si="779"/>
        <v>0</v>
      </c>
      <c r="AD388" s="89">
        <f>SUM(R388,S388,T388)</f>
        <v>0</v>
      </c>
      <c r="AE388" s="89">
        <f t="shared" si="762"/>
        <v>0</v>
      </c>
      <c r="AF388" s="89">
        <f t="shared" si="763"/>
        <v>0</v>
      </c>
      <c r="AG388" s="89">
        <f t="shared" si="764"/>
        <v>0</v>
      </c>
      <c r="AH388" s="89">
        <f>AD388+AE388</f>
        <v>0</v>
      </c>
      <c r="AI388" s="89">
        <f>AG388+AF388</f>
        <v>0</v>
      </c>
      <c r="AJ388" s="89">
        <f>AH388+AI388</f>
        <v>0</v>
      </c>
      <c r="AL388" s="13">
        <f ca="1">SUM((INDIRECT(AL$2&amp;(ROW())):INDIRECT(AL$3&amp;(ROW()))))</f>
        <v>0</v>
      </c>
      <c r="AM388" s="89">
        <f ca="1">SUM(INDIRECT(AM$1&amp;AM$2&amp;$C388):INDIRECT(AM$1&amp;AM$3&amp;$C388))</f>
        <v>0</v>
      </c>
      <c r="AN388" s="880">
        <f t="shared" ca="1" si="675"/>
        <v>0</v>
      </c>
      <c r="AO388" s="931">
        <f t="shared" ca="1" si="755"/>
        <v>0</v>
      </c>
      <c r="AP388" s="89">
        <f ca="1">SUM(INDIRECT(AP$1&amp;AP$2&amp;$A388):INDIRECT(AP$1&amp;AP$3&amp;$A388))+SUM(INDIRECT(AP$1&amp;AP$2&amp;$B388):INDIRECT(AP$1&amp;AP$3&amp;$B388))</f>
        <v>0</v>
      </c>
      <c r="AQ388" s="880">
        <f t="shared" ca="1" si="677"/>
        <v>0</v>
      </c>
      <c r="AR388" s="931">
        <f t="shared" ca="1" si="756"/>
        <v>0</v>
      </c>
      <c r="AT388" s="13">
        <f ca="1">SUM((INDIRECT(AT$2&amp;(ROW())):INDIRECT(AT$3&amp;(ROW()))))</f>
        <v>0</v>
      </c>
      <c r="AU388" s="89">
        <f ca="1">SUM(INDIRECT(AU$1&amp;AU$2&amp;$C388):INDIRECT(AU$1&amp;AU$3&amp;$C388))</f>
        <v>0</v>
      </c>
      <c r="AV388" s="880">
        <f t="shared" ca="1" si="679"/>
        <v>0</v>
      </c>
      <c r="AW388" s="931">
        <f t="shared" ca="1" si="757"/>
        <v>0</v>
      </c>
      <c r="AX388" s="89">
        <f ca="1">SUM(INDIRECT(AX$1&amp;AX$2&amp;$A388):INDIRECT(AX$1&amp;AX$3&amp;$A388))+SUM(INDIRECT(AX$1&amp;AX$2&amp;$B388):INDIRECT(AX$1&amp;AX$3&amp;$B388))</f>
        <v>0</v>
      </c>
      <c r="AY388" s="880">
        <f t="shared" ca="1" si="681"/>
        <v>0</v>
      </c>
      <c r="AZ388" s="931">
        <f t="shared" ca="1" si="758"/>
        <v>0</v>
      </c>
      <c r="BB388" s="13">
        <f ca="1">SUM((INDIRECT(BB$2&amp;(ROW())):INDIRECT(BB$3&amp;(ROW()))))</f>
        <v>0</v>
      </c>
      <c r="BC388" s="89">
        <f ca="1">SUM(INDIRECT(BC$1&amp;BC$2&amp;$C388):INDIRECT(BC$1&amp;BC$3&amp;$C388))</f>
        <v>0</v>
      </c>
      <c r="BD388" s="880">
        <f t="shared" ca="1" si="683"/>
        <v>0</v>
      </c>
      <c r="BE388" s="931">
        <f t="shared" ca="1" si="759"/>
        <v>0</v>
      </c>
      <c r="BF388" s="89">
        <f ca="1">SUM(INDIRECT(BF$1&amp;BF$2&amp;$A388):INDIRECT(BF$1&amp;BF$3&amp;$A388))+SUM(INDIRECT(BF$1&amp;BF$2&amp;$B388):INDIRECT(BF$1&amp;BF$3&amp;$B388))</f>
        <v>0</v>
      </c>
      <c r="BG388" s="880">
        <f t="shared" ca="1" si="685"/>
        <v>0</v>
      </c>
      <c r="BH388" s="931">
        <f t="shared" ca="1" si="760"/>
        <v>0</v>
      </c>
    </row>
    <row r="389" spans="1:60" ht="14.5">
      <c r="A389" s="1397">
        <v>350</v>
      </c>
      <c r="B389" s="990">
        <v>1</v>
      </c>
      <c r="C389" s="990">
        <f t="shared" si="776"/>
        <v>386</v>
      </c>
      <c r="D389" s="1121" t="s">
        <v>887</v>
      </c>
      <c r="E389" s="1243">
        <v>1</v>
      </c>
      <c r="F389" s="5"/>
      <c r="G389" s="5"/>
      <c r="H389" s="5"/>
      <c r="I389" s="409" t="s">
        <v>97</v>
      </c>
      <c r="J389" s="405"/>
      <c r="K389" s="405"/>
      <c r="L389" s="405"/>
      <c r="M389" s="405"/>
      <c r="N389" s="405"/>
      <c r="O389" s="405"/>
      <c r="P389" s="580"/>
      <c r="Q389" s="1866" t="str">
        <f>CHOOSE(2, "6722000003308", "PL (5) SGA Expenses")</f>
        <v>PL (5) SGA Expenses</v>
      </c>
      <c r="R389" s="2063">
        <f>SUM(R390:R391,R396)</f>
        <v>1694</v>
      </c>
      <c r="S389" s="2004">
        <f t="shared" ref="S389:AC389" si="780">SUM(S390:S391,S396)</f>
        <v>1791</v>
      </c>
      <c r="T389" s="2004">
        <f t="shared" si="780"/>
        <v>1557</v>
      </c>
      <c r="U389" s="2004">
        <f t="shared" si="780"/>
        <v>1543</v>
      </c>
      <c r="V389" s="2004">
        <f t="shared" si="780"/>
        <v>1234.1868567744368</v>
      </c>
      <c r="W389" s="2004">
        <f t="shared" si="780"/>
        <v>1032</v>
      </c>
      <c r="X389" s="2004">
        <f t="shared" si="780"/>
        <v>1216</v>
      </c>
      <c r="Y389" s="2004">
        <f t="shared" si="780"/>
        <v>1046.5941841461286</v>
      </c>
      <c r="Z389" s="2004">
        <f t="shared" si="780"/>
        <v>1490.8997470445147</v>
      </c>
      <c r="AA389" s="2004">
        <f t="shared" si="780"/>
        <v>1626.6104702177086</v>
      </c>
      <c r="AB389" s="2004">
        <f t="shared" si="780"/>
        <v>2004.748270848942</v>
      </c>
      <c r="AC389" s="2004">
        <f t="shared" si="780"/>
        <v>1752.4208787210021</v>
      </c>
      <c r="AD389" s="678">
        <f t="shared" ref="AD389:AJ389" si="781">SUM(AD390:AD391,AD396)</f>
        <v>5042</v>
      </c>
      <c r="AE389" s="101">
        <f t="shared" si="781"/>
        <v>3809.1868567744368</v>
      </c>
      <c r="AF389" s="101">
        <f t="shared" si="781"/>
        <v>3753.4939311906433</v>
      </c>
      <c r="AG389" s="101">
        <f t="shared" si="781"/>
        <v>5383.7796197876523</v>
      </c>
      <c r="AH389" s="101">
        <f t="shared" si="781"/>
        <v>8851.1868567744368</v>
      </c>
      <c r="AI389" s="101">
        <f t="shared" si="781"/>
        <v>9137.273550978296</v>
      </c>
      <c r="AJ389" s="101">
        <f t="shared" si="781"/>
        <v>17988.460407752733</v>
      </c>
      <c r="AL389" s="2063">
        <f ca="1">SUM((INDIRECT(AL$2&amp;(ROW())):INDIRECT(AL$3&amp;(ROW()))))</f>
        <v>1752.4208787210021</v>
      </c>
      <c r="AM389" s="101">
        <f ca="1">SUM(INDIRECT(AM$1&amp;AM$2&amp;$C389):INDIRECT(AM$1&amp;AM$3&amp;$C389))</f>
        <v>0</v>
      </c>
      <c r="AN389" s="2522">
        <f t="shared" ca="1" si="675"/>
        <v>1752.4208787210021</v>
      </c>
      <c r="AO389" s="1719">
        <f t="shared" ca="1" si="755"/>
        <v>0</v>
      </c>
      <c r="AP389" s="2523">
        <f ca="1">SUM(AP390:AP391,AP396)</f>
        <v>2668.3843999999999</v>
      </c>
      <c r="AQ389" s="2522">
        <f t="shared" ca="1" si="677"/>
        <v>-915.96352127899786</v>
      </c>
      <c r="AR389" s="1719">
        <f t="shared" ca="1" si="756"/>
        <v>0.65673479380294764</v>
      </c>
      <c r="AT389" s="2063">
        <f ca="1">SUM((INDIRECT(AT$2&amp;(ROW())):INDIRECT(AT$3&amp;(ROW()))))</f>
        <v>5383.7796197876523</v>
      </c>
      <c r="AU389" s="101">
        <f ca="1">SUM(INDIRECT(AU$1&amp;AU$2&amp;$C389):INDIRECT(AU$1&amp;AU$3&amp;$C389))</f>
        <v>0</v>
      </c>
      <c r="AV389" s="2522">
        <f t="shared" ca="1" si="679"/>
        <v>5383.7796197876523</v>
      </c>
      <c r="AW389" s="1719">
        <f t="shared" ca="1" si="757"/>
        <v>0</v>
      </c>
      <c r="AX389" s="2523">
        <f ca="1">SUM(AX390:AX391,AX396)</f>
        <v>5735.3843999999999</v>
      </c>
      <c r="AY389" s="2522">
        <f t="shared" ca="1" si="681"/>
        <v>-351.60478021234758</v>
      </c>
      <c r="AZ389" s="1719">
        <f t="shared" ca="1" si="758"/>
        <v>0.93869551616935254</v>
      </c>
      <c r="BB389" s="2063">
        <f ca="1">SUM((INDIRECT(BB$2&amp;(ROW())):INDIRECT(BB$3&amp;(ROW()))))</f>
        <v>17988.460407752733</v>
      </c>
      <c r="BC389" s="101">
        <f ca="1">SUM(INDIRECT(BC$1&amp;BC$2&amp;$C389):INDIRECT(BC$1&amp;BC$3&amp;$C389))</f>
        <v>0</v>
      </c>
      <c r="BD389" s="2522">
        <f t="shared" ca="1" si="683"/>
        <v>17988.460407752733</v>
      </c>
      <c r="BE389" s="1719">
        <f t="shared" ca="1" si="759"/>
        <v>0</v>
      </c>
      <c r="BF389" s="2523">
        <f ca="1">SUM(BF390:BF391,BF396)</f>
        <v>13939.384399999999</v>
      </c>
      <c r="BG389" s="2522">
        <f t="shared" ca="1" si="685"/>
        <v>4049.0760077527339</v>
      </c>
      <c r="BH389" s="1719">
        <f t="shared" ca="1" si="760"/>
        <v>1.2904773906480931</v>
      </c>
    </row>
    <row r="390" spans="1:60" ht="14.5">
      <c r="A390" s="990">
        <f>A389+1</f>
        <v>351</v>
      </c>
      <c r="B390" s="990">
        <v>1</v>
      </c>
      <c r="C390" s="990">
        <f t="shared" si="776"/>
        <v>387</v>
      </c>
      <c r="D390" s="1121" t="s">
        <v>887</v>
      </c>
      <c r="E390" s="1243">
        <v>1</v>
      </c>
      <c r="F390" s="5"/>
      <c r="G390" s="5"/>
      <c r="H390" s="5"/>
      <c r="I390" s="30"/>
      <c r="J390" s="40"/>
      <c r="K390" s="1386" t="s">
        <v>170</v>
      </c>
      <c r="L390" s="1387"/>
      <c r="M390" s="1141"/>
      <c r="N390" s="1141"/>
      <c r="O390" s="1141"/>
      <c r="P390" s="1141"/>
      <c r="Q390" s="1855" t="str">
        <f>CHOOSE(2, "6722000003309", "PL (5) SGA Expenses Variable Expenses")</f>
        <v>PL (5) SGA Expenses Variable Expenses</v>
      </c>
      <c r="R390" s="2210">
        <v>30</v>
      </c>
      <c r="S390" s="2087">
        <v>21</v>
      </c>
      <c r="T390" s="2087">
        <v>44</v>
      </c>
      <c r="U390" s="2087">
        <v>33</v>
      </c>
      <c r="V390" s="2087">
        <v>140.57616273656043</v>
      </c>
      <c r="W390" s="2087">
        <v>36</v>
      </c>
      <c r="X390" s="2087">
        <v>139</v>
      </c>
      <c r="Y390" s="2087">
        <v>46.497217636828026</v>
      </c>
      <c r="Z390" s="2087">
        <v>95.754747044514701</v>
      </c>
      <c r="AA390" s="2087">
        <v>51.465470217708592</v>
      </c>
      <c r="AB390" s="2087">
        <v>392.60327084894192</v>
      </c>
      <c r="AC390" s="2087">
        <v>46.280071758696181</v>
      </c>
      <c r="AD390" s="581">
        <f t="shared" ref="AD390:AD404" si="782">SUM(R390,S390,T390)</f>
        <v>95</v>
      </c>
      <c r="AE390" s="581">
        <f>SUM(U390,V390,W390)</f>
        <v>209.57616273656043</v>
      </c>
      <c r="AF390" s="581">
        <f t="shared" ref="AF390:AF404" si="783">SUM(X390,Y390,Z390)</f>
        <v>281.25196468134271</v>
      </c>
      <c r="AG390" s="581">
        <f t="shared" ref="AG390:AG404" si="784">SUM(AA390,AB390,AC390)</f>
        <v>490.34881282534667</v>
      </c>
      <c r="AH390" s="581">
        <f>AD390+AE390</f>
        <v>304.57616273656043</v>
      </c>
      <c r="AI390" s="581">
        <f>AG390+AF390</f>
        <v>771.60077750668938</v>
      </c>
      <c r="AJ390" s="581">
        <f>AH390+AI390</f>
        <v>1076.1769402432499</v>
      </c>
      <c r="AL390" s="859">
        <f ca="1">SUM((INDIRECT(AL$2&amp;(ROW())):INDIRECT(AL$3&amp;(ROW()))))</f>
        <v>46.280071758696181</v>
      </c>
      <c r="AM390" s="581">
        <f ca="1">SUM(INDIRECT(AM$1&amp;AM$2&amp;$C390):INDIRECT(AM$1&amp;AM$3&amp;$C390))</f>
        <v>0</v>
      </c>
      <c r="AN390" s="882">
        <f t="shared" ca="1" si="675"/>
        <v>46.280071758696181</v>
      </c>
      <c r="AO390" s="933">
        <f t="shared" ca="1" si="755"/>
        <v>0</v>
      </c>
      <c r="AP390" s="2174">
        <f ca="1">SUM(INDIRECT(AP$1&amp;AP$2&amp;$A390):INDIRECT(AP$1&amp;AP$3&amp;$A390))+SUM(INDIRECT(AP$1&amp;AP$2&amp;$B390):INDIRECT(AP$1&amp;AP$3&amp;$B390))</f>
        <v>1193</v>
      </c>
      <c r="AQ390" s="1378">
        <f t="shared" ca="1" si="677"/>
        <v>-1146.7199282413039</v>
      </c>
      <c r="AR390" s="1379">
        <f t="shared" ca="1" si="756"/>
        <v>3.8793019076861848E-2</v>
      </c>
      <c r="AS390" s="75"/>
      <c r="AT390" s="859">
        <f ca="1">SUM((INDIRECT(AT$2&amp;(ROW())):INDIRECT(AT$3&amp;(ROW()))))</f>
        <v>490.34881282534667</v>
      </c>
      <c r="AU390" s="581">
        <f ca="1">SUM(INDIRECT(AU$1&amp;AU$2&amp;$C390):INDIRECT(AU$1&amp;AU$3&amp;$C390))</f>
        <v>0</v>
      </c>
      <c r="AV390" s="882">
        <f t="shared" ca="1" si="679"/>
        <v>490.34881282534667</v>
      </c>
      <c r="AW390" s="933">
        <f t="shared" ca="1" si="757"/>
        <v>0</v>
      </c>
      <c r="AX390" s="581">
        <f ca="1">SUM(INDIRECT(AX$1&amp;AX$2&amp;$A390):INDIRECT(AX$1&amp;AX$3&amp;$A390))+SUM(INDIRECT(AX$1&amp;AX$2&amp;$B390):INDIRECT(AX$1&amp;AX$3&amp;$B390))</f>
        <v>1426</v>
      </c>
      <c r="AY390" s="882">
        <f t="shared" ca="1" si="681"/>
        <v>-935.65118717465339</v>
      </c>
      <c r="AZ390" s="933">
        <f t="shared" ca="1" si="758"/>
        <v>0.34386312259841983</v>
      </c>
      <c r="BB390" s="859">
        <f ca="1">SUM((INDIRECT(BB$2&amp;(ROW())):INDIRECT(BB$3&amp;(ROW()))))</f>
        <v>1076.1769402432496</v>
      </c>
      <c r="BC390" s="581">
        <f ca="1">SUM(INDIRECT(BC$1&amp;BC$2&amp;$C390):INDIRECT(BC$1&amp;BC$3&amp;$C390))</f>
        <v>0</v>
      </c>
      <c r="BD390" s="882">
        <f t="shared" ca="1" si="683"/>
        <v>1076.1769402432496</v>
      </c>
      <c r="BE390" s="933">
        <f t="shared" ca="1" si="759"/>
        <v>0</v>
      </c>
      <c r="BF390" s="581">
        <f ca="1">SUM(INDIRECT(BF$1&amp;BF$2&amp;$A390):INDIRECT(BF$1&amp;BF$3&amp;$A390))+SUM(INDIRECT(BF$1&amp;BF$2&amp;$B390):INDIRECT(BF$1&amp;BF$3&amp;$B390))</f>
        <v>3350</v>
      </c>
      <c r="BG390" s="882">
        <f t="shared" ca="1" si="685"/>
        <v>-2273.8230597567504</v>
      </c>
      <c r="BH390" s="933">
        <f t="shared" ca="1" si="760"/>
        <v>0.32124684783380586</v>
      </c>
    </row>
    <row r="391" spans="1:60" ht="14.5">
      <c r="A391" s="990">
        <f t="shared" ref="A391:A396" si="785">A390+1</f>
        <v>352</v>
      </c>
      <c r="B391" s="990">
        <v>1</v>
      </c>
      <c r="C391" s="990">
        <f t="shared" si="776"/>
        <v>388</v>
      </c>
      <c r="D391" s="1121" t="s">
        <v>887</v>
      </c>
      <c r="E391" s="1243">
        <v>1</v>
      </c>
      <c r="F391" s="5"/>
      <c r="G391" s="5"/>
      <c r="H391" s="5"/>
      <c r="I391" s="30"/>
      <c r="J391" s="40"/>
      <c r="K391" s="1139" t="s">
        <v>171</v>
      </c>
      <c r="L391" s="1140"/>
      <c r="M391" s="1141"/>
      <c r="N391" s="1141"/>
      <c r="O391" s="1141"/>
      <c r="P391" s="1141"/>
      <c r="Q391" s="1880" t="str">
        <f>CHOOSE(2, "6722000003310", "PL (5) SGA Expenses Wages &amp; Salaries")</f>
        <v>PL (5) SGA Expenses Wages &amp; Salaries</v>
      </c>
      <c r="R391" s="2215">
        <f>SUM(R392:R395)</f>
        <v>1634</v>
      </c>
      <c r="S391" s="2174">
        <f t="shared" ref="S391:AC391" si="786">SUM(S392:S395)</f>
        <v>1685</v>
      </c>
      <c r="T391" s="2174">
        <f t="shared" si="786"/>
        <v>1115</v>
      </c>
      <c r="U391" s="2174">
        <f t="shared" si="786"/>
        <v>1292</v>
      </c>
      <c r="V391" s="2174">
        <f t="shared" si="786"/>
        <v>808</v>
      </c>
      <c r="W391" s="2174">
        <f t="shared" si="786"/>
        <v>878</v>
      </c>
      <c r="X391" s="2174">
        <f t="shared" si="786"/>
        <v>887</v>
      </c>
      <c r="Y391" s="2174">
        <f t="shared" si="786"/>
        <v>861</v>
      </c>
      <c r="Z391" s="2174">
        <f t="shared" si="786"/>
        <v>1253.145</v>
      </c>
      <c r="AA391" s="2174">
        <f t="shared" si="786"/>
        <v>1432.145</v>
      </c>
      <c r="AB391" s="2174">
        <f t="shared" si="786"/>
        <v>1465.145</v>
      </c>
      <c r="AC391" s="2174">
        <f t="shared" si="786"/>
        <v>1474.145</v>
      </c>
      <c r="AD391" s="581">
        <f t="shared" si="782"/>
        <v>4434</v>
      </c>
      <c r="AE391" s="581">
        <f>SUM(U391,V391,W391)</f>
        <v>2978</v>
      </c>
      <c r="AF391" s="581">
        <f>SUM(X391,Y391,Z391)</f>
        <v>3001.145</v>
      </c>
      <c r="AG391" s="581">
        <f>SUM(AA391,AB391,AC391)</f>
        <v>4371.4349999999995</v>
      </c>
      <c r="AH391" s="581">
        <f>AD391+AE391</f>
        <v>7412</v>
      </c>
      <c r="AI391" s="581">
        <f>AG391+AF391</f>
        <v>7372.58</v>
      </c>
      <c r="AJ391" s="581">
        <f>AH391+AI391</f>
        <v>14784.58</v>
      </c>
      <c r="AL391" s="859">
        <f ca="1">SUM((INDIRECT(AL$2&amp;(ROW())):INDIRECT(AL$3&amp;(ROW()))))</f>
        <v>1474.145</v>
      </c>
      <c r="AM391" s="581">
        <f ca="1">SUM(INDIRECT(AM$1&amp;AM$2&amp;$C391):INDIRECT(AM$1&amp;AM$3&amp;$C391))</f>
        <v>0</v>
      </c>
      <c r="AN391" s="882">
        <f t="shared" ca="1" si="675"/>
        <v>1474.145</v>
      </c>
      <c r="AO391" s="933">
        <f t="shared" ca="1" si="755"/>
        <v>0</v>
      </c>
      <c r="AP391" s="2174">
        <f ca="1">SUM(INDIRECT(AP$1&amp;AP$2&amp;$A391):INDIRECT(AP$1&amp;AP$3&amp;$A391))+SUM(INDIRECT(AP$1&amp;AP$2&amp;$B391):INDIRECT(AP$1&amp;AP$3&amp;$B391))</f>
        <v>1416.3843999999999</v>
      </c>
      <c r="AQ391" s="1378">
        <f t="shared" ca="1" si="677"/>
        <v>57.760600000000068</v>
      </c>
      <c r="AR391" s="1379">
        <f t="shared" ca="1" si="756"/>
        <v>1.0407803135928355</v>
      </c>
      <c r="AS391" s="75"/>
      <c r="AT391" s="859">
        <f ca="1">SUM((INDIRECT(AT$2&amp;(ROW())):INDIRECT(AT$3&amp;(ROW()))))</f>
        <v>4371.4349999999995</v>
      </c>
      <c r="AU391" s="581">
        <f ca="1">SUM(INDIRECT(AU$1&amp;AU$2&amp;$C391):INDIRECT(AU$1&amp;AU$3&amp;$C391))</f>
        <v>0</v>
      </c>
      <c r="AV391" s="882">
        <f t="shared" ca="1" si="679"/>
        <v>4371.4349999999995</v>
      </c>
      <c r="AW391" s="933">
        <f t="shared" ca="1" si="757"/>
        <v>0</v>
      </c>
      <c r="AX391" s="581">
        <f ca="1">SUM(INDIRECT(AX$1&amp;AX$2&amp;$A391):INDIRECT(AX$1&amp;AX$3&amp;$A391))+SUM(INDIRECT(AX$1&amp;AX$2&amp;$B391):INDIRECT(AX$1&amp;AX$3&amp;$B391))</f>
        <v>4059.3843999999999</v>
      </c>
      <c r="AY391" s="882">
        <f t="shared" ca="1" si="681"/>
        <v>312.05059999999958</v>
      </c>
      <c r="AZ391" s="933">
        <f t="shared" ca="1" si="758"/>
        <v>1.0768714093693614</v>
      </c>
      <c r="BB391" s="859">
        <f ca="1">SUM((INDIRECT(BB$2&amp;(ROW())):INDIRECT(BB$3&amp;(ROW()))))</f>
        <v>14784.580000000002</v>
      </c>
      <c r="BC391" s="581">
        <f ca="1">SUM(INDIRECT(BC$1&amp;BC$2&amp;$C391):INDIRECT(BC$1&amp;BC$3&amp;$C391))</f>
        <v>0</v>
      </c>
      <c r="BD391" s="882">
        <f t="shared" ca="1" si="683"/>
        <v>14784.580000000002</v>
      </c>
      <c r="BE391" s="933">
        <f t="shared" ca="1" si="759"/>
        <v>0</v>
      </c>
      <c r="BF391" s="581">
        <f ca="1">SUM(INDIRECT(BF$1&amp;BF$2&amp;$A391):INDIRECT(BF$1&amp;BF$3&amp;$A391))+SUM(INDIRECT(BF$1&amp;BF$2&amp;$B391):INDIRECT(BF$1&amp;BF$3&amp;$B391))</f>
        <v>10086.384399999999</v>
      </c>
      <c r="BG391" s="882">
        <f t="shared" ca="1" si="685"/>
        <v>4698.1956000000027</v>
      </c>
      <c r="BH391" s="933">
        <f t="shared" ca="1" si="760"/>
        <v>1.4657958108358435</v>
      </c>
    </row>
    <row r="392" spans="1:60" ht="14.5">
      <c r="A392" s="990">
        <f t="shared" si="785"/>
        <v>353</v>
      </c>
      <c r="B392" s="990">
        <v>1</v>
      </c>
      <c r="C392" s="990">
        <f t="shared" si="776"/>
        <v>389</v>
      </c>
      <c r="D392" s="1121" t="s">
        <v>887</v>
      </c>
      <c r="E392" s="1243">
        <v>1</v>
      </c>
      <c r="F392" s="5"/>
      <c r="G392" s="5"/>
      <c r="H392" s="5"/>
      <c r="I392" s="30"/>
      <c r="J392" s="40"/>
      <c r="K392" s="1142"/>
      <c r="L392" s="5"/>
      <c r="M392" s="4" t="s">
        <v>899</v>
      </c>
      <c r="N392" s="4"/>
      <c r="O392" s="4"/>
      <c r="P392" s="4"/>
      <c r="Q392" s="1855" t="str">
        <f>CHOOSE(2, "6722000003311", "PL (5) SGA Expenses Wages &amp; Salaries Sales")</f>
        <v>PL (5) SGA Expenses Wages &amp; Salaries Sales</v>
      </c>
      <c r="R392" s="2032">
        <v>285</v>
      </c>
      <c r="S392" s="2032">
        <v>336</v>
      </c>
      <c r="T392" s="2032">
        <v>336</v>
      </c>
      <c r="U392" s="2039">
        <v>389</v>
      </c>
      <c r="V392" s="2039">
        <v>241</v>
      </c>
      <c r="W392" s="2039">
        <v>241</v>
      </c>
      <c r="X392" s="2039">
        <v>241</v>
      </c>
      <c r="Y392" s="2039">
        <v>241</v>
      </c>
      <c r="Z392" s="2039">
        <v>229.14500000000001</v>
      </c>
      <c r="AA392" s="2039">
        <v>229.14500000000001</v>
      </c>
      <c r="AB392" s="2039">
        <v>229.14500000000001</v>
      </c>
      <c r="AC392" s="2039">
        <v>229.14500000000001</v>
      </c>
      <c r="AD392" s="89">
        <f t="shared" si="782"/>
        <v>957</v>
      </c>
      <c r="AE392" s="89">
        <f>SUM(U392,V392,W392)</f>
        <v>871</v>
      </c>
      <c r="AF392" s="89">
        <f t="shared" si="783"/>
        <v>711.14499999999998</v>
      </c>
      <c r="AG392" s="89">
        <f>SUM(AA392,AB392,AC392)</f>
        <v>687.43500000000006</v>
      </c>
      <c r="AH392" s="89">
        <f>AD392+AE392</f>
        <v>1828</v>
      </c>
      <c r="AI392" s="89">
        <f>AG392+AF392</f>
        <v>1398.58</v>
      </c>
      <c r="AJ392" s="89">
        <f t="shared" ref="AJ392:AJ395" si="787">AH392+AI392</f>
        <v>3226.58</v>
      </c>
      <c r="AL392" s="13">
        <f ca="1">SUM((INDIRECT(AL$2&amp;(ROW())):INDIRECT(AL$3&amp;(ROW()))))</f>
        <v>229.14500000000001</v>
      </c>
      <c r="AM392" s="89">
        <f ca="1">SUM(INDIRECT(AM$1&amp;AM$2&amp;$C392):INDIRECT(AM$1&amp;AM$3&amp;$C392))</f>
        <v>0</v>
      </c>
      <c r="AN392" s="880">
        <f t="shared" ca="1" si="675"/>
        <v>229.14500000000001</v>
      </c>
      <c r="AO392" s="931">
        <f t="shared" ca="1" si="755"/>
        <v>0</v>
      </c>
      <c r="AP392" s="135">
        <f ca="1">SUM(INDIRECT(AP$1&amp;AP$2&amp;$A392):INDIRECT(AP$1&amp;AP$3&amp;$A392))+SUM(INDIRECT(AP$1&amp;AP$2&amp;$B392):INDIRECT(AP$1&amp;AP$3&amp;$B392))</f>
        <v>0</v>
      </c>
      <c r="AQ392" s="886">
        <f t="shared" ca="1" si="677"/>
        <v>229.14500000000001</v>
      </c>
      <c r="AR392" s="941">
        <f t="shared" ca="1" si="756"/>
        <v>0</v>
      </c>
      <c r="AS392" s="75"/>
      <c r="AT392" s="13">
        <f ca="1">SUM((INDIRECT(AT$2&amp;(ROW())):INDIRECT(AT$3&amp;(ROW()))))</f>
        <v>687.43500000000006</v>
      </c>
      <c r="AU392" s="89">
        <f ca="1">SUM(INDIRECT(AU$1&amp;AU$2&amp;$C392):INDIRECT(AU$1&amp;AU$3&amp;$C392))</f>
        <v>0</v>
      </c>
      <c r="AV392" s="880">
        <f t="shared" ca="1" si="679"/>
        <v>687.43500000000006</v>
      </c>
      <c r="AW392" s="931">
        <f t="shared" ca="1" si="757"/>
        <v>0</v>
      </c>
      <c r="AX392" s="135">
        <f ca="1">SUM(INDIRECT(AX$1&amp;AX$2&amp;$A392):INDIRECT(AX$1&amp;AX$3&amp;$A392))+SUM(INDIRECT(AX$1&amp;AX$2&amp;$B392):INDIRECT(AX$1&amp;AX$3&amp;$B392))</f>
        <v>0</v>
      </c>
      <c r="AY392" s="886">
        <f t="shared" ca="1" si="681"/>
        <v>687.43500000000006</v>
      </c>
      <c r="AZ392" s="941">
        <f t="shared" ca="1" si="758"/>
        <v>0</v>
      </c>
      <c r="BA392" s="75"/>
      <c r="BB392" s="2097">
        <f ca="1">SUM((INDIRECT(BB$2&amp;(ROW())):INDIRECT(BB$3&amp;(ROW()))))</f>
        <v>3226.58</v>
      </c>
      <c r="BC392" s="135">
        <f ca="1">SUM(INDIRECT(BC$1&amp;BC$2&amp;$C392):INDIRECT(BC$1&amp;BC$3&amp;$C392))</f>
        <v>0</v>
      </c>
      <c r="BD392" s="886">
        <f t="shared" ca="1" si="683"/>
        <v>3226.58</v>
      </c>
      <c r="BE392" s="941">
        <f t="shared" ca="1" si="759"/>
        <v>0</v>
      </c>
      <c r="BF392" s="135">
        <f ca="1">SUM(INDIRECT(BF$1&amp;BF$2&amp;$A392):INDIRECT(BF$1&amp;BF$3&amp;$A392))+SUM(INDIRECT(BF$1&amp;BF$2&amp;$B392):INDIRECT(BF$1&amp;BF$3&amp;$B392))</f>
        <v>0</v>
      </c>
      <c r="BG392" s="886">
        <f t="shared" ca="1" si="685"/>
        <v>3226.58</v>
      </c>
      <c r="BH392" s="941">
        <f t="shared" ca="1" si="760"/>
        <v>0</v>
      </c>
    </row>
    <row r="393" spans="1:60" ht="14.5">
      <c r="A393" s="990">
        <f t="shared" si="785"/>
        <v>354</v>
      </c>
      <c r="B393" s="990">
        <v>1</v>
      </c>
      <c r="C393" s="990">
        <f t="shared" si="776"/>
        <v>390</v>
      </c>
      <c r="D393" s="1121" t="s">
        <v>887</v>
      </c>
      <c r="E393" s="1243">
        <v>1</v>
      </c>
      <c r="F393" s="5"/>
      <c r="G393" s="5"/>
      <c r="H393" s="5"/>
      <c r="I393" s="30"/>
      <c r="J393" s="40"/>
      <c r="K393" s="1142"/>
      <c r="L393" s="5"/>
      <c r="M393" s="4" t="s">
        <v>900</v>
      </c>
      <c r="N393" s="4"/>
      <c r="O393" s="4"/>
      <c r="P393" s="4"/>
      <c r="Q393" s="1855" t="str">
        <f>CHOOSE(2, "6722000003312", "PL (5) SGA Expenses Wages &amp; Salaries Pre-sales / Consultant")</f>
        <v>PL (5) SGA Expenses Wages &amp; Salaries Pre-sales / Consultant</v>
      </c>
      <c r="R393" s="2032">
        <v>524</v>
      </c>
      <c r="S393" s="2032">
        <v>524</v>
      </c>
      <c r="T393" s="2032">
        <v>524</v>
      </c>
      <c r="U393" s="2039">
        <v>608</v>
      </c>
      <c r="V393" s="2039">
        <v>348</v>
      </c>
      <c r="W393" s="2039">
        <v>348</v>
      </c>
      <c r="X393" s="2039">
        <v>348</v>
      </c>
      <c r="Y393" s="2039">
        <v>348</v>
      </c>
      <c r="Z393" s="2039">
        <f>348+404</f>
        <v>752</v>
      </c>
      <c r="AA393" s="2039">
        <v>931</v>
      </c>
      <c r="AB393" s="2039">
        <f>931+33</f>
        <v>964</v>
      </c>
      <c r="AC393" s="2039">
        <f>931+33+9</f>
        <v>973</v>
      </c>
      <c r="AD393" s="89">
        <f t="shared" si="782"/>
        <v>1572</v>
      </c>
      <c r="AE393" s="89">
        <f t="shared" ref="AE393:AE404" si="788">SUM(U393,V393,W393)</f>
        <v>1304</v>
      </c>
      <c r="AF393" s="89">
        <f t="shared" si="783"/>
        <v>1448</v>
      </c>
      <c r="AG393" s="89">
        <f t="shared" si="784"/>
        <v>2868</v>
      </c>
      <c r="AH393" s="89">
        <f t="shared" ref="AH393:AH395" si="789">AD393+AE393</f>
        <v>2876</v>
      </c>
      <c r="AI393" s="89">
        <f t="shared" ref="AI393:AI395" si="790">AG393+AF393</f>
        <v>4316</v>
      </c>
      <c r="AJ393" s="89">
        <f t="shared" si="787"/>
        <v>7192</v>
      </c>
      <c r="AL393" s="13">
        <f ca="1">SUM((INDIRECT(AL$2&amp;(ROW())):INDIRECT(AL$3&amp;(ROW()))))</f>
        <v>973</v>
      </c>
      <c r="AM393" s="89">
        <f ca="1">SUM(INDIRECT(AM$1&amp;AM$2&amp;$C393):INDIRECT(AM$1&amp;AM$3&amp;$C393))</f>
        <v>0</v>
      </c>
      <c r="AN393" s="880">
        <f t="shared" ca="1" si="675"/>
        <v>973</v>
      </c>
      <c r="AO393" s="931">
        <f t="shared" ca="1" si="755"/>
        <v>0</v>
      </c>
      <c r="AP393" s="135">
        <f ca="1">SUM(INDIRECT(AP$1&amp;AP$2&amp;$A393):INDIRECT(AP$1&amp;AP$3&amp;$A393))+SUM(INDIRECT(AP$1&amp;AP$2&amp;$B393):INDIRECT(AP$1&amp;AP$3&amp;$B393))</f>
        <v>845.38439999999991</v>
      </c>
      <c r="AQ393" s="886">
        <f t="shared" ca="1" si="677"/>
        <v>127.61560000000009</v>
      </c>
      <c r="AR393" s="941">
        <f t="shared" ca="1" si="756"/>
        <v>1.1509557072498617</v>
      </c>
      <c r="AS393" s="75"/>
      <c r="AT393" s="13">
        <f ca="1">SUM((INDIRECT(AT$2&amp;(ROW())):INDIRECT(AT$3&amp;(ROW()))))</f>
        <v>2868</v>
      </c>
      <c r="AU393" s="89">
        <f ca="1">SUM(INDIRECT(AU$1&amp;AU$2&amp;$C393):INDIRECT(AU$1&amp;AU$3&amp;$C393))</f>
        <v>0</v>
      </c>
      <c r="AV393" s="880">
        <f t="shared" ca="1" si="679"/>
        <v>2868</v>
      </c>
      <c r="AW393" s="931">
        <f t="shared" ca="1" si="757"/>
        <v>0</v>
      </c>
      <c r="AX393" s="135">
        <f ca="1">SUM(INDIRECT(AX$1&amp;AX$2&amp;$A393):INDIRECT(AX$1&amp;AX$3&amp;$A393))+SUM(INDIRECT(AX$1&amp;AX$2&amp;$B393):INDIRECT(AX$1&amp;AX$3&amp;$B393))</f>
        <v>2346.3843999999999</v>
      </c>
      <c r="AY393" s="886">
        <f t="shared" ca="1" si="681"/>
        <v>521.61560000000009</v>
      </c>
      <c r="AZ393" s="941">
        <f t="shared" ca="1" si="758"/>
        <v>1.2223061148889329</v>
      </c>
      <c r="BA393" s="75"/>
      <c r="BB393" s="2097">
        <f ca="1">SUM((INDIRECT(BB$2&amp;(ROW())):INDIRECT(BB$3&amp;(ROW()))))</f>
        <v>7192</v>
      </c>
      <c r="BC393" s="135">
        <f ca="1">SUM(INDIRECT(BC$1&amp;BC$2&amp;$C393):INDIRECT(BC$1&amp;BC$3&amp;$C393))</f>
        <v>0</v>
      </c>
      <c r="BD393" s="886">
        <f t="shared" ca="1" si="683"/>
        <v>7192</v>
      </c>
      <c r="BE393" s="941">
        <f t="shared" ca="1" si="759"/>
        <v>0</v>
      </c>
      <c r="BF393" s="135">
        <f ca="1">SUM(INDIRECT(BF$1&amp;BF$2&amp;$A393):INDIRECT(BF$1&amp;BF$3&amp;$A393))+SUM(INDIRECT(BF$1&amp;BF$2&amp;$B393):INDIRECT(BF$1&amp;BF$3&amp;$B393))</f>
        <v>3537.3843999999999</v>
      </c>
      <c r="BG393" s="886">
        <f t="shared" ca="1" si="685"/>
        <v>3654.6156000000001</v>
      </c>
      <c r="BH393" s="941">
        <f t="shared" ca="1" si="760"/>
        <v>2.0331406448222027</v>
      </c>
    </row>
    <row r="394" spans="1:60" ht="14.5">
      <c r="A394" s="990">
        <f t="shared" si="785"/>
        <v>355</v>
      </c>
      <c r="B394" s="990">
        <v>1</v>
      </c>
      <c r="C394" s="990">
        <f t="shared" si="776"/>
        <v>391</v>
      </c>
      <c r="D394" s="1121" t="s">
        <v>887</v>
      </c>
      <c r="E394" s="1243">
        <v>1</v>
      </c>
      <c r="F394" s="5"/>
      <c r="G394" s="5"/>
      <c r="H394" s="5"/>
      <c r="I394" s="30"/>
      <c r="J394" s="40"/>
      <c r="K394" s="1142"/>
      <c r="L394" s="5"/>
      <c r="M394" s="4" t="s">
        <v>901</v>
      </c>
      <c r="N394" s="4"/>
      <c r="O394" s="4"/>
      <c r="P394" s="4"/>
      <c r="Q394" s="1855" t="str">
        <f>CHOOSE(2, "6722000003313", "PL (5) SGA Expenses Wages &amp; Salaries Marketing / Business")</f>
        <v>PL (5) SGA Expenses Wages &amp; Salaries Marketing / Business</v>
      </c>
      <c r="R394" s="2032">
        <v>133</v>
      </c>
      <c r="S394" s="2032">
        <v>133</v>
      </c>
      <c r="T394" s="2032">
        <v>133</v>
      </c>
      <c r="U394" s="2039">
        <v>154</v>
      </c>
      <c r="V394" s="2039">
        <v>108</v>
      </c>
      <c r="W394" s="2039">
        <v>108</v>
      </c>
      <c r="X394" s="2039">
        <v>108</v>
      </c>
      <c r="Y394" s="2039">
        <v>108</v>
      </c>
      <c r="Z394" s="2039">
        <v>108</v>
      </c>
      <c r="AA394" s="2039">
        <v>108</v>
      </c>
      <c r="AB394" s="2039">
        <v>108</v>
      </c>
      <c r="AC394" s="2039">
        <v>108</v>
      </c>
      <c r="AD394" s="89">
        <f t="shared" si="782"/>
        <v>399</v>
      </c>
      <c r="AE394" s="89">
        <f t="shared" si="788"/>
        <v>370</v>
      </c>
      <c r="AF394" s="89">
        <f t="shared" si="783"/>
        <v>324</v>
      </c>
      <c r="AG394" s="89">
        <f t="shared" si="784"/>
        <v>324</v>
      </c>
      <c r="AH394" s="89">
        <f t="shared" si="789"/>
        <v>769</v>
      </c>
      <c r="AI394" s="89">
        <f t="shared" si="790"/>
        <v>648</v>
      </c>
      <c r="AJ394" s="89">
        <f t="shared" si="787"/>
        <v>1417</v>
      </c>
      <c r="AL394" s="13">
        <f ca="1">SUM((INDIRECT(AL$2&amp;(ROW())):INDIRECT(AL$3&amp;(ROW()))))</f>
        <v>108</v>
      </c>
      <c r="AM394" s="89">
        <f ca="1">SUM(INDIRECT(AM$1&amp;AM$2&amp;$C394):INDIRECT(AM$1&amp;AM$3&amp;$C394))</f>
        <v>0</v>
      </c>
      <c r="AN394" s="880">
        <f t="shared" ca="1" si="675"/>
        <v>108</v>
      </c>
      <c r="AO394" s="931">
        <f t="shared" ca="1" si="755"/>
        <v>0</v>
      </c>
      <c r="AP394" s="135">
        <f ca="1">SUM(INDIRECT(AP$1&amp;AP$2&amp;$A394):INDIRECT(AP$1&amp;AP$3&amp;$A394))+SUM(INDIRECT(AP$1&amp;AP$2&amp;$B394):INDIRECT(AP$1&amp;AP$3&amp;$B394))</f>
        <v>0</v>
      </c>
      <c r="AQ394" s="886">
        <f t="shared" ca="1" si="677"/>
        <v>108</v>
      </c>
      <c r="AR394" s="941">
        <f t="shared" ca="1" si="756"/>
        <v>0</v>
      </c>
      <c r="AS394" s="75"/>
      <c r="AT394" s="13">
        <f ca="1">SUM((INDIRECT(AT$2&amp;(ROW())):INDIRECT(AT$3&amp;(ROW()))))</f>
        <v>324</v>
      </c>
      <c r="AU394" s="89">
        <f ca="1">SUM(INDIRECT(AU$1&amp;AU$2&amp;$C394):INDIRECT(AU$1&amp;AU$3&amp;$C394))</f>
        <v>0</v>
      </c>
      <c r="AV394" s="880">
        <f t="shared" ca="1" si="679"/>
        <v>324</v>
      </c>
      <c r="AW394" s="931">
        <f t="shared" ca="1" si="757"/>
        <v>0</v>
      </c>
      <c r="AX394" s="135">
        <f ca="1">SUM(INDIRECT(AX$1&amp;AX$2&amp;$A394):INDIRECT(AX$1&amp;AX$3&amp;$A394))+SUM(INDIRECT(AX$1&amp;AX$2&amp;$B394):INDIRECT(AX$1&amp;AX$3&amp;$B394))</f>
        <v>0</v>
      </c>
      <c r="AY394" s="886">
        <f t="shared" ca="1" si="681"/>
        <v>324</v>
      </c>
      <c r="AZ394" s="941">
        <f t="shared" ca="1" si="758"/>
        <v>0</v>
      </c>
      <c r="BA394" s="75"/>
      <c r="BB394" s="2097">
        <f ca="1">SUM((INDIRECT(BB$2&amp;(ROW())):INDIRECT(BB$3&amp;(ROW()))))</f>
        <v>1417</v>
      </c>
      <c r="BC394" s="135">
        <f ca="1">SUM(INDIRECT(BC$1&amp;BC$2&amp;$C394):INDIRECT(BC$1&amp;BC$3&amp;$C394))</f>
        <v>0</v>
      </c>
      <c r="BD394" s="886">
        <f t="shared" ca="1" si="683"/>
        <v>1417</v>
      </c>
      <c r="BE394" s="941">
        <f t="shared" ca="1" si="759"/>
        <v>0</v>
      </c>
      <c r="BF394" s="135">
        <f ca="1">SUM(INDIRECT(BF$1&amp;BF$2&amp;$A394):INDIRECT(BF$1&amp;BF$3&amp;$A394))+SUM(INDIRECT(BF$1&amp;BF$2&amp;$B394):INDIRECT(BF$1&amp;BF$3&amp;$B394))</f>
        <v>3694</v>
      </c>
      <c r="BG394" s="886">
        <f t="shared" ca="1" si="685"/>
        <v>-2277</v>
      </c>
      <c r="BH394" s="941">
        <f t="shared" ca="1" si="760"/>
        <v>0.38359501894964809</v>
      </c>
    </row>
    <row r="395" spans="1:60" ht="14.5">
      <c r="A395" s="990">
        <f t="shared" si="785"/>
        <v>356</v>
      </c>
      <c r="B395" s="990">
        <v>1</v>
      </c>
      <c r="C395" s="990">
        <f t="shared" si="776"/>
        <v>392</v>
      </c>
      <c r="D395" s="1121" t="s">
        <v>887</v>
      </c>
      <c r="E395" s="1243">
        <v>1</v>
      </c>
      <c r="F395" s="5"/>
      <c r="G395" s="5"/>
      <c r="H395" s="5"/>
      <c r="I395" s="30"/>
      <c r="J395" s="40"/>
      <c r="K395" s="1143"/>
      <c r="L395" s="52"/>
      <c r="M395" s="51" t="s">
        <v>902</v>
      </c>
      <c r="N395" s="51"/>
      <c r="O395" s="51"/>
      <c r="P395" s="51"/>
      <c r="Q395" s="1855" t="str">
        <f>CHOOSE(2, "6722000003314", "PL (5) SGA Expenses Wages &amp; Salaries Admin / Others")</f>
        <v>PL (5) SGA Expenses Wages &amp; Salaries Admin / Others</v>
      </c>
      <c r="R395" s="2211">
        <v>692</v>
      </c>
      <c r="S395" s="2211">
        <v>692</v>
      </c>
      <c r="T395" s="2211">
        <f>692-570</f>
        <v>122</v>
      </c>
      <c r="U395" s="2043">
        <v>141</v>
      </c>
      <c r="V395" s="2043">
        <v>111</v>
      </c>
      <c r="W395" s="2043">
        <v>181</v>
      </c>
      <c r="X395" s="2043">
        <v>190</v>
      </c>
      <c r="Y395" s="2043">
        <v>164</v>
      </c>
      <c r="Z395" s="2043">
        <v>164</v>
      </c>
      <c r="AA395" s="2043">
        <v>164</v>
      </c>
      <c r="AB395" s="2043">
        <v>164</v>
      </c>
      <c r="AC395" s="2043">
        <v>164</v>
      </c>
      <c r="AD395" s="134">
        <f t="shared" si="782"/>
        <v>1506</v>
      </c>
      <c r="AE395" s="134">
        <f t="shared" si="788"/>
        <v>433</v>
      </c>
      <c r="AF395" s="134">
        <f t="shared" si="783"/>
        <v>518</v>
      </c>
      <c r="AG395" s="134">
        <f t="shared" si="784"/>
        <v>492</v>
      </c>
      <c r="AH395" s="134">
        <f t="shared" si="789"/>
        <v>1939</v>
      </c>
      <c r="AI395" s="134">
        <f t="shared" si="790"/>
        <v>1010</v>
      </c>
      <c r="AJ395" s="134">
        <f t="shared" si="787"/>
        <v>2949</v>
      </c>
      <c r="AL395" s="2061">
        <f ca="1">SUM((INDIRECT(AL$2&amp;(ROW())):INDIRECT(AL$3&amp;(ROW()))))</f>
        <v>164</v>
      </c>
      <c r="AM395" s="134">
        <f ca="1">SUM(INDIRECT(AM$1&amp;AM$2&amp;$C395):INDIRECT(AM$1&amp;AM$3&amp;$C395))</f>
        <v>0</v>
      </c>
      <c r="AN395" s="883">
        <f t="shared" ca="1" si="675"/>
        <v>164</v>
      </c>
      <c r="AO395" s="934">
        <f t="shared" ca="1" si="755"/>
        <v>0</v>
      </c>
      <c r="AP395" s="284">
        <f ca="1">SUM(INDIRECT(AP$1&amp;AP$2&amp;$A395):INDIRECT(AP$1&amp;AP$3&amp;$A395))+SUM(INDIRECT(AP$1&amp;AP$2&amp;$B395):INDIRECT(AP$1&amp;AP$3&amp;$B395))</f>
        <v>571</v>
      </c>
      <c r="AQ395" s="887">
        <f t="shared" ca="1" si="677"/>
        <v>-407</v>
      </c>
      <c r="AR395" s="942">
        <f t="shared" ca="1" si="756"/>
        <v>0.28721541155866898</v>
      </c>
      <c r="AS395" s="75"/>
      <c r="AT395" s="2061">
        <f ca="1">SUM((INDIRECT(AT$2&amp;(ROW())):INDIRECT(AT$3&amp;(ROW()))))</f>
        <v>492</v>
      </c>
      <c r="AU395" s="134">
        <f ca="1">SUM(INDIRECT(AU$1&amp;AU$2&amp;$C395):INDIRECT(AU$1&amp;AU$3&amp;$C395))</f>
        <v>0</v>
      </c>
      <c r="AV395" s="883">
        <f t="shared" ca="1" si="679"/>
        <v>492</v>
      </c>
      <c r="AW395" s="934">
        <f t="shared" ca="1" si="757"/>
        <v>0</v>
      </c>
      <c r="AX395" s="284">
        <f ca="1">SUM(INDIRECT(AX$1&amp;AX$2&amp;$A395):INDIRECT(AX$1&amp;AX$3&amp;$A395))+SUM(INDIRECT(AX$1&amp;AX$2&amp;$B395):INDIRECT(AX$1&amp;AX$3&amp;$B395))</f>
        <v>1713</v>
      </c>
      <c r="AY395" s="887">
        <f t="shared" ca="1" si="681"/>
        <v>-1221</v>
      </c>
      <c r="AZ395" s="942">
        <f t="shared" ca="1" si="758"/>
        <v>0.28721541155866898</v>
      </c>
      <c r="BA395" s="75"/>
      <c r="BB395" s="2059">
        <f ca="1">SUM((INDIRECT(BB$2&amp;(ROW())):INDIRECT(BB$3&amp;(ROW()))))</f>
        <v>2949</v>
      </c>
      <c r="BC395" s="284">
        <f ca="1">SUM(INDIRECT(BC$1&amp;BC$2&amp;$C395):INDIRECT(BC$1&amp;BC$3&amp;$C395))</f>
        <v>0</v>
      </c>
      <c r="BD395" s="887">
        <f t="shared" ca="1" si="683"/>
        <v>2949</v>
      </c>
      <c r="BE395" s="942">
        <f t="shared" ca="1" si="759"/>
        <v>0</v>
      </c>
      <c r="BF395" s="284">
        <f ca="1">SUM(INDIRECT(BF$1&amp;BF$2&amp;$A395):INDIRECT(BF$1&amp;BF$3&amp;$A395))+SUM(INDIRECT(BF$1&amp;BF$2&amp;$B395):INDIRECT(BF$1&amp;BF$3&amp;$B395))</f>
        <v>2855</v>
      </c>
      <c r="BG395" s="887">
        <f t="shared" ca="1" si="685"/>
        <v>94</v>
      </c>
      <c r="BH395" s="942">
        <f t="shared" ca="1" si="760"/>
        <v>1.0329246935201402</v>
      </c>
    </row>
    <row r="396" spans="1:60" ht="14.5">
      <c r="A396" s="990">
        <f t="shared" si="785"/>
        <v>357</v>
      </c>
      <c r="B396" s="990">
        <v>1</v>
      </c>
      <c r="C396" s="990">
        <f t="shared" si="776"/>
        <v>393</v>
      </c>
      <c r="D396" s="1121" t="s">
        <v>887</v>
      </c>
      <c r="E396" s="1243">
        <v>1</v>
      </c>
      <c r="F396" s="5"/>
      <c r="G396" s="5"/>
      <c r="H396" s="5"/>
      <c r="I396" s="30"/>
      <c r="J396" s="40"/>
      <c r="K396" s="1388" t="s">
        <v>172</v>
      </c>
      <c r="L396" s="1389"/>
      <c r="M396" s="1390"/>
      <c r="N396" s="1390"/>
      <c r="O396" s="1390"/>
      <c r="P396" s="1390"/>
      <c r="Q396" s="1855" t="str">
        <f>CHOOSE(2, "6722000003315", "PL (5) SGA Expenses Fixed Expenses")</f>
        <v>PL (5) SGA Expenses Fixed Expenses</v>
      </c>
      <c r="R396" s="2216">
        <v>30</v>
      </c>
      <c r="S396" s="2194">
        <v>85</v>
      </c>
      <c r="T396" s="2194">
        <v>398</v>
      </c>
      <c r="U396" s="2194">
        <v>218</v>
      </c>
      <c r="V396" s="2194">
        <v>285.61069403787621</v>
      </c>
      <c r="W396" s="2194">
        <v>118</v>
      </c>
      <c r="X396" s="2194">
        <v>190</v>
      </c>
      <c r="Y396" s="2194">
        <v>139.09696650930061</v>
      </c>
      <c r="Z396" s="2194">
        <v>142</v>
      </c>
      <c r="AA396" s="2194">
        <v>143</v>
      </c>
      <c r="AB396" s="2194">
        <v>147</v>
      </c>
      <c r="AC396" s="2194">
        <v>231.99580696230598</v>
      </c>
      <c r="AD396" s="1391">
        <f t="shared" si="782"/>
        <v>513</v>
      </c>
      <c r="AE396" s="1391">
        <f t="shared" si="788"/>
        <v>621.61069403787621</v>
      </c>
      <c r="AF396" s="1391">
        <f t="shared" si="783"/>
        <v>471.09696650930061</v>
      </c>
      <c r="AG396" s="1391">
        <f t="shared" si="784"/>
        <v>521.99580696230601</v>
      </c>
      <c r="AH396" s="1391">
        <f>AD396+AE396</f>
        <v>1134.6106940378763</v>
      </c>
      <c r="AI396" s="1391">
        <f>AG396+AF396</f>
        <v>993.09277347160662</v>
      </c>
      <c r="AJ396" s="1391">
        <f>AH396+AI396</f>
        <v>2127.7034675094828</v>
      </c>
      <c r="AL396" s="1392">
        <f ca="1">SUM((INDIRECT(AL$2&amp;(ROW())):INDIRECT(AL$3&amp;(ROW()))))</f>
        <v>231.99580696230598</v>
      </c>
      <c r="AM396" s="1391">
        <f ca="1">SUM(INDIRECT(AM$1&amp;AM$2&amp;$C396):INDIRECT(AM$1&amp;AM$3&amp;$C396))</f>
        <v>0</v>
      </c>
      <c r="AN396" s="1393">
        <f t="shared" ca="1" si="675"/>
        <v>231.99580696230598</v>
      </c>
      <c r="AO396" s="1394">
        <f t="shared" ca="1" si="755"/>
        <v>0</v>
      </c>
      <c r="AP396" s="1391">
        <f ca="1">SUM(INDIRECT(AP$1&amp;AP$2&amp;$A396):INDIRECT(AP$1&amp;AP$3&amp;$A396))+SUM(INDIRECT(AP$1&amp;AP$2&amp;$B396):INDIRECT(AP$1&amp;AP$3&amp;$B396))</f>
        <v>59</v>
      </c>
      <c r="AQ396" s="1393">
        <f t="shared" ca="1" si="677"/>
        <v>172.99580696230598</v>
      </c>
      <c r="AR396" s="1394">
        <f t="shared" ca="1" si="756"/>
        <v>3.9321323213950166</v>
      </c>
      <c r="AT396" s="1392">
        <f ca="1">SUM((INDIRECT(AT$2&amp;(ROW())):INDIRECT(AT$3&amp;(ROW()))))</f>
        <v>521.99580696230601</v>
      </c>
      <c r="AU396" s="1391">
        <f ca="1">SUM(INDIRECT(AU$1&amp;AU$2&amp;$C396):INDIRECT(AU$1&amp;AU$3&amp;$C396))</f>
        <v>0</v>
      </c>
      <c r="AV396" s="1393">
        <f t="shared" ca="1" si="679"/>
        <v>521.99580696230601</v>
      </c>
      <c r="AW396" s="1394">
        <f t="shared" ca="1" si="757"/>
        <v>0</v>
      </c>
      <c r="AX396" s="1391">
        <f ca="1">SUM(INDIRECT(AX$1&amp;AX$2&amp;$A396):INDIRECT(AX$1&amp;AX$3&amp;$A396))+SUM(INDIRECT(AX$1&amp;AX$2&amp;$B396):INDIRECT(AX$1&amp;AX$3&amp;$B396))</f>
        <v>250</v>
      </c>
      <c r="AY396" s="1393">
        <f t="shared" ca="1" si="681"/>
        <v>271.99580696230601</v>
      </c>
      <c r="AZ396" s="1394">
        <f t="shared" ca="1" si="758"/>
        <v>2.0879832278492239</v>
      </c>
      <c r="BB396" s="1392">
        <f ca="1">SUM((INDIRECT(BB$2&amp;(ROW())):INDIRECT(BB$3&amp;(ROW()))))</f>
        <v>2127.7034675094828</v>
      </c>
      <c r="BC396" s="1391">
        <f ca="1">SUM(INDIRECT(BC$1&amp;BC$2&amp;$C396):INDIRECT(BC$1&amp;BC$3&amp;$C396))</f>
        <v>0</v>
      </c>
      <c r="BD396" s="1393">
        <f t="shared" ca="1" si="683"/>
        <v>2127.7034675094828</v>
      </c>
      <c r="BE396" s="1394">
        <f t="shared" ca="1" si="759"/>
        <v>0</v>
      </c>
      <c r="BF396" s="1391">
        <f ca="1">SUM(INDIRECT(BF$1&amp;BF$2&amp;$A396):INDIRECT(BF$1&amp;BF$3&amp;$A396))+SUM(INDIRECT(BF$1&amp;BF$2&amp;$B396):INDIRECT(BF$1&amp;BF$3&amp;$B396))</f>
        <v>503</v>
      </c>
      <c r="BG396" s="1393">
        <f t="shared" ca="1" si="685"/>
        <v>1624.7034675094828</v>
      </c>
      <c r="BH396" s="1394">
        <f t="shared" ca="1" si="760"/>
        <v>4.2300267743727291</v>
      </c>
    </row>
    <row r="397" spans="1:60" ht="14.5">
      <c r="A397" s="990">
        <v>1</v>
      </c>
      <c r="B397" s="990">
        <v>1</v>
      </c>
      <c r="C397" s="990">
        <f t="shared" si="776"/>
        <v>394</v>
      </c>
      <c r="D397" s="1121" t="s">
        <v>887</v>
      </c>
      <c r="E397" s="1292" t="s">
        <v>1369</v>
      </c>
      <c r="F397" s="1677"/>
      <c r="G397" s="5"/>
      <c r="H397" s="5"/>
      <c r="I397" s="30"/>
      <c r="J397" s="40"/>
      <c r="K397" s="1672" t="s">
        <v>1367</v>
      </c>
      <c r="L397" s="1078"/>
      <c r="M397" s="1079"/>
      <c r="N397" s="1079"/>
      <c r="O397" s="1079"/>
      <c r="P397" s="1079"/>
      <c r="Q397" s="1880" t="str">
        <f>CHOOSE(2, "6722000003316", "PL (5) SGA Expenses Breakdown of SG&amp;A: ICW")</f>
        <v>PL (5) SGA Expenses Breakdown of SG&amp;A: ICW</v>
      </c>
      <c r="R397" s="2269">
        <f>SUM(R398:R400)</f>
        <v>0</v>
      </c>
      <c r="S397" s="2269">
        <f t="shared" ref="S397:AC397" si="791">SUM(S398:S400)</f>
        <v>0</v>
      </c>
      <c r="T397" s="2269">
        <f t="shared" si="791"/>
        <v>0</v>
      </c>
      <c r="U397" s="2269">
        <f t="shared" si="791"/>
        <v>0</v>
      </c>
      <c r="V397" s="2269">
        <f t="shared" si="791"/>
        <v>0</v>
      </c>
      <c r="W397" s="2269">
        <f t="shared" si="791"/>
        <v>0</v>
      </c>
      <c r="X397" s="2269">
        <f t="shared" si="791"/>
        <v>0</v>
      </c>
      <c r="Y397" s="2269">
        <f t="shared" si="791"/>
        <v>0</v>
      </c>
      <c r="Z397" s="2269">
        <f t="shared" si="791"/>
        <v>0</v>
      </c>
      <c r="AA397" s="2269">
        <f t="shared" si="791"/>
        <v>0</v>
      </c>
      <c r="AB397" s="2269">
        <f t="shared" si="791"/>
        <v>0</v>
      </c>
      <c r="AC397" s="2269">
        <f t="shared" si="791"/>
        <v>0</v>
      </c>
      <c r="AD397" s="1673">
        <f t="shared" si="782"/>
        <v>0</v>
      </c>
      <c r="AE397" s="1673">
        <f t="shared" si="788"/>
        <v>0</v>
      </c>
      <c r="AF397" s="1673">
        <f t="shared" si="783"/>
        <v>0</v>
      </c>
      <c r="AG397" s="1673">
        <f t="shared" si="784"/>
        <v>0</v>
      </c>
      <c r="AH397" s="1673">
        <f t="shared" ref="AH397:AH404" si="792">AD397+AE397</f>
        <v>0</v>
      </c>
      <c r="AI397" s="1673">
        <f t="shared" ref="AI397:AI404" si="793">AG397+AF397</f>
        <v>0</v>
      </c>
      <c r="AJ397" s="1673">
        <f t="shared" ref="AJ397:AJ404" si="794">AH397+AI397</f>
        <v>0</v>
      </c>
      <c r="AL397" s="13"/>
      <c r="AM397" s="89"/>
      <c r="AN397" s="880"/>
      <c r="AO397" s="931"/>
      <c r="AP397" s="89"/>
      <c r="AQ397" s="880"/>
      <c r="AR397" s="931"/>
      <c r="AT397" s="13"/>
      <c r="AU397" s="89"/>
      <c r="AV397" s="880"/>
      <c r="AW397" s="931"/>
      <c r="AX397" s="89"/>
      <c r="AY397" s="880"/>
      <c r="AZ397" s="931"/>
      <c r="BB397" s="13"/>
      <c r="BC397" s="89"/>
      <c r="BD397" s="880"/>
      <c r="BE397" s="931"/>
      <c r="BF397" s="89"/>
      <c r="BG397" s="880"/>
      <c r="BH397" s="931"/>
    </row>
    <row r="398" spans="1:60" ht="14.5">
      <c r="A398" s="990">
        <v>1</v>
      </c>
      <c r="B398" s="990">
        <v>1</v>
      </c>
      <c r="C398" s="990">
        <f t="shared" si="776"/>
        <v>395</v>
      </c>
      <c r="D398" s="1121" t="s">
        <v>887</v>
      </c>
      <c r="E398" s="1292" t="s">
        <v>1369</v>
      </c>
      <c r="F398" s="1677"/>
      <c r="G398" s="5"/>
      <c r="H398" s="5"/>
      <c r="I398" s="30"/>
      <c r="J398" s="40"/>
      <c r="K398" s="1022"/>
      <c r="L398" s="1022"/>
      <c r="M398" s="1022" t="s">
        <v>143</v>
      </c>
      <c r="N398" s="1079"/>
      <c r="O398" s="1079"/>
      <c r="P398" s="1079"/>
      <c r="Q398" s="1852" t="str">
        <f>CHOOSE(2, "6722000003317", "PL (5) SGA Expenses Breakdown of SG&amp;A: ICW Variable Expenses")</f>
        <v>PL (5) SGA Expenses Breakdown of SG&amp;A: ICW Variable Expenses</v>
      </c>
      <c r="R398" s="2270">
        <v>0</v>
      </c>
      <c r="S398" s="2271">
        <v>0</v>
      </c>
      <c r="T398" s="2271">
        <v>0</v>
      </c>
      <c r="U398" s="2271">
        <v>0</v>
      </c>
      <c r="V398" s="2271">
        <v>0</v>
      </c>
      <c r="W398" s="2271">
        <v>0</v>
      </c>
      <c r="X398" s="2271">
        <v>0</v>
      </c>
      <c r="Y398" s="2271">
        <v>0</v>
      </c>
      <c r="Z398" s="2271">
        <v>0</v>
      </c>
      <c r="AA398" s="2271">
        <v>0</v>
      </c>
      <c r="AB398" s="2271">
        <v>0</v>
      </c>
      <c r="AC398" s="2271"/>
      <c r="AD398" s="1673">
        <f t="shared" si="782"/>
        <v>0</v>
      </c>
      <c r="AE398" s="1673">
        <f t="shared" si="788"/>
        <v>0</v>
      </c>
      <c r="AF398" s="1673">
        <f t="shared" si="783"/>
        <v>0</v>
      </c>
      <c r="AG398" s="1673">
        <f t="shared" si="784"/>
        <v>0</v>
      </c>
      <c r="AH398" s="1673">
        <f t="shared" si="792"/>
        <v>0</v>
      </c>
      <c r="AI398" s="1673">
        <f t="shared" si="793"/>
        <v>0</v>
      </c>
      <c r="AJ398" s="1673">
        <f t="shared" si="794"/>
        <v>0</v>
      </c>
      <c r="AL398" s="13"/>
      <c r="AM398" s="89"/>
      <c r="AN398" s="880"/>
      <c r="AO398" s="931"/>
      <c r="AP398" s="89"/>
      <c r="AQ398" s="880"/>
      <c r="AR398" s="931"/>
      <c r="AT398" s="13"/>
      <c r="AU398" s="89"/>
      <c r="AV398" s="880"/>
      <c r="AW398" s="931"/>
      <c r="AX398" s="89"/>
      <c r="AY398" s="880"/>
      <c r="AZ398" s="931"/>
      <c r="BB398" s="13"/>
      <c r="BC398" s="89"/>
      <c r="BD398" s="880"/>
      <c r="BE398" s="931"/>
      <c r="BF398" s="89"/>
      <c r="BG398" s="880"/>
      <c r="BH398" s="931"/>
    </row>
    <row r="399" spans="1:60" ht="14.5">
      <c r="A399" s="990">
        <v>1</v>
      </c>
      <c r="B399" s="990">
        <v>1</v>
      </c>
      <c r="C399" s="990">
        <f t="shared" si="776"/>
        <v>396</v>
      </c>
      <c r="D399" s="1121" t="s">
        <v>887</v>
      </c>
      <c r="E399" s="1292" t="s">
        <v>1369</v>
      </c>
      <c r="F399" s="1677"/>
      <c r="G399" s="5"/>
      <c r="H399" s="5"/>
      <c r="I399" s="30"/>
      <c r="J399" s="40"/>
      <c r="K399" s="1022"/>
      <c r="L399" s="1022"/>
      <c r="M399" s="1022" t="s">
        <v>96</v>
      </c>
      <c r="N399" s="1079"/>
      <c r="O399" s="1079"/>
      <c r="P399" s="1079"/>
      <c r="Q399" s="1852" t="str">
        <f>CHOOSE(2, "6722000003318", "PL (5) SGA Expenses Breakdown of SG&amp;A: ICW Wages &amp; Salaries")</f>
        <v>PL (5) SGA Expenses Breakdown of SG&amp;A: ICW Wages &amp; Salaries</v>
      </c>
      <c r="R399" s="2270">
        <v>0</v>
      </c>
      <c r="S399" s="2271">
        <v>0</v>
      </c>
      <c r="T399" s="2271">
        <v>0</v>
      </c>
      <c r="U399" s="2271">
        <v>0</v>
      </c>
      <c r="V399" s="2271">
        <v>0</v>
      </c>
      <c r="W399" s="2271">
        <v>0</v>
      </c>
      <c r="X399" s="2271">
        <v>0</v>
      </c>
      <c r="Y399" s="2271">
        <v>0</v>
      </c>
      <c r="Z399" s="2271">
        <v>0</v>
      </c>
      <c r="AA399" s="2271">
        <v>0</v>
      </c>
      <c r="AB399" s="2271">
        <v>0</v>
      </c>
      <c r="AC399" s="2271">
        <v>0</v>
      </c>
      <c r="AD399" s="1673">
        <f t="shared" si="782"/>
        <v>0</v>
      </c>
      <c r="AE399" s="1673">
        <f t="shared" si="788"/>
        <v>0</v>
      </c>
      <c r="AF399" s="1673">
        <f t="shared" si="783"/>
        <v>0</v>
      </c>
      <c r="AG399" s="1673">
        <f t="shared" si="784"/>
        <v>0</v>
      </c>
      <c r="AH399" s="1673">
        <f t="shared" si="792"/>
        <v>0</v>
      </c>
      <c r="AI399" s="1673">
        <f t="shared" si="793"/>
        <v>0</v>
      </c>
      <c r="AJ399" s="1673">
        <f t="shared" si="794"/>
        <v>0</v>
      </c>
      <c r="AL399" s="13"/>
      <c r="AM399" s="89"/>
      <c r="AN399" s="880"/>
      <c r="AO399" s="931"/>
      <c r="AP399" s="89"/>
      <c r="AQ399" s="880"/>
      <c r="AR399" s="931"/>
      <c r="AT399" s="13"/>
      <c r="AU399" s="89"/>
      <c r="AV399" s="880"/>
      <c r="AW399" s="931"/>
      <c r="AX399" s="89"/>
      <c r="AY399" s="880"/>
      <c r="AZ399" s="931"/>
      <c r="BB399" s="13"/>
      <c r="BC399" s="89"/>
      <c r="BD399" s="880"/>
      <c r="BE399" s="931"/>
      <c r="BF399" s="89"/>
      <c r="BG399" s="880"/>
      <c r="BH399" s="931"/>
    </row>
    <row r="400" spans="1:60" ht="14.5">
      <c r="A400" s="990">
        <v>1</v>
      </c>
      <c r="B400" s="990">
        <v>1</v>
      </c>
      <c r="C400" s="990">
        <f t="shared" si="776"/>
        <v>397</v>
      </c>
      <c r="D400" s="1121" t="s">
        <v>887</v>
      </c>
      <c r="E400" s="1292" t="s">
        <v>1369</v>
      </c>
      <c r="F400" s="1677"/>
      <c r="G400" s="5"/>
      <c r="H400" s="5"/>
      <c r="I400" s="30"/>
      <c r="J400" s="40"/>
      <c r="K400" s="1674"/>
      <c r="L400" s="1674"/>
      <c r="M400" s="1674" t="s">
        <v>142</v>
      </c>
      <c r="N400" s="1675"/>
      <c r="O400" s="1675"/>
      <c r="P400" s="1675"/>
      <c r="Q400" s="1852" t="str">
        <f>CHOOSE(2, "6722000003319", "PL (5) SGA Expenses Breakdown of SG&amp;A: ICW Fixed Expenses")</f>
        <v>PL (5) SGA Expenses Breakdown of SG&amp;A: ICW Fixed Expenses</v>
      </c>
      <c r="R400" s="2272">
        <v>0</v>
      </c>
      <c r="S400" s="2273">
        <v>0</v>
      </c>
      <c r="T400" s="2273">
        <v>0</v>
      </c>
      <c r="U400" s="2273">
        <v>0</v>
      </c>
      <c r="V400" s="2273">
        <v>0</v>
      </c>
      <c r="W400" s="2273">
        <v>0</v>
      </c>
      <c r="X400" s="2273">
        <v>0</v>
      </c>
      <c r="Y400" s="2273">
        <v>0</v>
      </c>
      <c r="Z400" s="2273">
        <v>0</v>
      </c>
      <c r="AA400" s="2273">
        <v>0</v>
      </c>
      <c r="AB400" s="2273">
        <v>0</v>
      </c>
      <c r="AC400" s="2273">
        <v>0</v>
      </c>
      <c r="AD400" s="1676">
        <f t="shared" si="782"/>
        <v>0</v>
      </c>
      <c r="AE400" s="1676">
        <f t="shared" si="788"/>
        <v>0</v>
      </c>
      <c r="AF400" s="1676">
        <f t="shared" si="783"/>
        <v>0</v>
      </c>
      <c r="AG400" s="1676">
        <f t="shared" si="784"/>
        <v>0</v>
      </c>
      <c r="AH400" s="1676">
        <f t="shared" si="792"/>
        <v>0</v>
      </c>
      <c r="AI400" s="1676">
        <f t="shared" si="793"/>
        <v>0</v>
      </c>
      <c r="AJ400" s="1676">
        <f t="shared" si="794"/>
        <v>0</v>
      </c>
      <c r="AL400" s="13"/>
      <c r="AM400" s="89"/>
      <c r="AN400" s="880"/>
      <c r="AO400" s="931"/>
      <c r="AP400" s="89"/>
      <c r="AQ400" s="880"/>
      <c r="AR400" s="931"/>
      <c r="AT400" s="13"/>
      <c r="AU400" s="89"/>
      <c r="AV400" s="880"/>
      <c r="AW400" s="931"/>
      <c r="AX400" s="89"/>
      <c r="AY400" s="880"/>
      <c r="AZ400" s="931"/>
      <c r="BB400" s="13"/>
      <c r="BC400" s="89"/>
      <c r="BD400" s="880"/>
      <c r="BE400" s="931"/>
      <c r="BF400" s="89"/>
      <c r="BG400" s="880"/>
      <c r="BH400" s="931"/>
    </row>
    <row r="401" spans="1:60" ht="14.5">
      <c r="A401" s="990">
        <v>1</v>
      </c>
      <c r="B401" s="990">
        <v>1</v>
      </c>
      <c r="C401" s="990">
        <f t="shared" si="776"/>
        <v>398</v>
      </c>
      <c r="D401" s="1121" t="s">
        <v>887</v>
      </c>
      <c r="E401" s="1292" t="s">
        <v>1369</v>
      </c>
      <c r="F401" s="1677"/>
      <c r="G401" s="5"/>
      <c r="H401" s="5"/>
      <c r="I401" s="30"/>
      <c r="J401" s="40"/>
      <c r="K401" s="1672" t="s">
        <v>1368</v>
      </c>
      <c r="L401" s="1078"/>
      <c r="M401" s="1079"/>
      <c r="N401" s="1079"/>
      <c r="O401" s="1079"/>
      <c r="P401" s="1079"/>
      <c r="Q401" s="1880" t="str">
        <f>CHOOSE(2, "6722000003320", "PL (5) SGA Expenses Breakdown of SG&amp;A: ITS")</f>
        <v>PL (5) SGA Expenses Breakdown of SG&amp;A: ITS</v>
      </c>
      <c r="R401" s="2274">
        <f>SUM(R402:R404)</f>
        <v>1694</v>
      </c>
      <c r="S401" s="2274">
        <f t="shared" ref="S401:AC401" si="795">SUM(S402:S404)</f>
        <v>1791</v>
      </c>
      <c r="T401" s="2274">
        <f t="shared" si="795"/>
        <v>1557</v>
      </c>
      <c r="U401" s="2274">
        <f t="shared" si="795"/>
        <v>1543</v>
      </c>
      <c r="V401" s="2274">
        <f t="shared" si="795"/>
        <v>1234.1868567744368</v>
      </c>
      <c r="W401" s="2274">
        <f t="shared" si="795"/>
        <v>1032</v>
      </c>
      <c r="X401" s="2274">
        <f t="shared" si="795"/>
        <v>1216</v>
      </c>
      <c r="Y401" s="2274">
        <f t="shared" si="795"/>
        <v>1046.5941841461286</v>
      </c>
      <c r="Z401" s="2274">
        <f t="shared" si="795"/>
        <v>1490.8997470445147</v>
      </c>
      <c r="AA401" s="2274">
        <f t="shared" si="795"/>
        <v>1626.6104702177086</v>
      </c>
      <c r="AB401" s="2274">
        <f t="shared" si="795"/>
        <v>2004.748270848942</v>
      </c>
      <c r="AC401" s="2274">
        <f t="shared" si="795"/>
        <v>1752.4208787210021</v>
      </c>
      <c r="AD401" s="1673">
        <f t="shared" si="782"/>
        <v>5042</v>
      </c>
      <c r="AE401" s="1673">
        <f t="shared" si="788"/>
        <v>3809.1868567744368</v>
      </c>
      <c r="AF401" s="1673">
        <f t="shared" si="783"/>
        <v>3753.4939311906433</v>
      </c>
      <c r="AG401" s="1673">
        <f t="shared" si="784"/>
        <v>5383.7796197876523</v>
      </c>
      <c r="AH401" s="1673">
        <f t="shared" si="792"/>
        <v>8851.1868567744368</v>
      </c>
      <c r="AI401" s="1673">
        <f t="shared" si="793"/>
        <v>9137.273550978296</v>
      </c>
      <c r="AJ401" s="1673">
        <f t="shared" si="794"/>
        <v>17988.460407752733</v>
      </c>
      <c r="AL401" s="13"/>
      <c r="AM401" s="89"/>
      <c r="AN401" s="880"/>
      <c r="AO401" s="931"/>
      <c r="AP401" s="89"/>
      <c r="AQ401" s="880"/>
      <c r="AR401" s="931"/>
      <c r="AT401" s="13"/>
      <c r="AU401" s="89"/>
      <c r="AV401" s="880"/>
      <c r="AW401" s="931"/>
      <c r="AX401" s="89"/>
      <c r="AY401" s="880"/>
      <c r="AZ401" s="931"/>
      <c r="BB401" s="13"/>
      <c r="BC401" s="89"/>
      <c r="BD401" s="880"/>
      <c r="BE401" s="931"/>
      <c r="BF401" s="89"/>
      <c r="BG401" s="880"/>
      <c r="BH401" s="931"/>
    </row>
    <row r="402" spans="1:60" ht="14.5">
      <c r="A402" s="990">
        <v>1</v>
      </c>
      <c r="B402" s="990">
        <v>1</v>
      </c>
      <c r="C402" s="990">
        <f t="shared" si="776"/>
        <v>399</v>
      </c>
      <c r="D402" s="1121" t="s">
        <v>887</v>
      </c>
      <c r="E402" s="1292" t="s">
        <v>1369</v>
      </c>
      <c r="F402" s="1677"/>
      <c r="G402" s="5"/>
      <c r="H402" s="5"/>
      <c r="I402" s="30"/>
      <c r="J402" s="40"/>
      <c r="K402" s="1022"/>
      <c r="L402" s="1022"/>
      <c r="M402" s="1022" t="s">
        <v>143</v>
      </c>
      <c r="N402" s="1079"/>
      <c r="O402" s="1079"/>
      <c r="P402" s="1079"/>
      <c r="Q402" s="1880" t="str">
        <f>CHOOSE(2, "6722000003321", "PL (5) SGA Expenses Breakdown of SG&amp;A: ITS Variable Expenses")</f>
        <v>PL (5) SGA Expenses Breakdown of SG&amp;A: ITS Variable Expenses</v>
      </c>
      <c r="R402" s="1006">
        <f>R390-R398</f>
        <v>30</v>
      </c>
      <c r="S402" s="2275">
        <f t="shared" ref="S402:AC403" si="796">S390-S398</f>
        <v>21</v>
      </c>
      <c r="T402" s="2275">
        <f t="shared" si="796"/>
        <v>44</v>
      </c>
      <c r="U402" s="2275">
        <f t="shared" si="796"/>
        <v>33</v>
      </c>
      <c r="V402" s="2275">
        <f t="shared" si="796"/>
        <v>140.57616273656043</v>
      </c>
      <c r="W402" s="2275">
        <f t="shared" si="796"/>
        <v>36</v>
      </c>
      <c r="X402" s="2275">
        <f t="shared" si="796"/>
        <v>139</v>
      </c>
      <c r="Y402" s="2275">
        <f t="shared" si="796"/>
        <v>46.497217636828026</v>
      </c>
      <c r="Z402" s="2275">
        <f t="shared" si="796"/>
        <v>95.754747044514701</v>
      </c>
      <c r="AA402" s="2275">
        <f t="shared" si="796"/>
        <v>51.465470217708592</v>
      </c>
      <c r="AB402" s="2275">
        <f t="shared" si="796"/>
        <v>392.60327084894192</v>
      </c>
      <c r="AC402" s="2275">
        <f t="shared" si="796"/>
        <v>46.280071758696181</v>
      </c>
      <c r="AD402" s="1673">
        <f t="shared" si="782"/>
        <v>95</v>
      </c>
      <c r="AE402" s="1673">
        <f t="shared" si="788"/>
        <v>209.57616273656043</v>
      </c>
      <c r="AF402" s="1673">
        <f t="shared" si="783"/>
        <v>281.25196468134271</v>
      </c>
      <c r="AG402" s="1673">
        <f t="shared" si="784"/>
        <v>490.34881282534667</v>
      </c>
      <c r="AH402" s="1673">
        <f t="shared" si="792"/>
        <v>304.57616273656043</v>
      </c>
      <c r="AI402" s="1673">
        <f t="shared" si="793"/>
        <v>771.60077750668938</v>
      </c>
      <c r="AJ402" s="1673">
        <f t="shared" si="794"/>
        <v>1076.1769402432499</v>
      </c>
      <c r="AL402" s="13"/>
      <c r="AM402" s="89"/>
      <c r="AN402" s="880"/>
      <c r="AO402" s="931"/>
      <c r="AP402" s="89"/>
      <c r="AQ402" s="880"/>
      <c r="AR402" s="931"/>
      <c r="AT402" s="13"/>
      <c r="AU402" s="89"/>
      <c r="AV402" s="880"/>
      <c r="AW402" s="931"/>
      <c r="AX402" s="89"/>
      <c r="AY402" s="880"/>
      <c r="AZ402" s="931"/>
      <c r="BB402" s="13"/>
      <c r="BC402" s="89"/>
      <c r="BD402" s="880"/>
      <c r="BE402" s="931"/>
      <c r="BF402" s="89"/>
      <c r="BG402" s="880"/>
      <c r="BH402" s="931"/>
    </row>
    <row r="403" spans="1:60" ht="14.5">
      <c r="A403" s="990">
        <v>1</v>
      </c>
      <c r="B403" s="990">
        <v>1</v>
      </c>
      <c r="C403" s="990">
        <f t="shared" si="776"/>
        <v>400</v>
      </c>
      <c r="D403" s="1121" t="s">
        <v>887</v>
      </c>
      <c r="E403" s="1292" t="s">
        <v>1369</v>
      </c>
      <c r="F403" s="1677"/>
      <c r="G403" s="5"/>
      <c r="H403" s="5"/>
      <c r="I403" s="30"/>
      <c r="J403" s="40"/>
      <c r="K403" s="1022"/>
      <c r="L403" s="1022"/>
      <c r="M403" s="1022" t="s">
        <v>96</v>
      </c>
      <c r="N403" s="1079"/>
      <c r="O403" s="1079"/>
      <c r="P403" s="1079"/>
      <c r="Q403" s="1880" t="str">
        <f>CHOOSE(2, "6722000003322", "PL (5) SGA Expenses Breakdown of SG&amp;A: ITS Wages &amp; Salaries")</f>
        <v>PL (5) SGA Expenses Breakdown of SG&amp;A: ITS Wages &amp; Salaries</v>
      </c>
      <c r="R403" s="1006">
        <f>R391-R399</f>
        <v>1634</v>
      </c>
      <c r="S403" s="2275">
        <f t="shared" si="796"/>
        <v>1685</v>
      </c>
      <c r="T403" s="2275">
        <f t="shared" si="796"/>
        <v>1115</v>
      </c>
      <c r="U403" s="2275">
        <f t="shared" si="796"/>
        <v>1292</v>
      </c>
      <c r="V403" s="2275">
        <f t="shared" si="796"/>
        <v>808</v>
      </c>
      <c r="W403" s="2275">
        <f t="shared" si="796"/>
        <v>878</v>
      </c>
      <c r="X403" s="2275">
        <f t="shared" si="796"/>
        <v>887</v>
      </c>
      <c r="Y403" s="2275">
        <f t="shared" si="796"/>
        <v>861</v>
      </c>
      <c r="Z403" s="2275">
        <f t="shared" si="796"/>
        <v>1253.145</v>
      </c>
      <c r="AA403" s="2275">
        <f t="shared" si="796"/>
        <v>1432.145</v>
      </c>
      <c r="AB403" s="2275">
        <f t="shared" si="796"/>
        <v>1465.145</v>
      </c>
      <c r="AC403" s="2275">
        <f t="shared" si="796"/>
        <v>1474.145</v>
      </c>
      <c r="AD403" s="1673">
        <f t="shared" si="782"/>
        <v>4434</v>
      </c>
      <c r="AE403" s="1673">
        <f t="shared" si="788"/>
        <v>2978</v>
      </c>
      <c r="AF403" s="1673">
        <f t="shared" si="783"/>
        <v>3001.145</v>
      </c>
      <c r="AG403" s="1673">
        <f t="shared" si="784"/>
        <v>4371.4349999999995</v>
      </c>
      <c r="AH403" s="1673">
        <f t="shared" si="792"/>
        <v>7412</v>
      </c>
      <c r="AI403" s="1673">
        <f t="shared" si="793"/>
        <v>7372.58</v>
      </c>
      <c r="AJ403" s="1673">
        <f t="shared" si="794"/>
        <v>14784.58</v>
      </c>
      <c r="AL403" s="13"/>
      <c r="AM403" s="89"/>
      <c r="AN403" s="880"/>
      <c r="AO403" s="931"/>
      <c r="AP403" s="89"/>
      <c r="AQ403" s="880"/>
      <c r="AR403" s="931"/>
      <c r="AT403" s="13"/>
      <c r="AU403" s="89"/>
      <c r="AV403" s="880"/>
      <c r="AW403" s="931"/>
      <c r="AX403" s="89"/>
      <c r="AY403" s="880"/>
      <c r="AZ403" s="931"/>
      <c r="BB403" s="13"/>
      <c r="BC403" s="89"/>
      <c r="BD403" s="880"/>
      <c r="BE403" s="931"/>
      <c r="BF403" s="89"/>
      <c r="BG403" s="880"/>
      <c r="BH403" s="931"/>
    </row>
    <row r="404" spans="1:60" ht="14.5">
      <c r="A404" s="990">
        <v>1</v>
      </c>
      <c r="B404" s="990">
        <v>1</v>
      </c>
      <c r="C404" s="990">
        <f t="shared" si="776"/>
        <v>401</v>
      </c>
      <c r="D404" s="1121" t="s">
        <v>887</v>
      </c>
      <c r="E404" s="1292" t="s">
        <v>1369</v>
      </c>
      <c r="F404" s="1677"/>
      <c r="G404" s="5"/>
      <c r="H404" s="5"/>
      <c r="I404" s="30"/>
      <c r="J404" s="40"/>
      <c r="K404" s="1022"/>
      <c r="L404" s="1022"/>
      <c r="M404" s="1022" t="s">
        <v>142</v>
      </c>
      <c r="N404" s="1079"/>
      <c r="O404" s="1079"/>
      <c r="P404" s="1079"/>
      <c r="Q404" s="1880" t="str">
        <f>CHOOSE(2, "6722000003323", "PL (5) SGA Expenses Breakdown of SG&amp;A: ITS Fixed Expenses")</f>
        <v>PL (5) SGA Expenses Breakdown of SG&amp;A: ITS Fixed Expenses</v>
      </c>
      <c r="R404" s="1012">
        <f>R396-R400</f>
        <v>30</v>
      </c>
      <c r="S404" s="2276">
        <f t="shared" ref="S404:AC404" si="797">S396-S400</f>
        <v>85</v>
      </c>
      <c r="T404" s="2276">
        <f t="shared" si="797"/>
        <v>398</v>
      </c>
      <c r="U404" s="2276">
        <f t="shared" si="797"/>
        <v>218</v>
      </c>
      <c r="V404" s="2276">
        <f t="shared" si="797"/>
        <v>285.61069403787621</v>
      </c>
      <c r="W404" s="2276">
        <f t="shared" si="797"/>
        <v>118</v>
      </c>
      <c r="X404" s="2276">
        <f t="shared" si="797"/>
        <v>190</v>
      </c>
      <c r="Y404" s="2276">
        <f t="shared" si="797"/>
        <v>139.09696650930061</v>
      </c>
      <c r="Z404" s="2276">
        <f t="shared" si="797"/>
        <v>142</v>
      </c>
      <c r="AA404" s="2276">
        <f t="shared" si="797"/>
        <v>143</v>
      </c>
      <c r="AB404" s="2276">
        <f t="shared" si="797"/>
        <v>147</v>
      </c>
      <c r="AC404" s="2276">
        <f t="shared" si="797"/>
        <v>231.99580696230598</v>
      </c>
      <c r="AD404" s="1673">
        <f t="shared" si="782"/>
        <v>513</v>
      </c>
      <c r="AE404" s="1673">
        <f t="shared" si="788"/>
        <v>621.61069403787621</v>
      </c>
      <c r="AF404" s="1673">
        <f t="shared" si="783"/>
        <v>471.09696650930061</v>
      </c>
      <c r="AG404" s="1673">
        <f t="shared" si="784"/>
        <v>521.99580696230601</v>
      </c>
      <c r="AH404" s="1673">
        <f t="shared" si="792"/>
        <v>1134.6106940378763</v>
      </c>
      <c r="AI404" s="1673">
        <f t="shared" si="793"/>
        <v>993.09277347160662</v>
      </c>
      <c r="AJ404" s="1673">
        <f t="shared" si="794"/>
        <v>2127.7034675094828</v>
      </c>
      <c r="AL404" s="13"/>
      <c r="AM404" s="89"/>
      <c r="AN404" s="880"/>
      <c r="AO404" s="931"/>
      <c r="AP404" s="89"/>
      <c r="AQ404" s="880"/>
      <c r="AR404" s="931"/>
      <c r="AT404" s="13"/>
      <c r="AU404" s="89"/>
      <c r="AV404" s="880"/>
      <c r="AW404" s="931"/>
      <c r="AX404" s="89"/>
      <c r="AY404" s="880"/>
      <c r="AZ404" s="931"/>
      <c r="BB404" s="13"/>
      <c r="BC404" s="89"/>
      <c r="BD404" s="880"/>
      <c r="BE404" s="931"/>
      <c r="BF404" s="89"/>
      <c r="BG404" s="880"/>
      <c r="BH404" s="931"/>
    </row>
    <row r="405" spans="1:60" ht="14.5">
      <c r="A405" s="990">
        <f>A396+1</f>
        <v>358</v>
      </c>
      <c r="B405" s="990">
        <v>1</v>
      </c>
      <c r="C405" s="990">
        <f t="shared" si="776"/>
        <v>402</v>
      </c>
      <c r="D405" s="1121" t="s">
        <v>887</v>
      </c>
      <c r="E405" s="1243">
        <v>1</v>
      </c>
      <c r="F405" s="5"/>
      <c r="G405" s="5"/>
      <c r="H405" s="5"/>
      <c r="I405" s="420" t="s">
        <v>136</v>
      </c>
      <c r="J405" s="421"/>
      <c r="K405" s="422"/>
      <c r="L405" s="422"/>
      <c r="M405" s="422"/>
      <c r="N405" s="422"/>
      <c r="O405" s="422"/>
      <c r="P405" s="1196"/>
      <c r="Q405" s="1868" t="str">
        <f>CHOOSE(2, "6722000003324", "PL (5) Business Contribution Profit")</f>
        <v>PL (5) Business Contribution Profit</v>
      </c>
      <c r="R405" s="2132">
        <f t="shared" ref="R405:AC405" si="798">R371-R389</f>
        <v>-1539</v>
      </c>
      <c r="S405" s="2009">
        <f t="shared" si="798"/>
        <v>-1661</v>
      </c>
      <c r="T405" s="2009">
        <f t="shared" si="798"/>
        <v>-1373</v>
      </c>
      <c r="U405" s="2009">
        <f t="shared" si="798"/>
        <v>-857</v>
      </c>
      <c r="V405" s="2009">
        <f t="shared" si="798"/>
        <v>-773.18685677443682</v>
      </c>
      <c r="W405" s="2009">
        <f t="shared" si="798"/>
        <v>-1010</v>
      </c>
      <c r="X405" s="2009">
        <f t="shared" si="798"/>
        <v>-853</v>
      </c>
      <c r="Y405" s="2009">
        <f t="shared" si="798"/>
        <v>-639.59418414612855</v>
      </c>
      <c r="Z405" s="2009">
        <f t="shared" si="798"/>
        <v>-1490.8997470445147</v>
      </c>
      <c r="AA405" s="2009">
        <f t="shared" si="798"/>
        <v>-1439.6104702177086</v>
      </c>
      <c r="AB405" s="2009">
        <f t="shared" si="798"/>
        <v>-1642.748270848942</v>
      </c>
      <c r="AC405" s="2009">
        <f t="shared" si="798"/>
        <v>-1351.4208787210021</v>
      </c>
      <c r="AD405" s="1528">
        <f t="shared" ref="AD405:AJ405" si="799">AD371-AD389</f>
        <v>-4573</v>
      </c>
      <c r="AE405" s="136">
        <f t="shared" si="799"/>
        <v>-2640.1868567744368</v>
      </c>
      <c r="AF405" s="136">
        <f t="shared" si="799"/>
        <v>-2983.4939311906433</v>
      </c>
      <c r="AG405" s="136">
        <f t="shared" si="799"/>
        <v>-4433.7796197876523</v>
      </c>
      <c r="AH405" s="136">
        <f t="shared" si="799"/>
        <v>-7213.1868567744368</v>
      </c>
      <c r="AI405" s="136">
        <f t="shared" si="799"/>
        <v>-7417.273550978296</v>
      </c>
      <c r="AJ405" s="136">
        <f t="shared" si="799"/>
        <v>-14630.460407752733</v>
      </c>
      <c r="AL405" s="2132">
        <f ca="1">SUM((INDIRECT(AL$2&amp;(ROW())):INDIRECT(AL$3&amp;(ROW()))))</f>
        <v>-1351.4208787210021</v>
      </c>
      <c r="AM405" s="136">
        <f ca="1">SUM(INDIRECT(AM$1&amp;AM$2&amp;$C405):INDIRECT(AM$1&amp;AM$3&amp;$C405))</f>
        <v>0</v>
      </c>
      <c r="AN405" s="2524">
        <f ca="1">AL405-AM405</f>
        <v>-1351.4208787210021</v>
      </c>
      <c r="AO405" s="1720">
        <f ca="1">IFERROR(AL405/AM405,0)</f>
        <v>0</v>
      </c>
      <c r="AP405" s="2525">
        <f ca="1">AP371-AP389</f>
        <v>-2609.3843999999999</v>
      </c>
      <c r="AQ405" s="2524">
        <f ca="1">AL405-AP405</f>
        <v>1257.9635212789979</v>
      </c>
      <c r="AR405" s="1720">
        <f ca="1">IFERROR(AL405/AP405,0)</f>
        <v>0.51790793212414477</v>
      </c>
      <c r="AT405" s="2132">
        <f ca="1">SUM((INDIRECT(AT$2&amp;(ROW())):INDIRECT(AT$3&amp;(ROW()))))</f>
        <v>-4433.7796197876523</v>
      </c>
      <c r="AU405" s="136">
        <f ca="1">SUM(INDIRECT(AU$1&amp;AU$2&amp;$C405):INDIRECT(AU$1&amp;AU$3&amp;$C405))</f>
        <v>0</v>
      </c>
      <c r="AV405" s="2524">
        <f ca="1">AT405-AU405</f>
        <v>-4433.7796197876523</v>
      </c>
      <c r="AW405" s="1720">
        <f ca="1">IFERROR(AT405/AU405,0)</f>
        <v>0</v>
      </c>
      <c r="AX405" s="2525">
        <f ca="1">AX371-AX389</f>
        <v>-5385.3843999999999</v>
      </c>
      <c r="AY405" s="2524">
        <f ca="1">AT405-AX405</f>
        <v>951.60478021234758</v>
      </c>
      <c r="AZ405" s="1720">
        <f ca="1">IFERROR(AT405/AX405,0)</f>
        <v>0.82329863394480296</v>
      </c>
      <c r="BB405" s="2132">
        <f ca="1">SUM((INDIRECT(BB$2&amp;(ROW())):INDIRECT(BB$3&amp;(ROW()))))</f>
        <v>-14630.460407752735</v>
      </c>
      <c r="BC405" s="136">
        <f ca="1">SUM(INDIRECT(BC$1&amp;BC$2&amp;$C405):INDIRECT(BC$1&amp;BC$3&amp;$C405))</f>
        <v>0</v>
      </c>
      <c r="BD405" s="2524">
        <f ca="1">BB405-BC405</f>
        <v>-14630.460407752735</v>
      </c>
      <c r="BE405" s="1720">
        <f ca="1">IFERROR(BB405/BC405,0)</f>
        <v>0</v>
      </c>
      <c r="BF405" s="2525">
        <f ca="1">BF371-BF389</f>
        <v>-11237.384399999999</v>
      </c>
      <c r="BG405" s="2524">
        <f ca="1">BB405-BF405</f>
        <v>-3393.0760077527357</v>
      </c>
      <c r="BH405" s="1720">
        <f ca="1">IFERROR(BB405/BF405,0)</f>
        <v>1.3019453537384318</v>
      </c>
    </row>
    <row r="406" spans="1:60" ht="14.5">
      <c r="A406" s="990">
        <f t="shared" ref="A406:A469" si="800">A405+1</f>
        <v>359</v>
      </c>
      <c r="B406" s="990">
        <v>1</v>
      </c>
      <c r="C406" s="990">
        <f t="shared" si="776"/>
        <v>403</v>
      </c>
      <c r="D406" s="1121" t="s">
        <v>887</v>
      </c>
      <c r="E406" s="1243">
        <v>1</v>
      </c>
      <c r="F406" s="5"/>
      <c r="G406" s="5"/>
      <c r="H406" s="5"/>
      <c r="I406" s="30"/>
      <c r="J406" s="618" t="s">
        <v>135</v>
      </c>
      <c r="K406" s="5"/>
      <c r="L406" s="5"/>
      <c r="M406" s="4"/>
      <c r="N406" s="4"/>
      <c r="O406" s="4"/>
      <c r="P406" s="4"/>
      <c r="Q406" s="1857" t="str">
        <f>CHOOSE(2, "6722000003325", "PL (5) Business Contribution Profit (%)")</f>
        <v>PL (5) Business Contribution Profit (%)</v>
      </c>
      <c r="R406" s="2119">
        <f t="shared" ref="R406:AC406" si="801">IFERROR(R405/R353,0)</f>
        <v>-4.2750000000000004</v>
      </c>
      <c r="S406" s="621">
        <f t="shared" si="801"/>
        <v>-6.3155893536121672</v>
      </c>
      <c r="T406" s="621">
        <f t="shared" si="801"/>
        <v>-3.1275626423690204</v>
      </c>
      <c r="U406" s="621">
        <f t="shared" si="801"/>
        <v>-0.92950108459869851</v>
      </c>
      <c r="V406" s="621">
        <f t="shared" si="801"/>
        <v>-0.21749278671573469</v>
      </c>
      <c r="W406" s="621">
        <f t="shared" si="801"/>
        <v>-22.954545454545453</v>
      </c>
      <c r="X406" s="621">
        <f t="shared" si="801"/>
        <v>-1.2048022598870056</v>
      </c>
      <c r="Y406" s="621">
        <f t="shared" si="801"/>
        <v>-1.2791883682922571</v>
      </c>
      <c r="Z406" s="621">
        <f t="shared" si="801"/>
        <v>0</v>
      </c>
      <c r="AA406" s="621">
        <f t="shared" si="801"/>
        <v>-2.5985748559886437</v>
      </c>
      <c r="AB406" s="621">
        <f t="shared" si="801"/>
        <v>-1.9486930852300617</v>
      </c>
      <c r="AC406" s="621">
        <f t="shared" si="801"/>
        <v>-4.8093269705373736</v>
      </c>
      <c r="AD406" s="621">
        <f t="shared" ref="AD406:AJ406" si="802">IFERROR(AD405/AD353,0)</f>
        <v>-4.3060263653483997</v>
      </c>
      <c r="AE406" s="621">
        <f t="shared" si="802"/>
        <v>-0.58398293668976708</v>
      </c>
      <c r="AF406" s="621">
        <f t="shared" si="802"/>
        <v>-2.4697797443631151</v>
      </c>
      <c r="AG406" s="621">
        <f t="shared" si="802"/>
        <v>-2.6423001309819143</v>
      </c>
      <c r="AH406" s="621">
        <f t="shared" si="802"/>
        <v>-1.291991197702747</v>
      </c>
      <c r="AI406" s="621">
        <f t="shared" si="802"/>
        <v>-2.5700878555018352</v>
      </c>
      <c r="AJ406" s="621">
        <f t="shared" si="802"/>
        <v>-1.7275310435414728</v>
      </c>
      <c r="AK406" s="619"/>
      <c r="AL406" s="2119">
        <f ca="1">IFERROR(AL405/AL353,0)</f>
        <v>-4.8093269705373736</v>
      </c>
      <c r="AM406" s="621">
        <f ca="1">IFERROR(AM405/AM353,0)</f>
        <v>0</v>
      </c>
      <c r="AN406" s="621">
        <f ca="1">AL406-AM406</f>
        <v>-4.8093269705373736</v>
      </c>
      <c r="AO406" s="936"/>
      <c r="AP406" s="621">
        <f ca="1">IFERROR(AP405/AP353,0)</f>
        <v>-42.08684516129032</v>
      </c>
      <c r="AQ406" s="621">
        <f ca="1">AL406-AP406</f>
        <v>37.277518190752943</v>
      </c>
      <c r="AR406" s="936"/>
      <c r="AS406" s="619"/>
      <c r="AT406" s="2119">
        <f ca="1">IFERROR(AT405/AT353,0)</f>
        <v>-2.6423001309819143</v>
      </c>
      <c r="AU406" s="621">
        <f ca="1">IFERROR(AU405/AU353,0)</f>
        <v>0</v>
      </c>
      <c r="AV406" s="621">
        <f ca="1">AT406-AU406</f>
        <v>-2.6423001309819143</v>
      </c>
      <c r="AW406" s="936"/>
      <c r="AX406" s="621">
        <f ca="1">IFERROR(AX405/AX353,0)</f>
        <v>-13.463461000000001</v>
      </c>
      <c r="AY406" s="621">
        <f ca="1">AT406-AX406</f>
        <v>10.821160869018087</v>
      </c>
      <c r="AZ406" s="936"/>
      <c r="BA406" s="619"/>
      <c r="BB406" s="2119">
        <f ca="1">IFERROR(BB405/BB353,0)</f>
        <v>-1.727531043541473</v>
      </c>
      <c r="BC406" s="621">
        <f ca="1">IFERROR(BC405/BC353,0)</f>
        <v>0</v>
      </c>
      <c r="BD406" s="621">
        <f ca="1">BB406-BC406</f>
        <v>-1.727531043541473</v>
      </c>
      <c r="BE406" s="936"/>
      <c r="BF406" s="621">
        <f ca="1">IFERROR(BF405/BF353,0)</f>
        <v>-3.2393728452003456</v>
      </c>
      <c r="BG406" s="621">
        <f ca="1">BB406-BF406</f>
        <v>1.5118418016588726</v>
      </c>
      <c r="BH406" s="936"/>
    </row>
    <row r="407" spans="1:60" ht="14.5">
      <c r="A407" s="990">
        <v>1</v>
      </c>
      <c r="B407" s="990">
        <v>1</v>
      </c>
      <c r="C407" s="990">
        <f t="shared" si="776"/>
        <v>404</v>
      </c>
      <c r="D407" s="1121" t="s">
        <v>887</v>
      </c>
      <c r="E407" s="1292" t="s">
        <v>460</v>
      </c>
      <c r="F407" s="1677"/>
      <c r="G407" s="5"/>
      <c r="H407" s="5"/>
      <c r="I407" s="30"/>
      <c r="J407" s="389" t="s">
        <v>1410</v>
      </c>
      <c r="K407" s="1769"/>
      <c r="L407" s="1769"/>
      <c r="M407" s="389"/>
      <c r="N407" s="389"/>
      <c r="O407" s="389"/>
      <c r="P407" s="389"/>
      <c r="Q407" s="1861" t="str">
        <f>CHOOSE(2, "6722000003326", "PL (5) Business Contribution Profit BCP: ITS")</f>
        <v>PL (5) Business Contribution Profit BCP: ITS</v>
      </c>
      <c r="R407" s="2318">
        <f t="shared" ref="R407:AC407" si="803">R381-R401</f>
        <v>-1539</v>
      </c>
      <c r="S407" s="1771">
        <f t="shared" si="803"/>
        <v>-1661</v>
      </c>
      <c r="T407" s="1771">
        <f t="shared" si="803"/>
        <v>-1373</v>
      </c>
      <c r="U407" s="1771">
        <f t="shared" si="803"/>
        <v>-857</v>
      </c>
      <c r="V407" s="1771">
        <f t="shared" si="803"/>
        <v>-773.18685677443682</v>
      </c>
      <c r="W407" s="1771">
        <f t="shared" si="803"/>
        <v>-1010</v>
      </c>
      <c r="X407" s="1771">
        <f t="shared" si="803"/>
        <v>-853</v>
      </c>
      <c r="Y407" s="1771">
        <f t="shared" si="803"/>
        <v>-639.59418414612855</v>
      </c>
      <c r="Z407" s="1771">
        <f t="shared" si="803"/>
        <v>-1490.8997470445147</v>
      </c>
      <c r="AA407" s="1771">
        <f t="shared" si="803"/>
        <v>-1439.6104702177086</v>
      </c>
      <c r="AB407" s="1771">
        <f t="shared" si="803"/>
        <v>-1642.748270848942</v>
      </c>
      <c r="AC407" s="1771">
        <f t="shared" si="803"/>
        <v>-1351.4208787210021</v>
      </c>
      <c r="AD407" s="1771">
        <f t="shared" ref="AD407:AJ407" si="804">AD381-AD401</f>
        <v>-4573</v>
      </c>
      <c r="AE407" s="1771">
        <f t="shared" si="804"/>
        <v>-2640.1868567744368</v>
      </c>
      <c r="AF407" s="1771">
        <f t="shared" si="804"/>
        <v>-2983.4939311906433</v>
      </c>
      <c r="AG407" s="1771">
        <f t="shared" si="804"/>
        <v>-4433.7796197876523</v>
      </c>
      <c r="AH407" s="1771">
        <f t="shared" si="804"/>
        <v>-7213.1868567744368</v>
      </c>
      <c r="AI407" s="1771">
        <f t="shared" si="804"/>
        <v>-7417.273550978296</v>
      </c>
      <c r="AJ407" s="1771">
        <f t="shared" si="804"/>
        <v>-14630.460407752733</v>
      </c>
      <c r="AK407" s="619"/>
      <c r="AL407" s="2119"/>
      <c r="AM407" s="621"/>
      <c r="AN407" s="621"/>
      <c r="AO407" s="936"/>
      <c r="AP407" s="621"/>
      <c r="AQ407" s="621"/>
      <c r="AR407" s="936"/>
      <c r="AS407" s="619"/>
      <c r="AT407" s="2119"/>
      <c r="AU407" s="621"/>
      <c r="AV407" s="621"/>
      <c r="AW407" s="936"/>
      <c r="AX407" s="621"/>
      <c r="AY407" s="621"/>
      <c r="AZ407" s="936"/>
      <c r="BA407" s="619"/>
      <c r="BB407" s="2119"/>
      <c r="BC407" s="621"/>
      <c r="BD407" s="621"/>
      <c r="BE407" s="936"/>
      <c r="BF407" s="621"/>
      <c r="BG407" s="621"/>
      <c r="BH407" s="936"/>
    </row>
    <row r="408" spans="1:60" ht="14.5">
      <c r="A408" s="990">
        <v>1</v>
      </c>
      <c r="B408" s="990">
        <v>1</v>
      </c>
      <c r="C408" s="990">
        <f t="shared" si="776"/>
        <v>405</v>
      </c>
      <c r="D408" s="1121" t="s">
        <v>887</v>
      </c>
      <c r="E408" s="1292" t="s">
        <v>460</v>
      </c>
      <c r="F408" s="1677"/>
      <c r="G408" s="5"/>
      <c r="H408" s="5"/>
      <c r="I408" s="30"/>
      <c r="J408" s="389" t="s">
        <v>1411</v>
      </c>
      <c r="K408" s="1769"/>
      <c r="L408" s="1769"/>
      <c r="M408" s="389"/>
      <c r="N408" s="389"/>
      <c r="O408" s="389"/>
      <c r="P408" s="389"/>
      <c r="Q408" s="1861" t="str">
        <f>CHOOSE(2, "6722000003327", "PL (5) Business Contribution Profit BCP: ICW")</f>
        <v>PL (5) Business Contribution Profit BCP: ICW</v>
      </c>
      <c r="R408" s="2318">
        <f t="shared" ref="R408:AC408" si="805">R385-R397</f>
        <v>0</v>
      </c>
      <c r="S408" s="1771">
        <f t="shared" si="805"/>
        <v>0</v>
      </c>
      <c r="T408" s="1771">
        <f t="shared" si="805"/>
        <v>0</v>
      </c>
      <c r="U408" s="1771">
        <f t="shared" si="805"/>
        <v>0</v>
      </c>
      <c r="V408" s="1771">
        <f t="shared" si="805"/>
        <v>0</v>
      </c>
      <c r="W408" s="1771">
        <f t="shared" si="805"/>
        <v>0</v>
      </c>
      <c r="X408" s="1771">
        <f t="shared" si="805"/>
        <v>0</v>
      </c>
      <c r="Y408" s="1771">
        <f t="shared" si="805"/>
        <v>0</v>
      </c>
      <c r="Z408" s="1771">
        <f t="shared" si="805"/>
        <v>0</v>
      </c>
      <c r="AA408" s="1771">
        <f t="shared" si="805"/>
        <v>0</v>
      </c>
      <c r="AB408" s="1771">
        <f t="shared" si="805"/>
        <v>0</v>
      </c>
      <c r="AC408" s="1771">
        <f t="shared" si="805"/>
        <v>0</v>
      </c>
      <c r="AD408" s="1771">
        <f t="shared" ref="AD408:AJ408" si="806">AD385-AD397</f>
        <v>0</v>
      </c>
      <c r="AE408" s="1771">
        <f t="shared" si="806"/>
        <v>0</v>
      </c>
      <c r="AF408" s="1771">
        <f t="shared" si="806"/>
        <v>0</v>
      </c>
      <c r="AG408" s="1771">
        <f t="shared" si="806"/>
        <v>0</v>
      </c>
      <c r="AH408" s="1771">
        <f t="shared" si="806"/>
        <v>0</v>
      </c>
      <c r="AI408" s="1771">
        <f t="shared" si="806"/>
        <v>0</v>
      </c>
      <c r="AJ408" s="1771">
        <f t="shared" si="806"/>
        <v>0</v>
      </c>
      <c r="AK408" s="619"/>
      <c r="AL408" s="2119"/>
      <c r="AM408" s="621"/>
      <c r="AN408" s="621"/>
      <c r="AO408" s="936"/>
      <c r="AP408" s="621"/>
      <c r="AQ408" s="621"/>
      <c r="AR408" s="936"/>
      <c r="AS408" s="619"/>
      <c r="AT408" s="2119"/>
      <c r="AU408" s="621"/>
      <c r="AV408" s="621"/>
      <c r="AW408" s="936"/>
      <c r="AX408" s="621"/>
      <c r="AY408" s="621"/>
      <c r="AZ408" s="936"/>
      <c r="BA408" s="619"/>
      <c r="BB408" s="2119"/>
      <c r="BC408" s="621"/>
      <c r="BD408" s="621"/>
      <c r="BE408" s="936"/>
      <c r="BF408" s="621"/>
      <c r="BG408" s="621"/>
      <c r="BH408" s="936"/>
    </row>
    <row r="409" spans="1:60" ht="14.5">
      <c r="A409" s="990">
        <f>A406+1</f>
        <v>360</v>
      </c>
      <c r="B409" s="990">
        <v>1</v>
      </c>
      <c r="C409" s="990">
        <f t="shared" si="776"/>
        <v>406</v>
      </c>
      <c r="D409" s="1121" t="s">
        <v>887</v>
      </c>
      <c r="E409" s="1243">
        <v>1</v>
      </c>
      <c r="F409" s="5"/>
      <c r="G409" s="5"/>
      <c r="H409" s="5"/>
      <c r="I409" s="258" t="s">
        <v>202</v>
      </c>
      <c r="J409" s="418"/>
      <c r="K409" s="419"/>
      <c r="L409" s="419"/>
      <c r="M409" s="418"/>
      <c r="N409" s="418"/>
      <c r="O409" s="418"/>
      <c r="P409" s="555"/>
      <c r="Q409" s="1855" t="str">
        <f>CHOOSE(2, "6722000003328", "PL (5) Other Income")</f>
        <v>PL (5) Other Income</v>
      </c>
      <c r="R409" s="2212">
        <v>0</v>
      </c>
      <c r="S409" s="2015">
        <v>0</v>
      </c>
      <c r="T409" s="2015">
        <v>0</v>
      </c>
      <c r="U409" s="2015">
        <v>0</v>
      </c>
      <c r="V409" s="2015">
        <v>0</v>
      </c>
      <c r="W409" s="2015">
        <v>0</v>
      </c>
      <c r="X409" s="2015">
        <v>0</v>
      </c>
      <c r="Y409" s="2015">
        <v>0</v>
      </c>
      <c r="Z409" s="2015">
        <v>0</v>
      </c>
      <c r="AA409" s="2015">
        <v>0</v>
      </c>
      <c r="AB409" s="2015">
        <v>0</v>
      </c>
      <c r="AC409" s="2015">
        <v>0</v>
      </c>
      <c r="AD409" s="1521">
        <f>SUM(R409,S409,T409)</f>
        <v>0</v>
      </c>
      <c r="AE409" s="122">
        <f t="shared" ref="AE409:AE410" si="807">SUM(U409,V409,W409)</f>
        <v>0</v>
      </c>
      <c r="AF409" s="122">
        <f t="shared" ref="AF409:AF410" si="808">SUM(X409,Y409,Z409)</f>
        <v>0</v>
      </c>
      <c r="AG409" s="122">
        <f t="shared" ref="AG409:AG410" si="809">SUM(AA409,AB409,AC409)</f>
        <v>0</v>
      </c>
      <c r="AH409" s="122">
        <f>AD409+AE409</f>
        <v>0</v>
      </c>
      <c r="AI409" s="122">
        <f>AG409+AF409</f>
        <v>0</v>
      </c>
      <c r="AJ409" s="122">
        <f>AH409+AI409</f>
        <v>0</v>
      </c>
      <c r="AL409" s="2120">
        <f ca="1">SUM((INDIRECT(AL$2&amp;(ROW())):INDIRECT(AL$3&amp;(ROW()))))</f>
        <v>0</v>
      </c>
      <c r="AM409" s="122">
        <f ca="1">SUM(INDIRECT(AM$1&amp;AM$2&amp;$C409):INDIRECT(AM$1&amp;AM$3&amp;$C409))</f>
        <v>0</v>
      </c>
      <c r="AN409" s="2504">
        <f t="shared" ref="AN409:AN422" ca="1" si="810">AL409-AM409</f>
        <v>0</v>
      </c>
      <c r="AO409" s="1712">
        <f ca="1">IFERROR(AL409/AM409,0)</f>
        <v>0</v>
      </c>
      <c r="AP409" s="122">
        <f ca="1">SUM(INDIRECT(AP$1&amp;AP$2&amp;$A409):INDIRECT(AP$1&amp;AP$3&amp;$A409))+SUM(INDIRECT(AP$1&amp;AP$2&amp;$B409):INDIRECT(AP$1&amp;AP$3&amp;$B409))</f>
        <v>0</v>
      </c>
      <c r="AQ409" s="2504">
        <f t="shared" ref="AQ409:AQ418" ca="1" si="811">AL409-AP409</f>
        <v>0</v>
      </c>
      <c r="AR409" s="1712">
        <f ca="1">IFERROR(AL409/AP409,0)</f>
        <v>0</v>
      </c>
      <c r="AT409" s="2120">
        <f ca="1">SUM((INDIRECT(AT$2&amp;(ROW())):INDIRECT(AT$3&amp;(ROW()))))</f>
        <v>0</v>
      </c>
      <c r="AU409" s="122">
        <f ca="1">SUM(INDIRECT(AU$1&amp;AU$2&amp;$C409):INDIRECT(AU$1&amp;AU$3&amp;$C409))</f>
        <v>0</v>
      </c>
      <c r="AV409" s="2504">
        <f t="shared" ref="AV409:AV422" ca="1" si="812">AT409-AU409</f>
        <v>0</v>
      </c>
      <c r="AW409" s="1712">
        <f ca="1">IFERROR(AT409/AU409,0)</f>
        <v>0</v>
      </c>
      <c r="AX409" s="122">
        <f ca="1">SUM(INDIRECT(AX$1&amp;AX$2&amp;$A409):INDIRECT(AX$1&amp;AX$3&amp;$A409))+SUM(INDIRECT(AX$1&amp;AX$2&amp;$B409):INDIRECT(AX$1&amp;AX$3&amp;$B409))</f>
        <v>0</v>
      </c>
      <c r="AY409" s="2504">
        <f t="shared" ref="AY409:AY418" ca="1" si="813">AT409-AX409</f>
        <v>0</v>
      </c>
      <c r="AZ409" s="1712">
        <f ca="1">IFERROR(AT409/AX409,0)</f>
        <v>0</v>
      </c>
      <c r="BB409" s="2120">
        <f ca="1">SUM((INDIRECT(BB$2&amp;(ROW())):INDIRECT(BB$3&amp;(ROW()))))</f>
        <v>0</v>
      </c>
      <c r="BC409" s="122">
        <f ca="1">SUM(INDIRECT(BC$1&amp;BC$2&amp;$C409):INDIRECT(BC$1&amp;BC$3&amp;$C409))</f>
        <v>0</v>
      </c>
      <c r="BD409" s="2504">
        <f t="shared" ref="BD409:BD422" ca="1" si="814">BB409-BC409</f>
        <v>0</v>
      </c>
      <c r="BE409" s="1712">
        <f ca="1">IFERROR(BB409/BC409,0)</f>
        <v>0</v>
      </c>
      <c r="BF409" s="122">
        <f ca="1">SUM(INDIRECT(BF$1&amp;BF$2&amp;$A409):INDIRECT(BF$1&amp;BF$3&amp;$A409))+SUM(INDIRECT(BF$1&amp;BF$2&amp;$B409):INDIRECT(BF$1&amp;BF$3&amp;$B409))</f>
        <v>0</v>
      </c>
      <c r="BG409" s="2504">
        <f t="shared" ref="BG409:BG418" ca="1" si="815">BB409-BF409</f>
        <v>0</v>
      </c>
      <c r="BH409" s="1712">
        <f ca="1">IFERROR(BB409/BF409,0)</f>
        <v>0</v>
      </c>
    </row>
    <row r="410" spans="1:60" ht="14.5">
      <c r="A410" s="990">
        <f t="shared" si="800"/>
        <v>361</v>
      </c>
      <c r="B410" s="990">
        <v>1</v>
      </c>
      <c r="C410" s="990">
        <f t="shared" si="776"/>
        <v>407</v>
      </c>
      <c r="D410" s="1121" t="s">
        <v>887</v>
      </c>
      <c r="E410" s="1243">
        <v>1</v>
      </c>
      <c r="F410" s="5"/>
      <c r="G410" s="5"/>
      <c r="H410" s="5"/>
      <c r="I410" s="121" t="s">
        <v>203</v>
      </c>
      <c r="J410" s="119"/>
      <c r="K410" s="120"/>
      <c r="L410" s="120"/>
      <c r="M410" s="119"/>
      <c r="N410" s="119"/>
      <c r="O410" s="119"/>
      <c r="P410" s="119"/>
      <c r="Q410" s="1855" t="str">
        <f>CHOOSE(2, "6722000003329", "PL (5) Other Expenses")</f>
        <v>PL (5) Other Expenses</v>
      </c>
      <c r="R410" s="2031">
        <v>0</v>
      </c>
      <c r="S410" s="2035">
        <v>0</v>
      </c>
      <c r="T410" s="2035">
        <v>0</v>
      </c>
      <c r="U410" s="2035">
        <v>0</v>
      </c>
      <c r="V410" s="2035">
        <v>0</v>
      </c>
      <c r="W410" s="2035">
        <v>0</v>
      </c>
      <c r="X410" s="2035">
        <v>0</v>
      </c>
      <c r="Y410" s="2035">
        <v>0</v>
      </c>
      <c r="Z410" s="2035">
        <v>0</v>
      </c>
      <c r="AA410" s="2035">
        <v>0</v>
      </c>
      <c r="AB410" s="2035">
        <v>0</v>
      </c>
      <c r="AC410" s="2035">
        <v>0</v>
      </c>
      <c r="AD410" s="92">
        <f>SUM(R410,S410,T410)</f>
        <v>0</v>
      </c>
      <c r="AE410" s="92">
        <f t="shared" si="807"/>
        <v>0</v>
      </c>
      <c r="AF410" s="92">
        <f t="shared" si="808"/>
        <v>0</v>
      </c>
      <c r="AG410" s="92">
        <f t="shared" si="809"/>
        <v>0</v>
      </c>
      <c r="AH410" s="92">
        <f>AD410+AE410</f>
        <v>0</v>
      </c>
      <c r="AI410" s="92">
        <f>AG410+AF410</f>
        <v>0</v>
      </c>
      <c r="AJ410" s="92">
        <f>AH410+AI410</f>
        <v>0</v>
      </c>
      <c r="AL410" s="66">
        <f ca="1">SUM((INDIRECT(AL$2&amp;(ROW())):INDIRECT(AL$3&amp;(ROW()))))</f>
        <v>0</v>
      </c>
      <c r="AM410" s="92">
        <f ca="1">SUM(INDIRECT(AM$1&amp;AM$2&amp;$C410):INDIRECT(AM$1&amp;AM$3&amp;$C410))</f>
        <v>0</v>
      </c>
      <c r="AN410" s="884">
        <f t="shared" ca="1" si="810"/>
        <v>0</v>
      </c>
      <c r="AO410" s="937">
        <f ca="1">IFERROR(AL410/AM410,0)</f>
        <v>0</v>
      </c>
      <c r="AP410" s="92">
        <f ca="1">SUM(INDIRECT(AP$1&amp;AP$2&amp;$A410):INDIRECT(AP$1&amp;AP$3&amp;$A410))+SUM(INDIRECT(AP$1&amp;AP$2&amp;$B410):INDIRECT(AP$1&amp;AP$3&amp;$B410))</f>
        <v>0</v>
      </c>
      <c r="AQ410" s="884">
        <f t="shared" ca="1" si="811"/>
        <v>0</v>
      </c>
      <c r="AR410" s="937">
        <f ca="1">IFERROR(AL410/AP410,0)</f>
        <v>0</v>
      </c>
      <c r="AT410" s="66">
        <f ca="1">SUM((INDIRECT(AT$2&amp;(ROW())):INDIRECT(AT$3&amp;(ROW()))))</f>
        <v>0</v>
      </c>
      <c r="AU410" s="92">
        <f ca="1">SUM(INDIRECT(AU$1&amp;AU$2&amp;$C410):INDIRECT(AU$1&amp;AU$3&amp;$C410))</f>
        <v>0</v>
      </c>
      <c r="AV410" s="884">
        <f t="shared" ca="1" si="812"/>
        <v>0</v>
      </c>
      <c r="AW410" s="937">
        <f ca="1">IFERROR(AT410/AU410,0)</f>
        <v>0</v>
      </c>
      <c r="AX410" s="92">
        <f ca="1">SUM(INDIRECT(AX$1&amp;AX$2&amp;$A410):INDIRECT(AX$1&amp;AX$3&amp;$A410))+SUM(INDIRECT(AX$1&amp;AX$2&amp;$B410):INDIRECT(AX$1&amp;AX$3&amp;$B410))</f>
        <v>0</v>
      </c>
      <c r="AY410" s="884">
        <f t="shared" ca="1" si="813"/>
        <v>0</v>
      </c>
      <c r="AZ410" s="937">
        <f ca="1">IFERROR(AT410/AX410,0)</f>
        <v>0</v>
      </c>
      <c r="BB410" s="66">
        <f ca="1">SUM((INDIRECT(BB$2&amp;(ROW())):INDIRECT(BB$3&amp;(ROW()))))</f>
        <v>0</v>
      </c>
      <c r="BC410" s="92">
        <f ca="1">SUM(INDIRECT(BC$1&amp;BC$2&amp;$C410):INDIRECT(BC$1&amp;BC$3&amp;$C410))</f>
        <v>0</v>
      </c>
      <c r="BD410" s="884">
        <f t="shared" ca="1" si="814"/>
        <v>0</v>
      </c>
      <c r="BE410" s="937">
        <f ca="1">IFERROR(BB410/BC410,0)</f>
        <v>0</v>
      </c>
      <c r="BF410" s="92">
        <f ca="1">SUM(INDIRECT(BF$1&amp;BF$2&amp;$A410):INDIRECT(BF$1&amp;BF$3&amp;$A410))+SUM(INDIRECT(BF$1&amp;BF$2&amp;$B410):INDIRECT(BF$1&amp;BF$3&amp;$B410))</f>
        <v>0</v>
      </c>
      <c r="BG410" s="884">
        <f t="shared" ca="1" si="815"/>
        <v>0</v>
      </c>
      <c r="BH410" s="937">
        <f ca="1">IFERROR(BB410/BF410,0)</f>
        <v>0</v>
      </c>
    </row>
    <row r="411" spans="1:60" ht="14.5">
      <c r="A411" s="990">
        <f t="shared" si="800"/>
        <v>362</v>
      </c>
      <c r="B411" s="990">
        <v>1</v>
      </c>
      <c r="C411" s="990">
        <f t="shared" si="776"/>
        <v>408</v>
      </c>
      <c r="D411" s="1121" t="s">
        <v>887</v>
      </c>
      <c r="E411" s="1243">
        <v>1</v>
      </c>
      <c r="F411" s="5"/>
      <c r="G411" s="5"/>
      <c r="H411" s="5"/>
      <c r="I411" s="420" t="s">
        <v>204</v>
      </c>
      <c r="J411" s="421"/>
      <c r="K411" s="422"/>
      <c r="L411" s="422"/>
      <c r="M411" s="422"/>
      <c r="N411" s="422"/>
      <c r="O411" s="422"/>
      <c r="P411" s="1196"/>
      <c r="Q411" s="1868" t="str">
        <f>CHOOSE(2, "6722000003330", "PL (5) Operating Profit")</f>
        <v>PL (5) Operating Profit</v>
      </c>
      <c r="R411" s="2132">
        <f t="shared" ref="R411:AC411" si="816">R405+R409-R410</f>
        <v>-1539</v>
      </c>
      <c r="S411" s="2009">
        <f t="shared" si="816"/>
        <v>-1661</v>
      </c>
      <c r="T411" s="2009">
        <f t="shared" si="816"/>
        <v>-1373</v>
      </c>
      <c r="U411" s="2009">
        <f t="shared" si="816"/>
        <v>-857</v>
      </c>
      <c r="V411" s="2009">
        <f t="shared" si="816"/>
        <v>-773.18685677443682</v>
      </c>
      <c r="W411" s="2009">
        <f t="shared" si="816"/>
        <v>-1010</v>
      </c>
      <c r="X411" s="2009">
        <f t="shared" si="816"/>
        <v>-853</v>
      </c>
      <c r="Y411" s="2009">
        <f t="shared" si="816"/>
        <v>-639.59418414612855</v>
      </c>
      <c r="Z411" s="2009">
        <f t="shared" si="816"/>
        <v>-1490.8997470445147</v>
      </c>
      <c r="AA411" s="2009">
        <f t="shared" si="816"/>
        <v>-1439.6104702177086</v>
      </c>
      <c r="AB411" s="2009">
        <f t="shared" si="816"/>
        <v>-1642.748270848942</v>
      </c>
      <c r="AC411" s="2009">
        <f t="shared" si="816"/>
        <v>-1351.4208787210021</v>
      </c>
      <c r="AD411" s="1528">
        <f t="shared" ref="AD411:AJ411" si="817">AD405+AD409-AD410</f>
        <v>-4573</v>
      </c>
      <c r="AE411" s="136">
        <f t="shared" si="817"/>
        <v>-2640.1868567744368</v>
      </c>
      <c r="AF411" s="136">
        <f t="shared" si="817"/>
        <v>-2983.4939311906433</v>
      </c>
      <c r="AG411" s="136">
        <f t="shared" si="817"/>
        <v>-4433.7796197876523</v>
      </c>
      <c r="AH411" s="136">
        <f t="shared" si="817"/>
        <v>-7213.1868567744368</v>
      </c>
      <c r="AI411" s="136">
        <f t="shared" si="817"/>
        <v>-7417.273550978296</v>
      </c>
      <c r="AJ411" s="136">
        <f t="shared" si="817"/>
        <v>-14630.460407752733</v>
      </c>
      <c r="AL411" s="2132">
        <f ca="1">SUM((INDIRECT(AL$2&amp;(ROW())):INDIRECT(AL$3&amp;(ROW()))))</f>
        <v>-1351.4208787210021</v>
      </c>
      <c r="AM411" s="136">
        <f ca="1">SUM(INDIRECT(AM$1&amp;AM$2&amp;$C411):INDIRECT(AM$1&amp;AM$3&amp;$C411))</f>
        <v>0</v>
      </c>
      <c r="AN411" s="2524">
        <f t="shared" ca="1" si="810"/>
        <v>-1351.4208787210021</v>
      </c>
      <c r="AO411" s="1720">
        <f ca="1">IFERROR(AL411/AM411,0)</f>
        <v>0</v>
      </c>
      <c r="AP411" s="2525">
        <f ca="1">AP405+AP409-AP410</f>
        <v>-2609.3843999999999</v>
      </c>
      <c r="AQ411" s="2524">
        <f t="shared" ca="1" si="811"/>
        <v>1257.9635212789979</v>
      </c>
      <c r="AR411" s="1720">
        <f ca="1">IFERROR(AL411/AP411,0)</f>
        <v>0.51790793212414477</v>
      </c>
      <c r="AT411" s="2132">
        <f ca="1">SUM((INDIRECT(AT$2&amp;(ROW())):INDIRECT(AT$3&amp;(ROW()))))</f>
        <v>-4433.7796197876523</v>
      </c>
      <c r="AU411" s="136">
        <f ca="1">SUM(INDIRECT(AU$1&amp;AU$2&amp;$C411):INDIRECT(AU$1&amp;AU$3&amp;$C411))</f>
        <v>0</v>
      </c>
      <c r="AV411" s="2524">
        <f t="shared" ca="1" si="812"/>
        <v>-4433.7796197876523</v>
      </c>
      <c r="AW411" s="1720">
        <f ca="1">IFERROR(AT411/AU411,0)</f>
        <v>0</v>
      </c>
      <c r="AX411" s="2525">
        <f ca="1">AX405+AX409-AX410</f>
        <v>-5385.3843999999999</v>
      </c>
      <c r="AY411" s="2524">
        <f t="shared" ca="1" si="813"/>
        <v>951.60478021234758</v>
      </c>
      <c r="AZ411" s="1720">
        <f ca="1">IFERROR(AT411/AX411,0)</f>
        <v>0.82329863394480296</v>
      </c>
      <c r="BB411" s="2132">
        <f ca="1">SUM((INDIRECT(BB$2&amp;(ROW())):INDIRECT(BB$3&amp;(ROW()))))</f>
        <v>-14630.460407752735</v>
      </c>
      <c r="BC411" s="136">
        <f ca="1">SUM(INDIRECT(BC$1&amp;BC$2&amp;$C411):INDIRECT(BC$1&amp;BC$3&amp;$C411))</f>
        <v>0</v>
      </c>
      <c r="BD411" s="2524">
        <f t="shared" ca="1" si="814"/>
        <v>-14630.460407752735</v>
      </c>
      <c r="BE411" s="1720">
        <f ca="1">IFERROR(BB411/BC411,0)</f>
        <v>0</v>
      </c>
      <c r="BF411" s="2525">
        <f ca="1">BF405+BF409-BF410</f>
        <v>-11237.384399999999</v>
      </c>
      <c r="BG411" s="2524">
        <f t="shared" ca="1" si="815"/>
        <v>-3393.0760077527357</v>
      </c>
      <c r="BH411" s="1720">
        <f ca="1">IFERROR(BB411/BF411,0)</f>
        <v>1.3019453537384318</v>
      </c>
    </row>
    <row r="412" spans="1:60" ht="14.15" customHeight="1">
      <c r="A412" s="990">
        <f t="shared" si="800"/>
        <v>363</v>
      </c>
      <c r="B412" s="990">
        <v>1</v>
      </c>
      <c r="C412" s="990">
        <f t="shared" si="776"/>
        <v>409</v>
      </c>
      <c r="D412" s="1121" t="s">
        <v>887</v>
      </c>
      <c r="E412" s="1243">
        <v>1</v>
      </c>
      <c r="F412" s="5"/>
      <c r="G412" s="5"/>
      <c r="H412" s="5"/>
      <c r="I412" s="28"/>
      <c r="J412" s="629" t="s">
        <v>135</v>
      </c>
      <c r="K412" s="3"/>
      <c r="L412" s="3"/>
      <c r="M412" s="2"/>
      <c r="N412" s="2"/>
      <c r="O412" s="2"/>
      <c r="P412" s="2"/>
      <c r="Q412" s="1857" t="str">
        <f>CHOOSE(2, "6722000003331", "PL (5) Operating Profit (%)")</f>
        <v>PL (5) Operating Profit (%)</v>
      </c>
      <c r="R412" s="2138">
        <f t="shared" ref="R412:AC412" si="818">IFERROR(R411/R353,0)</f>
        <v>-4.2750000000000004</v>
      </c>
      <c r="S412" s="866">
        <f t="shared" si="818"/>
        <v>-6.3155893536121672</v>
      </c>
      <c r="T412" s="866">
        <f t="shared" si="818"/>
        <v>-3.1275626423690204</v>
      </c>
      <c r="U412" s="866">
        <f t="shared" si="818"/>
        <v>-0.92950108459869851</v>
      </c>
      <c r="V412" s="866">
        <f t="shared" si="818"/>
        <v>-0.21749278671573469</v>
      </c>
      <c r="W412" s="866">
        <f t="shared" si="818"/>
        <v>-22.954545454545453</v>
      </c>
      <c r="X412" s="866">
        <f t="shared" si="818"/>
        <v>-1.2048022598870056</v>
      </c>
      <c r="Y412" s="866">
        <f t="shared" si="818"/>
        <v>-1.2791883682922571</v>
      </c>
      <c r="Z412" s="866">
        <f t="shared" si="818"/>
        <v>0</v>
      </c>
      <c r="AA412" s="866">
        <f t="shared" si="818"/>
        <v>-2.5985748559886437</v>
      </c>
      <c r="AB412" s="866">
        <f t="shared" si="818"/>
        <v>-1.9486930852300617</v>
      </c>
      <c r="AC412" s="866">
        <f t="shared" si="818"/>
        <v>-4.8093269705373736</v>
      </c>
      <c r="AD412" s="866">
        <f t="shared" ref="AD412:AJ412" si="819">IFERROR(AD411/AD353,0)</f>
        <v>-4.3060263653483997</v>
      </c>
      <c r="AE412" s="866">
        <f t="shared" si="819"/>
        <v>-0.58398293668976708</v>
      </c>
      <c r="AF412" s="866">
        <f t="shared" si="819"/>
        <v>-2.4697797443631151</v>
      </c>
      <c r="AG412" s="866">
        <f t="shared" si="819"/>
        <v>-2.6423001309819143</v>
      </c>
      <c r="AH412" s="866">
        <f t="shared" si="819"/>
        <v>-1.291991197702747</v>
      </c>
      <c r="AI412" s="866">
        <f t="shared" si="819"/>
        <v>-2.5700878555018352</v>
      </c>
      <c r="AJ412" s="866">
        <f t="shared" si="819"/>
        <v>-1.7275310435414728</v>
      </c>
      <c r="AK412" s="619"/>
      <c r="AL412" s="2138">
        <f ca="1">IFERROR(AL411/AL353,0)</f>
        <v>-4.8093269705373736</v>
      </c>
      <c r="AM412" s="866">
        <f ca="1">IFERROR(AM411/AM353,0)</f>
        <v>0</v>
      </c>
      <c r="AN412" s="866">
        <f t="shared" ca="1" si="810"/>
        <v>-4.8093269705373736</v>
      </c>
      <c r="AO412" s="939"/>
      <c r="AP412" s="866">
        <f ca="1">IFERROR(AP411/AP353,0)</f>
        <v>-42.08684516129032</v>
      </c>
      <c r="AQ412" s="866">
        <f t="shared" ca="1" si="811"/>
        <v>37.277518190752943</v>
      </c>
      <c r="AR412" s="939"/>
      <c r="AS412" s="619"/>
      <c r="AT412" s="2138">
        <f ca="1">IFERROR(AT411/AT353,0)</f>
        <v>-2.6423001309819143</v>
      </c>
      <c r="AU412" s="866">
        <f ca="1">IFERROR(AU411/AU353,0)</f>
        <v>0</v>
      </c>
      <c r="AV412" s="866">
        <f t="shared" ca="1" si="812"/>
        <v>-2.6423001309819143</v>
      </c>
      <c r="AW412" s="939"/>
      <c r="AX412" s="866">
        <f ca="1">IFERROR(AX411/AX353,0)</f>
        <v>-13.463461000000001</v>
      </c>
      <c r="AY412" s="866">
        <f t="shared" ca="1" si="813"/>
        <v>10.821160869018087</v>
      </c>
      <c r="AZ412" s="939"/>
      <c r="BA412" s="619"/>
      <c r="BB412" s="2138">
        <f ca="1">IFERROR(BB411/BB353,0)</f>
        <v>-1.727531043541473</v>
      </c>
      <c r="BC412" s="866">
        <f ca="1">IFERROR(BC411/BC353,0)</f>
        <v>0</v>
      </c>
      <c r="BD412" s="866">
        <f t="shared" ca="1" si="814"/>
        <v>-1.727531043541473</v>
      </c>
      <c r="BE412" s="939"/>
      <c r="BF412" s="866">
        <f ca="1">IFERROR(BF411/BF353,0)</f>
        <v>-3.2393728452003456</v>
      </c>
      <c r="BG412" s="866">
        <f t="shared" ca="1" si="815"/>
        <v>1.5118418016588726</v>
      </c>
      <c r="BH412" s="939"/>
    </row>
    <row r="413" spans="1:60" ht="14.5">
      <c r="A413" s="990">
        <f t="shared" si="800"/>
        <v>364</v>
      </c>
      <c r="B413" s="990">
        <v>1</v>
      </c>
      <c r="C413" s="990">
        <f t="shared" si="776"/>
        <v>410</v>
      </c>
      <c r="D413" s="1121" t="s">
        <v>887</v>
      </c>
      <c r="E413" s="1255">
        <v>1</v>
      </c>
      <c r="F413" s="9"/>
      <c r="G413" s="1241"/>
      <c r="H413" s="5"/>
      <c r="I413" s="5"/>
      <c r="J413" s="4"/>
      <c r="K413" s="1256" t="s">
        <v>932</v>
      </c>
      <c r="L413" s="1116"/>
      <c r="M413" s="798"/>
      <c r="N413" s="798"/>
      <c r="O413" s="798"/>
      <c r="P413" s="798"/>
      <c r="Q413" s="1850" t="str">
        <f>CHOOSE(2, "6722000003332", "PL (5) CAI (%)")</f>
        <v>PL (5) CAI (%)</v>
      </c>
      <c r="R413" s="2186">
        <f>R447</f>
        <v>1.0679202289784197E-2</v>
      </c>
      <c r="S413" s="2186">
        <f t="shared" ref="S413:AC413" si="820">S447</f>
        <v>-1.0100333090516534E-3</v>
      </c>
      <c r="T413" s="2186">
        <f t="shared" si="820"/>
        <v>5.2030725606533773E-6</v>
      </c>
      <c r="U413" s="2186">
        <f t="shared" si="820"/>
        <v>4.1043366035451315E-6</v>
      </c>
      <c r="V413" s="2186">
        <f t="shared" si="820"/>
        <v>0</v>
      </c>
      <c r="W413" s="2186">
        <f t="shared" si="820"/>
        <v>6.1041039597813449E-6</v>
      </c>
      <c r="X413" s="2186">
        <f t="shared" si="820"/>
        <v>-1.0248387915442546E-6</v>
      </c>
      <c r="Y413" s="2186">
        <f t="shared" si="820"/>
        <v>5.2492166824747101E-6</v>
      </c>
      <c r="Z413" s="2186">
        <f t="shared" si="820"/>
        <v>2.5597708717784588E-6</v>
      </c>
      <c r="AA413" s="2186">
        <f t="shared" si="820"/>
        <v>9.100471973312635E-6</v>
      </c>
      <c r="AB413" s="2186">
        <f t="shared" si="820"/>
        <v>1.0492897791402072E-5</v>
      </c>
      <c r="AC413" s="2186">
        <f t="shared" si="820"/>
        <v>-4.7581409327636271E-7</v>
      </c>
      <c r="AD413" s="1522">
        <f t="shared" ref="AD413:AJ413" si="821">AD447</f>
        <v>3.7421896590315957E-3</v>
      </c>
      <c r="AE413" s="1258">
        <f t="shared" si="821"/>
        <v>2.7985054926694584E-6</v>
      </c>
      <c r="AF413" s="1258">
        <f t="shared" si="821"/>
        <v>1.8896347875802529E-6</v>
      </c>
      <c r="AG413" s="1258">
        <f t="shared" si="821"/>
        <v>6.8610840366387708E-6</v>
      </c>
      <c r="AH413" s="1258">
        <f t="shared" si="821"/>
        <v>2.0151956013319669E-3</v>
      </c>
      <c r="AI413" s="1258">
        <f t="shared" si="821"/>
        <v>3.9125642401336748E-6</v>
      </c>
      <c r="AJ413" s="1258">
        <f t="shared" si="821"/>
        <v>9.4937238688851751E-4</v>
      </c>
      <c r="AL413" s="2496">
        <f ca="1">AL447</f>
        <v>0</v>
      </c>
      <c r="AM413" s="2496">
        <f ca="1">AM447</f>
        <v>0</v>
      </c>
      <c r="AN413" s="2496">
        <f t="shared" ca="1" si="810"/>
        <v>0</v>
      </c>
      <c r="AO413" s="2497"/>
      <c r="AP413" s="2496">
        <f ca="1">AP447</f>
        <v>0</v>
      </c>
      <c r="AQ413" s="2496">
        <f t="shared" ca="1" si="811"/>
        <v>0</v>
      </c>
      <c r="AR413" s="2526"/>
      <c r="AT413" s="2496">
        <f ca="1">AT447</f>
        <v>0</v>
      </c>
      <c r="AU413" s="2496">
        <f ca="1">AU447</f>
        <v>0</v>
      </c>
      <c r="AV413" s="2496">
        <f t="shared" ca="1" si="812"/>
        <v>0</v>
      </c>
      <c r="AW413" s="2497"/>
      <c r="AX413" s="2496">
        <f ca="1">AX447</f>
        <v>0</v>
      </c>
      <c r="AY413" s="2496">
        <f t="shared" ca="1" si="813"/>
        <v>0</v>
      </c>
      <c r="AZ413" s="2526"/>
      <c r="BB413" s="2496">
        <f ca="1">BB447</f>
        <v>0</v>
      </c>
      <c r="BC413" s="2496">
        <f ca="1">BC447</f>
        <v>0</v>
      </c>
      <c r="BD413" s="2496">
        <f t="shared" ca="1" si="814"/>
        <v>0</v>
      </c>
      <c r="BE413" s="2497"/>
      <c r="BF413" s="2496">
        <f ca="1">BF447</f>
        <v>0</v>
      </c>
      <c r="BG413" s="2496">
        <f t="shared" ca="1" si="815"/>
        <v>0</v>
      </c>
      <c r="BH413" s="2526"/>
    </row>
    <row r="414" spans="1:60" ht="14.5">
      <c r="A414" s="990">
        <f t="shared" si="800"/>
        <v>365</v>
      </c>
      <c r="B414" s="990">
        <v>1</v>
      </c>
      <c r="C414" s="990">
        <f t="shared" si="776"/>
        <v>411</v>
      </c>
      <c r="D414" s="1121" t="s">
        <v>887</v>
      </c>
      <c r="E414" s="1255">
        <v>1</v>
      </c>
      <c r="F414" s="9"/>
      <c r="G414" s="1241"/>
      <c r="H414" s="5"/>
      <c r="I414" s="5"/>
      <c r="J414" s="4"/>
      <c r="K414" s="30"/>
      <c r="L414" s="764" t="s">
        <v>884</v>
      </c>
      <c r="M414" s="323"/>
      <c r="N414" s="323"/>
      <c r="O414" s="323"/>
      <c r="P414" s="323"/>
      <c r="Q414" s="1851" t="str">
        <f>CHOOSE(2, "6722000003333", "PL (5) CAI Directly assigned")</f>
        <v>PL (5) CAI Directly assigned</v>
      </c>
      <c r="R414" s="325">
        <f>SUM(R415:R417)</f>
        <v>482.31953065830163</v>
      </c>
      <c r="S414" s="325">
        <f t="shared" ref="S414:AC414" si="822">SUM(S415:S417)</f>
        <v>1868.6314986453242</v>
      </c>
      <c r="T414" s="325">
        <f t="shared" si="822"/>
        <v>1556.4126816735416</v>
      </c>
      <c r="U414" s="325">
        <f t="shared" si="822"/>
        <v>1542.5649226551141</v>
      </c>
      <c r="V414" s="325">
        <f t="shared" si="822"/>
        <v>1234.1868567744368</v>
      </c>
      <c r="W414" s="325">
        <f t="shared" si="822"/>
        <v>1031.7069049678385</v>
      </c>
      <c r="X414" s="361">
        <f t="shared" si="822"/>
        <v>1216.1592070259946</v>
      </c>
      <c r="Y414" s="361">
        <f t="shared" si="822"/>
        <v>1046</v>
      </c>
      <c r="Z414" s="361">
        <f t="shared" si="822"/>
        <v>1490.6229223352591</v>
      </c>
      <c r="AA414" s="1117">
        <f t="shared" si="822"/>
        <v>1625.3409506575208</v>
      </c>
      <c r="AB414" s="1117">
        <f t="shared" si="822"/>
        <v>2004.2123296093521</v>
      </c>
      <c r="AC414" s="1117">
        <f t="shared" si="822"/>
        <v>1752.4531683874886</v>
      </c>
      <c r="AD414" s="1523">
        <f t="shared" ref="AD414:AJ414" si="823">SUM(AD415:AD417)</f>
        <v>3907.3637109771671</v>
      </c>
      <c r="AE414" s="1117">
        <f t="shared" si="823"/>
        <v>3808.4586843973893</v>
      </c>
      <c r="AF414" s="1117">
        <f t="shared" si="823"/>
        <v>3752.7821293612542</v>
      </c>
      <c r="AG414" s="1117">
        <f t="shared" si="823"/>
        <v>5382.0064486543615</v>
      </c>
      <c r="AH414" s="1117">
        <f t="shared" si="823"/>
        <v>7715.8223953745564</v>
      </c>
      <c r="AI414" s="1117">
        <f t="shared" si="823"/>
        <v>9134.7885780156157</v>
      </c>
      <c r="AJ414" s="1117">
        <f t="shared" si="823"/>
        <v>16850.610973390172</v>
      </c>
      <c r="AL414" s="325">
        <f ca="1">SUM((INDIRECT(AL$2&amp;(ROW())):INDIRECT(AL$3&amp;(ROW()))))</f>
        <v>1752.4531683874886</v>
      </c>
      <c r="AM414" s="1278">
        <f ca="1">SUM(INDIRECT(AM$1&amp;AM$2&amp;$C414):INDIRECT(AM$1&amp;AM$3&amp;$C414))</f>
        <v>0</v>
      </c>
      <c r="AN414" s="1279">
        <f t="shared" ca="1" si="810"/>
        <v>1752.4531683874886</v>
      </c>
      <c r="AO414" s="1280">
        <f ca="1">IFERROR(AL414/AM414,0)</f>
        <v>0</v>
      </c>
      <c r="AP414" s="1278">
        <f ca="1">SUM(INDIRECT(AP$1&amp;AP$2&amp;$A414):INDIRECT(AP$1&amp;AP$3&amp;$A414))+SUM(INDIRECT(AP$1&amp;AP$2&amp;$B414):INDIRECT(AP$1&amp;AP$3&amp;$B414))</f>
        <v>2720</v>
      </c>
      <c r="AQ414" s="1279">
        <f t="shared" ca="1" si="811"/>
        <v>-967.54683161251137</v>
      </c>
      <c r="AR414" s="1280">
        <f ca="1">IFERROR(AL414/AP414,0)</f>
        <v>0.64428425308363557</v>
      </c>
      <c r="AT414" s="325">
        <f ca="1">SUM((INDIRECT(AT$2&amp;(ROW())):INDIRECT(AT$3&amp;(ROW()))))</f>
        <v>5382.0064486543615</v>
      </c>
      <c r="AU414" s="1278">
        <f ca="1">SUM(INDIRECT(AU$1&amp;AU$2&amp;$C414):INDIRECT(AU$1&amp;AU$3&amp;$C414))</f>
        <v>0</v>
      </c>
      <c r="AV414" s="1279">
        <f t="shared" ca="1" si="812"/>
        <v>5382.0064486543615</v>
      </c>
      <c r="AW414" s="1280">
        <f ca="1">IFERROR(AT414/AU414,0)</f>
        <v>0</v>
      </c>
      <c r="AX414" s="1278">
        <f ca="1">SUM(INDIRECT(AX$1&amp;AX$2&amp;$A414):INDIRECT(AX$1&amp;AX$3&amp;$A414))+SUM(INDIRECT(AX$1&amp;AX$2&amp;$B414):INDIRECT(AX$1&amp;AX$3&amp;$B414))</f>
        <v>5787</v>
      </c>
      <c r="AY414" s="1279">
        <f t="shared" ca="1" si="813"/>
        <v>-404.99355134563848</v>
      </c>
      <c r="AZ414" s="1280">
        <f ca="1">IFERROR(AT414/AX414,0)</f>
        <v>0.93001666643413883</v>
      </c>
      <c r="BB414" s="325">
        <f ca="1">SUM((INDIRECT(BB$2&amp;(ROW())):INDIRECT(BB$3&amp;(ROW()))))</f>
        <v>16850.610973390172</v>
      </c>
      <c r="BC414" s="1278">
        <f ca="1">SUM(INDIRECT(BC$1&amp;BC$2&amp;$C414):INDIRECT(BC$1&amp;BC$3&amp;$C414))</f>
        <v>0</v>
      </c>
      <c r="BD414" s="1279">
        <f t="shared" ca="1" si="814"/>
        <v>16850.610973390172</v>
      </c>
      <c r="BE414" s="1280">
        <f ca="1">IFERROR(BB414/BC414,0)</f>
        <v>0</v>
      </c>
      <c r="BF414" s="1278">
        <f ca="1">SUM(INDIRECT(BF$1&amp;BF$2&amp;$A414):INDIRECT(BF$1&amp;BF$3&amp;$A414))+SUM(INDIRECT(BF$1&amp;BF$2&amp;$B414):INDIRECT(BF$1&amp;BF$3&amp;$B414))</f>
        <v>13345</v>
      </c>
      <c r="BG414" s="1279">
        <f t="shared" ca="1" si="815"/>
        <v>3505.6109733901721</v>
      </c>
      <c r="BH414" s="1280">
        <f ca="1">IFERROR(BB414/BF414,0)</f>
        <v>1.262690968406907</v>
      </c>
    </row>
    <row r="415" spans="1:60" ht="14.5">
      <c r="A415" s="990">
        <f t="shared" si="800"/>
        <v>366</v>
      </c>
      <c r="B415" s="990">
        <v>1</v>
      </c>
      <c r="C415" s="990">
        <f t="shared" si="776"/>
        <v>412</v>
      </c>
      <c r="D415" s="1121" t="s">
        <v>887</v>
      </c>
      <c r="E415" s="1255">
        <v>1</v>
      </c>
      <c r="F415" s="9"/>
      <c r="G415" s="1241"/>
      <c r="H415" s="5"/>
      <c r="I415" s="5"/>
      <c r="J415" s="4"/>
      <c r="K415" s="30"/>
      <c r="L415" s="30"/>
      <c r="M415" s="40" t="s">
        <v>170</v>
      </c>
      <c r="N415" s="4"/>
      <c r="O415" s="4"/>
      <c r="P415" s="4"/>
      <c r="Q415" s="1852" t="str">
        <f>CHOOSE(2, "6722000003334", "PL (5) CAI Directly assigned Variable Expenses")</f>
        <v>PL (5) CAI Directly assigned Variable Expenses</v>
      </c>
      <c r="R415" s="2159">
        <v>34.910076841698505</v>
      </c>
      <c r="S415" s="2159">
        <v>98</v>
      </c>
      <c r="T415" s="2159">
        <v>44.046579103624431</v>
      </c>
      <c r="U415" s="2159">
        <v>33.324484203356846</v>
      </c>
      <c r="V415" s="2159">
        <v>140.57616273656043</v>
      </c>
      <c r="W415" s="2159">
        <v>36.127423909024571</v>
      </c>
      <c r="X415" s="2091">
        <v>138.76395165752308</v>
      </c>
      <c r="Y415" s="2091">
        <v>46</v>
      </c>
      <c r="Z415" s="2091">
        <v>95.754747044514659</v>
      </c>
      <c r="AA415" s="2160">
        <v>51.465470217708571</v>
      </c>
      <c r="AB415" s="2160">
        <v>392.60327084894197</v>
      </c>
      <c r="AC415" s="2160">
        <v>46.280071758696181</v>
      </c>
      <c r="AD415" s="144">
        <f>SUM(R415,S415,T415)</f>
        <v>176.95665594532292</v>
      </c>
      <c r="AE415" s="145">
        <f t="shared" ref="AE415:AE417" si="824">SUM(U415,V415,W415)</f>
        <v>210.02807084894187</v>
      </c>
      <c r="AF415" s="145">
        <f t="shared" ref="AF415:AF417" si="825">SUM(X415,Y415,Z415)</f>
        <v>280.51869870203774</v>
      </c>
      <c r="AG415" s="145">
        <f t="shared" ref="AG415:AG417" si="826">SUM(AA415,AB415,AC415)</f>
        <v>490.34881282534673</v>
      </c>
      <c r="AH415" s="145">
        <f>AD415+AE415</f>
        <v>386.98472679426482</v>
      </c>
      <c r="AI415" s="145">
        <f>AG415+AF415</f>
        <v>770.86751152738452</v>
      </c>
      <c r="AJ415" s="145">
        <f>AH415+AI415</f>
        <v>1157.8522383216493</v>
      </c>
      <c r="AL415" s="41">
        <f ca="1">SUM((INDIRECT(AL$2&amp;(ROW())):INDIRECT(AL$3&amp;(ROW()))))</f>
        <v>46.280071758696181</v>
      </c>
      <c r="AM415" s="1275">
        <f ca="1">SUM(INDIRECT(AM$1&amp;AM$2&amp;$C415):INDIRECT(AM$1&amp;AM$3&amp;$C415))</f>
        <v>0</v>
      </c>
      <c r="AN415" s="1276">
        <f t="shared" ca="1" si="810"/>
        <v>46.280071758696181</v>
      </c>
      <c r="AO415" s="1277">
        <f ca="1">IFERROR(AL415/AM415,0)</f>
        <v>0</v>
      </c>
      <c r="AP415" s="1275">
        <f ca="1">SUM(INDIRECT(AP$1&amp;AP$2&amp;$A415):INDIRECT(AP$1&amp;AP$3&amp;$A415))+SUM(INDIRECT(AP$1&amp;AP$2&amp;$B415):INDIRECT(AP$1&amp;AP$3&amp;$B415))</f>
        <v>1193</v>
      </c>
      <c r="AQ415" s="1276">
        <f t="shared" ca="1" si="811"/>
        <v>-1146.7199282413039</v>
      </c>
      <c r="AR415" s="1277">
        <f ca="1">IFERROR(AL415/AP415,0)</f>
        <v>3.8793019076861848E-2</v>
      </c>
      <c r="AT415" s="41">
        <f ca="1">SUM((INDIRECT(AT$2&amp;(ROW())):INDIRECT(AT$3&amp;(ROW()))))</f>
        <v>490.34881282534673</v>
      </c>
      <c r="AU415" s="1275">
        <f ca="1">SUM(INDIRECT(AU$1&amp;AU$2&amp;$C415):INDIRECT(AU$1&amp;AU$3&amp;$C415))</f>
        <v>0</v>
      </c>
      <c r="AV415" s="1276">
        <f t="shared" ca="1" si="812"/>
        <v>490.34881282534673</v>
      </c>
      <c r="AW415" s="1277">
        <f ca="1">IFERROR(AT415/AU415,0)</f>
        <v>0</v>
      </c>
      <c r="AX415" s="1275">
        <f ca="1">SUM(INDIRECT(AX$1&amp;AX$2&amp;$A415):INDIRECT(AX$1&amp;AX$3&amp;$A415))+SUM(INDIRECT(AX$1&amp;AX$2&amp;$B415):INDIRECT(AX$1&amp;AX$3&amp;$B415))</f>
        <v>1426</v>
      </c>
      <c r="AY415" s="1276">
        <f t="shared" ca="1" si="813"/>
        <v>-935.65118717465327</v>
      </c>
      <c r="AZ415" s="1277">
        <f ca="1">IFERROR(AT415/AX415,0)</f>
        <v>0.34386312259841989</v>
      </c>
      <c r="BB415" s="41">
        <f ca="1">SUM((INDIRECT(BB$2&amp;(ROW())):INDIRECT(BB$3&amp;(ROW()))))</f>
        <v>1157.8522383216491</v>
      </c>
      <c r="BC415" s="1275">
        <f ca="1">SUM(INDIRECT(BC$1&amp;BC$2&amp;$C415):INDIRECT(BC$1&amp;BC$3&amp;$C415))</f>
        <v>0</v>
      </c>
      <c r="BD415" s="1276">
        <f t="shared" ca="1" si="814"/>
        <v>1157.8522383216491</v>
      </c>
      <c r="BE415" s="1277">
        <f ca="1">IFERROR(BB415/BC415,0)</f>
        <v>0</v>
      </c>
      <c r="BF415" s="1275">
        <f ca="1">SUM(INDIRECT(BF$1&amp;BF$2&amp;$A415):INDIRECT(BF$1&amp;BF$3&amp;$A415))+SUM(INDIRECT(BF$1&amp;BF$2&amp;$B415):INDIRECT(BF$1&amp;BF$3&amp;$B415))</f>
        <v>3350</v>
      </c>
      <c r="BG415" s="1276">
        <f t="shared" ca="1" si="815"/>
        <v>-2192.1477616783509</v>
      </c>
      <c r="BH415" s="1277">
        <f ca="1">IFERROR(BB415/BF415,0)</f>
        <v>0.34562753382735795</v>
      </c>
    </row>
    <row r="416" spans="1:60" ht="14.5">
      <c r="A416" s="990">
        <f t="shared" si="800"/>
        <v>367</v>
      </c>
      <c r="B416" s="990">
        <v>1</v>
      </c>
      <c r="C416" s="990">
        <f t="shared" si="776"/>
        <v>413</v>
      </c>
      <c r="D416" s="1121" t="s">
        <v>887</v>
      </c>
      <c r="E416" s="1255">
        <v>1</v>
      </c>
      <c r="F416" s="9"/>
      <c r="G416" s="1241"/>
      <c r="H416" s="5"/>
      <c r="I416" s="5"/>
      <c r="J416" s="4"/>
      <c r="K416" s="30"/>
      <c r="L416" s="30"/>
      <c r="M416" s="40" t="s">
        <v>171</v>
      </c>
      <c r="N416" s="4"/>
      <c r="O416" s="4"/>
      <c r="P416" s="4"/>
      <c r="Q416" s="1852" t="str">
        <f>CHOOSE(2, "6722000003335", "PL (5) CAI Directly assigned Wages &amp; Salaries")</f>
        <v>PL (5) CAI Directly assigned Wages &amp; Salaries</v>
      </c>
      <c r="R416" s="2159">
        <v>413.25829168885457</v>
      </c>
      <c r="S416" s="2159">
        <v>1685.331452501111</v>
      </c>
      <c r="T416" s="2159">
        <f>1611.76454496604-497</f>
        <v>1114.7645449660399</v>
      </c>
      <c r="U416" s="2159">
        <v>1291</v>
      </c>
      <c r="V416" s="2159">
        <v>808</v>
      </c>
      <c r="W416" s="2159">
        <v>877.76344532708117</v>
      </c>
      <c r="X416" s="2091">
        <v>887.00376155467757</v>
      </c>
      <c r="Y416" s="2091">
        <v>861</v>
      </c>
      <c r="Z416" s="2091">
        <v>1252.8681752907444</v>
      </c>
      <c r="AA416" s="2160">
        <v>1430.8754804398122</v>
      </c>
      <c r="AB416" s="2160">
        <v>1464.6090587604101</v>
      </c>
      <c r="AC416" s="2160">
        <v>1474.1772896664863</v>
      </c>
      <c r="AD416" s="144">
        <f>SUM(R416,S416,T416)</f>
        <v>3213.3542891560055</v>
      </c>
      <c r="AE416" s="145">
        <f t="shared" si="824"/>
        <v>2976.7634453270812</v>
      </c>
      <c r="AF416" s="145">
        <f t="shared" si="825"/>
        <v>3000.8719368454222</v>
      </c>
      <c r="AG416" s="145">
        <f t="shared" si="826"/>
        <v>4369.6618288667087</v>
      </c>
      <c r="AH416" s="145">
        <f>AD416+AE416</f>
        <v>6190.1177344830867</v>
      </c>
      <c r="AI416" s="145">
        <f>AG416+AF416</f>
        <v>7370.5337657121308</v>
      </c>
      <c r="AJ416" s="145">
        <f>AH416+AI416</f>
        <v>13560.651500195218</v>
      </c>
      <c r="AL416" s="41">
        <f ca="1">SUM((INDIRECT(AL$2&amp;(ROW())):INDIRECT(AL$3&amp;(ROW()))))</f>
        <v>1474.1772896664863</v>
      </c>
      <c r="AM416" s="1275">
        <f ca="1">SUM(INDIRECT(AM$1&amp;AM$2&amp;$C416):INDIRECT(AM$1&amp;AM$3&amp;$C416))</f>
        <v>0</v>
      </c>
      <c r="AN416" s="1276">
        <f t="shared" ca="1" si="810"/>
        <v>1474.1772896664863</v>
      </c>
      <c r="AO416" s="1277">
        <f ca="1">IFERROR(AL416/AM416,0)</f>
        <v>0</v>
      </c>
      <c r="AP416" s="1275">
        <f ca="1">SUM(INDIRECT(AP$1&amp;AP$2&amp;$A416):INDIRECT(AP$1&amp;AP$3&amp;$A416))+SUM(INDIRECT(AP$1&amp;AP$2&amp;$B416):INDIRECT(AP$1&amp;AP$3&amp;$B416))</f>
        <v>1416</v>
      </c>
      <c r="AQ416" s="1276">
        <f t="shared" ca="1" si="811"/>
        <v>58.177289666486331</v>
      </c>
      <c r="AR416" s="1277">
        <f ca="1">IFERROR(AL416/AP416,0)</f>
        <v>1.0410856565441287</v>
      </c>
      <c r="AT416" s="41">
        <f ca="1">SUM((INDIRECT(AT$2&amp;(ROW())):INDIRECT(AT$3&amp;(ROW()))))</f>
        <v>4369.6618288667087</v>
      </c>
      <c r="AU416" s="1275">
        <f ca="1">SUM(INDIRECT(AU$1&amp;AU$2&amp;$C416):INDIRECT(AU$1&amp;AU$3&amp;$C416))</f>
        <v>0</v>
      </c>
      <c r="AV416" s="1276">
        <f t="shared" ca="1" si="812"/>
        <v>4369.6618288667087</v>
      </c>
      <c r="AW416" s="1277">
        <f ca="1">IFERROR(AT416/AU416,0)</f>
        <v>0</v>
      </c>
      <c r="AX416" s="1275">
        <f ca="1">SUM(INDIRECT(AX$1&amp;AX$2&amp;$A416):INDIRECT(AX$1&amp;AX$3&amp;$A416))+SUM(INDIRECT(AX$1&amp;AX$2&amp;$B416):INDIRECT(AX$1&amp;AX$3&amp;$B416))</f>
        <v>4059</v>
      </c>
      <c r="AY416" s="1276">
        <f t="shared" ca="1" si="813"/>
        <v>310.66182886670867</v>
      </c>
      <c r="AZ416" s="1277">
        <f ca="1">IFERROR(AT416/AX416,0)</f>
        <v>1.0765365432044121</v>
      </c>
      <c r="BB416" s="41">
        <f ca="1">SUM((INDIRECT(BB$2&amp;(ROW())):INDIRECT(BB$3&amp;(ROW()))))</f>
        <v>13560.651500195218</v>
      </c>
      <c r="BC416" s="1275">
        <f ca="1">SUM(INDIRECT(BC$1&amp;BC$2&amp;$C416):INDIRECT(BC$1&amp;BC$3&amp;$C416))</f>
        <v>0</v>
      </c>
      <c r="BD416" s="1276">
        <f t="shared" ca="1" si="814"/>
        <v>13560.651500195218</v>
      </c>
      <c r="BE416" s="1277">
        <f ca="1">IFERROR(BB416/BC416,0)</f>
        <v>0</v>
      </c>
      <c r="BF416" s="1275">
        <f ca="1">SUM(INDIRECT(BF$1&amp;BF$2&amp;$A416):INDIRECT(BF$1&amp;BF$3&amp;$A416))+SUM(INDIRECT(BF$1&amp;BF$2&amp;$B416):INDIRECT(BF$1&amp;BF$3&amp;$B416))</f>
        <v>9440</v>
      </c>
      <c r="BG416" s="1276">
        <f t="shared" ca="1" si="815"/>
        <v>4120.6515001952175</v>
      </c>
      <c r="BH416" s="1277">
        <f ca="1">IFERROR(BB416/BF416,0)</f>
        <v>1.43650969281729</v>
      </c>
    </row>
    <row r="417" spans="1:60" ht="14.5">
      <c r="A417" s="990">
        <f t="shared" si="800"/>
        <v>368</v>
      </c>
      <c r="B417" s="990">
        <v>1</v>
      </c>
      <c r="C417" s="990">
        <f t="shared" si="776"/>
        <v>414</v>
      </c>
      <c r="D417" s="1121" t="s">
        <v>887</v>
      </c>
      <c r="E417" s="1255">
        <v>1</v>
      </c>
      <c r="F417" s="9"/>
      <c r="G417" s="1241"/>
      <c r="H417" s="5"/>
      <c r="I417" s="5"/>
      <c r="J417" s="4"/>
      <c r="K417" s="30"/>
      <c r="L417" s="28"/>
      <c r="M417" s="119" t="s">
        <v>172</v>
      </c>
      <c r="N417" s="2"/>
      <c r="O417" s="2"/>
      <c r="P417" s="2"/>
      <c r="Q417" s="1852" t="str">
        <f>CHOOSE(2, "6722000003336", "PL (5) CAI Directly assigned Fixed Expenses")</f>
        <v>PL (5) CAI Directly assigned Fixed Expenses</v>
      </c>
      <c r="R417" s="2161">
        <v>34.151162127748535</v>
      </c>
      <c r="S417" s="2161">
        <v>85.300046144213169</v>
      </c>
      <c r="T417" s="2161">
        <v>397.60155760387715</v>
      </c>
      <c r="U417" s="2161">
        <v>218.24043845175731</v>
      </c>
      <c r="V417" s="2161">
        <v>285.61069403787621</v>
      </c>
      <c r="W417" s="2161">
        <v>117.81603573173263</v>
      </c>
      <c r="X417" s="2092">
        <v>190.39149381379389</v>
      </c>
      <c r="Y417" s="2092">
        <v>139</v>
      </c>
      <c r="Z417" s="2092">
        <v>142</v>
      </c>
      <c r="AA417" s="2162">
        <v>143</v>
      </c>
      <c r="AB417" s="2162">
        <v>147</v>
      </c>
      <c r="AC417" s="2162">
        <v>231.99580696230598</v>
      </c>
      <c r="AD417" s="141">
        <f>SUM(R417,S417,T417)</f>
        <v>517.05276587583887</v>
      </c>
      <c r="AE417" s="142">
        <f t="shared" si="824"/>
        <v>621.66716822136618</v>
      </c>
      <c r="AF417" s="142">
        <f t="shared" si="825"/>
        <v>471.39149381379389</v>
      </c>
      <c r="AG417" s="142">
        <f t="shared" si="826"/>
        <v>521.99580696230601</v>
      </c>
      <c r="AH417" s="142">
        <f>AD417+AE417</f>
        <v>1138.7199340972052</v>
      </c>
      <c r="AI417" s="142">
        <f>AG417+AF417</f>
        <v>993.38730077609989</v>
      </c>
      <c r="AJ417" s="142">
        <f>AH417+AI417</f>
        <v>2132.1072348733051</v>
      </c>
      <c r="AL417" s="66">
        <f ca="1">SUM((INDIRECT(AL$2&amp;(ROW())):INDIRECT(AL$3&amp;(ROW()))))</f>
        <v>231.99580696230598</v>
      </c>
      <c r="AM417" s="92">
        <f ca="1">SUM(INDIRECT(AM$1&amp;AM$2&amp;$C417):INDIRECT(AM$1&amp;AM$3&amp;$C417))</f>
        <v>0</v>
      </c>
      <c r="AN417" s="884">
        <f t="shared" ca="1" si="810"/>
        <v>231.99580696230598</v>
      </c>
      <c r="AO417" s="937">
        <f ca="1">IFERROR(AL417/AM417,0)</f>
        <v>0</v>
      </c>
      <c r="AP417" s="92">
        <f ca="1">SUM(INDIRECT(AP$1&amp;AP$2&amp;$A417):INDIRECT(AP$1&amp;AP$3&amp;$A417))+SUM(INDIRECT(AP$1&amp;AP$2&amp;$B417):INDIRECT(AP$1&amp;AP$3&amp;$B417))</f>
        <v>111</v>
      </c>
      <c r="AQ417" s="884">
        <f t="shared" ca="1" si="811"/>
        <v>120.99580696230598</v>
      </c>
      <c r="AR417" s="937">
        <f ca="1">IFERROR(AL417/AP417,0)</f>
        <v>2.0900523149757295</v>
      </c>
      <c r="AT417" s="66">
        <f ca="1">SUM((INDIRECT(AT$2&amp;(ROW())):INDIRECT(AT$3&amp;(ROW()))))</f>
        <v>521.99580696230601</v>
      </c>
      <c r="AU417" s="92">
        <f ca="1">SUM(INDIRECT(AU$1&amp;AU$2&amp;$C417):INDIRECT(AU$1&amp;AU$3&amp;$C417))</f>
        <v>0</v>
      </c>
      <c r="AV417" s="884">
        <f t="shared" ca="1" si="812"/>
        <v>521.99580696230601</v>
      </c>
      <c r="AW417" s="937">
        <f ca="1">IFERROR(AT417/AU417,0)</f>
        <v>0</v>
      </c>
      <c r="AX417" s="92">
        <f ca="1">SUM(INDIRECT(AX$1&amp;AX$2&amp;$A417):INDIRECT(AX$1&amp;AX$3&amp;$A417))+SUM(INDIRECT(AX$1&amp;AX$2&amp;$B417):INDIRECT(AX$1&amp;AX$3&amp;$B417))</f>
        <v>302</v>
      </c>
      <c r="AY417" s="884">
        <f t="shared" ca="1" si="813"/>
        <v>219.99580696230601</v>
      </c>
      <c r="AZ417" s="937">
        <f ca="1">IFERROR(AT417/AX417,0)</f>
        <v>1.7284629369612781</v>
      </c>
      <c r="BB417" s="66">
        <f ca="1">SUM((INDIRECT(BB$2&amp;(ROW())):INDIRECT(BB$3&amp;(ROW()))))</f>
        <v>2132.1072348733046</v>
      </c>
      <c r="BC417" s="92">
        <f ca="1">SUM(INDIRECT(BC$1&amp;BC$2&amp;$C417):INDIRECT(BC$1&amp;BC$3&amp;$C417))</f>
        <v>0</v>
      </c>
      <c r="BD417" s="884">
        <f t="shared" ca="1" si="814"/>
        <v>2132.1072348733046</v>
      </c>
      <c r="BE417" s="937">
        <f ca="1">IFERROR(BB417/BC417,0)</f>
        <v>0</v>
      </c>
      <c r="BF417" s="92">
        <f ca="1">SUM(INDIRECT(BF$1&amp;BF$2&amp;$A417):INDIRECT(BF$1&amp;BF$3&amp;$A417))+SUM(INDIRECT(BF$1&amp;BF$2&amp;$B417):INDIRECT(BF$1&amp;BF$3&amp;$B417))</f>
        <v>555</v>
      </c>
      <c r="BG417" s="884">
        <f t="shared" ca="1" si="815"/>
        <v>1577.1072348733046</v>
      </c>
      <c r="BH417" s="937">
        <f ca="1">IFERROR(BB417/BF417,0)</f>
        <v>3.8416346574293776</v>
      </c>
    </row>
    <row r="418" spans="1:60" ht="14.5">
      <c r="A418" s="990">
        <f t="shared" si="800"/>
        <v>369</v>
      </c>
      <c r="B418" s="990">
        <v>1</v>
      </c>
      <c r="C418" s="990">
        <f t="shared" si="776"/>
        <v>415</v>
      </c>
      <c r="D418" s="1121" t="s">
        <v>887</v>
      </c>
      <c r="E418" s="1255">
        <v>1</v>
      </c>
      <c r="F418" s="9"/>
      <c r="G418" s="1241"/>
      <c r="H418" s="5"/>
      <c r="I418" s="5"/>
      <c r="J418" s="4"/>
      <c r="K418" s="30"/>
      <c r="L418" s="764" t="s">
        <v>885</v>
      </c>
      <c r="M418" s="798"/>
      <c r="N418" s="798"/>
      <c r="O418" s="798"/>
      <c r="P418" s="798"/>
      <c r="Q418" s="1851" t="str">
        <f>CHOOSE(2, "6722000003337", "PL (5) CAI Allocation")</f>
        <v>PL (5) CAI Allocation</v>
      </c>
      <c r="R418" s="2120">
        <f>SUM(R420:R422)</f>
        <v>1211.6804693416984</v>
      </c>
      <c r="S418" s="2120">
        <f t="shared" ref="S418:AC418" si="827">SUM(S420:S422)</f>
        <v>-77.631498645324186</v>
      </c>
      <c r="T418" s="2120">
        <f t="shared" si="827"/>
        <v>0.5873183264584938</v>
      </c>
      <c r="U418" s="2120">
        <f t="shared" si="827"/>
        <v>0.43507734488584049</v>
      </c>
      <c r="V418" s="2120">
        <f t="shared" si="827"/>
        <v>0</v>
      </c>
      <c r="W418" s="2120">
        <f t="shared" si="827"/>
        <v>0.2930950321616308</v>
      </c>
      <c r="X418" s="2081">
        <f t="shared" si="827"/>
        <v>-0.15920702599453307</v>
      </c>
      <c r="Y418" s="2081">
        <f t="shared" si="827"/>
        <v>0.59418414612864012</v>
      </c>
      <c r="Z418" s="2081">
        <f t="shared" si="827"/>
        <v>0.27682470925560665</v>
      </c>
      <c r="AA418" s="2158">
        <f t="shared" si="827"/>
        <v>1.2695195601877458</v>
      </c>
      <c r="AB418" s="2158">
        <f t="shared" si="827"/>
        <v>0.53594123958987439</v>
      </c>
      <c r="AC418" s="2158">
        <f t="shared" si="827"/>
        <v>-3.2289666486349233E-2</v>
      </c>
      <c r="AD418" s="1524">
        <f t="shared" ref="AD418:AJ418" si="828">SUM(AD420:AD422)</f>
        <v>1134.6362890228329</v>
      </c>
      <c r="AE418" s="1118">
        <f t="shared" si="828"/>
        <v>0.72817237704747129</v>
      </c>
      <c r="AF418" s="1118">
        <f t="shared" si="828"/>
        <v>0.7118018293897137</v>
      </c>
      <c r="AG418" s="1118">
        <f t="shared" si="828"/>
        <v>1.773171133291271</v>
      </c>
      <c r="AH418" s="1118">
        <f t="shared" si="828"/>
        <v>1135.3644613998802</v>
      </c>
      <c r="AI418" s="1118">
        <f t="shared" si="828"/>
        <v>2.4849729626809847</v>
      </c>
      <c r="AJ418" s="1118">
        <f t="shared" si="828"/>
        <v>1137.8494343625612</v>
      </c>
      <c r="AL418" s="41">
        <f ca="1">SUM((INDIRECT(AL$2&amp;(ROW())):INDIRECT(AL$3&amp;(ROW()))))</f>
        <v>-3.2289666486349233E-2</v>
      </c>
      <c r="AM418" s="1275">
        <f ca="1">SUM(INDIRECT(AM$1&amp;AM$2&amp;$C418):INDIRECT(AM$1&amp;AM$3&amp;$C418))</f>
        <v>0</v>
      </c>
      <c r="AN418" s="1276">
        <f t="shared" ca="1" si="810"/>
        <v>-3.2289666486349233E-2</v>
      </c>
      <c r="AO418" s="1277">
        <f ca="1">IFERROR(AL418/AM418,0)</f>
        <v>0</v>
      </c>
      <c r="AP418" s="1275">
        <f ca="1">SUM(INDIRECT(AP$1&amp;AP$2&amp;$A418):INDIRECT(AP$1&amp;AP$3&amp;$A418))+SUM(INDIRECT(AP$1&amp;AP$2&amp;$B418):INDIRECT(AP$1&amp;AP$3&amp;$B418))</f>
        <v>-51.615600000000086</v>
      </c>
      <c r="AQ418" s="1276">
        <f t="shared" ca="1" si="811"/>
        <v>51.583310333513737</v>
      </c>
      <c r="AR418" s="1277">
        <f ca="1">IFERROR(AL418/AP418,0)</f>
        <v>6.2557960163882971E-4</v>
      </c>
      <c r="AT418" s="41">
        <f ca="1">SUM((INDIRECT(AT$2&amp;(ROW())):INDIRECT(AT$3&amp;(ROW()))))</f>
        <v>1.773171133291271</v>
      </c>
      <c r="AU418" s="1275">
        <f ca="1">SUM(INDIRECT(AU$1&amp;AU$2&amp;$C418):INDIRECT(AU$1&amp;AU$3&amp;$C418))</f>
        <v>0</v>
      </c>
      <c r="AV418" s="1276">
        <f t="shared" ca="1" si="812"/>
        <v>1.773171133291271</v>
      </c>
      <c r="AW418" s="1277">
        <f ca="1">IFERROR(AT418/AU418,0)</f>
        <v>0</v>
      </c>
      <c r="AX418" s="1275">
        <f ca="1">SUM(INDIRECT(AX$1&amp;AX$2&amp;$A418):INDIRECT(AX$1&amp;AX$3&amp;$A418))+SUM(INDIRECT(AX$1&amp;AX$2&amp;$B418):INDIRECT(AX$1&amp;AX$3&amp;$B418))</f>
        <v>-51.615600000000086</v>
      </c>
      <c r="AY418" s="1276">
        <f t="shared" ca="1" si="813"/>
        <v>53.388771133291357</v>
      </c>
      <c r="AZ418" s="1277">
        <f ca="1">IFERROR(AT418/AX418,0)</f>
        <v>-3.4353395742590769E-2</v>
      </c>
      <c r="BB418" s="41">
        <f ca="1">SUM((INDIRECT(BB$2&amp;(ROW())):INDIRECT(BB$3&amp;(ROW()))))</f>
        <v>1137.8494343625609</v>
      </c>
      <c r="BC418" s="1275">
        <f ca="1">SUM(INDIRECT(BC$1&amp;BC$2&amp;$C418):INDIRECT(BC$1&amp;BC$3&amp;$C418))</f>
        <v>0</v>
      </c>
      <c r="BD418" s="1276">
        <f t="shared" ca="1" si="814"/>
        <v>1137.8494343625609</v>
      </c>
      <c r="BE418" s="1277">
        <f ca="1">IFERROR(BB418/BC418,0)</f>
        <v>0</v>
      </c>
      <c r="BF418" s="1275">
        <f ca="1">SUM(INDIRECT(BF$1&amp;BF$2&amp;$A418):INDIRECT(BF$1&amp;BF$3&amp;$A418))+SUM(INDIRECT(BF$1&amp;BF$2&amp;$B418):INDIRECT(BF$1&amp;BF$3&amp;$B418))</f>
        <v>594.38439999999991</v>
      </c>
      <c r="BG418" s="1276">
        <f t="shared" ca="1" si="815"/>
        <v>543.46503436256103</v>
      </c>
      <c r="BH418" s="1277">
        <f ca="1">IFERROR(BB418/BF418,0)</f>
        <v>1.9143326008599169</v>
      </c>
    </row>
    <row r="419" spans="1:60" ht="14.5">
      <c r="A419" s="990">
        <f t="shared" si="800"/>
        <v>370</v>
      </c>
      <c r="B419" s="990">
        <v>1</v>
      </c>
      <c r="C419" s="990">
        <f t="shared" si="776"/>
        <v>416</v>
      </c>
      <c r="D419" s="1121" t="s">
        <v>887</v>
      </c>
      <c r="E419" s="1255">
        <v>1</v>
      </c>
      <c r="F419" s="9"/>
      <c r="G419" s="1241"/>
      <c r="H419" s="5"/>
      <c r="I419" s="5"/>
      <c r="J419" s="4"/>
      <c r="K419" s="30"/>
      <c r="L419" s="613"/>
      <c r="M419" s="676" t="s">
        <v>888</v>
      </c>
      <c r="N419" s="51"/>
      <c r="O419" s="51"/>
      <c r="P419" s="51"/>
      <c r="Q419" s="1842" t="str">
        <f>CHOOSE(2, "6722000003338", "PL (5) CAI Allocation SGA (%)")</f>
        <v>PL (5) CAI Allocation SGA (%)</v>
      </c>
      <c r="R419" s="1119">
        <f t="shared" ref="R419:AC419" si="829">IFERROR(R418/R389,0)</f>
        <v>0.7152777268841195</v>
      </c>
      <c r="S419" s="1119">
        <f t="shared" si="829"/>
        <v>-4.3345337043732099E-2</v>
      </c>
      <c r="T419" s="1119">
        <f t="shared" si="829"/>
        <v>3.772115134608181E-4</v>
      </c>
      <c r="U419" s="1119">
        <f t="shared" si="829"/>
        <v>2.8196846719756352E-4</v>
      </c>
      <c r="V419" s="1119">
        <f t="shared" si="829"/>
        <v>0</v>
      </c>
      <c r="W419" s="1119">
        <f t="shared" si="829"/>
        <v>2.8400681411010735E-4</v>
      </c>
      <c r="X419" s="1119">
        <f t="shared" si="829"/>
        <v>-1.3092683058760942E-4</v>
      </c>
      <c r="Y419" s="1119">
        <f t="shared" si="829"/>
        <v>5.6773117520561188E-4</v>
      </c>
      <c r="Z419" s="1119">
        <f t="shared" si="829"/>
        <v>1.8567627354177914E-4</v>
      </c>
      <c r="AA419" s="1119">
        <f t="shared" si="829"/>
        <v>7.804693154457754E-4</v>
      </c>
      <c r="AB419" s="1119">
        <f t="shared" si="829"/>
        <v>2.6733592809780635E-4</v>
      </c>
      <c r="AC419" s="1119">
        <f t="shared" si="829"/>
        <v>-1.8425748562135215E-5</v>
      </c>
      <c r="AD419" s="1525">
        <f t="shared" ref="AD419:AJ419" si="830">IFERROR(AD418/AD389,0)</f>
        <v>0.22503694744602001</v>
      </c>
      <c r="AE419" s="1119">
        <f t="shared" si="830"/>
        <v>1.9116215728626055E-4</v>
      </c>
      <c r="AF419" s="1119">
        <f t="shared" si="830"/>
        <v>1.8963713341183517E-4</v>
      </c>
      <c r="AG419" s="1119">
        <f t="shared" si="830"/>
        <v>3.2935433069624954E-4</v>
      </c>
      <c r="AH419" s="1119">
        <f t="shared" si="830"/>
        <v>0.12827256725813055</v>
      </c>
      <c r="AI419" s="1119">
        <f t="shared" si="830"/>
        <v>2.7196000522660584E-4</v>
      </c>
      <c r="AJ419" s="1119">
        <f t="shared" si="830"/>
        <v>6.3254409136213052E-2</v>
      </c>
      <c r="AL419" s="1283">
        <f ca="1">IFERROR(AL418/AL389,0)</f>
        <v>-1.8425748562135215E-5</v>
      </c>
      <c r="AM419" s="1283">
        <f ca="1">IFERROR(AM418/AM389,0)</f>
        <v>0</v>
      </c>
      <c r="AN419" s="1283">
        <f t="shared" ca="1" si="810"/>
        <v>-1.8425748562135215E-5</v>
      </c>
      <c r="AO419" s="1281"/>
      <c r="AP419" s="1283">
        <f ca="1">IFERROR(AP418/AP389,0)</f>
        <v>-1.9343389955360286E-2</v>
      </c>
      <c r="AQ419" s="1283">
        <f ca="1">IFERROR(AQ418/AQ389,0)</f>
        <v>-5.6315900289878158E-2</v>
      </c>
      <c r="AR419" s="1282"/>
      <c r="AT419" s="1283">
        <f ca="1">IFERROR(AT418/AT389,0)</f>
        <v>3.2935433069624954E-4</v>
      </c>
      <c r="AU419" s="1283">
        <f ca="1">IFERROR(AU418/AU389,0)</f>
        <v>0</v>
      </c>
      <c r="AV419" s="1283">
        <f t="shared" ca="1" si="812"/>
        <v>3.2935433069624954E-4</v>
      </c>
      <c r="AW419" s="1281"/>
      <c r="AX419" s="1283">
        <f ca="1">IFERROR(AX418/AX389,0)</f>
        <v>-8.9995014109254968E-3</v>
      </c>
      <c r="AY419" s="1283">
        <f ca="1">IFERROR(AY418/AY389,0)</f>
        <v>-0.1518431322266092</v>
      </c>
      <c r="AZ419" s="1282"/>
      <c r="BB419" s="1283">
        <f ca="1">IFERROR(BB418/BB389,0)</f>
        <v>6.3254409136213038E-2</v>
      </c>
      <c r="BC419" s="1283">
        <f ca="1">IFERROR(BC418/BC389,0)</f>
        <v>0</v>
      </c>
      <c r="BD419" s="1283">
        <f t="shared" ca="1" si="814"/>
        <v>6.3254409136213038E-2</v>
      </c>
      <c r="BE419" s="1281"/>
      <c r="BF419" s="1283">
        <f ca="1">IFERROR(BF418/BF389,0)</f>
        <v>4.2640649181035564E-2</v>
      </c>
      <c r="BG419" s="1283">
        <f ca="1">IFERROR(BG418/BG389,0)</f>
        <v>0.13421951905125831</v>
      </c>
      <c r="BH419" s="1282"/>
    </row>
    <row r="420" spans="1:60" ht="14.5">
      <c r="A420" s="990">
        <f t="shared" si="800"/>
        <v>371</v>
      </c>
      <c r="B420" s="990">
        <v>1</v>
      </c>
      <c r="C420" s="990">
        <f t="shared" si="776"/>
        <v>417</v>
      </c>
      <c r="D420" s="1121" t="s">
        <v>887</v>
      </c>
      <c r="E420" s="1255">
        <v>1</v>
      </c>
      <c r="F420" s="9"/>
      <c r="G420" s="1241"/>
      <c r="H420" s="5"/>
      <c r="I420" s="5"/>
      <c r="J420" s="4"/>
      <c r="K420" s="30"/>
      <c r="L420" s="30"/>
      <c r="M420" s="40" t="s">
        <v>170</v>
      </c>
      <c r="N420" s="4"/>
      <c r="O420" s="4"/>
      <c r="P420" s="4"/>
      <c r="Q420" s="1843" t="str">
        <f>CHOOSE(2, "6722000003339", "PL (5) CAI Allocation Variable Expenses")</f>
        <v>PL (5) CAI Allocation Variable Expenses</v>
      </c>
      <c r="R420" s="145">
        <f t="shared" ref="R420:AC421" si="831">R390-R415</f>
        <v>-4.9100768416985048</v>
      </c>
      <c r="S420" s="145">
        <f t="shared" si="831"/>
        <v>-77</v>
      </c>
      <c r="T420" s="145">
        <f t="shared" si="831"/>
        <v>-4.6579103624431184E-2</v>
      </c>
      <c r="U420" s="145">
        <f t="shared" si="831"/>
        <v>-0.32448420335684602</v>
      </c>
      <c r="V420" s="145">
        <f t="shared" si="831"/>
        <v>0</v>
      </c>
      <c r="W420" s="145">
        <f t="shared" si="831"/>
        <v>-0.12742390902457146</v>
      </c>
      <c r="X420" s="145">
        <f t="shared" si="831"/>
        <v>0.23604834247691997</v>
      </c>
      <c r="Y420" s="145">
        <f t="shared" si="831"/>
        <v>0.49721763682802589</v>
      </c>
      <c r="Z420" s="145">
        <f t="shared" si="831"/>
        <v>0</v>
      </c>
      <c r="AA420" s="145">
        <f t="shared" si="831"/>
        <v>0</v>
      </c>
      <c r="AB420" s="145">
        <f t="shared" si="831"/>
        <v>0</v>
      </c>
      <c r="AC420" s="145">
        <f t="shared" si="831"/>
        <v>0</v>
      </c>
      <c r="AD420" s="144">
        <f>SUM(R420,S420,T420)</f>
        <v>-81.956655945322922</v>
      </c>
      <c r="AE420" s="145">
        <f t="shared" ref="AE420:AE422" si="832">SUM(U420,V420,W420)</f>
        <v>-0.45190811238141748</v>
      </c>
      <c r="AF420" s="2810">
        <f t="shared" ref="AF420:AF422" si="833">SUM(X420,Y420,Z420)</f>
        <v>0.73326597930494586</v>
      </c>
      <c r="AG420" s="145">
        <f t="shared" ref="AG420:AG422" si="834">SUM(AA420,AB420,AC420)</f>
        <v>0</v>
      </c>
      <c r="AH420" s="145">
        <f>AD420+AE420</f>
        <v>-82.408564057704339</v>
      </c>
      <c r="AI420" s="145">
        <f>AG420+AF420</f>
        <v>0.73326597930494586</v>
      </c>
      <c r="AJ420" s="145">
        <f>AH420+AI420</f>
        <v>-81.675298078399393</v>
      </c>
      <c r="AL420" s="41">
        <f ca="1">SUM((INDIRECT(AL$2&amp;(ROW())):INDIRECT(AL$3&amp;(ROW()))))</f>
        <v>0</v>
      </c>
      <c r="AM420" s="1275">
        <f ca="1">SUM(INDIRECT(AM$1&amp;AM$2&amp;$C420):INDIRECT(AM$1&amp;AM$3&amp;$C420))</f>
        <v>0</v>
      </c>
      <c r="AN420" s="1276">
        <f t="shared" ca="1" si="810"/>
        <v>0</v>
      </c>
      <c r="AO420" s="1277">
        <f ca="1">IFERROR(AL420/AM420,0)</f>
        <v>0</v>
      </c>
      <c r="AP420" s="1275">
        <f ca="1">SUM(INDIRECT(AP$1&amp;AP$2&amp;$A420):INDIRECT(AP$1&amp;AP$3&amp;$A420))+SUM(INDIRECT(AP$1&amp;AP$2&amp;$B420):INDIRECT(AP$1&amp;AP$3&amp;$B420))</f>
        <v>0</v>
      </c>
      <c r="AQ420" s="1276">
        <f ca="1">AL420-AP420</f>
        <v>0</v>
      </c>
      <c r="AR420" s="1277">
        <f ca="1">IFERROR(AL420/AP420,0)</f>
        <v>0</v>
      </c>
      <c r="AT420" s="41">
        <f ca="1">SUM((INDIRECT(AT$2&amp;(ROW())):INDIRECT(AT$3&amp;(ROW()))))</f>
        <v>0</v>
      </c>
      <c r="AU420" s="1275">
        <f ca="1">SUM(INDIRECT(AU$1&amp;AU$2&amp;$C420):INDIRECT(AU$1&amp;AU$3&amp;$C420))</f>
        <v>0</v>
      </c>
      <c r="AV420" s="1276">
        <f t="shared" ca="1" si="812"/>
        <v>0</v>
      </c>
      <c r="AW420" s="1277">
        <f ca="1">IFERROR(AT420/AU420,0)</f>
        <v>0</v>
      </c>
      <c r="AX420" s="1275">
        <f ca="1">SUM(INDIRECT(AX$1&amp;AX$2&amp;$A420):INDIRECT(AX$1&amp;AX$3&amp;$A420))+SUM(INDIRECT(AX$1&amp;AX$2&amp;$B420):INDIRECT(AX$1&amp;AX$3&amp;$B420))</f>
        <v>0</v>
      </c>
      <c r="AY420" s="1276">
        <f ca="1">AT420-AX420</f>
        <v>0</v>
      </c>
      <c r="AZ420" s="1277">
        <f ca="1">IFERROR(AT420/AX420,0)</f>
        <v>0</v>
      </c>
      <c r="BB420" s="41">
        <f ca="1">SUM((INDIRECT(BB$2&amp;(ROW())):INDIRECT(BB$3&amp;(ROW()))))</f>
        <v>-81.675298078399393</v>
      </c>
      <c r="BC420" s="1275">
        <f ca="1">SUM(INDIRECT(BC$1&amp;BC$2&amp;$C420):INDIRECT(BC$1&amp;BC$3&amp;$C420))</f>
        <v>0</v>
      </c>
      <c r="BD420" s="1276">
        <f t="shared" ca="1" si="814"/>
        <v>-81.675298078399393</v>
      </c>
      <c r="BE420" s="1277">
        <f ca="1">IFERROR(BB420/BC420,0)</f>
        <v>0</v>
      </c>
      <c r="BF420" s="1275">
        <f ca="1">SUM(INDIRECT(BF$1&amp;BF$2&amp;$A420):INDIRECT(BF$1&amp;BF$3&amp;$A420))+SUM(INDIRECT(BF$1&amp;BF$2&amp;$B420):INDIRECT(BF$1&amp;BF$3&amp;$B420))</f>
        <v>0</v>
      </c>
      <c r="BG420" s="1276">
        <f ca="1">BB420-BF420</f>
        <v>-81.675298078399393</v>
      </c>
      <c r="BH420" s="1277">
        <f ca="1">IFERROR(BB420/BF420,0)</f>
        <v>0</v>
      </c>
    </row>
    <row r="421" spans="1:60" ht="14.5">
      <c r="A421" s="990">
        <f t="shared" si="800"/>
        <v>372</v>
      </c>
      <c r="B421" s="990">
        <v>1</v>
      </c>
      <c r="C421" s="990">
        <f t="shared" si="776"/>
        <v>418</v>
      </c>
      <c r="D421" s="1121" t="s">
        <v>887</v>
      </c>
      <c r="E421" s="1255">
        <v>1</v>
      </c>
      <c r="F421" s="9"/>
      <c r="G421" s="1241"/>
      <c r="H421" s="5"/>
      <c r="I421" s="5"/>
      <c r="J421" s="4"/>
      <c r="K421" s="30"/>
      <c r="L421" s="30"/>
      <c r="M421" s="40" t="s">
        <v>171</v>
      </c>
      <c r="N421" s="4"/>
      <c r="O421" s="4"/>
      <c r="P421" s="4"/>
      <c r="Q421" s="1843" t="str">
        <f>CHOOSE(2, "6722000003340", "PL (5) CAI Allocation Wages &amp; Salaries")</f>
        <v>PL (5) CAI Allocation Wages &amp; Salaries</v>
      </c>
      <c r="R421" s="145">
        <f t="shared" si="831"/>
        <v>1220.7417083111454</v>
      </c>
      <c r="S421" s="145">
        <f t="shared" si="831"/>
        <v>-0.33145250111101632</v>
      </c>
      <c r="T421" s="145">
        <f t="shared" si="831"/>
        <v>0.23545503396007916</v>
      </c>
      <c r="U421" s="145">
        <f t="shared" si="831"/>
        <v>1</v>
      </c>
      <c r="V421" s="145">
        <f t="shared" si="831"/>
        <v>0</v>
      </c>
      <c r="W421" s="145">
        <f t="shared" si="831"/>
        <v>0.23655467291882815</v>
      </c>
      <c r="X421" s="145">
        <f t="shared" si="831"/>
        <v>-3.7615546775668918E-3</v>
      </c>
      <c r="Y421" s="145">
        <f t="shared" si="831"/>
        <v>0</v>
      </c>
      <c r="Z421" s="145">
        <f t="shared" si="831"/>
        <v>0.27682470925560665</v>
      </c>
      <c r="AA421" s="145">
        <f t="shared" si="831"/>
        <v>1.2695195601877458</v>
      </c>
      <c r="AB421" s="145">
        <f t="shared" si="831"/>
        <v>0.53594123958987439</v>
      </c>
      <c r="AC421" s="145">
        <f t="shared" si="831"/>
        <v>-3.2289666486349233E-2</v>
      </c>
      <c r="AD421" s="144">
        <f>SUM(R421,S421,T421)</f>
        <v>1220.6457108439945</v>
      </c>
      <c r="AE421" s="145">
        <f t="shared" si="832"/>
        <v>1.2365546729188281</v>
      </c>
      <c r="AF421" s="145">
        <f t="shared" si="833"/>
        <v>0.27306315457803976</v>
      </c>
      <c r="AG421" s="145">
        <f t="shared" si="834"/>
        <v>1.773171133291271</v>
      </c>
      <c r="AH421" s="145">
        <f>AD421+AE421</f>
        <v>1221.8822655169133</v>
      </c>
      <c r="AI421" s="145">
        <f>AG421+AF421</f>
        <v>2.0462342878693107</v>
      </c>
      <c r="AJ421" s="145">
        <f>AH421+AI421</f>
        <v>1223.9284998047826</v>
      </c>
      <c r="AL421" s="41">
        <f ca="1">SUM((INDIRECT(AL$2&amp;(ROW())):INDIRECT(AL$3&amp;(ROW()))))</f>
        <v>-3.2289666486349233E-2</v>
      </c>
      <c r="AM421" s="1275">
        <f ca="1">SUM(INDIRECT(AM$1&amp;AM$2&amp;$C421):INDIRECT(AM$1&amp;AM$3&amp;$C421))</f>
        <v>0</v>
      </c>
      <c r="AN421" s="1276">
        <f t="shared" ca="1" si="810"/>
        <v>-3.2289666486349233E-2</v>
      </c>
      <c r="AO421" s="1277">
        <f ca="1">IFERROR(AL421/AM421,0)</f>
        <v>0</v>
      </c>
      <c r="AP421" s="1275">
        <f ca="1">SUM(INDIRECT(AP$1&amp;AP$2&amp;$A421):INDIRECT(AP$1&amp;AP$3&amp;$A421))+SUM(INDIRECT(AP$1&amp;AP$2&amp;$B421):INDIRECT(AP$1&amp;AP$3&amp;$B421))</f>
        <v>0.38439999999991414</v>
      </c>
      <c r="AQ421" s="1276">
        <f ca="1">AL421-AP421</f>
        <v>-0.41668966648626338</v>
      </c>
      <c r="AR421" s="1277">
        <f ca="1">IFERROR(AL421/AP421,0)</f>
        <v>-8.4000172961385136E-2</v>
      </c>
      <c r="AT421" s="41">
        <f ca="1">SUM((INDIRECT(AT$2&amp;(ROW())):INDIRECT(AT$3&amp;(ROW()))))</f>
        <v>1.773171133291271</v>
      </c>
      <c r="AU421" s="1275">
        <f ca="1">SUM(INDIRECT(AU$1&amp;AU$2&amp;$C421):INDIRECT(AU$1&amp;AU$3&amp;$C421))</f>
        <v>0</v>
      </c>
      <c r="AV421" s="1276">
        <f t="shared" ca="1" si="812"/>
        <v>1.773171133291271</v>
      </c>
      <c r="AW421" s="1277">
        <f ca="1">IFERROR(AT421/AU421,0)</f>
        <v>0</v>
      </c>
      <c r="AX421" s="1275">
        <f ca="1">SUM(INDIRECT(AX$1&amp;AX$2&amp;$A421):INDIRECT(AX$1&amp;AX$3&amp;$A421))+SUM(INDIRECT(AX$1&amp;AX$2&amp;$B421):INDIRECT(AX$1&amp;AX$3&amp;$B421))</f>
        <v>0.38439999999991414</v>
      </c>
      <c r="AY421" s="1276">
        <f ca="1">AT421-AX421</f>
        <v>1.3887711332913568</v>
      </c>
      <c r="AZ421" s="1277">
        <f ca="1">IFERROR(AT421/AX421,0)</f>
        <v>4.6128281303113088</v>
      </c>
      <c r="BB421" s="41">
        <f ca="1">SUM((INDIRECT(BB$2&amp;(ROW())):INDIRECT(BB$3&amp;(ROW()))))</f>
        <v>1223.9284998047826</v>
      </c>
      <c r="BC421" s="1275">
        <f ca="1">SUM(INDIRECT(BC$1&amp;BC$2&amp;$C421):INDIRECT(BC$1&amp;BC$3&amp;$C421))</f>
        <v>0</v>
      </c>
      <c r="BD421" s="1276">
        <f t="shared" ca="1" si="814"/>
        <v>1223.9284998047826</v>
      </c>
      <c r="BE421" s="1277">
        <f ca="1">IFERROR(BB421/BC421,0)</f>
        <v>0</v>
      </c>
      <c r="BF421" s="1275">
        <f ca="1">SUM(INDIRECT(BF$1&amp;BF$2&amp;$A421):INDIRECT(BF$1&amp;BF$3&amp;$A421))+SUM(INDIRECT(BF$1&amp;BF$2&amp;$B421):INDIRECT(BF$1&amp;BF$3&amp;$B421))</f>
        <v>646.38439999999991</v>
      </c>
      <c r="BG421" s="1276">
        <f ca="1">BB421-BF421</f>
        <v>577.54409980478272</v>
      </c>
      <c r="BH421" s="1277">
        <f ca="1">IFERROR(BB421/BF421,0)</f>
        <v>1.8934994405879579</v>
      </c>
    </row>
    <row r="422" spans="1:60" ht="14.5">
      <c r="A422" s="990">
        <f t="shared" si="800"/>
        <v>373</v>
      </c>
      <c r="B422" s="990">
        <v>1</v>
      </c>
      <c r="C422" s="990">
        <f t="shared" si="776"/>
        <v>419</v>
      </c>
      <c r="D422" s="1121" t="s">
        <v>887</v>
      </c>
      <c r="E422" s="1255">
        <v>1</v>
      </c>
      <c r="F422" s="9"/>
      <c r="G422" s="1241"/>
      <c r="H422" s="5"/>
      <c r="I422" s="5"/>
      <c r="J422" s="4"/>
      <c r="K422" s="28"/>
      <c r="L422" s="28"/>
      <c r="M422" s="119" t="s">
        <v>172</v>
      </c>
      <c r="N422" s="2"/>
      <c r="O422" s="2"/>
      <c r="P422" s="2"/>
      <c r="Q422" s="1843" t="str">
        <f>CHOOSE(2, "6722000003341", "PL (5) CAI Allocation Fixed Expenses")</f>
        <v>PL (5) CAI Allocation Fixed Expenses</v>
      </c>
      <c r="R422" s="142">
        <f t="shared" ref="R422:AC422" si="835">R396-R417</f>
        <v>-4.1511621277485347</v>
      </c>
      <c r="S422" s="142">
        <f t="shared" si="835"/>
        <v>-0.30004614421316944</v>
      </c>
      <c r="T422" s="142">
        <f t="shared" si="835"/>
        <v>0.39844239612284582</v>
      </c>
      <c r="U422" s="142">
        <f t="shared" si="835"/>
        <v>-0.24043845175731349</v>
      </c>
      <c r="V422" s="142">
        <f t="shared" si="835"/>
        <v>0</v>
      </c>
      <c r="W422" s="142">
        <f t="shared" si="835"/>
        <v>0.18396426826737411</v>
      </c>
      <c r="X422" s="142">
        <f t="shared" si="835"/>
        <v>-0.39149381379388615</v>
      </c>
      <c r="Y422" s="142">
        <f t="shared" si="835"/>
        <v>9.6966509300614234E-2</v>
      </c>
      <c r="Z422" s="142">
        <f t="shared" si="835"/>
        <v>0</v>
      </c>
      <c r="AA422" s="142">
        <f t="shared" si="835"/>
        <v>0</v>
      </c>
      <c r="AB422" s="142">
        <f t="shared" si="835"/>
        <v>0</v>
      </c>
      <c r="AC422" s="142">
        <f t="shared" si="835"/>
        <v>0</v>
      </c>
      <c r="AD422" s="141">
        <f>SUM(R422,S422,T422)</f>
        <v>-4.0527658758388583</v>
      </c>
      <c r="AE422" s="142">
        <f t="shared" si="832"/>
        <v>-5.6474183489939378E-2</v>
      </c>
      <c r="AF422" s="2811">
        <f t="shared" si="833"/>
        <v>-0.29452730449327191</v>
      </c>
      <c r="AG422" s="142">
        <f t="shared" si="834"/>
        <v>0</v>
      </c>
      <c r="AH422" s="142">
        <f>AD422+AE422</f>
        <v>-4.1092400593287977</v>
      </c>
      <c r="AI422" s="142">
        <f>AG422+AF422</f>
        <v>-0.29452730449327191</v>
      </c>
      <c r="AJ422" s="142">
        <f>AH422+AI422</f>
        <v>-4.4037673638220696</v>
      </c>
      <c r="AL422" s="66">
        <f ca="1">SUM((INDIRECT(AL$2&amp;(ROW())):INDIRECT(AL$3&amp;(ROW()))))</f>
        <v>0</v>
      </c>
      <c r="AM422" s="92">
        <f ca="1">SUM(INDIRECT(AM$1&amp;AM$2&amp;$C422):INDIRECT(AM$1&amp;AM$3&amp;$C422))</f>
        <v>0</v>
      </c>
      <c r="AN422" s="884">
        <f t="shared" ca="1" si="810"/>
        <v>0</v>
      </c>
      <c r="AO422" s="937">
        <f ca="1">IFERROR(AL422/AM422,0)</f>
        <v>0</v>
      </c>
      <c r="AP422" s="92">
        <f ca="1">SUM(INDIRECT(AP$1&amp;AP$2&amp;$A422):INDIRECT(AP$1&amp;AP$3&amp;$A422))+SUM(INDIRECT(AP$1&amp;AP$2&amp;$B422):INDIRECT(AP$1&amp;AP$3&amp;$B422))</f>
        <v>-52</v>
      </c>
      <c r="AQ422" s="884">
        <f ca="1">AL422-AP422</f>
        <v>52</v>
      </c>
      <c r="AR422" s="937">
        <f ca="1">IFERROR(AL422/AP422,0)</f>
        <v>0</v>
      </c>
      <c r="AT422" s="66">
        <f ca="1">SUM((INDIRECT(AT$2&amp;(ROW())):INDIRECT(AT$3&amp;(ROW()))))</f>
        <v>0</v>
      </c>
      <c r="AU422" s="92">
        <f ca="1">SUM(INDIRECT(AU$1&amp;AU$2&amp;$C422):INDIRECT(AU$1&amp;AU$3&amp;$C422))</f>
        <v>0</v>
      </c>
      <c r="AV422" s="884">
        <f t="shared" ca="1" si="812"/>
        <v>0</v>
      </c>
      <c r="AW422" s="937">
        <f ca="1">IFERROR(AT422/AU422,0)</f>
        <v>0</v>
      </c>
      <c r="AX422" s="92">
        <f ca="1">SUM(INDIRECT(AX$1&amp;AX$2&amp;$A422):INDIRECT(AX$1&amp;AX$3&amp;$A422))+SUM(INDIRECT(AX$1&amp;AX$2&amp;$B422):INDIRECT(AX$1&amp;AX$3&amp;$B422))</f>
        <v>-52</v>
      </c>
      <c r="AY422" s="884">
        <f ca="1">AT422-AX422</f>
        <v>52</v>
      </c>
      <c r="AZ422" s="937">
        <f ca="1">IFERROR(AT422/AX422,0)</f>
        <v>0</v>
      </c>
      <c r="BB422" s="66">
        <f ca="1">SUM((INDIRECT(BB$2&amp;(ROW())):INDIRECT(BB$3&amp;(ROW()))))</f>
        <v>-4.4037673638220696</v>
      </c>
      <c r="BC422" s="92">
        <f ca="1">SUM(INDIRECT(BC$1&amp;BC$2&amp;$C422):INDIRECT(BC$1&amp;BC$3&amp;$C422))</f>
        <v>0</v>
      </c>
      <c r="BD422" s="884">
        <f t="shared" ca="1" si="814"/>
        <v>-4.4037673638220696</v>
      </c>
      <c r="BE422" s="937">
        <f ca="1">IFERROR(BB422/BC422,0)</f>
        <v>0</v>
      </c>
      <c r="BF422" s="92">
        <f ca="1">SUM(INDIRECT(BF$1&amp;BF$2&amp;$A422):INDIRECT(BF$1&amp;BF$3&amp;$A422))+SUM(INDIRECT(BF$1&amp;BF$2&amp;$B422):INDIRECT(BF$1&amp;BF$3&amp;$B422))</f>
        <v>-52</v>
      </c>
      <c r="BG422" s="884">
        <f ca="1">BB422-BF422</f>
        <v>47.59623263617793</v>
      </c>
      <c r="BH422" s="937">
        <f ca="1">IFERROR(BB422/BF422,0)</f>
        <v>8.4687833919655189E-2</v>
      </c>
    </row>
    <row r="423" spans="1:60" ht="14.5">
      <c r="A423" s="990">
        <f t="shared" si="800"/>
        <v>374</v>
      </c>
      <c r="B423" s="990">
        <v>1</v>
      </c>
      <c r="C423" s="990">
        <f t="shared" si="776"/>
        <v>420</v>
      </c>
      <c r="D423" s="1121" t="s">
        <v>887</v>
      </c>
      <c r="E423" s="1243">
        <v>1</v>
      </c>
      <c r="Q423" s="1838" t="str">
        <f>CHOOSE(2, "6722000003342", "▷ Blank 16")</f>
        <v>▷ Blank 16</v>
      </c>
      <c r="R423" s="2200"/>
      <c r="AA423" s="163"/>
    </row>
    <row r="424" spans="1:60" ht="15.5">
      <c r="A424" s="990">
        <f t="shared" si="800"/>
        <v>375</v>
      </c>
      <c r="B424" s="990">
        <v>1</v>
      </c>
      <c r="C424" s="990">
        <f t="shared" si="776"/>
        <v>421</v>
      </c>
      <c r="D424" s="1121" t="s">
        <v>887</v>
      </c>
      <c r="E424" s="1255">
        <v>1</v>
      </c>
      <c r="F424" s="9"/>
      <c r="G424" s="1242" t="s">
        <v>897</v>
      </c>
      <c r="Q424" s="1838" t="str">
        <f>CHOOSE(2, "6722000003343", "2-2. SG&amp;A: Allocation by BU")</f>
        <v>2-2. SG&amp;A: Allocation by BU</v>
      </c>
      <c r="R424" s="2200"/>
      <c r="AA424" s="163"/>
    </row>
    <row r="425" spans="1:60" ht="14.5">
      <c r="A425" s="990">
        <f t="shared" si="800"/>
        <v>376</v>
      </c>
      <c r="B425" s="990">
        <v>1</v>
      </c>
      <c r="C425" s="990">
        <f t="shared" si="776"/>
        <v>422</v>
      </c>
      <c r="D425" s="1121" t="s">
        <v>887</v>
      </c>
      <c r="E425" s="1255">
        <v>1</v>
      </c>
      <c r="F425" s="9"/>
      <c r="G425" s="1241"/>
      <c r="K425" s="835" t="s">
        <v>893</v>
      </c>
      <c r="L425" s="836"/>
      <c r="M425" s="836"/>
      <c r="N425" s="836"/>
      <c r="O425" s="836"/>
      <c r="P425" s="836"/>
      <c r="Q425" s="1880" t="str">
        <f>CHOOSE(2, "6722000003344", "S/GP Office (0) Total")</f>
        <v>S/GP Office (0) Total</v>
      </c>
      <c r="R425" s="2171">
        <f t="shared" ref="R425:AC425" si="836">SUM(R426:R427)</f>
        <v>162497</v>
      </c>
      <c r="S425" s="2171">
        <f t="shared" si="836"/>
        <v>151508.95403988974</v>
      </c>
      <c r="T425" s="2171">
        <f t="shared" si="836"/>
        <v>167377.54578961336</v>
      </c>
      <c r="U425" s="2171">
        <f t="shared" si="836"/>
        <v>168497.84762551956</v>
      </c>
      <c r="V425" s="2171">
        <f t="shared" si="836"/>
        <v>191227.60087534133</v>
      </c>
      <c r="W425" s="2171">
        <f t="shared" si="836"/>
        <v>128979.04222774808</v>
      </c>
      <c r="X425" s="2172">
        <f t="shared" si="836"/>
        <v>215353.64339714393</v>
      </c>
      <c r="Y425" s="2172">
        <f t="shared" si="836"/>
        <v>173712.28747047842</v>
      </c>
      <c r="Z425" s="2172">
        <f t="shared" si="836"/>
        <v>187740.31472994853</v>
      </c>
      <c r="AA425" s="2173">
        <f t="shared" si="836"/>
        <v>220898.74405290553</v>
      </c>
      <c r="AB425" s="2173">
        <f t="shared" si="836"/>
        <v>170132.22598101624</v>
      </c>
      <c r="AC425" s="2173">
        <f t="shared" si="836"/>
        <v>121079.41308625741</v>
      </c>
      <c r="AD425" s="1529">
        <f t="shared" ref="AD425:AJ425" si="837">SUM(AD426:AD427)</f>
        <v>481383.49982950313</v>
      </c>
      <c r="AE425" s="1137">
        <f t="shared" si="837"/>
        <v>488704.49072860891</v>
      </c>
      <c r="AF425" s="1137">
        <f t="shared" si="837"/>
        <v>576806.2455975709</v>
      </c>
      <c r="AG425" s="1137">
        <f t="shared" si="837"/>
        <v>512110.38312017918</v>
      </c>
      <c r="AH425" s="1137">
        <f t="shared" si="837"/>
        <v>970087.99055811204</v>
      </c>
      <c r="AI425" s="1137">
        <f t="shared" si="837"/>
        <v>1088916.6287177501</v>
      </c>
      <c r="AJ425" s="1137">
        <f t="shared" si="837"/>
        <v>2059004.6192758621</v>
      </c>
      <c r="AL425" s="2527">
        <f ca="1">SUM((INDIRECT(AL$2&amp;(ROW())):INDIRECT(AL$3&amp;(ROW()))))</f>
        <v>121079.41308625741</v>
      </c>
      <c r="AM425" s="2527">
        <f ca="1">SUM(INDIRECT(AM$1&amp;AM$2&amp;$C425):INDIRECT(AM$1&amp;AM$3&amp;$C425))</f>
        <v>0</v>
      </c>
      <c r="AN425" s="2528">
        <f t="shared" ref="AN425:AN447" ca="1" si="838">AL425-AM425</f>
        <v>121079.41308625741</v>
      </c>
      <c r="AO425" s="2529">
        <f t="shared" ref="AO425:AO430" ca="1" si="839">IFERROR(AL425/AM425,0)</f>
        <v>0</v>
      </c>
      <c r="AP425" s="2527">
        <f ca="1">SUM(INDIRECT(AP$1&amp;AP$2&amp;$A425):INDIRECT(AP$1&amp;AP$3&amp;$A425))+SUM(INDIRECT(AP$1&amp;AP$2&amp;$B425):INDIRECT(AP$1&amp;AP$3&amp;$B425))</f>
        <v>200181.89318999997</v>
      </c>
      <c r="AQ425" s="2528">
        <f t="shared" ref="AQ425:AQ447" ca="1" si="840">AL425-AP425</f>
        <v>-79102.480103742564</v>
      </c>
      <c r="AR425" s="2529">
        <f t="shared" ref="AR425:AR430" ca="1" si="841">IFERROR(AL425/AP425,0)</f>
        <v>0.60484697770010842</v>
      </c>
      <c r="AT425" s="2527">
        <f ca="1">SUM((INDIRECT(AT$2&amp;(ROW())):INDIRECT(AT$3&amp;(ROW()))))</f>
        <v>512110.38312017918</v>
      </c>
      <c r="AU425" s="2527">
        <f ca="1">SUM(INDIRECT(AU$1&amp;AU$2&amp;$C425):INDIRECT(AU$1&amp;AU$3&amp;$C425))</f>
        <v>0</v>
      </c>
      <c r="AV425" s="2528">
        <f t="shared" ref="AV425:AV447" ca="1" si="842">AT425-AU425</f>
        <v>512110.38312017918</v>
      </c>
      <c r="AW425" s="2529">
        <f t="shared" ref="AW425:AW430" ca="1" si="843">IFERROR(AT425/AU425,0)</f>
        <v>0</v>
      </c>
      <c r="AX425" s="2527">
        <f ca="1">SUM(INDIRECT(AX$1&amp;AX$2&amp;$A425):INDIRECT(AX$1&amp;AX$3&amp;$A425))+SUM(INDIRECT(AX$1&amp;AX$2&amp;$B425):INDIRECT(AX$1&amp;AX$3&amp;$B425))</f>
        <v>427094.89319000003</v>
      </c>
      <c r="AY425" s="2528">
        <f t="shared" ref="AY425:AY447" ca="1" si="844">AT425-AX425</f>
        <v>85015.489930179145</v>
      </c>
      <c r="AZ425" s="2529">
        <f t="shared" ref="AZ425:AZ430" ca="1" si="845">IFERROR(AT425/AX425,0)</f>
        <v>1.1990552715233675</v>
      </c>
      <c r="BB425" s="2527">
        <f ca="1">SUM((INDIRECT(BB$2&amp;(ROW())):INDIRECT(BB$3&amp;(ROW()))))</f>
        <v>2059004.6192758621</v>
      </c>
      <c r="BC425" s="2527">
        <f ca="1">SUM(INDIRECT(BC$1&amp;BC$2&amp;$C425):INDIRECT(BC$1&amp;BC$3&amp;$C425))</f>
        <v>0</v>
      </c>
      <c r="BD425" s="2528">
        <f t="shared" ref="BD425:BD447" ca="1" si="846">BB425-BC425</f>
        <v>2059004.6192758621</v>
      </c>
      <c r="BE425" s="2529">
        <f t="shared" ref="BE425:BE430" ca="1" si="847">IFERROR(BB425/BC425,0)</f>
        <v>0</v>
      </c>
      <c r="BF425" s="2527">
        <f ca="1">SUM(INDIRECT(BF$1&amp;BF$2&amp;$A425):INDIRECT(BF$1&amp;BF$3&amp;$A425))+SUM(INDIRECT(BF$1&amp;BF$2&amp;$B425):INDIRECT(BF$1&amp;BF$3&amp;$B425))</f>
        <v>1673029.89319</v>
      </c>
      <c r="BG425" s="2528">
        <f t="shared" ref="BG425:BG447" ca="1" si="848">BB425-BF425</f>
        <v>385974.72608586214</v>
      </c>
      <c r="BH425" s="2529">
        <f t="shared" ref="BH425:BH430" ca="1" si="849">IFERROR(BB425/BF425,0)</f>
        <v>1.2307040224785921</v>
      </c>
    </row>
    <row r="426" spans="1:60" ht="14.5">
      <c r="A426" s="990">
        <f t="shared" si="800"/>
        <v>377</v>
      </c>
      <c r="B426" s="990">
        <v>1</v>
      </c>
      <c r="C426" s="990">
        <f t="shared" si="776"/>
        <v>423</v>
      </c>
      <c r="D426" s="1121" t="s">
        <v>887</v>
      </c>
      <c r="E426" s="1255">
        <v>1</v>
      </c>
      <c r="F426" s="9"/>
      <c r="G426" s="1241"/>
      <c r="K426" s="293"/>
      <c r="L426" s="40" t="s">
        <v>894</v>
      </c>
      <c r="M426" s="75"/>
      <c r="N426" s="75"/>
      <c r="O426" s="75"/>
      <c r="P426" s="75"/>
      <c r="Q426" s="1880" t="str">
        <f>CHOOSE(2, "6722000003345", "S/GP Office (0) Total Directly assigned")</f>
        <v>S/GP Office (0) Total Directly assigned</v>
      </c>
      <c r="R426" s="2097">
        <f>SUM(R429,R433,R437,R441,R445)</f>
        <v>49035.29785574894</v>
      </c>
      <c r="S426" s="135">
        <f t="shared" ref="S426:AB426" si="850">SUM(S429,S433,S437,S441,S445)</f>
        <v>74648.618890928759</v>
      </c>
      <c r="T426" s="135">
        <f t="shared" si="850"/>
        <v>54498.411468115235</v>
      </c>
      <c r="U426" s="135">
        <f t="shared" si="850"/>
        <v>62493.543663207747</v>
      </c>
      <c r="V426" s="135">
        <f t="shared" si="850"/>
        <v>85047.520605341342</v>
      </c>
      <c r="W426" s="135">
        <f t="shared" si="850"/>
        <v>80962.980559602802</v>
      </c>
      <c r="X426" s="135">
        <f t="shared" si="850"/>
        <v>60005.282944632505</v>
      </c>
      <c r="Y426" s="135">
        <f t="shared" si="850"/>
        <v>60517.465829296758</v>
      </c>
      <c r="Z426" s="135">
        <f t="shared" si="850"/>
        <v>79595.983412014422</v>
      </c>
      <c r="AA426" s="135">
        <f t="shared" si="850"/>
        <v>81398.335292717704</v>
      </c>
      <c r="AB426" s="135">
        <f t="shared" si="850"/>
        <v>119055.65492844893</v>
      </c>
      <c r="AC426" s="135">
        <f>SUM(AC429,AC433,AC437,AC441,AC445)</f>
        <v>53217.475109580606</v>
      </c>
      <c r="AD426" s="144">
        <f>SUM(R426,S426,T426)</f>
        <v>178182.32821479294</v>
      </c>
      <c r="AE426" s="145">
        <f t="shared" ref="AE426:AE427" si="851">SUM(U426,V426,W426)</f>
        <v>228504.04482815188</v>
      </c>
      <c r="AF426" s="145">
        <f t="shared" ref="AF426:AF427" si="852">SUM(X426,Y426,Z426)</f>
        <v>200118.73218594369</v>
      </c>
      <c r="AG426" s="145">
        <f t="shared" ref="AG426:AG427" si="853">SUM(AA426,AB426,AC426)</f>
        <v>253671.46533074725</v>
      </c>
      <c r="AH426" s="145">
        <f>AD426+AE426</f>
        <v>406686.37304294482</v>
      </c>
      <c r="AI426" s="145">
        <f>AG426+AF426</f>
        <v>453790.19751669094</v>
      </c>
      <c r="AJ426" s="145">
        <f>AH426+AI426</f>
        <v>860476.57055963576</v>
      </c>
      <c r="AL426" s="2120">
        <f ca="1">SUM((INDIRECT(AL$2&amp;(ROW())):INDIRECT(AL$3&amp;(ROW()))))</f>
        <v>53217.475109580606</v>
      </c>
      <c r="AM426" s="2120">
        <f ca="1">SUM(INDIRECT(AM$1&amp;AM$2&amp;$C426):INDIRECT(AM$1&amp;AM$3&amp;$C426))</f>
        <v>0</v>
      </c>
      <c r="AN426" s="2530">
        <f t="shared" ca="1" si="838"/>
        <v>53217.475109580606</v>
      </c>
      <c r="AO426" s="2531">
        <f t="shared" ca="1" si="839"/>
        <v>0</v>
      </c>
      <c r="AP426" s="2120">
        <f ca="1">SUM(INDIRECT(AP$1&amp;AP$2&amp;$A426):INDIRECT(AP$1&amp;AP$3&amp;$A426))+SUM(INDIRECT(AP$1&amp;AP$2&amp;$B426):INDIRECT(AP$1&amp;AP$3&amp;$B426))</f>
        <v>60195.055668681853</v>
      </c>
      <c r="AQ426" s="2530">
        <f t="shared" ca="1" si="840"/>
        <v>-6977.5805591012468</v>
      </c>
      <c r="AR426" s="2531">
        <f t="shared" ca="1" si="841"/>
        <v>0.88408382579615208</v>
      </c>
      <c r="AT426" s="2120">
        <f ca="1">SUM((INDIRECT(AT$2&amp;(ROW())):INDIRECT(AT$3&amp;(ROW()))))</f>
        <v>253671.46533074725</v>
      </c>
      <c r="AU426" s="2120">
        <f ca="1">SUM(INDIRECT(AU$1&amp;AU$2&amp;$C426):INDIRECT(AU$1&amp;AU$3&amp;$C426))</f>
        <v>0</v>
      </c>
      <c r="AV426" s="2530">
        <f t="shared" ca="1" si="842"/>
        <v>253671.46533074725</v>
      </c>
      <c r="AW426" s="2531">
        <f t="shared" ca="1" si="843"/>
        <v>0</v>
      </c>
      <c r="AX426" s="2120">
        <f ca="1">SUM(INDIRECT(AX$1&amp;AX$2&amp;$A426):INDIRECT(AX$1&amp;AX$3&amp;$A426))+SUM(INDIRECT(AX$1&amp;AX$2&amp;$B426):INDIRECT(AX$1&amp;AX$3&amp;$B426))</f>
        <v>177191.05566868186</v>
      </c>
      <c r="AY426" s="2530">
        <f t="shared" ca="1" si="844"/>
        <v>76480.409662065387</v>
      </c>
      <c r="AZ426" s="2531">
        <f t="shared" ca="1" si="845"/>
        <v>1.4316268074223293</v>
      </c>
      <c r="BB426" s="2120">
        <f ca="1">SUM((INDIRECT(BB$2&amp;(ROW())):INDIRECT(BB$3&amp;(ROW()))))</f>
        <v>860476.57055963576</v>
      </c>
      <c r="BC426" s="2120">
        <f ca="1">SUM(INDIRECT(BC$1&amp;BC$2&amp;$C426):INDIRECT(BC$1&amp;BC$3&amp;$C426))</f>
        <v>0</v>
      </c>
      <c r="BD426" s="2530">
        <f t="shared" ca="1" si="846"/>
        <v>860476.57055963576</v>
      </c>
      <c r="BE426" s="2531">
        <f t="shared" ca="1" si="847"/>
        <v>0</v>
      </c>
      <c r="BF426" s="2120">
        <f ca="1">SUM(INDIRECT(BF$1&amp;BF$2&amp;$A426):INDIRECT(BF$1&amp;BF$3&amp;$A426))+SUM(INDIRECT(BF$1&amp;BF$2&amp;$B426):INDIRECT(BF$1&amp;BF$3&amp;$B426))</f>
        <v>615473.05566868186</v>
      </c>
      <c r="BG426" s="2530">
        <f t="shared" ca="1" si="848"/>
        <v>245003.5148909539</v>
      </c>
      <c r="BH426" s="2531">
        <f t="shared" ca="1" si="849"/>
        <v>1.3980735023806514</v>
      </c>
    </row>
    <row r="427" spans="1:60" ht="14.5">
      <c r="A427" s="990">
        <f t="shared" si="800"/>
        <v>378</v>
      </c>
      <c r="B427" s="990">
        <v>1</v>
      </c>
      <c r="C427" s="990">
        <f t="shared" si="776"/>
        <v>424</v>
      </c>
      <c r="D427" s="1121" t="s">
        <v>887</v>
      </c>
      <c r="E427" s="1255">
        <v>1</v>
      </c>
      <c r="F427" s="9"/>
      <c r="G427" s="1241"/>
      <c r="K427" s="293"/>
      <c r="L427" s="40" t="s">
        <v>895</v>
      </c>
      <c r="M427" s="75"/>
      <c r="N427" s="75"/>
      <c r="O427" s="75"/>
      <c r="P427" s="75"/>
      <c r="Q427" s="1880" t="str">
        <f>CHOOSE(2, "6722000003346", "S/GP Office (0) Total Allocation cost")</f>
        <v>S/GP Office (0) Total Allocation cost</v>
      </c>
      <c r="R427" s="2097">
        <f t="shared" ref="R427:AC427" si="854">SUM(R430,R434,R438,R442,R446)</f>
        <v>113461.70214425106</v>
      </c>
      <c r="S427" s="135">
        <f t="shared" si="854"/>
        <v>76860.335148960992</v>
      </c>
      <c r="T427" s="135">
        <f t="shared" si="854"/>
        <v>112879.13432149813</v>
      </c>
      <c r="U427" s="135">
        <f t="shared" si="854"/>
        <v>106004.30396231179</v>
      </c>
      <c r="V427" s="135">
        <f t="shared" si="854"/>
        <v>106180.08026999998</v>
      </c>
      <c r="W427" s="135">
        <f t="shared" si="854"/>
        <v>48016.061668145274</v>
      </c>
      <c r="X427" s="135">
        <f t="shared" si="854"/>
        <v>155348.36045251141</v>
      </c>
      <c r="Y427" s="135">
        <f t="shared" si="854"/>
        <v>113194.82164118167</v>
      </c>
      <c r="Z427" s="135">
        <f t="shared" si="854"/>
        <v>108144.33131793411</v>
      </c>
      <c r="AA427" s="135">
        <f t="shared" si="854"/>
        <v>139500.40876018783</v>
      </c>
      <c r="AB427" s="135">
        <f t="shared" si="854"/>
        <v>51076.571052567298</v>
      </c>
      <c r="AC427" s="135">
        <f t="shared" si="854"/>
        <v>67861.937976676796</v>
      </c>
      <c r="AD427" s="144">
        <f>SUM(R427,S427,T427)</f>
        <v>303201.17161471018</v>
      </c>
      <c r="AE427" s="145">
        <f t="shared" si="851"/>
        <v>260200.44590045704</v>
      </c>
      <c r="AF427" s="145">
        <f t="shared" si="852"/>
        <v>376687.51341162715</v>
      </c>
      <c r="AG427" s="145">
        <f t="shared" si="853"/>
        <v>258438.91778943193</v>
      </c>
      <c r="AH427" s="145">
        <f>AD427+AE427</f>
        <v>563401.61751516722</v>
      </c>
      <c r="AI427" s="145">
        <f>AG427+AF427</f>
        <v>635126.43120105914</v>
      </c>
      <c r="AJ427" s="145">
        <f>AH427+AI427</f>
        <v>1198528.0487162264</v>
      </c>
      <c r="AL427" s="66">
        <f ca="1">SUM((INDIRECT(AL$2&amp;(ROW())):INDIRECT(AL$3&amp;(ROW()))))</f>
        <v>67861.937976676796</v>
      </c>
      <c r="AM427" s="66">
        <f ca="1">SUM(INDIRECT(AM$1&amp;AM$2&amp;$C427):INDIRECT(AM$1&amp;AM$3&amp;$C427))</f>
        <v>0</v>
      </c>
      <c r="AN427" s="1261">
        <f t="shared" ca="1" si="838"/>
        <v>67861.937976676796</v>
      </c>
      <c r="AO427" s="1262">
        <f t="shared" ca="1" si="839"/>
        <v>0</v>
      </c>
      <c r="AP427" s="66">
        <f ca="1">SUM(INDIRECT(AP$1&amp;AP$2&amp;$A427):INDIRECT(AP$1&amp;AP$3&amp;$A427))+SUM(INDIRECT(AP$1&amp;AP$2&amp;$B427):INDIRECT(AP$1&amp;AP$3&amp;$B427))</f>
        <v>139986.83752131811</v>
      </c>
      <c r="AQ427" s="1261">
        <f t="shared" ca="1" si="840"/>
        <v>-72124.899544641317</v>
      </c>
      <c r="AR427" s="1262">
        <f t="shared" ca="1" si="841"/>
        <v>0.48477370571602729</v>
      </c>
      <c r="AT427" s="66">
        <f ca="1">SUM((INDIRECT(AT$2&amp;(ROW())):INDIRECT(AT$3&amp;(ROW()))))</f>
        <v>258438.91778943193</v>
      </c>
      <c r="AU427" s="66">
        <f ca="1">SUM(INDIRECT(AU$1&amp;AU$2&amp;$C427):INDIRECT(AU$1&amp;AU$3&amp;$C427))</f>
        <v>0</v>
      </c>
      <c r="AV427" s="1261">
        <f t="shared" ca="1" si="842"/>
        <v>258438.91778943193</v>
      </c>
      <c r="AW427" s="1262">
        <f t="shared" ca="1" si="843"/>
        <v>0</v>
      </c>
      <c r="AX427" s="66">
        <f ca="1">SUM(INDIRECT(AX$1&amp;AX$2&amp;$A427):INDIRECT(AX$1&amp;AX$3&amp;$A427))+SUM(INDIRECT(AX$1&amp;AX$2&amp;$B427):INDIRECT(AX$1&amp;AX$3&amp;$B427))</f>
        <v>249903.83752131817</v>
      </c>
      <c r="AY427" s="1261">
        <f t="shared" ca="1" si="844"/>
        <v>8535.0802681137575</v>
      </c>
      <c r="AZ427" s="1262">
        <f t="shared" ca="1" si="845"/>
        <v>1.0341534581972383</v>
      </c>
      <c r="BB427" s="66">
        <f ca="1">SUM((INDIRECT(BB$2&amp;(ROW())):INDIRECT(BB$3&amp;(ROW()))))</f>
        <v>1198528.0487162264</v>
      </c>
      <c r="BC427" s="66">
        <f ca="1">SUM(INDIRECT(BC$1&amp;BC$2&amp;$C427):INDIRECT(BC$1&amp;BC$3&amp;$C427))</f>
        <v>0</v>
      </c>
      <c r="BD427" s="1261">
        <f t="shared" ca="1" si="846"/>
        <v>1198528.0487162264</v>
      </c>
      <c r="BE427" s="1262">
        <f t="shared" ca="1" si="847"/>
        <v>0</v>
      </c>
      <c r="BF427" s="66">
        <f ca="1">SUM(INDIRECT(BF$1&amp;BF$2&amp;$A427):INDIRECT(BF$1&amp;BF$3&amp;$A427))+SUM(INDIRECT(BF$1&amp;BF$2&amp;$B427):INDIRECT(BF$1&amp;BF$3&amp;$B427))</f>
        <v>1057556.8375213181</v>
      </c>
      <c r="BG427" s="1261">
        <f t="shared" ca="1" si="848"/>
        <v>140971.21119490825</v>
      </c>
      <c r="BH427" s="1262">
        <f t="shared" ca="1" si="849"/>
        <v>1.1332989454498861</v>
      </c>
    </row>
    <row r="428" spans="1:60" ht="14.5">
      <c r="A428" s="990">
        <f t="shared" si="800"/>
        <v>379</v>
      </c>
      <c r="B428" s="990">
        <v>1</v>
      </c>
      <c r="C428" s="990">
        <f t="shared" si="776"/>
        <v>425</v>
      </c>
      <c r="D428" s="1121" t="s">
        <v>887</v>
      </c>
      <c r="E428" s="1255">
        <v>1</v>
      </c>
      <c r="F428" s="9"/>
      <c r="G428" s="1241"/>
      <c r="K428" s="1122" t="s">
        <v>892</v>
      </c>
      <c r="L428" s="792"/>
      <c r="M428" s="792"/>
      <c r="N428" s="792"/>
      <c r="O428" s="792"/>
      <c r="P428" s="792"/>
      <c r="Q428" s="1869" t="str">
        <f>CHOOSE(2, "6722000003347", "S/GP Office (1) Office")</f>
        <v>S/GP Office (1) Office</v>
      </c>
      <c r="R428" s="2068">
        <f>SUM(R429:R430)</f>
        <v>55371.654876761728</v>
      </c>
      <c r="S428" s="2068">
        <f t="shared" ref="S428:AC428" si="855">SUM(S429:S430)</f>
        <v>51065.781749495058</v>
      </c>
      <c r="T428" s="2068">
        <f t="shared" si="855"/>
        <v>57825.093540299531</v>
      </c>
      <c r="U428" s="2068">
        <f t="shared" si="855"/>
        <v>54730.75411129056</v>
      </c>
      <c r="V428" s="2068">
        <f t="shared" si="855"/>
        <v>61366.723091524465</v>
      </c>
      <c r="W428" s="2068">
        <f t="shared" si="855"/>
        <v>54133.565804311962</v>
      </c>
      <c r="X428" s="2163">
        <f t="shared" si="855"/>
        <v>70453.494490669866</v>
      </c>
      <c r="Y428" s="2163">
        <f t="shared" si="855"/>
        <v>55028.165540691596</v>
      </c>
      <c r="Z428" s="2163">
        <f t="shared" si="855"/>
        <v>78120.228639599794</v>
      </c>
      <c r="AA428" s="2164">
        <f t="shared" si="855"/>
        <v>72517.604514694103</v>
      </c>
      <c r="AB428" s="2164">
        <f t="shared" si="855"/>
        <v>62177.614876062995</v>
      </c>
      <c r="AC428" s="2164">
        <f t="shared" si="855"/>
        <v>75419.044609848192</v>
      </c>
      <c r="AD428" s="1530">
        <f t="shared" ref="AD428" si="856">SUM(AD429:AD430)</f>
        <v>164262.5301665563</v>
      </c>
      <c r="AE428" s="1125">
        <f t="shared" ref="AE428" si="857">SUM(AE429:AE430)</f>
        <v>170231.04300712698</v>
      </c>
      <c r="AF428" s="1125">
        <f t="shared" ref="AF428" si="858">SUM(AF429:AF430)</f>
        <v>203601.88867096126</v>
      </c>
      <c r="AG428" s="1125">
        <f t="shared" ref="AG428" si="859">SUM(AG429:AG430)</f>
        <v>210114.2640006053</v>
      </c>
      <c r="AH428" s="1125">
        <f t="shared" ref="AH428" si="860">SUM(AH429:AH430)</f>
        <v>334493.57317368331</v>
      </c>
      <c r="AI428" s="1125">
        <f t="shared" ref="AI428" si="861">SUM(AI429:AI430)</f>
        <v>413716.15267156658</v>
      </c>
      <c r="AJ428" s="1125">
        <f t="shared" ref="AJ428" si="862">SUM(AJ429:AJ430)</f>
        <v>748209.72584524984</v>
      </c>
      <c r="AL428" s="2068">
        <f ca="1">SUM((INDIRECT(AL$2&amp;(ROW())):INDIRECT(AL$3&amp;(ROW()))))</f>
        <v>75419.044609848192</v>
      </c>
      <c r="AM428" s="2068">
        <f ca="1">SUM(INDIRECT(AM$1&amp;AM$2&amp;$C428):INDIRECT(AM$1&amp;AM$3&amp;$C428))</f>
        <v>0</v>
      </c>
      <c r="AN428" s="2532">
        <f t="shared" ca="1" si="838"/>
        <v>75419.044609848192</v>
      </c>
      <c r="AO428" s="2533">
        <f t="shared" ca="1" si="839"/>
        <v>0</v>
      </c>
      <c r="AP428" s="2068">
        <f ca="1">SUM(INDIRECT(AP$1&amp;AP$2&amp;$A428):INDIRECT(AP$1&amp;AP$3&amp;$A428))+SUM(INDIRECT(AP$1&amp;AP$2&amp;$B428):INDIRECT(AP$1&amp;AP$3&amp;$B428))</f>
        <v>65602.6662293564</v>
      </c>
      <c r="AQ428" s="2532">
        <f t="shared" ca="1" si="840"/>
        <v>9816.3783804917912</v>
      </c>
      <c r="AR428" s="2533">
        <f t="shared" ca="1" si="841"/>
        <v>1.149633832658147</v>
      </c>
      <c r="AT428" s="2068">
        <f ca="1">SUM((INDIRECT(AT$2&amp;(ROW())):INDIRECT(AT$3&amp;(ROW()))))</f>
        <v>210114.26400060527</v>
      </c>
      <c r="AU428" s="2068">
        <f ca="1">SUM(INDIRECT(AU$1&amp;AU$2&amp;$C428):INDIRECT(AU$1&amp;AU$3&amp;$C428))</f>
        <v>0</v>
      </c>
      <c r="AV428" s="2532">
        <f t="shared" ca="1" si="842"/>
        <v>210114.26400060527</v>
      </c>
      <c r="AW428" s="2533">
        <f t="shared" ca="1" si="843"/>
        <v>0</v>
      </c>
      <c r="AX428" s="2068">
        <f ca="1">SUM(INDIRECT(AX$1&amp;AX$2&amp;$A428):INDIRECT(AX$1&amp;AX$3&amp;$A428))+SUM(INDIRECT(AX$1&amp;AX$2&amp;$B428):INDIRECT(AX$1&amp;AX$3&amp;$B428))</f>
        <v>144042.10374765983</v>
      </c>
      <c r="AY428" s="2532">
        <f t="shared" ca="1" si="844"/>
        <v>66072.160252945439</v>
      </c>
      <c r="AZ428" s="2533">
        <f t="shared" ca="1" si="845"/>
        <v>1.4587003281255455</v>
      </c>
      <c r="BB428" s="2068">
        <f ca="1">SUM((INDIRECT(BB$2&amp;(ROW())):INDIRECT(BB$3&amp;(ROW()))))</f>
        <v>748209.72584524972</v>
      </c>
      <c r="BC428" s="2068">
        <f ca="1">SUM(INDIRECT(BC$1&amp;BC$2&amp;$C428):INDIRECT(BC$1&amp;BC$3&amp;$C428))</f>
        <v>0</v>
      </c>
      <c r="BD428" s="2532">
        <f t="shared" ca="1" si="846"/>
        <v>748209.72584524972</v>
      </c>
      <c r="BE428" s="2533">
        <f t="shared" ca="1" si="847"/>
        <v>0</v>
      </c>
      <c r="BF428" s="2068">
        <f ca="1">SUM(INDIRECT(BF$1&amp;BF$2&amp;$A428):INDIRECT(BF$1&amp;BF$3&amp;$A428))+SUM(INDIRECT(BF$1&amp;BF$2&amp;$B428):INDIRECT(BF$1&amp;BF$3&amp;$B428))</f>
        <v>569856.10374765983</v>
      </c>
      <c r="BG428" s="2532">
        <f t="shared" ca="1" si="848"/>
        <v>178353.62209758989</v>
      </c>
      <c r="BH428" s="2533">
        <f t="shared" ca="1" si="849"/>
        <v>1.3129801030903185</v>
      </c>
    </row>
    <row r="429" spans="1:60" ht="14.5">
      <c r="A429" s="990">
        <f t="shared" si="800"/>
        <v>380</v>
      </c>
      <c r="B429" s="990">
        <v>1</v>
      </c>
      <c r="C429" s="990">
        <f t="shared" si="776"/>
        <v>426</v>
      </c>
      <c r="D429" s="1121" t="s">
        <v>887</v>
      </c>
      <c r="E429" s="1255">
        <v>1</v>
      </c>
      <c r="F429" s="9"/>
      <c r="G429" s="1241"/>
      <c r="K429" s="293"/>
      <c r="L429" s="40" t="s">
        <v>894</v>
      </c>
      <c r="Q429" s="1880" t="str">
        <f>CHOOSE(2, "6722000003348", "S/GP Office (1) Office Directly assigned")</f>
        <v>S/GP Office (1) Office Directly assigned</v>
      </c>
      <c r="R429" s="2097">
        <f t="shared" ref="R429:AC429" si="863">R91</f>
        <v>20047.31588891986</v>
      </c>
      <c r="S429" s="135">
        <f t="shared" si="863"/>
        <v>27988.396486893151</v>
      </c>
      <c r="T429" s="135">
        <f t="shared" si="863"/>
        <v>22673.291865933039</v>
      </c>
      <c r="U429" s="135">
        <f t="shared" si="863"/>
        <v>21997.591846306044</v>
      </c>
      <c r="V429" s="135">
        <f t="shared" si="863"/>
        <v>28671.985463392237</v>
      </c>
      <c r="W429" s="135">
        <f t="shared" si="863"/>
        <v>39348.655569556773</v>
      </c>
      <c r="X429" s="135">
        <f t="shared" si="863"/>
        <v>22618.91875601247</v>
      </c>
      <c r="Y429" s="135">
        <f t="shared" si="863"/>
        <v>20173.850332796337</v>
      </c>
      <c r="Z429" s="135">
        <f t="shared" si="863"/>
        <v>44820.748372608461</v>
      </c>
      <c r="AA429" s="135">
        <f t="shared" si="863"/>
        <v>19763.33526546248</v>
      </c>
      <c r="AB429" s="135">
        <f t="shared" si="863"/>
        <v>46450.394075289638</v>
      </c>
      <c r="AC429" s="135">
        <f t="shared" si="863"/>
        <v>42023.135441722596</v>
      </c>
      <c r="AD429" s="144">
        <f>SUM(R429,S429,T429)</f>
        <v>70709.00424174605</v>
      </c>
      <c r="AE429" s="145">
        <f t="shared" ref="AE429:AE430" si="864">SUM(U429,V429,W429)</f>
        <v>90018.232879255054</v>
      </c>
      <c r="AF429" s="145">
        <f t="shared" ref="AF429:AF430" si="865">SUM(X429,Y429,Z429)</f>
        <v>87613.517461417272</v>
      </c>
      <c r="AG429" s="145">
        <f t="shared" ref="AG429:AG430" si="866">SUM(AA429,AB429,AC429)</f>
        <v>108236.86478247472</v>
      </c>
      <c r="AH429" s="145">
        <f>AD429+AE429</f>
        <v>160727.23712100112</v>
      </c>
      <c r="AI429" s="145">
        <f>AG429+AF429</f>
        <v>195850.382243892</v>
      </c>
      <c r="AJ429" s="145">
        <f>AH429+AI429</f>
        <v>356577.61936489312</v>
      </c>
      <c r="AL429" s="41">
        <f ca="1">SUM((INDIRECT(AL$2&amp;(ROW())):INDIRECT(AL$3&amp;(ROW()))))</f>
        <v>42023.135441722596</v>
      </c>
      <c r="AM429" s="41">
        <f ca="1">SUM(INDIRECT(AM$1&amp;AM$2&amp;$C429):INDIRECT(AM$1&amp;AM$3&amp;$C429))</f>
        <v>0</v>
      </c>
      <c r="AN429" s="1259">
        <f t="shared" ca="1" si="838"/>
        <v>42023.135441722596</v>
      </c>
      <c r="AO429" s="1260">
        <f t="shared" ca="1" si="839"/>
        <v>0</v>
      </c>
      <c r="AP429" s="41">
        <f ca="1">SUM(INDIRECT(AP$1&amp;AP$2&amp;$A429):INDIRECT(AP$1&amp;AP$3&amp;$A429))+SUM(INDIRECT(AP$1&amp;AP$2&amp;$B429):INDIRECT(AP$1&amp;AP$3&amp;$B429))</f>
        <v>21713</v>
      </c>
      <c r="AQ429" s="1259">
        <f t="shared" ca="1" si="840"/>
        <v>20310.135441722596</v>
      </c>
      <c r="AR429" s="1260">
        <f t="shared" ca="1" si="841"/>
        <v>1.9353905697841198</v>
      </c>
      <c r="AT429" s="41">
        <f ca="1">SUM((INDIRECT(AT$2&amp;(ROW())):INDIRECT(AT$3&amp;(ROW()))))</f>
        <v>108236.86478247472</v>
      </c>
      <c r="AU429" s="41">
        <f ca="1">SUM(INDIRECT(AU$1&amp;AU$2&amp;$C429):INDIRECT(AU$1&amp;AU$3&amp;$C429))</f>
        <v>0</v>
      </c>
      <c r="AV429" s="1259">
        <f t="shared" ca="1" si="842"/>
        <v>108236.86478247472</v>
      </c>
      <c r="AW429" s="1260">
        <f t="shared" ca="1" si="843"/>
        <v>0</v>
      </c>
      <c r="AX429" s="41">
        <f ca="1">SUM(INDIRECT(AX$1&amp;AX$2&amp;$A429):INDIRECT(AX$1&amp;AX$3&amp;$A429))+SUM(INDIRECT(AX$1&amp;AX$2&amp;$B429):INDIRECT(AX$1&amp;AX$3&amp;$B429))</f>
        <v>66307</v>
      </c>
      <c r="AY429" s="1259">
        <f t="shared" ca="1" si="844"/>
        <v>41929.864782474717</v>
      </c>
      <c r="AZ429" s="1260">
        <f t="shared" ca="1" si="845"/>
        <v>1.632359551517558</v>
      </c>
      <c r="BB429" s="41">
        <f ca="1">SUM((INDIRECT(BB$2&amp;(ROW())):INDIRECT(BB$3&amp;(ROW()))))</f>
        <v>356577.61936489306</v>
      </c>
      <c r="BC429" s="41">
        <f ca="1">SUM(INDIRECT(BC$1&amp;BC$2&amp;$C429):INDIRECT(BC$1&amp;BC$3&amp;$C429))</f>
        <v>0</v>
      </c>
      <c r="BD429" s="1259">
        <f t="shared" ca="1" si="846"/>
        <v>356577.61936489306</v>
      </c>
      <c r="BE429" s="1260">
        <f t="shared" ca="1" si="847"/>
        <v>0</v>
      </c>
      <c r="BF429" s="41">
        <f ca="1">SUM(INDIRECT(BF$1&amp;BF$2&amp;$A429):INDIRECT(BF$1&amp;BF$3&amp;$A429))+SUM(INDIRECT(BF$1&amp;BF$2&amp;$B429):INDIRECT(BF$1&amp;BF$3&amp;$B429))</f>
        <v>244076</v>
      </c>
      <c r="BG429" s="1259">
        <f t="shared" ca="1" si="848"/>
        <v>112501.61936489306</v>
      </c>
      <c r="BH429" s="1260">
        <f t="shared" ca="1" si="849"/>
        <v>1.460928642574006</v>
      </c>
    </row>
    <row r="430" spans="1:60" ht="14.5">
      <c r="A430" s="990">
        <f t="shared" si="800"/>
        <v>381</v>
      </c>
      <c r="B430" s="990">
        <v>1</v>
      </c>
      <c r="C430" s="990">
        <f t="shared" si="776"/>
        <v>427</v>
      </c>
      <c r="D430" s="1121" t="s">
        <v>887</v>
      </c>
      <c r="E430" s="1255">
        <v>1</v>
      </c>
      <c r="F430" s="9"/>
      <c r="G430" s="1241"/>
      <c r="K430" s="293"/>
      <c r="L430" s="40" t="s">
        <v>895</v>
      </c>
      <c r="Q430" s="1880" t="str">
        <f>CHOOSE(2, "6722000003349", "S/GP Office (1) Office Allocation cost")</f>
        <v>S/GP Office (1) Office Allocation cost</v>
      </c>
      <c r="R430" s="2097">
        <f t="shared" ref="R430:AC430" si="867">R95</f>
        <v>35324.338987841867</v>
      </c>
      <c r="S430" s="135">
        <f t="shared" si="867"/>
        <v>23077.385262601903</v>
      </c>
      <c r="T430" s="135">
        <f t="shared" si="867"/>
        <v>35151.801674366492</v>
      </c>
      <c r="U430" s="135">
        <f t="shared" si="867"/>
        <v>32733.162264984516</v>
      </c>
      <c r="V430" s="135">
        <f t="shared" si="867"/>
        <v>32694.737628132229</v>
      </c>
      <c r="W430" s="135">
        <f t="shared" si="867"/>
        <v>14784.910234755189</v>
      </c>
      <c r="X430" s="135">
        <f t="shared" si="867"/>
        <v>47834.575734657403</v>
      </c>
      <c r="Y430" s="135">
        <f t="shared" si="867"/>
        <v>34854.315207895255</v>
      </c>
      <c r="Z430" s="135">
        <f t="shared" si="867"/>
        <v>33299.480266991333</v>
      </c>
      <c r="AA430" s="135">
        <f t="shared" si="867"/>
        <v>52754.269249231627</v>
      </c>
      <c r="AB430" s="135">
        <f t="shared" si="867"/>
        <v>15727.220800773355</v>
      </c>
      <c r="AC430" s="135">
        <f t="shared" si="867"/>
        <v>33395.909168125596</v>
      </c>
      <c r="AD430" s="144">
        <f>SUM(R430,S430,T430)</f>
        <v>93553.525924810267</v>
      </c>
      <c r="AE430" s="145">
        <f t="shared" si="864"/>
        <v>80212.810127871926</v>
      </c>
      <c r="AF430" s="145">
        <f t="shared" si="865"/>
        <v>115988.37120954398</v>
      </c>
      <c r="AG430" s="145">
        <f t="shared" si="866"/>
        <v>101877.39921813058</v>
      </c>
      <c r="AH430" s="145">
        <f>AD430+AE430</f>
        <v>173766.33605268219</v>
      </c>
      <c r="AI430" s="145">
        <f>AG430+AF430</f>
        <v>217865.77042767458</v>
      </c>
      <c r="AJ430" s="145">
        <f>AH430+AI430</f>
        <v>391632.10648035677</v>
      </c>
      <c r="AL430" s="41">
        <f ca="1">SUM((INDIRECT(AL$2&amp;(ROW())):INDIRECT(AL$3&amp;(ROW()))))</f>
        <v>33395.909168125596</v>
      </c>
      <c r="AM430" s="41">
        <f ca="1">SUM(INDIRECT(AM$1&amp;AM$2&amp;$C430):INDIRECT(AM$1&amp;AM$3&amp;$C430))</f>
        <v>0</v>
      </c>
      <c r="AN430" s="1259">
        <f t="shared" ca="1" si="838"/>
        <v>33395.909168125596</v>
      </c>
      <c r="AO430" s="1260">
        <f t="shared" ca="1" si="839"/>
        <v>0</v>
      </c>
      <c r="AP430" s="41">
        <f ca="1">SUM(INDIRECT(AP$1&amp;AP$2&amp;$A430):INDIRECT(AP$1&amp;AP$3&amp;$A430))+SUM(INDIRECT(AP$1&amp;AP$2&amp;$B430):INDIRECT(AP$1&amp;AP$3&amp;$B430))</f>
        <v>43889.6662293564</v>
      </c>
      <c r="AQ430" s="1259">
        <f t="shared" ca="1" si="840"/>
        <v>-10493.757061230805</v>
      </c>
      <c r="AR430" s="1260">
        <f t="shared" ca="1" si="841"/>
        <v>0.76090597257238046</v>
      </c>
      <c r="AT430" s="41">
        <f ca="1">SUM((INDIRECT(AT$2&amp;(ROW())):INDIRECT(AT$3&amp;(ROW()))))</f>
        <v>101877.39921813058</v>
      </c>
      <c r="AU430" s="41">
        <f ca="1">SUM(INDIRECT(AU$1&amp;AU$2&amp;$C430):INDIRECT(AU$1&amp;AU$3&amp;$C430))</f>
        <v>0</v>
      </c>
      <c r="AV430" s="1259">
        <f t="shared" ca="1" si="842"/>
        <v>101877.39921813058</v>
      </c>
      <c r="AW430" s="1260">
        <f t="shared" ca="1" si="843"/>
        <v>0</v>
      </c>
      <c r="AX430" s="41">
        <f ca="1">SUM(INDIRECT(AX$1&amp;AX$2&amp;$A430):INDIRECT(AX$1&amp;AX$3&amp;$A430))+SUM(INDIRECT(AX$1&amp;AX$2&amp;$B430):INDIRECT(AX$1&amp;AX$3&amp;$B430))</f>
        <v>77735.103747659814</v>
      </c>
      <c r="AY430" s="1259">
        <f t="shared" ca="1" si="844"/>
        <v>24142.295470470766</v>
      </c>
      <c r="AZ430" s="1260">
        <f t="shared" ca="1" si="845"/>
        <v>1.3105713417305056</v>
      </c>
      <c r="BB430" s="41">
        <f ca="1">SUM((INDIRECT(BB$2&amp;(ROW())):INDIRECT(BB$3&amp;(ROW()))))</f>
        <v>391632.10648035671</v>
      </c>
      <c r="BC430" s="41">
        <f ca="1">SUM(INDIRECT(BC$1&amp;BC$2&amp;$C430):INDIRECT(BC$1&amp;BC$3&amp;$C430))</f>
        <v>0</v>
      </c>
      <c r="BD430" s="1259">
        <f t="shared" ca="1" si="846"/>
        <v>391632.10648035671</v>
      </c>
      <c r="BE430" s="1260">
        <f t="shared" ca="1" si="847"/>
        <v>0</v>
      </c>
      <c r="BF430" s="41">
        <f ca="1">SUM(INDIRECT(BF$1&amp;BF$2&amp;$A430):INDIRECT(BF$1&amp;BF$3&amp;$A430))+SUM(INDIRECT(BF$1&amp;BF$2&amp;$B430):INDIRECT(BF$1&amp;BF$3&amp;$B430))</f>
        <v>325780.10374765983</v>
      </c>
      <c r="BG430" s="1259">
        <f t="shared" ca="1" si="848"/>
        <v>65852.002732696885</v>
      </c>
      <c r="BH430" s="1260">
        <f t="shared" ca="1" si="849"/>
        <v>1.2021363550909296</v>
      </c>
    </row>
    <row r="431" spans="1:60" ht="14.5">
      <c r="A431" s="990">
        <f t="shared" si="800"/>
        <v>382</v>
      </c>
      <c r="B431" s="990">
        <v>1</v>
      </c>
      <c r="C431" s="990">
        <f t="shared" si="776"/>
        <v>428</v>
      </c>
      <c r="D431" s="1121" t="s">
        <v>887</v>
      </c>
      <c r="E431" s="1255">
        <v>1</v>
      </c>
      <c r="F431" s="9"/>
      <c r="G431" s="1241"/>
      <c r="K431" s="1123"/>
      <c r="L431" s="1257" t="s">
        <v>896</v>
      </c>
      <c r="M431" s="12"/>
      <c r="N431" s="12"/>
      <c r="O431" s="12"/>
      <c r="P431" s="12"/>
      <c r="Q431" s="1850" t="str">
        <f>CHOOSE(2, "6722000003350", "S/GP Office (1) Office Allocation rate to Office (%)")</f>
        <v>S/GP Office (1) Office Allocation rate to Office (%)</v>
      </c>
      <c r="R431" s="2187">
        <f>IFERROR(R430/R427,0)</f>
        <v>0.31133270804391594</v>
      </c>
      <c r="S431" s="2187">
        <f t="shared" ref="S431:U431" si="868">IFERROR(S430/S427,0)</f>
        <v>0.30025090598260118</v>
      </c>
      <c r="T431" s="2187">
        <f t="shared" si="868"/>
        <v>0.31141097852724886</v>
      </c>
      <c r="U431" s="2187">
        <f t="shared" si="868"/>
        <v>0.30879087962902235</v>
      </c>
      <c r="V431" s="2187">
        <f t="shared" ref="V431" si="869">IFERROR(V430/V427,0)</f>
        <v>0.30791780854746414</v>
      </c>
      <c r="W431" s="2187">
        <f t="shared" ref="W431" si="870">IFERROR(W430/W427,0)</f>
        <v>0.30791592898514969</v>
      </c>
      <c r="X431" s="2187">
        <f t="shared" ref="X431" si="871">IFERROR(X430/X427,0)</f>
        <v>0.30791812411357894</v>
      </c>
      <c r="Y431" s="2187">
        <f t="shared" ref="Y431" si="872">IFERROR(Y430/Y427,0)</f>
        <v>0.30791439663539188</v>
      </c>
      <c r="Z431" s="2187">
        <f t="shared" ref="Z431" si="873">IFERROR(Z430/Z427,0)</f>
        <v>0.30791702034842688</v>
      </c>
      <c r="AA431" s="2187">
        <f t="shared" ref="AA431" si="874">IFERROR(AA430/AA427,0)</f>
        <v>0.37816569656021842</v>
      </c>
      <c r="AB431" s="2187">
        <f t="shared" ref="AB431" si="875">IFERROR(AB430/AB427,0)</f>
        <v>0.30791457759737079</v>
      </c>
      <c r="AC431" s="2187">
        <f t="shared" ref="AC431" si="876">IFERROR(AC430/AC427,0)</f>
        <v>0.49211546507267895</v>
      </c>
      <c r="AD431" s="1138">
        <f t="shared" ref="AD431:AJ431" si="877">IFERROR(AD430/AD$427,0)</f>
        <v>0.30855265310020785</v>
      </c>
      <c r="AE431" s="1138">
        <f t="shared" si="877"/>
        <v>0.3082731463056691</v>
      </c>
      <c r="AF431" s="1138">
        <f t="shared" si="877"/>
        <v>0.30791668712096948</v>
      </c>
      <c r="AG431" s="1138">
        <f t="shared" si="877"/>
        <v>0.39420300970745104</v>
      </c>
      <c r="AH431" s="1138">
        <f t="shared" si="877"/>
        <v>0.30842356615705718</v>
      </c>
      <c r="AI431" s="1138">
        <f t="shared" si="877"/>
        <v>0.34302740324580477</v>
      </c>
      <c r="AJ431" s="1138">
        <f t="shared" si="877"/>
        <v>0.32676090217483339</v>
      </c>
      <c r="AL431" s="2187">
        <f ca="1">IFERROR(AL430/AL$424,0)</f>
        <v>0</v>
      </c>
      <c r="AM431" s="1138">
        <f ca="1">IFERROR(AM430/AM$424,0)</f>
        <v>0</v>
      </c>
      <c r="AN431" s="1261">
        <f t="shared" ca="1" si="838"/>
        <v>0</v>
      </c>
      <c r="AO431" s="1262"/>
      <c r="AP431" s="1138">
        <f ca="1">IFERROR(AP430/AP$424,0)</f>
        <v>0</v>
      </c>
      <c r="AQ431" s="1261">
        <f t="shared" ca="1" si="840"/>
        <v>0</v>
      </c>
      <c r="AR431" s="1262"/>
      <c r="AT431" s="2187">
        <f ca="1">IFERROR(AT430/AT$424,0)</f>
        <v>0</v>
      </c>
      <c r="AU431" s="1138">
        <f ca="1">IFERROR(AU430/AU$424,0)</f>
        <v>0</v>
      </c>
      <c r="AV431" s="1261">
        <f t="shared" ca="1" si="842"/>
        <v>0</v>
      </c>
      <c r="AW431" s="1262"/>
      <c r="AX431" s="1138">
        <f ca="1">IFERROR(AX430/AX$424,0)</f>
        <v>0</v>
      </c>
      <c r="AY431" s="1261">
        <f t="shared" ca="1" si="844"/>
        <v>0</v>
      </c>
      <c r="AZ431" s="1262"/>
      <c r="BB431" s="2187">
        <f ca="1">IFERROR(BB430/BB$424,0)</f>
        <v>0</v>
      </c>
      <c r="BC431" s="1138">
        <f ca="1">IFERROR(BC430/BC$424,0)</f>
        <v>0</v>
      </c>
      <c r="BD431" s="1261">
        <f t="shared" ca="1" si="846"/>
        <v>0</v>
      </c>
      <c r="BE431" s="1262"/>
      <c r="BF431" s="1138">
        <f ca="1">IFERROR(BF430/BF$424,0)</f>
        <v>0</v>
      </c>
      <c r="BG431" s="1261">
        <f t="shared" ca="1" si="848"/>
        <v>0</v>
      </c>
      <c r="BH431" s="1262"/>
    </row>
    <row r="432" spans="1:60" ht="14.5">
      <c r="A432" s="990">
        <f t="shared" si="800"/>
        <v>383</v>
      </c>
      <c r="B432" s="990">
        <v>1</v>
      </c>
      <c r="C432" s="990">
        <f t="shared" si="776"/>
        <v>429</v>
      </c>
      <c r="D432" s="1121" t="s">
        <v>887</v>
      </c>
      <c r="E432" s="1255">
        <v>1</v>
      </c>
      <c r="F432" s="9"/>
      <c r="G432" s="1241"/>
      <c r="K432" s="1131" t="s">
        <v>481</v>
      </c>
      <c r="L432" s="804"/>
      <c r="M432" s="805"/>
      <c r="N432" s="805"/>
      <c r="O432" s="805"/>
      <c r="P432" s="805"/>
      <c r="Q432" s="1870" t="str">
        <f>CHOOSE(2, "6722000003351", "S/GP Office (2) PP")</f>
        <v>S/GP Office (2) PP</v>
      </c>
      <c r="R432" s="2067">
        <f>SUM(R433:R434)</f>
        <v>102832.43428717846</v>
      </c>
      <c r="S432" s="2067">
        <f t="shared" ref="S432:AC432" si="878">SUM(S433:S434)</f>
        <v>96374.58726737916</v>
      </c>
      <c r="T432" s="2067">
        <f t="shared" si="878"/>
        <v>105341.5652643849</v>
      </c>
      <c r="U432" s="2067">
        <f t="shared" si="878"/>
        <v>109581.6021147548</v>
      </c>
      <c r="V432" s="2067">
        <f t="shared" si="878"/>
        <v>125972.05612566469</v>
      </c>
      <c r="W432" s="2067">
        <f t="shared" si="878"/>
        <v>71051.648915335623</v>
      </c>
      <c r="X432" s="2051">
        <f t="shared" si="878"/>
        <v>140996.27414251596</v>
      </c>
      <c r="Y432" s="2051">
        <f t="shared" si="878"/>
        <v>114873.50444027773</v>
      </c>
      <c r="Z432" s="2051">
        <f t="shared" si="878"/>
        <v>105330.84492900592</v>
      </c>
      <c r="AA432" s="2165">
        <f t="shared" si="878"/>
        <v>143279.34918475087</v>
      </c>
      <c r="AB432" s="2165">
        <f t="shared" si="878"/>
        <v>102245.23734156511</v>
      </c>
      <c r="AC432" s="2165">
        <f t="shared" si="878"/>
        <v>42686.185673351632</v>
      </c>
      <c r="AD432" s="1531">
        <f t="shared" ref="AD432" si="879">SUM(AD433:AD434)</f>
        <v>304548.58681894251</v>
      </c>
      <c r="AE432" s="1126">
        <f t="shared" ref="AE432" si="880">SUM(AE433:AE434)</f>
        <v>306605.30715575512</v>
      </c>
      <c r="AF432" s="1126">
        <f t="shared" ref="AF432" si="881">SUM(AF433:AF434)</f>
        <v>361200.62351179961</v>
      </c>
      <c r="AG432" s="1126">
        <f t="shared" ref="AG432" si="882">SUM(AG433:AG434)</f>
        <v>288210.77219966764</v>
      </c>
      <c r="AH432" s="1126">
        <f t="shared" ref="AH432" si="883">SUM(AH433:AH434)</f>
        <v>611153.89397469757</v>
      </c>
      <c r="AI432" s="1126">
        <f t="shared" ref="AI432" si="884">SUM(AI433:AI434)</f>
        <v>649411.39571146725</v>
      </c>
      <c r="AJ432" s="1126">
        <f t="shared" ref="AJ432" si="885">SUM(AJ433:AJ434)</f>
        <v>1260565.2896861648</v>
      </c>
      <c r="AL432" s="1263">
        <f ca="1">SUM((INDIRECT(AL$2&amp;(ROW())):INDIRECT(AL$3&amp;(ROW()))))</f>
        <v>42686.185673351632</v>
      </c>
      <c r="AM432" s="1263">
        <f ca="1">SUM(INDIRECT(AM$1&amp;AM$2&amp;$C432):INDIRECT(AM$1&amp;AM$3&amp;$C432))</f>
        <v>0</v>
      </c>
      <c r="AN432" s="1264">
        <f t="shared" ca="1" si="838"/>
        <v>42686.185673351632</v>
      </c>
      <c r="AO432" s="1265">
        <f ca="1">IFERROR(AL432/AM432,0)</f>
        <v>0</v>
      </c>
      <c r="AP432" s="1263">
        <f ca="1">SUM(INDIRECT(AP$1&amp;AP$2&amp;$A432):INDIRECT(AP$1&amp;AP$3&amp;$A432))+SUM(INDIRECT(AP$1&amp;AP$2&amp;$B432):INDIRECT(AP$1&amp;AP$3&amp;$B432))</f>
        <v>130704.58800697146</v>
      </c>
      <c r="AQ432" s="1264">
        <f t="shared" ca="1" si="840"/>
        <v>-88018.40233361983</v>
      </c>
      <c r="AR432" s="1265">
        <f ca="1">IFERROR(AL432/AP432,0)</f>
        <v>0.3265852126864503</v>
      </c>
      <c r="AT432" s="1263">
        <f ca="1">SUM((INDIRECT(AT$2&amp;(ROW())):INDIRECT(AT$3&amp;(ROW()))))</f>
        <v>288210.77219966764</v>
      </c>
      <c r="AU432" s="1263">
        <f ca="1">SUM(INDIRECT(AU$1&amp;AU$2&amp;$C432):INDIRECT(AU$1&amp;AU$3&amp;$C432))</f>
        <v>0</v>
      </c>
      <c r="AV432" s="1264">
        <f t="shared" ca="1" si="842"/>
        <v>288210.77219966764</v>
      </c>
      <c r="AW432" s="1265">
        <f ca="1">IFERROR(AT432/AU432,0)</f>
        <v>0</v>
      </c>
      <c r="AX432" s="1263">
        <f ca="1">SUM(INDIRECT(AX$1&amp;AX$2&amp;$A432):INDIRECT(AX$1&amp;AX$3&amp;$A432))+SUM(INDIRECT(AX$1&amp;AX$2&amp;$B432):INDIRECT(AX$1&amp;AX$3&amp;$B432))</f>
        <v>270877.80919339368</v>
      </c>
      <c r="AY432" s="1264">
        <f t="shared" ca="1" si="844"/>
        <v>17332.96300627396</v>
      </c>
      <c r="AZ432" s="1265">
        <f ca="1">IFERROR(AT432/AX432,0)</f>
        <v>1.0639881246008567</v>
      </c>
      <c r="BB432" s="1263">
        <f ca="1">SUM((INDIRECT(BB$2&amp;(ROW())):INDIRECT(BB$3&amp;(ROW()))))</f>
        <v>1260565.2896861648</v>
      </c>
      <c r="BC432" s="1263">
        <f ca="1">SUM(INDIRECT(BC$1&amp;BC$2&amp;$C432):INDIRECT(BC$1&amp;BC$3&amp;$C432))</f>
        <v>0</v>
      </c>
      <c r="BD432" s="1264">
        <f t="shared" ca="1" si="846"/>
        <v>1260565.2896861648</v>
      </c>
      <c r="BE432" s="1265">
        <f ca="1">IFERROR(BB432/BC432,0)</f>
        <v>0</v>
      </c>
      <c r="BF432" s="1263">
        <f ca="1">SUM(INDIRECT(BF$1&amp;BF$2&amp;$A432):INDIRECT(BF$1&amp;BF$3&amp;$A432))+SUM(INDIRECT(BF$1&amp;BF$2&amp;$B432):INDIRECT(BF$1&amp;BF$3&amp;$B432))</f>
        <v>1065045.8091933937</v>
      </c>
      <c r="BG432" s="1264">
        <f t="shared" ca="1" si="848"/>
        <v>195519.48049277114</v>
      </c>
      <c r="BH432" s="1265">
        <f ca="1">IFERROR(BB432/BF432,0)</f>
        <v>1.1835784703390801</v>
      </c>
    </row>
    <row r="433" spans="1:60" ht="14.5">
      <c r="A433" s="990">
        <f t="shared" si="800"/>
        <v>384</v>
      </c>
      <c r="B433" s="990">
        <v>1</v>
      </c>
      <c r="C433" s="990">
        <f t="shared" si="776"/>
        <v>430</v>
      </c>
      <c r="D433" s="1121" t="s">
        <v>887</v>
      </c>
      <c r="E433" s="1255">
        <v>1</v>
      </c>
      <c r="F433" s="9"/>
      <c r="G433" s="1241"/>
      <c r="K433" s="293"/>
      <c r="L433" s="40" t="s">
        <v>894</v>
      </c>
      <c r="Q433" s="1880" t="str">
        <f>CHOOSE(2, "6722000003352", "S/GP Office (2) PP Directly assigned")</f>
        <v>S/GP Office (2) PP Directly assigned</v>
      </c>
      <c r="R433" s="2097">
        <f t="shared" ref="R433:AC433" si="886">R197</f>
        <v>25906.751600110965</v>
      </c>
      <c r="S433" s="135">
        <f t="shared" si="886"/>
        <v>42514.005882374753</v>
      </c>
      <c r="T433" s="135">
        <f t="shared" si="886"/>
        <v>27614.819935579719</v>
      </c>
      <c r="U433" s="135">
        <f t="shared" si="886"/>
        <v>36310.895494772398</v>
      </c>
      <c r="V433" s="135">
        <f t="shared" si="886"/>
        <v>52486.713483796935</v>
      </c>
      <c r="W433" s="135">
        <f t="shared" si="886"/>
        <v>37820.790576977706</v>
      </c>
      <c r="X433" s="135">
        <f t="shared" si="886"/>
        <v>33482.330217635972</v>
      </c>
      <c r="Y433" s="135">
        <f t="shared" si="886"/>
        <v>36533.592191137446</v>
      </c>
      <c r="Z433" s="135">
        <f t="shared" si="886"/>
        <v>30486.270702772414</v>
      </c>
      <c r="AA433" s="135">
        <f t="shared" si="886"/>
        <v>56534.47919335484</v>
      </c>
      <c r="AB433" s="135">
        <f t="shared" si="886"/>
        <v>66896.423031010767</v>
      </c>
      <c r="AC433" s="135">
        <f t="shared" si="886"/>
        <v>8220.1245751339466</v>
      </c>
      <c r="AD433" s="144">
        <f>SUM(R433,S433,T433)</f>
        <v>96035.577418065426</v>
      </c>
      <c r="AE433" s="145">
        <f t="shared" ref="AE433:AE434" si="887">SUM(U433,V433,W433)</f>
        <v>126618.39955554705</v>
      </c>
      <c r="AF433" s="145">
        <f t="shared" ref="AF433:AF434" si="888">SUM(X433,Y433,Z433)</f>
        <v>100502.19311154583</v>
      </c>
      <c r="AG433" s="145">
        <f t="shared" ref="AG433:AG434" si="889">SUM(AA433,AB433,AC433)</f>
        <v>131651.02679949955</v>
      </c>
      <c r="AH433" s="145">
        <f>AD433+AE433</f>
        <v>222653.97697361247</v>
      </c>
      <c r="AI433" s="145">
        <f>AG433+AF433</f>
        <v>232153.21991104539</v>
      </c>
      <c r="AJ433" s="145">
        <f>AH433+AI433</f>
        <v>454807.19688465784</v>
      </c>
      <c r="AL433" s="41">
        <f ca="1">SUM((INDIRECT(AL$2&amp;(ROW())):INDIRECT(AL$3&amp;(ROW()))))</f>
        <v>8220.1245751339466</v>
      </c>
      <c r="AM433" s="41">
        <f ca="1">SUM(INDIRECT(AM$1&amp;AM$2&amp;$C433):INDIRECT(AM$1&amp;AM$3&amp;$C433))</f>
        <v>0</v>
      </c>
      <c r="AN433" s="1259">
        <f t="shared" ca="1" si="838"/>
        <v>8220.1245751339466</v>
      </c>
      <c r="AO433" s="1260">
        <f ca="1">IFERROR(AL433/AM433,0)</f>
        <v>0</v>
      </c>
      <c r="AP433" s="41">
        <f ca="1">SUM(INDIRECT(AP$1&amp;AP$2&amp;$A433):INDIRECT(AP$1&amp;AP$3&amp;$A433))+SUM(INDIRECT(AP$1&amp;AP$2&amp;$B433):INDIRECT(AP$1&amp;AP$3&amp;$B433))</f>
        <v>34029</v>
      </c>
      <c r="AQ433" s="1259">
        <f t="shared" ca="1" si="840"/>
        <v>-25808.875424866055</v>
      </c>
      <c r="AR433" s="1260">
        <f ca="1">IFERROR(AL433/AP433,0)</f>
        <v>0.24156233139774741</v>
      </c>
      <c r="AT433" s="41">
        <f ca="1">SUM((INDIRECT(AT$2&amp;(ROW())):INDIRECT(AT$3&amp;(ROW()))))</f>
        <v>131651.02679949955</v>
      </c>
      <c r="AU433" s="41">
        <f ca="1">SUM(INDIRECT(AU$1&amp;AU$2&amp;$C433):INDIRECT(AU$1&amp;AU$3&amp;$C433))</f>
        <v>0</v>
      </c>
      <c r="AV433" s="1259">
        <f t="shared" ca="1" si="842"/>
        <v>131651.02679949955</v>
      </c>
      <c r="AW433" s="1260">
        <f ca="1">IFERROR(AT433/AU433,0)</f>
        <v>0</v>
      </c>
      <c r="AX433" s="41">
        <f ca="1">SUM(INDIRECT(AX$1&amp;AX$2&amp;$A433):INDIRECT(AX$1&amp;AX$3&amp;$A433))+SUM(INDIRECT(AX$1&amp;AX$2&amp;$B433):INDIRECT(AX$1&amp;AX$3&amp;$B433))</f>
        <v>98131</v>
      </c>
      <c r="AY433" s="1259">
        <f t="shared" ca="1" si="844"/>
        <v>33520.026799499552</v>
      </c>
      <c r="AZ433" s="1260">
        <f ca="1">IFERROR(AT433/AX433,0)</f>
        <v>1.3415844819628817</v>
      </c>
      <c r="BB433" s="41">
        <f ca="1">SUM((INDIRECT(BB$2&amp;(ROW())):INDIRECT(BB$3&amp;(ROW()))))</f>
        <v>454807.19688465784</v>
      </c>
      <c r="BC433" s="41">
        <f ca="1">SUM(INDIRECT(BC$1&amp;BC$2&amp;$C433):INDIRECT(BC$1&amp;BC$3&amp;$C433))</f>
        <v>0</v>
      </c>
      <c r="BD433" s="1259">
        <f t="shared" ca="1" si="846"/>
        <v>454807.19688465784</v>
      </c>
      <c r="BE433" s="1260">
        <f ca="1">IFERROR(BB433/BC433,0)</f>
        <v>0</v>
      </c>
      <c r="BF433" s="41">
        <f ca="1">SUM(INDIRECT(BF$1&amp;BF$2&amp;$A433):INDIRECT(BF$1&amp;BF$3&amp;$A433))+SUM(INDIRECT(BF$1&amp;BF$2&amp;$B433):INDIRECT(BF$1&amp;BF$3&amp;$B433))</f>
        <v>333337</v>
      </c>
      <c r="BG433" s="1259">
        <f t="shared" ca="1" si="848"/>
        <v>121470.19688465784</v>
      </c>
      <c r="BH433" s="1260">
        <f ca="1">IFERROR(BB433/BF433,0)</f>
        <v>1.3644065821815696</v>
      </c>
    </row>
    <row r="434" spans="1:60" ht="14.5">
      <c r="A434" s="990">
        <f t="shared" si="800"/>
        <v>385</v>
      </c>
      <c r="B434" s="990">
        <v>1</v>
      </c>
      <c r="C434" s="990">
        <f t="shared" si="776"/>
        <v>431</v>
      </c>
      <c r="D434" s="1121" t="s">
        <v>887</v>
      </c>
      <c r="E434" s="1255">
        <v>1</v>
      </c>
      <c r="F434" s="9"/>
      <c r="G434" s="1241"/>
      <c r="K434" s="293"/>
      <c r="L434" s="40" t="s">
        <v>895</v>
      </c>
      <c r="Q434" s="1880" t="str">
        <f>CHOOSE(2, "6722000003353", "S/GP Office (2) PP Allocation cost")</f>
        <v>S/GP Office (2) PP Allocation cost</v>
      </c>
      <c r="R434" s="2097">
        <f t="shared" ref="R434:AC434" si="890">R201</f>
        <v>76925.6826870675</v>
      </c>
      <c r="S434" s="135">
        <f t="shared" si="890"/>
        <v>53860.581385004407</v>
      </c>
      <c r="T434" s="135">
        <f t="shared" si="890"/>
        <v>77726.745328805177</v>
      </c>
      <c r="U434" s="135">
        <f t="shared" si="890"/>
        <v>73270.706619982404</v>
      </c>
      <c r="V434" s="135">
        <f t="shared" si="890"/>
        <v>73485.342641867755</v>
      </c>
      <c r="W434" s="135">
        <f t="shared" si="890"/>
        <v>33230.858338357924</v>
      </c>
      <c r="X434" s="135">
        <f t="shared" si="890"/>
        <v>107513.94392488</v>
      </c>
      <c r="Y434" s="135">
        <f t="shared" si="890"/>
        <v>78339.912249140281</v>
      </c>
      <c r="Z434" s="135">
        <f t="shared" si="890"/>
        <v>74844.574226233512</v>
      </c>
      <c r="AA434" s="135">
        <f t="shared" si="890"/>
        <v>86744.86999139603</v>
      </c>
      <c r="AB434" s="135">
        <f t="shared" si="890"/>
        <v>35348.81431055435</v>
      </c>
      <c r="AC434" s="135">
        <f t="shared" si="890"/>
        <v>34466.061098217688</v>
      </c>
      <c r="AD434" s="144">
        <f>SUM(R434,S434,T434)</f>
        <v>208513.00940087708</v>
      </c>
      <c r="AE434" s="145">
        <f t="shared" si="887"/>
        <v>179986.90760020807</v>
      </c>
      <c r="AF434" s="145">
        <f t="shared" si="888"/>
        <v>260698.4304002538</v>
      </c>
      <c r="AG434" s="145">
        <f t="shared" si="889"/>
        <v>156559.74540016806</v>
      </c>
      <c r="AH434" s="145">
        <f>AD434+AE434</f>
        <v>388499.91700108512</v>
      </c>
      <c r="AI434" s="145">
        <f>AG434+AF434</f>
        <v>417258.17580042186</v>
      </c>
      <c r="AJ434" s="145">
        <f>AH434+AI434</f>
        <v>805758.09280150698</v>
      </c>
      <c r="AL434" s="41">
        <f ca="1">SUM((INDIRECT(AL$2&amp;(ROW())):INDIRECT(AL$3&amp;(ROW()))))</f>
        <v>34466.061098217688</v>
      </c>
      <c r="AM434" s="41">
        <f ca="1">SUM(INDIRECT(AM$1&amp;AM$2&amp;$C434):INDIRECT(AM$1&amp;AM$3&amp;$C434))</f>
        <v>0</v>
      </c>
      <c r="AN434" s="1259">
        <f t="shared" ca="1" si="838"/>
        <v>34466.061098217688</v>
      </c>
      <c r="AO434" s="1260">
        <f ca="1">IFERROR(AL434/AM434,0)</f>
        <v>0</v>
      </c>
      <c r="AP434" s="41">
        <f ca="1">SUM(INDIRECT(AP$1&amp;AP$2&amp;$A434):INDIRECT(AP$1&amp;AP$3&amp;$A434))+SUM(INDIRECT(AP$1&amp;AP$2&amp;$B434):INDIRECT(AP$1&amp;AP$3&amp;$B434))</f>
        <v>96675.588006971462</v>
      </c>
      <c r="AQ434" s="1259">
        <f t="shared" ca="1" si="840"/>
        <v>-62209.526908753774</v>
      </c>
      <c r="AR434" s="1260">
        <f ca="1">IFERROR(AL434/AP434,0)</f>
        <v>0.35651255719005581</v>
      </c>
      <c r="AT434" s="41">
        <f ca="1">SUM((INDIRECT(AT$2&amp;(ROW())):INDIRECT(AT$3&amp;(ROW()))))</f>
        <v>156559.74540016806</v>
      </c>
      <c r="AU434" s="41">
        <f ca="1">SUM(INDIRECT(AU$1&amp;AU$2&amp;$C434):INDIRECT(AU$1&amp;AU$3&amp;$C434))</f>
        <v>0</v>
      </c>
      <c r="AV434" s="1259">
        <f t="shared" ca="1" si="842"/>
        <v>156559.74540016806</v>
      </c>
      <c r="AW434" s="1260">
        <f ca="1">IFERROR(AT434/AU434,0)</f>
        <v>0</v>
      </c>
      <c r="AX434" s="41">
        <f ca="1">SUM(INDIRECT(AX$1&amp;AX$2&amp;$A434):INDIRECT(AX$1&amp;AX$3&amp;$A434))+SUM(INDIRECT(AX$1&amp;AX$2&amp;$B434):INDIRECT(AX$1&amp;AX$3&amp;$B434))</f>
        <v>172746.80919339368</v>
      </c>
      <c r="AY434" s="1259">
        <f t="shared" ca="1" si="844"/>
        <v>-16187.063793225621</v>
      </c>
      <c r="AZ434" s="1260">
        <f ca="1">IFERROR(AT434/AX434,0)</f>
        <v>0.90629601861355447</v>
      </c>
      <c r="BB434" s="41">
        <f ca="1">SUM((INDIRECT(BB$2&amp;(ROW())):INDIRECT(BB$3&amp;(ROW()))))</f>
        <v>805758.09280150698</v>
      </c>
      <c r="BC434" s="41">
        <f ca="1">SUM(INDIRECT(BC$1&amp;BC$2&amp;$C434):INDIRECT(BC$1&amp;BC$3&amp;$C434))</f>
        <v>0</v>
      </c>
      <c r="BD434" s="1259">
        <f t="shared" ca="1" si="846"/>
        <v>805758.09280150698</v>
      </c>
      <c r="BE434" s="1260">
        <f ca="1">IFERROR(BB434/BC434,0)</f>
        <v>0</v>
      </c>
      <c r="BF434" s="41">
        <f ca="1">SUM(INDIRECT(BF$1&amp;BF$2&amp;$A434):INDIRECT(BF$1&amp;BF$3&amp;$A434))+SUM(INDIRECT(BF$1&amp;BF$2&amp;$B434):INDIRECT(BF$1&amp;BF$3&amp;$B434))</f>
        <v>731708.80919339368</v>
      </c>
      <c r="BG434" s="1259">
        <f t="shared" ca="1" si="848"/>
        <v>74049.283608113299</v>
      </c>
      <c r="BH434" s="1260">
        <f ca="1">IFERROR(BB434/BF434,0)</f>
        <v>1.1012004812265992</v>
      </c>
    </row>
    <row r="435" spans="1:60" ht="14.5">
      <c r="A435" s="990">
        <f t="shared" si="800"/>
        <v>386</v>
      </c>
      <c r="B435" s="990">
        <v>1</v>
      </c>
      <c r="C435" s="990">
        <f t="shared" si="776"/>
        <v>432</v>
      </c>
      <c r="D435" s="1121" t="s">
        <v>887</v>
      </c>
      <c r="E435" s="1255">
        <v>1</v>
      </c>
      <c r="F435" s="9"/>
      <c r="G435" s="1241"/>
      <c r="K435" s="1123"/>
      <c r="L435" s="1257" t="s">
        <v>947</v>
      </c>
      <c r="M435" s="12"/>
      <c r="N435" s="12"/>
      <c r="O435" s="12"/>
      <c r="P435" s="12"/>
      <c r="Q435" s="1850" t="str">
        <f>CHOOSE(2, "6722000003354", "S/GP Office (2) PP Allocation rate to PP (%)")</f>
        <v>S/GP Office (2) PP Allocation rate to PP (%)</v>
      </c>
      <c r="R435" s="2187">
        <f>IFERROR(R434/R427,0)</f>
        <v>0.67798808966629986</v>
      </c>
      <c r="S435" s="2187">
        <f t="shared" ref="S435:U435" si="891">IFERROR(S434/S427,0)</f>
        <v>0.7007591273264504</v>
      </c>
      <c r="T435" s="2187">
        <f t="shared" si="891"/>
        <v>0.68858381840019045</v>
      </c>
      <c r="U435" s="2187">
        <f t="shared" si="891"/>
        <v>0.69120501603437423</v>
      </c>
      <c r="V435" s="2187">
        <f t="shared" ref="V435" si="892">IFERROR(V434/V427,0)</f>
        <v>0.69208219145253591</v>
      </c>
      <c r="W435" s="2187">
        <f t="shared" ref="W435" si="893">IFERROR(W434/W427,0)</f>
        <v>0.69207796691089052</v>
      </c>
      <c r="X435" s="2187">
        <f t="shared" ref="X435" si="894">IFERROR(X434/X427,0)</f>
        <v>0.69208290072521261</v>
      </c>
      <c r="Y435" s="2187">
        <f t="shared" ref="Y435" si="895">IFERROR(Y434/Y427,0)</f>
        <v>0.69208035414792557</v>
      </c>
      <c r="Z435" s="2187">
        <f t="shared" ref="Z435" si="896">IFERROR(Z434/Z427,0)</f>
        <v>0.69208041988070135</v>
      </c>
      <c r="AA435" s="2187">
        <f t="shared" ref="AA435" si="897">IFERROR(AA434/AA427,0)</f>
        <v>0.62182520296780841</v>
      </c>
      <c r="AB435" s="2187">
        <f t="shared" ref="AB435" si="898">IFERROR(AB434/AB427,0)</f>
        <v>0.69207492950483773</v>
      </c>
      <c r="AC435" s="2187">
        <f t="shared" ref="AC435" si="899">IFERROR(AC434/AC427,0)</f>
        <v>0.50788501074141434</v>
      </c>
      <c r="AD435" s="1138">
        <f t="shared" ref="AD435:AJ435" si="900">IFERROR(AD434/AD$427,0)</f>
        <v>0.68770515724076053</v>
      </c>
      <c r="AE435" s="1138">
        <f t="shared" si="900"/>
        <v>0.69172405518883828</v>
      </c>
      <c r="AF435" s="1138">
        <f t="shared" si="900"/>
        <v>0.69208142324424304</v>
      </c>
      <c r="AG435" s="1138">
        <f t="shared" si="900"/>
        <v>0.60579012920851227</v>
      </c>
      <c r="AH435" s="1138">
        <f t="shared" si="900"/>
        <v>0.68956123824161086</v>
      </c>
      <c r="AI435" s="1138">
        <f t="shared" si="900"/>
        <v>0.65696868418995513</v>
      </c>
      <c r="AJ435" s="1138">
        <f t="shared" si="900"/>
        <v>0.67228972543827803</v>
      </c>
      <c r="AL435" s="2187">
        <f ca="1">IFERROR(AL434/AL$424,0)</f>
        <v>0</v>
      </c>
      <c r="AM435" s="1138">
        <f ca="1">IFERROR(AM434/AM$424,0)</f>
        <v>0</v>
      </c>
      <c r="AN435" s="1261">
        <f t="shared" ca="1" si="838"/>
        <v>0</v>
      </c>
      <c r="AO435" s="1262"/>
      <c r="AP435" s="1138">
        <f ca="1">IFERROR(AP434/AP$424,0)</f>
        <v>0</v>
      </c>
      <c r="AQ435" s="1261">
        <f t="shared" ca="1" si="840"/>
        <v>0</v>
      </c>
      <c r="AR435" s="1262"/>
      <c r="AT435" s="2187">
        <f ca="1">IFERROR(AT434/AT$424,0)</f>
        <v>0</v>
      </c>
      <c r="AU435" s="1138">
        <f ca="1">IFERROR(AU434/AU$424,0)</f>
        <v>0</v>
      </c>
      <c r="AV435" s="1261">
        <f t="shared" ca="1" si="842"/>
        <v>0</v>
      </c>
      <c r="AW435" s="1262"/>
      <c r="AX435" s="1138">
        <f ca="1">IFERROR(AX434/AX$424,0)</f>
        <v>0</v>
      </c>
      <c r="AY435" s="1261">
        <f t="shared" ca="1" si="844"/>
        <v>0</v>
      </c>
      <c r="AZ435" s="1262"/>
      <c r="BB435" s="2187">
        <f ca="1">IFERROR(BB434/BB$424,0)</f>
        <v>0</v>
      </c>
      <c r="BC435" s="1138">
        <f ca="1">IFERROR(BC434/BC$424,0)</f>
        <v>0</v>
      </c>
      <c r="BD435" s="1261">
        <f t="shared" ca="1" si="846"/>
        <v>0</v>
      </c>
      <c r="BE435" s="1262"/>
      <c r="BF435" s="1138">
        <f ca="1">IFERROR(BF434/BF$424,0)</f>
        <v>0</v>
      </c>
      <c r="BG435" s="1261">
        <f t="shared" ca="1" si="848"/>
        <v>0</v>
      </c>
      <c r="BH435" s="1262"/>
    </row>
    <row r="436" spans="1:60" ht="14.5">
      <c r="A436" s="990">
        <f t="shared" si="800"/>
        <v>387</v>
      </c>
      <c r="B436" s="990">
        <v>1</v>
      </c>
      <c r="C436" s="990">
        <f t="shared" si="776"/>
        <v>433</v>
      </c>
      <c r="D436" s="1121" t="s">
        <v>887</v>
      </c>
      <c r="E436" s="1255">
        <v>1</v>
      </c>
      <c r="F436" s="9"/>
      <c r="G436" s="1241"/>
      <c r="I436" s="9"/>
      <c r="K436" s="1133" t="s">
        <v>482</v>
      </c>
      <c r="L436" s="807"/>
      <c r="M436" s="808"/>
      <c r="N436" s="808"/>
      <c r="O436" s="808"/>
      <c r="P436" s="808"/>
      <c r="Q436" s="1871" t="str">
        <f>CHOOSE(2, "6722000003355", "S/GP Office (3) IP")</f>
        <v>S/GP Office (3) IP</v>
      </c>
      <c r="R436" s="2166">
        <f>SUM(R437:R438)</f>
        <v>2598.9108360598129</v>
      </c>
      <c r="S436" s="2166">
        <f t="shared" ref="S436:AC436" si="901">SUM(S437:S438)</f>
        <v>2277.5850230155347</v>
      </c>
      <c r="T436" s="2166">
        <f t="shared" si="901"/>
        <v>2653.8869849289322</v>
      </c>
      <c r="U436" s="2166">
        <f t="shared" si="901"/>
        <v>2642.4913994741919</v>
      </c>
      <c r="V436" s="2166">
        <f t="shared" si="901"/>
        <v>2654.6348013777306</v>
      </c>
      <c r="W436" s="2166">
        <f t="shared" si="901"/>
        <v>2761.8275081004808</v>
      </c>
      <c r="X436" s="2167">
        <f t="shared" si="901"/>
        <v>2687.8747639580652</v>
      </c>
      <c r="Y436" s="2167">
        <f t="shared" si="901"/>
        <v>2764.0233053629686</v>
      </c>
      <c r="Z436" s="2167">
        <f t="shared" si="901"/>
        <v>2798.3414142982901</v>
      </c>
      <c r="AA436" s="2168">
        <f t="shared" si="901"/>
        <v>3475.1798832428681</v>
      </c>
      <c r="AB436" s="2168">
        <f t="shared" si="901"/>
        <v>3704.6254925391677</v>
      </c>
      <c r="AC436" s="2168">
        <f t="shared" si="901"/>
        <v>1221.7619243365768</v>
      </c>
      <c r="AD436" s="1532">
        <f t="shared" ref="AD436" si="902">SUM(AD437:AD438)</f>
        <v>7530.3828440042798</v>
      </c>
      <c r="AE436" s="1128">
        <f t="shared" ref="AE436" si="903">SUM(AE437:AE438)</f>
        <v>8058.9537089524038</v>
      </c>
      <c r="AF436" s="1128">
        <f t="shared" ref="AF436" si="904">SUM(AF437:AF438)</f>
        <v>8250.2394836193234</v>
      </c>
      <c r="AG436" s="1128">
        <f t="shared" ref="AG436" si="905">SUM(AG437:AG438)</f>
        <v>8401.5673001186133</v>
      </c>
      <c r="AH436" s="1128">
        <f t="shared" ref="AH436" si="906">SUM(AH437:AH438)</f>
        <v>15589.336552956684</v>
      </c>
      <c r="AI436" s="1128">
        <f t="shared" ref="AI436" si="907">SUM(AI437:AI438)</f>
        <v>16651.806783737935</v>
      </c>
      <c r="AJ436" s="1128">
        <f t="shared" ref="AJ436" si="908">SUM(AJ437:AJ438)</f>
        <v>32241.143336694618</v>
      </c>
      <c r="AL436" s="1266">
        <f ca="1">SUM((INDIRECT(AL$2&amp;(ROW())):INDIRECT(AL$3&amp;(ROW()))))</f>
        <v>1221.7619243365768</v>
      </c>
      <c r="AM436" s="1266">
        <f ca="1">SUM(INDIRECT(AM$1&amp;AM$2&amp;$C436):INDIRECT(AM$1&amp;AM$3&amp;$C436))</f>
        <v>0</v>
      </c>
      <c r="AN436" s="1267">
        <f t="shared" ca="1" si="838"/>
        <v>1221.7619243365768</v>
      </c>
      <c r="AO436" s="1268">
        <f ca="1">IFERROR(AL436/AM436,0)</f>
        <v>0</v>
      </c>
      <c r="AP436" s="1266">
        <f ca="1">SUM(INDIRECT(AP$1&amp;AP$2&amp;$A436):INDIRECT(AP$1&amp;AP$3&amp;$A436))+SUM(INDIRECT(AP$1&amp;AP$2&amp;$B436):INDIRECT(AP$1&amp;AP$3&amp;$B436))</f>
        <v>1206.2545536721029</v>
      </c>
      <c r="AQ436" s="1267">
        <f t="shared" ca="1" si="840"/>
        <v>15.50737066447391</v>
      </c>
      <c r="AR436" s="1268">
        <f ca="1">IFERROR(AL436/AP436,0)</f>
        <v>1.0128558027965706</v>
      </c>
      <c r="AT436" s="1266">
        <f ca="1">SUM((INDIRECT(AT$2&amp;(ROW())):INDIRECT(AT$3&amp;(ROW()))))</f>
        <v>8401.5673001186133</v>
      </c>
      <c r="AU436" s="1266">
        <f ca="1">SUM(INDIRECT(AU$1&amp;AU$2&amp;$C436):INDIRECT(AU$1&amp;AU$3&amp;$C436))</f>
        <v>0</v>
      </c>
      <c r="AV436" s="1267">
        <f t="shared" ca="1" si="842"/>
        <v>8401.5673001186133</v>
      </c>
      <c r="AW436" s="1268">
        <f ca="1">IFERROR(AT436/AU436,0)</f>
        <v>0</v>
      </c>
      <c r="AX436" s="1266">
        <f ca="1">SUM(INDIRECT(AX$1&amp;AX$2&amp;$A436):INDIRECT(AX$1&amp;AX$3&amp;$A436))+SUM(INDIRECT(AX$1&amp;AX$2&amp;$B436):INDIRECT(AX$1&amp;AX$3&amp;$B436))</f>
        <v>6439.5958489465174</v>
      </c>
      <c r="AY436" s="1267">
        <f t="shared" ca="1" si="844"/>
        <v>1961.9714511720958</v>
      </c>
      <c r="AZ436" s="1268">
        <f ca="1">IFERROR(AT436/AX436,0)</f>
        <v>1.3046730722228574</v>
      </c>
      <c r="BB436" s="1266">
        <f ca="1">SUM((INDIRECT(BB$2&amp;(ROW())):INDIRECT(BB$3&amp;(ROW()))))</f>
        <v>32241.143336694622</v>
      </c>
      <c r="BC436" s="1266">
        <f ca="1">SUM(INDIRECT(BC$1&amp;BC$2&amp;$C436):INDIRECT(BC$1&amp;BC$3&amp;$C436))</f>
        <v>0</v>
      </c>
      <c r="BD436" s="1267">
        <f t="shared" ca="1" si="846"/>
        <v>32241.143336694622</v>
      </c>
      <c r="BE436" s="1268">
        <f ca="1">IFERROR(BB436/BC436,0)</f>
        <v>0</v>
      </c>
      <c r="BF436" s="1266">
        <f ca="1">SUM(INDIRECT(BF$1&amp;BF$2&amp;$A436):INDIRECT(BF$1&amp;BF$3&amp;$A436))+SUM(INDIRECT(BF$1&amp;BF$2&amp;$B436):INDIRECT(BF$1&amp;BF$3&amp;$B436))</f>
        <v>24188.595848946519</v>
      </c>
      <c r="BG436" s="1267">
        <f t="shared" ca="1" si="848"/>
        <v>8052.5474877481029</v>
      </c>
      <c r="BH436" s="1268">
        <f ca="1">IFERROR(BB436/BF436,0)</f>
        <v>1.3329067771455123</v>
      </c>
    </row>
    <row r="437" spans="1:60" ht="14.5">
      <c r="A437" s="990">
        <f t="shared" si="800"/>
        <v>388</v>
      </c>
      <c r="B437" s="990">
        <v>1</v>
      </c>
      <c r="C437" s="990">
        <f t="shared" si="776"/>
        <v>434</v>
      </c>
      <c r="D437" s="1121" t="s">
        <v>887</v>
      </c>
      <c r="E437" s="1255">
        <v>1</v>
      </c>
      <c r="F437" s="9"/>
      <c r="G437" s="1241"/>
      <c r="I437" s="9"/>
      <c r="K437" s="293"/>
      <c r="L437" s="40" t="s">
        <v>894</v>
      </c>
      <c r="Q437" s="1880" t="str">
        <f>CHOOSE(2, "6722000003356", "S/GP Office (3) IP Directly assigned")</f>
        <v>S/GP Office (3) IP Directly assigned</v>
      </c>
      <c r="R437" s="2097">
        <f t="shared" ref="R437:AC437" si="909">R279</f>
        <v>2598.9108360598129</v>
      </c>
      <c r="S437" s="135">
        <f t="shared" si="909"/>
        <v>2277.5850230155347</v>
      </c>
      <c r="T437" s="135">
        <f t="shared" si="909"/>
        <v>2653.8869849289322</v>
      </c>
      <c r="U437" s="135">
        <f t="shared" si="909"/>
        <v>2642.4913994741919</v>
      </c>
      <c r="V437" s="135">
        <f t="shared" si="909"/>
        <v>2654.6348013777306</v>
      </c>
      <c r="W437" s="135">
        <f t="shared" si="909"/>
        <v>2761.8275081004808</v>
      </c>
      <c r="X437" s="135">
        <f t="shared" si="909"/>
        <v>2687.8747639580652</v>
      </c>
      <c r="Y437" s="135">
        <f t="shared" si="909"/>
        <v>2764.0233053629686</v>
      </c>
      <c r="Z437" s="135">
        <f t="shared" si="909"/>
        <v>2798.3414142982901</v>
      </c>
      <c r="AA437" s="135">
        <f t="shared" si="909"/>
        <v>3475.1798832428681</v>
      </c>
      <c r="AB437" s="135">
        <f t="shared" si="909"/>
        <v>3704.6254925391677</v>
      </c>
      <c r="AC437" s="135">
        <f t="shared" si="909"/>
        <v>1221.7619243365768</v>
      </c>
      <c r="AD437" s="144">
        <f>SUM(R437,S437,T437)</f>
        <v>7530.3828440042798</v>
      </c>
      <c r="AE437" s="145">
        <f t="shared" ref="AE437:AE438" si="910">SUM(U437,V437,W437)</f>
        <v>8058.9537089524038</v>
      </c>
      <c r="AF437" s="145">
        <f t="shared" ref="AF437:AF438" si="911">SUM(X437,Y437,Z437)</f>
        <v>8250.2394836193234</v>
      </c>
      <c r="AG437" s="145">
        <f t="shared" ref="AG437:AG438" si="912">SUM(AA437,AB437,AC437)</f>
        <v>8401.5673001186133</v>
      </c>
      <c r="AH437" s="145">
        <f>AD437+AE437</f>
        <v>15589.336552956684</v>
      </c>
      <c r="AI437" s="145">
        <f>AG437+AF437</f>
        <v>16651.806783737935</v>
      </c>
      <c r="AJ437" s="145">
        <f>AH437+AI437</f>
        <v>32241.143336694618</v>
      </c>
      <c r="AL437" s="41">
        <f ca="1">SUM((INDIRECT(AL$2&amp;(ROW())):INDIRECT(AL$3&amp;(ROW()))))</f>
        <v>1221.7619243365768</v>
      </c>
      <c r="AM437" s="41">
        <f ca="1">SUM(INDIRECT(AM$1&amp;AM$2&amp;$C437):INDIRECT(AM$1&amp;AM$3&amp;$C437))</f>
        <v>0</v>
      </c>
      <c r="AN437" s="1259">
        <f t="shared" ca="1" si="838"/>
        <v>1221.7619243365768</v>
      </c>
      <c r="AO437" s="1260">
        <f ca="1">IFERROR(AL437/AM437,0)</f>
        <v>0</v>
      </c>
      <c r="AP437" s="41">
        <f ca="1">SUM(INDIRECT(AP$1&amp;AP$2&amp;$A437):INDIRECT(AP$1&amp;AP$3&amp;$A437))+SUM(INDIRECT(AP$1&amp;AP$2&amp;$B437):INDIRECT(AP$1&amp;AP$3&amp;$B437))</f>
        <v>1733.0556686818518</v>
      </c>
      <c r="AQ437" s="1259">
        <f t="shared" ca="1" si="840"/>
        <v>-511.29374434527494</v>
      </c>
      <c r="AR437" s="1260">
        <f ca="1">IFERROR(AL437/AP437,0)</f>
        <v>0.70497557950105505</v>
      </c>
      <c r="AT437" s="41">
        <f ca="1">SUM((INDIRECT(AT$2&amp;(ROW())):INDIRECT(AT$3&amp;(ROW()))))</f>
        <v>8401.5673001186133</v>
      </c>
      <c r="AU437" s="41">
        <f ca="1">SUM(INDIRECT(AU$1&amp;AU$2&amp;$C437):INDIRECT(AU$1&amp;AU$3&amp;$C437))</f>
        <v>0</v>
      </c>
      <c r="AV437" s="1259">
        <f t="shared" ca="1" si="842"/>
        <v>8401.5673001186133</v>
      </c>
      <c r="AW437" s="1260">
        <f ca="1">IFERROR(AT437/AU437,0)</f>
        <v>0</v>
      </c>
      <c r="AX437" s="41">
        <f ca="1">SUM(INDIRECT(AX$1&amp;AX$2&amp;$A437):INDIRECT(AX$1&amp;AX$3&amp;$A437))+SUM(INDIRECT(AX$1&amp;AX$2&amp;$B437):INDIRECT(AX$1&amp;AX$3&amp;$B437))</f>
        <v>6966.0556686818518</v>
      </c>
      <c r="AY437" s="1259">
        <f t="shared" ca="1" si="844"/>
        <v>1435.5116314367615</v>
      </c>
      <c r="AZ437" s="1260">
        <f ca="1">IFERROR(AT437/AX437,0)</f>
        <v>1.2060723743409871</v>
      </c>
      <c r="BB437" s="41">
        <f ca="1">SUM((INDIRECT(BB$2&amp;(ROW())):INDIRECT(BB$3&amp;(ROW()))))</f>
        <v>32241.143336694622</v>
      </c>
      <c r="BC437" s="41">
        <f ca="1">SUM(INDIRECT(BC$1&amp;BC$2&amp;$C437):INDIRECT(BC$1&amp;BC$3&amp;$C437))</f>
        <v>0</v>
      </c>
      <c r="BD437" s="1259">
        <f t="shared" ca="1" si="846"/>
        <v>32241.143336694622</v>
      </c>
      <c r="BE437" s="1260">
        <f ca="1">IFERROR(BB437/BC437,0)</f>
        <v>0</v>
      </c>
      <c r="BF437" s="41">
        <f ca="1">SUM(INDIRECT(BF$1&amp;BF$2&amp;$A437):INDIRECT(BF$1&amp;BF$3&amp;$A437))+SUM(INDIRECT(BF$1&amp;BF$2&amp;$B437):INDIRECT(BF$1&amp;BF$3&amp;$B437))</f>
        <v>24715.055668681853</v>
      </c>
      <c r="BG437" s="1259">
        <f t="shared" ca="1" si="848"/>
        <v>7526.0876680127694</v>
      </c>
      <c r="BH437" s="1260">
        <f ca="1">IFERROR(BB437/BF437,0)</f>
        <v>1.3045142915680175</v>
      </c>
    </row>
    <row r="438" spans="1:60" ht="14.5">
      <c r="A438" s="990">
        <f t="shared" si="800"/>
        <v>389</v>
      </c>
      <c r="B438" s="990">
        <v>1</v>
      </c>
      <c r="C438" s="990">
        <f t="shared" si="776"/>
        <v>435</v>
      </c>
      <c r="D438" s="1121" t="s">
        <v>887</v>
      </c>
      <c r="E438" s="1255">
        <v>1</v>
      </c>
      <c r="F438" s="9"/>
      <c r="G438" s="1241"/>
      <c r="I438" s="9"/>
      <c r="K438" s="293"/>
      <c r="L438" s="40" t="s">
        <v>895</v>
      </c>
      <c r="Q438" s="1880" t="str">
        <f>CHOOSE(2, "6722000003357", "S/GP Office (3) IP Allocation cost")</f>
        <v>S/GP Office (3) IP Allocation cost</v>
      </c>
      <c r="R438" s="2097">
        <f t="shared" ref="R438:AC438" si="913">R283</f>
        <v>0</v>
      </c>
      <c r="S438" s="135">
        <f t="shared" si="913"/>
        <v>0</v>
      </c>
      <c r="T438" s="135">
        <f t="shared" si="913"/>
        <v>0</v>
      </c>
      <c r="U438" s="135">
        <f t="shared" si="913"/>
        <v>0</v>
      </c>
      <c r="V438" s="135">
        <f t="shared" si="913"/>
        <v>0</v>
      </c>
      <c r="W438" s="135">
        <f t="shared" si="913"/>
        <v>0</v>
      </c>
      <c r="X438" s="135">
        <f t="shared" si="913"/>
        <v>0</v>
      </c>
      <c r="Y438" s="135">
        <f t="shared" si="913"/>
        <v>0</v>
      </c>
      <c r="Z438" s="135">
        <f t="shared" si="913"/>
        <v>0</v>
      </c>
      <c r="AA438" s="135">
        <f t="shared" si="913"/>
        <v>0</v>
      </c>
      <c r="AB438" s="135">
        <f t="shared" si="913"/>
        <v>0</v>
      </c>
      <c r="AC438" s="135">
        <f t="shared" si="913"/>
        <v>0</v>
      </c>
      <c r="AD438" s="144">
        <f>SUM(R438,S438,T438)</f>
        <v>0</v>
      </c>
      <c r="AE438" s="145">
        <f t="shared" si="910"/>
        <v>0</v>
      </c>
      <c r="AF438" s="145">
        <f t="shared" si="911"/>
        <v>0</v>
      </c>
      <c r="AG438" s="145">
        <f t="shared" si="912"/>
        <v>0</v>
      </c>
      <c r="AH438" s="145">
        <f>AD438+AE438</f>
        <v>0</v>
      </c>
      <c r="AI438" s="145">
        <f>AG438+AF438</f>
        <v>0</v>
      </c>
      <c r="AJ438" s="145">
        <f>AH438+AI438</f>
        <v>0</v>
      </c>
      <c r="AL438" s="41">
        <f ca="1">SUM((INDIRECT(AL$2&amp;(ROW())):INDIRECT(AL$3&amp;(ROW()))))</f>
        <v>0</v>
      </c>
      <c r="AM438" s="41">
        <f ca="1">SUM(INDIRECT(AM$1&amp;AM$2&amp;$C438):INDIRECT(AM$1&amp;AM$3&amp;$C438))</f>
        <v>0</v>
      </c>
      <c r="AN438" s="1259">
        <f t="shared" ca="1" si="838"/>
        <v>0</v>
      </c>
      <c r="AO438" s="1260">
        <f ca="1">IFERROR(AL438/AM438,0)</f>
        <v>0</v>
      </c>
      <c r="AP438" s="41">
        <f ca="1">SUM(INDIRECT(AP$1&amp;AP$2&amp;$A438):INDIRECT(AP$1&amp;AP$3&amp;$A438))+SUM(INDIRECT(AP$1&amp;AP$2&amp;$B438):INDIRECT(AP$1&amp;AP$3&amp;$B438))</f>
        <v>-526.80111500974886</v>
      </c>
      <c r="AQ438" s="1259">
        <f t="shared" ca="1" si="840"/>
        <v>526.80111500974886</v>
      </c>
      <c r="AR438" s="1260">
        <f ca="1">IFERROR(AL438/AP438,0)</f>
        <v>0</v>
      </c>
      <c r="AT438" s="41">
        <f ca="1">SUM((INDIRECT(AT$2&amp;(ROW())):INDIRECT(AT$3&amp;(ROW()))))</f>
        <v>0</v>
      </c>
      <c r="AU438" s="41">
        <f ca="1">SUM(INDIRECT(AU$1&amp;AU$2&amp;$C438):INDIRECT(AU$1&amp;AU$3&amp;$C438))</f>
        <v>0</v>
      </c>
      <c r="AV438" s="1259">
        <f t="shared" ca="1" si="842"/>
        <v>0</v>
      </c>
      <c r="AW438" s="1260">
        <f ca="1">IFERROR(AT438/AU438,0)</f>
        <v>0</v>
      </c>
      <c r="AX438" s="41">
        <f ca="1">SUM(INDIRECT(AX$1&amp;AX$2&amp;$A438):INDIRECT(AX$1&amp;AX$3&amp;$A438))+SUM(INDIRECT(AX$1&amp;AX$2&amp;$B438):INDIRECT(AX$1&amp;AX$3&amp;$B438))</f>
        <v>-526.45981973533389</v>
      </c>
      <c r="AY438" s="1259">
        <f t="shared" ca="1" si="844"/>
        <v>526.45981973533389</v>
      </c>
      <c r="AZ438" s="1260">
        <f ca="1">IFERROR(AT438/AX438,0)</f>
        <v>0</v>
      </c>
      <c r="BB438" s="41">
        <f ca="1">SUM((INDIRECT(BB$2&amp;(ROW())):INDIRECT(BB$3&amp;(ROW()))))</f>
        <v>0</v>
      </c>
      <c r="BC438" s="41">
        <f ca="1">SUM(INDIRECT(BC$1&amp;BC$2&amp;$C438):INDIRECT(BC$1&amp;BC$3&amp;$C438))</f>
        <v>0</v>
      </c>
      <c r="BD438" s="1259">
        <f t="shared" ca="1" si="846"/>
        <v>0</v>
      </c>
      <c r="BE438" s="1260">
        <f ca="1">IFERROR(BB438/BC438,0)</f>
        <v>0</v>
      </c>
      <c r="BF438" s="41">
        <f ca="1">SUM(INDIRECT(BF$1&amp;BF$2&amp;$A438):INDIRECT(BF$1&amp;BF$3&amp;$A438))+SUM(INDIRECT(BF$1&amp;BF$2&amp;$B438):INDIRECT(BF$1&amp;BF$3&amp;$B438))</f>
        <v>-526.45981973533389</v>
      </c>
      <c r="BG438" s="1259">
        <f t="shared" ca="1" si="848"/>
        <v>526.45981973533389</v>
      </c>
      <c r="BH438" s="1260">
        <f ca="1">IFERROR(BB438/BF438,0)</f>
        <v>0</v>
      </c>
    </row>
    <row r="439" spans="1:60" ht="14.5">
      <c r="A439" s="990">
        <f t="shared" si="800"/>
        <v>390</v>
      </c>
      <c r="B439" s="990">
        <v>1</v>
      </c>
      <c r="C439" s="990">
        <f t="shared" si="776"/>
        <v>436</v>
      </c>
      <c r="D439" s="1121" t="s">
        <v>887</v>
      </c>
      <c r="E439" s="1255">
        <v>1</v>
      </c>
      <c r="F439" s="9"/>
      <c r="G439" s="1241"/>
      <c r="I439" s="9"/>
      <c r="K439" s="195"/>
      <c r="L439" s="1257" t="s">
        <v>948</v>
      </c>
      <c r="M439" s="10"/>
      <c r="N439" s="10"/>
      <c r="O439" s="10"/>
      <c r="Q439" s="1850" t="str">
        <f>CHOOSE(2, "6722000003358", "S/GP Office (3) IP Allocation rate to IP (%)")</f>
        <v>S/GP Office (3) IP Allocation rate to IP (%)</v>
      </c>
      <c r="R439" s="2187">
        <f>IFERROR(R438/R427,0)</f>
        <v>0</v>
      </c>
      <c r="S439" s="2187">
        <f t="shared" ref="S439:AC439" si="914">IFERROR(S438/S427,0)</f>
        <v>0</v>
      </c>
      <c r="T439" s="2187">
        <f t="shared" si="914"/>
        <v>0</v>
      </c>
      <c r="U439" s="2187">
        <f t="shared" si="914"/>
        <v>0</v>
      </c>
      <c r="V439" s="2187">
        <f t="shared" si="914"/>
        <v>0</v>
      </c>
      <c r="W439" s="2187">
        <f t="shared" si="914"/>
        <v>0</v>
      </c>
      <c r="X439" s="2187">
        <f t="shared" si="914"/>
        <v>0</v>
      </c>
      <c r="Y439" s="2187">
        <f t="shared" si="914"/>
        <v>0</v>
      </c>
      <c r="Z439" s="2187">
        <f t="shared" si="914"/>
        <v>0</v>
      </c>
      <c r="AA439" s="2187">
        <f t="shared" si="914"/>
        <v>0</v>
      </c>
      <c r="AB439" s="2187">
        <f t="shared" si="914"/>
        <v>0</v>
      </c>
      <c r="AC439" s="2187">
        <f t="shared" si="914"/>
        <v>0</v>
      </c>
      <c r="AD439" s="1138">
        <f t="shared" ref="AD439:AJ439" si="915">IFERROR(AD438/AD$427,0)</f>
        <v>0</v>
      </c>
      <c r="AE439" s="1138">
        <f t="shared" si="915"/>
        <v>0</v>
      </c>
      <c r="AF439" s="1138">
        <f t="shared" si="915"/>
        <v>0</v>
      </c>
      <c r="AG439" s="1138">
        <f t="shared" si="915"/>
        <v>0</v>
      </c>
      <c r="AH439" s="1138">
        <f t="shared" si="915"/>
        <v>0</v>
      </c>
      <c r="AI439" s="1138">
        <f t="shared" si="915"/>
        <v>0</v>
      </c>
      <c r="AJ439" s="1138">
        <f t="shared" si="915"/>
        <v>0</v>
      </c>
      <c r="AL439" s="2187">
        <f ca="1">IFERROR(AL438/AL$424,0)</f>
        <v>0</v>
      </c>
      <c r="AM439" s="1138">
        <f ca="1">IFERROR(AM438/AM$424,0)</f>
        <v>0</v>
      </c>
      <c r="AN439" s="1261">
        <f t="shared" ca="1" si="838"/>
        <v>0</v>
      </c>
      <c r="AO439" s="1262"/>
      <c r="AP439" s="1138">
        <f ca="1">IFERROR(AP438/AP$424,0)</f>
        <v>0</v>
      </c>
      <c r="AQ439" s="1261">
        <f t="shared" ca="1" si="840"/>
        <v>0</v>
      </c>
      <c r="AR439" s="1262"/>
      <c r="AT439" s="2187">
        <f ca="1">IFERROR(AT438/AT$424,0)</f>
        <v>0</v>
      </c>
      <c r="AU439" s="1138">
        <f ca="1">IFERROR(AU438/AU$424,0)</f>
        <v>0</v>
      </c>
      <c r="AV439" s="1261">
        <f t="shared" ca="1" si="842"/>
        <v>0</v>
      </c>
      <c r="AW439" s="1262"/>
      <c r="AX439" s="1138">
        <f ca="1">IFERROR(AX438/AX$424,0)</f>
        <v>0</v>
      </c>
      <c r="AY439" s="1261">
        <f t="shared" ca="1" si="844"/>
        <v>0</v>
      </c>
      <c r="AZ439" s="1262"/>
      <c r="BB439" s="2187">
        <f ca="1">IFERROR(BB438/BB$424,0)</f>
        <v>0</v>
      </c>
      <c r="BC439" s="1138">
        <f ca="1">IFERROR(BC438/BC$424,0)</f>
        <v>0</v>
      </c>
      <c r="BD439" s="1261">
        <f t="shared" ca="1" si="846"/>
        <v>0</v>
      </c>
      <c r="BE439" s="1262"/>
      <c r="BF439" s="1138">
        <f ca="1">IFERROR(BF438/BF$424,0)</f>
        <v>0</v>
      </c>
      <c r="BG439" s="1261">
        <f t="shared" ca="1" si="848"/>
        <v>0</v>
      </c>
      <c r="BH439" s="1262"/>
    </row>
    <row r="440" spans="1:60" ht="14.5">
      <c r="A440" s="990">
        <f t="shared" si="800"/>
        <v>391</v>
      </c>
      <c r="B440" s="990">
        <v>1</v>
      </c>
      <c r="C440" s="990">
        <f t="shared" si="776"/>
        <v>437</v>
      </c>
      <c r="D440" s="1121" t="s">
        <v>887</v>
      </c>
      <c r="E440" s="1255">
        <v>1</v>
      </c>
      <c r="F440" s="9"/>
      <c r="G440" s="1241"/>
      <c r="I440" s="9"/>
      <c r="K440" s="1135" t="s">
        <v>486</v>
      </c>
      <c r="L440" s="810"/>
      <c r="M440" s="810"/>
      <c r="N440" s="810"/>
      <c r="O440" s="810"/>
      <c r="P440" s="810"/>
      <c r="Q440" s="1872" t="str">
        <f>CHOOSE(2, "6722000003359", "S/GP Office (4) MS")</f>
        <v>S/GP Office (4) MS</v>
      </c>
      <c r="R440" s="2066">
        <f>SUM(R441:R442)</f>
        <v>0</v>
      </c>
      <c r="S440" s="2066">
        <f t="shared" ref="S440:AC440" si="916">SUM(S441:S442)</f>
        <v>0</v>
      </c>
      <c r="T440" s="2066">
        <f t="shared" si="916"/>
        <v>0</v>
      </c>
      <c r="U440" s="2066">
        <f t="shared" si="916"/>
        <v>0</v>
      </c>
      <c r="V440" s="2066">
        <f t="shared" si="916"/>
        <v>0</v>
      </c>
      <c r="W440" s="2066">
        <f t="shared" si="916"/>
        <v>0</v>
      </c>
      <c r="X440" s="2169">
        <f t="shared" si="916"/>
        <v>0</v>
      </c>
      <c r="Y440" s="2169">
        <f t="shared" si="916"/>
        <v>0</v>
      </c>
      <c r="Z440" s="2169">
        <f t="shared" si="916"/>
        <v>0</v>
      </c>
      <c r="AA440" s="2170">
        <f t="shared" si="916"/>
        <v>0</v>
      </c>
      <c r="AB440" s="2170">
        <f t="shared" si="916"/>
        <v>0</v>
      </c>
      <c r="AC440" s="2170">
        <f t="shared" si="916"/>
        <v>0</v>
      </c>
      <c r="AD440" s="1533">
        <f t="shared" ref="AD440" si="917">SUM(AD441:AD442)</f>
        <v>0</v>
      </c>
      <c r="AE440" s="1129">
        <f t="shared" ref="AE440" si="918">SUM(AE441:AE442)</f>
        <v>0</v>
      </c>
      <c r="AF440" s="1129">
        <f t="shared" ref="AF440" si="919">SUM(AF441:AF442)</f>
        <v>0</v>
      </c>
      <c r="AG440" s="1129">
        <f t="shared" ref="AG440" si="920">SUM(AG441:AG442)</f>
        <v>0</v>
      </c>
      <c r="AH440" s="1129">
        <f t="shared" ref="AH440" si="921">SUM(AH441:AH442)</f>
        <v>0</v>
      </c>
      <c r="AI440" s="1129">
        <f t="shared" ref="AI440" si="922">SUM(AI441:AI442)</f>
        <v>0</v>
      </c>
      <c r="AJ440" s="1129">
        <f t="shared" ref="AJ440" si="923">SUM(AJ441:AJ442)</f>
        <v>0</v>
      </c>
      <c r="AL440" s="1269">
        <f ca="1">SUM((INDIRECT(AL$2&amp;(ROW())):INDIRECT(AL$3&amp;(ROW()))))</f>
        <v>0</v>
      </c>
      <c r="AM440" s="1269">
        <f ca="1">SUM(INDIRECT(AM$1&amp;AM$2&amp;$C440):INDIRECT(AM$1&amp;AM$3&amp;$C440))</f>
        <v>0</v>
      </c>
      <c r="AN440" s="1270">
        <f t="shared" ca="1" si="838"/>
        <v>0</v>
      </c>
      <c r="AO440" s="1271">
        <f ca="1">IFERROR(AL440/AM440,0)</f>
        <v>0</v>
      </c>
      <c r="AP440" s="1269">
        <f ca="1">SUM(INDIRECT(AP$1&amp;AP$2&amp;$A440):INDIRECT(AP$1&amp;AP$3&amp;$A440))+SUM(INDIRECT(AP$1&amp;AP$2&amp;$B440):INDIRECT(AP$1&amp;AP$3&amp;$B440))</f>
        <v>0</v>
      </c>
      <c r="AQ440" s="1270">
        <f t="shared" ca="1" si="840"/>
        <v>0</v>
      </c>
      <c r="AR440" s="1271">
        <f ca="1">IFERROR(AL440/AP440,0)</f>
        <v>0</v>
      </c>
      <c r="AT440" s="1269">
        <f ca="1">SUM((INDIRECT(AT$2&amp;(ROW())):INDIRECT(AT$3&amp;(ROW()))))</f>
        <v>0</v>
      </c>
      <c r="AU440" s="1269">
        <f ca="1">SUM(INDIRECT(AU$1&amp;AU$2&amp;$C440):INDIRECT(AU$1&amp;AU$3&amp;$C440))</f>
        <v>0</v>
      </c>
      <c r="AV440" s="1270">
        <f t="shared" ca="1" si="842"/>
        <v>0</v>
      </c>
      <c r="AW440" s="1271">
        <f ca="1">IFERROR(AT440/AU440,0)</f>
        <v>0</v>
      </c>
      <c r="AX440" s="1269">
        <f ca="1">SUM(INDIRECT(AX$1&amp;AX$2&amp;$A440):INDIRECT(AX$1&amp;AX$3&amp;$A440))+SUM(INDIRECT(AX$1&amp;AX$2&amp;$B440):INDIRECT(AX$1&amp;AX$3&amp;$B440))</f>
        <v>0</v>
      </c>
      <c r="AY440" s="1270">
        <f t="shared" ca="1" si="844"/>
        <v>0</v>
      </c>
      <c r="AZ440" s="1271">
        <f ca="1">IFERROR(AT440/AX440,0)</f>
        <v>0</v>
      </c>
      <c r="BB440" s="1269">
        <f ca="1">SUM((INDIRECT(BB$2&amp;(ROW())):INDIRECT(BB$3&amp;(ROW()))))</f>
        <v>0</v>
      </c>
      <c r="BC440" s="1269">
        <f ca="1">SUM(INDIRECT(BC$1&amp;BC$2&amp;$C440):INDIRECT(BC$1&amp;BC$3&amp;$C440))</f>
        <v>0</v>
      </c>
      <c r="BD440" s="1270">
        <f t="shared" ca="1" si="846"/>
        <v>0</v>
      </c>
      <c r="BE440" s="1271">
        <f ca="1">IFERROR(BB440/BC440,0)</f>
        <v>0</v>
      </c>
      <c r="BF440" s="1269">
        <f ca="1">SUM(INDIRECT(BF$1&amp;BF$2&amp;$A440):INDIRECT(BF$1&amp;BF$3&amp;$A440))+SUM(INDIRECT(BF$1&amp;BF$2&amp;$B440):INDIRECT(BF$1&amp;BF$3&amp;$B440))</f>
        <v>0</v>
      </c>
      <c r="BG440" s="1270">
        <f t="shared" ca="1" si="848"/>
        <v>0</v>
      </c>
      <c r="BH440" s="1271">
        <f ca="1">IFERROR(BB440/BF440,0)</f>
        <v>0</v>
      </c>
    </row>
    <row r="441" spans="1:60" ht="14.5">
      <c r="A441" s="990">
        <f t="shared" si="800"/>
        <v>392</v>
      </c>
      <c r="B441" s="990">
        <v>1</v>
      </c>
      <c r="C441" s="990">
        <f t="shared" si="776"/>
        <v>438</v>
      </c>
      <c r="D441" s="1121" t="s">
        <v>887</v>
      </c>
      <c r="E441" s="1255">
        <v>1</v>
      </c>
      <c r="F441" s="9"/>
      <c r="G441" s="1241"/>
      <c r="I441" s="9"/>
      <c r="K441" s="293"/>
      <c r="L441" s="40" t="s">
        <v>894</v>
      </c>
      <c r="Q441" s="1880" t="str">
        <f>CHOOSE(2, "6722000003360", "S/GP Office (4) MS Directly assigned")</f>
        <v>S/GP Office (4) MS Directly assigned</v>
      </c>
      <c r="R441" s="2097">
        <f t="shared" ref="R441:AC441" si="924">R342</f>
        <v>0</v>
      </c>
      <c r="S441" s="135">
        <f t="shared" si="924"/>
        <v>0</v>
      </c>
      <c r="T441" s="135">
        <f t="shared" si="924"/>
        <v>0</v>
      </c>
      <c r="U441" s="135">
        <f t="shared" si="924"/>
        <v>0</v>
      </c>
      <c r="V441" s="135">
        <f t="shared" si="924"/>
        <v>0</v>
      </c>
      <c r="W441" s="135">
        <f t="shared" si="924"/>
        <v>0</v>
      </c>
      <c r="X441" s="135">
        <f t="shared" si="924"/>
        <v>0</v>
      </c>
      <c r="Y441" s="135">
        <f t="shared" si="924"/>
        <v>0</v>
      </c>
      <c r="Z441" s="135">
        <f t="shared" si="924"/>
        <v>0</v>
      </c>
      <c r="AA441" s="135">
        <f t="shared" si="924"/>
        <v>0</v>
      </c>
      <c r="AB441" s="135">
        <f t="shared" si="924"/>
        <v>0</v>
      </c>
      <c r="AC441" s="135">
        <f t="shared" si="924"/>
        <v>0</v>
      </c>
      <c r="AD441" s="144">
        <f>SUM(R441,S441,T441)</f>
        <v>0</v>
      </c>
      <c r="AE441" s="145">
        <f t="shared" ref="AE441:AE442" si="925">SUM(U441,V441,W441)</f>
        <v>0</v>
      </c>
      <c r="AF441" s="145">
        <f t="shared" ref="AF441:AF442" si="926">SUM(X441,Y441,Z441)</f>
        <v>0</v>
      </c>
      <c r="AG441" s="145">
        <f t="shared" ref="AG441:AG442" si="927">SUM(AA441,AB441,AC441)</f>
        <v>0</v>
      </c>
      <c r="AH441" s="145">
        <f>AD441+AE441</f>
        <v>0</v>
      </c>
      <c r="AI441" s="145">
        <f>AG441+AF441</f>
        <v>0</v>
      </c>
      <c r="AJ441" s="145">
        <f>AH441+AI441</f>
        <v>0</v>
      </c>
      <c r="AL441" s="41">
        <f ca="1">SUM((INDIRECT(AL$2&amp;(ROW())):INDIRECT(AL$3&amp;(ROW()))))</f>
        <v>0</v>
      </c>
      <c r="AM441" s="41">
        <f ca="1">SUM(INDIRECT(AM$1&amp;AM$2&amp;$C441):INDIRECT(AM$1&amp;AM$3&amp;$C441))</f>
        <v>0</v>
      </c>
      <c r="AN441" s="1259">
        <f t="shared" ca="1" si="838"/>
        <v>0</v>
      </c>
      <c r="AO441" s="1260">
        <f ca="1">IFERROR(AL441/AM441,0)</f>
        <v>0</v>
      </c>
      <c r="AP441" s="41">
        <f ca="1">SUM(INDIRECT(AP$1&amp;AP$2&amp;$A441):INDIRECT(AP$1&amp;AP$3&amp;$A441))+SUM(INDIRECT(AP$1&amp;AP$2&amp;$B441):INDIRECT(AP$1&amp;AP$3&amp;$B441))</f>
        <v>0</v>
      </c>
      <c r="AQ441" s="1259">
        <f t="shared" ca="1" si="840"/>
        <v>0</v>
      </c>
      <c r="AR441" s="1260">
        <f ca="1">IFERROR(AL441/AP441,0)</f>
        <v>0</v>
      </c>
      <c r="AT441" s="41">
        <f ca="1">SUM((INDIRECT(AT$2&amp;(ROW())):INDIRECT(AT$3&amp;(ROW()))))</f>
        <v>0</v>
      </c>
      <c r="AU441" s="41">
        <f ca="1">SUM(INDIRECT(AU$1&amp;AU$2&amp;$C441):INDIRECT(AU$1&amp;AU$3&amp;$C441))</f>
        <v>0</v>
      </c>
      <c r="AV441" s="1259">
        <f t="shared" ca="1" si="842"/>
        <v>0</v>
      </c>
      <c r="AW441" s="1260">
        <f ca="1">IFERROR(AT441/AU441,0)</f>
        <v>0</v>
      </c>
      <c r="AX441" s="41">
        <f ca="1">SUM(INDIRECT(AX$1&amp;AX$2&amp;$A441):INDIRECT(AX$1&amp;AX$3&amp;$A441))+SUM(INDIRECT(AX$1&amp;AX$2&amp;$B441):INDIRECT(AX$1&amp;AX$3&amp;$B441))</f>
        <v>0</v>
      </c>
      <c r="AY441" s="1259">
        <f t="shared" ca="1" si="844"/>
        <v>0</v>
      </c>
      <c r="AZ441" s="1260">
        <f ca="1">IFERROR(AT441/AX441,0)</f>
        <v>0</v>
      </c>
      <c r="BB441" s="41">
        <f ca="1">SUM((INDIRECT(BB$2&amp;(ROW())):INDIRECT(BB$3&amp;(ROW()))))</f>
        <v>0</v>
      </c>
      <c r="BC441" s="41">
        <f ca="1">SUM(INDIRECT(BC$1&amp;BC$2&amp;$C441):INDIRECT(BC$1&amp;BC$3&amp;$C441))</f>
        <v>0</v>
      </c>
      <c r="BD441" s="1259">
        <f t="shared" ca="1" si="846"/>
        <v>0</v>
      </c>
      <c r="BE441" s="1260">
        <f ca="1">IFERROR(BB441/BC441,0)</f>
        <v>0</v>
      </c>
      <c r="BF441" s="41">
        <f ca="1">SUM(INDIRECT(BF$1&amp;BF$2&amp;$A441):INDIRECT(BF$1&amp;BF$3&amp;$A441))+SUM(INDIRECT(BF$1&amp;BF$2&amp;$B441):INDIRECT(BF$1&amp;BF$3&amp;$B441))</f>
        <v>0</v>
      </c>
      <c r="BG441" s="1259">
        <f t="shared" ca="1" si="848"/>
        <v>0</v>
      </c>
      <c r="BH441" s="1260">
        <f ca="1">IFERROR(BB441/BF441,0)</f>
        <v>0</v>
      </c>
    </row>
    <row r="442" spans="1:60" ht="14.5">
      <c r="A442" s="990">
        <f t="shared" si="800"/>
        <v>393</v>
      </c>
      <c r="B442" s="990">
        <v>1</v>
      </c>
      <c r="C442" s="990">
        <f t="shared" si="776"/>
        <v>439</v>
      </c>
      <c r="D442" s="1121" t="s">
        <v>887</v>
      </c>
      <c r="E442" s="1255">
        <v>1</v>
      </c>
      <c r="F442" s="9"/>
      <c r="G442" s="1241"/>
      <c r="I442" s="9"/>
      <c r="K442" s="293"/>
      <c r="L442" s="40" t="s">
        <v>895</v>
      </c>
      <c r="Q442" s="1880" t="str">
        <f>CHOOSE(2, "6722000003361", "S/GP Office (4) MS Allocation cost")</f>
        <v>S/GP Office (4) MS Allocation cost</v>
      </c>
      <c r="R442" s="2097">
        <f t="shared" ref="R442:AC442" si="928">R346</f>
        <v>0</v>
      </c>
      <c r="S442" s="135">
        <f t="shared" si="928"/>
        <v>0</v>
      </c>
      <c r="T442" s="135">
        <f t="shared" si="928"/>
        <v>0</v>
      </c>
      <c r="U442" s="135">
        <f t="shared" si="928"/>
        <v>0</v>
      </c>
      <c r="V442" s="135">
        <f t="shared" si="928"/>
        <v>0</v>
      </c>
      <c r="W442" s="135">
        <f t="shared" si="928"/>
        <v>0</v>
      </c>
      <c r="X442" s="135">
        <f t="shared" si="928"/>
        <v>0</v>
      </c>
      <c r="Y442" s="135">
        <f t="shared" si="928"/>
        <v>0</v>
      </c>
      <c r="Z442" s="135">
        <f t="shared" si="928"/>
        <v>0</v>
      </c>
      <c r="AA442" s="135">
        <f t="shared" si="928"/>
        <v>0</v>
      </c>
      <c r="AB442" s="135">
        <f t="shared" si="928"/>
        <v>0</v>
      </c>
      <c r="AC442" s="135">
        <f t="shared" si="928"/>
        <v>0</v>
      </c>
      <c r="AD442" s="144">
        <f>SUM(R442,S442,T442)</f>
        <v>0</v>
      </c>
      <c r="AE442" s="145">
        <f t="shared" si="925"/>
        <v>0</v>
      </c>
      <c r="AF442" s="145">
        <f t="shared" si="926"/>
        <v>0</v>
      </c>
      <c r="AG442" s="145">
        <f t="shared" si="927"/>
        <v>0</v>
      </c>
      <c r="AH442" s="145">
        <f>AD442+AE442</f>
        <v>0</v>
      </c>
      <c r="AI442" s="145">
        <f>AG442+AF442</f>
        <v>0</v>
      </c>
      <c r="AJ442" s="145">
        <f>AH442+AI442</f>
        <v>0</v>
      </c>
      <c r="AL442" s="41">
        <f ca="1">SUM((INDIRECT(AL$2&amp;(ROW())):INDIRECT(AL$3&amp;(ROW()))))</f>
        <v>0</v>
      </c>
      <c r="AM442" s="41">
        <f ca="1">SUM(INDIRECT(AM$1&amp;AM$2&amp;$C442):INDIRECT(AM$1&amp;AM$3&amp;$C442))</f>
        <v>0</v>
      </c>
      <c r="AN442" s="1259">
        <f t="shared" ca="1" si="838"/>
        <v>0</v>
      </c>
      <c r="AO442" s="1260">
        <f ca="1">IFERROR(AL442/AM442,0)</f>
        <v>0</v>
      </c>
      <c r="AP442" s="41">
        <f ca="1">SUM(INDIRECT(AP$1&amp;AP$2&amp;$A442):INDIRECT(AP$1&amp;AP$3&amp;$A442))+SUM(INDIRECT(AP$1&amp;AP$2&amp;$B442):INDIRECT(AP$1&amp;AP$3&amp;$B442))</f>
        <v>0</v>
      </c>
      <c r="AQ442" s="1259">
        <f t="shared" ca="1" si="840"/>
        <v>0</v>
      </c>
      <c r="AR442" s="1260">
        <f ca="1">IFERROR(AL442/AP442,0)</f>
        <v>0</v>
      </c>
      <c r="AT442" s="41">
        <f ca="1">SUM((INDIRECT(AT$2&amp;(ROW())):INDIRECT(AT$3&amp;(ROW()))))</f>
        <v>0</v>
      </c>
      <c r="AU442" s="41">
        <f ca="1">SUM(INDIRECT(AU$1&amp;AU$2&amp;$C442):INDIRECT(AU$1&amp;AU$3&amp;$C442))</f>
        <v>0</v>
      </c>
      <c r="AV442" s="1259">
        <f t="shared" ca="1" si="842"/>
        <v>0</v>
      </c>
      <c r="AW442" s="1260">
        <f ca="1">IFERROR(AT442/AU442,0)</f>
        <v>0</v>
      </c>
      <c r="AX442" s="41">
        <f ca="1">SUM(INDIRECT(AX$1&amp;AX$2&amp;$A442):INDIRECT(AX$1&amp;AX$3&amp;$A442))+SUM(INDIRECT(AX$1&amp;AX$2&amp;$B442):INDIRECT(AX$1&amp;AX$3&amp;$B442))</f>
        <v>0</v>
      </c>
      <c r="AY442" s="1259">
        <f t="shared" ca="1" si="844"/>
        <v>0</v>
      </c>
      <c r="AZ442" s="1260">
        <f ca="1">IFERROR(AT442/AX442,0)</f>
        <v>0</v>
      </c>
      <c r="BB442" s="41">
        <f ca="1">SUM((INDIRECT(BB$2&amp;(ROW())):INDIRECT(BB$3&amp;(ROW()))))</f>
        <v>0</v>
      </c>
      <c r="BC442" s="41">
        <f ca="1">SUM(INDIRECT(BC$1&amp;BC$2&amp;$C442):INDIRECT(BC$1&amp;BC$3&amp;$C442))</f>
        <v>0</v>
      </c>
      <c r="BD442" s="1259">
        <f t="shared" ca="1" si="846"/>
        <v>0</v>
      </c>
      <c r="BE442" s="1260">
        <f ca="1">IFERROR(BB442/BC442,0)</f>
        <v>0</v>
      </c>
      <c r="BF442" s="41">
        <f ca="1">SUM(INDIRECT(BF$1&amp;BF$2&amp;$A442):INDIRECT(BF$1&amp;BF$3&amp;$A442))+SUM(INDIRECT(BF$1&amp;BF$2&amp;$B442):INDIRECT(BF$1&amp;BF$3&amp;$B442))</f>
        <v>0</v>
      </c>
      <c r="BG442" s="1259">
        <f t="shared" ca="1" si="848"/>
        <v>0</v>
      </c>
      <c r="BH442" s="1260">
        <f ca="1">IFERROR(BB442/BF442,0)</f>
        <v>0</v>
      </c>
    </row>
    <row r="443" spans="1:60" ht="14.5">
      <c r="A443" s="990">
        <f t="shared" si="800"/>
        <v>394</v>
      </c>
      <c r="B443" s="990">
        <v>1</v>
      </c>
      <c r="C443" s="990">
        <f t="shared" si="776"/>
        <v>440</v>
      </c>
      <c r="D443" s="1121" t="s">
        <v>887</v>
      </c>
      <c r="E443" s="1255">
        <v>1</v>
      </c>
      <c r="F443" s="9"/>
      <c r="G443" s="1241"/>
      <c r="I443" s="9"/>
      <c r="K443" s="195"/>
      <c r="L443" s="1257" t="s">
        <v>949</v>
      </c>
      <c r="M443" s="10"/>
      <c r="N443" s="10"/>
      <c r="O443" s="10"/>
      <c r="Q443" s="1850" t="str">
        <f>CHOOSE(2, "6722000003362", "S/GP Office (4) MS Allocation rate to MS (%)")</f>
        <v>S/GP Office (4) MS Allocation rate to MS (%)</v>
      </c>
      <c r="R443" s="2187">
        <f>IFERROR(R442/R427,0)</f>
        <v>0</v>
      </c>
      <c r="S443" s="2187">
        <f t="shared" ref="S443:AC443" si="929">IFERROR(S442/S427,0)</f>
        <v>0</v>
      </c>
      <c r="T443" s="2187">
        <f t="shared" si="929"/>
        <v>0</v>
      </c>
      <c r="U443" s="2187">
        <f t="shared" si="929"/>
        <v>0</v>
      </c>
      <c r="V443" s="2187">
        <f t="shared" si="929"/>
        <v>0</v>
      </c>
      <c r="W443" s="2187">
        <f t="shared" si="929"/>
        <v>0</v>
      </c>
      <c r="X443" s="2187">
        <f t="shared" si="929"/>
        <v>0</v>
      </c>
      <c r="Y443" s="2187">
        <f t="shared" si="929"/>
        <v>0</v>
      </c>
      <c r="Z443" s="2187">
        <f t="shared" si="929"/>
        <v>0</v>
      </c>
      <c r="AA443" s="2187">
        <f t="shared" si="929"/>
        <v>0</v>
      </c>
      <c r="AB443" s="2187">
        <f t="shared" si="929"/>
        <v>0</v>
      </c>
      <c r="AC443" s="2187">
        <f t="shared" si="929"/>
        <v>0</v>
      </c>
      <c r="AD443" s="1138">
        <f t="shared" ref="AD443:AJ443" si="930">IFERROR(AD442/AD$427,0)</f>
        <v>0</v>
      </c>
      <c r="AE443" s="1138">
        <f t="shared" si="930"/>
        <v>0</v>
      </c>
      <c r="AF443" s="1138">
        <f t="shared" si="930"/>
        <v>0</v>
      </c>
      <c r="AG443" s="1138">
        <f t="shared" si="930"/>
        <v>0</v>
      </c>
      <c r="AH443" s="1138">
        <f t="shared" si="930"/>
        <v>0</v>
      </c>
      <c r="AI443" s="1138">
        <f t="shared" si="930"/>
        <v>0</v>
      </c>
      <c r="AJ443" s="1138">
        <f t="shared" si="930"/>
        <v>0</v>
      </c>
      <c r="AL443" s="2187">
        <f ca="1">IFERROR(AL442/AL$424,0)</f>
        <v>0</v>
      </c>
      <c r="AM443" s="1138">
        <f ca="1">IFERROR(AM442/AM$424,0)</f>
        <v>0</v>
      </c>
      <c r="AN443" s="1261">
        <f t="shared" ca="1" si="838"/>
        <v>0</v>
      </c>
      <c r="AO443" s="1262"/>
      <c r="AP443" s="1138">
        <f ca="1">IFERROR(AP442/AP$424,0)</f>
        <v>0</v>
      </c>
      <c r="AQ443" s="1261">
        <f t="shared" ca="1" si="840"/>
        <v>0</v>
      </c>
      <c r="AR443" s="1262"/>
      <c r="AT443" s="2187">
        <f ca="1">IFERROR(AT442/AT$424,0)</f>
        <v>0</v>
      </c>
      <c r="AU443" s="1138">
        <f ca="1">IFERROR(AU442/AU$424,0)</f>
        <v>0</v>
      </c>
      <c r="AV443" s="1261">
        <f t="shared" ca="1" si="842"/>
        <v>0</v>
      </c>
      <c r="AW443" s="1262"/>
      <c r="AX443" s="1138">
        <f ca="1">IFERROR(AX442/AX$424,0)</f>
        <v>0</v>
      </c>
      <c r="AY443" s="1261">
        <f t="shared" ca="1" si="844"/>
        <v>0</v>
      </c>
      <c r="AZ443" s="1262"/>
      <c r="BB443" s="2187">
        <f ca="1">IFERROR(BB442/BB$424,0)</f>
        <v>0</v>
      </c>
      <c r="BC443" s="1138">
        <f ca="1">IFERROR(BC442/BC$424,0)</f>
        <v>0</v>
      </c>
      <c r="BD443" s="1261">
        <f t="shared" ca="1" si="846"/>
        <v>0</v>
      </c>
      <c r="BE443" s="1262"/>
      <c r="BF443" s="1138">
        <f ca="1">IFERROR(BF442/BF$424,0)</f>
        <v>0</v>
      </c>
      <c r="BG443" s="1261">
        <f t="shared" ca="1" si="848"/>
        <v>0</v>
      </c>
      <c r="BH443" s="1262"/>
    </row>
    <row r="444" spans="1:60" ht="14.5">
      <c r="A444" s="990">
        <f t="shared" si="800"/>
        <v>395</v>
      </c>
      <c r="B444" s="990">
        <v>1</v>
      </c>
      <c r="C444" s="990">
        <f t="shared" si="776"/>
        <v>441</v>
      </c>
      <c r="D444" s="1121" t="s">
        <v>887</v>
      </c>
      <c r="E444" s="1255">
        <v>1</v>
      </c>
      <c r="F444" s="9"/>
      <c r="G444" s="1241"/>
      <c r="I444" s="9"/>
      <c r="K444" s="1395" t="s">
        <v>922</v>
      </c>
      <c r="L444" s="812"/>
      <c r="M444" s="813"/>
      <c r="N444" s="813"/>
      <c r="O444" s="813"/>
      <c r="P444" s="814"/>
      <c r="Q444" s="1873" t="str">
        <f>CHOOSE(2, "6722000003363", "S/GP Office (5) DW-DX")</f>
        <v>S/GP Office (5) DW-DX</v>
      </c>
      <c r="R444" s="2217">
        <f>SUM(R445:R446)</f>
        <v>1694</v>
      </c>
      <c r="S444" s="2017">
        <f t="shared" ref="S444:AC444" si="931">SUM(S445:S446)</f>
        <v>1791</v>
      </c>
      <c r="T444" s="2017">
        <f t="shared" si="931"/>
        <v>1557</v>
      </c>
      <c r="U444" s="2017">
        <f t="shared" si="931"/>
        <v>1543</v>
      </c>
      <c r="V444" s="2017">
        <f t="shared" si="931"/>
        <v>1234.1868567744368</v>
      </c>
      <c r="W444" s="2017">
        <f t="shared" si="931"/>
        <v>1032</v>
      </c>
      <c r="X444" s="2017">
        <f t="shared" si="931"/>
        <v>1216</v>
      </c>
      <c r="Y444" s="2017">
        <f t="shared" si="931"/>
        <v>1046.5941841461286</v>
      </c>
      <c r="Z444" s="2017">
        <f t="shared" si="931"/>
        <v>1490.8997470445147</v>
      </c>
      <c r="AA444" s="2017">
        <f t="shared" si="931"/>
        <v>1626.6104702177086</v>
      </c>
      <c r="AB444" s="2017">
        <f t="shared" si="931"/>
        <v>2004.748270848942</v>
      </c>
      <c r="AC444" s="2017">
        <f t="shared" si="931"/>
        <v>1752.4208787210023</v>
      </c>
      <c r="AD444" s="1534">
        <f t="shared" ref="AD444" si="932">SUM(AD445:AD446)</f>
        <v>5042</v>
      </c>
      <c r="AE444" s="1130">
        <f t="shared" ref="AE444" si="933">SUM(AE445:AE446)</f>
        <v>3809.1868567744368</v>
      </c>
      <c r="AF444" s="1130">
        <f t="shared" ref="AF444" si="934">SUM(AF445:AF446)</f>
        <v>3753.4939311906437</v>
      </c>
      <c r="AG444" s="1130">
        <f t="shared" ref="AG444" si="935">SUM(AG445:AG446)</f>
        <v>5383.7796197876523</v>
      </c>
      <c r="AH444" s="1130">
        <f t="shared" ref="AH444" si="936">SUM(AH445:AH446)</f>
        <v>8851.1868567744368</v>
      </c>
      <c r="AI444" s="1130">
        <f t="shared" ref="AI444" si="937">SUM(AI445:AI446)</f>
        <v>9137.273550978296</v>
      </c>
      <c r="AJ444" s="1130">
        <f t="shared" ref="AJ444" si="938">SUM(AJ445:AJ446)</f>
        <v>17988.460407752733</v>
      </c>
      <c r="AL444" s="1272">
        <f ca="1">SUM((INDIRECT(AL$2&amp;(ROW())):INDIRECT(AL$3&amp;(ROW()))))</f>
        <v>1752.4208787210023</v>
      </c>
      <c r="AM444" s="1272">
        <f ca="1">SUM(INDIRECT(AM$1&amp;AM$2&amp;$C444):INDIRECT(AM$1&amp;AM$3&amp;$C444))</f>
        <v>0</v>
      </c>
      <c r="AN444" s="1273">
        <f t="shared" ca="1" si="838"/>
        <v>1752.4208787210023</v>
      </c>
      <c r="AO444" s="1274">
        <f ca="1">IFERROR(AL444/AM444,0)</f>
        <v>0</v>
      </c>
      <c r="AP444" s="1272">
        <f ca="1">SUM(INDIRECT(AP$1&amp;AP$2&amp;$A444):INDIRECT(AP$1&amp;AP$3&amp;$A444))+SUM(INDIRECT(AP$1&amp;AP$2&amp;$B444):INDIRECT(AP$1&amp;AP$3&amp;$B444))</f>
        <v>2668.3843999999999</v>
      </c>
      <c r="AQ444" s="1273">
        <f t="shared" ca="1" si="840"/>
        <v>-915.96352127899763</v>
      </c>
      <c r="AR444" s="1274">
        <f ca="1">IFERROR(AL444/AP444,0)</f>
        <v>0.65673479380294775</v>
      </c>
      <c r="AT444" s="1272">
        <f ca="1">SUM((INDIRECT(AT$2&amp;(ROW())):INDIRECT(AT$3&amp;(ROW()))))</f>
        <v>5383.7796197876523</v>
      </c>
      <c r="AU444" s="1272">
        <f ca="1">SUM(INDIRECT(AU$1&amp;AU$2&amp;$C444):INDIRECT(AU$1&amp;AU$3&amp;$C444))</f>
        <v>0</v>
      </c>
      <c r="AV444" s="1273">
        <f t="shared" ca="1" si="842"/>
        <v>5383.7796197876523</v>
      </c>
      <c r="AW444" s="1274">
        <f ca="1">IFERROR(AT444/AU444,0)</f>
        <v>0</v>
      </c>
      <c r="AX444" s="1272">
        <f ca="1">SUM(INDIRECT(AX$1&amp;AX$2&amp;$A444):INDIRECT(AX$1&amp;AX$3&amp;$A444))+SUM(INDIRECT(AX$1&amp;AX$2&amp;$B444):INDIRECT(AX$1&amp;AX$3&amp;$B444))</f>
        <v>5735.3843999999999</v>
      </c>
      <c r="AY444" s="1273">
        <f t="shared" ca="1" si="844"/>
        <v>-351.60478021234758</v>
      </c>
      <c r="AZ444" s="1274">
        <f ca="1">IFERROR(AT444/AX444,0)</f>
        <v>0.93869551616935254</v>
      </c>
      <c r="BB444" s="1272">
        <f ca="1">SUM((INDIRECT(BB$2&amp;(ROW())):INDIRECT(BB$3&amp;(ROW()))))</f>
        <v>17988.460407752733</v>
      </c>
      <c r="BC444" s="1272">
        <f ca="1">SUM(INDIRECT(BC$1&amp;BC$2&amp;$C444):INDIRECT(BC$1&amp;BC$3&amp;$C444))</f>
        <v>0</v>
      </c>
      <c r="BD444" s="1273">
        <f t="shared" ca="1" si="846"/>
        <v>17988.460407752733</v>
      </c>
      <c r="BE444" s="1274">
        <f ca="1">IFERROR(BB444/BC444,0)</f>
        <v>0</v>
      </c>
      <c r="BF444" s="1272">
        <f ca="1">SUM(INDIRECT(BF$1&amp;BF$2&amp;$A444):INDIRECT(BF$1&amp;BF$3&amp;$A444))+SUM(INDIRECT(BF$1&amp;BF$2&amp;$B444):INDIRECT(BF$1&amp;BF$3&amp;$B444))</f>
        <v>13939.384399999999</v>
      </c>
      <c r="BG444" s="1273">
        <f t="shared" ca="1" si="848"/>
        <v>4049.0760077527339</v>
      </c>
      <c r="BH444" s="1274">
        <f ca="1">IFERROR(BB444/BF444,0)</f>
        <v>1.2904773906480931</v>
      </c>
    </row>
    <row r="445" spans="1:60" ht="14.5">
      <c r="A445" s="990">
        <f t="shared" si="800"/>
        <v>396</v>
      </c>
      <c r="B445" s="990">
        <v>1</v>
      </c>
      <c r="C445" s="990">
        <f t="shared" si="776"/>
        <v>442</v>
      </c>
      <c r="D445" s="1121" t="s">
        <v>887</v>
      </c>
      <c r="E445" s="1255">
        <v>1</v>
      </c>
      <c r="F445" s="9"/>
      <c r="G445" s="1241"/>
      <c r="I445" s="9"/>
      <c r="K445" s="293"/>
      <c r="L445" s="40" t="s">
        <v>894</v>
      </c>
      <c r="Q445" s="1880" t="str">
        <f>CHOOSE(2, "6722000003364", "S/GP Office (5) DW-DX Directly assigned")</f>
        <v>S/GP Office (5) DW-DX Directly assigned</v>
      </c>
      <c r="R445" s="2097">
        <f t="shared" ref="R445:AC445" si="939">R414</f>
        <v>482.31953065830163</v>
      </c>
      <c r="S445" s="135">
        <f t="shared" si="939"/>
        <v>1868.6314986453242</v>
      </c>
      <c r="T445" s="135">
        <f t="shared" si="939"/>
        <v>1556.4126816735416</v>
      </c>
      <c r="U445" s="135">
        <f t="shared" si="939"/>
        <v>1542.5649226551141</v>
      </c>
      <c r="V445" s="135">
        <f t="shared" si="939"/>
        <v>1234.1868567744368</v>
      </c>
      <c r="W445" s="135">
        <f t="shared" si="939"/>
        <v>1031.7069049678385</v>
      </c>
      <c r="X445" s="135">
        <f t="shared" si="939"/>
        <v>1216.1592070259946</v>
      </c>
      <c r="Y445" s="135">
        <f t="shared" si="939"/>
        <v>1046</v>
      </c>
      <c r="Z445" s="135">
        <f t="shared" si="939"/>
        <v>1490.6229223352591</v>
      </c>
      <c r="AA445" s="135">
        <f t="shared" si="939"/>
        <v>1625.3409506575208</v>
      </c>
      <c r="AB445" s="135">
        <f t="shared" si="939"/>
        <v>2004.2123296093521</v>
      </c>
      <c r="AC445" s="135">
        <f t="shared" si="939"/>
        <v>1752.4531683874886</v>
      </c>
      <c r="AD445" s="144">
        <f>SUM(R445,S445,T445)</f>
        <v>3907.3637109771676</v>
      </c>
      <c r="AE445" s="145">
        <f t="shared" ref="AE445:AE446" si="940">SUM(U445,V445,W445)</f>
        <v>3808.4586843973893</v>
      </c>
      <c r="AF445" s="145">
        <f t="shared" ref="AF445:AF446" si="941">SUM(X445,Y445,Z445)</f>
        <v>3752.7821293612542</v>
      </c>
      <c r="AG445" s="145">
        <f t="shared" ref="AG445:AG446" si="942">SUM(AA445,AB445,AC445)</f>
        <v>5382.0064486543615</v>
      </c>
      <c r="AH445" s="145">
        <f>AD445+AE445</f>
        <v>7715.8223953745564</v>
      </c>
      <c r="AI445" s="145">
        <f>AG445+AF445</f>
        <v>9134.7885780156157</v>
      </c>
      <c r="AJ445" s="145">
        <f>AH445+AI445</f>
        <v>16850.610973390172</v>
      </c>
      <c r="AL445" s="41">
        <f ca="1">SUM((INDIRECT(AL$2&amp;(ROW())):INDIRECT(AL$3&amp;(ROW()))))</f>
        <v>1752.4531683874886</v>
      </c>
      <c r="AM445" s="41">
        <f ca="1">SUM(INDIRECT(AM$1&amp;AM$2&amp;$C445):INDIRECT(AM$1&amp;AM$3&amp;$C445))</f>
        <v>0</v>
      </c>
      <c r="AN445" s="1259">
        <f t="shared" ca="1" si="838"/>
        <v>1752.4531683874886</v>
      </c>
      <c r="AO445" s="1260">
        <f ca="1">IFERROR(AL445/AM445,0)</f>
        <v>0</v>
      </c>
      <c r="AP445" s="41">
        <f ca="1">SUM(INDIRECT(AP$1&amp;AP$2&amp;$A445):INDIRECT(AP$1&amp;AP$3&amp;$A445))+SUM(INDIRECT(AP$1&amp;AP$2&amp;$B445):INDIRECT(AP$1&amp;AP$3&amp;$B445))</f>
        <v>2720</v>
      </c>
      <c r="AQ445" s="1259">
        <f t="shared" ca="1" si="840"/>
        <v>-967.54683161251137</v>
      </c>
      <c r="AR445" s="1260">
        <f ca="1">IFERROR(AL445/AP445,0)</f>
        <v>0.64428425308363557</v>
      </c>
      <c r="AT445" s="41">
        <f ca="1">SUM((INDIRECT(AT$2&amp;(ROW())):INDIRECT(AT$3&amp;(ROW()))))</f>
        <v>5382.0064486543615</v>
      </c>
      <c r="AU445" s="41">
        <f ca="1">SUM(INDIRECT(AU$1&amp;AU$2&amp;$C445):INDIRECT(AU$1&amp;AU$3&amp;$C445))</f>
        <v>0</v>
      </c>
      <c r="AV445" s="1259">
        <f t="shared" ca="1" si="842"/>
        <v>5382.0064486543615</v>
      </c>
      <c r="AW445" s="1260">
        <f ca="1">IFERROR(AT445/AU445,0)</f>
        <v>0</v>
      </c>
      <c r="AX445" s="41">
        <f ca="1">SUM(INDIRECT(AX$1&amp;AX$2&amp;$A445):INDIRECT(AX$1&amp;AX$3&amp;$A445))+SUM(INDIRECT(AX$1&amp;AX$2&amp;$B445):INDIRECT(AX$1&amp;AX$3&amp;$B445))</f>
        <v>5787</v>
      </c>
      <c r="AY445" s="1259">
        <f t="shared" ca="1" si="844"/>
        <v>-404.99355134563848</v>
      </c>
      <c r="AZ445" s="1260">
        <f ca="1">IFERROR(AT445/AX445,0)</f>
        <v>0.93001666643413883</v>
      </c>
      <c r="BB445" s="41">
        <f ca="1">SUM((INDIRECT(BB$2&amp;(ROW())):INDIRECT(BB$3&amp;(ROW()))))</f>
        <v>16850.610973390172</v>
      </c>
      <c r="BC445" s="41">
        <f ca="1">SUM(INDIRECT(BC$1&amp;BC$2&amp;$C445):INDIRECT(BC$1&amp;BC$3&amp;$C445))</f>
        <v>0</v>
      </c>
      <c r="BD445" s="1259">
        <f t="shared" ca="1" si="846"/>
        <v>16850.610973390172</v>
      </c>
      <c r="BE445" s="1260">
        <f ca="1">IFERROR(BB445/BC445,0)</f>
        <v>0</v>
      </c>
      <c r="BF445" s="41">
        <f ca="1">SUM(INDIRECT(BF$1&amp;BF$2&amp;$A445):INDIRECT(BF$1&amp;BF$3&amp;$A445))+SUM(INDIRECT(BF$1&amp;BF$2&amp;$B445):INDIRECT(BF$1&amp;BF$3&amp;$B445))</f>
        <v>13345</v>
      </c>
      <c r="BG445" s="1259">
        <f t="shared" ca="1" si="848"/>
        <v>3505.6109733901721</v>
      </c>
      <c r="BH445" s="1260">
        <f ca="1">IFERROR(BB445/BF445,0)</f>
        <v>1.262690968406907</v>
      </c>
    </row>
    <row r="446" spans="1:60" ht="14.5">
      <c r="A446" s="990">
        <f t="shared" si="800"/>
        <v>397</v>
      </c>
      <c r="B446" s="990">
        <v>1</v>
      </c>
      <c r="C446" s="990">
        <f t="shared" si="776"/>
        <v>443</v>
      </c>
      <c r="D446" s="1121" t="s">
        <v>887</v>
      </c>
      <c r="E446" s="1255">
        <v>1</v>
      </c>
      <c r="F446" s="9"/>
      <c r="G446" s="1241"/>
      <c r="I446" s="9"/>
      <c r="K446" s="293"/>
      <c r="L446" s="40" t="s">
        <v>895</v>
      </c>
      <c r="Q446" s="1880" t="str">
        <f>CHOOSE(2, "6722000003365", "S/GP Office (5) DW-DX Allocation cost")</f>
        <v>S/GP Office (5) DW-DX Allocation cost</v>
      </c>
      <c r="R446" s="2097">
        <f t="shared" ref="R446:AC446" si="943">R418</f>
        <v>1211.6804693416984</v>
      </c>
      <c r="S446" s="135">
        <f t="shared" si="943"/>
        <v>-77.631498645324186</v>
      </c>
      <c r="T446" s="135">
        <f t="shared" si="943"/>
        <v>0.5873183264584938</v>
      </c>
      <c r="U446" s="135">
        <f t="shared" si="943"/>
        <v>0.43507734488584049</v>
      </c>
      <c r="V446" s="135">
        <f t="shared" si="943"/>
        <v>0</v>
      </c>
      <c r="W446" s="135">
        <f t="shared" si="943"/>
        <v>0.2930950321616308</v>
      </c>
      <c r="X446" s="135">
        <f t="shared" si="943"/>
        <v>-0.15920702599453307</v>
      </c>
      <c r="Y446" s="135">
        <f t="shared" si="943"/>
        <v>0.59418414612864012</v>
      </c>
      <c r="Z446" s="135">
        <f t="shared" si="943"/>
        <v>0.27682470925560665</v>
      </c>
      <c r="AA446" s="135">
        <f t="shared" si="943"/>
        <v>1.2695195601877458</v>
      </c>
      <c r="AB446" s="135">
        <f t="shared" si="943"/>
        <v>0.53594123958987439</v>
      </c>
      <c r="AC446" s="135">
        <f t="shared" si="943"/>
        <v>-3.2289666486349233E-2</v>
      </c>
      <c r="AD446" s="144">
        <f>SUM(R446,S446,T446)</f>
        <v>1134.6362890228327</v>
      </c>
      <c r="AE446" s="145">
        <f t="shared" si="940"/>
        <v>0.72817237704747129</v>
      </c>
      <c r="AF446" s="145">
        <f t="shared" si="941"/>
        <v>0.7118018293897137</v>
      </c>
      <c r="AG446" s="145">
        <f t="shared" si="942"/>
        <v>1.773171133291271</v>
      </c>
      <c r="AH446" s="145">
        <f>AD446+AE446</f>
        <v>1135.3644613998802</v>
      </c>
      <c r="AI446" s="145">
        <f>AG446+AF446</f>
        <v>2.4849729626809847</v>
      </c>
      <c r="AJ446" s="145">
        <f>AH446+AI446</f>
        <v>1137.8494343625612</v>
      </c>
      <c r="AL446" s="41">
        <f ca="1">SUM((INDIRECT(AL$2&amp;(ROW())):INDIRECT(AL$3&amp;(ROW()))))</f>
        <v>-3.2289666486349233E-2</v>
      </c>
      <c r="AM446" s="41">
        <f ca="1">SUM(INDIRECT(AM$1&amp;AM$2&amp;$C446):INDIRECT(AM$1&amp;AM$3&amp;$C446))</f>
        <v>0</v>
      </c>
      <c r="AN446" s="1259">
        <f t="shared" ca="1" si="838"/>
        <v>-3.2289666486349233E-2</v>
      </c>
      <c r="AO446" s="1260">
        <f ca="1">IFERROR(AL446/AM446,0)</f>
        <v>0</v>
      </c>
      <c r="AP446" s="41">
        <f ca="1">SUM(INDIRECT(AP$1&amp;AP$2&amp;$A446):INDIRECT(AP$1&amp;AP$3&amp;$A446))+SUM(INDIRECT(AP$1&amp;AP$2&amp;$B446):INDIRECT(AP$1&amp;AP$3&amp;$B446))</f>
        <v>-51.615600000000086</v>
      </c>
      <c r="AQ446" s="1259">
        <f t="shared" ca="1" si="840"/>
        <v>51.583310333513737</v>
      </c>
      <c r="AR446" s="1260">
        <f ca="1">IFERROR(AL446/AP446,0)</f>
        <v>6.2557960163882971E-4</v>
      </c>
      <c r="AT446" s="41">
        <f ca="1">SUM((INDIRECT(AT$2&amp;(ROW())):INDIRECT(AT$3&amp;(ROW()))))</f>
        <v>1.773171133291271</v>
      </c>
      <c r="AU446" s="41">
        <f ca="1">SUM(INDIRECT(AU$1&amp;AU$2&amp;$C446):INDIRECT(AU$1&amp;AU$3&amp;$C446))</f>
        <v>0</v>
      </c>
      <c r="AV446" s="1259">
        <f t="shared" ca="1" si="842"/>
        <v>1.773171133291271</v>
      </c>
      <c r="AW446" s="1260">
        <f ca="1">IFERROR(AT446/AU446,0)</f>
        <v>0</v>
      </c>
      <c r="AX446" s="41">
        <f ca="1">SUM(INDIRECT(AX$1&amp;AX$2&amp;$A446):INDIRECT(AX$1&amp;AX$3&amp;$A446))+SUM(INDIRECT(AX$1&amp;AX$2&amp;$B446):INDIRECT(AX$1&amp;AX$3&amp;$B446))</f>
        <v>-51.615600000000086</v>
      </c>
      <c r="AY446" s="1259">
        <f t="shared" ca="1" si="844"/>
        <v>53.388771133291357</v>
      </c>
      <c r="AZ446" s="1260">
        <f ca="1">IFERROR(AT446/AX446,0)</f>
        <v>-3.4353395742590769E-2</v>
      </c>
      <c r="BB446" s="41">
        <f ca="1">SUM((INDIRECT(BB$2&amp;(ROW())):INDIRECT(BB$3&amp;(ROW()))))</f>
        <v>1137.8494343625609</v>
      </c>
      <c r="BC446" s="41">
        <f ca="1">SUM(INDIRECT(BC$1&amp;BC$2&amp;$C446):INDIRECT(BC$1&amp;BC$3&amp;$C446))</f>
        <v>0</v>
      </c>
      <c r="BD446" s="1259">
        <f t="shared" ca="1" si="846"/>
        <v>1137.8494343625609</v>
      </c>
      <c r="BE446" s="1260">
        <f ca="1">IFERROR(BB446/BC446,0)</f>
        <v>0</v>
      </c>
      <c r="BF446" s="41">
        <f ca="1">SUM(INDIRECT(BF$1&amp;BF$2&amp;$A446):INDIRECT(BF$1&amp;BF$3&amp;$A446))+SUM(INDIRECT(BF$1&amp;BF$2&amp;$B446):INDIRECT(BF$1&amp;BF$3&amp;$B446))</f>
        <v>594.38439999999991</v>
      </c>
      <c r="BG446" s="1259">
        <f t="shared" ca="1" si="848"/>
        <v>543.46503436256103</v>
      </c>
      <c r="BH446" s="1260">
        <f ca="1">IFERROR(BB446/BF446,0)</f>
        <v>1.9143326008599169</v>
      </c>
    </row>
    <row r="447" spans="1:60" ht="14.5">
      <c r="A447" s="990">
        <f t="shared" si="800"/>
        <v>398</v>
      </c>
      <c r="B447" s="990">
        <v>1</v>
      </c>
      <c r="C447" s="990">
        <f t="shared" si="776"/>
        <v>444</v>
      </c>
      <c r="D447" s="1121" t="s">
        <v>887</v>
      </c>
      <c r="E447" s="1255">
        <v>1</v>
      </c>
      <c r="F447" s="9"/>
      <c r="G447" s="1241"/>
      <c r="I447" s="9"/>
      <c r="K447" s="194"/>
      <c r="L447" s="1257" t="s">
        <v>950</v>
      </c>
      <c r="M447" s="18"/>
      <c r="N447" s="18"/>
      <c r="O447" s="18"/>
      <c r="P447" s="12"/>
      <c r="Q447" s="1850" t="str">
        <f>CHOOSE(2, "6722000003366", "S/GP Office (5) DW-DX Allocation rate to DW-DX (%)")</f>
        <v>S/GP Office (5) DW-DX Allocation rate to DW-DX (%)</v>
      </c>
      <c r="R447" s="2187">
        <f>IFERROR(R446/R427,0)</f>
        <v>1.0679202289784197E-2</v>
      </c>
      <c r="S447" s="2187">
        <f t="shared" ref="S447:AC447" si="944">IFERROR(S446/S427,0)</f>
        <v>-1.0100333090516534E-3</v>
      </c>
      <c r="T447" s="2187">
        <f t="shared" si="944"/>
        <v>5.2030725606533773E-6</v>
      </c>
      <c r="U447" s="2187">
        <f t="shared" si="944"/>
        <v>4.1043366035451315E-6</v>
      </c>
      <c r="V447" s="2187">
        <f t="shared" si="944"/>
        <v>0</v>
      </c>
      <c r="W447" s="2187">
        <f t="shared" si="944"/>
        <v>6.1041039597813449E-6</v>
      </c>
      <c r="X447" s="2187">
        <f t="shared" si="944"/>
        <v>-1.0248387915442546E-6</v>
      </c>
      <c r="Y447" s="2187">
        <f t="shared" si="944"/>
        <v>5.2492166824747101E-6</v>
      </c>
      <c r="Z447" s="2187">
        <f t="shared" si="944"/>
        <v>2.5597708717784588E-6</v>
      </c>
      <c r="AA447" s="2187">
        <f t="shared" si="944"/>
        <v>9.100471973312635E-6</v>
      </c>
      <c r="AB447" s="2187">
        <f t="shared" si="944"/>
        <v>1.0492897791402072E-5</v>
      </c>
      <c r="AC447" s="2187">
        <f t="shared" si="944"/>
        <v>-4.7581409327636271E-7</v>
      </c>
      <c r="AD447" s="1138">
        <f t="shared" ref="AD447:AJ447" si="945">IFERROR(AD446/AD$427,0)</f>
        <v>3.7421896590315957E-3</v>
      </c>
      <c r="AE447" s="1138">
        <f t="shared" si="945"/>
        <v>2.7985054926694584E-6</v>
      </c>
      <c r="AF447" s="1138">
        <f t="shared" si="945"/>
        <v>1.8896347875802529E-6</v>
      </c>
      <c r="AG447" s="1138">
        <f t="shared" si="945"/>
        <v>6.8610840366387708E-6</v>
      </c>
      <c r="AH447" s="1138">
        <f t="shared" si="945"/>
        <v>2.0151956013319669E-3</v>
      </c>
      <c r="AI447" s="1138">
        <f t="shared" si="945"/>
        <v>3.9125642401336748E-6</v>
      </c>
      <c r="AJ447" s="1138">
        <f t="shared" si="945"/>
        <v>9.4937238688851751E-4</v>
      </c>
      <c r="AL447" s="2187">
        <f ca="1">IFERROR(AL446/AL$424,0)</f>
        <v>0</v>
      </c>
      <c r="AM447" s="1138">
        <f ca="1">IFERROR(AM446/AM$424,0)</f>
        <v>0</v>
      </c>
      <c r="AN447" s="1261">
        <f t="shared" ca="1" si="838"/>
        <v>0</v>
      </c>
      <c r="AO447" s="1262"/>
      <c r="AP447" s="1138">
        <f ca="1">IFERROR(AP446/AP$424,0)</f>
        <v>0</v>
      </c>
      <c r="AQ447" s="1261">
        <f t="shared" ca="1" si="840"/>
        <v>0</v>
      </c>
      <c r="AR447" s="1262"/>
      <c r="AT447" s="2187">
        <f ca="1">IFERROR(AT446/AT$424,0)</f>
        <v>0</v>
      </c>
      <c r="AU447" s="1138">
        <f ca="1">IFERROR(AU446/AU$424,0)</f>
        <v>0</v>
      </c>
      <c r="AV447" s="1261">
        <f t="shared" ca="1" si="842"/>
        <v>0</v>
      </c>
      <c r="AW447" s="1262"/>
      <c r="AX447" s="1138">
        <f ca="1">IFERROR(AX446/AX$424,0)</f>
        <v>0</v>
      </c>
      <c r="AY447" s="1261">
        <f t="shared" ca="1" si="844"/>
        <v>0</v>
      </c>
      <c r="AZ447" s="1262"/>
      <c r="BB447" s="2187">
        <f ca="1">IFERROR(BB446/BB$424,0)</f>
        <v>0</v>
      </c>
      <c r="BC447" s="1138">
        <f ca="1">IFERROR(BC446/BC$424,0)</f>
        <v>0</v>
      </c>
      <c r="BD447" s="1261">
        <f t="shared" ca="1" si="846"/>
        <v>0</v>
      </c>
      <c r="BE447" s="1262"/>
      <c r="BF447" s="1138">
        <f ca="1">IFERROR(BF446/BF$424,0)</f>
        <v>0</v>
      </c>
      <c r="BG447" s="1261">
        <f t="shared" ca="1" si="848"/>
        <v>0</v>
      </c>
      <c r="BH447" s="1262"/>
    </row>
    <row r="448" spans="1:60" ht="14.5">
      <c r="A448" s="990">
        <f t="shared" si="800"/>
        <v>399</v>
      </c>
      <c r="B448" s="990">
        <v>1</v>
      </c>
      <c r="C448" s="990">
        <f t="shared" si="776"/>
        <v>445</v>
      </c>
      <c r="E448" s="1243">
        <v>1</v>
      </c>
      <c r="Q448" s="1838" t="str">
        <f>CHOOSE(2, "6722000003367", "▷ Blank 17")</f>
        <v>▷ Blank 17</v>
      </c>
      <c r="R448" s="2200"/>
      <c r="AA448" s="163"/>
    </row>
    <row r="449" spans="1:60" ht="15.5">
      <c r="A449" s="990">
        <f t="shared" si="800"/>
        <v>400</v>
      </c>
      <c r="B449" s="990">
        <v>1</v>
      </c>
      <c r="C449" s="990">
        <f t="shared" si="776"/>
        <v>446</v>
      </c>
      <c r="E449" s="1243">
        <v>1</v>
      </c>
      <c r="F449" s="9"/>
      <c r="G449" s="461" t="s">
        <v>898</v>
      </c>
      <c r="Q449" s="1838" t="str">
        <f>CHOOSE(2, "6722000003368", "2-3. Sales/GP Details by BU")</f>
        <v>2-3. Sales/GP Details by BU</v>
      </c>
      <c r="R449" s="2200"/>
    </row>
    <row r="450" spans="1:60" ht="14.5">
      <c r="A450" s="990">
        <f t="shared" si="800"/>
        <v>401</v>
      </c>
      <c r="B450" s="990">
        <v>1</v>
      </c>
      <c r="C450" s="990">
        <f t="shared" ref="C450:C513" si="946">ROW()-3</f>
        <v>447</v>
      </c>
      <c r="E450" s="1243">
        <v>1</v>
      </c>
      <c r="H450" s="5" t="s">
        <v>1322</v>
      </c>
      <c r="L450" s="4"/>
      <c r="Q450" s="1838" t="str">
        <f>CHOOSE(2, "6722000003369", "(1)-1 Office: Excluding ""Office Solution""")</f>
        <v>(1)-1 Office: Excluding "Office Solution"</v>
      </c>
      <c r="R450" s="2200"/>
    </row>
    <row r="451" spans="1:60" ht="14.5">
      <c r="A451" s="990">
        <f t="shared" si="800"/>
        <v>402</v>
      </c>
      <c r="B451" s="990">
        <v>1</v>
      </c>
      <c r="C451" s="990">
        <f t="shared" si="946"/>
        <v>448</v>
      </c>
      <c r="E451" s="1243">
        <v>1</v>
      </c>
      <c r="F451" s="93"/>
      <c r="G451" s="93"/>
      <c r="H451" s="14"/>
      <c r="I451" s="58"/>
      <c r="J451" s="56"/>
      <c r="K451" s="57"/>
      <c r="L451" s="57"/>
      <c r="M451" s="56"/>
      <c r="N451" s="56"/>
      <c r="O451" s="56"/>
      <c r="P451" s="555"/>
      <c r="Q451" s="1839" t="str">
        <f>CHOOSE(2, "6722000003370", "▷ Blank 18")</f>
        <v>▷ Blank 18</v>
      </c>
      <c r="R451" s="2175">
        <f>R13</f>
        <v>44652</v>
      </c>
      <c r="S451" s="2175">
        <f t="shared" ref="S451:AC451" si="947">S13</f>
        <v>44682</v>
      </c>
      <c r="T451" s="2175">
        <f t="shared" si="947"/>
        <v>44713</v>
      </c>
      <c r="U451" s="2175">
        <f t="shared" si="947"/>
        <v>44743</v>
      </c>
      <c r="V451" s="2175">
        <f t="shared" si="947"/>
        <v>44774</v>
      </c>
      <c r="W451" s="2175">
        <f t="shared" si="947"/>
        <v>44805</v>
      </c>
      <c r="X451" s="2175">
        <f t="shared" si="947"/>
        <v>44835</v>
      </c>
      <c r="Y451" s="2175">
        <f t="shared" si="947"/>
        <v>44866</v>
      </c>
      <c r="Z451" s="2175">
        <f t="shared" si="947"/>
        <v>44896</v>
      </c>
      <c r="AA451" s="2175">
        <f t="shared" si="947"/>
        <v>44927</v>
      </c>
      <c r="AB451" s="2175">
        <f t="shared" si="947"/>
        <v>44958</v>
      </c>
      <c r="AC451" s="2175">
        <f t="shared" si="947"/>
        <v>44986</v>
      </c>
      <c r="AD451" s="1505" t="str">
        <f t="shared" ref="AD451:AJ451" si="948">AD$13</f>
        <v>Q1</v>
      </c>
      <c r="AE451" s="26" t="str">
        <f t="shared" si="948"/>
        <v>Q2</v>
      </c>
      <c r="AF451" s="26" t="str">
        <f t="shared" si="948"/>
        <v>Q3</v>
      </c>
      <c r="AG451" s="26" t="str">
        <f t="shared" si="948"/>
        <v>Q4</v>
      </c>
      <c r="AH451" s="26" t="str">
        <f t="shared" si="948"/>
        <v>1st H</v>
      </c>
      <c r="AI451" s="26" t="str">
        <f t="shared" si="948"/>
        <v>2nd H</v>
      </c>
      <c r="AJ451" s="26" t="str">
        <f t="shared" si="948"/>
        <v>Yr.</v>
      </c>
      <c r="AL451" s="2484">
        <f>AL$10</f>
        <v>0</v>
      </c>
      <c r="AM451" s="2485">
        <f t="shared" ref="AM451:AR451" si="949">AM$10</f>
        <v>0</v>
      </c>
      <c r="AN451" s="2486">
        <f t="shared" si="949"/>
        <v>0</v>
      </c>
      <c r="AO451" s="2487">
        <f t="shared" si="949"/>
        <v>0</v>
      </c>
      <c r="AP451" s="2485">
        <f t="shared" si="949"/>
        <v>0</v>
      </c>
      <c r="AQ451" s="2486">
        <f t="shared" si="949"/>
        <v>0</v>
      </c>
      <c r="AR451" s="2488">
        <f t="shared" si="949"/>
        <v>0</v>
      </c>
      <c r="AT451" s="2484">
        <f>AT$10</f>
        <v>0</v>
      </c>
      <c r="AU451" s="2485">
        <f t="shared" ref="AU451:AZ451" si="950">AU$10</f>
        <v>0</v>
      </c>
      <c r="AV451" s="2486">
        <f t="shared" si="950"/>
        <v>0</v>
      </c>
      <c r="AW451" s="2487">
        <f t="shared" si="950"/>
        <v>0</v>
      </c>
      <c r="AX451" s="2485">
        <f t="shared" si="950"/>
        <v>0</v>
      </c>
      <c r="AY451" s="2486">
        <f t="shared" si="950"/>
        <v>0</v>
      </c>
      <c r="AZ451" s="2488">
        <f t="shared" si="950"/>
        <v>0</v>
      </c>
      <c r="BB451" s="2484">
        <f>BB$10</f>
        <v>0</v>
      </c>
      <c r="BC451" s="2485">
        <f t="shared" ref="BC451:BH451" si="951">BC$10</f>
        <v>0</v>
      </c>
      <c r="BD451" s="2486">
        <f t="shared" si="951"/>
        <v>0</v>
      </c>
      <c r="BE451" s="2487">
        <f t="shared" si="951"/>
        <v>0</v>
      </c>
      <c r="BF451" s="2485">
        <f t="shared" si="951"/>
        <v>0</v>
      </c>
      <c r="BG451" s="2486">
        <f t="shared" si="951"/>
        <v>0</v>
      </c>
      <c r="BH451" s="2488">
        <f t="shared" si="951"/>
        <v>0</v>
      </c>
    </row>
    <row r="452" spans="1:60" ht="14.5">
      <c r="A452" s="990">
        <f t="shared" si="800"/>
        <v>403</v>
      </c>
      <c r="B452" s="990">
        <v>1</v>
      </c>
      <c r="C452" s="990">
        <f t="shared" si="946"/>
        <v>449</v>
      </c>
      <c r="E452" s="1243">
        <v>1</v>
      </c>
      <c r="I452" s="115" t="s">
        <v>211</v>
      </c>
      <c r="J452" s="114"/>
      <c r="K452" s="401"/>
      <c r="L452" s="401"/>
      <c r="M452" s="402"/>
      <c r="N452" s="402"/>
      <c r="O452" s="402"/>
      <c r="P452" s="792"/>
      <c r="Q452" s="1874" t="str">
        <f>CHOOSE(2, "6722000003371", "S/GP (1)-1 Net Sales")</f>
        <v>S/GP (1)-1 Net Sales</v>
      </c>
      <c r="R452" s="2133">
        <f>R453+R469</f>
        <v>162913</v>
      </c>
      <c r="S452" s="2006">
        <f t="shared" ref="S452:AC452" si="952">S453+S469</f>
        <v>182873</v>
      </c>
      <c r="T452" s="2006">
        <f t="shared" si="952"/>
        <v>197175</v>
      </c>
      <c r="U452" s="2006">
        <f t="shared" si="952"/>
        <v>209023</v>
      </c>
      <c r="V452" s="2006">
        <f t="shared" si="952"/>
        <v>260971.35994000002</v>
      </c>
      <c r="W452" s="2006">
        <f t="shared" si="952"/>
        <v>269233</v>
      </c>
      <c r="X452" s="2006">
        <f t="shared" si="952"/>
        <v>232877</v>
      </c>
      <c r="Y452" s="2006">
        <f t="shared" si="952"/>
        <v>251690</v>
      </c>
      <c r="Z452" s="2006">
        <f t="shared" si="952"/>
        <v>327190</v>
      </c>
      <c r="AA452" s="2006">
        <f t="shared" si="952"/>
        <v>240979</v>
      </c>
      <c r="AB452" s="2006">
        <f t="shared" si="952"/>
        <v>261070.37031000003</v>
      </c>
      <c r="AC452" s="2006">
        <f t="shared" si="952"/>
        <v>279063</v>
      </c>
      <c r="AD452" s="1535">
        <f t="shared" ref="AD452:AJ452" si="953">AD453+AD469</f>
        <v>542961</v>
      </c>
      <c r="AE452" s="116">
        <f t="shared" si="953"/>
        <v>739227.35994000011</v>
      </c>
      <c r="AF452" s="116">
        <f t="shared" si="953"/>
        <v>811757</v>
      </c>
      <c r="AG452" s="116">
        <f t="shared" si="953"/>
        <v>781112.37030999991</v>
      </c>
      <c r="AH452" s="116">
        <f t="shared" si="953"/>
        <v>1282188.3599399999</v>
      </c>
      <c r="AI452" s="116">
        <f t="shared" si="953"/>
        <v>1592869.3703099999</v>
      </c>
      <c r="AJ452" s="116">
        <f t="shared" si="953"/>
        <v>2875057.73025</v>
      </c>
      <c r="AL452" s="2133">
        <f ca="1">SUM((INDIRECT(AL$2&amp;(ROW())):INDIRECT(AL$3&amp;(ROW()))))</f>
        <v>279063</v>
      </c>
      <c r="AM452" s="116">
        <f ca="1">SUM(INDIRECT(AM$1&amp;AM$2&amp;$C452):INDIRECT(AM$1&amp;AM$3&amp;$C452))</f>
        <v>0</v>
      </c>
      <c r="AN452" s="1721">
        <f t="shared" ref="AN452:AN483" ca="1" si="954">AL452-AM452</f>
        <v>279063</v>
      </c>
      <c r="AO452" s="1722">
        <f t="shared" ref="AO452:AO483" ca="1" si="955">IFERROR(AL452/AM452,0)</f>
        <v>0</v>
      </c>
      <c r="AP452" s="116">
        <f ca="1">SUM(INDIRECT(AP$1&amp;AP$2&amp;$A452):INDIRECT(AP$1&amp;AP$3&amp;$A452))</f>
        <v>241345</v>
      </c>
      <c r="AQ452" s="1721">
        <f t="shared" ref="AQ452:AQ483" ca="1" si="956">AL452-AP452</f>
        <v>37718</v>
      </c>
      <c r="AR452" s="1722">
        <f t="shared" ref="AR452:AR483" ca="1" si="957">IFERROR(AL452/AP452,0)</f>
        <v>1.1562825001553791</v>
      </c>
      <c r="AT452" s="2133">
        <f ca="1">SUM((INDIRECT(AT$2&amp;(ROW())):INDIRECT(AT$3&amp;(ROW()))))</f>
        <v>781112.37031000003</v>
      </c>
      <c r="AU452" s="116">
        <f ca="1">SUM(INDIRECT(AU$1&amp;AU$2&amp;$C452):INDIRECT(AU$1&amp;AU$3&amp;$C452))</f>
        <v>0</v>
      </c>
      <c r="AV452" s="1721">
        <f t="shared" ref="AV452:AV483" ca="1" si="958">AT452-AU452</f>
        <v>781112.37031000003</v>
      </c>
      <c r="AW452" s="1722">
        <f t="shared" ref="AW452:AW483" ca="1" si="959">IFERROR(AT452/AU452,0)</f>
        <v>0</v>
      </c>
      <c r="AX452" s="116">
        <f ca="1">SUM(INDIRECT(AX$1&amp;AX$2&amp;$A452):INDIRECT(AX$1&amp;AX$3&amp;$A452))</f>
        <v>580237</v>
      </c>
      <c r="AY452" s="1721">
        <f t="shared" ref="AY452:AY483" ca="1" si="960">AT452-AX452</f>
        <v>200875.37031000003</v>
      </c>
      <c r="AZ452" s="1722">
        <f t="shared" ref="AZ452:AZ483" ca="1" si="961">IFERROR(AT452/AX452,0)</f>
        <v>1.3461953827660078</v>
      </c>
      <c r="BB452" s="2133">
        <f ca="1">SUM((INDIRECT(BB$2&amp;(ROW())):INDIRECT(BB$3&amp;(ROW()))))</f>
        <v>2875057.73025</v>
      </c>
      <c r="BC452" s="116">
        <f ca="1">SUM(INDIRECT(BC$1&amp;BC$2&amp;$C452):INDIRECT(BC$1&amp;BC$3&amp;$C452))</f>
        <v>0</v>
      </c>
      <c r="BD452" s="1721">
        <f t="shared" ref="BD452:BD483" ca="1" si="962">BB452-BC452</f>
        <v>2875057.73025</v>
      </c>
      <c r="BE452" s="1722">
        <f t="shared" ref="BE452:BE483" ca="1" si="963">IFERROR(BB452/BC452,0)</f>
        <v>0</v>
      </c>
      <c r="BF452" s="116">
        <f ca="1">SUM(INDIRECT(BF$1&amp;BF$2&amp;$A452):INDIRECT(BF$1&amp;BF$3&amp;$A452))</f>
        <v>2152431</v>
      </c>
      <c r="BG452" s="1721">
        <f t="shared" ref="BG452:BG483" ca="1" si="964">BB452-BF452</f>
        <v>722626.73025000002</v>
      </c>
      <c r="BH452" s="1722">
        <f t="shared" ref="BH452:BH483" ca="1" si="965">IFERROR(BB452/BF452,0)</f>
        <v>1.3357258514907098</v>
      </c>
    </row>
    <row r="453" spans="1:60" ht="14.5">
      <c r="A453" s="990">
        <f t="shared" si="800"/>
        <v>404</v>
      </c>
      <c r="B453" s="990">
        <v>1</v>
      </c>
      <c r="C453" s="990">
        <f t="shared" si="946"/>
        <v>450</v>
      </c>
      <c r="E453" s="1243">
        <v>1</v>
      </c>
      <c r="I453" s="106"/>
      <c r="J453" s="105"/>
      <c r="K453" s="74" t="s">
        <v>212</v>
      </c>
      <c r="L453" s="74"/>
      <c r="M453" s="357"/>
      <c r="N453" s="357"/>
      <c r="O453" s="357"/>
      <c r="P453" s="357"/>
      <c r="Q453" s="1875" t="str">
        <f>CHOOSE(2, "6722000003372", "S/GP (1)-1 Net Sales Direct")</f>
        <v>S/GP (1)-1 Net Sales Direct</v>
      </c>
      <c r="R453" s="2134">
        <f>R454+R459+R468</f>
        <v>45015</v>
      </c>
      <c r="S453" s="403">
        <f t="shared" ref="S453:AC453" si="966">S454+S459+S468</f>
        <v>48917</v>
      </c>
      <c r="T453" s="403">
        <f t="shared" si="966"/>
        <v>54091</v>
      </c>
      <c r="U453" s="403">
        <f t="shared" si="966"/>
        <v>54386</v>
      </c>
      <c r="V453" s="403">
        <f t="shared" si="966"/>
        <v>55687.342109999998</v>
      </c>
      <c r="W453" s="403">
        <f t="shared" si="966"/>
        <v>54748</v>
      </c>
      <c r="X453" s="403">
        <f t="shared" si="966"/>
        <v>54726</v>
      </c>
      <c r="Y453" s="403">
        <f t="shared" si="966"/>
        <v>59235</v>
      </c>
      <c r="Z453" s="403">
        <f t="shared" si="966"/>
        <v>64370</v>
      </c>
      <c r="AA453" s="403">
        <f t="shared" si="966"/>
        <v>59350</v>
      </c>
      <c r="AB453" s="403">
        <f t="shared" si="966"/>
        <v>63186.224000000002</v>
      </c>
      <c r="AC453" s="403">
        <f t="shared" si="966"/>
        <v>44964</v>
      </c>
      <c r="AD453" s="403">
        <f t="shared" ref="AD453:AJ453" si="967">AD454+AD459+AD468</f>
        <v>148023</v>
      </c>
      <c r="AE453" s="403">
        <f t="shared" si="967"/>
        <v>164821.34211000003</v>
      </c>
      <c r="AF453" s="403">
        <f t="shared" si="967"/>
        <v>178331</v>
      </c>
      <c r="AG453" s="403">
        <f t="shared" si="967"/>
        <v>167500.22399999999</v>
      </c>
      <c r="AH453" s="403">
        <f t="shared" si="967"/>
        <v>312844.34210999997</v>
      </c>
      <c r="AI453" s="403">
        <f t="shared" si="967"/>
        <v>345831.22399999999</v>
      </c>
      <c r="AJ453" s="403">
        <f t="shared" si="967"/>
        <v>658675.56611000001</v>
      </c>
      <c r="AL453" s="2134">
        <f ca="1">SUM((INDIRECT(AL$2&amp;(ROW())):INDIRECT(AL$3&amp;(ROW()))))</f>
        <v>44964</v>
      </c>
      <c r="AM453" s="403">
        <f ca="1">SUM(INDIRECT(AM$1&amp;AM$2&amp;$C453):INDIRECT(AM$1&amp;AM$3&amp;$C453))</f>
        <v>0</v>
      </c>
      <c r="AN453" s="890">
        <f t="shared" ca="1" si="954"/>
        <v>44964</v>
      </c>
      <c r="AO453" s="951">
        <f t="shared" ca="1" si="955"/>
        <v>0</v>
      </c>
      <c r="AP453" s="403">
        <f ca="1">SUM(INDIRECT(AP$1&amp;AP$2&amp;$A453):INDIRECT(AP$1&amp;AP$3&amp;$A453))</f>
        <v>53284</v>
      </c>
      <c r="AQ453" s="890">
        <f t="shared" ca="1" si="956"/>
        <v>-8320</v>
      </c>
      <c r="AR453" s="951">
        <f t="shared" ca="1" si="957"/>
        <v>0.84385556639891901</v>
      </c>
      <c r="AT453" s="2134">
        <f ca="1">SUM((INDIRECT(AT$2&amp;(ROW())):INDIRECT(AT$3&amp;(ROW()))))</f>
        <v>167500.22399999999</v>
      </c>
      <c r="AU453" s="403">
        <f ca="1">SUM(INDIRECT(AU$1&amp;AU$2&amp;$C453):INDIRECT(AU$1&amp;AU$3&amp;$C453))</f>
        <v>0</v>
      </c>
      <c r="AV453" s="890">
        <f t="shared" ca="1" si="958"/>
        <v>167500.22399999999</v>
      </c>
      <c r="AW453" s="951">
        <f t="shared" ca="1" si="959"/>
        <v>0</v>
      </c>
      <c r="AX453" s="403">
        <f ca="1">SUM(INDIRECT(AX$1&amp;AX$2&amp;$A453):INDIRECT(AX$1&amp;AX$3&amp;$A453))</f>
        <v>145141</v>
      </c>
      <c r="AY453" s="890">
        <f t="shared" ca="1" si="960"/>
        <v>22359.223999999987</v>
      </c>
      <c r="AZ453" s="951">
        <f t="shared" ca="1" si="961"/>
        <v>1.1540517427880475</v>
      </c>
      <c r="BB453" s="2134">
        <f ca="1">SUM((INDIRECT(BB$2&amp;(ROW())):INDIRECT(BB$3&amp;(ROW()))))</f>
        <v>658675.56611000001</v>
      </c>
      <c r="BC453" s="403">
        <f ca="1">SUM(INDIRECT(BC$1&amp;BC$2&amp;$C453):INDIRECT(BC$1&amp;BC$3&amp;$C453))</f>
        <v>0</v>
      </c>
      <c r="BD453" s="890">
        <f t="shared" ca="1" si="962"/>
        <v>658675.56611000001</v>
      </c>
      <c r="BE453" s="951">
        <f t="shared" ca="1" si="963"/>
        <v>0</v>
      </c>
      <c r="BF453" s="403">
        <f ca="1">SUM(INDIRECT(BF$1&amp;BF$2&amp;$A453):INDIRECT(BF$1&amp;BF$3&amp;$A453))</f>
        <v>547986</v>
      </c>
      <c r="BG453" s="890">
        <f t="shared" ca="1" si="964"/>
        <v>110689.56611000001</v>
      </c>
      <c r="BH453" s="951">
        <f t="shared" ca="1" si="965"/>
        <v>1.2019934197406503</v>
      </c>
    </row>
    <row r="454" spans="1:60" ht="14.5">
      <c r="A454" s="990">
        <f t="shared" si="800"/>
        <v>405</v>
      </c>
      <c r="B454" s="990">
        <v>1</v>
      </c>
      <c r="C454" s="990">
        <f t="shared" si="946"/>
        <v>451</v>
      </c>
      <c r="E454" s="1243">
        <v>1</v>
      </c>
      <c r="I454" s="106"/>
      <c r="J454" s="105"/>
      <c r="K454" s="74"/>
      <c r="L454" s="74"/>
      <c r="M454" s="9" t="s">
        <v>354</v>
      </c>
      <c r="N454" s="363"/>
      <c r="O454" s="363"/>
      <c r="P454" s="363"/>
      <c r="Q454" s="1843" t="str">
        <f>CHOOSE(2, "6722000003373", "S/GP (1)-1 Net Sales Direct HW")</f>
        <v>S/GP (1)-1 Net Sales Direct HW</v>
      </c>
      <c r="R454" s="365">
        <f>R455+R458</f>
        <v>22518</v>
      </c>
      <c r="S454" s="365">
        <f t="shared" ref="S454:AC454" si="968">S455+S458</f>
        <v>23635</v>
      </c>
      <c r="T454" s="365">
        <f t="shared" si="968"/>
        <v>29493</v>
      </c>
      <c r="U454" s="365">
        <f t="shared" si="968"/>
        <v>31693</v>
      </c>
      <c r="V454" s="365">
        <f t="shared" si="968"/>
        <v>27377.857</v>
      </c>
      <c r="W454" s="365">
        <f t="shared" si="968"/>
        <v>31593</v>
      </c>
      <c r="X454" s="365">
        <f t="shared" si="968"/>
        <v>30066</v>
      </c>
      <c r="Y454" s="365">
        <f t="shared" si="968"/>
        <v>30010</v>
      </c>
      <c r="Z454" s="365">
        <f t="shared" si="968"/>
        <v>38145</v>
      </c>
      <c r="AA454" s="365">
        <f t="shared" si="968"/>
        <v>33315</v>
      </c>
      <c r="AB454" s="365">
        <f t="shared" si="968"/>
        <v>35922.224000000002</v>
      </c>
      <c r="AC454" s="365">
        <f t="shared" si="968"/>
        <v>23681</v>
      </c>
      <c r="AD454" s="1536">
        <f t="shared" ref="AD454:AJ454" si="969">AD455+AD458</f>
        <v>75646</v>
      </c>
      <c r="AE454" s="365">
        <f t="shared" si="969"/>
        <v>90663.857000000004</v>
      </c>
      <c r="AF454" s="365">
        <f t="shared" si="969"/>
        <v>98221</v>
      </c>
      <c r="AG454" s="365">
        <f t="shared" si="969"/>
        <v>92918.224000000002</v>
      </c>
      <c r="AH454" s="365">
        <f t="shared" si="969"/>
        <v>166309.85699999999</v>
      </c>
      <c r="AI454" s="365">
        <f t="shared" si="969"/>
        <v>191139.22399999999</v>
      </c>
      <c r="AJ454" s="365">
        <f t="shared" si="969"/>
        <v>357449.08100000001</v>
      </c>
      <c r="AL454" s="365">
        <f ca="1">SUM((INDIRECT(AL$2&amp;(ROW())):INDIRECT(AL$3&amp;(ROW()))))</f>
        <v>23681</v>
      </c>
      <c r="AM454" s="365">
        <f ca="1">SUM(INDIRECT(AM$1&amp;AM$2&amp;$C454):INDIRECT(AM$1&amp;AM$3&amp;$C454))</f>
        <v>0</v>
      </c>
      <c r="AN454" s="891">
        <f t="shared" ca="1" si="954"/>
        <v>23681</v>
      </c>
      <c r="AO454" s="952">
        <f t="shared" ca="1" si="955"/>
        <v>0</v>
      </c>
      <c r="AP454" s="365">
        <f ca="1">SUM(INDIRECT(AP$1&amp;AP$2&amp;$A454):INDIRECT(AP$1&amp;AP$3&amp;$A454))</f>
        <v>31039</v>
      </c>
      <c r="AQ454" s="891">
        <f t="shared" ca="1" si="956"/>
        <v>-7358</v>
      </c>
      <c r="AR454" s="952">
        <f t="shared" ca="1" si="957"/>
        <v>0.76294339379490317</v>
      </c>
      <c r="AT454" s="365">
        <f ca="1">SUM((INDIRECT(AT$2&amp;(ROW())):INDIRECT(AT$3&amp;(ROW()))))</f>
        <v>92918.224000000002</v>
      </c>
      <c r="AU454" s="365">
        <f ca="1">SUM(INDIRECT(AU$1&amp;AU$2&amp;$C454):INDIRECT(AU$1&amp;AU$3&amp;$C454))</f>
        <v>0</v>
      </c>
      <c r="AV454" s="891">
        <f t="shared" ca="1" si="958"/>
        <v>92918.224000000002</v>
      </c>
      <c r="AW454" s="952">
        <f t="shared" ca="1" si="959"/>
        <v>0</v>
      </c>
      <c r="AX454" s="365">
        <f ca="1">SUM(INDIRECT(AX$1&amp;AX$2&amp;$A454):INDIRECT(AX$1&amp;AX$3&amp;$A454))</f>
        <v>79590</v>
      </c>
      <c r="AY454" s="891">
        <f t="shared" ca="1" si="960"/>
        <v>13328.224000000002</v>
      </c>
      <c r="AZ454" s="952">
        <f t="shared" ca="1" si="961"/>
        <v>1.1674610378188215</v>
      </c>
      <c r="BB454" s="365">
        <f ca="1">SUM((INDIRECT(BB$2&amp;(ROW())):INDIRECT(BB$3&amp;(ROW()))))</f>
        <v>357449.08099999995</v>
      </c>
      <c r="BC454" s="365">
        <f ca="1">SUM(INDIRECT(BC$1&amp;BC$2&amp;$C454):INDIRECT(BC$1&amp;BC$3&amp;$C454))</f>
        <v>0</v>
      </c>
      <c r="BD454" s="891">
        <f t="shared" ca="1" si="962"/>
        <v>357449.08099999995</v>
      </c>
      <c r="BE454" s="952">
        <f t="shared" ca="1" si="963"/>
        <v>0</v>
      </c>
      <c r="BF454" s="365">
        <f ca="1">SUM(INDIRECT(BF$1&amp;BF$2&amp;$A454):INDIRECT(BF$1&amp;BF$3&amp;$A454))</f>
        <v>318171</v>
      </c>
      <c r="BG454" s="891">
        <f t="shared" ca="1" si="964"/>
        <v>39278.080999999947</v>
      </c>
      <c r="BH454" s="952">
        <f t="shared" ca="1" si="965"/>
        <v>1.1234495947147916</v>
      </c>
    </row>
    <row r="455" spans="1:60" ht="14.5">
      <c r="A455" s="990">
        <f t="shared" si="800"/>
        <v>406</v>
      </c>
      <c r="B455" s="990">
        <v>1</v>
      </c>
      <c r="C455" s="990">
        <f t="shared" si="946"/>
        <v>452</v>
      </c>
      <c r="E455" s="1243">
        <v>1</v>
      </c>
      <c r="I455" s="106"/>
      <c r="J455" s="105"/>
      <c r="K455" s="74"/>
      <c r="L455" s="74"/>
      <c r="N455" s="111" t="s">
        <v>355</v>
      </c>
      <c r="O455" s="111"/>
      <c r="P455" s="111"/>
      <c r="Q455" s="1843" t="str">
        <f>CHOOSE(2, "6722000003374", "S/GP (1)-1 Net Sales Direct HW KMI")</f>
        <v>S/GP (1)-1 Net Sales Direct HW KMI</v>
      </c>
      <c r="R455" s="109">
        <f>SUM(R456:R457)</f>
        <v>22518</v>
      </c>
      <c r="S455" s="109">
        <f t="shared" ref="S455:AC455" si="970">SUM(S456:S457)</f>
        <v>23635</v>
      </c>
      <c r="T455" s="109">
        <f t="shared" si="970"/>
        <v>29493</v>
      </c>
      <c r="U455" s="109">
        <f t="shared" si="970"/>
        <v>31693</v>
      </c>
      <c r="V455" s="109">
        <f>SUM(V456:V457)</f>
        <v>27377.857</v>
      </c>
      <c r="W455" s="109">
        <f t="shared" si="970"/>
        <v>31593</v>
      </c>
      <c r="X455" s="109">
        <f t="shared" si="970"/>
        <v>30066</v>
      </c>
      <c r="Y455" s="109">
        <f t="shared" si="970"/>
        <v>30010</v>
      </c>
      <c r="Z455" s="109">
        <f t="shared" si="970"/>
        <v>38145</v>
      </c>
      <c r="AA455" s="109">
        <f t="shared" si="970"/>
        <v>33315</v>
      </c>
      <c r="AB455" s="109">
        <f t="shared" si="970"/>
        <v>35922.224000000002</v>
      </c>
      <c r="AC455" s="109">
        <f t="shared" si="970"/>
        <v>23681</v>
      </c>
      <c r="AD455" s="1537">
        <f t="shared" ref="AD455:AJ455" si="971">SUM(AD456:AD457)</f>
        <v>75646</v>
      </c>
      <c r="AE455" s="109">
        <f t="shared" si="971"/>
        <v>90663.857000000004</v>
      </c>
      <c r="AF455" s="109">
        <f t="shared" si="971"/>
        <v>98221</v>
      </c>
      <c r="AG455" s="109">
        <f t="shared" si="971"/>
        <v>92918.224000000002</v>
      </c>
      <c r="AH455" s="109">
        <f t="shared" si="971"/>
        <v>166309.85699999999</v>
      </c>
      <c r="AI455" s="109">
        <f t="shared" si="971"/>
        <v>191139.22399999999</v>
      </c>
      <c r="AJ455" s="109">
        <f t="shared" si="971"/>
        <v>357449.08100000001</v>
      </c>
      <c r="AL455" s="109">
        <f ca="1">SUM((INDIRECT(AL$2&amp;(ROW())):INDIRECT(AL$3&amp;(ROW()))))</f>
        <v>23681</v>
      </c>
      <c r="AM455" s="109">
        <f ca="1">SUM(INDIRECT(AM$1&amp;AM$2&amp;$C455):INDIRECT(AM$1&amp;AM$3&amp;$C455))</f>
        <v>0</v>
      </c>
      <c r="AN455" s="892">
        <f t="shared" ca="1" si="954"/>
        <v>23681</v>
      </c>
      <c r="AO455" s="953">
        <f t="shared" ca="1" si="955"/>
        <v>0</v>
      </c>
      <c r="AP455" s="109">
        <f ca="1">SUM(INDIRECT(AP$1&amp;AP$2&amp;$A455):INDIRECT(AP$1&amp;AP$3&amp;$A455))</f>
        <v>31039</v>
      </c>
      <c r="AQ455" s="892">
        <f t="shared" ca="1" si="956"/>
        <v>-7358</v>
      </c>
      <c r="AR455" s="953">
        <f t="shared" ca="1" si="957"/>
        <v>0.76294339379490317</v>
      </c>
      <c r="AT455" s="109">
        <f ca="1">SUM((INDIRECT(AT$2&amp;(ROW())):INDIRECT(AT$3&amp;(ROW()))))</f>
        <v>92918.224000000002</v>
      </c>
      <c r="AU455" s="109">
        <f ca="1">SUM(INDIRECT(AU$1&amp;AU$2&amp;$C455):INDIRECT(AU$1&amp;AU$3&amp;$C455))</f>
        <v>0</v>
      </c>
      <c r="AV455" s="892">
        <f t="shared" ca="1" si="958"/>
        <v>92918.224000000002</v>
      </c>
      <c r="AW455" s="953">
        <f t="shared" ca="1" si="959"/>
        <v>0</v>
      </c>
      <c r="AX455" s="109">
        <f ca="1">SUM(INDIRECT(AX$1&amp;AX$2&amp;$A455):INDIRECT(AX$1&amp;AX$3&amp;$A455))</f>
        <v>79590</v>
      </c>
      <c r="AY455" s="892">
        <f t="shared" ca="1" si="960"/>
        <v>13328.224000000002</v>
      </c>
      <c r="AZ455" s="953">
        <f t="shared" ca="1" si="961"/>
        <v>1.1674610378188215</v>
      </c>
      <c r="BB455" s="109">
        <f ca="1">SUM((INDIRECT(BB$2&amp;(ROW())):INDIRECT(BB$3&amp;(ROW()))))</f>
        <v>357449.08099999995</v>
      </c>
      <c r="BC455" s="109">
        <f ca="1">SUM(INDIRECT(BC$1&amp;BC$2&amp;$C455):INDIRECT(BC$1&amp;BC$3&amp;$C455))</f>
        <v>0</v>
      </c>
      <c r="BD455" s="892">
        <f t="shared" ca="1" si="962"/>
        <v>357449.08099999995</v>
      </c>
      <c r="BE455" s="953">
        <f t="shared" ca="1" si="963"/>
        <v>0</v>
      </c>
      <c r="BF455" s="109">
        <f ca="1">SUM(INDIRECT(BF$1&amp;BF$2&amp;$A455):INDIRECT(BF$1&amp;BF$3&amp;$A455))</f>
        <v>318171</v>
      </c>
      <c r="BG455" s="892">
        <f t="shared" ca="1" si="964"/>
        <v>39278.080999999947</v>
      </c>
      <c r="BH455" s="953">
        <f t="shared" ca="1" si="965"/>
        <v>1.1234495947147916</v>
      </c>
    </row>
    <row r="456" spans="1:60" ht="14.5">
      <c r="A456" s="990">
        <f t="shared" si="800"/>
        <v>407</v>
      </c>
      <c r="B456" s="990">
        <v>1</v>
      </c>
      <c r="C456" s="990">
        <f t="shared" si="946"/>
        <v>453</v>
      </c>
      <c r="E456" s="1243">
        <v>1</v>
      </c>
      <c r="I456" s="106"/>
      <c r="J456" s="105"/>
      <c r="K456" s="74"/>
      <c r="L456" s="74"/>
      <c r="O456" s="111" t="s">
        <v>356</v>
      </c>
      <c r="P456" s="111"/>
      <c r="Q456" s="1845" t="str">
        <f>CHOOSE(2, "6722000003375", "S/GP (1)-1 Net Sales Direct HW KMI Office A3")</f>
        <v>S/GP (1)-1 Net Sales Direct HW KMI Office A3</v>
      </c>
      <c r="R456" s="2042">
        <v>21795</v>
      </c>
      <c r="S456" s="2042">
        <v>23167</v>
      </c>
      <c r="T456" s="2042">
        <v>27951</v>
      </c>
      <c r="U456" s="2042">
        <v>30952</v>
      </c>
      <c r="V456" s="2042">
        <v>26680</v>
      </c>
      <c r="W456" s="2042">
        <v>30741</v>
      </c>
      <c r="X456" s="2042">
        <v>29576</v>
      </c>
      <c r="Y456" s="2042">
        <v>29344</v>
      </c>
      <c r="Z456" s="2042">
        <v>36217</v>
      </c>
      <c r="AA456" s="2042">
        <v>32267</v>
      </c>
      <c r="AB456" s="2042">
        <v>34917.224000000002</v>
      </c>
      <c r="AC456" s="2042">
        <v>22529</v>
      </c>
      <c r="AD456" s="1537">
        <f>SUM(R456,S456,T456)</f>
        <v>72913</v>
      </c>
      <c r="AE456" s="108">
        <f t="shared" ref="AE456:AE458" si="972">SUM(U456,V456,W456)</f>
        <v>88373</v>
      </c>
      <c r="AF456" s="108">
        <f t="shared" ref="AF456:AF458" si="973">SUM(X456,Y456,Z456)</f>
        <v>95137</v>
      </c>
      <c r="AG456" s="108">
        <f t="shared" ref="AG456:AG458" si="974">SUM(AA456,AB456,AC456)</f>
        <v>89713.224000000002</v>
      </c>
      <c r="AH456" s="108">
        <f>AD456+AE456</f>
        <v>161286</v>
      </c>
      <c r="AI456" s="108">
        <f>AG456+AF456</f>
        <v>184850.22399999999</v>
      </c>
      <c r="AJ456" s="108">
        <f>AH456+AI456</f>
        <v>346136.22399999999</v>
      </c>
      <c r="AL456" s="108">
        <f ca="1">SUM((INDIRECT(AL$2&amp;(ROW())):INDIRECT(AL$3&amp;(ROW()))))</f>
        <v>22529</v>
      </c>
      <c r="AM456" s="108">
        <f ca="1">SUM(INDIRECT(AM$1&amp;AM$2&amp;$C456):INDIRECT(AM$1&amp;AM$3&amp;$C456))</f>
        <v>0</v>
      </c>
      <c r="AN456" s="893">
        <f t="shared" ca="1" si="954"/>
        <v>22529</v>
      </c>
      <c r="AO456" s="954">
        <f t="shared" ca="1" si="955"/>
        <v>0</v>
      </c>
      <c r="AP456" s="108">
        <f ca="1">SUM(INDIRECT(AP$1&amp;AP$2&amp;$A456):INDIRECT(AP$1&amp;AP$3&amp;$A456))</f>
        <v>30570</v>
      </c>
      <c r="AQ456" s="893">
        <f t="shared" ca="1" si="956"/>
        <v>-8041</v>
      </c>
      <c r="AR456" s="954">
        <f t="shared" ca="1" si="957"/>
        <v>0.73696434412823031</v>
      </c>
      <c r="AT456" s="108">
        <f ca="1">SUM((INDIRECT(AT$2&amp;(ROW())):INDIRECT(AT$3&amp;(ROW()))))</f>
        <v>89713.224000000002</v>
      </c>
      <c r="AU456" s="108">
        <f ca="1">SUM(INDIRECT(AU$1&amp;AU$2&amp;$C456):INDIRECT(AU$1&amp;AU$3&amp;$C456))</f>
        <v>0</v>
      </c>
      <c r="AV456" s="893">
        <f t="shared" ca="1" si="958"/>
        <v>89713.224000000002</v>
      </c>
      <c r="AW456" s="954">
        <f t="shared" ca="1" si="959"/>
        <v>0</v>
      </c>
      <c r="AX456" s="108">
        <f ca="1">SUM(INDIRECT(AX$1&amp;AX$2&amp;$A456):INDIRECT(AX$1&amp;AX$3&amp;$A456))</f>
        <v>78049</v>
      </c>
      <c r="AY456" s="893">
        <f t="shared" ca="1" si="960"/>
        <v>11664.224000000002</v>
      </c>
      <c r="AZ456" s="954">
        <f t="shared" ca="1" si="961"/>
        <v>1.1494474496790479</v>
      </c>
      <c r="BB456" s="108">
        <f ca="1">SUM((INDIRECT(BB$2&amp;(ROW())):INDIRECT(BB$3&amp;(ROW()))))</f>
        <v>346136.22399999999</v>
      </c>
      <c r="BC456" s="108">
        <f ca="1">SUM(INDIRECT(BC$1&amp;BC$2&amp;$C456):INDIRECT(BC$1&amp;BC$3&amp;$C456))</f>
        <v>0</v>
      </c>
      <c r="BD456" s="893">
        <f t="shared" ca="1" si="962"/>
        <v>346136.22399999999</v>
      </c>
      <c r="BE456" s="954">
        <f t="shared" ca="1" si="963"/>
        <v>0</v>
      </c>
      <c r="BF456" s="108">
        <f ca="1">SUM(INDIRECT(BF$1&amp;BF$2&amp;$A456):INDIRECT(BF$1&amp;BF$3&amp;$A456))</f>
        <v>310171</v>
      </c>
      <c r="BG456" s="893">
        <f t="shared" ca="1" si="964"/>
        <v>35965.223999999987</v>
      </c>
      <c r="BH456" s="954">
        <f t="shared" ca="1" si="965"/>
        <v>1.1159528905023357</v>
      </c>
    </row>
    <row r="457" spans="1:60" ht="14.5">
      <c r="A457" s="990">
        <f t="shared" si="800"/>
        <v>408</v>
      </c>
      <c r="B457" s="990">
        <v>1</v>
      </c>
      <c r="C457" s="990">
        <f t="shared" si="946"/>
        <v>454</v>
      </c>
      <c r="E457" s="1243">
        <v>1</v>
      </c>
      <c r="I457" s="106"/>
      <c r="J457" s="105"/>
      <c r="K457" s="74"/>
      <c r="L457" s="74"/>
      <c r="N457" s="363"/>
      <c r="O457" s="363" t="s">
        <v>357</v>
      </c>
      <c r="P457" s="363"/>
      <c r="Q457" s="1845" t="str">
        <f>CHOOSE(2, "6722000003376", "S/GP (1)-1 Net Sales Direct HW KMI Office A4")</f>
        <v>S/GP (1)-1 Net Sales Direct HW KMI Office A4</v>
      </c>
      <c r="R457" s="2052">
        <v>723</v>
      </c>
      <c r="S457" s="2052">
        <v>468</v>
      </c>
      <c r="T457" s="2052">
        <v>1542</v>
      </c>
      <c r="U457" s="2052">
        <v>741</v>
      </c>
      <c r="V457" s="2052">
        <v>697.85699999999997</v>
      </c>
      <c r="W457" s="2052">
        <v>852</v>
      </c>
      <c r="X457" s="2052">
        <v>490</v>
      </c>
      <c r="Y457" s="2052">
        <v>666</v>
      </c>
      <c r="Z457" s="2052">
        <v>1928</v>
      </c>
      <c r="AA457" s="2052">
        <v>1048</v>
      </c>
      <c r="AB457" s="2052">
        <v>1005</v>
      </c>
      <c r="AC457" s="2052">
        <v>1152</v>
      </c>
      <c r="AD457" s="1536">
        <f>SUM(R457,S457,T457)</f>
        <v>2733</v>
      </c>
      <c r="AE457" s="378">
        <f t="shared" si="972"/>
        <v>2290.857</v>
      </c>
      <c r="AF457" s="378">
        <f t="shared" si="973"/>
        <v>3084</v>
      </c>
      <c r="AG457" s="378">
        <f t="shared" si="974"/>
        <v>3205</v>
      </c>
      <c r="AH457" s="378">
        <f>AD457+AE457</f>
        <v>5023.857</v>
      </c>
      <c r="AI457" s="378">
        <f>AG457+AF457</f>
        <v>6289</v>
      </c>
      <c r="AJ457" s="378">
        <f>AH457+AI457</f>
        <v>11312.857</v>
      </c>
      <c r="AL457" s="378">
        <f ca="1">SUM((INDIRECT(AL$2&amp;(ROW())):INDIRECT(AL$3&amp;(ROW()))))</f>
        <v>1152</v>
      </c>
      <c r="AM457" s="378">
        <f ca="1">SUM(INDIRECT(AM$1&amp;AM$2&amp;$C457):INDIRECT(AM$1&amp;AM$3&amp;$C457))</f>
        <v>0</v>
      </c>
      <c r="AN457" s="894">
        <f t="shared" ca="1" si="954"/>
        <v>1152</v>
      </c>
      <c r="AO457" s="955">
        <f t="shared" ca="1" si="955"/>
        <v>0</v>
      </c>
      <c r="AP457" s="378">
        <f ca="1">SUM(INDIRECT(AP$1&amp;AP$2&amp;$A457):INDIRECT(AP$1&amp;AP$3&amp;$A457))</f>
        <v>469</v>
      </c>
      <c r="AQ457" s="894">
        <f t="shared" ca="1" si="956"/>
        <v>683</v>
      </c>
      <c r="AR457" s="955">
        <f t="shared" ca="1" si="957"/>
        <v>2.4562899786780386</v>
      </c>
      <c r="AT457" s="378">
        <f ca="1">SUM((INDIRECT(AT$2&amp;(ROW())):INDIRECT(AT$3&amp;(ROW()))))</f>
        <v>3205</v>
      </c>
      <c r="AU457" s="378">
        <f ca="1">SUM(INDIRECT(AU$1&amp;AU$2&amp;$C457):INDIRECT(AU$1&amp;AU$3&amp;$C457))</f>
        <v>0</v>
      </c>
      <c r="AV457" s="894">
        <f t="shared" ca="1" si="958"/>
        <v>3205</v>
      </c>
      <c r="AW457" s="955">
        <f t="shared" ca="1" si="959"/>
        <v>0</v>
      </c>
      <c r="AX457" s="378">
        <f ca="1">SUM(INDIRECT(AX$1&amp;AX$2&amp;$A457):INDIRECT(AX$1&amp;AX$3&amp;$A457))</f>
        <v>1541</v>
      </c>
      <c r="AY457" s="894">
        <f t="shared" ca="1" si="960"/>
        <v>1664</v>
      </c>
      <c r="AZ457" s="955">
        <f t="shared" ca="1" si="961"/>
        <v>2.0798182998053214</v>
      </c>
      <c r="BB457" s="378">
        <f ca="1">SUM((INDIRECT(BB$2&amp;(ROW())):INDIRECT(BB$3&amp;(ROW()))))</f>
        <v>11312.857</v>
      </c>
      <c r="BC457" s="378">
        <f ca="1">SUM(INDIRECT(BC$1&amp;BC$2&amp;$C457):INDIRECT(BC$1&amp;BC$3&amp;$C457))</f>
        <v>0</v>
      </c>
      <c r="BD457" s="894">
        <f t="shared" ca="1" si="962"/>
        <v>11312.857</v>
      </c>
      <c r="BE457" s="955">
        <f t="shared" ca="1" si="963"/>
        <v>0</v>
      </c>
      <c r="BF457" s="378">
        <f ca="1">SUM(INDIRECT(BF$1&amp;BF$2&amp;$A457):INDIRECT(BF$1&amp;BF$3&amp;$A457))</f>
        <v>8000</v>
      </c>
      <c r="BG457" s="894">
        <f t="shared" ca="1" si="964"/>
        <v>3312.857</v>
      </c>
      <c r="BH457" s="955">
        <f t="shared" ca="1" si="965"/>
        <v>1.4141071249999999</v>
      </c>
    </row>
    <row r="458" spans="1:60" ht="14.5" collapsed="1">
      <c r="A458" s="990">
        <f t="shared" si="800"/>
        <v>409</v>
      </c>
      <c r="B458" s="990">
        <v>1</v>
      </c>
      <c r="C458" s="990">
        <f t="shared" si="946"/>
        <v>455</v>
      </c>
      <c r="E458" s="1243">
        <v>1</v>
      </c>
      <c r="I458" s="106"/>
      <c r="J458" s="105"/>
      <c r="K458" s="74"/>
      <c r="L458" s="74"/>
      <c r="M458" s="12"/>
      <c r="N458" s="366" t="s">
        <v>358</v>
      </c>
      <c r="O458" s="366"/>
      <c r="P458" s="366"/>
      <c r="Q458" s="1845" t="str">
        <f>CHOOSE(2, "6722000003377", "S/GP (1)-1 Net Sales Direct HW 3rd Party")</f>
        <v>S/GP (1)-1 Net Sales Direct HW 3rd Party</v>
      </c>
      <c r="R458" s="2053">
        <v>0</v>
      </c>
      <c r="S458" s="2053">
        <v>0</v>
      </c>
      <c r="T458" s="2053">
        <v>0</v>
      </c>
      <c r="U458" s="2053">
        <v>0</v>
      </c>
      <c r="V458" s="2053">
        <v>0</v>
      </c>
      <c r="W458" s="2053">
        <v>0</v>
      </c>
      <c r="X458" s="2053">
        <v>0</v>
      </c>
      <c r="Y458" s="2053">
        <v>0</v>
      </c>
      <c r="Z458" s="2053">
        <v>0</v>
      </c>
      <c r="AA458" s="2053">
        <v>0</v>
      </c>
      <c r="AB458" s="2053">
        <v>0</v>
      </c>
      <c r="AC458" s="2053">
        <v>0</v>
      </c>
      <c r="AD458" s="1538">
        <f>SUM(R458,S458,T458)</f>
        <v>0</v>
      </c>
      <c r="AE458" s="379">
        <f t="shared" si="972"/>
        <v>0</v>
      </c>
      <c r="AF458" s="379">
        <f t="shared" si="973"/>
        <v>0</v>
      </c>
      <c r="AG458" s="379">
        <f t="shared" si="974"/>
        <v>0</v>
      </c>
      <c r="AH458" s="379">
        <f>AD458+AE458</f>
        <v>0</v>
      </c>
      <c r="AI458" s="379">
        <f>AG458+AF458</f>
        <v>0</v>
      </c>
      <c r="AJ458" s="379">
        <f>AH458+AI458</f>
        <v>0</v>
      </c>
      <c r="AL458" s="379">
        <f ca="1">SUM((INDIRECT(AL$2&amp;(ROW())):INDIRECT(AL$3&amp;(ROW()))))</f>
        <v>0</v>
      </c>
      <c r="AM458" s="379">
        <f ca="1">SUM(INDIRECT(AM$1&amp;AM$2&amp;$C458):INDIRECT(AM$1&amp;AM$3&amp;$C458))</f>
        <v>0</v>
      </c>
      <c r="AN458" s="895">
        <f t="shared" ca="1" si="954"/>
        <v>0</v>
      </c>
      <c r="AO458" s="956">
        <f t="shared" ca="1" si="955"/>
        <v>0</v>
      </c>
      <c r="AP458" s="379">
        <f ca="1">SUM(INDIRECT(AP$1&amp;AP$2&amp;$A458):INDIRECT(AP$1&amp;AP$3&amp;$A458))</f>
        <v>0</v>
      </c>
      <c r="AQ458" s="895">
        <f t="shared" ca="1" si="956"/>
        <v>0</v>
      </c>
      <c r="AR458" s="956">
        <f t="shared" ca="1" si="957"/>
        <v>0</v>
      </c>
      <c r="AT458" s="379">
        <f ca="1">SUM((INDIRECT(AT$2&amp;(ROW())):INDIRECT(AT$3&amp;(ROW()))))</f>
        <v>0</v>
      </c>
      <c r="AU458" s="379">
        <f ca="1">SUM(INDIRECT(AU$1&amp;AU$2&amp;$C458):INDIRECT(AU$1&amp;AU$3&amp;$C458))</f>
        <v>0</v>
      </c>
      <c r="AV458" s="895">
        <f t="shared" ca="1" si="958"/>
        <v>0</v>
      </c>
      <c r="AW458" s="956">
        <f t="shared" ca="1" si="959"/>
        <v>0</v>
      </c>
      <c r="AX458" s="379">
        <f ca="1">SUM(INDIRECT(AX$1&amp;AX$2&amp;$A458):INDIRECT(AX$1&amp;AX$3&amp;$A458))</f>
        <v>0</v>
      </c>
      <c r="AY458" s="895">
        <f t="shared" ca="1" si="960"/>
        <v>0</v>
      </c>
      <c r="AZ458" s="956">
        <f t="shared" ca="1" si="961"/>
        <v>0</v>
      </c>
      <c r="BB458" s="379">
        <f ca="1">SUM((INDIRECT(BB$2&amp;(ROW())):INDIRECT(BB$3&amp;(ROW()))))</f>
        <v>0</v>
      </c>
      <c r="BC458" s="379">
        <f ca="1">SUM(INDIRECT(BC$1&amp;BC$2&amp;$C458):INDIRECT(BC$1&amp;BC$3&amp;$C458))</f>
        <v>0</v>
      </c>
      <c r="BD458" s="895">
        <f t="shared" ca="1" si="962"/>
        <v>0</v>
      </c>
      <c r="BE458" s="956">
        <f t="shared" ca="1" si="963"/>
        <v>0</v>
      </c>
      <c r="BF458" s="379">
        <f ca="1">SUM(INDIRECT(BF$1&amp;BF$2&amp;$A458):INDIRECT(BF$1&amp;BF$3&amp;$A458))</f>
        <v>0</v>
      </c>
      <c r="BG458" s="895">
        <f t="shared" ca="1" si="964"/>
        <v>0</v>
      </c>
      <c r="BH458" s="956">
        <f t="shared" ca="1" si="965"/>
        <v>0</v>
      </c>
    </row>
    <row r="459" spans="1:60" ht="14.5">
      <c r="A459" s="990">
        <f t="shared" si="800"/>
        <v>410</v>
      </c>
      <c r="B459" s="990">
        <v>1</v>
      </c>
      <c r="C459" s="990">
        <f t="shared" si="946"/>
        <v>456</v>
      </c>
      <c r="E459" s="1243">
        <v>1</v>
      </c>
      <c r="I459" s="106"/>
      <c r="J459" s="105"/>
      <c r="K459" s="74"/>
      <c r="L459" s="74"/>
      <c r="M459" s="9" t="s">
        <v>359</v>
      </c>
      <c r="N459" s="362"/>
      <c r="O459" s="362"/>
      <c r="P459" s="362"/>
      <c r="Q459" s="1843" t="str">
        <f>CHOOSE(2, "6722000003378", "S/GP (1)-1 Net Sales Direct NH")</f>
        <v>S/GP (1)-1 Net Sales Direct NH</v>
      </c>
      <c r="R459" s="361">
        <f>R460+R467</f>
        <v>22497</v>
      </c>
      <c r="S459" s="361">
        <f t="shared" ref="S459:AC459" si="975">S460+S467</f>
        <v>25282</v>
      </c>
      <c r="T459" s="361">
        <f t="shared" si="975"/>
        <v>24598</v>
      </c>
      <c r="U459" s="361">
        <f t="shared" si="975"/>
        <v>22693</v>
      </c>
      <c r="V459" s="361">
        <f t="shared" si="975"/>
        <v>28309.485109999998</v>
      </c>
      <c r="W459" s="361">
        <f t="shared" si="975"/>
        <v>23155</v>
      </c>
      <c r="X459" s="361">
        <f t="shared" si="975"/>
        <v>24660</v>
      </c>
      <c r="Y459" s="361">
        <f t="shared" si="975"/>
        <v>29225</v>
      </c>
      <c r="Z459" s="361">
        <f t="shared" si="975"/>
        <v>26225</v>
      </c>
      <c r="AA459" s="361">
        <f t="shared" si="975"/>
        <v>26035</v>
      </c>
      <c r="AB459" s="361">
        <f t="shared" si="975"/>
        <v>27264</v>
      </c>
      <c r="AC459" s="361">
        <f t="shared" si="975"/>
        <v>21283</v>
      </c>
      <c r="AD459" s="1539">
        <f t="shared" ref="AD459:AJ459" si="976">AD460+AD467</f>
        <v>72377</v>
      </c>
      <c r="AE459" s="381">
        <f t="shared" si="976"/>
        <v>74157.485110000009</v>
      </c>
      <c r="AF459" s="381">
        <f t="shared" si="976"/>
        <v>80110</v>
      </c>
      <c r="AG459" s="381">
        <f t="shared" si="976"/>
        <v>74582</v>
      </c>
      <c r="AH459" s="381">
        <f t="shared" si="976"/>
        <v>146534.48511000001</v>
      </c>
      <c r="AI459" s="381">
        <f t="shared" si="976"/>
        <v>154692</v>
      </c>
      <c r="AJ459" s="381">
        <f t="shared" si="976"/>
        <v>301226.48511000001</v>
      </c>
      <c r="AL459" s="381">
        <f ca="1">SUM((INDIRECT(AL$2&amp;(ROW())):INDIRECT(AL$3&amp;(ROW()))))</f>
        <v>21283</v>
      </c>
      <c r="AM459" s="381">
        <f ca="1">SUM(INDIRECT(AM$1&amp;AM$2&amp;$C459):INDIRECT(AM$1&amp;AM$3&amp;$C459))</f>
        <v>0</v>
      </c>
      <c r="AN459" s="896">
        <f t="shared" ca="1" si="954"/>
        <v>21283</v>
      </c>
      <c r="AO459" s="957">
        <f t="shared" ca="1" si="955"/>
        <v>0</v>
      </c>
      <c r="AP459" s="381">
        <f ca="1">SUM(INDIRECT(AP$1&amp;AP$2&amp;$A459):INDIRECT(AP$1&amp;AP$3&amp;$A459))</f>
        <v>22245</v>
      </c>
      <c r="AQ459" s="896">
        <f t="shared" ca="1" si="956"/>
        <v>-962</v>
      </c>
      <c r="AR459" s="957">
        <f t="shared" ca="1" si="957"/>
        <v>0.9567543268150146</v>
      </c>
      <c r="AT459" s="381">
        <f ca="1">SUM((INDIRECT(AT$2&amp;(ROW())):INDIRECT(AT$3&amp;(ROW()))))</f>
        <v>74582</v>
      </c>
      <c r="AU459" s="381">
        <f ca="1">SUM(INDIRECT(AU$1&amp;AU$2&amp;$C459):INDIRECT(AU$1&amp;AU$3&amp;$C459))</f>
        <v>0</v>
      </c>
      <c r="AV459" s="896">
        <f t="shared" ca="1" si="958"/>
        <v>74582</v>
      </c>
      <c r="AW459" s="957">
        <f t="shared" ca="1" si="959"/>
        <v>0</v>
      </c>
      <c r="AX459" s="381">
        <f ca="1">SUM(INDIRECT(AX$1&amp;AX$2&amp;$A459):INDIRECT(AX$1&amp;AX$3&amp;$A459))</f>
        <v>65551</v>
      </c>
      <c r="AY459" s="896">
        <f t="shared" ca="1" si="960"/>
        <v>9031</v>
      </c>
      <c r="AZ459" s="957">
        <f t="shared" ca="1" si="961"/>
        <v>1.1377705908376683</v>
      </c>
      <c r="BB459" s="381">
        <f ca="1">SUM((INDIRECT(BB$2&amp;(ROW())):INDIRECT(BB$3&amp;(ROW()))))</f>
        <v>301226.48511000001</v>
      </c>
      <c r="BC459" s="381">
        <f ca="1">SUM(INDIRECT(BC$1&amp;BC$2&amp;$C459):INDIRECT(BC$1&amp;BC$3&amp;$C459))</f>
        <v>0</v>
      </c>
      <c r="BD459" s="896">
        <f t="shared" ca="1" si="962"/>
        <v>301226.48511000001</v>
      </c>
      <c r="BE459" s="957">
        <f t="shared" ca="1" si="963"/>
        <v>0</v>
      </c>
      <c r="BF459" s="381">
        <f ca="1">SUM(INDIRECT(BF$1&amp;BF$2&amp;$A459):INDIRECT(BF$1&amp;BF$3&amp;$A459))</f>
        <v>229815</v>
      </c>
      <c r="BG459" s="896">
        <f t="shared" ca="1" si="964"/>
        <v>71411.485110000009</v>
      </c>
      <c r="BH459" s="957">
        <f t="shared" ca="1" si="965"/>
        <v>1.3107346566151035</v>
      </c>
    </row>
    <row r="460" spans="1:60" ht="14.5">
      <c r="A460" s="990">
        <f t="shared" si="800"/>
        <v>411</v>
      </c>
      <c r="B460" s="990">
        <v>1</v>
      </c>
      <c r="C460" s="990">
        <f t="shared" si="946"/>
        <v>457</v>
      </c>
      <c r="E460" s="1243">
        <v>1</v>
      </c>
      <c r="I460" s="106"/>
      <c r="J460" s="105"/>
      <c r="K460" s="74"/>
      <c r="L460" s="74"/>
      <c r="N460" s="111" t="s">
        <v>355</v>
      </c>
      <c r="O460" s="111"/>
      <c r="P460" s="111"/>
      <c r="Q460" s="1843" t="str">
        <f>CHOOSE(2, "6722000003379", "S/GP (1)-1 Net Sales Direct NH KMI")</f>
        <v>S/GP (1)-1 Net Sales Direct NH KMI</v>
      </c>
      <c r="R460" s="109">
        <f>R461+R464</f>
        <v>22497</v>
      </c>
      <c r="S460" s="109">
        <f t="shared" ref="S460:AC460" si="977">S461+S464</f>
        <v>25282</v>
      </c>
      <c r="T460" s="109">
        <f t="shared" si="977"/>
        <v>24598</v>
      </c>
      <c r="U460" s="109">
        <f t="shared" si="977"/>
        <v>22693</v>
      </c>
      <c r="V460" s="109">
        <f t="shared" si="977"/>
        <v>28309.485109999998</v>
      </c>
      <c r="W460" s="109">
        <f t="shared" si="977"/>
        <v>23155</v>
      </c>
      <c r="X460" s="109">
        <f t="shared" si="977"/>
        <v>24660</v>
      </c>
      <c r="Y460" s="109">
        <f t="shared" si="977"/>
        <v>29225</v>
      </c>
      <c r="Z460" s="109">
        <f t="shared" si="977"/>
        <v>26225</v>
      </c>
      <c r="AA460" s="109">
        <f t="shared" si="977"/>
        <v>26035</v>
      </c>
      <c r="AB460" s="109">
        <f t="shared" si="977"/>
        <v>27264</v>
      </c>
      <c r="AC460" s="109">
        <f t="shared" si="977"/>
        <v>21283</v>
      </c>
      <c r="AD460" s="1537">
        <f t="shared" ref="AD460:AJ460" si="978">AD461+AD464</f>
        <v>72377</v>
      </c>
      <c r="AE460" s="108">
        <f t="shared" si="978"/>
        <v>74157.485110000009</v>
      </c>
      <c r="AF460" s="108">
        <f t="shared" si="978"/>
        <v>80110</v>
      </c>
      <c r="AG460" s="108">
        <f t="shared" si="978"/>
        <v>74582</v>
      </c>
      <c r="AH460" s="108">
        <f t="shared" si="978"/>
        <v>146534.48511000001</v>
      </c>
      <c r="AI460" s="108">
        <f t="shared" si="978"/>
        <v>154692</v>
      </c>
      <c r="AJ460" s="108">
        <f t="shared" si="978"/>
        <v>301226.48511000001</v>
      </c>
      <c r="AL460" s="108">
        <f ca="1">SUM((INDIRECT(AL$2&amp;(ROW())):INDIRECT(AL$3&amp;(ROW()))))</f>
        <v>21283</v>
      </c>
      <c r="AM460" s="108">
        <f ca="1">SUM(INDIRECT(AM$1&amp;AM$2&amp;$C460):INDIRECT(AM$1&amp;AM$3&amp;$C460))</f>
        <v>0</v>
      </c>
      <c r="AN460" s="893">
        <f t="shared" ca="1" si="954"/>
        <v>21283</v>
      </c>
      <c r="AO460" s="954">
        <f t="shared" ca="1" si="955"/>
        <v>0</v>
      </c>
      <c r="AP460" s="108">
        <f ca="1">SUM(INDIRECT(AP$1&amp;AP$2&amp;$A460):INDIRECT(AP$1&amp;AP$3&amp;$A460))</f>
        <v>22245</v>
      </c>
      <c r="AQ460" s="893">
        <f t="shared" ca="1" si="956"/>
        <v>-962</v>
      </c>
      <c r="AR460" s="954">
        <f t="shared" ca="1" si="957"/>
        <v>0.9567543268150146</v>
      </c>
      <c r="AT460" s="108">
        <f ca="1">SUM((INDIRECT(AT$2&amp;(ROW())):INDIRECT(AT$3&amp;(ROW()))))</f>
        <v>74582</v>
      </c>
      <c r="AU460" s="108">
        <f ca="1">SUM(INDIRECT(AU$1&amp;AU$2&amp;$C460):INDIRECT(AU$1&amp;AU$3&amp;$C460))</f>
        <v>0</v>
      </c>
      <c r="AV460" s="893">
        <f t="shared" ca="1" si="958"/>
        <v>74582</v>
      </c>
      <c r="AW460" s="954">
        <f t="shared" ca="1" si="959"/>
        <v>0</v>
      </c>
      <c r="AX460" s="108">
        <f ca="1">SUM(INDIRECT(AX$1&amp;AX$2&amp;$A460):INDIRECT(AX$1&amp;AX$3&amp;$A460))</f>
        <v>65551</v>
      </c>
      <c r="AY460" s="893">
        <f t="shared" ca="1" si="960"/>
        <v>9031</v>
      </c>
      <c r="AZ460" s="954">
        <f t="shared" ca="1" si="961"/>
        <v>1.1377705908376683</v>
      </c>
      <c r="BB460" s="108">
        <f ca="1">SUM((INDIRECT(BB$2&amp;(ROW())):INDIRECT(BB$3&amp;(ROW()))))</f>
        <v>301226.48511000001</v>
      </c>
      <c r="BC460" s="108">
        <f ca="1">SUM(INDIRECT(BC$1&amp;BC$2&amp;$C460):INDIRECT(BC$1&amp;BC$3&amp;$C460))</f>
        <v>0</v>
      </c>
      <c r="BD460" s="893">
        <f t="shared" ca="1" si="962"/>
        <v>301226.48511000001</v>
      </c>
      <c r="BE460" s="954">
        <f t="shared" ca="1" si="963"/>
        <v>0</v>
      </c>
      <c r="BF460" s="108">
        <f ca="1">SUM(INDIRECT(BF$1&amp;BF$2&amp;$A460):INDIRECT(BF$1&amp;BF$3&amp;$A460))</f>
        <v>229815</v>
      </c>
      <c r="BG460" s="893">
        <f t="shared" ca="1" si="964"/>
        <v>71411.485110000009</v>
      </c>
      <c r="BH460" s="954">
        <f t="shared" ca="1" si="965"/>
        <v>1.3107346566151035</v>
      </c>
    </row>
    <row r="461" spans="1:60" ht="14.5">
      <c r="A461" s="990">
        <f t="shared" si="800"/>
        <v>412</v>
      </c>
      <c r="B461" s="990">
        <v>1</v>
      </c>
      <c r="C461" s="990">
        <f t="shared" si="946"/>
        <v>458</v>
      </c>
      <c r="E461" s="1243">
        <v>1</v>
      </c>
      <c r="I461" s="106"/>
      <c r="J461" s="105"/>
      <c r="K461" s="74"/>
      <c r="L461" s="74"/>
      <c r="O461" s="111" t="s">
        <v>356</v>
      </c>
      <c r="P461" s="1500"/>
      <c r="Q461" s="1843" t="str">
        <f>CHOOSE(2, "6722000003380", "S/GP (1)-1 Net Sales Direct NH KMI Office A3")</f>
        <v>S/GP (1)-1 Net Sales Direct NH KMI Office A3</v>
      </c>
      <c r="R461" s="64">
        <f>SUM(R462:R463)</f>
        <v>22106</v>
      </c>
      <c r="S461" s="64">
        <f t="shared" ref="S461:AC461" si="979">SUM(S462:S463)</f>
        <v>24665</v>
      </c>
      <c r="T461" s="64">
        <f t="shared" si="979"/>
        <v>23445</v>
      </c>
      <c r="U461" s="64">
        <f t="shared" si="979"/>
        <v>21979</v>
      </c>
      <c r="V461" s="64">
        <f t="shared" si="979"/>
        <v>27543.439109999999</v>
      </c>
      <c r="W461" s="64">
        <f t="shared" si="979"/>
        <v>22769</v>
      </c>
      <c r="X461" s="64">
        <f t="shared" si="979"/>
        <v>24122</v>
      </c>
      <c r="Y461" s="64">
        <f t="shared" si="979"/>
        <v>28412</v>
      </c>
      <c r="Z461" s="64">
        <f t="shared" si="979"/>
        <v>25331</v>
      </c>
      <c r="AA461" s="64">
        <f t="shared" si="979"/>
        <v>25538</v>
      </c>
      <c r="AB461" s="64">
        <f t="shared" si="979"/>
        <v>26309</v>
      </c>
      <c r="AC461" s="64">
        <f t="shared" si="979"/>
        <v>20639</v>
      </c>
      <c r="AD461" s="1540">
        <f t="shared" ref="AD461:AJ461" si="980">SUM(AD462:AD463)</f>
        <v>70216</v>
      </c>
      <c r="AE461" s="385">
        <f t="shared" si="980"/>
        <v>72291.439110000007</v>
      </c>
      <c r="AF461" s="385">
        <f t="shared" si="980"/>
        <v>77865</v>
      </c>
      <c r="AG461" s="385">
        <f t="shared" si="980"/>
        <v>72486</v>
      </c>
      <c r="AH461" s="385">
        <f t="shared" si="980"/>
        <v>142507.43911000001</v>
      </c>
      <c r="AI461" s="385">
        <f t="shared" si="980"/>
        <v>150351</v>
      </c>
      <c r="AJ461" s="385">
        <f t="shared" si="980"/>
        <v>292858.43911000004</v>
      </c>
      <c r="AL461" s="385">
        <f ca="1">SUM((INDIRECT(AL$2&amp;(ROW())):INDIRECT(AL$3&amp;(ROW()))))</f>
        <v>20639</v>
      </c>
      <c r="AM461" s="385">
        <f ca="1">SUM(INDIRECT(AM$1&amp;AM$2&amp;$C461):INDIRECT(AM$1&amp;AM$3&amp;$C461))</f>
        <v>0</v>
      </c>
      <c r="AN461" s="897">
        <f t="shared" ca="1" si="954"/>
        <v>20639</v>
      </c>
      <c r="AO461" s="958">
        <f t="shared" ca="1" si="955"/>
        <v>0</v>
      </c>
      <c r="AP461" s="385">
        <f ca="1">SUM(INDIRECT(AP$1&amp;AP$2&amp;$A461):INDIRECT(AP$1&amp;AP$3&amp;$A461))</f>
        <v>21752</v>
      </c>
      <c r="AQ461" s="897">
        <f t="shared" ca="1" si="956"/>
        <v>-1113</v>
      </c>
      <c r="AR461" s="958">
        <f t="shared" ca="1" si="957"/>
        <v>0.94883229128356017</v>
      </c>
      <c r="AT461" s="385">
        <f ca="1">SUM((INDIRECT(AT$2&amp;(ROW())):INDIRECT(AT$3&amp;(ROW()))))</f>
        <v>72486</v>
      </c>
      <c r="AU461" s="385">
        <f ca="1">SUM(INDIRECT(AU$1&amp;AU$2&amp;$C461):INDIRECT(AU$1&amp;AU$3&amp;$C461))</f>
        <v>0</v>
      </c>
      <c r="AV461" s="897">
        <f t="shared" ca="1" si="958"/>
        <v>72486</v>
      </c>
      <c r="AW461" s="958">
        <f t="shared" ca="1" si="959"/>
        <v>0</v>
      </c>
      <c r="AX461" s="385">
        <f ca="1">SUM(INDIRECT(AX$1&amp;AX$2&amp;$A461):INDIRECT(AX$1&amp;AX$3&amp;$A461))</f>
        <v>63973</v>
      </c>
      <c r="AY461" s="897">
        <f t="shared" ca="1" si="960"/>
        <v>8513</v>
      </c>
      <c r="AZ461" s="958">
        <f t="shared" ca="1" si="961"/>
        <v>1.133071764650712</v>
      </c>
      <c r="BB461" s="385">
        <f ca="1">SUM((INDIRECT(BB$2&amp;(ROW())):INDIRECT(BB$3&amp;(ROW()))))</f>
        <v>292858.43911000004</v>
      </c>
      <c r="BC461" s="385">
        <f ca="1">SUM(INDIRECT(BC$1&amp;BC$2&amp;$C461):INDIRECT(BC$1&amp;BC$3&amp;$C461))</f>
        <v>0</v>
      </c>
      <c r="BD461" s="897">
        <f t="shared" ca="1" si="962"/>
        <v>292858.43911000004</v>
      </c>
      <c r="BE461" s="958">
        <f t="shared" ca="1" si="963"/>
        <v>0</v>
      </c>
      <c r="BF461" s="385">
        <f ca="1">SUM(INDIRECT(BF$1&amp;BF$2&amp;$A461):INDIRECT(BF$1&amp;BF$3&amp;$A461))</f>
        <v>223817</v>
      </c>
      <c r="BG461" s="897">
        <f t="shared" ca="1" si="964"/>
        <v>69041.439110000036</v>
      </c>
      <c r="BH461" s="958">
        <f t="shared" ca="1" si="965"/>
        <v>1.3084727215090901</v>
      </c>
    </row>
    <row r="462" spans="1:60" ht="14.5">
      <c r="A462" s="990">
        <f t="shared" si="800"/>
        <v>413</v>
      </c>
      <c r="B462" s="990">
        <v>1</v>
      </c>
      <c r="C462" s="990">
        <f t="shared" si="946"/>
        <v>459</v>
      </c>
      <c r="E462" s="1243">
        <v>1</v>
      </c>
      <c r="I462" s="106"/>
      <c r="J462" s="105"/>
      <c r="K462" s="74"/>
      <c r="L462" s="74"/>
      <c r="P462" s="9" t="s">
        <v>360</v>
      </c>
      <c r="Q462" s="1845" t="str">
        <f>CHOOSE(2, "6722000003381", "S/GP (1)-1 Net Sales Direct NH KMI Office A3 Copy Click")</f>
        <v>S/GP (1)-1 Net Sales Direct NH KMI Office A3 Copy Click</v>
      </c>
      <c r="R462" s="2036">
        <v>22106</v>
      </c>
      <c r="S462" s="2036">
        <v>24665</v>
      </c>
      <c r="T462" s="2036">
        <v>23445</v>
      </c>
      <c r="U462" s="2036">
        <v>21979</v>
      </c>
      <c r="V462" s="2036">
        <v>27543.439109999999</v>
      </c>
      <c r="W462" s="2036">
        <v>22769</v>
      </c>
      <c r="X462" s="2036">
        <v>24122</v>
      </c>
      <c r="Y462" s="2036">
        <v>28412</v>
      </c>
      <c r="Z462" s="2036">
        <v>25331</v>
      </c>
      <c r="AA462" s="2036">
        <v>25538</v>
      </c>
      <c r="AB462" s="2036">
        <v>26309</v>
      </c>
      <c r="AC462" s="2036">
        <v>20639</v>
      </c>
      <c r="AD462" s="1380">
        <f>SUM(R462,S462,T462)</f>
        <v>70216</v>
      </c>
      <c r="AE462" s="107">
        <f t="shared" ref="AE462:AE463" si="981">SUM(U462,V462,W462)</f>
        <v>72291.439110000007</v>
      </c>
      <c r="AF462" s="107">
        <f t="shared" ref="AF462:AF463" si="982">SUM(X462,Y462,Z462)</f>
        <v>77865</v>
      </c>
      <c r="AG462" s="107">
        <f t="shared" ref="AG462:AG463" si="983">SUM(AA462,AB462,AC462)</f>
        <v>72486</v>
      </c>
      <c r="AH462" s="107">
        <f>AD462+AE462</f>
        <v>142507.43911000001</v>
      </c>
      <c r="AI462" s="107">
        <f>AG462+AF462</f>
        <v>150351</v>
      </c>
      <c r="AJ462" s="107">
        <f>AH462+AI462</f>
        <v>292858.43911000004</v>
      </c>
      <c r="AL462" s="107">
        <f ca="1">SUM((INDIRECT(AL$2&amp;(ROW())):INDIRECT(AL$3&amp;(ROW()))))</f>
        <v>20639</v>
      </c>
      <c r="AM462" s="107">
        <f ca="1">SUM(INDIRECT(AM$1&amp;AM$2&amp;$C462):INDIRECT(AM$1&amp;AM$3&amp;$C462))</f>
        <v>0</v>
      </c>
      <c r="AN462" s="898">
        <f t="shared" ca="1" si="954"/>
        <v>20639</v>
      </c>
      <c r="AO462" s="959">
        <f t="shared" ca="1" si="955"/>
        <v>0</v>
      </c>
      <c r="AP462" s="107">
        <f ca="1">SUM(INDIRECT(AP$1&amp;AP$2&amp;$A462):INDIRECT(AP$1&amp;AP$3&amp;$A462))</f>
        <v>21752</v>
      </c>
      <c r="AQ462" s="898">
        <f t="shared" ca="1" si="956"/>
        <v>-1113</v>
      </c>
      <c r="AR462" s="959">
        <f t="shared" ca="1" si="957"/>
        <v>0.94883229128356017</v>
      </c>
      <c r="AT462" s="107">
        <f ca="1">SUM((INDIRECT(AT$2&amp;(ROW())):INDIRECT(AT$3&amp;(ROW()))))</f>
        <v>72486</v>
      </c>
      <c r="AU462" s="107">
        <f ca="1">SUM(INDIRECT(AU$1&amp;AU$2&amp;$C462):INDIRECT(AU$1&amp;AU$3&amp;$C462))</f>
        <v>0</v>
      </c>
      <c r="AV462" s="898">
        <f t="shared" ca="1" si="958"/>
        <v>72486</v>
      </c>
      <c r="AW462" s="959">
        <f t="shared" ca="1" si="959"/>
        <v>0</v>
      </c>
      <c r="AX462" s="107">
        <f ca="1">SUM(INDIRECT(AX$1&amp;AX$2&amp;$A462):INDIRECT(AX$1&amp;AX$3&amp;$A462))</f>
        <v>63973</v>
      </c>
      <c r="AY462" s="898">
        <f t="shared" ca="1" si="960"/>
        <v>8513</v>
      </c>
      <c r="AZ462" s="959">
        <f t="shared" ca="1" si="961"/>
        <v>1.133071764650712</v>
      </c>
      <c r="BB462" s="107">
        <f ca="1">SUM((INDIRECT(BB$2&amp;(ROW())):INDIRECT(BB$3&amp;(ROW()))))</f>
        <v>292858.43911000004</v>
      </c>
      <c r="BC462" s="107">
        <f ca="1">SUM(INDIRECT(BC$1&amp;BC$2&amp;$C462):INDIRECT(BC$1&amp;BC$3&amp;$C462))</f>
        <v>0</v>
      </c>
      <c r="BD462" s="898">
        <f t="shared" ca="1" si="962"/>
        <v>292858.43911000004</v>
      </c>
      <c r="BE462" s="959">
        <f t="shared" ca="1" si="963"/>
        <v>0</v>
      </c>
      <c r="BF462" s="107">
        <f ca="1">SUM(INDIRECT(BF$1&amp;BF$2&amp;$A462):INDIRECT(BF$1&amp;BF$3&amp;$A462))</f>
        <v>223817</v>
      </c>
      <c r="BG462" s="898">
        <f t="shared" ca="1" si="964"/>
        <v>69041.439110000036</v>
      </c>
      <c r="BH462" s="959">
        <f t="shared" ca="1" si="965"/>
        <v>1.3084727215090901</v>
      </c>
    </row>
    <row r="463" spans="1:60" ht="14.5">
      <c r="A463" s="990">
        <f t="shared" si="800"/>
        <v>414</v>
      </c>
      <c r="B463" s="990">
        <v>1</v>
      </c>
      <c r="C463" s="990">
        <f t="shared" si="946"/>
        <v>460</v>
      </c>
      <c r="E463" s="1243">
        <v>1</v>
      </c>
      <c r="I463" s="106"/>
      <c r="J463" s="105"/>
      <c r="K463" s="74"/>
      <c r="L463" s="74"/>
      <c r="P463" s="9" t="s">
        <v>361</v>
      </c>
      <c r="Q463" s="1845" t="str">
        <f>CHOOSE(2, "6722000003382", "S/GP (1)-1 Net Sales Direct NH KMI Office A3 NonContract")</f>
        <v>S/GP (1)-1 Net Sales Direct NH KMI Office A3 NonContract</v>
      </c>
      <c r="R463" s="2036">
        <v>0</v>
      </c>
      <c r="S463" s="2036">
        <v>0</v>
      </c>
      <c r="T463" s="2036">
        <v>0</v>
      </c>
      <c r="U463" s="2036">
        <v>0</v>
      </c>
      <c r="V463" s="2036">
        <v>0</v>
      </c>
      <c r="W463" s="2036">
        <v>0</v>
      </c>
      <c r="X463" s="2036">
        <v>0</v>
      </c>
      <c r="Y463" s="2036">
        <v>0</v>
      </c>
      <c r="Z463" s="2036">
        <v>0</v>
      </c>
      <c r="AA463" s="2036">
        <v>0</v>
      </c>
      <c r="AB463" s="2036">
        <v>0</v>
      </c>
      <c r="AC463" s="2036">
        <v>0</v>
      </c>
      <c r="AD463" s="1380">
        <f>SUM(R463,S463,T463)</f>
        <v>0</v>
      </c>
      <c r="AE463" s="107">
        <f t="shared" si="981"/>
        <v>0</v>
      </c>
      <c r="AF463" s="107">
        <f t="shared" si="982"/>
        <v>0</v>
      </c>
      <c r="AG463" s="107">
        <f t="shared" si="983"/>
        <v>0</v>
      </c>
      <c r="AH463" s="107">
        <f>AD463+AE463</f>
        <v>0</v>
      </c>
      <c r="AI463" s="107">
        <f>AG463+AF463</f>
        <v>0</v>
      </c>
      <c r="AJ463" s="107">
        <f>AH463+AI463</f>
        <v>0</v>
      </c>
      <c r="AL463" s="107">
        <f ca="1">SUM((INDIRECT(AL$2&amp;(ROW())):INDIRECT(AL$3&amp;(ROW()))))</f>
        <v>0</v>
      </c>
      <c r="AM463" s="107">
        <f ca="1">SUM(INDIRECT(AM$1&amp;AM$2&amp;$C463):INDIRECT(AM$1&amp;AM$3&amp;$C463))</f>
        <v>0</v>
      </c>
      <c r="AN463" s="898">
        <f t="shared" ca="1" si="954"/>
        <v>0</v>
      </c>
      <c r="AO463" s="959">
        <f t="shared" ca="1" si="955"/>
        <v>0</v>
      </c>
      <c r="AP463" s="107">
        <f ca="1">SUM(INDIRECT(AP$1&amp;AP$2&amp;$A463):INDIRECT(AP$1&amp;AP$3&amp;$A463))</f>
        <v>0</v>
      </c>
      <c r="AQ463" s="898">
        <f t="shared" ca="1" si="956"/>
        <v>0</v>
      </c>
      <c r="AR463" s="959">
        <f t="shared" ca="1" si="957"/>
        <v>0</v>
      </c>
      <c r="AT463" s="107">
        <f ca="1">SUM((INDIRECT(AT$2&amp;(ROW())):INDIRECT(AT$3&amp;(ROW()))))</f>
        <v>0</v>
      </c>
      <c r="AU463" s="107">
        <f ca="1">SUM(INDIRECT(AU$1&amp;AU$2&amp;$C463):INDIRECT(AU$1&amp;AU$3&amp;$C463))</f>
        <v>0</v>
      </c>
      <c r="AV463" s="898">
        <f t="shared" ca="1" si="958"/>
        <v>0</v>
      </c>
      <c r="AW463" s="959">
        <f t="shared" ca="1" si="959"/>
        <v>0</v>
      </c>
      <c r="AX463" s="107">
        <f ca="1">SUM(INDIRECT(AX$1&amp;AX$2&amp;$A463):INDIRECT(AX$1&amp;AX$3&amp;$A463))</f>
        <v>0</v>
      </c>
      <c r="AY463" s="898">
        <f t="shared" ca="1" si="960"/>
        <v>0</v>
      </c>
      <c r="AZ463" s="959">
        <f t="shared" ca="1" si="961"/>
        <v>0</v>
      </c>
      <c r="BB463" s="107">
        <f ca="1">SUM((INDIRECT(BB$2&amp;(ROW())):INDIRECT(BB$3&amp;(ROW()))))</f>
        <v>0</v>
      </c>
      <c r="BC463" s="107">
        <f ca="1">SUM(INDIRECT(BC$1&amp;BC$2&amp;$C463):INDIRECT(BC$1&amp;BC$3&amp;$C463))</f>
        <v>0</v>
      </c>
      <c r="BD463" s="898">
        <f t="shared" ca="1" si="962"/>
        <v>0</v>
      </c>
      <c r="BE463" s="959">
        <f t="shared" ca="1" si="963"/>
        <v>0</v>
      </c>
      <c r="BF463" s="107">
        <f ca="1">SUM(INDIRECT(BF$1&amp;BF$2&amp;$A463):INDIRECT(BF$1&amp;BF$3&amp;$A463))</f>
        <v>0</v>
      </c>
      <c r="BG463" s="898">
        <f t="shared" ca="1" si="964"/>
        <v>0</v>
      </c>
      <c r="BH463" s="959">
        <f t="shared" ca="1" si="965"/>
        <v>0</v>
      </c>
    </row>
    <row r="464" spans="1:60" ht="14.5">
      <c r="A464" s="990">
        <f t="shared" si="800"/>
        <v>415</v>
      </c>
      <c r="B464" s="990">
        <v>1</v>
      </c>
      <c r="C464" s="990">
        <f t="shared" si="946"/>
        <v>461</v>
      </c>
      <c r="E464" s="1243">
        <v>1</v>
      </c>
      <c r="I464" s="106"/>
      <c r="J464" s="105"/>
      <c r="K464" s="74"/>
      <c r="L464" s="74"/>
      <c r="O464" s="111" t="s">
        <v>357</v>
      </c>
      <c r="P464" s="1500"/>
      <c r="Q464" s="1843" t="str">
        <f>CHOOSE(2, "6722000003383", "S/GP (1)-1 Net Sales Direct NH KMI Office A4")</f>
        <v>S/GP (1)-1 Net Sales Direct NH KMI Office A4</v>
      </c>
      <c r="R464" s="64">
        <f>SUM(R465:R466)</f>
        <v>391</v>
      </c>
      <c r="S464" s="64">
        <f t="shared" ref="S464:AC464" si="984">SUM(S465:S466)</f>
        <v>617</v>
      </c>
      <c r="T464" s="64">
        <f t="shared" si="984"/>
        <v>1153</v>
      </c>
      <c r="U464" s="64">
        <f t="shared" si="984"/>
        <v>714</v>
      </c>
      <c r="V464" s="64">
        <f t="shared" si="984"/>
        <v>766.04600000000005</v>
      </c>
      <c r="W464" s="64">
        <f t="shared" si="984"/>
        <v>386</v>
      </c>
      <c r="X464" s="64">
        <f t="shared" si="984"/>
        <v>538</v>
      </c>
      <c r="Y464" s="64">
        <f t="shared" si="984"/>
        <v>813</v>
      </c>
      <c r="Z464" s="64">
        <f t="shared" si="984"/>
        <v>894</v>
      </c>
      <c r="AA464" s="64">
        <f t="shared" si="984"/>
        <v>497</v>
      </c>
      <c r="AB464" s="64">
        <f t="shared" si="984"/>
        <v>955</v>
      </c>
      <c r="AC464" s="64">
        <f t="shared" si="984"/>
        <v>644</v>
      </c>
      <c r="AD464" s="1540">
        <f t="shared" ref="AD464:AJ464" si="985">SUM(AD465:AD466)</f>
        <v>2161</v>
      </c>
      <c r="AE464" s="385">
        <f t="shared" si="985"/>
        <v>1866.046</v>
      </c>
      <c r="AF464" s="385">
        <f t="shared" si="985"/>
        <v>2245</v>
      </c>
      <c r="AG464" s="385">
        <f t="shared" si="985"/>
        <v>2096</v>
      </c>
      <c r="AH464" s="385">
        <f t="shared" si="985"/>
        <v>4027.0460000000003</v>
      </c>
      <c r="AI464" s="385">
        <f t="shared" si="985"/>
        <v>4341</v>
      </c>
      <c r="AJ464" s="385">
        <f t="shared" si="985"/>
        <v>8368.0460000000003</v>
      </c>
      <c r="AL464" s="385">
        <f ca="1">SUM((INDIRECT(AL$2&amp;(ROW())):INDIRECT(AL$3&amp;(ROW()))))</f>
        <v>644</v>
      </c>
      <c r="AM464" s="385">
        <f ca="1">SUM(INDIRECT(AM$1&amp;AM$2&amp;$C464):INDIRECT(AM$1&amp;AM$3&amp;$C464))</f>
        <v>0</v>
      </c>
      <c r="AN464" s="897">
        <f t="shared" ca="1" si="954"/>
        <v>644</v>
      </c>
      <c r="AO464" s="958">
        <f t="shared" ca="1" si="955"/>
        <v>0</v>
      </c>
      <c r="AP464" s="385">
        <f ca="1">SUM(INDIRECT(AP$1&amp;AP$2&amp;$A464):INDIRECT(AP$1&amp;AP$3&amp;$A464))</f>
        <v>493</v>
      </c>
      <c r="AQ464" s="897">
        <f t="shared" ca="1" si="956"/>
        <v>151</v>
      </c>
      <c r="AR464" s="958">
        <f t="shared" ca="1" si="957"/>
        <v>1.3062880324543611</v>
      </c>
      <c r="AT464" s="385">
        <f ca="1">SUM((INDIRECT(AT$2&amp;(ROW())):INDIRECT(AT$3&amp;(ROW()))))</f>
        <v>2096</v>
      </c>
      <c r="AU464" s="385">
        <f ca="1">SUM(INDIRECT(AU$1&amp;AU$2&amp;$C464):INDIRECT(AU$1&amp;AU$3&amp;$C464))</f>
        <v>0</v>
      </c>
      <c r="AV464" s="897">
        <f t="shared" ca="1" si="958"/>
        <v>2096</v>
      </c>
      <c r="AW464" s="958">
        <f t="shared" ca="1" si="959"/>
        <v>0</v>
      </c>
      <c r="AX464" s="385">
        <f ca="1">SUM(INDIRECT(AX$1&amp;AX$2&amp;$A464):INDIRECT(AX$1&amp;AX$3&amp;$A464))</f>
        <v>1578</v>
      </c>
      <c r="AY464" s="897">
        <f t="shared" ca="1" si="960"/>
        <v>518</v>
      </c>
      <c r="AZ464" s="958">
        <f t="shared" ca="1" si="961"/>
        <v>1.3282636248415716</v>
      </c>
      <c r="BB464" s="385">
        <f ca="1">SUM((INDIRECT(BB$2&amp;(ROW())):INDIRECT(BB$3&amp;(ROW()))))</f>
        <v>8368.0460000000003</v>
      </c>
      <c r="BC464" s="385">
        <f ca="1">SUM(INDIRECT(BC$1&amp;BC$2&amp;$C464):INDIRECT(BC$1&amp;BC$3&amp;$C464))</f>
        <v>0</v>
      </c>
      <c r="BD464" s="897">
        <f t="shared" ca="1" si="962"/>
        <v>8368.0460000000003</v>
      </c>
      <c r="BE464" s="958">
        <f t="shared" ca="1" si="963"/>
        <v>0</v>
      </c>
      <c r="BF464" s="385">
        <f ca="1">SUM(INDIRECT(BF$1&amp;BF$2&amp;$A464):INDIRECT(BF$1&amp;BF$3&amp;$A464))</f>
        <v>5998</v>
      </c>
      <c r="BG464" s="897">
        <f t="shared" ca="1" si="964"/>
        <v>2370.0460000000003</v>
      </c>
      <c r="BH464" s="958">
        <f t="shared" ca="1" si="965"/>
        <v>1.3951393797932645</v>
      </c>
    </row>
    <row r="465" spans="1:60" ht="14.5">
      <c r="A465" s="990">
        <f t="shared" si="800"/>
        <v>416</v>
      </c>
      <c r="B465" s="990">
        <v>1</v>
      </c>
      <c r="C465" s="990">
        <f t="shared" si="946"/>
        <v>462</v>
      </c>
      <c r="E465" s="1243">
        <v>1</v>
      </c>
      <c r="I465" s="106"/>
      <c r="J465" s="105"/>
      <c r="K465" s="74"/>
      <c r="L465" s="74"/>
      <c r="P465" s="9" t="s">
        <v>360</v>
      </c>
      <c r="Q465" s="1845" t="str">
        <f>CHOOSE(2, "6722000003384", "S/GP (1)-1 Net Sales Direct NH KMI Office A4 Copy Click")</f>
        <v>S/GP (1)-1 Net Sales Direct NH KMI Office A4 Copy Click</v>
      </c>
      <c r="R465" s="2036">
        <v>391</v>
      </c>
      <c r="S465" s="2036">
        <v>617</v>
      </c>
      <c r="T465" s="2036">
        <v>1153</v>
      </c>
      <c r="U465" s="2036">
        <v>714</v>
      </c>
      <c r="V465" s="2036">
        <v>766.04600000000005</v>
      </c>
      <c r="W465" s="2036">
        <v>386</v>
      </c>
      <c r="X465" s="2036">
        <v>538</v>
      </c>
      <c r="Y465" s="2036">
        <v>813</v>
      </c>
      <c r="Z465" s="2036">
        <v>894</v>
      </c>
      <c r="AA465" s="2036">
        <v>497</v>
      </c>
      <c r="AB465" s="2036">
        <v>955</v>
      </c>
      <c r="AC465" s="2036">
        <v>644</v>
      </c>
      <c r="AD465" s="1380">
        <f>SUM(R465,S465,T465)</f>
        <v>2161</v>
      </c>
      <c r="AE465" s="107">
        <f t="shared" ref="AE465:AE468" si="986">SUM(U465,V465,W465)</f>
        <v>1866.046</v>
      </c>
      <c r="AF465" s="107">
        <f t="shared" ref="AF465:AF468" si="987">SUM(X465,Y465,Z465)</f>
        <v>2245</v>
      </c>
      <c r="AG465" s="107">
        <f t="shared" ref="AG465:AG468" si="988">SUM(AA465,AB465,AC465)</f>
        <v>2096</v>
      </c>
      <c r="AH465" s="107">
        <f>AD465+AE465</f>
        <v>4027.0460000000003</v>
      </c>
      <c r="AI465" s="107">
        <f>AG465+AF465</f>
        <v>4341</v>
      </c>
      <c r="AJ465" s="107">
        <f>AH465+AI465</f>
        <v>8368.0460000000003</v>
      </c>
      <c r="AL465" s="107">
        <f ca="1">SUM((INDIRECT(AL$2&amp;(ROW())):INDIRECT(AL$3&amp;(ROW()))))</f>
        <v>644</v>
      </c>
      <c r="AM465" s="107">
        <f ca="1">SUM(INDIRECT(AM$1&amp;AM$2&amp;$C465):INDIRECT(AM$1&amp;AM$3&amp;$C465))</f>
        <v>0</v>
      </c>
      <c r="AN465" s="898">
        <f t="shared" ca="1" si="954"/>
        <v>644</v>
      </c>
      <c r="AO465" s="959">
        <f t="shared" ca="1" si="955"/>
        <v>0</v>
      </c>
      <c r="AP465" s="107">
        <f ca="1">SUM(INDIRECT(AP$1&amp;AP$2&amp;$A465):INDIRECT(AP$1&amp;AP$3&amp;$A465))</f>
        <v>493</v>
      </c>
      <c r="AQ465" s="898">
        <f t="shared" ca="1" si="956"/>
        <v>151</v>
      </c>
      <c r="AR465" s="959">
        <f t="shared" ca="1" si="957"/>
        <v>1.3062880324543611</v>
      </c>
      <c r="AT465" s="107">
        <f ca="1">SUM((INDIRECT(AT$2&amp;(ROW())):INDIRECT(AT$3&amp;(ROW()))))</f>
        <v>2096</v>
      </c>
      <c r="AU465" s="107">
        <f ca="1">SUM(INDIRECT(AU$1&amp;AU$2&amp;$C465):INDIRECT(AU$1&amp;AU$3&amp;$C465))</f>
        <v>0</v>
      </c>
      <c r="AV465" s="898">
        <f t="shared" ca="1" si="958"/>
        <v>2096</v>
      </c>
      <c r="AW465" s="959">
        <f t="shared" ca="1" si="959"/>
        <v>0</v>
      </c>
      <c r="AX465" s="107">
        <f ca="1">SUM(INDIRECT(AX$1&amp;AX$2&amp;$A465):INDIRECT(AX$1&amp;AX$3&amp;$A465))</f>
        <v>1578</v>
      </c>
      <c r="AY465" s="898">
        <f t="shared" ca="1" si="960"/>
        <v>518</v>
      </c>
      <c r="AZ465" s="959">
        <f t="shared" ca="1" si="961"/>
        <v>1.3282636248415716</v>
      </c>
      <c r="BB465" s="107">
        <f ca="1">SUM((INDIRECT(BB$2&amp;(ROW())):INDIRECT(BB$3&amp;(ROW()))))</f>
        <v>8368.0460000000003</v>
      </c>
      <c r="BC465" s="107">
        <f ca="1">SUM(INDIRECT(BC$1&amp;BC$2&amp;$C465):INDIRECT(BC$1&amp;BC$3&amp;$C465))</f>
        <v>0</v>
      </c>
      <c r="BD465" s="898">
        <f t="shared" ca="1" si="962"/>
        <v>8368.0460000000003</v>
      </c>
      <c r="BE465" s="959">
        <f t="shared" ca="1" si="963"/>
        <v>0</v>
      </c>
      <c r="BF465" s="107">
        <f ca="1">SUM(INDIRECT(BF$1&amp;BF$2&amp;$A465):INDIRECT(BF$1&amp;BF$3&amp;$A465))</f>
        <v>5998</v>
      </c>
      <c r="BG465" s="898">
        <f t="shared" ca="1" si="964"/>
        <v>2370.0460000000003</v>
      </c>
      <c r="BH465" s="959">
        <f t="shared" ca="1" si="965"/>
        <v>1.3951393797932645</v>
      </c>
    </row>
    <row r="466" spans="1:60" ht="14.5">
      <c r="A466" s="990">
        <f t="shared" si="800"/>
        <v>417</v>
      </c>
      <c r="B466" s="990">
        <v>1</v>
      </c>
      <c r="C466" s="990">
        <f t="shared" si="946"/>
        <v>463</v>
      </c>
      <c r="E466" s="1243">
        <v>1</v>
      </c>
      <c r="I466" s="106"/>
      <c r="J466" s="105"/>
      <c r="K466" s="74"/>
      <c r="L466" s="74"/>
      <c r="N466" s="363"/>
      <c r="O466" s="363"/>
      <c r="P466" s="363" t="s">
        <v>361</v>
      </c>
      <c r="Q466" s="1845" t="str">
        <f>CHOOSE(2, "6722000003385", "S/GP (1)-1 Net Sales Direct NH KMI Office A4 NonContract")</f>
        <v>S/GP (1)-1 Net Sales Direct NH KMI Office A4 NonContract</v>
      </c>
      <c r="R466" s="2052">
        <v>0</v>
      </c>
      <c r="S466" s="2052">
        <v>0</v>
      </c>
      <c r="T466" s="2052">
        <v>0</v>
      </c>
      <c r="U466" s="2052">
        <v>0</v>
      </c>
      <c r="V466" s="2052">
        <v>0</v>
      </c>
      <c r="W466" s="2052">
        <v>0</v>
      </c>
      <c r="X466" s="2052">
        <v>0</v>
      </c>
      <c r="Y466" s="2052">
        <v>0</v>
      </c>
      <c r="Z466" s="2052">
        <v>0</v>
      </c>
      <c r="AA466" s="2052">
        <v>0</v>
      </c>
      <c r="AB466" s="2052">
        <v>0</v>
      </c>
      <c r="AC466" s="2052">
        <v>0</v>
      </c>
      <c r="AD466" s="1536">
        <f>SUM(R466,S466,T466)</f>
        <v>0</v>
      </c>
      <c r="AE466" s="378">
        <f t="shared" si="986"/>
        <v>0</v>
      </c>
      <c r="AF466" s="378">
        <f t="shared" si="987"/>
        <v>0</v>
      </c>
      <c r="AG466" s="378">
        <f t="shared" si="988"/>
        <v>0</v>
      </c>
      <c r="AH466" s="378">
        <f>AD466+AE466</f>
        <v>0</v>
      </c>
      <c r="AI466" s="378">
        <f>AG466+AF466</f>
        <v>0</v>
      </c>
      <c r="AJ466" s="378">
        <f>AH466+AI466</f>
        <v>0</v>
      </c>
      <c r="AL466" s="378">
        <f ca="1">SUM((INDIRECT(AL$2&amp;(ROW())):INDIRECT(AL$3&amp;(ROW()))))</f>
        <v>0</v>
      </c>
      <c r="AM466" s="378">
        <f ca="1">SUM(INDIRECT(AM$1&amp;AM$2&amp;$C466):INDIRECT(AM$1&amp;AM$3&amp;$C466))</f>
        <v>0</v>
      </c>
      <c r="AN466" s="894">
        <f t="shared" ca="1" si="954"/>
        <v>0</v>
      </c>
      <c r="AO466" s="955">
        <f t="shared" ca="1" si="955"/>
        <v>0</v>
      </c>
      <c r="AP466" s="378">
        <f ca="1">SUM(INDIRECT(AP$1&amp;AP$2&amp;$A466):INDIRECT(AP$1&amp;AP$3&amp;$A466))</f>
        <v>0</v>
      </c>
      <c r="AQ466" s="894">
        <f t="shared" ca="1" si="956"/>
        <v>0</v>
      </c>
      <c r="AR466" s="955">
        <f t="shared" ca="1" si="957"/>
        <v>0</v>
      </c>
      <c r="AT466" s="378">
        <f ca="1">SUM((INDIRECT(AT$2&amp;(ROW())):INDIRECT(AT$3&amp;(ROW()))))</f>
        <v>0</v>
      </c>
      <c r="AU466" s="378">
        <f ca="1">SUM(INDIRECT(AU$1&amp;AU$2&amp;$C466):INDIRECT(AU$1&amp;AU$3&amp;$C466))</f>
        <v>0</v>
      </c>
      <c r="AV466" s="894">
        <f t="shared" ca="1" si="958"/>
        <v>0</v>
      </c>
      <c r="AW466" s="955">
        <f t="shared" ca="1" si="959"/>
        <v>0</v>
      </c>
      <c r="AX466" s="378">
        <f ca="1">SUM(INDIRECT(AX$1&amp;AX$2&amp;$A466):INDIRECT(AX$1&amp;AX$3&amp;$A466))</f>
        <v>0</v>
      </c>
      <c r="AY466" s="894">
        <f t="shared" ca="1" si="960"/>
        <v>0</v>
      </c>
      <c r="AZ466" s="955">
        <f t="shared" ca="1" si="961"/>
        <v>0</v>
      </c>
      <c r="BB466" s="378">
        <f ca="1">SUM((INDIRECT(BB$2&amp;(ROW())):INDIRECT(BB$3&amp;(ROW()))))</f>
        <v>0</v>
      </c>
      <c r="BC466" s="378">
        <f ca="1">SUM(INDIRECT(BC$1&amp;BC$2&amp;$C466):INDIRECT(BC$1&amp;BC$3&amp;$C466))</f>
        <v>0</v>
      </c>
      <c r="BD466" s="894">
        <f t="shared" ca="1" si="962"/>
        <v>0</v>
      </c>
      <c r="BE466" s="955">
        <f t="shared" ca="1" si="963"/>
        <v>0</v>
      </c>
      <c r="BF466" s="378">
        <f ca="1">SUM(INDIRECT(BF$1&amp;BF$2&amp;$A466):INDIRECT(BF$1&amp;BF$3&amp;$A466))</f>
        <v>0</v>
      </c>
      <c r="BG466" s="894">
        <f t="shared" ca="1" si="964"/>
        <v>0</v>
      </c>
      <c r="BH466" s="955">
        <f t="shared" ca="1" si="965"/>
        <v>0</v>
      </c>
    </row>
    <row r="467" spans="1:60" ht="14.5" collapsed="1">
      <c r="A467" s="990">
        <f t="shared" si="800"/>
        <v>418</v>
      </c>
      <c r="B467" s="990">
        <v>1</v>
      </c>
      <c r="C467" s="990">
        <f t="shared" si="946"/>
        <v>464</v>
      </c>
      <c r="E467" s="1243">
        <v>1</v>
      </c>
      <c r="I467" s="106"/>
      <c r="J467" s="105"/>
      <c r="K467" s="74"/>
      <c r="L467" s="74"/>
      <c r="N467" s="366" t="s">
        <v>358</v>
      </c>
      <c r="O467" s="366"/>
      <c r="P467" s="366"/>
      <c r="Q467" s="1845" t="str">
        <f>CHOOSE(2, "6722000003386", "S/GP (1)-1 Net Sales Direct NH 3rd Party")</f>
        <v>S/GP (1)-1 Net Sales Direct NH 3rd Party</v>
      </c>
      <c r="R467" s="2053">
        <v>0</v>
      </c>
      <c r="S467" s="2053">
        <v>0</v>
      </c>
      <c r="T467" s="2053">
        <v>0</v>
      </c>
      <c r="U467" s="2053">
        <v>0</v>
      </c>
      <c r="V467" s="2053">
        <v>0</v>
      </c>
      <c r="W467" s="2053">
        <v>0</v>
      </c>
      <c r="X467" s="2053">
        <v>0</v>
      </c>
      <c r="Y467" s="2053">
        <v>0</v>
      </c>
      <c r="Z467" s="2053">
        <v>0</v>
      </c>
      <c r="AA467" s="2053">
        <v>0</v>
      </c>
      <c r="AB467" s="2053">
        <v>0</v>
      </c>
      <c r="AC467" s="2053">
        <v>0</v>
      </c>
      <c r="AD467" s="1538">
        <f>SUM(R467,S467,T467)</f>
        <v>0</v>
      </c>
      <c r="AE467" s="379">
        <f t="shared" si="986"/>
        <v>0</v>
      </c>
      <c r="AF467" s="379">
        <f t="shared" si="987"/>
        <v>0</v>
      </c>
      <c r="AG467" s="379">
        <f t="shared" si="988"/>
        <v>0</v>
      </c>
      <c r="AH467" s="379">
        <f>AD467+AE467</f>
        <v>0</v>
      </c>
      <c r="AI467" s="379">
        <f>AG467+AF467</f>
        <v>0</v>
      </c>
      <c r="AJ467" s="379">
        <f>AH467+AI467</f>
        <v>0</v>
      </c>
      <c r="AL467" s="379">
        <f ca="1">SUM((INDIRECT(AL$2&amp;(ROW())):INDIRECT(AL$3&amp;(ROW()))))</f>
        <v>0</v>
      </c>
      <c r="AM467" s="379">
        <f ca="1">SUM(INDIRECT(AM$1&amp;AM$2&amp;$C467):INDIRECT(AM$1&amp;AM$3&amp;$C467))</f>
        <v>0</v>
      </c>
      <c r="AN467" s="895">
        <f t="shared" ca="1" si="954"/>
        <v>0</v>
      </c>
      <c r="AO467" s="956">
        <f t="shared" ca="1" si="955"/>
        <v>0</v>
      </c>
      <c r="AP467" s="379">
        <f ca="1">SUM(INDIRECT(AP$1&amp;AP$2&amp;$A467):INDIRECT(AP$1&amp;AP$3&amp;$A467))</f>
        <v>0</v>
      </c>
      <c r="AQ467" s="895">
        <f t="shared" ca="1" si="956"/>
        <v>0</v>
      </c>
      <c r="AR467" s="956">
        <f t="shared" ca="1" si="957"/>
        <v>0</v>
      </c>
      <c r="AT467" s="379">
        <f ca="1">SUM((INDIRECT(AT$2&amp;(ROW())):INDIRECT(AT$3&amp;(ROW()))))</f>
        <v>0</v>
      </c>
      <c r="AU467" s="379">
        <f ca="1">SUM(INDIRECT(AU$1&amp;AU$2&amp;$C467):INDIRECT(AU$1&amp;AU$3&amp;$C467))</f>
        <v>0</v>
      </c>
      <c r="AV467" s="895">
        <f t="shared" ca="1" si="958"/>
        <v>0</v>
      </c>
      <c r="AW467" s="956">
        <f t="shared" ca="1" si="959"/>
        <v>0</v>
      </c>
      <c r="AX467" s="379">
        <f ca="1">SUM(INDIRECT(AX$1&amp;AX$2&amp;$A467):INDIRECT(AX$1&amp;AX$3&amp;$A467))</f>
        <v>0</v>
      </c>
      <c r="AY467" s="895">
        <f t="shared" ca="1" si="960"/>
        <v>0</v>
      </c>
      <c r="AZ467" s="956">
        <f t="shared" ca="1" si="961"/>
        <v>0</v>
      </c>
      <c r="BB467" s="379">
        <f ca="1">SUM((INDIRECT(BB$2&amp;(ROW())):INDIRECT(BB$3&amp;(ROW()))))</f>
        <v>0</v>
      </c>
      <c r="BC467" s="379">
        <f ca="1">SUM(INDIRECT(BC$1&amp;BC$2&amp;$C467):INDIRECT(BC$1&amp;BC$3&amp;$C467))</f>
        <v>0</v>
      </c>
      <c r="BD467" s="895">
        <f t="shared" ca="1" si="962"/>
        <v>0</v>
      </c>
      <c r="BE467" s="956">
        <f t="shared" ca="1" si="963"/>
        <v>0</v>
      </c>
      <c r="BF467" s="379">
        <f ca="1">SUM(INDIRECT(BF$1&amp;BF$2&amp;$A467):INDIRECT(BF$1&amp;BF$3&amp;$A467))</f>
        <v>0</v>
      </c>
      <c r="BG467" s="895">
        <f t="shared" ca="1" si="964"/>
        <v>0</v>
      </c>
      <c r="BH467" s="956">
        <f t="shared" ca="1" si="965"/>
        <v>0</v>
      </c>
    </row>
    <row r="468" spans="1:60" ht="14.5">
      <c r="A468" s="990">
        <f t="shared" si="800"/>
        <v>419</v>
      </c>
      <c r="B468" s="990">
        <v>1</v>
      </c>
      <c r="C468" s="990">
        <f t="shared" si="946"/>
        <v>465</v>
      </c>
      <c r="E468" s="1243">
        <v>1</v>
      </c>
      <c r="I468" s="106"/>
      <c r="J468" s="105"/>
      <c r="K468" s="73"/>
      <c r="L468" s="73"/>
      <c r="M468" s="22" t="s">
        <v>362</v>
      </c>
      <c r="N468" s="22"/>
      <c r="O468" s="22"/>
      <c r="P468" s="303"/>
      <c r="Q468" s="1845" t="str">
        <f>CHOOSE(2, "6722000003387", "S/GP (1)-1 Net Sales Direct Others")</f>
        <v>S/GP (1)-1 Net Sales Direct Others</v>
      </c>
      <c r="R468" s="2088">
        <v>0</v>
      </c>
      <c r="S468" s="2088">
        <v>0</v>
      </c>
      <c r="T468" s="2088">
        <v>0</v>
      </c>
      <c r="U468" s="2088">
        <v>0</v>
      </c>
      <c r="V468" s="2088">
        <v>0</v>
      </c>
      <c r="W468" s="2088">
        <v>0</v>
      </c>
      <c r="X468" s="2088">
        <v>0</v>
      </c>
      <c r="Y468" s="2088">
        <v>0</v>
      </c>
      <c r="Z468" s="2088">
        <v>0</v>
      </c>
      <c r="AA468" s="2088">
        <v>0</v>
      </c>
      <c r="AB468" s="2088">
        <v>0</v>
      </c>
      <c r="AC468" s="2088">
        <v>0</v>
      </c>
      <c r="AD468" s="1541">
        <f>SUM(R468,S468,T468)</f>
        <v>0</v>
      </c>
      <c r="AE468" s="70">
        <f t="shared" si="986"/>
        <v>0</v>
      </c>
      <c r="AF468" s="70">
        <f t="shared" si="987"/>
        <v>0</v>
      </c>
      <c r="AG468" s="70">
        <f t="shared" si="988"/>
        <v>0</v>
      </c>
      <c r="AH468" s="70">
        <f>AD468+AE468</f>
        <v>0</v>
      </c>
      <c r="AI468" s="70">
        <f>AG468+AF468</f>
        <v>0</v>
      </c>
      <c r="AJ468" s="70">
        <f>AH468+AI468</f>
        <v>0</v>
      </c>
      <c r="AL468" s="2534">
        <f ca="1">SUM((INDIRECT(AL$2&amp;(ROW())):INDIRECT(AL$3&amp;(ROW()))))</f>
        <v>0</v>
      </c>
      <c r="AM468" s="2534">
        <f ca="1">SUM(INDIRECT(AM$1&amp;AM$2&amp;$C468):INDIRECT(AM$1&amp;AM$3&amp;$C468))</f>
        <v>0</v>
      </c>
      <c r="AN468" s="2535">
        <f t="shared" ca="1" si="954"/>
        <v>0</v>
      </c>
      <c r="AO468" s="2536">
        <f t="shared" ca="1" si="955"/>
        <v>0</v>
      </c>
      <c r="AP468" s="2534">
        <f ca="1">SUM(INDIRECT(AP$1&amp;AP$2&amp;$A468):INDIRECT(AP$1&amp;AP$3&amp;$A468))</f>
        <v>0</v>
      </c>
      <c r="AQ468" s="2535">
        <f t="shared" ca="1" si="956"/>
        <v>0</v>
      </c>
      <c r="AR468" s="2536">
        <f t="shared" ca="1" si="957"/>
        <v>0</v>
      </c>
      <c r="AT468" s="2534">
        <f ca="1">SUM((INDIRECT(AT$2&amp;(ROW())):INDIRECT(AT$3&amp;(ROW()))))</f>
        <v>0</v>
      </c>
      <c r="AU468" s="2534">
        <f ca="1">SUM(INDIRECT(AU$1&amp;AU$2&amp;$C468):INDIRECT(AU$1&amp;AU$3&amp;$C468))</f>
        <v>0</v>
      </c>
      <c r="AV468" s="2535">
        <f t="shared" ca="1" si="958"/>
        <v>0</v>
      </c>
      <c r="AW468" s="2536">
        <f t="shared" ca="1" si="959"/>
        <v>0</v>
      </c>
      <c r="AX468" s="2534">
        <f ca="1">SUM(INDIRECT(AX$1&amp;AX$2&amp;$A468):INDIRECT(AX$1&amp;AX$3&amp;$A468))</f>
        <v>0</v>
      </c>
      <c r="AY468" s="2535">
        <f t="shared" ca="1" si="960"/>
        <v>0</v>
      </c>
      <c r="AZ468" s="2536">
        <f t="shared" ca="1" si="961"/>
        <v>0</v>
      </c>
      <c r="BB468" s="2534">
        <f ca="1">SUM((INDIRECT(BB$2&amp;(ROW())):INDIRECT(BB$3&amp;(ROW()))))</f>
        <v>0</v>
      </c>
      <c r="BC468" s="2534">
        <f ca="1">SUM(INDIRECT(BC$1&amp;BC$2&amp;$C468):INDIRECT(BC$1&amp;BC$3&amp;$C468))</f>
        <v>0</v>
      </c>
      <c r="BD468" s="2535">
        <f t="shared" ca="1" si="962"/>
        <v>0</v>
      </c>
      <c r="BE468" s="2536">
        <f t="shared" ca="1" si="963"/>
        <v>0</v>
      </c>
      <c r="BF468" s="2534">
        <f ca="1">SUM(INDIRECT(BF$1&amp;BF$2&amp;$A468):INDIRECT(BF$1&amp;BF$3&amp;$A468))</f>
        <v>0</v>
      </c>
      <c r="BG468" s="2535">
        <f t="shared" ca="1" si="964"/>
        <v>0</v>
      </c>
      <c r="BH468" s="2536">
        <f t="shared" ca="1" si="965"/>
        <v>0</v>
      </c>
    </row>
    <row r="469" spans="1:60" ht="14.5">
      <c r="A469" s="990">
        <f t="shared" si="800"/>
        <v>420</v>
      </c>
      <c r="B469" s="990">
        <v>1</v>
      </c>
      <c r="C469" s="990">
        <f t="shared" si="946"/>
        <v>466</v>
      </c>
      <c r="E469" s="1243">
        <v>1</v>
      </c>
      <c r="I469" s="106"/>
      <c r="J469" s="105"/>
      <c r="K469" s="82" t="s">
        <v>221</v>
      </c>
      <c r="L469" s="82"/>
      <c r="M469" s="386"/>
      <c r="N469" s="386"/>
      <c r="O469" s="386"/>
      <c r="P469" s="794"/>
      <c r="Q469" s="1876" t="str">
        <f>CHOOSE(2, "6722000003388", "S/GP (1)-1 Net Sales Indirect")</f>
        <v>S/GP (1)-1 Net Sales Indirect</v>
      </c>
      <c r="R469" s="2135">
        <f>+R470+R475+R484</f>
        <v>117898</v>
      </c>
      <c r="S469" s="2005">
        <f t="shared" ref="S469:AC469" si="989">+S470+S475+S484</f>
        <v>133956</v>
      </c>
      <c r="T469" s="2005">
        <f t="shared" si="989"/>
        <v>143084</v>
      </c>
      <c r="U469" s="2005">
        <f t="shared" si="989"/>
        <v>154637</v>
      </c>
      <c r="V469" s="2005">
        <f t="shared" si="989"/>
        <v>205284.01783000003</v>
      </c>
      <c r="W469" s="2005">
        <f t="shared" si="989"/>
        <v>214485</v>
      </c>
      <c r="X469" s="2005">
        <f t="shared" si="989"/>
        <v>178151</v>
      </c>
      <c r="Y469" s="2005">
        <f t="shared" si="989"/>
        <v>192455</v>
      </c>
      <c r="Z469" s="2005">
        <f t="shared" si="989"/>
        <v>262820</v>
      </c>
      <c r="AA469" s="2005">
        <f t="shared" si="989"/>
        <v>181629</v>
      </c>
      <c r="AB469" s="2005">
        <f t="shared" si="989"/>
        <v>197884.14631000001</v>
      </c>
      <c r="AC469" s="2005">
        <f t="shared" si="989"/>
        <v>234099</v>
      </c>
      <c r="AD469" s="1542">
        <f t="shared" ref="AD469:AJ469" si="990">+AD470+AD475+AD484</f>
        <v>394938</v>
      </c>
      <c r="AE469" s="112">
        <f t="shared" si="990"/>
        <v>574406.01783000003</v>
      </c>
      <c r="AF469" s="112">
        <f t="shared" si="990"/>
        <v>633426</v>
      </c>
      <c r="AG469" s="112">
        <f t="shared" si="990"/>
        <v>613612.14630999998</v>
      </c>
      <c r="AH469" s="112">
        <f t="shared" si="990"/>
        <v>969344.01783000003</v>
      </c>
      <c r="AI469" s="112">
        <f t="shared" si="990"/>
        <v>1247038.14631</v>
      </c>
      <c r="AJ469" s="112">
        <f t="shared" si="990"/>
        <v>2216382.16414</v>
      </c>
      <c r="AL469" s="2135">
        <f ca="1">SUM((INDIRECT(AL$2&amp;(ROW())):INDIRECT(AL$3&amp;(ROW()))))</f>
        <v>234099</v>
      </c>
      <c r="AM469" s="112">
        <f ca="1">SUM(INDIRECT(AM$1&amp;AM$2&amp;$C469):INDIRECT(AM$1&amp;AM$3&amp;$C469))</f>
        <v>0</v>
      </c>
      <c r="AN469" s="1723">
        <f t="shared" ca="1" si="954"/>
        <v>234099</v>
      </c>
      <c r="AO469" s="1724">
        <f t="shared" ca="1" si="955"/>
        <v>0</v>
      </c>
      <c r="AP469" s="112">
        <f ca="1">SUM(INDIRECT(AP$1&amp;AP$2&amp;$A469):INDIRECT(AP$1&amp;AP$3&amp;$A469))</f>
        <v>188061</v>
      </c>
      <c r="AQ469" s="1723">
        <f t="shared" ca="1" si="956"/>
        <v>46038</v>
      </c>
      <c r="AR469" s="1724">
        <f t="shared" ca="1" si="957"/>
        <v>1.2448035477850272</v>
      </c>
      <c r="AT469" s="2135">
        <f ca="1">SUM((INDIRECT(AT$2&amp;(ROW())):INDIRECT(AT$3&amp;(ROW()))))</f>
        <v>613612.14630999998</v>
      </c>
      <c r="AU469" s="112">
        <f ca="1">SUM(INDIRECT(AU$1&amp;AU$2&amp;$C469):INDIRECT(AU$1&amp;AU$3&amp;$C469))</f>
        <v>0</v>
      </c>
      <c r="AV469" s="1723">
        <f t="shared" ca="1" si="958"/>
        <v>613612.14630999998</v>
      </c>
      <c r="AW469" s="1724">
        <f t="shared" ca="1" si="959"/>
        <v>0</v>
      </c>
      <c r="AX469" s="112">
        <f ca="1">SUM(INDIRECT(AX$1&amp;AX$2&amp;$A469):INDIRECT(AX$1&amp;AX$3&amp;$A469))</f>
        <v>435096</v>
      </c>
      <c r="AY469" s="1723">
        <f t="shared" ca="1" si="960"/>
        <v>178516.14630999998</v>
      </c>
      <c r="AZ469" s="1724">
        <f t="shared" ca="1" si="961"/>
        <v>1.4102913984729806</v>
      </c>
      <c r="BB469" s="2135">
        <f ca="1">SUM((INDIRECT(BB$2&amp;(ROW())):INDIRECT(BB$3&amp;(ROW()))))</f>
        <v>2216382.16414</v>
      </c>
      <c r="BC469" s="112">
        <f ca="1">SUM(INDIRECT(BC$1&amp;BC$2&amp;$C469):INDIRECT(BC$1&amp;BC$3&amp;$C469))</f>
        <v>0</v>
      </c>
      <c r="BD469" s="1723">
        <f t="shared" ca="1" si="962"/>
        <v>2216382.16414</v>
      </c>
      <c r="BE469" s="1724">
        <f t="shared" ca="1" si="963"/>
        <v>0</v>
      </c>
      <c r="BF469" s="112">
        <f ca="1">SUM(INDIRECT(BF$1&amp;BF$2&amp;$A469):INDIRECT(BF$1&amp;BF$3&amp;$A469))</f>
        <v>1604445</v>
      </c>
      <c r="BG469" s="1723">
        <f t="shared" ca="1" si="964"/>
        <v>611937.16414000001</v>
      </c>
      <c r="BH469" s="1724">
        <f t="shared" ca="1" si="965"/>
        <v>1.3814011475245334</v>
      </c>
    </row>
    <row r="470" spans="1:60" ht="14.5">
      <c r="A470" s="990">
        <f t="shared" ref="A470:A533" si="991">A469+1</f>
        <v>421</v>
      </c>
      <c r="B470" s="990">
        <v>1</v>
      </c>
      <c r="C470" s="990">
        <f t="shared" si="946"/>
        <v>467</v>
      </c>
      <c r="E470" s="1243">
        <v>1</v>
      </c>
      <c r="I470" s="106"/>
      <c r="J470" s="105"/>
      <c r="K470" s="69"/>
      <c r="L470" s="69"/>
      <c r="M470" s="9" t="s">
        <v>335</v>
      </c>
      <c r="N470" s="363"/>
      <c r="O470" s="363"/>
      <c r="P470" s="363"/>
      <c r="Q470" s="1843" t="str">
        <f>CHOOSE(2, "6722000003389", "S/GP (1)-1 Net Sales Indirect HW")</f>
        <v>S/GP (1)-1 Net Sales Indirect HW</v>
      </c>
      <c r="R470" s="365">
        <f>R471+R474</f>
        <v>51668</v>
      </c>
      <c r="S470" s="365">
        <f t="shared" ref="S470:AC470" si="992">S471+S474</f>
        <v>98025</v>
      </c>
      <c r="T470" s="365">
        <f t="shared" si="992"/>
        <v>74833</v>
      </c>
      <c r="U470" s="365">
        <f t="shared" si="992"/>
        <v>96945</v>
      </c>
      <c r="V470" s="365">
        <f t="shared" si="992"/>
        <v>139067.27900000001</v>
      </c>
      <c r="W470" s="365">
        <f t="shared" si="992"/>
        <v>160331</v>
      </c>
      <c r="X470" s="365">
        <f t="shared" si="992"/>
        <v>117005</v>
      </c>
      <c r="Y470" s="365">
        <f t="shared" si="992"/>
        <v>119625</v>
      </c>
      <c r="Z470" s="365">
        <f t="shared" si="992"/>
        <v>204402</v>
      </c>
      <c r="AA470" s="365">
        <f t="shared" si="992"/>
        <v>123094</v>
      </c>
      <c r="AB470" s="365">
        <f t="shared" si="992"/>
        <v>144048.14631000001</v>
      </c>
      <c r="AC470" s="365">
        <f t="shared" si="992"/>
        <v>176045</v>
      </c>
      <c r="AD470" s="1536">
        <f t="shared" ref="AD470:AJ470" si="993">AD471+AD474</f>
        <v>224526</v>
      </c>
      <c r="AE470" s="365">
        <f t="shared" si="993"/>
        <v>396343.27899999998</v>
      </c>
      <c r="AF470" s="365">
        <f t="shared" si="993"/>
        <v>441032</v>
      </c>
      <c r="AG470" s="365">
        <f t="shared" si="993"/>
        <v>443187.14630999998</v>
      </c>
      <c r="AH470" s="365">
        <f t="shared" si="993"/>
        <v>620869.27899999998</v>
      </c>
      <c r="AI470" s="365">
        <f t="shared" si="993"/>
        <v>884219.14630999998</v>
      </c>
      <c r="AJ470" s="365">
        <f t="shared" si="993"/>
        <v>1505088.4253099998</v>
      </c>
      <c r="AL470" s="365">
        <f ca="1">SUM((INDIRECT(AL$2&amp;(ROW())):INDIRECT(AL$3&amp;(ROW()))))</f>
        <v>176045</v>
      </c>
      <c r="AM470" s="365">
        <f ca="1">SUM(INDIRECT(AM$1&amp;AM$2&amp;$C470):INDIRECT(AM$1&amp;AM$3&amp;$C470))</f>
        <v>0</v>
      </c>
      <c r="AN470" s="891">
        <f t="shared" ca="1" si="954"/>
        <v>176045</v>
      </c>
      <c r="AO470" s="952">
        <f t="shared" ca="1" si="955"/>
        <v>0</v>
      </c>
      <c r="AP470" s="365">
        <f ca="1">SUM(INDIRECT(AP$1&amp;AP$2&amp;$A470):INDIRECT(AP$1&amp;AP$3&amp;$A470))</f>
        <v>152142</v>
      </c>
      <c r="AQ470" s="891">
        <f t="shared" ca="1" si="956"/>
        <v>23903</v>
      </c>
      <c r="AR470" s="952">
        <f t="shared" ca="1" si="957"/>
        <v>1.1571098053134572</v>
      </c>
      <c r="AT470" s="365">
        <f ca="1">SUM((INDIRECT(AT$2&amp;(ROW())):INDIRECT(AT$3&amp;(ROW()))))</f>
        <v>443187.14630999998</v>
      </c>
      <c r="AU470" s="365">
        <f ca="1">SUM(INDIRECT(AU$1&amp;AU$2&amp;$C470):INDIRECT(AU$1&amp;AU$3&amp;$C470))</f>
        <v>0</v>
      </c>
      <c r="AV470" s="891">
        <f t="shared" ca="1" si="958"/>
        <v>443187.14630999998</v>
      </c>
      <c r="AW470" s="952">
        <f t="shared" ca="1" si="959"/>
        <v>0</v>
      </c>
      <c r="AX470" s="365">
        <f ca="1">SUM(INDIRECT(AX$1&amp;AX$2&amp;$A470):INDIRECT(AX$1&amp;AX$3&amp;$A470))</f>
        <v>315704</v>
      </c>
      <c r="AY470" s="891">
        <f t="shared" ca="1" si="960"/>
        <v>127483.14630999998</v>
      </c>
      <c r="AZ470" s="952">
        <f t="shared" ca="1" si="961"/>
        <v>1.40380592678585</v>
      </c>
      <c r="BB470" s="365">
        <f ca="1">SUM((INDIRECT(BB$2&amp;(ROW())):INDIRECT(BB$3&amp;(ROW()))))</f>
        <v>1505088.4253100001</v>
      </c>
      <c r="BC470" s="365">
        <f ca="1">SUM(INDIRECT(BC$1&amp;BC$2&amp;$C470):INDIRECT(BC$1&amp;BC$3&amp;$C470))</f>
        <v>0</v>
      </c>
      <c r="BD470" s="891">
        <f t="shared" ca="1" si="962"/>
        <v>1505088.4253100001</v>
      </c>
      <c r="BE470" s="952">
        <f t="shared" ca="1" si="963"/>
        <v>0</v>
      </c>
      <c r="BF470" s="365">
        <f ca="1">SUM(INDIRECT(BF$1&amp;BF$2&amp;$A470):INDIRECT(BF$1&amp;BF$3&amp;$A470))</f>
        <v>1104735</v>
      </c>
      <c r="BG470" s="891">
        <f t="shared" ca="1" si="964"/>
        <v>400353.42531000008</v>
      </c>
      <c r="BH470" s="952">
        <f t="shared" ca="1" si="965"/>
        <v>1.3623977019918805</v>
      </c>
    </row>
    <row r="471" spans="1:60" ht="14.5">
      <c r="A471" s="990">
        <f t="shared" si="991"/>
        <v>422</v>
      </c>
      <c r="B471" s="990">
        <v>1</v>
      </c>
      <c r="C471" s="990">
        <f t="shared" si="946"/>
        <v>468</v>
      </c>
      <c r="E471" s="1243">
        <v>1</v>
      </c>
      <c r="I471" s="106"/>
      <c r="J471" s="105"/>
      <c r="K471" s="69"/>
      <c r="L471" s="69"/>
      <c r="N471" s="111" t="s">
        <v>336</v>
      </c>
      <c r="O471" s="111"/>
      <c r="P471" s="111"/>
      <c r="Q471" s="1843" t="str">
        <f>CHOOSE(2, "6722000003390", "S/GP (1)-1 Net Sales Indirect HW KMI")</f>
        <v>S/GP (1)-1 Net Sales Indirect HW KMI</v>
      </c>
      <c r="R471" s="109">
        <f>SUM(R472:R473)</f>
        <v>51668</v>
      </c>
      <c r="S471" s="109">
        <f t="shared" ref="S471:AC471" si="994">SUM(S472:S473)</f>
        <v>98025</v>
      </c>
      <c r="T471" s="109">
        <f t="shared" si="994"/>
        <v>74833</v>
      </c>
      <c r="U471" s="109">
        <f t="shared" si="994"/>
        <v>96945</v>
      </c>
      <c r="V471" s="109">
        <f t="shared" si="994"/>
        <v>139067.27900000001</v>
      </c>
      <c r="W471" s="109">
        <f t="shared" si="994"/>
        <v>160331</v>
      </c>
      <c r="X471" s="109">
        <f t="shared" si="994"/>
        <v>117005</v>
      </c>
      <c r="Y471" s="109">
        <f t="shared" si="994"/>
        <v>119625</v>
      </c>
      <c r="Z471" s="109">
        <f t="shared" si="994"/>
        <v>204402</v>
      </c>
      <c r="AA471" s="109">
        <f t="shared" si="994"/>
        <v>123094</v>
      </c>
      <c r="AB471" s="109">
        <f t="shared" si="994"/>
        <v>144048.14631000001</v>
      </c>
      <c r="AC471" s="109">
        <f t="shared" si="994"/>
        <v>176045</v>
      </c>
      <c r="AD471" s="1537">
        <f t="shared" ref="AD471:AJ471" si="995">SUM(AD472:AD473)</f>
        <v>224526</v>
      </c>
      <c r="AE471" s="109">
        <f t="shared" si="995"/>
        <v>396343.27899999998</v>
      </c>
      <c r="AF471" s="109">
        <f t="shared" si="995"/>
        <v>441032</v>
      </c>
      <c r="AG471" s="109">
        <f t="shared" si="995"/>
        <v>443187.14630999998</v>
      </c>
      <c r="AH471" s="109">
        <f t="shared" si="995"/>
        <v>620869.27899999998</v>
      </c>
      <c r="AI471" s="109">
        <f t="shared" si="995"/>
        <v>884219.14630999998</v>
      </c>
      <c r="AJ471" s="109">
        <f t="shared" si="995"/>
        <v>1505088.4253099998</v>
      </c>
      <c r="AL471" s="109">
        <f ca="1">SUM((INDIRECT(AL$2&amp;(ROW())):INDIRECT(AL$3&amp;(ROW()))))</f>
        <v>176045</v>
      </c>
      <c r="AM471" s="109">
        <f ca="1">SUM(INDIRECT(AM$1&amp;AM$2&amp;$C471):INDIRECT(AM$1&amp;AM$3&amp;$C471))</f>
        <v>0</v>
      </c>
      <c r="AN471" s="892">
        <f t="shared" ca="1" si="954"/>
        <v>176045</v>
      </c>
      <c r="AO471" s="953">
        <f t="shared" ca="1" si="955"/>
        <v>0</v>
      </c>
      <c r="AP471" s="109">
        <f ca="1">SUM(INDIRECT(AP$1&amp;AP$2&amp;$A471):INDIRECT(AP$1&amp;AP$3&amp;$A471))</f>
        <v>152142</v>
      </c>
      <c r="AQ471" s="892">
        <f t="shared" ca="1" si="956"/>
        <v>23903</v>
      </c>
      <c r="AR471" s="953">
        <f t="shared" ca="1" si="957"/>
        <v>1.1571098053134572</v>
      </c>
      <c r="AT471" s="109">
        <f ca="1">SUM((INDIRECT(AT$2&amp;(ROW())):INDIRECT(AT$3&amp;(ROW()))))</f>
        <v>443187.14630999998</v>
      </c>
      <c r="AU471" s="109">
        <f ca="1">SUM(INDIRECT(AU$1&amp;AU$2&amp;$C471):INDIRECT(AU$1&amp;AU$3&amp;$C471))</f>
        <v>0</v>
      </c>
      <c r="AV471" s="892">
        <f t="shared" ca="1" si="958"/>
        <v>443187.14630999998</v>
      </c>
      <c r="AW471" s="953">
        <f t="shared" ca="1" si="959"/>
        <v>0</v>
      </c>
      <c r="AX471" s="109">
        <f ca="1">SUM(INDIRECT(AX$1&amp;AX$2&amp;$A471):INDIRECT(AX$1&amp;AX$3&amp;$A471))</f>
        <v>315704</v>
      </c>
      <c r="AY471" s="892">
        <f t="shared" ca="1" si="960"/>
        <v>127483.14630999998</v>
      </c>
      <c r="AZ471" s="953">
        <f t="shared" ca="1" si="961"/>
        <v>1.40380592678585</v>
      </c>
      <c r="BB471" s="109">
        <f ca="1">SUM((INDIRECT(BB$2&amp;(ROW())):INDIRECT(BB$3&amp;(ROW()))))</f>
        <v>1505088.4253100001</v>
      </c>
      <c r="BC471" s="109">
        <f ca="1">SUM(INDIRECT(BC$1&amp;BC$2&amp;$C471):INDIRECT(BC$1&amp;BC$3&amp;$C471))</f>
        <v>0</v>
      </c>
      <c r="BD471" s="892">
        <f t="shared" ca="1" si="962"/>
        <v>1505088.4253100001</v>
      </c>
      <c r="BE471" s="953">
        <f t="shared" ca="1" si="963"/>
        <v>0</v>
      </c>
      <c r="BF471" s="109">
        <f ca="1">SUM(INDIRECT(BF$1&amp;BF$2&amp;$A471):INDIRECT(BF$1&amp;BF$3&amp;$A471))</f>
        <v>1104735</v>
      </c>
      <c r="BG471" s="892">
        <f t="shared" ca="1" si="964"/>
        <v>400353.42531000008</v>
      </c>
      <c r="BH471" s="953">
        <f t="shared" ca="1" si="965"/>
        <v>1.3623977019918805</v>
      </c>
    </row>
    <row r="472" spans="1:60" ht="14.5">
      <c r="A472" s="990">
        <f t="shared" si="991"/>
        <v>423</v>
      </c>
      <c r="B472" s="990">
        <v>1</v>
      </c>
      <c r="C472" s="990">
        <f t="shared" si="946"/>
        <v>469</v>
      </c>
      <c r="E472" s="1243">
        <v>1</v>
      </c>
      <c r="I472" s="106"/>
      <c r="J472" s="105"/>
      <c r="K472" s="69"/>
      <c r="L472" s="69"/>
      <c r="O472" s="111" t="s">
        <v>352</v>
      </c>
      <c r="P472" s="111"/>
      <c r="Q472" s="1845" t="str">
        <f>CHOOSE(2, "6722000003391", "S/GP (1)-1 Net Sales Indirect HW KMI Office A3")</f>
        <v>S/GP (1)-1 Net Sales Indirect HW KMI Office A3</v>
      </c>
      <c r="R472" s="2042">
        <v>51629</v>
      </c>
      <c r="S472" s="2042">
        <v>98025</v>
      </c>
      <c r="T472" s="2042">
        <v>74833</v>
      </c>
      <c r="U472" s="2042">
        <v>96945</v>
      </c>
      <c r="V472" s="2042">
        <v>139067.27900000001</v>
      </c>
      <c r="W472" s="2042">
        <v>160331</v>
      </c>
      <c r="X472" s="2042">
        <v>117005</v>
      </c>
      <c r="Y472" s="2042">
        <v>119625</v>
      </c>
      <c r="Z472" s="2042">
        <v>204402</v>
      </c>
      <c r="AA472" s="2042">
        <v>123094</v>
      </c>
      <c r="AB472" s="2042">
        <v>144048.14631000001</v>
      </c>
      <c r="AC472" s="2042">
        <v>176045</v>
      </c>
      <c r="AD472" s="1537">
        <f>SUM(R472,S472,T472)</f>
        <v>224487</v>
      </c>
      <c r="AE472" s="108">
        <f t="shared" ref="AE472:AE474" si="996">SUM(U472,V472,W472)</f>
        <v>396343.27899999998</v>
      </c>
      <c r="AF472" s="108">
        <f t="shared" ref="AF472:AF474" si="997">SUM(X472,Y472,Z472)</f>
        <v>441032</v>
      </c>
      <c r="AG472" s="108">
        <f t="shared" ref="AG472:AG474" si="998">SUM(AA472,AB472,AC472)</f>
        <v>443187.14630999998</v>
      </c>
      <c r="AH472" s="108">
        <f>AD472+AE472</f>
        <v>620830.27899999998</v>
      </c>
      <c r="AI472" s="108">
        <f>AG472+AF472</f>
        <v>884219.14630999998</v>
      </c>
      <c r="AJ472" s="108">
        <f>AH472+AI472</f>
        <v>1505049.4253099998</v>
      </c>
      <c r="AL472" s="108">
        <f ca="1">SUM((INDIRECT(AL$2&amp;(ROW())):INDIRECT(AL$3&amp;(ROW()))))</f>
        <v>176045</v>
      </c>
      <c r="AM472" s="108">
        <f ca="1">SUM(INDIRECT(AM$1&amp;AM$2&amp;$C472):INDIRECT(AM$1&amp;AM$3&amp;$C472))</f>
        <v>0</v>
      </c>
      <c r="AN472" s="893">
        <f t="shared" ca="1" si="954"/>
        <v>176045</v>
      </c>
      <c r="AO472" s="954">
        <f t="shared" ca="1" si="955"/>
        <v>0</v>
      </c>
      <c r="AP472" s="108">
        <f ca="1">SUM(INDIRECT(AP$1&amp;AP$2&amp;$A472):INDIRECT(AP$1&amp;AP$3&amp;$A472))</f>
        <v>152142</v>
      </c>
      <c r="AQ472" s="893">
        <f t="shared" ca="1" si="956"/>
        <v>23903</v>
      </c>
      <c r="AR472" s="954">
        <f t="shared" ca="1" si="957"/>
        <v>1.1571098053134572</v>
      </c>
      <c r="AT472" s="108">
        <f ca="1">SUM((INDIRECT(AT$2&amp;(ROW())):INDIRECT(AT$3&amp;(ROW()))))</f>
        <v>443187.14630999998</v>
      </c>
      <c r="AU472" s="108">
        <f ca="1">SUM(INDIRECT(AU$1&amp;AU$2&amp;$C472):INDIRECT(AU$1&amp;AU$3&amp;$C472))</f>
        <v>0</v>
      </c>
      <c r="AV472" s="893">
        <f t="shared" ca="1" si="958"/>
        <v>443187.14630999998</v>
      </c>
      <c r="AW472" s="954">
        <f t="shared" ca="1" si="959"/>
        <v>0</v>
      </c>
      <c r="AX472" s="108">
        <f ca="1">SUM(INDIRECT(AX$1&amp;AX$2&amp;$A472):INDIRECT(AX$1&amp;AX$3&amp;$A472))</f>
        <v>315704</v>
      </c>
      <c r="AY472" s="893">
        <f t="shared" ca="1" si="960"/>
        <v>127483.14630999998</v>
      </c>
      <c r="AZ472" s="954">
        <f t="shared" ca="1" si="961"/>
        <v>1.40380592678585</v>
      </c>
      <c r="BB472" s="108">
        <f ca="1">SUM((INDIRECT(BB$2&amp;(ROW())):INDIRECT(BB$3&amp;(ROW()))))</f>
        <v>1505049.4253100001</v>
      </c>
      <c r="BC472" s="108">
        <f ca="1">SUM(INDIRECT(BC$1&amp;BC$2&amp;$C472):INDIRECT(BC$1&amp;BC$3&amp;$C472))</f>
        <v>0</v>
      </c>
      <c r="BD472" s="893">
        <f t="shared" ca="1" si="962"/>
        <v>1505049.4253100001</v>
      </c>
      <c r="BE472" s="954">
        <f t="shared" ca="1" si="963"/>
        <v>0</v>
      </c>
      <c r="BF472" s="108">
        <f ca="1">SUM(INDIRECT(BF$1&amp;BF$2&amp;$A472):INDIRECT(BF$1&amp;BF$3&amp;$A472))</f>
        <v>1104735</v>
      </c>
      <c r="BG472" s="893">
        <f t="shared" ca="1" si="964"/>
        <v>400314.42531000008</v>
      </c>
      <c r="BH472" s="954">
        <f t="shared" ca="1" si="965"/>
        <v>1.362362399408003</v>
      </c>
    </row>
    <row r="473" spans="1:60" ht="15" customHeight="1">
      <c r="A473" s="990">
        <f t="shared" si="991"/>
        <v>424</v>
      </c>
      <c r="B473" s="990">
        <v>1</v>
      </c>
      <c r="C473" s="990">
        <f t="shared" si="946"/>
        <v>470</v>
      </c>
      <c r="E473" s="1243">
        <v>1</v>
      </c>
      <c r="I473" s="106"/>
      <c r="J473" s="105"/>
      <c r="K473" s="69"/>
      <c r="L473" s="69"/>
      <c r="N473" s="363"/>
      <c r="O473" s="363" t="s">
        <v>353</v>
      </c>
      <c r="P473" s="363"/>
      <c r="Q473" s="1845" t="str">
        <f>CHOOSE(2, "6722000003392", "S/GP (1)-1 Net Sales Indirect HW KMI Office A4")</f>
        <v>S/GP (1)-1 Net Sales Indirect HW KMI Office A4</v>
      </c>
      <c r="R473" s="2052">
        <v>39</v>
      </c>
      <c r="S473" s="2052">
        <v>0</v>
      </c>
      <c r="T473" s="2052">
        <v>0</v>
      </c>
      <c r="U473" s="2052">
        <v>0</v>
      </c>
      <c r="V473" s="2052">
        <v>0</v>
      </c>
      <c r="W473" s="2052">
        <v>0</v>
      </c>
      <c r="X473" s="2052">
        <v>0</v>
      </c>
      <c r="Y473" s="2052">
        <v>0</v>
      </c>
      <c r="Z473" s="2052">
        <v>0</v>
      </c>
      <c r="AA473" s="2052">
        <v>0</v>
      </c>
      <c r="AB473" s="2052">
        <v>0</v>
      </c>
      <c r="AC473" s="2052">
        <v>0</v>
      </c>
      <c r="AD473" s="1536">
        <f>SUM(R473,S473,T473)</f>
        <v>39</v>
      </c>
      <c r="AE473" s="378">
        <f t="shared" si="996"/>
        <v>0</v>
      </c>
      <c r="AF473" s="378">
        <f t="shared" si="997"/>
        <v>0</v>
      </c>
      <c r="AG473" s="378">
        <f t="shared" si="998"/>
        <v>0</v>
      </c>
      <c r="AH473" s="378">
        <f>AD473+AE473</f>
        <v>39</v>
      </c>
      <c r="AI473" s="378">
        <f>AG473+AF473</f>
        <v>0</v>
      </c>
      <c r="AJ473" s="378">
        <f>AH473+AI473</f>
        <v>39</v>
      </c>
      <c r="AL473" s="378">
        <f ca="1">SUM((INDIRECT(AL$2&amp;(ROW())):INDIRECT(AL$3&amp;(ROW()))))</f>
        <v>0</v>
      </c>
      <c r="AM473" s="378">
        <f ca="1">SUM(INDIRECT(AM$1&amp;AM$2&amp;$C473):INDIRECT(AM$1&amp;AM$3&amp;$C473))</f>
        <v>0</v>
      </c>
      <c r="AN473" s="894">
        <f t="shared" ca="1" si="954"/>
        <v>0</v>
      </c>
      <c r="AO473" s="955">
        <f t="shared" ca="1" si="955"/>
        <v>0</v>
      </c>
      <c r="AP473" s="378">
        <f ca="1">SUM(INDIRECT(AP$1&amp;AP$2&amp;$A473):INDIRECT(AP$1&amp;AP$3&amp;$A473))</f>
        <v>0</v>
      </c>
      <c r="AQ473" s="894">
        <f t="shared" ca="1" si="956"/>
        <v>0</v>
      </c>
      <c r="AR473" s="955">
        <f t="shared" ca="1" si="957"/>
        <v>0</v>
      </c>
      <c r="AT473" s="378">
        <f ca="1">SUM((INDIRECT(AT$2&amp;(ROW())):INDIRECT(AT$3&amp;(ROW()))))</f>
        <v>0</v>
      </c>
      <c r="AU473" s="378">
        <f ca="1">SUM(INDIRECT(AU$1&amp;AU$2&amp;$C473):INDIRECT(AU$1&amp;AU$3&amp;$C473))</f>
        <v>0</v>
      </c>
      <c r="AV473" s="894">
        <f t="shared" ca="1" si="958"/>
        <v>0</v>
      </c>
      <c r="AW473" s="955">
        <f t="shared" ca="1" si="959"/>
        <v>0</v>
      </c>
      <c r="AX473" s="378">
        <f ca="1">SUM(INDIRECT(AX$1&amp;AX$2&amp;$A473):INDIRECT(AX$1&amp;AX$3&amp;$A473))</f>
        <v>0</v>
      </c>
      <c r="AY473" s="894">
        <f t="shared" ca="1" si="960"/>
        <v>0</v>
      </c>
      <c r="AZ473" s="955">
        <f t="shared" ca="1" si="961"/>
        <v>0</v>
      </c>
      <c r="BB473" s="378">
        <f ca="1">SUM((INDIRECT(BB$2&amp;(ROW())):INDIRECT(BB$3&amp;(ROW()))))</f>
        <v>39</v>
      </c>
      <c r="BC473" s="378">
        <f ca="1">SUM(INDIRECT(BC$1&amp;BC$2&amp;$C473):INDIRECT(BC$1&amp;BC$3&amp;$C473))</f>
        <v>0</v>
      </c>
      <c r="BD473" s="894">
        <f t="shared" ca="1" si="962"/>
        <v>39</v>
      </c>
      <c r="BE473" s="955">
        <f t="shared" ca="1" si="963"/>
        <v>0</v>
      </c>
      <c r="BF473" s="378">
        <f ca="1">SUM(INDIRECT(BF$1&amp;BF$2&amp;$A473):INDIRECT(BF$1&amp;BF$3&amp;$A473))</f>
        <v>0</v>
      </c>
      <c r="BG473" s="894">
        <f t="shared" ca="1" si="964"/>
        <v>39</v>
      </c>
      <c r="BH473" s="955">
        <f t="shared" ca="1" si="965"/>
        <v>0</v>
      </c>
    </row>
    <row r="474" spans="1:60" ht="14.5" collapsed="1">
      <c r="A474" s="990">
        <f t="shared" si="991"/>
        <v>425</v>
      </c>
      <c r="B474" s="990">
        <v>1</v>
      </c>
      <c r="C474" s="990">
        <f t="shared" si="946"/>
        <v>471</v>
      </c>
      <c r="E474" s="1243">
        <v>1</v>
      </c>
      <c r="I474" s="106"/>
      <c r="J474" s="105"/>
      <c r="K474" s="69"/>
      <c r="L474" s="69"/>
      <c r="M474" s="12"/>
      <c r="N474" s="366" t="s">
        <v>337</v>
      </c>
      <c r="O474" s="366"/>
      <c r="P474" s="366"/>
      <c r="Q474" s="1845" t="str">
        <f>CHOOSE(2, "6722000003393", "S/GP (1)-1 Net Sales Indirect HW 3rd Party")</f>
        <v>S/GP (1)-1 Net Sales Indirect HW 3rd Party</v>
      </c>
      <c r="R474" s="2053">
        <v>0</v>
      </c>
      <c r="S474" s="2053">
        <v>0</v>
      </c>
      <c r="T474" s="2053">
        <v>0</v>
      </c>
      <c r="U474" s="2053">
        <v>0</v>
      </c>
      <c r="V474" s="2053">
        <v>0</v>
      </c>
      <c r="W474" s="2053">
        <v>0</v>
      </c>
      <c r="X474" s="2053">
        <v>0</v>
      </c>
      <c r="Y474" s="2053">
        <v>0</v>
      </c>
      <c r="Z474" s="2053">
        <v>0</v>
      </c>
      <c r="AA474" s="2053">
        <v>0</v>
      </c>
      <c r="AB474" s="2053">
        <v>0</v>
      </c>
      <c r="AC474" s="2053">
        <v>0</v>
      </c>
      <c r="AD474" s="1538">
        <f>SUM(R474,S474,T474)</f>
        <v>0</v>
      </c>
      <c r="AE474" s="379">
        <f t="shared" si="996"/>
        <v>0</v>
      </c>
      <c r="AF474" s="379">
        <f t="shared" si="997"/>
        <v>0</v>
      </c>
      <c r="AG474" s="379">
        <f t="shared" si="998"/>
        <v>0</v>
      </c>
      <c r="AH474" s="379">
        <f>AD474+AE474</f>
        <v>0</v>
      </c>
      <c r="AI474" s="379">
        <f>AG474+AF474</f>
        <v>0</v>
      </c>
      <c r="AJ474" s="379">
        <f>AH474+AI474</f>
        <v>0</v>
      </c>
      <c r="AL474" s="379">
        <f ca="1">SUM((INDIRECT(AL$2&amp;(ROW())):INDIRECT(AL$3&amp;(ROW()))))</f>
        <v>0</v>
      </c>
      <c r="AM474" s="379">
        <f ca="1">SUM(INDIRECT(AM$1&amp;AM$2&amp;$C474):INDIRECT(AM$1&amp;AM$3&amp;$C474))</f>
        <v>0</v>
      </c>
      <c r="AN474" s="895">
        <f t="shared" ca="1" si="954"/>
        <v>0</v>
      </c>
      <c r="AO474" s="956">
        <f t="shared" ca="1" si="955"/>
        <v>0</v>
      </c>
      <c r="AP474" s="379">
        <f ca="1">SUM(INDIRECT(AP$1&amp;AP$2&amp;$A474):INDIRECT(AP$1&amp;AP$3&amp;$A474))</f>
        <v>0</v>
      </c>
      <c r="AQ474" s="895">
        <f t="shared" ca="1" si="956"/>
        <v>0</v>
      </c>
      <c r="AR474" s="956">
        <f t="shared" ca="1" si="957"/>
        <v>0</v>
      </c>
      <c r="AT474" s="379">
        <f ca="1">SUM((INDIRECT(AT$2&amp;(ROW())):INDIRECT(AT$3&amp;(ROW()))))</f>
        <v>0</v>
      </c>
      <c r="AU474" s="379">
        <f ca="1">SUM(INDIRECT(AU$1&amp;AU$2&amp;$C474):INDIRECT(AU$1&amp;AU$3&amp;$C474))</f>
        <v>0</v>
      </c>
      <c r="AV474" s="895">
        <f t="shared" ca="1" si="958"/>
        <v>0</v>
      </c>
      <c r="AW474" s="956">
        <f t="shared" ca="1" si="959"/>
        <v>0</v>
      </c>
      <c r="AX474" s="379">
        <f ca="1">SUM(INDIRECT(AX$1&amp;AX$2&amp;$A474):INDIRECT(AX$1&amp;AX$3&amp;$A474))</f>
        <v>0</v>
      </c>
      <c r="AY474" s="895">
        <f t="shared" ca="1" si="960"/>
        <v>0</v>
      </c>
      <c r="AZ474" s="956">
        <f t="shared" ca="1" si="961"/>
        <v>0</v>
      </c>
      <c r="BB474" s="379">
        <f ca="1">SUM((INDIRECT(BB$2&amp;(ROW())):INDIRECT(BB$3&amp;(ROW()))))</f>
        <v>0</v>
      </c>
      <c r="BC474" s="379">
        <f ca="1">SUM(INDIRECT(BC$1&amp;BC$2&amp;$C474):INDIRECT(BC$1&amp;BC$3&amp;$C474))</f>
        <v>0</v>
      </c>
      <c r="BD474" s="895">
        <f t="shared" ca="1" si="962"/>
        <v>0</v>
      </c>
      <c r="BE474" s="956">
        <f t="shared" ca="1" si="963"/>
        <v>0</v>
      </c>
      <c r="BF474" s="379">
        <f ca="1">SUM(INDIRECT(BF$1&amp;BF$2&amp;$A474):INDIRECT(BF$1&amp;BF$3&amp;$A474))</f>
        <v>0</v>
      </c>
      <c r="BG474" s="895">
        <f t="shared" ca="1" si="964"/>
        <v>0</v>
      </c>
      <c r="BH474" s="956">
        <f t="shared" ca="1" si="965"/>
        <v>0</v>
      </c>
    </row>
    <row r="475" spans="1:60" ht="14.5">
      <c r="A475" s="990">
        <f t="shared" si="991"/>
        <v>426</v>
      </c>
      <c r="B475" s="990">
        <v>1</v>
      </c>
      <c r="C475" s="990">
        <f t="shared" si="946"/>
        <v>472</v>
      </c>
      <c r="E475" s="1243">
        <v>1</v>
      </c>
      <c r="I475" s="106"/>
      <c r="J475" s="105"/>
      <c r="K475" s="69"/>
      <c r="L475" s="69"/>
      <c r="M475" s="9" t="s">
        <v>338</v>
      </c>
      <c r="N475" s="362"/>
      <c r="O475" s="362"/>
      <c r="P475" s="362"/>
      <c r="Q475" s="1843" t="str">
        <f>CHOOSE(2, "6722000003394", "S/GP (1)-1 Net Sales Indirect NH")</f>
        <v>S/GP (1)-1 Net Sales Indirect NH</v>
      </c>
      <c r="R475" s="361">
        <f>R476+R483</f>
        <v>66230</v>
      </c>
      <c r="S475" s="361">
        <f t="shared" ref="S475:AC475" si="999">S476+S483</f>
        <v>35931</v>
      </c>
      <c r="T475" s="361">
        <f t="shared" si="999"/>
        <v>68251</v>
      </c>
      <c r="U475" s="361">
        <f t="shared" si="999"/>
        <v>57692</v>
      </c>
      <c r="V475" s="361">
        <f t="shared" si="999"/>
        <v>66216.738830000002</v>
      </c>
      <c r="W475" s="361">
        <f t="shared" si="999"/>
        <v>54154</v>
      </c>
      <c r="X475" s="361">
        <f t="shared" si="999"/>
        <v>61146</v>
      </c>
      <c r="Y475" s="361">
        <f t="shared" si="999"/>
        <v>72830</v>
      </c>
      <c r="Z475" s="361">
        <f t="shared" si="999"/>
        <v>58418</v>
      </c>
      <c r="AA475" s="361">
        <f t="shared" si="999"/>
        <v>58535</v>
      </c>
      <c r="AB475" s="361">
        <f t="shared" si="999"/>
        <v>53836</v>
      </c>
      <c r="AC475" s="361">
        <f t="shared" si="999"/>
        <v>58054</v>
      </c>
      <c r="AD475" s="1539">
        <f t="shared" ref="AD475:AJ475" si="1000">AD476+AD483</f>
        <v>170412</v>
      </c>
      <c r="AE475" s="381">
        <f t="shared" si="1000"/>
        <v>178062.73883000002</v>
      </c>
      <c r="AF475" s="381">
        <f t="shared" si="1000"/>
        <v>192394</v>
      </c>
      <c r="AG475" s="381">
        <f t="shared" si="1000"/>
        <v>170425</v>
      </c>
      <c r="AH475" s="381">
        <f t="shared" si="1000"/>
        <v>348474.73883000005</v>
      </c>
      <c r="AI475" s="381">
        <f t="shared" si="1000"/>
        <v>362819</v>
      </c>
      <c r="AJ475" s="381">
        <f t="shared" si="1000"/>
        <v>711293.73883000005</v>
      </c>
      <c r="AL475" s="381">
        <f ca="1">SUM((INDIRECT(AL$2&amp;(ROW())):INDIRECT(AL$3&amp;(ROW()))))</f>
        <v>58054</v>
      </c>
      <c r="AM475" s="381">
        <f ca="1">SUM(INDIRECT(AM$1&amp;AM$2&amp;$C475):INDIRECT(AM$1&amp;AM$3&amp;$C475))</f>
        <v>0</v>
      </c>
      <c r="AN475" s="896">
        <f t="shared" ca="1" si="954"/>
        <v>58054</v>
      </c>
      <c r="AO475" s="957">
        <f t="shared" ca="1" si="955"/>
        <v>0</v>
      </c>
      <c r="AP475" s="381">
        <f ca="1">SUM(INDIRECT(AP$1&amp;AP$2&amp;$A475):INDIRECT(AP$1&amp;AP$3&amp;$A475))</f>
        <v>35919</v>
      </c>
      <c r="AQ475" s="896">
        <f t="shared" ca="1" si="956"/>
        <v>22135</v>
      </c>
      <c r="AR475" s="957">
        <f t="shared" ca="1" si="957"/>
        <v>1.6162476683649323</v>
      </c>
      <c r="AT475" s="381">
        <f ca="1">SUM((INDIRECT(AT$2&amp;(ROW())):INDIRECT(AT$3&amp;(ROW()))))</f>
        <v>170425</v>
      </c>
      <c r="AU475" s="381">
        <f ca="1">SUM(INDIRECT(AU$1&amp;AU$2&amp;$C475):INDIRECT(AU$1&amp;AU$3&amp;$C475))</f>
        <v>0</v>
      </c>
      <c r="AV475" s="896">
        <f t="shared" ca="1" si="958"/>
        <v>170425</v>
      </c>
      <c r="AW475" s="957">
        <f t="shared" ca="1" si="959"/>
        <v>0</v>
      </c>
      <c r="AX475" s="381">
        <f ca="1">SUM(INDIRECT(AX$1&amp;AX$2&amp;$A475):INDIRECT(AX$1&amp;AX$3&amp;$A475))</f>
        <v>119392</v>
      </c>
      <c r="AY475" s="896">
        <f t="shared" ca="1" si="960"/>
        <v>51033</v>
      </c>
      <c r="AZ475" s="957">
        <f t="shared" ca="1" si="961"/>
        <v>1.427440699544358</v>
      </c>
      <c r="BB475" s="381">
        <f ca="1">SUM((INDIRECT(BB$2&amp;(ROW())):INDIRECT(BB$3&amp;(ROW()))))</f>
        <v>711293.73882999993</v>
      </c>
      <c r="BC475" s="381">
        <f ca="1">SUM(INDIRECT(BC$1&amp;BC$2&amp;$C475):INDIRECT(BC$1&amp;BC$3&amp;$C475))</f>
        <v>0</v>
      </c>
      <c r="BD475" s="896">
        <f t="shared" ca="1" si="962"/>
        <v>711293.73882999993</v>
      </c>
      <c r="BE475" s="957">
        <f t="shared" ca="1" si="963"/>
        <v>0</v>
      </c>
      <c r="BF475" s="381">
        <f ca="1">SUM(INDIRECT(BF$1&amp;BF$2&amp;$A475):INDIRECT(BF$1&amp;BF$3&amp;$A475))</f>
        <v>499710</v>
      </c>
      <c r="BG475" s="896">
        <f t="shared" ca="1" si="964"/>
        <v>211583.73882999993</v>
      </c>
      <c r="BH475" s="957">
        <f t="shared" ca="1" si="965"/>
        <v>1.4234130572331951</v>
      </c>
    </row>
    <row r="476" spans="1:60" ht="14.5">
      <c r="A476" s="990">
        <f t="shared" si="991"/>
        <v>427</v>
      </c>
      <c r="B476" s="990">
        <v>1</v>
      </c>
      <c r="C476" s="990">
        <f t="shared" si="946"/>
        <v>473</v>
      </c>
      <c r="E476" s="1243">
        <v>1</v>
      </c>
      <c r="I476" s="106"/>
      <c r="J476" s="105"/>
      <c r="K476" s="69"/>
      <c r="L476" s="69"/>
      <c r="N476" s="111" t="s">
        <v>336</v>
      </c>
      <c r="O476" s="111"/>
      <c r="P476" s="111"/>
      <c r="Q476" s="1843" t="str">
        <f>CHOOSE(2, "6722000003395", "S/GP (1)-1 Net Sales Indirect NH KMI")</f>
        <v>S/GP (1)-1 Net Sales Indirect NH KMI</v>
      </c>
      <c r="R476" s="109">
        <f>R477+R480</f>
        <v>66230</v>
      </c>
      <c r="S476" s="109">
        <f t="shared" ref="S476:AC476" si="1001">S477+S480</f>
        <v>35931</v>
      </c>
      <c r="T476" s="109">
        <f t="shared" si="1001"/>
        <v>68251</v>
      </c>
      <c r="U476" s="109">
        <f t="shared" si="1001"/>
        <v>57692</v>
      </c>
      <c r="V476" s="109">
        <f t="shared" si="1001"/>
        <v>66216.738830000002</v>
      </c>
      <c r="W476" s="109">
        <f t="shared" si="1001"/>
        <v>54154</v>
      </c>
      <c r="X476" s="109">
        <f t="shared" si="1001"/>
        <v>61146</v>
      </c>
      <c r="Y476" s="109">
        <f t="shared" si="1001"/>
        <v>72830</v>
      </c>
      <c r="Z476" s="109">
        <f t="shared" si="1001"/>
        <v>58418</v>
      </c>
      <c r="AA476" s="109">
        <f t="shared" si="1001"/>
        <v>58535</v>
      </c>
      <c r="AB476" s="109">
        <f t="shared" si="1001"/>
        <v>53836</v>
      </c>
      <c r="AC476" s="109">
        <f t="shared" si="1001"/>
        <v>58054</v>
      </c>
      <c r="AD476" s="1537">
        <f t="shared" ref="AD476:AJ476" si="1002">AD477+AD480</f>
        <v>170412</v>
      </c>
      <c r="AE476" s="108">
        <f t="shared" si="1002"/>
        <v>178062.73883000002</v>
      </c>
      <c r="AF476" s="108">
        <f t="shared" si="1002"/>
        <v>192394</v>
      </c>
      <c r="AG476" s="108">
        <f t="shared" si="1002"/>
        <v>170425</v>
      </c>
      <c r="AH476" s="108">
        <f t="shared" si="1002"/>
        <v>348474.73883000005</v>
      </c>
      <c r="AI476" s="108">
        <f t="shared" si="1002"/>
        <v>362819</v>
      </c>
      <c r="AJ476" s="108">
        <f t="shared" si="1002"/>
        <v>711293.73883000005</v>
      </c>
      <c r="AL476" s="108">
        <f ca="1">SUM((INDIRECT(AL$2&amp;(ROW())):INDIRECT(AL$3&amp;(ROW()))))</f>
        <v>58054</v>
      </c>
      <c r="AM476" s="108">
        <f ca="1">SUM(INDIRECT(AM$1&amp;AM$2&amp;$C476):INDIRECT(AM$1&amp;AM$3&amp;$C476))</f>
        <v>0</v>
      </c>
      <c r="AN476" s="893">
        <f t="shared" ca="1" si="954"/>
        <v>58054</v>
      </c>
      <c r="AO476" s="954">
        <f t="shared" ca="1" si="955"/>
        <v>0</v>
      </c>
      <c r="AP476" s="108">
        <f ca="1">SUM(INDIRECT(AP$1&amp;AP$2&amp;$A476):INDIRECT(AP$1&amp;AP$3&amp;$A476))</f>
        <v>35919</v>
      </c>
      <c r="AQ476" s="893">
        <f t="shared" ca="1" si="956"/>
        <v>22135</v>
      </c>
      <c r="AR476" s="954">
        <f t="shared" ca="1" si="957"/>
        <v>1.6162476683649323</v>
      </c>
      <c r="AT476" s="108">
        <f ca="1">SUM((INDIRECT(AT$2&amp;(ROW())):INDIRECT(AT$3&amp;(ROW()))))</f>
        <v>170425</v>
      </c>
      <c r="AU476" s="108">
        <f ca="1">SUM(INDIRECT(AU$1&amp;AU$2&amp;$C476):INDIRECT(AU$1&amp;AU$3&amp;$C476))</f>
        <v>0</v>
      </c>
      <c r="AV476" s="893">
        <f t="shared" ca="1" si="958"/>
        <v>170425</v>
      </c>
      <c r="AW476" s="954">
        <f t="shared" ca="1" si="959"/>
        <v>0</v>
      </c>
      <c r="AX476" s="108">
        <f ca="1">SUM(INDIRECT(AX$1&amp;AX$2&amp;$A476):INDIRECT(AX$1&amp;AX$3&amp;$A476))</f>
        <v>119392</v>
      </c>
      <c r="AY476" s="893">
        <f t="shared" ca="1" si="960"/>
        <v>51033</v>
      </c>
      <c r="AZ476" s="954">
        <f t="shared" ca="1" si="961"/>
        <v>1.427440699544358</v>
      </c>
      <c r="BB476" s="108">
        <f ca="1">SUM((INDIRECT(BB$2&amp;(ROW())):INDIRECT(BB$3&amp;(ROW()))))</f>
        <v>711293.73882999993</v>
      </c>
      <c r="BC476" s="108">
        <f ca="1">SUM(INDIRECT(BC$1&amp;BC$2&amp;$C476):INDIRECT(BC$1&amp;BC$3&amp;$C476))</f>
        <v>0</v>
      </c>
      <c r="BD476" s="893">
        <f t="shared" ca="1" si="962"/>
        <v>711293.73882999993</v>
      </c>
      <c r="BE476" s="954">
        <f t="shared" ca="1" si="963"/>
        <v>0</v>
      </c>
      <c r="BF476" s="108">
        <f ca="1">SUM(INDIRECT(BF$1&amp;BF$2&amp;$A476):INDIRECT(BF$1&amp;BF$3&amp;$A476))</f>
        <v>499710</v>
      </c>
      <c r="BG476" s="893">
        <f t="shared" ca="1" si="964"/>
        <v>211583.73882999993</v>
      </c>
      <c r="BH476" s="954">
        <f t="shared" ca="1" si="965"/>
        <v>1.4234130572331951</v>
      </c>
    </row>
    <row r="477" spans="1:60" ht="14.5">
      <c r="A477" s="990">
        <f t="shared" si="991"/>
        <v>428</v>
      </c>
      <c r="B477" s="990">
        <v>1</v>
      </c>
      <c r="C477" s="990">
        <f t="shared" si="946"/>
        <v>474</v>
      </c>
      <c r="E477" s="1243">
        <v>1</v>
      </c>
      <c r="I477" s="106"/>
      <c r="J477" s="105"/>
      <c r="K477" s="69"/>
      <c r="L477" s="69"/>
      <c r="O477" s="111" t="s">
        <v>352</v>
      </c>
      <c r="P477" s="1500"/>
      <c r="Q477" s="1843" t="str">
        <f>CHOOSE(2, "6722000003396", "S/GP (1)-1 Net Sales Indirect NH KMI Office A3")</f>
        <v>S/GP (1)-1 Net Sales Indirect NH KMI Office A3</v>
      </c>
      <c r="R477" s="64">
        <f>SUM(R478:R479)</f>
        <v>66129</v>
      </c>
      <c r="S477" s="64">
        <f t="shared" ref="S477:AC477" si="1003">SUM(S478:S479)</f>
        <v>35931</v>
      </c>
      <c r="T477" s="64">
        <f t="shared" si="1003"/>
        <v>68218</v>
      </c>
      <c r="U477" s="64">
        <f t="shared" si="1003"/>
        <v>57603</v>
      </c>
      <c r="V477" s="64">
        <f t="shared" si="1003"/>
        <v>66081.702830000009</v>
      </c>
      <c r="W477" s="64">
        <f t="shared" si="1003"/>
        <v>53718</v>
      </c>
      <c r="X477" s="64">
        <f t="shared" si="1003"/>
        <v>60777</v>
      </c>
      <c r="Y477" s="64">
        <f t="shared" si="1003"/>
        <v>72411</v>
      </c>
      <c r="Z477" s="64">
        <f t="shared" si="1003"/>
        <v>58318</v>
      </c>
      <c r="AA477" s="64">
        <f t="shared" si="1003"/>
        <v>58307</v>
      </c>
      <c r="AB477" s="64">
        <f t="shared" si="1003"/>
        <v>53836</v>
      </c>
      <c r="AC477" s="64">
        <f t="shared" si="1003"/>
        <v>58054</v>
      </c>
      <c r="AD477" s="1540">
        <f t="shared" ref="AD477:AJ477" si="1004">SUM(AD478:AD479)</f>
        <v>170278</v>
      </c>
      <c r="AE477" s="385">
        <f t="shared" si="1004"/>
        <v>177402.70283000002</v>
      </c>
      <c r="AF477" s="385">
        <f t="shared" si="1004"/>
        <v>191506</v>
      </c>
      <c r="AG477" s="385">
        <f t="shared" si="1004"/>
        <v>170197</v>
      </c>
      <c r="AH477" s="385">
        <f t="shared" si="1004"/>
        <v>347680.70283000002</v>
      </c>
      <c r="AI477" s="385">
        <f t="shared" si="1004"/>
        <v>361703</v>
      </c>
      <c r="AJ477" s="385">
        <f t="shared" si="1004"/>
        <v>709383.70283000008</v>
      </c>
      <c r="AL477" s="385">
        <f ca="1">SUM((INDIRECT(AL$2&amp;(ROW())):INDIRECT(AL$3&amp;(ROW()))))</f>
        <v>58054</v>
      </c>
      <c r="AM477" s="385">
        <f ca="1">SUM(INDIRECT(AM$1&amp;AM$2&amp;$C477):INDIRECT(AM$1&amp;AM$3&amp;$C477))</f>
        <v>0</v>
      </c>
      <c r="AN477" s="897">
        <f t="shared" ca="1" si="954"/>
        <v>58054</v>
      </c>
      <c r="AO477" s="958">
        <f t="shared" ca="1" si="955"/>
        <v>0</v>
      </c>
      <c r="AP477" s="385">
        <f ca="1">SUM(INDIRECT(AP$1&amp;AP$2&amp;$A477):INDIRECT(AP$1&amp;AP$3&amp;$A477))</f>
        <v>35757</v>
      </c>
      <c r="AQ477" s="897">
        <f t="shared" ca="1" si="956"/>
        <v>22297</v>
      </c>
      <c r="AR477" s="958">
        <f t="shared" ca="1" si="957"/>
        <v>1.6235702100288056</v>
      </c>
      <c r="AT477" s="385">
        <f ca="1">SUM((INDIRECT(AT$2&amp;(ROW())):INDIRECT(AT$3&amp;(ROW()))))</f>
        <v>170197</v>
      </c>
      <c r="AU477" s="385">
        <f ca="1">SUM(INDIRECT(AU$1&amp;AU$2&amp;$C477):INDIRECT(AU$1&amp;AU$3&amp;$C477))</f>
        <v>0</v>
      </c>
      <c r="AV477" s="897">
        <f t="shared" ca="1" si="958"/>
        <v>170197</v>
      </c>
      <c r="AW477" s="958">
        <f t="shared" ca="1" si="959"/>
        <v>0</v>
      </c>
      <c r="AX477" s="385">
        <f ca="1">SUM(INDIRECT(AX$1&amp;AX$2&amp;$A477):INDIRECT(AX$1&amp;AX$3&amp;$A477))</f>
        <v>118929</v>
      </c>
      <c r="AY477" s="897">
        <f t="shared" ca="1" si="960"/>
        <v>51268</v>
      </c>
      <c r="AZ477" s="958">
        <f t="shared" ca="1" si="961"/>
        <v>1.4310807288382144</v>
      </c>
      <c r="BB477" s="385">
        <f ca="1">SUM((INDIRECT(BB$2&amp;(ROW())):INDIRECT(BB$3&amp;(ROW()))))</f>
        <v>709383.70283000008</v>
      </c>
      <c r="BC477" s="385">
        <f ca="1">SUM(INDIRECT(BC$1&amp;BC$2&amp;$C477):INDIRECT(BC$1&amp;BC$3&amp;$C477))</f>
        <v>0</v>
      </c>
      <c r="BD477" s="897">
        <f t="shared" ca="1" si="962"/>
        <v>709383.70283000008</v>
      </c>
      <c r="BE477" s="958">
        <f t="shared" ca="1" si="963"/>
        <v>0</v>
      </c>
      <c r="BF477" s="385">
        <f ca="1">SUM(INDIRECT(BF$1&amp;BF$2&amp;$A477):INDIRECT(BF$1&amp;BF$3&amp;$A477))</f>
        <v>498042</v>
      </c>
      <c r="BG477" s="897">
        <f t="shared" ca="1" si="964"/>
        <v>211341.70283000008</v>
      </c>
      <c r="BH477" s="958">
        <f t="shared" ca="1" si="965"/>
        <v>1.4243451412330688</v>
      </c>
    </row>
    <row r="478" spans="1:60" ht="15" customHeight="1">
      <c r="A478" s="990">
        <f t="shared" si="991"/>
        <v>429</v>
      </c>
      <c r="B478" s="990">
        <v>1</v>
      </c>
      <c r="C478" s="990">
        <f t="shared" si="946"/>
        <v>475</v>
      </c>
      <c r="E478" s="1243">
        <v>1</v>
      </c>
      <c r="I478" s="106"/>
      <c r="J478" s="105"/>
      <c r="K478" s="69"/>
      <c r="L478" s="69"/>
      <c r="P478" s="9" t="s">
        <v>339</v>
      </c>
      <c r="Q478" s="1845" t="str">
        <f>CHOOSE(2, "6722000003397", "S/GP (1)-1 Net Sales Indirect NH KMI Office A3 Consumables")</f>
        <v>S/GP (1)-1 Net Sales Indirect NH KMI Office A3 Consumables</v>
      </c>
      <c r="R478" s="2036">
        <v>66129</v>
      </c>
      <c r="S478" s="2036">
        <v>35931</v>
      </c>
      <c r="T478" s="2036">
        <v>68218</v>
      </c>
      <c r="U478" s="2036">
        <v>57603</v>
      </c>
      <c r="V478" s="2036">
        <v>66081.702830000009</v>
      </c>
      <c r="W478" s="2036">
        <v>53718</v>
      </c>
      <c r="X478" s="2036">
        <v>60777</v>
      </c>
      <c r="Y478" s="2036">
        <v>72411</v>
      </c>
      <c r="Z478" s="2036">
        <v>58318</v>
      </c>
      <c r="AA478" s="2036">
        <v>58307</v>
      </c>
      <c r="AB478" s="2036">
        <v>53836</v>
      </c>
      <c r="AC478" s="2036">
        <v>58054</v>
      </c>
      <c r="AD478" s="1380">
        <f>SUM(R478,S478,T478)</f>
        <v>170278</v>
      </c>
      <c r="AE478" s="107">
        <f t="shared" ref="AE478:AE479" si="1005">SUM(U478,V478,W478)</f>
        <v>177402.70283000002</v>
      </c>
      <c r="AF478" s="107">
        <f t="shared" ref="AF478:AF479" si="1006">SUM(X478,Y478,Z478)</f>
        <v>191506</v>
      </c>
      <c r="AG478" s="107">
        <f t="shared" ref="AG478:AG479" si="1007">SUM(AA478,AB478,AC478)</f>
        <v>170197</v>
      </c>
      <c r="AH478" s="107">
        <f>AD478+AE478</f>
        <v>347680.70283000002</v>
      </c>
      <c r="AI478" s="107">
        <f>AG478+AF478</f>
        <v>361703</v>
      </c>
      <c r="AJ478" s="107">
        <f>AH478+AI478</f>
        <v>709383.70283000008</v>
      </c>
      <c r="AL478" s="107">
        <f ca="1">SUM((INDIRECT(AL$2&amp;(ROW())):INDIRECT(AL$3&amp;(ROW()))))</f>
        <v>58054</v>
      </c>
      <c r="AM478" s="107">
        <f ca="1">SUM(INDIRECT(AM$1&amp;AM$2&amp;$C478):INDIRECT(AM$1&amp;AM$3&amp;$C478))</f>
        <v>0</v>
      </c>
      <c r="AN478" s="898">
        <f t="shared" ca="1" si="954"/>
        <v>58054</v>
      </c>
      <c r="AO478" s="959">
        <f t="shared" ca="1" si="955"/>
        <v>0</v>
      </c>
      <c r="AP478" s="107">
        <f ca="1">SUM(INDIRECT(AP$1&amp;AP$2&amp;$A478):INDIRECT(AP$1&amp;AP$3&amp;$A478))</f>
        <v>35757</v>
      </c>
      <c r="AQ478" s="898">
        <f t="shared" ca="1" si="956"/>
        <v>22297</v>
      </c>
      <c r="AR478" s="959">
        <f t="shared" ca="1" si="957"/>
        <v>1.6235702100288056</v>
      </c>
      <c r="AT478" s="107">
        <f ca="1">SUM((INDIRECT(AT$2&amp;(ROW())):INDIRECT(AT$3&amp;(ROW()))))</f>
        <v>170197</v>
      </c>
      <c r="AU478" s="107">
        <f ca="1">SUM(INDIRECT(AU$1&amp;AU$2&amp;$C478):INDIRECT(AU$1&amp;AU$3&amp;$C478))</f>
        <v>0</v>
      </c>
      <c r="AV478" s="898">
        <f t="shared" ca="1" si="958"/>
        <v>170197</v>
      </c>
      <c r="AW478" s="959">
        <f t="shared" ca="1" si="959"/>
        <v>0</v>
      </c>
      <c r="AX478" s="107">
        <f ca="1">SUM(INDIRECT(AX$1&amp;AX$2&amp;$A478):INDIRECT(AX$1&amp;AX$3&amp;$A478))</f>
        <v>118929</v>
      </c>
      <c r="AY478" s="898">
        <f t="shared" ca="1" si="960"/>
        <v>51268</v>
      </c>
      <c r="AZ478" s="959">
        <f t="shared" ca="1" si="961"/>
        <v>1.4310807288382144</v>
      </c>
      <c r="BB478" s="107">
        <f ca="1">SUM((INDIRECT(BB$2&amp;(ROW())):INDIRECT(BB$3&amp;(ROW()))))</f>
        <v>709383.70283000008</v>
      </c>
      <c r="BC478" s="107">
        <f ca="1">SUM(INDIRECT(BC$1&amp;BC$2&amp;$C478):INDIRECT(BC$1&amp;BC$3&amp;$C478))</f>
        <v>0</v>
      </c>
      <c r="BD478" s="898">
        <f t="shared" ca="1" si="962"/>
        <v>709383.70283000008</v>
      </c>
      <c r="BE478" s="959">
        <f t="shared" ca="1" si="963"/>
        <v>0</v>
      </c>
      <c r="BF478" s="107">
        <f ca="1">SUM(INDIRECT(BF$1&amp;BF$2&amp;$A478):INDIRECT(BF$1&amp;BF$3&amp;$A478))</f>
        <v>498042</v>
      </c>
      <c r="BG478" s="898">
        <f t="shared" ca="1" si="964"/>
        <v>211341.70283000008</v>
      </c>
      <c r="BH478" s="959">
        <f t="shared" ca="1" si="965"/>
        <v>1.4243451412330688</v>
      </c>
    </row>
    <row r="479" spans="1:60" ht="14.5">
      <c r="A479" s="990">
        <f t="shared" si="991"/>
        <v>430</v>
      </c>
      <c r="B479" s="990">
        <v>1</v>
      </c>
      <c r="C479" s="990">
        <f t="shared" si="946"/>
        <v>476</v>
      </c>
      <c r="E479" s="1243">
        <v>1</v>
      </c>
      <c r="I479" s="106"/>
      <c r="J479" s="105"/>
      <c r="K479" s="69"/>
      <c r="L479" s="69"/>
      <c r="P479" s="9" t="s">
        <v>340</v>
      </c>
      <c r="Q479" s="1845" t="str">
        <f>CHOOSE(2, "6722000003398", "S/GP (1)-1 Net Sales Indirect NH KMI Office A3 Parts")</f>
        <v>S/GP (1)-1 Net Sales Indirect NH KMI Office A3 Parts</v>
      </c>
      <c r="R479" s="2036">
        <v>0</v>
      </c>
      <c r="S479" s="2036">
        <v>0</v>
      </c>
      <c r="T479" s="2036">
        <v>0</v>
      </c>
      <c r="U479" s="2036">
        <v>0</v>
      </c>
      <c r="V479" s="2036">
        <v>0</v>
      </c>
      <c r="W479" s="2036">
        <v>0</v>
      </c>
      <c r="X479" s="2036">
        <v>0</v>
      </c>
      <c r="Y479" s="2036">
        <v>0</v>
      </c>
      <c r="Z479" s="2036">
        <v>0</v>
      </c>
      <c r="AA479" s="2036">
        <v>0</v>
      </c>
      <c r="AB479" s="2036">
        <v>0</v>
      </c>
      <c r="AC479" s="2036">
        <v>0</v>
      </c>
      <c r="AD479" s="1380">
        <f>SUM(R479,S479,T479)</f>
        <v>0</v>
      </c>
      <c r="AE479" s="107">
        <f t="shared" si="1005"/>
        <v>0</v>
      </c>
      <c r="AF479" s="107">
        <f t="shared" si="1006"/>
        <v>0</v>
      </c>
      <c r="AG479" s="107">
        <f t="shared" si="1007"/>
        <v>0</v>
      </c>
      <c r="AH479" s="107">
        <f>AD479+AE479</f>
        <v>0</v>
      </c>
      <c r="AI479" s="107">
        <f>AG479+AF479</f>
        <v>0</v>
      </c>
      <c r="AJ479" s="107">
        <f>AH479+AI479</f>
        <v>0</v>
      </c>
      <c r="AL479" s="107">
        <f ca="1">SUM((INDIRECT(AL$2&amp;(ROW())):INDIRECT(AL$3&amp;(ROW()))))</f>
        <v>0</v>
      </c>
      <c r="AM479" s="107">
        <f ca="1">SUM(INDIRECT(AM$1&amp;AM$2&amp;$C479):INDIRECT(AM$1&amp;AM$3&amp;$C479))</f>
        <v>0</v>
      </c>
      <c r="AN479" s="898">
        <f t="shared" ca="1" si="954"/>
        <v>0</v>
      </c>
      <c r="AO479" s="959">
        <f t="shared" ca="1" si="955"/>
        <v>0</v>
      </c>
      <c r="AP479" s="107">
        <f ca="1">SUM(INDIRECT(AP$1&amp;AP$2&amp;$A479):INDIRECT(AP$1&amp;AP$3&amp;$A479))</f>
        <v>0</v>
      </c>
      <c r="AQ479" s="898">
        <f t="shared" ca="1" si="956"/>
        <v>0</v>
      </c>
      <c r="AR479" s="959">
        <f t="shared" ca="1" si="957"/>
        <v>0</v>
      </c>
      <c r="AT479" s="107">
        <f ca="1">SUM((INDIRECT(AT$2&amp;(ROW())):INDIRECT(AT$3&amp;(ROW()))))</f>
        <v>0</v>
      </c>
      <c r="AU479" s="107">
        <f ca="1">SUM(INDIRECT(AU$1&amp;AU$2&amp;$C479):INDIRECT(AU$1&amp;AU$3&amp;$C479))</f>
        <v>0</v>
      </c>
      <c r="AV479" s="898">
        <f t="shared" ca="1" si="958"/>
        <v>0</v>
      </c>
      <c r="AW479" s="959">
        <f t="shared" ca="1" si="959"/>
        <v>0</v>
      </c>
      <c r="AX479" s="107">
        <f ca="1">SUM(INDIRECT(AX$1&amp;AX$2&amp;$A479):INDIRECT(AX$1&amp;AX$3&amp;$A479))</f>
        <v>0</v>
      </c>
      <c r="AY479" s="898">
        <f t="shared" ca="1" si="960"/>
        <v>0</v>
      </c>
      <c r="AZ479" s="959">
        <f t="shared" ca="1" si="961"/>
        <v>0</v>
      </c>
      <c r="BB479" s="107">
        <f ca="1">SUM((INDIRECT(BB$2&amp;(ROW())):INDIRECT(BB$3&amp;(ROW()))))</f>
        <v>0</v>
      </c>
      <c r="BC479" s="107">
        <f ca="1">SUM(INDIRECT(BC$1&amp;BC$2&amp;$C479):INDIRECT(BC$1&amp;BC$3&amp;$C479))</f>
        <v>0</v>
      </c>
      <c r="BD479" s="898">
        <f t="shared" ca="1" si="962"/>
        <v>0</v>
      </c>
      <c r="BE479" s="959">
        <f t="shared" ca="1" si="963"/>
        <v>0</v>
      </c>
      <c r="BF479" s="107">
        <f ca="1">SUM(INDIRECT(BF$1&amp;BF$2&amp;$A479):INDIRECT(BF$1&amp;BF$3&amp;$A479))</f>
        <v>0</v>
      </c>
      <c r="BG479" s="898">
        <f t="shared" ca="1" si="964"/>
        <v>0</v>
      </c>
      <c r="BH479" s="959">
        <f t="shared" ca="1" si="965"/>
        <v>0</v>
      </c>
    </row>
    <row r="480" spans="1:60" ht="14.5">
      <c r="A480" s="990">
        <f t="shared" si="991"/>
        <v>431</v>
      </c>
      <c r="B480" s="990">
        <v>1</v>
      </c>
      <c r="C480" s="990">
        <f t="shared" si="946"/>
        <v>477</v>
      </c>
      <c r="E480" s="1243">
        <v>1</v>
      </c>
      <c r="I480" s="106"/>
      <c r="J480" s="105"/>
      <c r="K480" s="69"/>
      <c r="L480" s="69"/>
      <c r="O480" s="111" t="s">
        <v>353</v>
      </c>
      <c r="P480" s="1500"/>
      <c r="Q480" s="1843" t="str">
        <f>CHOOSE(2, "6722000003399", "S/GP (1)-1 Net Sales Indirect NH KMI Office A4")</f>
        <v>S/GP (1)-1 Net Sales Indirect NH KMI Office A4</v>
      </c>
      <c r="R480" s="64">
        <f>SUM(R481:R482)</f>
        <v>101</v>
      </c>
      <c r="S480" s="64">
        <f t="shared" ref="S480:AC480" si="1008">SUM(S481:S482)</f>
        <v>0</v>
      </c>
      <c r="T480" s="64">
        <f t="shared" si="1008"/>
        <v>33</v>
      </c>
      <c r="U480" s="64">
        <f t="shared" si="1008"/>
        <v>89</v>
      </c>
      <c r="V480" s="64">
        <f t="shared" si="1008"/>
        <v>135.036</v>
      </c>
      <c r="W480" s="64">
        <f t="shared" si="1008"/>
        <v>436</v>
      </c>
      <c r="X480" s="64">
        <f t="shared" si="1008"/>
        <v>369</v>
      </c>
      <c r="Y480" s="64">
        <f t="shared" si="1008"/>
        <v>419</v>
      </c>
      <c r="Z480" s="64">
        <f t="shared" si="1008"/>
        <v>100</v>
      </c>
      <c r="AA480" s="64">
        <f t="shared" si="1008"/>
        <v>228</v>
      </c>
      <c r="AB480" s="64">
        <f t="shared" si="1008"/>
        <v>0</v>
      </c>
      <c r="AC480" s="64">
        <f t="shared" si="1008"/>
        <v>0</v>
      </c>
      <c r="AD480" s="1540">
        <f t="shared" ref="AD480:AJ480" si="1009">SUM(AD481:AD482)</f>
        <v>134</v>
      </c>
      <c r="AE480" s="385">
        <f t="shared" si="1009"/>
        <v>660.03600000000006</v>
      </c>
      <c r="AF480" s="385">
        <f t="shared" si="1009"/>
        <v>888</v>
      </c>
      <c r="AG480" s="385">
        <f t="shared" si="1009"/>
        <v>228</v>
      </c>
      <c r="AH480" s="385">
        <f t="shared" si="1009"/>
        <v>794.03600000000006</v>
      </c>
      <c r="AI480" s="385">
        <f t="shared" si="1009"/>
        <v>1116</v>
      </c>
      <c r="AJ480" s="385">
        <f t="shared" si="1009"/>
        <v>1910.0360000000001</v>
      </c>
      <c r="AL480" s="385">
        <f ca="1">SUM((INDIRECT(AL$2&amp;(ROW())):INDIRECT(AL$3&amp;(ROW()))))</f>
        <v>0</v>
      </c>
      <c r="AM480" s="385">
        <f ca="1">SUM(INDIRECT(AM$1&amp;AM$2&amp;$C480):INDIRECT(AM$1&amp;AM$3&amp;$C480))</f>
        <v>0</v>
      </c>
      <c r="AN480" s="897">
        <f t="shared" ca="1" si="954"/>
        <v>0</v>
      </c>
      <c r="AO480" s="958">
        <f t="shared" ca="1" si="955"/>
        <v>0</v>
      </c>
      <c r="AP480" s="385">
        <f ca="1">SUM(INDIRECT(AP$1&amp;AP$2&amp;$A480):INDIRECT(AP$1&amp;AP$3&amp;$A480))</f>
        <v>162</v>
      </c>
      <c r="AQ480" s="897">
        <f t="shared" ca="1" si="956"/>
        <v>-162</v>
      </c>
      <c r="AR480" s="958">
        <f t="shared" ca="1" si="957"/>
        <v>0</v>
      </c>
      <c r="AT480" s="385">
        <f ca="1">SUM((INDIRECT(AT$2&amp;(ROW())):INDIRECT(AT$3&amp;(ROW()))))</f>
        <v>228</v>
      </c>
      <c r="AU480" s="385">
        <f ca="1">SUM(INDIRECT(AU$1&amp;AU$2&amp;$C480):INDIRECT(AU$1&amp;AU$3&amp;$C480))</f>
        <v>0</v>
      </c>
      <c r="AV480" s="897">
        <f t="shared" ca="1" si="958"/>
        <v>228</v>
      </c>
      <c r="AW480" s="958">
        <f t="shared" ca="1" si="959"/>
        <v>0</v>
      </c>
      <c r="AX480" s="385">
        <f ca="1">SUM(INDIRECT(AX$1&amp;AX$2&amp;$A480):INDIRECT(AX$1&amp;AX$3&amp;$A480))</f>
        <v>463</v>
      </c>
      <c r="AY480" s="897">
        <f t="shared" ca="1" si="960"/>
        <v>-235</v>
      </c>
      <c r="AZ480" s="958">
        <f t="shared" ca="1" si="961"/>
        <v>0.49244060475161988</v>
      </c>
      <c r="BB480" s="385">
        <f ca="1">SUM((INDIRECT(BB$2&amp;(ROW())):INDIRECT(BB$3&amp;(ROW()))))</f>
        <v>1910.0360000000001</v>
      </c>
      <c r="BC480" s="385">
        <f ca="1">SUM(INDIRECT(BC$1&amp;BC$2&amp;$C480):INDIRECT(BC$1&amp;BC$3&amp;$C480))</f>
        <v>0</v>
      </c>
      <c r="BD480" s="897">
        <f t="shared" ca="1" si="962"/>
        <v>1910.0360000000001</v>
      </c>
      <c r="BE480" s="958">
        <f t="shared" ca="1" si="963"/>
        <v>0</v>
      </c>
      <c r="BF480" s="385">
        <f ca="1">SUM(INDIRECT(BF$1&amp;BF$2&amp;$A480):INDIRECT(BF$1&amp;BF$3&amp;$A480))</f>
        <v>1668</v>
      </c>
      <c r="BG480" s="897">
        <f t="shared" ca="1" si="964"/>
        <v>242.03600000000006</v>
      </c>
      <c r="BH480" s="958">
        <f t="shared" ca="1" si="965"/>
        <v>1.14510551558753</v>
      </c>
    </row>
    <row r="481" spans="1:60" ht="14.5">
      <c r="A481" s="990">
        <f t="shared" si="991"/>
        <v>432</v>
      </c>
      <c r="B481" s="990">
        <v>1</v>
      </c>
      <c r="C481" s="990">
        <f t="shared" si="946"/>
        <v>478</v>
      </c>
      <c r="E481" s="1243">
        <v>1</v>
      </c>
      <c r="I481" s="106"/>
      <c r="J481" s="105"/>
      <c r="K481" s="69"/>
      <c r="L481" s="69"/>
      <c r="P481" s="9" t="s">
        <v>339</v>
      </c>
      <c r="Q481" s="1845" t="str">
        <f>CHOOSE(2, "6722000003400", "S/GP (1)-1 Net Sales Indirect NH KMI Office A4 Consumables")</f>
        <v>S/GP (1)-1 Net Sales Indirect NH KMI Office A4 Consumables</v>
      </c>
      <c r="R481" s="2036">
        <v>101</v>
      </c>
      <c r="S481" s="2036">
        <v>0</v>
      </c>
      <c r="T481" s="2036">
        <v>33</v>
      </c>
      <c r="U481" s="2036">
        <v>89</v>
      </c>
      <c r="V481" s="2036">
        <v>135.036</v>
      </c>
      <c r="W481" s="2036">
        <v>436</v>
      </c>
      <c r="X481" s="2036">
        <v>369</v>
      </c>
      <c r="Y481" s="2036">
        <v>419</v>
      </c>
      <c r="Z481" s="2036">
        <v>100</v>
      </c>
      <c r="AA481" s="2036">
        <v>228</v>
      </c>
      <c r="AB481" s="2036">
        <v>0</v>
      </c>
      <c r="AC481" s="2036">
        <v>0</v>
      </c>
      <c r="AD481" s="1380">
        <f>SUM(R481,S481,T481)</f>
        <v>134</v>
      </c>
      <c r="AE481" s="107">
        <f t="shared" ref="AE481:AE484" si="1010">SUM(U481,V481,W481)</f>
        <v>660.03600000000006</v>
      </c>
      <c r="AF481" s="107">
        <f t="shared" ref="AF481:AF484" si="1011">SUM(X481,Y481,Z481)</f>
        <v>888</v>
      </c>
      <c r="AG481" s="107">
        <f t="shared" ref="AG481:AG484" si="1012">SUM(AA481,AB481,AC481)</f>
        <v>228</v>
      </c>
      <c r="AH481" s="107">
        <f>AD481+AE481</f>
        <v>794.03600000000006</v>
      </c>
      <c r="AI481" s="107">
        <f>AG481+AF481</f>
        <v>1116</v>
      </c>
      <c r="AJ481" s="107">
        <f>AH481+AI481</f>
        <v>1910.0360000000001</v>
      </c>
      <c r="AL481" s="107">
        <f ca="1">SUM((INDIRECT(AL$2&amp;(ROW())):INDIRECT(AL$3&amp;(ROW()))))</f>
        <v>0</v>
      </c>
      <c r="AM481" s="107">
        <f ca="1">SUM(INDIRECT(AM$1&amp;AM$2&amp;$C481):INDIRECT(AM$1&amp;AM$3&amp;$C481))</f>
        <v>0</v>
      </c>
      <c r="AN481" s="898">
        <f t="shared" ca="1" si="954"/>
        <v>0</v>
      </c>
      <c r="AO481" s="959">
        <f t="shared" ca="1" si="955"/>
        <v>0</v>
      </c>
      <c r="AP481" s="107">
        <f ca="1">SUM(INDIRECT(AP$1&amp;AP$2&amp;$A481):INDIRECT(AP$1&amp;AP$3&amp;$A481))</f>
        <v>162</v>
      </c>
      <c r="AQ481" s="898">
        <f t="shared" ca="1" si="956"/>
        <v>-162</v>
      </c>
      <c r="AR481" s="959">
        <f t="shared" ca="1" si="957"/>
        <v>0</v>
      </c>
      <c r="AT481" s="107">
        <f ca="1">SUM((INDIRECT(AT$2&amp;(ROW())):INDIRECT(AT$3&amp;(ROW()))))</f>
        <v>228</v>
      </c>
      <c r="AU481" s="107">
        <f ca="1">SUM(INDIRECT(AU$1&amp;AU$2&amp;$C481):INDIRECT(AU$1&amp;AU$3&amp;$C481))</f>
        <v>0</v>
      </c>
      <c r="AV481" s="898">
        <f t="shared" ca="1" si="958"/>
        <v>228</v>
      </c>
      <c r="AW481" s="959">
        <f t="shared" ca="1" si="959"/>
        <v>0</v>
      </c>
      <c r="AX481" s="107">
        <f ca="1">SUM(INDIRECT(AX$1&amp;AX$2&amp;$A481):INDIRECT(AX$1&amp;AX$3&amp;$A481))</f>
        <v>463</v>
      </c>
      <c r="AY481" s="898">
        <f t="shared" ca="1" si="960"/>
        <v>-235</v>
      </c>
      <c r="AZ481" s="959">
        <f t="shared" ca="1" si="961"/>
        <v>0.49244060475161988</v>
      </c>
      <c r="BB481" s="107">
        <f ca="1">SUM((INDIRECT(BB$2&amp;(ROW())):INDIRECT(BB$3&amp;(ROW()))))</f>
        <v>1910.0360000000001</v>
      </c>
      <c r="BC481" s="107">
        <f ca="1">SUM(INDIRECT(BC$1&amp;BC$2&amp;$C481):INDIRECT(BC$1&amp;BC$3&amp;$C481))</f>
        <v>0</v>
      </c>
      <c r="BD481" s="898">
        <f t="shared" ca="1" si="962"/>
        <v>1910.0360000000001</v>
      </c>
      <c r="BE481" s="959">
        <f t="shared" ca="1" si="963"/>
        <v>0</v>
      </c>
      <c r="BF481" s="107">
        <f ca="1">SUM(INDIRECT(BF$1&amp;BF$2&amp;$A481):INDIRECT(BF$1&amp;BF$3&amp;$A481))</f>
        <v>1668</v>
      </c>
      <c r="BG481" s="898">
        <f t="shared" ca="1" si="964"/>
        <v>242.03600000000006</v>
      </c>
      <c r="BH481" s="959">
        <f t="shared" ca="1" si="965"/>
        <v>1.14510551558753</v>
      </c>
    </row>
    <row r="482" spans="1:60" ht="14.5">
      <c r="A482" s="990">
        <f t="shared" si="991"/>
        <v>433</v>
      </c>
      <c r="B482" s="990">
        <v>1</v>
      </c>
      <c r="C482" s="990">
        <f t="shared" si="946"/>
        <v>479</v>
      </c>
      <c r="E482" s="1243">
        <v>1</v>
      </c>
      <c r="I482" s="106"/>
      <c r="J482" s="105"/>
      <c r="K482" s="69"/>
      <c r="L482" s="69"/>
      <c r="N482" s="363"/>
      <c r="O482" s="363"/>
      <c r="P482" s="363" t="s">
        <v>340</v>
      </c>
      <c r="Q482" s="1845" t="str">
        <f>CHOOSE(2, "6722000003401", "S/GP (1)-1 Net Sales Indirect NH KMI Office A4 Parts")</f>
        <v>S/GP (1)-1 Net Sales Indirect NH KMI Office A4 Parts</v>
      </c>
      <c r="R482" s="2052">
        <v>0</v>
      </c>
      <c r="S482" s="2052">
        <v>0</v>
      </c>
      <c r="T482" s="2052">
        <v>0</v>
      </c>
      <c r="U482" s="2052">
        <v>0</v>
      </c>
      <c r="V482" s="2052">
        <v>0</v>
      </c>
      <c r="W482" s="2052">
        <v>0</v>
      </c>
      <c r="X482" s="2052">
        <v>0</v>
      </c>
      <c r="Y482" s="2052">
        <v>0</v>
      </c>
      <c r="Z482" s="2052">
        <v>0</v>
      </c>
      <c r="AA482" s="2052">
        <v>0</v>
      </c>
      <c r="AB482" s="2052">
        <v>0</v>
      </c>
      <c r="AC482" s="2052">
        <v>0</v>
      </c>
      <c r="AD482" s="1536">
        <f>SUM(R482,S482,T482)</f>
        <v>0</v>
      </c>
      <c r="AE482" s="378">
        <f t="shared" si="1010"/>
        <v>0</v>
      </c>
      <c r="AF482" s="378">
        <f t="shared" si="1011"/>
        <v>0</v>
      </c>
      <c r="AG482" s="378">
        <f t="shared" si="1012"/>
        <v>0</v>
      </c>
      <c r="AH482" s="378">
        <f>AD482+AE482</f>
        <v>0</v>
      </c>
      <c r="AI482" s="378">
        <f>AG482+AF482</f>
        <v>0</v>
      </c>
      <c r="AJ482" s="378">
        <f>AH482+AI482</f>
        <v>0</v>
      </c>
      <c r="AL482" s="378">
        <f ca="1">SUM((INDIRECT(AL$2&amp;(ROW())):INDIRECT(AL$3&amp;(ROW()))))</f>
        <v>0</v>
      </c>
      <c r="AM482" s="378">
        <f ca="1">SUM(INDIRECT(AM$1&amp;AM$2&amp;$C482):INDIRECT(AM$1&amp;AM$3&amp;$C482))</f>
        <v>0</v>
      </c>
      <c r="AN482" s="894">
        <f t="shared" ca="1" si="954"/>
        <v>0</v>
      </c>
      <c r="AO482" s="955">
        <f t="shared" ca="1" si="955"/>
        <v>0</v>
      </c>
      <c r="AP482" s="378">
        <f ca="1">SUM(INDIRECT(AP$1&amp;AP$2&amp;$A482):INDIRECT(AP$1&amp;AP$3&amp;$A482))</f>
        <v>0</v>
      </c>
      <c r="AQ482" s="894">
        <f t="shared" ca="1" si="956"/>
        <v>0</v>
      </c>
      <c r="AR482" s="955">
        <f t="shared" ca="1" si="957"/>
        <v>0</v>
      </c>
      <c r="AT482" s="378">
        <f ca="1">SUM((INDIRECT(AT$2&amp;(ROW())):INDIRECT(AT$3&amp;(ROW()))))</f>
        <v>0</v>
      </c>
      <c r="AU482" s="378">
        <f ca="1">SUM(INDIRECT(AU$1&amp;AU$2&amp;$C482):INDIRECT(AU$1&amp;AU$3&amp;$C482))</f>
        <v>0</v>
      </c>
      <c r="AV482" s="894">
        <f t="shared" ca="1" si="958"/>
        <v>0</v>
      </c>
      <c r="AW482" s="955">
        <f t="shared" ca="1" si="959"/>
        <v>0</v>
      </c>
      <c r="AX482" s="378">
        <f ca="1">SUM(INDIRECT(AX$1&amp;AX$2&amp;$A482):INDIRECT(AX$1&amp;AX$3&amp;$A482))</f>
        <v>0</v>
      </c>
      <c r="AY482" s="894">
        <f t="shared" ca="1" si="960"/>
        <v>0</v>
      </c>
      <c r="AZ482" s="955">
        <f t="shared" ca="1" si="961"/>
        <v>0</v>
      </c>
      <c r="BB482" s="378">
        <f ca="1">SUM((INDIRECT(BB$2&amp;(ROW())):INDIRECT(BB$3&amp;(ROW()))))</f>
        <v>0</v>
      </c>
      <c r="BC482" s="378">
        <f ca="1">SUM(INDIRECT(BC$1&amp;BC$2&amp;$C482):INDIRECT(BC$1&amp;BC$3&amp;$C482))</f>
        <v>0</v>
      </c>
      <c r="BD482" s="894">
        <f t="shared" ca="1" si="962"/>
        <v>0</v>
      </c>
      <c r="BE482" s="955">
        <f t="shared" ca="1" si="963"/>
        <v>0</v>
      </c>
      <c r="BF482" s="378">
        <f ca="1">SUM(INDIRECT(BF$1&amp;BF$2&amp;$A482):INDIRECT(BF$1&amp;BF$3&amp;$A482))</f>
        <v>0</v>
      </c>
      <c r="BG482" s="894">
        <f t="shared" ca="1" si="964"/>
        <v>0</v>
      </c>
      <c r="BH482" s="955">
        <f t="shared" ca="1" si="965"/>
        <v>0</v>
      </c>
    </row>
    <row r="483" spans="1:60" ht="14.5" collapsed="1">
      <c r="A483" s="990">
        <f t="shared" si="991"/>
        <v>434</v>
      </c>
      <c r="B483" s="990">
        <v>1</v>
      </c>
      <c r="C483" s="990">
        <f t="shared" si="946"/>
        <v>480</v>
      </c>
      <c r="E483" s="1243">
        <v>1</v>
      </c>
      <c r="I483" s="106"/>
      <c r="J483" s="105"/>
      <c r="K483" s="69"/>
      <c r="L483" s="69"/>
      <c r="N483" s="366" t="s">
        <v>337</v>
      </c>
      <c r="O483" s="366"/>
      <c r="P483" s="366"/>
      <c r="Q483" s="1845" t="str">
        <f>CHOOSE(2, "6722000003402", "S/GP (1)-1 Net Sales Indirect NH 3rd Party")</f>
        <v>S/GP (1)-1 Net Sales Indirect NH 3rd Party</v>
      </c>
      <c r="R483" s="2053">
        <v>0</v>
      </c>
      <c r="S483" s="2053">
        <v>0</v>
      </c>
      <c r="T483" s="2053">
        <v>0</v>
      </c>
      <c r="U483" s="2053">
        <v>0</v>
      </c>
      <c r="V483" s="2053">
        <v>0</v>
      </c>
      <c r="W483" s="2053">
        <v>0</v>
      </c>
      <c r="X483" s="2053">
        <v>0</v>
      </c>
      <c r="Y483" s="2053">
        <v>0</v>
      </c>
      <c r="Z483" s="2053">
        <v>0</v>
      </c>
      <c r="AA483" s="2053">
        <v>0</v>
      </c>
      <c r="AB483" s="2053">
        <v>0</v>
      </c>
      <c r="AC483" s="2053">
        <v>0</v>
      </c>
      <c r="AD483" s="1538">
        <f>SUM(R483,S483,T483)</f>
        <v>0</v>
      </c>
      <c r="AE483" s="379">
        <f t="shared" si="1010"/>
        <v>0</v>
      </c>
      <c r="AF483" s="379">
        <f t="shared" si="1011"/>
        <v>0</v>
      </c>
      <c r="AG483" s="379">
        <f t="shared" si="1012"/>
        <v>0</v>
      </c>
      <c r="AH483" s="379">
        <f>AD483+AE483</f>
        <v>0</v>
      </c>
      <c r="AI483" s="379">
        <f>AG483+AF483</f>
        <v>0</v>
      </c>
      <c r="AJ483" s="379">
        <f>AH483+AI483</f>
        <v>0</v>
      </c>
      <c r="AL483" s="379">
        <f ca="1">SUM((INDIRECT(AL$2&amp;(ROW())):INDIRECT(AL$3&amp;(ROW()))))</f>
        <v>0</v>
      </c>
      <c r="AM483" s="379">
        <f ca="1">SUM(INDIRECT(AM$1&amp;AM$2&amp;$C483):INDIRECT(AM$1&amp;AM$3&amp;$C483))</f>
        <v>0</v>
      </c>
      <c r="AN483" s="895">
        <f t="shared" ca="1" si="954"/>
        <v>0</v>
      </c>
      <c r="AO483" s="956">
        <f t="shared" ca="1" si="955"/>
        <v>0</v>
      </c>
      <c r="AP483" s="379">
        <f ca="1">SUM(INDIRECT(AP$1&amp;AP$2&amp;$A483):INDIRECT(AP$1&amp;AP$3&amp;$A483))</f>
        <v>0</v>
      </c>
      <c r="AQ483" s="895">
        <f t="shared" ca="1" si="956"/>
        <v>0</v>
      </c>
      <c r="AR483" s="956">
        <f t="shared" ca="1" si="957"/>
        <v>0</v>
      </c>
      <c r="AT483" s="379">
        <f ca="1">SUM((INDIRECT(AT$2&amp;(ROW())):INDIRECT(AT$3&amp;(ROW()))))</f>
        <v>0</v>
      </c>
      <c r="AU483" s="379">
        <f ca="1">SUM(INDIRECT(AU$1&amp;AU$2&amp;$C483):INDIRECT(AU$1&amp;AU$3&amp;$C483))</f>
        <v>0</v>
      </c>
      <c r="AV483" s="895">
        <f t="shared" ca="1" si="958"/>
        <v>0</v>
      </c>
      <c r="AW483" s="956">
        <f t="shared" ca="1" si="959"/>
        <v>0</v>
      </c>
      <c r="AX483" s="379">
        <f ca="1">SUM(INDIRECT(AX$1&amp;AX$2&amp;$A483):INDIRECT(AX$1&amp;AX$3&amp;$A483))</f>
        <v>0</v>
      </c>
      <c r="AY483" s="895">
        <f t="shared" ca="1" si="960"/>
        <v>0</v>
      </c>
      <c r="AZ483" s="956">
        <f t="shared" ca="1" si="961"/>
        <v>0</v>
      </c>
      <c r="BB483" s="379">
        <f ca="1">SUM((INDIRECT(BB$2&amp;(ROW())):INDIRECT(BB$3&amp;(ROW()))))</f>
        <v>0</v>
      </c>
      <c r="BC483" s="379">
        <f ca="1">SUM(INDIRECT(BC$1&amp;BC$2&amp;$C483):INDIRECT(BC$1&amp;BC$3&amp;$C483))</f>
        <v>0</v>
      </c>
      <c r="BD483" s="895">
        <f t="shared" ca="1" si="962"/>
        <v>0</v>
      </c>
      <c r="BE483" s="956">
        <f t="shared" ca="1" si="963"/>
        <v>0</v>
      </c>
      <c r="BF483" s="379">
        <f ca="1">SUM(INDIRECT(BF$1&amp;BF$2&amp;$A483):INDIRECT(BF$1&amp;BF$3&amp;$A483))</f>
        <v>0</v>
      </c>
      <c r="BG483" s="895">
        <f t="shared" ca="1" si="964"/>
        <v>0</v>
      </c>
      <c r="BH483" s="956">
        <f t="shared" ca="1" si="965"/>
        <v>0</v>
      </c>
    </row>
    <row r="484" spans="1:60" ht="14.5">
      <c r="A484" s="990">
        <f t="shared" si="991"/>
        <v>435</v>
      </c>
      <c r="B484" s="990">
        <v>1</v>
      </c>
      <c r="C484" s="990">
        <f t="shared" si="946"/>
        <v>481</v>
      </c>
      <c r="E484" s="1243">
        <v>1</v>
      </c>
      <c r="I484" s="104"/>
      <c r="J484" s="103"/>
      <c r="K484" s="68"/>
      <c r="L484" s="68"/>
      <c r="M484" s="22" t="s">
        <v>205</v>
      </c>
      <c r="N484" s="22"/>
      <c r="O484" s="22"/>
      <c r="P484" s="303"/>
      <c r="Q484" s="1845" t="str">
        <f>CHOOSE(2, "6722000003403", "S/GP (1)-1 Net Sales Indirect Others")</f>
        <v>S/GP (1)-1 Net Sales Indirect Others</v>
      </c>
      <c r="R484" s="2088">
        <v>0</v>
      </c>
      <c r="S484" s="2088">
        <v>0</v>
      </c>
      <c r="T484" s="2088">
        <v>0</v>
      </c>
      <c r="U484" s="2088">
        <v>0</v>
      </c>
      <c r="V484" s="2088">
        <v>0</v>
      </c>
      <c r="W484" s="2088">
        <v>0</v>
      </c>
      <c r="X484" s="2088">
        <v>0</v>
      </c>
      <c r="Y484" s="2088">
        <v>0</v>
      </c>
      <c r="Z484" s="2088">
        <v>0</v>
      </c>
      <c r="AA484" s="2088">
        <v>0</v>
      </c>
      <c r="AB484" s="2088">
        <v>0</v>
      </c>
      <c r="AC484" s="2088">
        <v>0</v>
      </c>
      <c r="AD484" s="1541">
        <f>SUM(R484,S484,T484)</f>
        <v>0</v>
      </c>
      <c r="AE484" s="70">
        <f t="shared" si="1010"/>
        <v>0</v>
      </c>
      <c r="AF484" s="70">
        <f t="shared" si="1011"/>
        <v>0</v>
      </c>
      <c r="AG484" s="70">
        <f t="shared" si="1012"/>
        <v>0</v>
      </c>
      <c r="AH484" s="70">
        <f>AD484+AE484</f>
        <v>0</v>
      </c>
      <c r="AI484" s="70">
        <f>AG484+AF484</f>
        <v>0</v>
      </c>
      <c r="AJ484" s="70">
        <f>AH484+AI484</f>
        <v>0</v>
      </c>
      <c r="AL484" s="2534">
        <f ca="1">SUM((INDIRECT(AL$2&amp;(ROW())):INDIRECT(AL$3&amp;(ROW()))))</f>
        <v>0</v>
      </c>
      <c r="AM484" s="2534">
        <f ca="1">SUM(INDIRECT(AM$1&amp;AM$2&amp;$C484):INDIRECT(AM$1&amp;AM$3&amp;$C484))</f>
        <v>0</v>
      </c>
      <c r="AN484" s="2535">
        <f t="shared" ref="AN484:AN515" ca="1" si="1013">AL484-AM484</f>
        <v>0</v>
      </c>
      <c r="AO484" s="2536">
        <f t="shared" ref="AO484:AO515" ca="1" si="1014">IFERROR(AL484/AM484,0)</f>
        <v>0</v>
      </c>
      <c r="AP484" s="2534">
        <f ca="1">SUM(INDIRECT(AP$1&amp;AP$2&amp;$A484):INDIRECT(AP$1&amp;AP$3&amp;$A484))</f>
        <v>0</v>
      </c>
      <c r="AQ484" s="2535">
        <f t="shared" ref="AQ484:AQ515" ca="1" si="1015">AL484-AP484</f>
        <v>0</v>
      </c>
      <c r="AR484" s="2536">
        <f t="shared" ref="AR484:AR515" ca="1" si="1016">IFERROR(AL484/AP484,0)</f>
        <v>0</v>
      </c>
      <c r="AT484" s="2534">
        <f ca="1">SUM((INDIRECT(AT$2&amp;(ROW())):INDIRECT(AT$3&amp;(ROW()))))</f>
        <v>0</v>
      </c>
      <c r="AU484" s="2534">
        <f ca="1">SUM(INDIRECT(AU$1&amp;AU$2&amp;$C484):INDIRECT(AU$1&amp;AU$3&amp;$C484))</f>
        <v>0</v>
      </c>
      <c r="AV484" s="2535">
        <f t="shared" ref="AV484:AV515" ca="1" si="1017">AT484-AU484</f>
        <v>0</v>
      </c>
      <c r="AW484" s="2536">
        <f t="shared" ref="AW484:AW515" ca="1" si="1018">IFERROR(AT484/AU484,0)</f>
        <v>0</v>
      </c>
      <c r="AX484" s="2534">
        <f ca="1">SUM(INDIRECT(AX$1&amp;AX$2&amp;$A484):INDIRECT(AX$1&amp;AX$3&amp;$A484))</f>
        <v>0</v>
      </c>
      <c r="AY484" s="2535">
        <f t="shared" ref="AY484:AY515" ca="1" si="1019">AT484-AX484</f>
        <v>0</v>
      </c>
      <c r="AZ484" s="2536">
        <f t="shared" ref="AZ484:AZ515" ca="1" si="1020">IFERROR(AT484/AX484,0)</f>
        <v>0</v>
      </c>
      <c r="BB484" s="2534">
        <f ca="1">SUM((INDIRECT(BB$2&amp;(ROW())):INDIRECT(BB$3&amp;(ROW()))))</f>
        <v>0</v>
      </c>
      <c r="BC484" s="2534">
        <f ca="1">SUM(INDIRECT(BC$1&amp;BC$2&amp;$C484):INDIRECT(BC$1&amp;BC$3&amp;$C484))</f>
        <v>0</v>
      </c>
      <c r="BD484" s="2535">
        <f t="shared" ref="BD484:BD515" ca="1" si="1021">BB484-BC484</f>
        <v>0</v>
      </c>
      <c r="BE484" s="2536">
        <f t="shared" ref="BE484:BE515" ca="1" si="1022">IFERROR(BB484/BC484,0)</f>
        <v>0</v>
      </c>
      <c r="BF484" s="2534">
        <f ca="1">SUM(INDIRECT(BF$1&amp;BF$2&amp;$A484):INDIRECT(BF$1&amp;BF$3&amp;$A484))</f>
        <v>0</v>
      </c>
      <c r="BG484" s="2535">
        <f t="shared" ref="BG484:BG515" ca="1" si="1023">BB484-BF484</f>
        <v>0</v>
      </c>
      <c r="BH484" s="2536">
        <f t="shared" ref="BH484:BH515" ca="1" si="1024">IFERROR(BB484/BF484,0)</f>
        <v>0</v>
      </c>
    </row>
    <row r="485" spans="1:60" ht="14.5">
      <c r="A485" s="990">
        <f t="shared" si="991"/>
        <v>436</v>
      </c>
      <c r="B485" s="990">
        <v>1</v>
      </c>
      <c r="C485" s="990">
        <f t="shared" si="946"/>
        <v>482</v>
      </c>
      <c r="E485" s="1243">
        <v>1</v>
      </c>
      <c r="I485" s="115" t="s">
        <v>224</v>
      </c>
      <c r="J485" s="114"/>
      <c r="K485" s="401"/>
      <c r="L485" s="401"/>
      <c r="M485" s="402"/>
      <c r="N485" s="402"/>
      <c r="O485" s="402"/>
      <c r="P485" s="792"/>
      <c r="Q485" s="1877" t="str">
        <f>CHOOSE(2, "6722000003404", "S/GP (1)-1 Gross Profit")</f>
        <v>S/GP (1)-1 Gross Profit</v>
      </c>
      <c r="R485" s="2136">
        <f t="shared" ref="R485:AC485" si="1025">R486+R510</f>
        <v>62164</v>
      </c>
      <c r="S485" s="2013">
        <f t="shared" si="1025"/>
        <v>51719</v>
      </c>
      <c r="T485" s="2013">
        <f t="shared" si="1025"/>
        <v>68190</v>
      </c>
      <c r="U485" s="2013">
        <f t="shared" si="1025"/>
        <v>66780</v>
      </c>
      <c r="V485" s="2013">
        <f t="shared" si="1025"/>
        <v>80882.624250359484</v>
      </c>
      <c r="W485" s="2013">
        <f t="shared" si="1025"/>
        <v>85832</v>
      </c>
      <c r="X485" s="2013">
        <f t="shared" si="1025"/>
        <v>86366</v>
      </c>
      <c r="Y485" s="2013">
        <f t="shared" si="1025"/>
        <v>83645</v>
      </c>
      <c r="Z485" s="2013">
        <f t="shared" si="1025"/>
        <v>96219</v>
      </c>
      <c r="AA485" s="2013">
        <f t="shared" si="1025"/>
        <v>81821</v>
      </c>
      <c r="AB485" s="2013">
        <f t="shared" si="1025"/>
        <v>65831</v>
      </c>
      <c r="AC485" s="2013">
        <f t="shared" si="1025"/>
        <v>74124</v>
      </c>
      <c r="AD485" s="1543">
        <f t="shared" ref="AD485:AJ485" si="1026">AD486+AD510</f>
        <v>182073</v>
      </c>
      <c r="AE485" s="404">
        <f t="shared" si="1026"/>
        <v>233494.62425035948</v>
      </c>
      <c r="AF485" s="404">
        <f t="shared" si="1026"/>
        <v>266230</v>
      </c>
      <c r="AG485" s="404">
        <f t="shared" si="1026"/>
        <v>221776</v>
      </c>
      <c r="AH485" s="404">
        <f t="shared" si="1026"/>
        <v>415567.62425035948</v>
      </c>
      <c r="AI485" s="404">
        <f t="shared" si="1026"/>
        <v>488006</v>
      </c>
      <c r="AJ485" s="404">
        <f t="shared" si="1026"/>
        <v>903573.62425035937</v>
      </c>
      <c r="AL485" s="2136">
        <f ca="1">SUM((INDIRECT(AL$2&amp;(ROW())):INDIRECT(AL$3&amp;(ROW()))))</f>
        <v>74124</v>
      </c>
      <c r="AM485" s="404">
        <f ca="1">SUM(INDIRECT(AM$1&amp;AM$2&amp;$C485):INDIRECT(AM$1&amp;AM$3&amp;$C485))</f>
        <v>0</v>
      </c>
      <c r="AN485" s="2537">
        <f t="shared" ca="1" si="1013"/>
        <v>74124</v>
      </c>
      <c r="AO485" s="1722">
        <f t="shared" ca="1" si="1014"/>
        <v>0</v>
      </c>
      <c r="AP485" s="404">
        <f ca="1">SUM(INDIRECT(AP$1&amp;AP$2&amp;$A485):INDIRECT(AP$1&amp;AP$3&amp;$A485))</f>
        <v>52195</v>
      </c>
      <c r="AQ485" s="2537">
        <f t="shared" ca="1" si="1015"/>
        <v>21929</v>
      </c>
      <c r="AR485" s="1722">
        <f t="shared" ca="1" si="1016"/>
        <v>1.4201360283552065</v>
      </c>
      <c r="AT485" s="2136">
        <f ca="1">SUM((INDIRECT(AT$2&amp;(ROW())):INDIRECT(AT$3&amp;(ROW()))))</f>
        <v>221776</v>
      </c>
      <c r="AU485" s="404">
        <f ca="1">SUM(INDIRECT(AU$1&amp;AU$2&amp;$C485):INDIRECT(AU$1&amp;AU$3&amp;$C485))</f>
        <v>0</v>
      </c>
      <c r="AV485" s="2537">
        <f t="shared" ca="1" si="1017"/>
        <v>221776</v>
      </c>
      <c r="AW485" s="1722">
        <f t="shared" ca="1" si="1018"/>
        <v>0</v>
      </c>
      <c r="AX485" s="404">
        <f ca="1">SUM(INDIRECT(AX$1&amp;AX$2&amp;$A485):INDIRECT(AX$1&amp;AX$3&amp;$A485))</f>
        <v>149015</v>
      </c>
      <c r="AY485" s="2537">
        <f t="shared" ca="1" si="1019"/>
        <v>72761</v>
      </c>
      <c r="AZ485" s="1722">
        <f t="shared" ca="1" si="1020"/>
        <v>1.4882797033855653</v>
      </c>
      <c r="BB485" s="2136">
        <f ca="1">SUM((INDIRECT(BB$2&amp;(ROW())):INDIRECT(BB$3&amp;(ROW()))))</f>
        <v>903573.62425035948</v>
      </c>
      <c r="BC485" s="404">
        <f ca="1">SUM(INDIRECT(BC$1&amp;BC$2&amp;$C485):INDIRECT(BC$1&amp;BC$3&amp;$C485))</f>
        <v>0</v>
      </c>
      <c r="BD485" s="2537">
        <f t="shared" ca="1" si="1021"/>
        <v>903573.62425035948</v>
      </c>
      <c r="BE485" s="1722">
        <f t="shared" ca="1" si="1022"/>
        <v>0</v>
      </c>
      <c r="BF485" s="404">
        <f ca="1">SUM(INDIRECT(BF$1&amp;BF$2&amp;$A485):INDIRECT(BF$1&amp;BF$3&amp;$A485))</f>
        <v>710423</v>
      </c>
      <c r="BG485" s="2537">
        <f t="shared" ca="1" si="1023"/>
        <v>193150.62425035948</v>
      </c>
      <c r="BH485" s="1722">
        <f t="shared" ca="1" si="1024"/>
        <v>1.2718811528488794</v>
      </c>
    </row>
    <row r="486" spans="1:60" ht="14.5">
      <c r="A486" s="990">
        <f t="shared" si="991"/>
        <v>437</v>
      </c>
      <c r="B486" s="990">
        <v>1</v>
      </c>
      <c r="C486" s="990">
        <f t="shared" si="946"/>
        <v>483</v>
      </c>
      <c r="E486" s="1243">
        <v>1</v>
      </c>
      <c r="I486" s="106"/>
      <c r="J486" s="105"/>
      <c r="K486" s="74" t="s">
        <v>212</v>
      </c>
      <c r="L486" s="74"/>
      <c r="M486" s="357"/>
      <c r="N486" s="357"/>
      <c r="O486" s="357"/>
      <c r="P486" s="357"/>
      <c r="Q486" s="1875" t="str">
        <f>CHOOSE(2, "6722000003405", "S/GP (1)-1 Gross Profit Direct")</f>
        <v>S/GP (1)-1 Gross Profit Direct</v>
      </c>
      <c r="R486" s="2134">
        <f>R487+R492+R509</f>
        <v>22005</v>
      </c>
      <c r="S486" s="403">
        <f t="shared" ref="S486:AC486" si="1027">S487+S492+S509</f>
        <v>22223</v>
      </c>
      <c r="T486" s="403">
        <f t="shared" si="1027"/>
        <v>25667</v>
      </c>
      <c r="U486" s="403">
        <f t="shared" si="1027"/>
        <v>23660</v>
      </c>
      <c r="V486" s="403">
        <f t="shared" si="1027"/>
        <v>25829.068577887272</v>
      </c>
      <c r="W486" s="403">
        <f t="shared" si="1027"/>
        <v>24939</v>
      </c>
      <c r="X486" s="403">
        <f t="shared" si="1027"/>
        <v>23532</v>
      </c>
      <c r="Y486" s="403">
        <f t="shared" si="1027"/>
        <v>30035</v>
      </c>
      <c r="Z486" s="403">
        <f t="shared" si="1027"/>
        <v>28563</v>
      </c>
      <c r="AA486" s="403">
        <f t="shared" si="1027"/>
        <v>27710</v>
      </c>
      <c r="AB486" s="403">
        <f t="shared" si="1027"/>
        <v>28589</v>
      </c>
      <c r="AC486" s="403">
        <f t="shared" si="1027"/>
        <v>18930</v>
      </c>
      <c r="AD486" s="403">
        <f t="shared" ref="AD486:AJ486" si="1028">AD487+AD492+AD509</f>
        <v>69895</v>
      </c>
      <c r="AE486" s="403">
        <f t="shared" si="1028"/>
        <v>74428.068577887272</v>
      </c>
      <c r="AF486" s="403">
        <f t="shared" si="1028"/>
        <v>82130</v>
      </c>
      <c r="AG486" s="403">
        <f t="shared" si="1028"/>
        <v>75229</v>
      </c>
      <c r="AH486" s="403">
        <f t="shared" si="1028"/>
        <v>144323.06857788729</v>
      </c>
      <c r="AI486" s="403">
        <f t="shared" si="1028"/>
        <v>157359</v>
      </c>
      <c r="AJ486" s="403">
        <f t="shared" si="1028"/>
        <v>301682.06857788726</v>
      </c>
      <c r="AL486" s="2134">
        <f ca="1">SUM((INDIRECT(AL$2&amp;(ROW())):INDIRECT(AL$3&amp;(ROW()))))</f>
        <v>18930</v>
      </c>
      <c r="AM486" s="403">
        <f ca="1">SUM(INDIRECT(AM$1&amp;AM$2&amp;$C486):INDIRECT(AM$1&amp;AM$3&amp;$C486))</f>
        <v>0</v>
      </c>
      <c r="AN486" s="890">
        <f t="shared" ca="1" si="1013"/>
        <v>18930</v>
      </c>
      <c r="AO486" s="951">
        <f t="shared" ca="1" si="1014"/>
        <v>0</v>
      </c>
      <c r="AP486" s="403">
        <f ca="1">SUM(INDIRECT(AP$1&amp;AP$2&amp;$A486):INDIRECT(AP$1&amp;AP$3&amp;$A486))</f>
        <v>7730</v>
      </c>
      <c r="AQ486" s="890">
        <f t="shared" ca="1" si="1015"/>
        <v>11200</v>
      </c>
      <c r="AR486" s="951">
        <f t="shared" ca="1" si="1016"/>
        <v>2.4489003880983184</v>
      </c>
      <c r="AT486" s="2134">
        <f ca="1">SUM((INDIRECT(AT$2&amp;(ROW())):INDIRECT(AT$3&amp;(ROW()))))</f>
        <v>75229</v>
      </c>
      <c r="AU486" s="403">
        <f ca="1">SUM(INDIRECT(AU$1&amp;AU$2&amp;$C486):INDIRECT(AU$1&amp;AU$3&amp;$C486))</f>
        <v>0</v>
      </c>
      <c r="AV486" s="890">
        <f t="shared" ca="1" si="1017"/>
        <v>75229</v>
      </c>
      <c r="AW486" s="951">
        <f t="shared" ca="1" si="1018"/>
        <v>0</v>
      </c>
      <c r="AX486" s="403">
        <f ca="1">SUM(INDIRECT(AX$1&amp;AX$2&amp;$A486):INDIRECT(AX$1&amp;AX$3&amp;$A486))</f>
        <v>50776</v>
      </c>
      <c r="AY486" s="890">
        <f t="shared" ca="1" si="1019"/>
        <v>24453</v>
      </c>
      <c r="AZ486" s="951">
        <f t="shared" ca="1" si="1020"/>
        <v>1.4815857885615251</v>
      </c>
      <c r="BB486" s="2134">
        <f ca="1">SUM((INDIRECT(BB$2&amp;(ROW())):INDIRECT(BB$3&amp;(ROW()))))</f>
        <v>301682.06857788726</v>
      </c>
      <c r="BC486" s="403">
        <f ca="1">SUM(INDIRECT(BC$1&amp;BC$2&amp;$C486):INDIRECT(BC$1&amp;BC$3&amp;$C486))</f>
        <v>0</v>
      </c>
      <c r="BD486" s="890">
        <f t="shared" ca="1" si="1021"/>
        <v>301682.06857788726</v>
      </c>
      <c r="BE486" s="951">
        <f t="shared" ca="1" si="1022"/>
        <v>0</v>
      </c>
      <c r="BF486" s="403">
        <f ca="1">SUM(INDIRECT(BF$1&amp;BF$2&amp;$A486):INDIRECT(BF$1&amp;BF$3&amp;$A486))</f>
        <v>240271</v>
      </c>
      <c r="BG486" s="890">
        <f t="shared" ca="1" si="1023"/>
        <v>61411.068577887258</v>
      </c>
      <c r="BH486" s="951">
        <f t="shared" ca="1" si="1024"/>
        <v>1.2555908477422879</v>
      </c>
    </row>
    <row r="487" spans="1:60" s="10" customFormat="1" ht="14.5">
      <c r="A487" s="990">
        <f t="shared" si="991"/>
        <v>438</v>
      </c>
      <c r="B487" s="990">
        <v>1</v>
      </c>
      <c r="C487" s="990">
        <f t="shared" si="946"/>
        <v>484</v>
      </c>
      <c r="E487" s="1243">
        <v>1</v>
      </c>
      <c r="H487" s="24"/>
      <c r="I487" s="106"/>
      <c r="J487" s="280"/>
      <c r="K487" s="74"/>
      <c r="L487" s="74"/>
      <c r="M487" s="9" t="s">
        <v>213</v>
      </c>
      <c r="N487" s="363"/>
      <c r="O487" s="363"/>
      <c r="P487" s="363"/>
      <c r="Q487" s="1843" t="str">
        <f>CHOOSE(2, "6722000003406", "S/GP (1)-1 Gross Profit Direct HW")</f>
        <v>S/GP (1)-1 Gross Profit Direct HW</v>
      </c>
      <c r="R487" s="365">
        <f>R488+R491</f>
        <v>11204</v>
      </c>
      <c r="S487" s="365">
        <f t="shared" ref="S487:AC487" si="1029">S488+S491</f>
        <v>11626</v>
      </c>
      <c r="T487" s="365">
        <f t="shared" si="1029"/>
        <v>15279</v>
      </c>
      <c r="U487" s="365">
        <f t="shared" si="1029"/>
        <v>14908</v>
      </c>
      <c r="V487" s="365">
        <f t="shared" si="1029"/>
        <v>13543.85455</v>
      </c>
      <c r="W487" s="365">
        <f t="shared" si="1029"/>
        <v>15879</v>
      </c>
      <c r="X487" s="365">
        <f t="shared" si="1029"/>
        <v>16572</v>
      </c>
      <c r="Y487" s="365">
        <f t="shared" si="1029"/>
        <v>15084</v>
      </c>
      <c r="Z487" s="365">
        <f t="shared" si="1029"/>
        <v>17324</v>
      </c>
      <c r="AA487" s="365">
        <f t="shared" si="1029"/>
        <v>16194</v>
      </c>
      <c r="AB487" s="365">
        <f t="shared" si="1029"/>
        <v>17670</v>
      </c>
      <c r="AC487" s="365">
        <f t="shared" si="1029"/>
        <v>9166</v>
      </c>
      <c r="AD487" s="1536">
        <f t="shared" ref="AD487:AJ487" si="1030">AD488+AD491</f>
        <v>38109</v>
      </c>
      <c r="AE487" s="365">
        <f t="shared" si="1030"/>
        <v>44330.854550000004</v>
      </c>
      <c r="AF487" s="365">
        <f t="shared" si="1030"/>
        <v>48980</v>
      </c>
      <c r="AG487" s="365">
        <f t="shared" si="1030"/>
        <v>43030</v>
      </c>
      <c r="AH487" s="365">
        <f t="shared" si="1030"/>
        <v>82439.854550000004</v>
      </c>
      <c r="AI487" s="365">
        <f t="shared" si="1030"/>
        <v>92010</v>
      </c>
      <c r="AJ487" s="365">
        <f t="shared" si="1030"/>
        <v>174449.85454999999</v>
      </c>
      <c r="AL487" s="365">
        <f ca="1">SUM((INDIRECT(AL$2&amp;(ROW())):INDIRECT(AL$3&amp;(ROW()))))</f>
        <v>9166</v>
      </c>
      <c r="AM487" s="365">
        <f ca="1">SUM(INDIRECT(AM$1&amp;AM$2&amp;$C487):INDIRECT(AM$1&amp;AM$3&amp;$C487))</f>
        <v>0</v>
      </c>
      <c r="AN487" s="891">
        <f t="shared" ca="1" si="1013"/>
        <v>9166</v>
      </c>
      <c r="AO487" s="952">
        <f t="shared" ca="1" si="1014"/>
        <v>0</v>
      </c>
      <c r="AP487" s="365">
        <f ca="1">SUM(INDIRECT(AP$1&amp;AP$2&amp;$A487):INDIRECT(AP$1&amp;AP$3&amp;$A487))</f>
        <v>1704</v>
      </c>
      <c r="AQ487" s="891">
        <f t="shared" ca="1" si="1015"/>
        <v>7462</v>
      </c>
      <c r="AR487" s="952">
        <f t="shared" ca="1" si="1016"/>
        <v>5.379107981220657</v>
      </c>
      <c r="AT487" s="365">
        <f ca="1">SUM((INDIRECT(AT$2&amp;(ROW())):INDIRECT(AT$3&amp;(ROW()))))</f>
        <v>43030</v>
      </c>
      <c r="AU487" s="365">
        <f ca="1">SUM(INDIRECT(AU$1&amp;AU$2&amp;$C487):INDIRECT(AU$1&amp;AU$3&amp;$C487))</f>
        <v>0</v>
      </c>
      <c r="AV487" s="891">
        <f t="shared" ca="1" si="1017"/>
        <v>43030</v>
      </c>
      <c r="AW487" s="952">
        <f t="shared" ca="1" si="1018"/>
        <v>0</v>
      </c>
      <c r="AX487" s="365">
        <f ca="1">SUM(INDIRECT(AX$1&amp;AX$2&amp;$A487):INDIRECT(AX$1&amp;AX$3&amp;$A487))</f>
        <v>25913</v>
      </c>
      <c r="AY487" s="891">
        <f t="shared" ca="1" si="1019"/>
        <v>17117</v>
      </c>
      <c r="AZ487" s="952">
        <f t="shared" ca="1" si="1020"/>
        <v>1.660556477443754</v>
      </c>
      <c r="BB487" s="365">
        <f ca="1">SUM((INDIRECT(BB$2&amp;(ROW())):INDIRECT(BB$3&amp;(ROW()))))</f>
        <v>174449.85454999999</v>
      </c>
      <c r="BC487" s="365">
        <f ca="1">SUM(INDIRECT(BC$1&amp;BC$2&amp;$C487):INDIRECT(BC$1&amp;BC$3&amp;$C487))</f>
        <v>0</v>
      </c>
      <c r="BD487" s="891">
        <f t="shared" ca="1" si="1021"/>
        <v>174449.85454999999</v>
      </c>
      <c r="BE487" s="952">
        <f t="shared" ca="1" si="1022"/>
        <v>0</v>
      </c>
      <c r="BF487" s="365">
        <f ca="1">SUM(INDIRECT(BF$1&amp;BF$2&amp;$A487):INDIRECT(BF$1&amp;BF$3&amp;$A487))</f>
        <v>146749</v>
      </c>
      <c r="BG487" s="891">
        <f t="shared" ca="1" si="1023"/>
        <v>27700.854549999989</v>
      </c>
      <c r="BH487" s="952">
        <f t="shared" ca="1" si="1024"/>
        <v>1.1887634978773278</v>
      </c>
    </row>
    <row r="488" spans="1:60" ht="14.5">
      <c r="A488" s="990">
        <f t="shared" si="991"/>
        <v>439</v>
      </c>
      <c r="B488" s="990">
        <v>1</v>
      </c>
      <c r="C488" s="990">
        <f t="shared" si="946"/>
        <v>485</v>
      </c>
      <c r="E488" s="1243">
        <v>1</v>
      </c>
      <c r="I488" s="106"/>
      <c r="J488" s="105"/>
      <c r="K488" s="74"/>
      <c r="L488" s="74"/>
      <c r="N488" s="111" t="s">
        <v>214</v>
      </c>
      <c r="O488" s="111"/>
      <c r="P488" s="111"/>
      <c r="Q488" s="1843" t="str">
        <f>CHOOSE(2, "6722000003407", "S/GP (1)-1 Gross Profit Direct HW KMI")</f>
        <v>S/GP (1)-1 Gross Profit Direct HW KMI</v>
      </c>
      <c r="R488" s="109">
        <f>SUM(R489:R490)</f>
        <v>11204</v>
      </c>
      <c r="S488" s="109">
        <f t="shared" ref="S488:AC488" si="1031">SUM(S489:S490)</f>
        <v>11626</v>
      </c>
      <c r="T488" s="109">
        <f t="shared" si="1031"/>
        <v>15279</v>
      </c>
      <c r="U488" s="109">
        <f t="shared" si="1031"/>
        <v>14908</v>
      </c>
      <c r="V488" s="109">
        <f t="shared" si="1031"/>
        <v>13543.85455</v>
      </c>
      <c r="W488" s="109">
        <f t="shared" si="1031"/>
        <v>15879</v>
      </c>
      <c r="X488" s="109">
        <f t="shared" si="1031"/>
        <v>16572</v>
      </c>
      <c r="Y488" s="109">
        <f t="shared" si="1031"/>
        <v>15084</v>
      </c>
      <c r="Z488" s="109">
        <f t="shared" si="1031"/>
        <v>17324</v>
      </c>
      <c r="AA488" s="109">
        <f t="shared" si="1031"/>
        <v>16194</v>
      </c>
      <c r="AB488" s="109">
        <f t="shared" si="1031"/>
        <v>17670</v>
      </c>
      <c r="AC488" s="109">
        <f t="shared" si="1031"/>
        <v>9166</v>
      </c>
      <c r="AD488" s="1537">
        <f t="shared" ref="AD488:AJ488" si="1032">SUM(AD489:AD490)</f>
        <v>38109</v>
      </c>
      <c r="AE488" s="109">
        <f t="shared" si="1032"/>
        <v>44330.854550000004</v>
      </c>
      <c r="AF488" s="109">
        <f t="shared" si="1032"/>
        <v>48980</v>
      </c>
      <c r="AG488" s="109">
        <f t="shared" si="1032"/>
        <v>43030</v>
      </c>
      <c r="AH488" s="109">
        <f t="shared" si="1032"/>
        <v>82439.854550000004</v>
      </c>
      <c r="AI488" s="109">
        <f t="shared" si="1032"/>
        <v>92010</v>
      </c>
      <c r="AJ488" s="109">
        <f t="shared" si="1032"/>
        <v>174449.85454999999</v>
      </c>
      <c r="AL488" s="109">
        <f ca="1">SUM((INDIRECT(AL$2&amp;(ROW())):INDIRECT(AL$3&amp;(ROW()))))</f>
        <v>9166</v>
      </c>
      <c r="AM488" s="109">
        <f ca="1">SUM(INDIRECT(AM$1&amp;AM$2&amp;$C488):INDIRECT(AM$1&amp;AM$3&amp;$C488))</f>
        <v>0</v>
      </c>
      <c r="AN488" s="892">
        <f t="shared" ca="1" si="1013"/>
        <v>9166</v>
      </c>
      <c r="AO488" s="953">
        <f t="shared" ca="1" si="1014"/>
        <v>0</v>
      </c>
      <c r="AP488" s="109">
        <f ca="1">SUM(INDIRECT(AP$1&amp;AP$2&amp;$A488):INDIRECT(AP$1&amp;AP$3&amp;$A488))</f>
        <v>1704</v>
      </c>
      <c r="AQ488" s="892">
        <f t="shared" ca="1" si="1015"/>
        <v>7462</v>
      </c>
      <c r="AR488" s="953">
        <f t="shared" ca="1" si="1016"/>
        <v>5.379107981220657</v>
      </c>
      <c r="AT488" s="109">
        <f ca="1">SUM((INDIRECT(AT$2&amp;(ROW())):INDIRECT(AT$3&amp;(ROW()))))</f>
        <v>43030</v>
      </c>
      <c r="AU488" s="109">
        <f ca="1">SUM(INDIRECT(AU$1&amp;AU$2&amp;$C488):INDIRECT(AU$1&amp;AU$3&amp;$C488))</f>
        <v>0</v>
      </c>
      <c r="AV488" s="892">
        <f t="shared" ca="1" si="1017"/>
        <v>43030</v>
      </c>
      <c r="AW488" s="953">
        <f t="shared" ca="1" si="1018"/>
        <v>0</v>
      </c>
      <c r="AX488" s="109">
        <f ca="1">SUM(INDIRECT(AX$1&amp;AX$2&amp;$A488):INDIRECT(AX$1&amp;AX$3&amp;$A488))</f>
        <v>25913</v>
      </c>
      <c r="AY488" s="892">
        <f t="shared" ca="1" si="1019"/>
        <v>17117</v>
      </c>
      <c r="AZ488" s="953">
        <f t="shared" ca="1" si="1020"/>
        <v>1.660556477443754</v>
      </c>
      <c r="BB488" s="109">
        <f ca="1">SUM((INDIRECT(BB$2&amp;(ROW())):INDIRECT(BB$3&amp;(ROW()))))</f>
        <v>174449.85454999999</v>
      </c>
      <c r="BC488" s="109">
        <f ca="1">SUM(INDIRECT(BC$1&amp;BC$2&amp;$C488):INDIRECT(BC$1&amp;BC$3&amp;$C488))</f>
        <v>0</v>
      </c>
      <c r="BD488" s="892">
        <f t="shared" ca="1" si="1021"/>
        <v>174449.85454999999</v>
      </c>
      <c r="BE488" s="953">
        <f t="shared" ca="1" si="1022"/>
        <v>0</v>
      </c>
      <c r="BF488" s="109">
        <f ca="1">SUM(INDIRECT(BF$1&amp;BF$2&amp;$A488):INDIRECT(BF$1&amp;BF$3&amp;$A488))</f>
        <v>146749</v>
      </c>
      <c r="BG488" s="892">
        <f t="shared" ca="1" si="1023"/>
        <v>27700.854549999989</v>
      </c>
      <c r="BH488" s="953">
        <f t="shared" ca="1" si="1024"/>
        <v>1.1887634978773278</v>
      </c>
    </row>
    <row r="489" spans="1:60" ht="14.5">
      <c r="A489" s="990">
        <f t="shared" si="991"/>
        <v>440</v>
      </c>
      <c r="B489" s="990">
        <v>1</v>
      </c>
      <c r="C489" s="990">
        <f t="shared" si="946"/>
        <v>486</v>
      </c>
      <c r="E489" s="1243">
        <v>1</v>
      </c>
      <c r="I489" s="106"/>
      <c r="J489" s="105"/>
      <c r="K489" s="74"/>
      <c r="L489" s="74"/>
      <c r="O489" s="111" t="s">
        <v>215</v>
      </c>
      <c r="P489" s="111"/>
      <c r="Q489" s="1845" t="str">
        <f>CHOOSE(2, "6722000003408", "S/GP (1)-1 Gross Profit Direct HW KMI Office A3")</f>
        <v>S/GP (1)-1 Gross Profit Direct HW KMI Office A3</v>
      </c>
      <c r="R489" s="2042">
        <v>10816</v>
      </c>
      <c r="S489" s="2042">
        <v>11158</v>
      </c>
      <c r="T489" s="2042">
        <v>14444</v>
      </c>
      <c r="U489" s="2042">
        <v>14325</v>
      </c>
      <c r="V489" s="2042">
        <v>12966</v>
      </c>
      <c r="W489" s="2042">
        <v>15201</v>
      </c>
      <c r="X489" s="2042">
        <v>16082</v>
      </c>
      <c r="Y489" s="2042">
        <v>14537</v>
      </c>
      <c r="Z489" s="2042">
        <v>16469</v>
      </c>
      <c r="AA489" s="2042">
        <v>15625</v>
      </c>
      <c r="AB489" s="2042">
        <v>17010</v>
      </c>
      <c r="AC489" s="2042">
        <v>8457</v>
      </c>
      <c r="AD489" s="1537">
        <f>SUM(R489,S489,T489)</f>
        <v>36418</v>
      </c>
      <c r="AE489" s="108">
        <f t="shared" ref="AE489:AE491" si="1033">SUM(U489,V489,W489)</f>
        <v>42492</v>
      </c>
      <c r="AF489" s="108">
        <f t="shared" ref="AF489:AF491" si="1034">SUM(X489,Y489,Z489)</f>
        <v>47088</v>
      </c>
      <c r="AG489" s="108">
        <f t="shared" ref="AG489:AG491" si="1035">SUM(AA489,AB489,AC489)</f>
        <v>41092</v>
      </c>
      <c r="AH489" s="108">
        <f>AD489+AE489</f>
        <v>78910</v>
      </c>
      <c r="AI489" s="108">
        <f>AG489+AF489</f>
        <v>88180</v>
      </c>
      <c r="AJ489" s="108">
        <f>AH489+AI489</f>
        <v>167090</v>
      </c>
      <c r="AL489" s="108">
        <f ca="1">SUM((INDIRECT(AL$2&amp;(ROW())):INDIRECT(AL$3&amp;(ROW()))))</f>
        <v>8457</v>
      </c>
      <c r="AM489" s="108">
        <f ca="1">SUM(INDIRECT(AM$1&amp;AM$2&amp;$C489):INDIRECT(AM$1&amp;AM$3&amp;$C489))</f>
        <v>0</v>
      </c>
      <c r="AN489" s="893">
        <f t="shared" ca="1" si="1013"/>
        <v>8457</v>
      </c>
      <c r="AO489" s="954">
        <f t="shared" ca="1" si="1014"/>
        <v>0</v>
      </c>
      <c r="AP489" s="108">
        <f ca="1">SUM(INDIRECT(AP$1&amp;AP$2&amp;$A489):INDIRECT(AP$1&amp;AP$3&amp;$A489))</f>
        <v>1235</v>
      </c>
      <c r="AQ489" s="893">
        <f t="shared" ca="1" si="1015"/>
        <v>7222</v>
      </c>
      <c r="AR489" s="954">
        <f t="shared" ca="1" si="1016"/>
        <v>6.8477732793522268</v>
      </c>
      <c r="AT489" s="108">
        <f ca="1">SUM((INDIRECT(AT$2&amp;(ROW())):INDIRECT(AT$3&amp;(ROW()))))</f>
        <v>41092</v>
      </c>
      <c r="AU489" s="108">
        <f ca="1">SUM(INDIRECT(AU$1&amp;AU$2&amp;$C489):INDIRECT(AU$1&amp;AU$3&amp;$C489))</f>
        <v>0</v>
      </c>
      <c r="AV489" s="893">
        <f t="shared" ca="1" si="1017"/>
        <v>41092</v>
      </c>
      <c r="AW489" s="954">
        <f t="shared" ca="1" si="1018"/>
        <v>0</v>
      </c>
      <c r="AX489" s="108">
        <f ca="1">SUM(INDIRECT(AX$1&amp;AX$2&amp;$A489):INDIRECT(AX$1&amp;AX$3&amp;$A489))</f>
        <v>24461</v>
      </c>
      <c r="AY489" s="893">
        <f t="shared" ca="1" si="1019"/>
        <v>16631</v>
      </c>
      <c r="AZ489" s="954">
        <f t="shared" ca="1" si="1020"/>
        <v>1.6798986141204366</v>
      </c>
      <c r="BB489" s="108">
        <f ca="1">SUM((INDIRECT(BB$2&amp;(ROW())):INDIRECT(BB$3&amp;(ROW()))))</f>
        <v>167090</v>
      </c>
      <c r="BC489" s="108">
        <f ca="1">SUM(INDIRECT(BC$1&amp;BC$2&amp;$C489):INDIRECT(BC$1&amp;BC$3&amp;$C489))</f>
        <v>0</v>
      </c>
      <c r="BD489" s="893">
        <f t="shared" ca="1" si="1021"/>
        <v>167090</v>
      </c>
      <c r="BE489" s="954">
        <f t="shared" ca="1" si="1022"/>
        <v>0</v>
      </c>
      <c r="BF489" s="108">
        <f ca="1">SUM(INDIRECT(BF$1&amp;BF$2&amp;$A489):INDIRECT(BF$1&amp;BF$3&amp;$A489))</f>
        <v>140476</v>
      </c>
      <c r="BG489" s="893">
        <f t="shared" ca="1" si="1023"/>
        <v>26614</v>
      </c>
      <c r="BH489" s="954">
        <f t="shared" ca="1" si="1024"/>
        <v>1.1894558501096273</v>
      </c>
    </row>
    <row r="490" spans="1:60" ht="14.5">
      <c r="A490" s="990">
        <f t="shared" si="991"/>
        <v>441</v>
      </c>
      <c r="B490" s="990">
        <v>1</v>
      </c>
      <c r="C490" s="990">
        <f t="shared" si="946"/>
        <v>487</v>
      </c>
      <c r="E490" s="1243">
        <v>1</v>
      </c>
      <c r="I490" s="106"/>
      <c r="J490" s="105"/>
      <c r="K490" s="74"/>
      <c r="L490" s="74"/>
      <c r="N490" s="363"/>
      <c r="O490" s="363" t="s">
        <v>216</v>
      </c>
      <c r="P490" s="363"/>
      <c r="Q490" s="1845" t="str">
        <f>CHOOSE(2, "6722000003409", "S/GP (1)-1 Gross Profit Direct HW KMI Office A4")</f>
        <v>S/GP (1)-1 Gross Profit Direct HW KMI Office A4</v>
      </c>
      <c r="R490" s="2052">
        <v>388</v>
      </c>
      <c r="S490" s="2052">
        <v>468</v>
      </c>
      <c r="T490" s="2052">
        <v>835</v>
      </c>
      <c r="U490" s="2052">
        <v>583</v>
      </c>
      <c r="V490" s="2052">
        <v>577.85455000000002</v>
      </c>
      <c r="W490" s="2052">
        <v>678</v>
      </c>
      <c r="X490" s="2052">
        <v>490</v>
      </c>
      <c r="Y490" s="2052">
        <v>547</v>
      </c>
      <c r="Z490" s="2052">
        <v>855</v>
      </c>
      <c r="AA490" s="2052">
        <v>569</v>
      </c>
      <c r="AB490" s="2052">
        <v>660</v>
      </c>
      <c r="AC490" s="2052">
        <v>709</v>
      </c>
      <c r="AD490" s="1536">
        <f>SUM(R490,S490,T490)</f>
        <v>1691</v>
      </c>
      <c r="AE490" s="378">
        <f t="shared" si="1033"/>
        <v>1838.85455</v>
      </c>
      <c r="AF490" s="378">
        <f t="shared" si="1034"/>
        <v>1892</v>
      </c>
      <c r="AG490" s="378">
        <f t="shared" si="1035"/>
        <v>1938</v>
      </c>
      <c r="AH490" s="378">
        <f>AD490+AE490</f>
        <v>3529.85455</v>
      </c>
      <c r="AI490" s="378">
        <f>AG490+AF490</f>
        <v>3830</v>
      </c>
      <c r="AJ490" s="378">
        <f>AH490+AI490</f>
        <v>7359.85455</v>
      </c>
      <c r="AL490" s="378">
        <f ca="1">SUM((INDIRECT(AL$2&amp;(ROW())):INDIRECT(AL$3&amp;(ROW()))))</f>
        <v>709</v>
      </c>
      <c r="AM490" s="378">
        <f ca="1">SUM(INDIRECT(AM$1&amp;AM$2&amp;$C490):INDIRECT(AM$1&amp;AM$3&amp;$C490))</f>
        <v>0</v>
      </c>
      <c r="AN490" s="894">
        <f t="shared" ca="1" si="1013"/>
        <v>709</v>
      </c>
      <c r="AO490" s="955">
        <f t="shared" ca="1" si="1014"/>
        <v>0</v>
      </c>
      <c r="AP490" s="378">
        <f ca="1">SUM(INDIRECT(AP$1&amp;AP$2&amp;$A490):INDIRECT(AP$1&amp;AP$3&amp;$A490))</f>
        <v>469</v>
      </c>
      <c r="AQ490" s="894">
        <f t="shared" ca="1" si="1015"/>
        <v>240</v>
      </c>
      <c r="AR490" s="955">
        <f t="shared" ca="1" si="1016"/>
        <v>1.511727078891258</v>
      </c>
      <c r="AT490" s="378">
        <f ca="1">SUM((INDIRECT(AT$2&amp;(ROW())):INDIRECT(AT$3&amp;(ROW()))))</f>
        <v>1938</v>
      </c>
      <c r="AU490" s="378">
        <f ca="1">SUM(INDIRECT(AU$1&amp;AU$2&amp;$C490):INDIRECT(AU$1&amp;AU$3&amp;$C490))</f>
        <v>0</v>
      </c>
      <c r="AV490" s="894">
        <f t="shared" ca="1" si="1017"/>
        <v>1938</v>
      </c>
      <c r="AW490" s="955">
        <f t="shared" ca="1" si="1018"/>
        <v>0</v>
      </c>
      <c r="AX490" s="378">
        <f ca="1">SUM(INDIRECT(AX$1&amp;AX$2&amp;$A490):INDIRECT(AX$1&amp;AX$3&amp;$A490))</f>
        <v>1452</v>
      </c>
      <c r="AY490" s="894">
        <f t="shared" ca="1" si="1019"/>
        <v>486</v>
      </c>
      <c r="AZ490" s="955">
        <f t="shared" ca="1" si="1020"/>
        <v>1.334710743801653</v>
      </c>
      <c r="BB490" s="378">
        <f ca="1">SUM((INDIRECT(BB$2&amp;(ROW())):INDIRECT(BB$3&amp;(ROW()))))</f>
        <v>7359.85455</v>
      </c>
      <c r="BC490" s="378">
        <f ca="1">SUM(INDIRECT(BC$1&amp;BC$2&amp;$C490):INDIRECT(BC$1&amp;BC$3&amp;$C490))</f>
        <v>0</v>
      </c>
      <c r="BD490" s="894">
        <f t="shared" ca="1" si="1021"/>
        <v>7359.85455</v>
      </c>
      <c r="BE490" s="955">
        <f t="shared" ca="1" si="1022"/>
        <v>0</v>
      </c>
      <c r="BF490" s="378">
        <f ca="1">SUM(INDIRECT(BF$1&amp;BF$2&amp;$A490):INDIRECT(BF$1&amp;BF$3&amp;$A490))</f>
        <v>6273</v>
      </c>
      <c r="BG490" s="894">
        <f t="shared" ca="1" si="1023"/>
        <v>1086.85455</v>
      </c>
      <c r="BH490" s="955">
        <f t="shared" ca="1" si="1024"/>
        <v>1.1732591343854615</v>
      </c>
    </row>
    <row r="491" spans="1:60" ht="14.5" collapsed="1">
      <c r="A491" s="990">
        <f t="shared" si="991"/>
        <v>442</v>
      </c>
      <c r="B491" s="990">
        <v>1</v>
      </c>
      <c r="C491" s="990">
        <f t="shared" si="946"/>
        <v>488</v>
      </c>
      <c r="E491" s="1243">
        <v>1</v>
      </c>
      <c r="I491" s="106"/>
      <c r="J491" s="105"/>
      <c r="K491" s="74"/>
      <c r="L491" s="74"/>
      <c r="M491" s="12"/>
      <c r="N491" s="366" t="s">
        <v>217</v>
      </c>
      <c r="O491" s="366"/>
      <c r="P491" s="366"/>
      <c r="Q491" s="1845" t="str">
        <f>CHOOSE(2, "6722000003410", "S/GP (1)-1 Gross Profit Direct HW 3rd Party")</f>
        <v>S/GP (1)-1 Gross Profit Direct HW 3rd Party</v>
      </c>
      <c r="R491" s="2053">
        <v>0</v>
      </c>
      <c r="S491" s="2053">
        <v>0</v>
      </c>
      <c r="T491" s="2053">
        <v>0</v>
      </c>
      <c r="U491" s="2053">
        <v>0</v>
      </c>
      <c r="V491" s="2053">
        <v>0</v>
      </c>
      <c r="W491" s="2053">
        <v>0</v>
      </c>
      <c r="X491" s="2053">
        <v>0</v>
      </c>
      <c r="Y491" s="2053">
        <v>0</v>
      </c>
      <c r="Z491" s="2053">
        <v>0</v>
      </c>
      <c r="AA491" s="2053">
        <v>0</v>
      </c>
      <c r="AB491" s="2053">
        <v>0</v>
      </c>
      <c r="AC491" s="2053">
        <v>0</v>
      </c>
      <c r="AD491" s="1538">
        <f>SUM(R491,S491,T491)</f>
        <v>0</v>
      </c>
      <c r="AE491" s="379">
        <f t="shared" si="1033"/>
        <v>0</v>
      </c>
      <c r="AF491" s="379">
        <f t="shared" si="1034"/>
        <v>0</v>
      </c>
      <c r="AG491" s="379">
        <f t="shared" si="1035"/>
        <v>0</v>
      </c>
      <c r="AH491" s="379">
        <f>AD491+AE491</f>
        <v>0</v>
      </c>
      <c r="AI491" s="379">
        <f>AG491+AF491</f>
        <v>0</v>
      </c>
      <c r="AJ491" s="379">
        <f>AH491+AI491</f>
        <v>0</v>
      </c>
      <c r="AL491" s="379">
        <f ca="1">SUM((INDIRECT(AL$2&amp;(ROW())):INDIRECT(AL$3&amp;(ROW()))))</f>
        <v>0</v>
      </c>
      <c r="AM491" s="379">
        <f ca="1">SUM(INDIRECT(AM$1&amp;AM$2&amp;$C491):INDIRECT(AM$1&amp;AM$3&amp;$C491))</f>
        <v>0</v>
      </c>
      <c r="AN491" s="895">
        <f t="shared" ca="1" si="1013"/>
        <v>0</v>
      </c>
      <c r="AO491" s="956">
        <f t="shared" ca="1" si="1014"/>
        <v>0</v>
      </c>
      <c r="AP491" s="379">
        <f ca="1">SUM(INDIRECT(AP$1&amp;AP$2&amp;$A491):INDIRECT(AP$1&amp;AP$3&amp;$A491))</f>
        <v>0</v>
      </c>
      <c r="AQ491" s="895">
        <f t="shared" ca="1" si="1015"/>
        <v>0</v>
      </c>
      <c r="AR491" s="956">
        <f t="shared" ca="1" si="1016"/>
        <v>0</v>
      </c>
      <c r="AT491" s="379">
        <f ca="1">SUM((INDIRECT(AT$2&amp;(ROW())):INDIRECT(AT$3&amp;(ROW()))))</f>
        <v>0</v>
      </c>
      <c r="AU491" s="379">
        <f ca="1">SUM(INDIRECT(AU$1&amp;AU$2&amp;$C491):INDIRECT(AU$1&amp;AU$3&amp;$C491))</f>
        <v>0</v>
      </c>
      <c r="AV491" s="895">
        <f t="shared" ca="1" si="1017"/>
        <v>0</v>
      </c>
      <c r="AW491" s="956">
        <f t="shared" ca="1" si="1018"/>
        <v>0</v>
      </c>
      <c r="AX491" s="379">
        <f ca="1">SUM(INDIRECT(AX$1&amp;AX$2&amp;$A491):INDIRECT(AX$1&amp;AX$3&amp;$A491))</f>
        <v>0</v>
      </c>
      <c r="AY491" s="895">
        <f t="shared" ca="1" si="1019"/>
        <v>0</v>
      </c>
      <c r="AZ491" s="956">
        <f t="shared" ca="1" si="1020"/>
        <v>0</v>
      </c>
      <c r="BB491" s="379">
        <f ca="1">SUM((INDIRECT(BB$2&amp;(ROW())):INDIRECT(BB$3&amp;(ROW()))))</f>
        <v>0</v>
      </c>
      <c r="BC491" s="379">
        <f ca="1">SUM(INDIRECT(BC$1&amp;BC$2&amp;$C491):INDIRECT(BC$1&amp;BC$3&amp;$C491))</f>
        <v>0</v>
      </c>
      <c r="BD491" s="895">
        <f t="shared" ca="1" si="1021"/>
        <v>0</v>
      </c>
      <c r="BE491" s="956">
        <f t="shared" ca="1" si="1022"/>
        <v>0</v>
      </c>
      <c r="BF491" s="379">
        <f ca="1">SUM(INDIRECT(BF$1&amp;BF$2&amp;$A491):INDIRECT(BF$1&amp;BF$3&amp;$A491))</f>
        <v>0</v>
      </c>
      <c r="BG491" s="895">
        <f t="shared" ca="1" si="1023"/>
        <v>0</v>
      </c>
      <c r="BH491" s="956">
        <f t="shared" ca="1" si="1024"/>
        <v>0</v>
      </c>
    </row>
    <row r="492" spans="1:60" s="10" customFormat="1" ht="14.5">
      <c r="A492" s="990">
        <f t="shared" si="991"/>
        <v>443</v>
      </c>
      <c r="B492" s="990">
        <v>1</v>
      </c>
      <c r="C492" s="990">
        <f t="shared" si="946"/>
        <v>489</v>
      </c>
      <c r="E492" s="1243">
        <v>1</v>
      </c>
      <c r="H492" s="24"/>
      <c r="I492" s="106"/>
      <c r="J492" s="280"/>
      <c r="K492" s="74"/>
      <c r="L492" s="74"/>
      <c r="M492" s="9" t="s">
        <v>218</v>
      </c>
      <c r="N492" s="362"/>
      <c r="O492" s="362"/>
      <c r="P492" s="362"/>
      <c r="Q492" s="1843" t="str">
        <f>CHOOSE(2, "6722000003411", "S/GP (1)-1 Gross Profit Direct NH")</f>
        <v>S/GP (1)-1 Gross Profit Direct NH</v>
      </c>
      <c r="R492" s="361">
        <f>R493+R500+R501+R505+R508</f>
        <v>10801</v>
      </c>
      <c r="S492" s="361">
        <f t="shared" ref="S492:AC492" si="1036">S493+S500+S501+S505+S508</f>
        <v>10597</v>
      </c>
      <c r="T492" s="361">
        <f t="shared" si="1036"/>
        <v>10388</v>
      </c>
      <c r="U492" s="361">
        <f t="shared" si="1036"/>
        <v>8752</v>
      </c>
      <c r="V492" s="361">
        <f t="shared" si="1036"/>
        <v>12285.21402788727</v>
      </c>
      <c r="W492" s="361">
        <f t="shared" si="1036"/>
        <v>9060</v>
      </c>
      <c r="X492" s="361">
        <f t="shared" si="1036"/>
        <v>6960</v>
      </c>
      <c r="Y492" s="361">
        <f t="shared" si="1036"/>
        <v>14951</v>
      </c>
      <c r="Z492" s="361">
        <f t="shared" si="1036"/>
        <v>11239</v>
      </c>
      <c r="AA492" s="361">
        <f t="shared" si="1036"/>
        <v>11516</v>
      </c>
      <c r="AB492" s="361">
        <f t="shared" si="1036"/>
        <v>10919</v>
      </c>
      <c r="AC492" s="361">
        <f t="shared" si="1036"/>
        <v>9764</v>
      </c>
      <c r="AD492" s="1539">
        <f t="shared" ref="AD492:AJ492" si="1037">AD493+AD500+AD501+AD505+AD508</f>
        <v>31786</v>
      </c>
      <c r="AE492" s="381">
        <f t="shared" si="1037"/>
        <v>30097.214027887268</v>
      </c>
      <c r="AF492" s="381">
        <f t="shared" si="1037"/>
        <v>33150</v>
      </c>
      <c r="AG492" s="381">
        <f t="shared" si="1037"/>
        <v>32199</v>
      </c>
      <c r="AH492" s="381">
        <f t="shared" si="1037"/>
        <v>61883.214027887276</v>
      </c>
      <c r="AI492" s="381">
        <f t="shared" si="1037"/>
        <v>65349</v>
      </c>
      <c r="AJ492" s="381">
        <f t="shared" si="1037"/>
        <v>127232.21402788725</v>
      </c>
      <c r="AL492" s="381">
        <f ca="1">SUM((INDIRECT(AL$2&amp;(ROW())):INDIRECT(AL$3&amp;(ROW()))))</f>
        <v>9764</v>
      </c>
      <c r="AM492" s="381">
        <f ca="1">SUM(INDIRECT(AM$1&amp;AM$2&amp;$C492):INDIRECT(AM$1&amp;AM$3&amp;$C492))</f>
        <v>0</v>
      </c>
      <c r="AN492" s="896">
        <f t="shared" ca="1" si="1013"/>
        <v>9764</v>
      </c>
      <c r="AO492" s="957">
        <f t="shared" ca="1" si="1014"/>
        <v>0</v>
      </c>
      <c r="AP492" s="381">
        <f ca="1">SUM(INDIRECT(AP$1&amp;AP$2&amp;$A492):INDIRECT(AP$1&amp;AP$3&amp;$A492))</f>
        <v>6026</v>
      </c>
      <c r="AQ492" s="896">
        <f t="shared" ca="1" si="1015"/>
        <v>3738</v>
      </c>
      <c r="AR492" s="957">
        <f t="shared" ca="1" si="1016"/>
        <v>1.6203119814138731</v>
      </c>
      <c r="AT492" s="381">
        <f ca="1">SUM((INDIRECT(AT$2&amp;(ROW())):INDIRECT(AT$3&amp;(ROW()))))</f>
        <v>32199</v>
      </c>
      <c r="AU492" s="381">
        <f ca="1">SUM(INDIRECT(AU$1&amp;AU$2&amp;$C492):INDIRECT(AU$1&amp;AU$3&amp;$C492))</f>
        <v>0</v>
      </c>
      <c r="AV492" s="896">
        <f t="shared" ca="1" si="1017"/>
        <v>32199</v>
      </c>
      <c r="AW492" s="957">
        <f t="shared" ca="1" si="1018"/>
        <v>0</v>
      </c>
      <c r="AX492" s="381">
        <f ca="1">SUM(INDIRECT(AX$1&amp;AX$2&amp;$A492):INDIRECT(AX$1&amp;AX$3&amp;$A492))</f>
        <v>24863</v>
      </c>
      <c r="AY492" s="896">
        <f t="shared" ca="1" si="1019"/>
        <v>7336</v>
      </c>
      <c r="AZ492" s="957">
        <f t="shared" ca="1" si="1020"/>
        <v>1.2950569118770865</v>
      </c>
      <c r="BB492" s="381">
        <f ca="1">SUM((INDIRECT(BB$2&amp;(ROW())):INDIRECT(BB$3&amp;(ROW()))))</f>
        <v>127232.21402788727</v>
      </c>
      <c r="BC492" s="381">
        <f ca="1">SUM(INDIRECT(BC$1&amp;BC$2&amp;$C492):INDIRECT(BC$1&amp;BC$3&amp;$C492))</f>
        <v>0</v>
      </c>
      <c r="BD492" s="896">
        <f t="shared" ca="1" si="1021"/>
        <v>127232.21402788727</v>
      </c>
      <c r="BE492" s="957">
        <f t="shared" ca="1" si="1022"/>
        <v>0</v>
      </c>
      <c r="BF492" s="381">
        <f ca="1">SUM(INDIRECT(BF$1&amp;BF$2&amp;$A492):INDIRECT(BF$1&amp;BF$3&amp;$A492))</f>
        <v>93522</v>
      </c>
      <c r="BG492" s="896">
        <f t="shared" ca="1" si="1023"/>
        <v>33710.214027887268</v>
      </c>
      <c r="BH492" s="957">
        <f t="shared" ca="1" si="1024"/>
        <v>1.3604522361357463</v>
      </c>
    </row>
    <row r="493" spans="1:60" ht="14.5">
      <c r="A493" s="990">
        <f t="shared" si="991"/>
        <v>444</v>
      </c>
      <c r="B493" s="990">
        <v>1</v>
      </c>
      <c r="C493" s="990">
        <f t="shared" si="946"/>
        <v>490</v>
      </c>
      <c r="E493" s="1243">
        <v>1</v>
      </c>
      <c r="I493" s="106"/>
      <c r="J493" s="105"/>
      <c r="K493" s="74"/>
      <c r="L493" s="74"/>
      <c r="N493" s="111" t="s">
        <v>214</v>
      </c>
      <c r="O493" s="111"/>
      <c r="P493" s="111"/>
      <c r="Q493" s="1843" t="str">
        <f>CHOOSE(2, "6722000003412", "S/GP (1)-1 Gross Profit Direct NH KMI")</f>
        <v>S/GP (1)-1 Gross Profit Direct NH KMI</v>
      </c>
      <c r="R493" s="109">
        <f>R494+R497</f>
        <v>18348</v>
      </c>
      <c r="S493" s="109">
        <f t="shared" ref="S493:AC493" si="1038">S494+S497</f>
        <v>18418</v>
      </c>
      <c r="T493" s="109">
        <f t="shared" si="1038"/>
        <v>18321</v>
      </c>
      <c r="U493" s="109">
        <f t="shared" si="1038"/>
        <v>16494</v>
      </c>
      <c r="V493" s="109">
        <f t="shared" si="1038"/>
        <v>19791.801501411399</v>
      </c>
      <c r="W493" s="109">
        <f t="shared" si="1038"/>
        <v>16601</v>
      </c>
      <c r="X493" s="109">
        <f t="shared" si="1038"/>
        <v>18648</v>
      </c>
      <c r="Y493" s="109">
        <f t="shared" si="1038"/>
        <v>22296</v>
      </c>
      <c r="Z493" s="109">
        <f t="shared" si="1038"/>
        <v>18964</v>
      </c>
      <c r="AA493" s="109">
        <f t="shared" si="1038"/>
        <v>19424</v>
      </c>
      <c r="AB493" s="109">
        <f t="shared" si="1038"/>
        <v>19061</v>
      </c>
      <c r="AC493" s="109">
        <f t="shared" si="1038"/>
        <v>18604</v>
      </c>
      <c r="AD493" s="1537">
        <f>AD494+AD497</f>
        <v>55087</v>
      </c>
      <c r="AE493" s="108">
        <f t="shared" ref="AE493:AJ493" si="1039">AE494+AE497</f>
        <v>52886.801501411399</v>
      </c>
      <c r="AF493" s="108">
        <f t="shared" si="1039"/>
        <v>59908</v>
      </c>
      <c r="AG493" s="108">
        <f t="shared" si="1039"/>
        <v>57089</v>
      </c>
      <c r="AH493" s="108">
        <f t="shared" si="1039"/>
        <v>107973.80150141141</v>
      </c>
      <c r="AI493" s="108">
        <f t="shared" si="1039"/>
        <v>116997</v>
      </c>
      <c r="AJ493" s="108">
        <f t="shared" si="1039"/>
        <v>224970.80150141139</v>
      </c>
      <c r="AL493" s="108">
        <f ca="1">SUM((INDIRECT(AL$2&amp;(ROW())):INDIRECT(AL$3&amp;(ROW()))))</f>
        <v>18604</v>
      </c>
      <c r="AM493" s="108">
        <f ca="1">SUM(INDIRECT(AM$1&amp;AM$2&amp;$C493):INDIRECT(AM$1&amp;AM$3&amp;$C493))</f>
        <v>0</v>
      </c>
      <c r="AN493" s="893">
        <f t="shared" ca="1" si="1013"/>
        <v>18604</v>
      </c>
      <c r="AO493" s="954">
        <f t="shared" ca="1" si="1014"/>
        <v>0</v>
      </c>
      <c r="AP493" s="108">
        <f ca="1">SUM(INDIRECT(AP$1&amp;AP$2&amp;$A493):INDIRECT(AP$1&amp;AP$3&amp;$A493))</f>
        <v>16751</v>
      </c>
      <c r="AQ493" s="893">
        <f t="shared" ca="1" si="1015"/>
        <v>1853</v>
      </c>
      <c r="AR493" s="954">
        <f t="shared" ca="1" si="1016"/>
        <v>1.1106202614769267</v>
      </c>
      <c r="AT493" s="108">
        <f ca="1">SUM((INDIRECT(AT$2&amp;(ROW())):INDIRECT(AT$3&amp;(ROW()))))</f>
        <v>57089</v>
      </c>
      <c r="AU493" s="108">
        <f ca="1">SUM(INDIRECT(AU$1&amp;AU$2&amp;$C493):INDIRECT(AU$1&amp;AU$3&amp;$C493))</f>
        <v>0</v>
      </c>
      <c r="AV493" s="893">
        <f t="shared" ca="1" si="1017"/>
        <v>57089</v>
      </c>
      <c r="AW493" s="954">
        <f t="shared" ca="1" si="1018"/>
        <v>0</v>
      </c>
      <c r="AX493" s="108">
        <f ca="1">SUM(INDIRECT(AX$1&amp;AX$2&amp;$A493):INDIRECT(AX$1&amp;AX$3&amp;$A493))</f>
        <v>49229</v>
      </c>
      <c r="AY493" s="893">
        <f t="shared" ca="1" si="1019"/>
        <v>7860</v>
      </c>
      <c r="AZ493" s="954">
        <f t="shared" ca="1" si="1020"/>
        <v>1.1596619878526884</v>
      </c>
      <c r="BB493" s="108">
        <f ca="1">SUM((INDIRECT(BB$2&amp;(ROW())):INDIRECT(BB$3&amp;(ROW()))))</f>
        <v>224970.80150141139</v>
      </c>
      <c r="BC493" s="108">
        <f ca="1">SUM(INDIRECT(BC$1&amp;BC$2&amp;$C493):INDIRECT(BC$1&amp;BC$3&amp;$C493))</f>
        <v>0</v>
      </c>
      <c r="BD493" s="893">
        <f t="shared" ca="1" si="1021"/>
        <v>224970.80150141139</v>
      </c>
      <c r="BE493" s="954">
        <f t="shared" ca="1" si="1022"/>
        <v>0</v>
      </c>
      <c r="BF493" s="108">
        <f ca="1">SUM(INDIRECT(BF$1&amp;BF$2&amp;$A493):INDIRECT(BF$1&amp;BF$3&amp;$A493))</f>
        <v>174822</v>
      </c>
      <c r="BG493" s="893">
        <f t="shared" ca="1" si="1023"/>
        <v>50148.801501411392</v>
      </c>
      <c r="BH493" s="954">
        <f t="shared" ca="1" si="1024"/>
        <v>1.28685635389946</v>
      </c>
    </row>
    <row r="494" spans="1:60" ht="14.5">
      <c r="A494" s="990">
        <f t="shared" si="991"/>
        <v>445</v>
      </c>
      <c r="B494" s="990">
        <v>1</v>
      </c>
      <c r="C494" s="990">
        <f t="shared" si="946"/>
        <v>491</v>
      </c>
      <c r="E494" s="1243">
        <v>1</v>
      </c>
      <c r="I494" s="106"/>
      <c r="J494" s="105"/>
      <c r="K494" s="74"/>
      <c r="L494" s="74"/>
      <c r="O494" s="111" t="s">
        <v>215</v>
      </c>
      <c r="P494" s="1500"/>
      <c r="Q494" s="1843" t="str">
        <f>CHOOSE(2, "6722000003413", "S/GP (1)-1 Gross Profit Direct NH KMI Office A3")</f>
        <v>S/GP (1)-1 Gross Profit Direct NH KMI Office A3</v>
      </c>
      <c r="R494" s="64">
        <f>SUM(R495:R496)</f>
        <v>18056</v>
      </c>
      <c r="S494" s="64">
        <f t="shared" ref="S494:AC494" si="1040">SUM(S495:S496)</f>
        <v>17989</v>
      </c>
      <c r="T494" s="64">
        <f t="shared" si="1040"/>
        <v>17485</v>
      </c>
      <c r="U494" s="64">
        <f t="shared" si="1040"/>
        <v>16179</v>
      </c>
      <c r="V494" s="64">
        <f t="shared" si="1040"/>
        <v>19468.321401411398</v>
      </c>
      <c r="W494" s="64">
        <f t="shared" si="1040"/>
        <v>16601</v>
      </c>
      <c r="X494" s="64">
        <f t="shared" si="1040"/>
        <v>18460</v>
      </c>
      <c r="Y494" s="64">
        <f t="shared" si="1040"/>
        <v>21938</v>
      </c>
      <c r="Z494" s="64">
        <f t="shared" si="1040"/>
        <v>18375</v>
      </c>
      <c r="AA494" s="64">
        <f t="shared" si="1040"/>
        <v>19424</v>
      </c>
      <c r="AB494" s="64">
        <f t="shared" si="1040"/>
        <v>18616</v>
      </c>
      <c r="AC494" s="64">
        <f t="shared" si="1040"/>
        <v>18294</v>
      </c>
      <c r="AD494" s="1540">
        <f>SUM(AD495:AD496)</f>
        <v>53530</v>
      </c>
      <c r="AE494" s="385">
        <f t="shared" ref="AE494:AJ494" si="1041">SUM(AE495:AE496)</f>
        <v>52248.321401411398</v>
      </c>
      <c r="AF494" s="385">
        <f t="shared" si="1041"/>
        <v>58773</v>
      </c>
      <c r="AG494" s="385">
        <f t="shared" si="1041"/>
        <v>56334</v>
      </c>
      <c r="AH494" s="385">
        <f t="shared" si="1041"/>
        <v>105778.32140141141</v>
      </c>
      <c r="AI494" s="385">
        <f t="shared" si="1041"/>
        <v>115107</v>
      </c>
      <c r="AJ494" s="385">
        <f t="shared" si="1041"/>
        <v>220885.32140141141</v>
      </c>
      <c r="AL494" s="385">
        <f ca="1">SUM((INDIRECT(AL$2&amp;(ROW())):INDIRECT(AL$3&amp;(ROW()))))</f>
        <v>18294</v>
      </c>
      <c r="AM494" s="385">
        <f ca="1">SUM(INDIRECT(AM$1&amp;AM$2&amp;$C494):INDIRECT(AM$1&amp;AM$3&amp;$C494))</f>
        <v>0</v>
      </c>
      <c r="AN494" s="897">
        <f t="shared" ca="1" si="1013"/>
        <v>18294</v>
      </c>
      <c r="AO494" s="958">
        <f t="shared" ca="1" si="1014"/>
        <v>0</v>
      </c>
      <c r="AP494" s="385">
        <f ca="1">SUM(INDIRECT(AP$1&amp;AP$2&amp;$A494):INDIRECT(AP$1&amp;AP$3&amp;$A494))</f>
        <v>16627</v>
      </c>
      <c r="AQ494" s="897">
        <f t="shared" ca="1" si="1015"/>
        <v>1667</v>
      </c>
      <c r="AR494" s="958">
        <f t="shared" ca="1" si="1016"/>
        <v>1.1002586155049017</v>
      </c>
      <c r="AT494" s="385">
        <f ca="1">SUM((INDIRECT(AT$2&amp;(ROW())):INDIRECT(AT$3&amp;(ROW()))))</f>
        <v>56334</v>
      </c>
      <c r="AU494" s="385">
        <f ca="1">SUM(INDIRECT(AU$1&amp;AU$2&amp;$C494):INDIRECT(AU$1&amp;AU$3&amp;$C494))</f>
        <v>0</v>
      </c>
      <c r="AV494" s="897">
        <f t="shared" ca="1" si="1017"/>
        <v>56334</v>
      </c>
      <c r="AW494" s="958">
        <f t="shared" ca="1" si="1018"/>
        <v>0</v>
      </c>
      <c r="AX494" s="385">
        <f ca="1">SUM(INDIRECT(AX$1&amp;AX$2&amp;$A494):INDIRECT(AX$1&amp;AX$3&amp;$A494))</f>
        <v>48495</v>
      </c>
      <c r="AY494" s="897">
        <f t="shared" ca="1" si="1019"/>
        <v>7839</v>
      </c>
      <c r="AZ494" s="958">
        <f t="shared" ca="1" si="1020"/>
        <v>1.1616455304670585</v>
      </c>
      <c r="BB494" s="385">
        <f ca="1">SUM((INDIRECT(BB$2&amp;(ROW())):INDIRECT(BB$3&amp;(ROW()))))</f>
        <v>220885.32140141141</v>
      </c>
      <c r="BC494" s="385">
        <f ca="1">SUM(INDIRECT(BC$1&amp;BC$2&amp;$C494):INDIRECT(BC$1&amp;BC$3&amp;$C494))</f>
        <v>0</v>
      </c>
      <c r="BD494" s="897">
        <f t="shared" ca="1" si="1021"/>
        <v>220885.32140141141</v>
      </c>
      <c r="BE494" s="958">
        <f t="shared" ca="1" si="1022"/>
        <v>0</v>
      </c>
      <c r="BF494" s="385">
        <f ca="1">SUM(INDIRECT(BF$1&amp;BF$2&amp;$A494):INDIRECT(BF$1&amp;BF$3&amp;$A494))</f>
        <v>171681</v>
      </c>
      <c r="BG494" s="897">
        <f t="shared" ca="1" si="1023"/>
        <v>49204.321401411406</v>
      </c>
      <c r="BH494" s="958">
        <f t="shared" ca="1" si="1024"/>
        <v>1.2866031849850095</v>
      </c>
    </row>
    <row r="495" spans="1:60" ht="14.5">
      <c r="A495" s="990">
        <f t="shared" si="991"/>
        <v>446</v>
      </c>
      <c r="B495" s="990">
        <v>1</v>
      </c>
      <c r="C495" s="990">
        <f t="shared" si="946"/>
        <v>492</v>
      </c>
      <c r="E495" s="1243">
        <v>1</v>
      </c>
      <c r="I495" s="106"/>
      <c r="J495" s="105"/>
      <c r="K495" s="74"/>
      <c r="L495" s="74"/>
      <c r="P495" s="9" t="s">
        <v>219</v>
      </c>
      <c r="Q495" s="1845" t="str">
        <f>CHOOSE(2, "6722000003414", "S/GP (1)-1 Gross Profit Direct NH KMI Office A3 Copy Click")</f>
        <v>S/GP (1)-1 Gross Profit Direct NH KMI Office A3 Copy Click</v>
      </c>
      <c r="R495" s="2036">
        <f>10509+7547</f>
        <v>18056</v>
      </c>
      <c r="S495" s="2036">
        <f>10167+7822</f>
        <v>17989</v>
      </c>
      <c r="T495" s="2036">
        <f>9552+7933</f>
        <v>17485</v>
      </c>
      <c r="U495" s="2036">
        <f>8437+7742</f>
        <v>16179</v>
      </c>
      <c r="V495" s="2036">
        <f>11961.3214014114+7507</f>
        <v>19468.321401411398</v>
      </c>
      <c r="W495" s="2036">
        <f>9060+7541</f>
        <v>16601</v>
      </c>
      <c r="X495" s="2036">
        <f>6772+11688</f>
        <v>18460</v>
      </c>
      <c r="Y495" s="2036">
        <f>14593+7345</f>
        <v>21938</v>
      </c>
      <c r="Z495" s="2036">
        <f>10650+7725</f>
        <v>18375</v>
      </c>
      <c r="AA495" s="2036">
        <f>11516+7908</f>
        <v>19424</v>
      </c>
      <c r="AB495" s="2036">
        <f>10474+8142</f>
        <v>18616</v>
      </c>
      <c r="AC495" s="2036">
        <f>9454+8840</f>
        <v>18294</v>
      </c>
      <c r="AD495" s="1380">
        <f>SUM(R495,S495,T495)</f>
        <v>53530</v>
      </c>
      <c r="AE495" s="107">
        <f t="shared" ref="AE495:AE496" si="1042">SUM(U495,V495,W495)</f>
        <v>52248.321401411398</v>
      </c>
      <c r="AF495" s="107">
        <f t="shared" ref="AF495:AF496" si="1043">SUM(X495,Y495,Z495)</f>
        <v>58773</v>
      </c>
      <c r="AG495" s="107">
        <f t="shared" ref="AG495:AG496" si="1044">SUM(AA495,AB495,AC495)</f>
        <v>56334</v>
      </c>
      <c r="AH495" s="107">
        <f>AD495+AE495</f>
        <v>105778.32140141141</v>
      </c>
      <c r="AI495" s="107">
        <f>AG495+AF495</f>
        <v>115107</v>
      </c>
      <c r="AJ495" s="107">
        <f>AH495+AI495</f>
        <v>220885.32140141141</v>
      </c>
      <c r="AL495" s="107">
        <f ca="1">SUM((INDIRECT(AL$2&amp;(ROW())):INDIRECT(AL$3&amp;(ROW()))))</f>
        <v>18294</v>
      </c>
      <c r="AM495" s="107">
        <f ca="1">SUM(INDIRECT(AM$1&amp;AM$2&amp;$C495):INDIRECT(AM$1&amp;AM$3&amp;$C495))</f>
        <v>0</v>
      </c>
      <c r="AN495" s="898">
        <f t="shared" ca="1" si="1013"/>
        <v>18294</v>
      </c>
      <c r="AO495" s="959">
        <f t="shared" ca="1" si="1014"/>
        <v>0</v>
      </c>
      <c r="AP495" s="107">
        <f ca="1">SUM(INDIRECT(AP$1&amp;AP$2&amp;$A495):INDIRECT(AP$1&amp;AP$3&amp;$A495))</f>
        <v>16627</v>
      </c>
      <c r="AQ495" s="898">
        <f t="shared" ca="1" si="1015"/>
        <v>1667</v>
      </c>
      <c r="AR495" s="959">
        <f t="shared" ca="1" si="1016"/>
        <v>1.1002586155049017</v>
      </c>
      <c r="AT495" s="107">
        <f ca="1">SUM((INDIRECT(AT$2&amp;(ROW())):INDIRECT(AT$3&amp;(ROW()))))</f>
        <v>56334</v>
      </c>
      <c r="AU495" s="107">
        <f ca="1">SUM(INDIRECT(AU$1&amp;AU$2&amp;$C495):INDIRECT(AU$1&amp;AU$3&amp;$C495))</f>
        <v>0</v>
      </c>
      <c r="AV495" s="898">
        <f t="shared" ca="1" si="1017"/>
        <v>56334</v>
      </c>
      <c r="AW495" s="959">
        <f t="shared" ca="1" si="1018"/>
        <v>0</v>
      </c>
      <c r="AX495" s="107">
        <f ca="1">SUM(INDIRECT(AX$1&amp;AX$2&amp;$A495):INDIRECT(AX$1&amp;AX$3&amp;$A495))</f>
        <v>48495</v>
      </c>
      <c r="AY495" s="898">
        <f t="shared" ca="1" si="1019"/>
        <v>7839</v>
      </c>
      <c r="AZ495" s="959">
        <f t="shared" ca="1" si="1020"/>
        <v>1.1616455304670585</v>
      </c>
      <c r="BB495" s="107">
        <f ca="1">SUM((INDIRECT(BB$2&amp;(ROW())):INDIRECT(BB$3&amp;(ROW()))))</f>
        <v>220885.32140141141</v>
      </c>
      <c r="BC495" s="107">
        <f ca="1">SUM(INDIRECT(BC$1&amp;BC$2&amp;$C495):INDIRECT(BC$1&amp;BC$3&amp;$C495))</f>
        <v>0</v>
      </c>
      <c r="BD495" s="898">
        <f t="shared" ca="1" si="1021"/>
        <v>220885.32140141141</v>
      </c>
      <c r="BE495" s="959">
        <f t="shared" ca="1" si="1022"/>
        <v>0</v>
      </c>
      <c r="BF495" s="107">
        <f ca="1">SUM(INDIRECT(BF$1&amp;BF$2&amp;$A495):INDIRECT(BF$1&amp;BF$3&amp;$A495))</f>
        <v>171681</v>
      </c>
      <c r="BG495" s="898">
        <f t="shared" ca="1" si="1023"/>
        <v>49204.321401411406</v>
      </c>
      <c r="BH495" s="959">
        <f t="shared" ca="1" si="1024"/>
        <v>1.2866031849850095</v>
      </c>
    </row>
    <row r="496" spans="1:60" ht="14.5">
      <c r="A496" s="990">
        <f t="shared" si="991"/>
        <v>447</v>
      </c>
      <c r="B496" s="990">
        <v>1</v>
      </c>
      <c r="C496" s="990">
        <f t="shared" si="946"/>
        <v>493</v>
      </c>
      <c r="E496" s="1243">
        <v>1</v>
      </c>
      <c r="I496" s="106"/>
      <c r="J496" s="105"/>
      <c r="K496" s="74"/>
      <c r="L496" s="74"/>
      <c r="P496" s="9" t="s">
        <v>220</v>
      </c>
      <c r="Q496" s="1845" t="str">
        <f>CHOOSE(2, "6722000003415", "S/GP (1)-1 Gross Profit Direct NH KMI Office A3 NonContract")</f>
        <v>S/GP (1)-1 Gross Profit Direct NH KMI Office A3 NonContract</v>
      </c>
      <c r="R496" s="2036">
        <v>0</v>
      </c>
      <c r="S496" s="2036">
        <v>0</v>
      </c>
      <c r="T496" s="2036">
        <v>0</v>
      </c>
      <c r="U496" s="2036">
        <v>0</v>
      </c>
      <c r="V496" s="2036">
        <v>0</v>
      </c>
      <c r="W496" s="2036">
        <v>0</v>
      </c>
      <c r="X496" s="2036">
        <v>0</v>
      </c>
      <c r="Y496" s="2036">
        <v>0</v>
      </c>
      <c r="Z496" s="2036">
        <v>0</v>
      </c>
      <c r="AA496" s="2036">
        <v>0</v>
      </c>
      <c r="AB496" s="2036">
        <v>0</v>
      </c>
      <c r="AC496" s="2036">
        <v>0</v>
      </c>
      <c r="AD496" s="1380">
        <f>SUM(R496,S496,T496)</f>
        <v>0</v>
      </c>
      <c r="AE496" s="107">
        <f t="shared" si="1042"/>
        <v>0</v>
      </c>
      <c r="AF496" s="107">
        <f t="shared" si="1043"/>
        <v>0</v>
      </c>
      <c r="AG496" s="107">
        <f t="shared" si="1044"/>
        <v>0</v>
      </c>
      <c r="AH496" s="107">
        <f>AD496+AE496</f>
        <v>0</v>
      </c>
      <c r="AI496" s="107">
        <f>AG496+AF496</f>
        <v>0</v>
      </c>
      <c r="AJ496" s="107">
        <f>AH496+AI496</f>
        <v>0</v>
      </c>
      <c r="AL496" s="107">
        <f ca="1">SUM((INDIRECT(AL$2&amp;(ROW())):INDIRECT(AL$3&amp;(ROW()))))</f>
        <v>0</v>
      </c>
      <c r="AM496" s="107">
        <f ca="1">SUM(INDIRECT(AM$1&amp;AM$2&amp;$C496):INDIRECT(AM$1&amp;AM$3&amp;$C496))</f>
        <v>0</v>
      </c>
      <c r="AN496" s="898">
        <f t="shared" ca="1" si="1013"/>
        <v>0</v>
      </c>
      <c r="AO496" s="959">
        <f t="shared" ca="1" si="1014"/>
        <v>0</v>
      </c>
      <c r="AP496" s="107">
        <f ca="1">SUM(INDIRECT(AP$1&amp;AP$2&amp;$A496):INDIRECT(AP$1&amp;AP$3&amp;$A496))</f>
        <v>0</v>
      </c>
      <c r="AQ496" s="898">
        <f t="shared" ca="1" si="1015"/>
        <v>0</v>
      </c>
      <c r="AR496" s="959">
        <f t="shared" ca="1" si="1016"/>
        <v>0</v>
      </c>
      <c r="AT496" s="107">
        <f ca="1">SUM((INDIRECT(AT$2&amp;(ROW())):INDIRECT(AT$3&amp;(ROW()))))</f>
        <v>0</v>
      </c>
      <c r="AU496" s="107">
        <f ca="1">SUM(INDIRECT(AU$1&amp;AU$2&amp;$C496):INDIRECT(AU$1&amp;AU$3&amp;$C496))</f>
        <v>0</v>
      </c>
      <c r="AV496" s="898">
        <f t="shared" ca="1" si="1017"/>
        <v>0</v>
      </c>
      <c r="AW496" s="959">
        <f t="shared" ca="1" si="1018"/>
        <v>0</v>
      </c>
      <c r="AX496" s="107">
        <f ca="1">SUM(INDIRECT(AX$1&amp;AX$2&amp;$A496):INDIRECT(AX$1&amp;AX$3&amp;$A496))</f>
        <v>0</v>
      </c>
      <c r="AY496" s="898">
        <f t="shared" ca="1" si="1019"/>
        <v>0</v>
      </c>
      <c r="AZ496" s="959">
        <f t="shared" ca="1" si="1020"/>
        <v>0</v>
      </c>
      <c r="BB496" s="107">
        <f ca="1">SUM((INDIRECT(BB$2&amp;(ROW())):INDIRECT(BB$3&amp;(ROW()))))</f>
        <v>0</v>
      </c>
      <c r="BC496" s="107">
        <f ca="1">SUM(INDIRECT(BC$1&amp;BC$2&amp;$C496):INDIRECT(BC$1&amp;BC$3&amp;$C496))</f>
        <v>0</v>
      </c>
      <c r="BD496" s="898">
        <f t="shared" ca="1" si="1021"/>
        <v>0</v>
      </c>
      <c r="BE496" s="959">
        <f t="shared" ca="1" si="1022"/>
        <v>0</v>
      </c>
      <c r="BF496" s="107">
        <f ca="1">SUM(INDIRECT(BF$1&amp;BF$2&amp;$A496):INDIRECT(BF$1&amp;BF$3&amp;$A496))</f>
        <v>0</v>
      </c>
      <c r="BG496" s="898">
        <f t="shared" ca="1" si="1023"/>
        <v>0</v>
      </c>
      <c r="BH496" s="959">
        <f t="shared" ca="1" si="1024"/>
        <v>0</v>
      </c>
    </row>
    <row r="497" spans="1:60" ht="14.5">
      <c r="A497" s="990">
        <f t="shared" si="991"/>
        <v>448</v>
      </c>
      <c r="B497" s="990">
        <v>1</v>
      </c>
      <c r="C497" s="990">
        <f t="shared" si="946"/>
        <v>494</v>
      </c>
      <c r="E497" s="1243">
        <v>1</v>
      </c>
      <c r="I497" s="106"/>
      <c r="J497" s="105"/>
      <c r="K497" s="74"/>
      <c r="L497" s="74"/>
      <c r="O497" s="111" t="s">
        <v>216</v>
      </c>
      <c r="P497" s="1500"/>
      <c r="Q497" s="1843" t="str">
        <f>CHOOSE(2, "6722000003416", "S/GP (1)-1 Gross Profit Direct NH KMI Office A4")</f>
        <v>S/GP (1)-1 Gross Profit Direct NH KMI Office A4</v>
      </c>
      <c r="R497" s="64">
        <f>SUM(R498:R499)</f>
        <v>292</v>
      </c>
      <c r="S497" s="64">
        <f t="shared" ref="S497:AC497" si="1045">SUM(S498:S499)</f>
        <v>429</v>
      </c>
      <c r="T497" s="64">
        <f t="shared" si="1045"/>
        <v>836</v>
      </c>
      <c r="U497" s="64">
        <f t="shared" si="1045"/>
        <v>315</v>
      </c>
      <c r="V497" s="64">
        <f t="shared" si="1045"/>
        <v>323.48009999999999</v>
      </c>
      <c r="W497" s="64">
        <f t="shared" si="1045"/>
        <v>0</v>
      </c>
      <c r="X497" s="64">
        <f t="shared" si="1045"/>
        <v>188</v>
      </c>
      <c r="Y497" s="64">
        <f t="shared" si="1045"/>
        <v>358</v>
      </c>
      <c r="Z497" s="64">
        <f t="shared" si="1045"/>
        <v>589</v>
      </c>
      <c r="AA497" s="64">
        <f t="shared" si="1045"/>
        <v>0</v>
      </c>
      <c r="AB497" s="64">
        <f t="shared" si="1045"/>
        <v>445</v>
      </c>
      <c r="AC497" s="64">
        <f t="shared" si="1045"/>
        <v>310</v>
      </c>
      <c r="AD497" s="1540">
        <f>SUM(AD498:AD499)</f>
        <v>1557</v>
      </c>
      <c r="AE497" s="385">
        <f t="shared" ref="AE497:AJ497" si="1046">SUM(AE498:AE499)</f>
        <v>638.48009999999999</v>
      </c>
      <c r="AF497" s="385">
        <f t="shared" si="1046"/>
        <v>1135</v>
      </c>
      <c r="AG497" s="385">
        <f t="shared" si="1046"/>
        <v>755</v>
      </c>
      <c r="AH497" s="385">
        <f t="shared" si="1046"/>
        <v>2195.4800999999998</v>
      </c>
      <c r="AI497" s="385">
        <f t="shared" si="1046"/>
        <v>1890</v>
      </c>
      <c r="AJ497" s="385">
        <f t="shared" si="1046"/>
        <v>4085.4800999999998</v>
      </c>
      <c r="AL497" s="385">
        <f ca="1">SUM((INDIRECT(AL$2&amp;(ROW())):INDIRECT(AL$3&amp;(ROW()))))</f>
        <v>310</v>
      </c>
      <c r="AM497" s="385">
        <f ca="1">SUM(INDIRECT(AM$1&amp;AM$2&amp;$C497):INDIRECT(AM$1&amp;AM$3&amp;$C497))</f>
        <v>0</v>
      </c>
      <c r="AN497" s="897">
        <f t="shared" ca="1" si="1013"/>
        <v>310</v>
      </c>
      <c r="AO497" s="958">
        <f t="shared" ca="1" si="1014"/>
        <v>0</v>
      </c>
      <c r="AP497" s="385">
        <f ca="1">SUM(INDIRECT(AP$1&amp;AP$2&amp;$A497):INDIRECT(AP$1&amp;AP$3&amp;$A497))</f>
        <v>124</v>
      </c>
      <c r="AQ497" s="897">
        <f t="shared" ca="1" si="1015"/>
        <v>186</v>
      </c>
      <c r="AR497" s="958">
        <f t="shared" ca="1" si="1016"/>
        <v>2.5</v>
      </c>
      <c r="AT497" s="385">
        <f ca="1">SUM((INDIRECT(AT$2&amp;(ROW())):INDIRECT(AT$3&amp;(ROW()))))</f>
        <v>755</v>
      </c>
      <c r="AU497" s="385">
        <f ca="1">SUM(INDIRECT(AU$1&amp;AU$2&amp;$C497):INDIRECT(AU$1&amp;AU$3&amp;$C497))</f>
        <v>0</v>
      </c>
      <c r="AV497" s="897">
        <f t="shared" ca="1" si="1017"/>
        <v>755</v>
      </c>
      <c r="AW497" s="958">
        <f t="shared" ca="1" si="1018"/>
        <v>0</v>
      </c>
      <c r="AX497" s="385">
        <f ca="1">SUM(INDIRECT(AX$1&amp;AX$2&amp;$A497):INDIRECT(AX$1&amp;AX$3&amp;$A497))</f>
        <v>734</v>
      </c>
      <c r="AY497" s="897">
        <f t="shared" ca="1" si="1019"/>
        <v>21</v>
      </c>
      <c r="AZ497" s="958">
        <f t="shared" ca="1" si="1020"/>
        <v>1.0286103542234333</v>
      </c>
      <c r="BB497" s="385">
        <f ca="1">SUM((INDIRECT(BB$2&amp;(ROW())):INDIRECT(BB$3&amp;(ROW()))))</f>
        <v>4085.4800999999998</v>
      </c>
      <c r="BC497" s="385">
        <f ca="1">SUM(INDIRECT(BC$1&amp;BC$2&amp;$C497):INDIRECT(BC$1&amp;BC$3&amp;$C497))</f>
        <v>0</v>
      </c>
      <c r="BD497" s="897">
        <f t="shared" ca="1" si="1021"/>
        <v>4085.4800999999998</v>
      </c>
      <c r="BE497" s="958">
        <f t="shared" ca="1" si="1022"/>
        <v>0</v>
      </c>
      <c r="BF497" s="385">
        <f ca="1">SUM(INDIRECT(BF$1&amp;BF$2&amp;$A497):INDIRECT(BF$1&amp;BF$3&amp;$A497))</f>
        <v>3141</v>
      </c>
      <c r="BG497" s="897">
        <f t="shared" ca="1" si="1023"/>
        <v>944.48009999999977</v>
      </c>
      <c r="BH497" s="958">
        <f t="shared" ca="1" si="1024"/>
        <v>1.3006940783190066</v>
      </c>
    </row>
    <row r="498" spans="1:60" ht="14.5">
      <c r="A498" s="990">
        <f t="shared" si="991"/>
        <v>449</v>
      </c>
      <c r="B498" s="990">
        <v>1</v>
      </c>
      <c r="C498" s="990">
        <f t="shared" si="946"/>
        <v>495</v>
      </c>
      <c r="E498" s="1243">
        <v>1</v>
      </c>
      <c r="I498" s="106"/>
      <c r="J498" s="105"/>
      <c r="K498" s="74"/>
      <c r="L498" s="74"/>
      <c r="P498" s="9" t="s">
        <v>219</v>
      </c>
      <c r="Q498" s="1845" t="str">
        <f>CHOOSE(2, "6722000003417", "S/GP (1)-1 Gross Profit Direct NH KMI Office A4 Copy Click")</f>
        <v>S/GP (1)-1 Gross Profit Direct NH KMI Office A4 Copy Click</v>
      </c>
      <c r="R498" s="2036">
        <v>292</v>
      </c>
      <c r="S498" s="2036">
        <v>429</v>
      </c>
      <c r="T498" s="2036">
        <v>836</v>
      </c>
      <c r="U498" s="2036">
        <v>315</v>
      </c>
      <c r="V498" s="2036">
        <v>323.48009999999999</v>
      </c>
      <c r="W498" s="2036">
        <v>0</v>
      </c>
      <c r="X498" s="2036">
        <v>188</v>
      </c>
      <c r="Y498" s="2036">
        <v>358</v>
      </c>
      <c r="Z498" s="2036">
        <v>589</v>
      </c>
      <c r="AA498" s="2036">
        <v>0</v>
      </c>
      <c r="AB498" s="2036">
        <v>445</v>
      </c>
      <c r="AC498" s="2036">
        <v>310</v>
      </c>
      <c r="AD498" s="1380">
        <f>SUM(R498,S498,T498)</f>
        <v>1557</v>
      </c>
      <c r="AE498" s="107">
        <f t="shared" ref="AE498:AE500" si="1047">SUM(U498,V498,W498)</f>
        <v>638.48009999999999</v>
      </c>
      <c r="AF498" s="107">
        <f t="shared" ref="AF498:AF500" si="1048">SUM(X498,Y498,Z498)</f>
        <v>1135</v>
      </c>
      <c r="AG498" s="107">
        <f t="shared" ref="AG498:AG500" si="1049">SUM(AA498,AB498,AC498)</f>
        <v>755</v>
      </c>
      <c r="AH498" s="107">
        <f>AD498+AE498</f>
        <v>2195.4800999999998</v>
      </c>
      <c r="AI498" s="107">
        <f>AG498+AF498</f>
        <v>1890</v>
      </c>
      <c r="AJ498" s="107">
        <f>AH498+AI498</f>
        <v>4085.4800999999998</v>
      </c>
      <c r="AL498" s="107">
        <f ca="1">SUM((INDIRECT(AL$2&amp;(ROW())):INDIRECT(AL$3&amp;(ROW()))))</f>
        <v>310</v>
      </c>
      <c r="AM498" s="107">
        <f ca="1">SUM(INDIRECT(AM$1&amp;AM$2&amp;$C498):INDIRECT(AM$1&amp;AM$3&amp;$C498))</f>
        <v>0</v>
      </c>
      <c r="AN498" s="898">
        <f t="shared" ca="1" si="1013"/>
        <v>310</v>
      </c>
      <c r="AO498" s="959">
        <f t="shared" ca="1" si="1014"/>
        <v>0</v>
      </c>
      <c r="AP498" s="107">
        <f ca="1">SUM(INDIRECT(AP$1&amp;AP$2&amp;$A498):INDIRECT(AP$1&amp;AP$3&amp;$A498))</f>
        <v>124</v>
      </c>
      <c r="AQ498" s="898">
        <f t="shared" ca="1" si="1015"/>
        <v>186</v>
      </c>
      <c r="AR498" s="959">
        <f t="shared" ca="1" si="1016"/>
        <v>2.5</v>
      </c>
      <c r="AT498" s="107">
        <f ca="1">SUM((INDIRECT(AT$2&amp;(ROW())):INDIRECT(AT$3&amp;(ROW()))))</f>
        <v>755</v>
      </c>
      <c r="AU498" s="107">
        <f ca="1">SUM(INDIRECT(AU$1&amp;AU$2&amp;$C498):INDIRECT(AU$1&amp;AU$3&amp;$C498))</f>
        <v>0</v>
      </c>
      <c r="AV498" s="898">
        <f t="shared" ca="1" si="1017"/>
        <v>755</v>
      </c>
      <c r="AW498" s="959">
        <f t="shared" ca="1" si="1018"/>
        <v>0</v>
      </c>
      <c r="AX498" s="107">
        <f ca="1">SUM(INDIRECT(AX$1&amp;AX$2&amp;$A498):INDIRECT(AX$1&amp;AX$3&amp;$A498))</f>
        <v>734</v>
      </c>
      <c r="AY498" s="898">
        <f t="shared" ca="1" si="1019"/>
        <v>21</v>
      </c>
      <c r="AZ498" s="959">
        <f t="shared" ca="1" si="1020"/>
        <v>1.0286103542234333</v>
      </c>
      <c r="BB498" s="107">
        <f ca="1">SUM((INDIRECT(BB$2&amp;(ROW())):INDIRECT(BB$3&amp;(ROW()))))</f>
        <v>4085.4800999999998</v>
      </c>
      <c r="BC498" s="107">
        <f ca="1">SUM(INDIRECT(BC$1&amp;BC$2&amp;$C498):INDIRECT(BC$1&amp;BC$3&amp;$C498))</f>
        <v>0</v>
      </c>
      <c r="BD498" s="898">
        <f t="shared" ca="1" si="1021"/>
        <v>4085.4800999999998</v>
      </c>
      <c r="BE498" s="959">
        <f t="shared" ca="1" si="1022"/>
        <v>0</v>
      </c>
      <c r="BF498" s="107">
        <f ca="1">SUM(INDIRECT(BF$1&amp;BF$2&amp;$A498):INDIRECT(BF$1&amp;BF$3&amp;$A498))</f>
        <v>3141</v>
      </c>
      <c r="BG498" s="898">
        <f t="shared" ca="1" si="1023"/>
        <v>944.48009999999977</v>
      </c>
      <c r="BH498" s="959">
        <f t="shared" ca="1" si="1024"/>
        <v>1.3006940783190066</v>
      </c>
    </row>
    <row r="499" spans="1:60" ht="14.5">
      <c r="A499" s="990">
        <f t="shared" si="991"/>
        <v>450</v>
      </c>
      <c r="B499" s="990">
        <v>1</v>
      </c>
      <c r="C499" s="990">
        <f t="shared" si="946"/>
        <v>496</v>
      </c>
      <c r="E499" s="1243">
        <v>1</v>
      </c>
      <c r="I499" s="106"/>
      <c r="J499" s="105"/>
      <c r="K499" s="74"/>
      <c r="L499" s="74"/>
      <c r="N499" s="363"/>
      <c r="O499" s="363"/>
      <c r="P499" s="363" t="s">
        <v>220</v>
      </c>
      <c r="Q499" s="1845" t="str">
        <f>CHOOSE(2, "6722000003418", "S/GP (1)-1 Gross Profit Direct NH KMI Office A4 NonContract")</f>
        <v>S/GP (1)-1 Gross Profit Direct NH KMI Office A4 NonContract</v>
      </c>
      <c r="R499" s="2052">
        <v>0</v>
      </c>
      <c r="S499" s="2052">
        <v>0</v>
      </c>
      <c r="T499" s="2052">
        <v>0</v>
      </c>
      <c r="U499" s="2052">
        <v>0</v>
      </c>
      <c r="V499" s="2052">
        <v>0</v>
      </c>
      <c r="W499" s="2052">
        <v>0</v>
      </c>
      <c r="X499" s="2052">
        <v>0</v>
      </c>
      <c r="Y499" s="2052">
        <v>0</v>
      </c>
      <c r="Z499" s="2052">
        <v>0</v>
      </c>
      <c r="AA499" s="2052">
        <v>0</v>
      </c>
      <c r="AB499" s="2052">
        <v>0</v>
      </c>
      <c r="AC499" s="2052">
        <v>0</v>
      </c>
      <c r="AD499" s="1536">
        <f>SUM(R499,S499,T499)</f>
        <v>0</v>
      </c>
      <c r="AE499" s="378">
        <f t="shared" si="1047"/>
        <v>0</v>
      </c>
      <c r="AF499" s="378">
        <f t="shared" si="1048"/>
        <v>0</v>
      </c>
      <c r="AG499" s="378">
        <f t="shared" si="1049"/>
        <v>0</v>
      </c>
      <c r="AH499" s="378">
        <f>AD499+AE499</f>
        <v>0</v>
      </c>
      <c r="AI499" s="378">
        <f>AG499+AF499</f>
        <v>0</v>
      </c>
      <c r="AJ499" s="378">
        <f>AH499+AI499</f>
        <v>0</v>
      </c>
      <c r="AL499" s="378">
        <f ca="1">SUM((INDIRECT(AL$2&amp;(ROW())):INDIRECT(AL$3&amp;(ROW()))))</f>
        <v>0</v>
      </c>
      <c r="AM499" s="378">
        <f ca="1">SUM(INDIRECT(AM$1&amp;AM$2&amp;$C499):INDIRECT(AM$1&amp;AM$3&amp;$C499))</f>
        <v>0</v>
      </c>
      <c r="AN499" s="894">
        <f t="shared" ca="1" si="1013"/>
        <v>0</v>
      </c>
      <c r="AO499" s="955">
        <f t="shared" ca="1" si="1014"/>
        <v>0</v>
      </c>
      <c r="AP499" s="378">
        <f ca="1">SUM(INDIRECT(AP$1&amp;AP$2&amp;$A499):INDIRECT(AP$1&amp;AP$3&amp;$A499))</f>
        <v>0</v>
      </c>
      <c r="AQ499" s="894">
        <f t="shared" ca="1" si="1015"/>
        <v>0</v>
      </c>
      <c r="AR499" s="955">
        <f t="shared" ca="1" si="1016"/>
        <v>0</v>
      </c>
      <c r="AT499" s="378">
        <f ca="1">SUM((INDIRECT(AT$2&amp;(ROW())):INDIRECT(AT$3&amp;(ROW()))))</f>
        <v>0</v>
      </c>
      <c r="AU499" s="378">
        <f ca="1">SUM(INDIRECT(AU$1&amp;AU$2&amp;$C499):INDIRECT(AU$1&amp;AU$3&amp;$C499))</f>
        <v>0</v>
      </c>
      <c r="AV499" s="894">
        <f t="shared" ca="1" si="1017"/>
        <v>0</v>
      </c>
      <c r="AW499" s="955">
        <f t="shared" ca="1" si="1018"/>
        <v>0</v>
      </c>
      <c r="AX499" s="378">
        <f ca="1">SUM(INDIRECT(AX$1&amp;AX$2&amp;$A499):INDIRECT(AX$1&amp;AX$3&amp;$A499))</f>
        <v>0</v>
      </c>
      <c r="AY499" s="894">
        <f t="shared" ca="1" si="1019"/>
        <v>0</v>
      </c>
      <c r="AZ499" s="955">
        <f t="shared" ca="1" si="1020"/>
        <v>0</v>
      </c>
      <c r="BB499" s="378">
        <f ca="1">SUM((INDIRECT(BB$2&amp;(ROW())):INDIRECT(BB$3&amp;(ROW()))))</f>
        <v>0</v>
      </c>
      <c r="BC499" s="378">
        <f ca="1">SUM(INDIRECT(BC$1&amp;BC$2&amp;$C499):INDIRECT(BC$1&amp;BC$3&amp;$C499))</f>
        <v>0</v>
      </c>
      <c r="BD499" s="894">
        <f t="shared" ca="1" si="1021"/>
        <v>0</v>
      </c>
      <c r="BE499" s="955">
        <f t="shared" ca="1" si="1022"/>
        <v>0</v>
      </c>
      <c r="BF499" s="378">
        <f ca="1">SUM(INDIRECT(BF$1&amp;BF$2&amp;$A499):INDIRECT(BF$1&amp;BF$3&amp;$A499))</f>
        <v>0</v>
      </c>
      <c r="BG499" s="894">
        <f t="shared" ca="1" si="1023"/>
        <v>0</v>
      </c>
      <c r="BH499" s="955">
        <f t="shared" ca="1" si="1024"/>
        <v>0</v>
      </c>
    </row>
    <row r="500" spans="1:60" ht="14.5" collapsed="1">
      <c r="A500" s="990">
        <f t="shared" si="991"/>
        <v>451</v>
      </c>
      <c r="B500" s="990">
        <v>1</v>
      </c>
      <c r="C500" s="990">
        <f t="shared" si="946"/>
        <v>497</v>
      </c>
      <c r="E500" s="1243">
        <v>1</v>
      </c>
      <c r="I500" s="106"/>
      <c r="J500" s="105"/>
      <c r="K500" s="74"/>
      <c r="L500" s="74"/>
      <c r="N500" s="366" t="s">
        <v>217</v>
      </c>
      <c r="O500" s="366"/>
      <c r="P500" s="366"/>
      <c r="Q500" s="1845" t="str">
        <f>CHOOSE(2, "6722000003419", "S/GP (1)-1 Gross Profit Direct NH 3rd Party")</f>
        <v>S/GP (1)-1 Gross Profit Direct NH 3rd Party</v>
      </c>
      <c r="R500" s="2053">
        <v>0</v>
      </c>
      <c r="S500" s="2053">
        <v>0</v>
      </c>
      <c r="T500" s="2053">
        <v>0</v>
      </c>
      <c r="U500" s="2053">
        <v>0</v>
      </c>
      <c r="V500" s="2053">
        <v>0</v>
      </c>
      <c r="W500" s="2053">
        <v>0</v>
      </c>
      <c r="X500" s="2053">
        <v>0</v>
      </c>
      <c r="Y500" s="2053">
        <v>0</v>
      </c>
      <c r="Z500" s="2053">
        <v>0</v>
      </c>
      <c r="AA500" s="2053">
        <v>0</v>
      </c>
      <c r="AB500" s="2053">
        <v>0</v>
      </c>
      <c r="AC500" s="2053">
        <v>0</v>
      </c>
      <c r="AD500" s="1538">
        <f>SUM(R500,S500,T500)</f>
        <v>0</v>
      </c>
      <c r="AE500" s="379">
        <f t="shared" si="1047"/>
        <v>0</v>
      </c>
      <c r="AF500" s="379">
        <f t="shared" si="1048"/>
        <v>0</v>
      </c>
      <c r="AG500" s="379">
        <f t="shared" si="1049"/>
        <v>0</v>
      </c>
      <c r="AH500" s="379">
        <f>AD500+AE500</f>
        <v>0</v>
      </c>
      <c r="AI500" s="379">
        <f>AG500+AF500</f>
        <v>0</v>
      </c>
      <c r="AJ500" s="379">
        <f>AH500+AI500</f>
        <v>0</v>
      </c>
      <c r="AL500" s="379">
        <f ca="1">SUM((INDIRECT(AL$2&amp;(ROW())):INDIRECT(AL$3&amp;(ROW()))))</f>
        <v>0</v>
      </c>
      <c r="AM500" s="379">
        <f ca="1">SUM(INDIRECT(AM$1&amp;AM$2&amp;$C500):INDIRECT(AM$1&amp;AM$3&amp;$C500))</f>
        <v>0</v>
      </c>
      <c r="AN500" s="895">
        <f t="shared" ca="1" si="1013"/>
        <v>0</v>
      </c>
      <c r="AO500" s="956">
        <f t="shared" ca="1" si="1014"/>
        <v>0</v>
      </c>
      <c r="AP500" s="379">
        <f ca="1">SUM(INDIRECT(AP$1&amp;AP$2&amp;$A500):INDIRECT(AP$1&amp;AP$3&amp;$A500))</f>
        <v>0</v>
      </c>
      <c r="AQ500" s="895">
        <f t="shared" ca="1" si="1015"/>
        <v>0</v>
      </c>
      <c r="AR500" s="956">
        <f t="shared" ca="1" si="1016"/>
        <v>0</v>
      </c>
      <c r="AT500" s="379">
        <f ca="1">SUM((INDIRECT(AT$2&amp;(ROW())):INDIRECT(AT$3&amp;(ROW()))))</f>
        <v>0</v>
      </c>
      <c r="AU500" s="379">
        <f ca="1">SUM(INDIRECT(AU$1&amp;AU$2&amp;$C500):INDIRECT(AU$1&amp;AU$3&amp;$C500))</f>
        <v>0</v>
      </c>
      <c r="AV500" s="895">
        <f t="shared" ca="1" si="1017"/>
        <v>0</v>
      </c>
      <c r="AW500" s="956">
        <f t="shared" ca="1" si="1018"/>
        <v>0</v>
      </c>
      <c r="AX500" s="379">
        <f ca="1">SUM(INDIRECT(AX$1&amp;AX$2&amp;$A500):INDIRECT(AX$1&amp;AX$3&amp;$A500))</f>
        <v>0</v>
      </c>
      <c r="AY500" s="895">
        <f t="shared" ca="1" si="1019"/>
        <v>0</v>
      </c>
      <c r="AZ500" s="956">
        <f t="shared" ca="1" si="1020"/>
        <v>0</v>
      </c>
      <c r="BB500" s="379">
        <f ca="1">SUM((INDIRECT(BB$2&amp;(ROW())):INDIRECT(BB$3&amp;(ROW()))))</f>
        <v>0</v>
      </c>
      <c r="BC500" s="379">
        <f ca="1">SUM(INDIRECT(BC$1&amp;BC$2&amp;$C500):INDIRECT(BC$1&amp;BC$3&amp;$C500))</f>
        <v>0</v>
      </c>
      <c r="BD500" s="895">
        <f t="shared" ca="1" si="1021"/>
        <v>0</v>
      </c>
      <c r="BE500" s="956">
        <f t="shared" ca="1" si="1022"/>
        <v>0</v>
      </c>
      <c r="BF500" s="379">
        <f ca="1">SUM(INDIRECT(BF$1&amp;BF$2&amp;$A500):INDIRECT(BF$1&amp;BF$3&amp;$A500))</f>
        <v>0</v>
      </c>
      <c r="BG500" s="895">
        <f t="shared" ca="1" si="1023"/>
        <v>0</v>
      </c>
      <c r="BH500" s="956">
        <f t="shared" ca="1" si="1024"/>
        <v>0</v>
      </c>
    </row>
    <row r="501" spans="1:60" ht="14.5">
      <c r="A501" s="990">
        <f t="shared" si="991"/>
        <v>452</v>
      </c>
      <c r="B501" s="990">
        <v>1</v>
      </c>
      <c r="C501" s="990">
        <f t="shared" si="946"/>
        <v>498</v>
      </c>
      <c r="E501" s="1243">
        <v>1</v>
      </c>
      <c r="I501" s="106"/>
      <c r="J501" s="105"/>
      <c r="K501" s="74"/>
      <c r="L501" s="74"/>
      <c r="N501" s="383" t="s">
        <v>469</v>
      </c>
      <c r="O501" s="383"/>
      <c r="P501" s="383"/>
      <c r="Q501" s="1843" t="str">
        <f>CHOOSE(2, "6722000003420", "S/GP (1)-1 Gross Profit Direct NH &lt;Direct&gt;FSC(-)")</f>
        <v>S/GP (1)-1 Gross Profit Direct NH &lt;Direct&gt;FSC(-)</v>
      </c>
      <c r="R501" s="365">
        <f>SUM(R502:R504)</f>
        <v>-7512</v>
      </c>
      <c r="S501" s="365">
        <f t="shared" ref="S501:AC501" si="1050">SUM(S502:S504)</f>
        <v>-7786</v>
      </c>
      <c r="T501" s="365">
        <f t="shared" si="1050"/>
        <v>-7914</v>
      </c>
      <c r="U501" s="365">
        <f t="shared" si="1050"/>
        <v>-7712</v>
      </c>
      <c r="V501" s="365">
        <f t="shared" si="1050"/>
        <v>-7474.6154735241298</v>
      </c>
      <c r="W501" s="365">
        <f t="shared" si="1050"/>
        <v>-7509</v>
      </c>
      <c r="X501" s="365">
        <f t="shared" si="1050"/>
        <v>-11656</v>
      </c>
      <c r="Y501" s="365">
        <f t="shared" si="1050"/>
        <v>-7319</v>
      </c>
      <c r="Z501" s="365">
        <f t="shared" si="1050"/>
        <v>-7693</v>
      </c>
      <c r="AA501" s="365">
        <f t="shared" si="1050"/>
        <v>-7876</v>
      </c>
      <c r="AB501" s="365">
        <f t="shared" si="1050"/>
        <v>-8110</v>
      </c>
      <c r="AC501" s="365">
        <f t="shared" si="1050"/>
        <v>-8798</v>
      </c>
      <c r="AD501" s="1536">
        <f t="shared" ref="AD501:AJ501" si="1051">SUM(AD502:AD504)</f>
        <v>-23212</v>
      </c>
      <c r="AE501" s="378">
        <f t="shared" si="1051"/>
        <v>-22695.615473524129</v>
      </c>
      <c r="AF501" s="378">
        <f t="shared" si="1051"/>
        <v>-26668</v>
      </c>
      <c r="AG501" s="378">
        <f t="shared" si="1051"/>
        <v>-24784</v>
      </c>
      <c r="AH501" s="378">
        <f t="shared" si="1051"/>
        <v>-45907.615473524129</v>
      </c>
      <c r="AI501" s="378">
        <f t="shared" si="1051"/>
        <v>-51452</v>
      </c>
      <c r="AJ501" s="378">
        <f t="shared" si="1051"/>
        <v>-97359.615473524143</v>
      </c>
      <c r="AL501" s="378">
        <f ca="1">SUM((INDIRECT(AL$2&amp;(ROW())):INDIRECT(AL$3&amp;(ROW()))))</f>
        <v>-8798</v>
      </c>
      <c r="AM501" s="378">
        <f ca="1">SUM(INDIRECT(AM$1&amp;AM$2&amp;$C501):INDIRECT(AM$1&amp;AM$3&amp;$C501))</f>
        <v>0</v>
      </c>
      <c r="AN501" s="894">
        <f t="shared" ca="1" si="1013"/>
        <v>-8798</v>
      </c>
      <c r="AO501" s="955">
        <f t="shared" ca="1" si="1014"/>
        <v>0</v>
      </c>
      <c r="AP501" s="378">
        <f ca="1">SUM(INDIRECT(AP$1&amp;AP$2&amp;$A501):INDIRECT(AP$1&amp;AP$3&amp;$A501))</f>
        <v>-10718</v>
      </c>
      <c r="AQ501" s="894">
        <f t="shared" ca="1" si="1015"/>
        <v>1920</v>
      </c>
      <c r="AR501" s="955">
        <f t="shared" ca="1" si="1016"/>
        <v>0.82086210113827207</v>
      </c>
      <c r="AT501" s="378">
        <f ca="1">SUM((INDIRECT(AT$2&amp;(ROW())):INDIRECT(AT$3&amp;(ROW()))))</f>
        <v>-24784</v>
      </c>
      <c r="AU501" s="378">
        <f ca="1">SUM(INDIRECT(AU$1&amp;AU$2&amp;$C501):INDIRECT(AU$1&amp;AU$3&amp;$C501))</f>
        <v>0</v>
      </c>
      <c r="AV501" s="894">
        <f t="shared" ca="1" si="1017"/>
        <v>-24784</v>
      </c>
      <c r="AW501" s="955">
        <f t="shared" ca="1" si="1018"/>
        <v>0</v>
      </c>
      <c r="AX501" s="378">
        <f ca="1">SUM(INDIRECT(AX$1&amp;AX$2&amp;$A501):INDIRECT(AX$1&amp;AX$3&amp;$A501))</f>
        <v>-24296</v>
      </c>
      <c r="AY501" s="894">
        <f t="shared" ca="1" si="1019"/>
        <v>-488</v>
      </c>
      <c r="AZ501" s="955">
        <f t="shared" ca="1" si="1020"/>
        <v>1.0200856108001317</v>
      </c>
      <c r="BB501" s="378">
        <f ca="1">SUM((INDIRECT(BB$2&amp;(ROW())):INDIRECT(BB$3&amp;(ROW()))))</f>
        <v>-97359.615473524129</v>
      </c>
      <c r="BC501" s="378">
        <f ca="1">SUM(INDIRECT(BC$1&amp;BC$2&amp;$C501):INDIRECT(BC$1&amp;BC$3&amp;$C501))</f>
        <v>0</v>
      </c>
      <c r="BD501" s="894">
        <f t="shared" ca="1" si="1021"/>
        <v>-97359.615473524129</v>
      </c>
      <c r="BE501" s="955">
        <f t="shared" ca="1" si="1022"/>
        <v>0</v>
      </c>
      <c r="BF501" s="378">
        <f ca="1">SUM(INDIRECT(BF$1&amp;BF$2&amp;$A501):INDIRECT(BF$1&amp;BF$3&amp;$A501))</f>
        <v>-80923</v>
      </c>
      <c r="BG501" s="894">
        <f t="shared" ca="1" si="1023"/>
        <v>-16436.615473524129</v>
      </c>
      <c r="BH501" s="955">
        <f t="shared" ca="1" si="1024"/>
        <v>1.2031142626141409</v>
      </c>
    </row>
    <row r="502" spans="1:60" ht="14.5">
      <c r="A502" s="990">
        <f t="shared" si="991"/>
        <v>453</v>
      </c>
      <c r="B502" s="990">
        <v>1</v>
      </c>
      <c r="C502" s="990">
        <f t="shared" si="946"/>
        <v>499</v>
      </c>
      <c r="E502" s="1243">
        <v>1</v>
      </c>
      <c r="I502" s="106"/>
      <c r="J502" s="105"/>
      <c r="K502" s="74"/>
      <c r="L502" s="74"/>
      <c r="N502" s="371"/>
      <c r="O502" s="371"/>
      <c r="P502" s="371" t="s">
        <v>420</v>
      </c>
      <c r="Q502" s="1845" t="str">
        <f>CHOOSE(2, "6722000003421", "S/GP (1)-1 Gross Profit Direct NH &lt;Direct&gt;FSC(-) PC")</f>
        <v>S/GP (1)-1 Gross Profit Direct NH &lt;Direct&gt;FSC(-) PC</v>
      </c>
      <c r="R502" s="2042">
        <v>-2466</v>
      </c>
      <c r="S502" s="2042">
        <v>-2763</v>
      </c>
      <c r="T502" s="2042">
        <v>-2495</v>
      </c>
      <c r="U502" s="2042">
        <v>-2713</v>
      </c>
      <c r="V502" s="2042">
        <v>-2375.5518235241302</v>
      </c>
      <c r="W502" s="2042">
        <v>-2341</v>
      </c>
      <c r="X502" s="2042">
        <v>-6039</v>
      </c>
      <c r="Y502" s="2042">
        <v>-2188</v>
      </c>
      <c r="Z502" s="2042">
        <v>-2234</v>
      </c>
      <c r="AA502" s="2042">
        <v>-2231</v>
      </c>
      <c r="AB502" s="2042">
        <v>-2247</v>
      </c>
      <c r="AC502" s="2042">
        <v>-1875</v>
      </c>
      <c r="AD502" s="1537">
        <f>SUM(R502,S502,T502)</f>
        <v>-7724</v>
      </c>
      <c r="AE502" s="108">
        <f t="shared" ref="AE502:AE504" si="1052">SUM(U502,V502,W502)</f>
        <v>-7429.5518235241307</v>
      </c>
      <c r="AF502" s="108">
        <f t="shared" ref="AF502:AF504" si="1053">SUM(X502,Y502,Z502)</f>
        <v>-10461</v>
      </c>
      <c r="AG502" s="108">
        <f t="shared" ref="AG502:AG504" si="1054">SUM(AA502,AB502,AC502)</f>
        <v>-6353</v>
      </c>
      <c r="AH502" s="108">
        <f>AD502+AE502</f>
        <v>-15153.551823524131</v>
      </c>
      <c r="AI502" s="108">
        <f>AG502+AF502</f>
        <v>-16814</v>
      </c>
      <c r="AJ502" s="108">
        <f>AH502+AI502</f>
        <v>-31967.551823524132</v>
      </c>
      <c r="AL502" s="108">
        <f ca="1">SUM((INDIRECT(AL$2&amp;(ROW())):INDIRECT(AL$3&amp;(ROW()))))</f>
        <v>-1875</v>
      </c>
      <c r="AM502" s="108">
        <f ca="1">SUM(INDIRECT(AM$1&amp;AM$2&amp;$C502):INDIRECT(AM$1&amp;AM$3&amp;$C502))</f>
        <v>0</v>
      </c>
      <c r="AN502" s="893">
        <f t="shared" ca="1" si="1013"/>
        <v>-1875</v>
      </c>
      <c r="AO502" s="954">
        <f t="shared" ca="1" si="1014"/>
        <v>0</v>
      </c>
      <c r="AP502" s="108">
        <f ca="1">SUM(INDIRECT(AP$1&amp;AP$2&amp;$A502):INDIRECT(AP$1&amp;AP$3&amp;$A502))</f>
        <v>-2288</v>
      </c>
      <c r="AQ502" s="893">
        <f t="shared" ca="1" si="1015"/>
        <v>413</v>
      </c>
      <c r="AR502" s="954">
        <f t="shared" ca="1" si="1016"/>
        <v>0.81949300699300698</v>
      </c>
      <c r="AT502" s="108">
        <f ca="1">SUM((INDIRECT(AT$2&amp;(ROW())):INDIRECT(AT$3&amp;(ROW()))))</f>
        <v>-6353</v>
      </c>
      <c r="AU502" s="108">
        <f ca="1">SUM(INDIRECT(AU$1&amp;AU$2&amp;$C502):INDIRECT(AU$1&amp;AU$3&amp;$C502))</f>
        <v>0</v>
      </c>
      <c r="AV502" s="893">
        <f t="shared" ca="1" si="1017"/>
        <v>-6353</v>
      </c>
      <c r="AW502" s="954">
        <f t="shared" ca="1" si="1018"/>
        <v>0</v>
      </c>
      <c r="AX502" s="108">
        <f ca="1">SUM(INDIRECT(AX$1&amp;AX$2&amp;$A502):INDIRECT(AX$1&amp;AX$3&amp;$A502))</f>
        <v>-6643</v>
      </c>
      <c r="AY502" s="893">
        <f t="shared" ca="1" si="1019"/>
        <v>290</v>
      </c>
      <c r="AZ502" s="954">
        <f t="shared" ca="1" si="1020"/>
        <v>0.95634502483817552</v>
      </c>
      <c r="BB502" s="108">
        <f ca="1">SUM((INDIRECT(BB$2&amp;(ROW())):INDIRECT(BB$3&amp;(ROW()))))</f>
        <v>-31967.551823524132</v>
      </c>
      <c r="BC502" s="108">
        <f ca="1">SUM(INDIRECT(BC$1&amp;BC$2&amp;$C502):INDIRECT(BC$1&amp;BC$3&amp;$C502))</f>
        <v>0</v>
      </c>
      <c r="BD502" s="893">
        <f t="shared" ca="1" si="1021"/>
        <v>-31967.551823524132</v>
      </c>
      <c r="BE502" s="954">
        <f t="shared" ca="1" si="1022"/>
        <v>0</v>
      </c>
      <c r="BF502" s="108">
        <f ca="1">SUM(INDIRECT(BF$1&amp;BF$2&amp;$A502):INDIRECT(BF$1&amp;BF$3&amp;$A502))</f>
        <v>-26903</v>
      </c>
      <c r="BG502" s="893">
        <f t="shared" ca="1" si="1023"/>
        <v>-5064.5518235241325</v>
      </c>
      <c r="BH502" s="954">
        <f t="shared" ca="1" si="1024"/>
        <v>1.1882523073086322</v>
      </c>
    </row>
    <row r="503" spans="1:60" ht="14.5">
      <c r="A503" s="990">
        <f t="shared" si="991"/>
        <v>454</v>
      </c>
      <c r="B503" s="990">
        <v>1</v>
      </c>
      <c r="C503" s="990">
        <f t="shared" si="946"/>
        <v>500</v>
      </c>
      <c r="E503" s="1243">
        <v>1</v>
      </c>
      <c r="F503" s="9"/>
      <c r="G503" s="9"/>
      <c r="I503" s="106"/>
      <c r="J503" s="105"/>
      <c r="K503" s="74"/>
      <c r="L503" s="74"/>
      <c r="N503" s="299"/>
      <c r="O503" s="299"/>
      <c r="P503" s="299" t="s">
        <v>421</v>
      </c>
      <c r="Q503" s="1845" t="str">
        <f>CHOOSE(2, "6722000003422", "S/GP (1)-1 Gross Profit Direct NH &lt;Direct&gt;FSC(-) TE")</f>
        <v>S/GP (1)-1 Gross Profit Direct NH &lt;Direct&gt;FSC(-) TE</v>
      </c>
      <c r="R503" s="2036">
        <v>0</v>
      </c>
      <c r="S503" s="2036">
        <v>-177</v>
      </c>
      <c r="T503" s="2036">
        <v>-335</v>
      </c>
      <c r="U503" s="2036">
        <v>-312</v>
      </c>
      <c r="V503" s="2036">
        <v>-299.49299999999999</v>
      </c>
      <c r="W503" s="2036">
        <v>-469</v>
      </c>
      <c r="X503" s="2036">
        <v>-487</v>
      </c>
      <c r="Y503" s="2036">
        <v>-256</v>
      </c>
      <c r="Z503" s="2036">
        <v>-349</v>
      </c>
      <c r="AA503" s="2036">
        <v>-389</v>
      </c>
      <c r="AB503" s="2036">
        <v>-512</v>
      </c>
      <c r="AC503" s="2036">
        <v>-910</v>
      </c>
      <c r="AD503" s="1380">
        <f>SUM(R503,S503,T503)</f>
        <v>-512</v>
      </c>
      <c r="AE503" s="107">
        <f t="shared" si="1052"/>
        <v>-1080.4929999999999</v>
      </c>
      <c r="AF503" s="107">
        <f t="shared" si="1053"/>
        <v>-1092</v>
      </c>
      <c r="AG503" s="107">
        <f t="shared" si="1054"/>
        <v>-1811</v>
      </c>
      <c r="AH503" s="107">
        <f>AD503+AE503</f>
        <v>-1592.4929999999999</v>
      </c>
      <c r="AI503" s="107">
        <f>AG503+AF503</f>
        <v>-2903</v>
      </c>
      <c r="AJ503" s="107">
        <f>AH503+AI503</f>
        <v>-4495.4930000000004</v>
      </c>
      <c r="AL503" s="107">
        <f ca="1">SUM((INDIRECT(AL$2&amp;(ROW())):INDIRECT(AL$3&amp;(ROW()))))</f>
        <v>-910</v>
      </c>
      <c r="AM503" s="107">
        <f ca="1">SUM(INDIRECT(AM$1&amp;AM$2&amp;$C503):INDIRECT(AM$1&amp;AM$3&amp;$C503))</f>
        <v>0</v>
      </c>
      <c r="AN503" s="898">
        <f t="shared" ca="1" si="1013"/>
        <v>-910</v>
      </c>
      <c r="AO503" s="959">
        <f t="shared" ca="1" si="1014"/>
        <v>0</v>
      </c>
      <c r="AP503" s="107">
        <f ca="1">SUM(INDIRECT(AP$1&amp;AP$2&amp;$A503):INDIRECT(AP$1&amp;AP$3&amp;$A503))</f>
        <v>-911</v>
      </c>
      <c r="AQ503" s="898">
        <f t="shared" ca="1" si="1015"/>
        <v>1</v>
      </c>
      <c r="AR503" s="959">
        <f t="shared" ca="1" si="1016"/>
        <v>0.99890230515916578</v>
      </c>
      <c r="AT503" s="107">
        <f ca="1">SUM((INDIRECT(AT$2&amp;(ROW())):INDIRECT(AT$3&amp;(ROW()))))</f>
        <v>-1811</v>
      </c>
      <c r="AU503" s="107">
        <f ca="1">SUM(INDIRECT(AU$1&amp;AU$2&amp;$C503):INDIRECT(AU$1&amp;AU$3&amp;$C503))</f>
        <v>0</v>
      </c>
      <c r="AV503" s="898">
        <f t="shared" ca="1" si="1017"/>
        <v>-1811</v>
      </c>
      <c r="AW503" s="959">
        <f t="shared" ca="1" si="1018"/>
        <v>0</v>
      </c>
      <c r="AX503" s="107">
        <f ca="1">SUM(INDIRECT(AX$1&amp;AX$2&amp;$A503):INDIRECT(AX$1&amp;AX$3&amp;$A503))</f>
        <v>-1504</v>
      </c>
      <c r="AY503" s="898">
        <f t="shared" ca="1" si="1019"/>
        <v>-307</v>
      </c>
      <c r="AZ503" s="959">
        <f t="shared" ca="1" si="1020"/>
        <v>1.2041223404255319</v>
      </c>
      <c r="BB503" s="107">
        <f ca="1">SUM((INDIRECT(BB$2&amp;(ROW())):INDIRECT(BB$3&amp;(ROW()))))</f>
        <v>-4495.4930000000004</v>
      </c>
      <c r="BC503" s="107">
        <f ca="1">SUM(INDIRECT(BC$1&amp;BC$2&amp;$C503):INDIRECT(BC$1&amp;BC$3&amp;$C503))</f>
        <v>0</v>
      </c>
      <c r="BD503" s="898">
        <f t="shared" ca="1" si="1021"/>
        <v>-4495.4930000000004</v>
      </c>
      <c r="BE503" s="959">
        <f t="shared" ca="1" si="1022"/>
        <v>0</v>
      </c>
      <c r="BF503" s="107">
        <f ca="1">SUM(INDIRECT(BF$1&amp;BF$2&amp;$A503):INDIRECT(BF$1&amp;BF$3&amp;$A503))</f>
        <v>-3100</v>
      </c>
      <c r="BG503" s="898">
        <f t="shared" ca="1" si="1023"/>
        <v>-1395.4930000000004</v>
      </c>
      <c r="BH503" s="959">
        <f t="shared" ca="1" si="1024"/>
        <v>1.4501590322580646</v>
      </c>
    </row>
    <row r="504" spans="1:60" ht="14.5">
      <c r="A504" s="990">
        <f t="shared" si="991"/>
        <v>455</v>
      </c>
      <c r="B504" s="990">
        <v>1</v>
      </c>
      <c r="C504" s="990">
        <f t="shared" si="946"/>
        <v>501</v>
      </c>
      <c r="E504" s="1243">
        <v>1</v>
      </c>
      <c r="I504" s="106"/>
      <c r="J504" s="105"/>
      <c r="K504" s="74"/>
      <c r="L504" s="74"/>
      <c r="N504" s="298"/>
      <c r="O504" s="298"/>
      <c r="P504" s="298" t="s">
        <v>422</v>
      </c>
      <c r="Q504" s="1845" t="str">
        <f>CHOOSE(2, "6722000003423", "S/GP (1)-1 Gross Profit Direct NH &lt;Direct&gt;FSC(-) OFC")</f>
        <v>S/GP (1)-1 Gross Profit Direct NH &lt;Direct&gt;FSC(-) OFC</v>
      </c>
      <c r="R504" s="2037">
        <v>-5046</v>
      </c>
      <c r="S504" s="2037">
        <v>-4846</v>
      </c>
      <c r="T504" s="2037">
        <v>-5084</v>
      </c>
      <c r="U504" s="2037">
        <v>-4687</v>
      </c>
      <c r="V504" s="2037">
        <v>-4799.5706499999997</v>
      </c>
      <c r="W504" s="2037">
        <v>-4699</v>
      </c>
      <c r="X504" s="2037">
        <v>-5130</v>
      </c>
      <c r="Y504" s="2037">
        <v>-4875</v>
      </c>
      <c r="Z504" s="2037">
        <v>-5110</v>
      </c>
      <c r="AA504" s="2037">
        <v>-5256</v>
      </c>
      <c r="AB504" s="2037">
        <v>-5351</v>
      </c>
      <c r="AC504" s="2037">
        <v>-6013</v>
      </c>
      <c r="AD504" s="1383">
        <f>SUM(R504,S504,T504)</f>
        <v>-14976</v>
      </c>
      <c r="AE504" s="113">
        <f t="shared" si="1052"/>
        <v>-14185.57065</v>
      </c>
      <c r="AF504" s="113">
        <f t="shared" si="1053"/>
        <v>-15115</v>
      </c>
      <c r="AG504" s="113">
        <f t="shared" si="1054"/>
        <v>-16620</v>
      </c>
      <c r="AH504" s="113">
        <f>AD504+AE504</f>
        <v>-29161.570650000001</v>
      </c>
      <c r="AI504" s="113">
        <f>AG504+AF504</f>
        <v>-31735</v>
      </c>
      <c r="AJ504" s="113">
        <f>AH504+AI504</f>
        <v>-60896.570650000001</v>
      </c>
      <c r="AL504" s="113">
        <f ca="1">SUM((INDIRECT(AL$2&amp;(ROW())):INDIRECT(AL$3&amp;(ROW()))))</f>
        <v>-6013</v>
      </c>
      <c r="AM504" s="113">
        <f ca="1">SUM(INDIRECT(AM$1&amp;AM$2&amp;$C504):INDIRECT(AM$1&amp;AM$3&amp;$C504))</f>
        <v>0</v>
      </c>
      <c r="AN504" s="899">
        <f t="shared" ca="1" si="1013"/>
        <v>-6013</v>
      </c>
      <c r="AO504" s="960">
        <f t="shared" ca="1" si="1014"/>
        <v>0</v>
      </c>
      <c r="AP504" s="113">
        <f ca="1">SUM(INDIRECT(AP$1&amp;AP$2&amp;$A504):INDIRECT(AP$1&amp;AP$3&amp;$A504))</f>
        <v>-7519</v>
      </c>
      <c r="AQ504" s="899">
        <f t="shared" ca="1" si="1015"/>
        <v>1506</v>
      </c>
      <c r="AR504" s="960">
        <f t="shared" ca="1" si="1016"/>
        <v>0.79970740789998673</v>
      </c>
      <c r="AT504" s="113">
        <f ca="1">SUM((INDIRECT(AT$2&amp;(ROW())):INDIRECT(AT$3&amp;(ROW()))))</f>
        <v>-16620</v>
      </c>
      <c r="AU504" s="113">
        <f ca="1">SUM(INDIRECT(AU$1&amp;AU$2&amp;$C504):INDIRECT(AU$1&amp;AU$3&amp;$C504))</f>
        <v>0</v>
      </c>
      <c r="AV504" s="899">
        <f t="shared" ca="1" si="1017"/>
        <v>-16620</v>
      </c>
      <c r="AW504" s="960">
        <f t="shared" ca="1" si="1018"/>
        <v>0</v>
      </c>
      <c r="AX504" s="113">
        <f ca="1">SUM(INDIRECT(AX$1&amp;AX$2&amp;$A504):INDIRECT(AX$1&amp;AX$3&amp;$A504))</f>
        <v>-16149</v>
      </c>
      <c r="AY504" s="899">
        <f t="shared" ca="1" si="1019"/>
        <v>-471</v>
      </c>
      <c r="AZ504" s="960">
        <f t="shared" ca="1" si="1020"/>
        <v>1.0291658926249303</v>
      </c>
      <c r="BB504" s="113">
        <f ca="1">SUM((INDIRECT(BB$2&amp;(ROW())):INDIRECT(BB$3&amp;(ROW()))))</f>
        <v>-60896.570650000001</v>
      </c>
      <c r="BC504" s="113">
        <f ca="1">SUM(INDIRECT(BC$1&amp;BC$2&amp;$C504):INDIRECT(BC$1&amp;BC$3&amp;$C504))</f>
        <v>0</v>
      </c>
      <c r="BD504" s="899">
        <f t="shared" ca="1" si="1021"/>
        <v>-60896.570650000001</v>
      </c>
      <c r="BE504" s="960">
        <f t="shared" ca="1" si="1022"/>
        <v>0</v>
      </c>
      <c r="BF504" s="113">
        <f ca="1">SUM(INDIRECT(BF$1&amp;BF$2&amp;$A504):INDIRECT(BF$1&amp;BF$3&amp;$A504))</f>
        <v>-50920</v>
      </c>
      <c r="BG504" s="899">
        <f t="shared" ca="1" si="1023"/>
        <v>-9976.5706500000015</v>
      </c>
      <c r="BH504" s="960">
        <f t="shared" ca="1" si="1024"/>
        <v>1.1959263678318932</v>
      </c>
    </row>
    <row r="505" spans="1:60" ht="14.5">
      <c r="A505" s="990">
        <f t="shared" si="991"/>
        <v>456</v>
      </c>
      <c r="B505" s="990">
        <v>1</v>
      </c>
      <c r="C505" s="990">
        <f t="shared" si="946"/>
        <v>502</v>
      </c>
      <c r="E505" s="1243">
        <v>1</v>
      </c>
      <c r="I505" s="106"/>
      <c r="J505" s="105"/>
      <c r="K505" s="74"/>
      <c r="L505" s="74"/>
      <c r="N505" s="370" t="s">
        <v>470</v>
      </c>
      <c r="O505" s="370"/>
      <c r="P505" s="370"/>
      <c r="Q505" s="1843" t="str">
        <f>CHOOSE(2, "6722000003424", "S/GP (1)-1 Gross Profit Direct NH &lt;Direct&gt;SDC(-)")</f>
        <v>S/GP (1)-1 Gross Profit Direct NH &lt;Direct&gt;SDC(-)</v>
      </c>
      <c r="R505" s="361">
        <f>SUM(R506:R507)</f>
        <v>-35</v>
      </c>
      <c r="S505" s="361">
        <f t="shared" ref="S505:AC505" si="1055">SUM(S506:S507)</f>
        <v>-35</v>
      </c>
      <c r="T505" s="361">
        <f t="shared" si="1055"/>
        <v>-19</v>
      </c>
      <c r="U505" s="361">
        <f t="shared" si="1055"/>
        <v>-30</v>
      </c>
      <c r="V505" s="361">
        <f t="shared" si="1055"/>
        <v>-31.972000000000001</v>
      </c>
      <c r="W505" s="361">
        <f t="shared" si="1055"/>
        <v>-32</v>
      </c>
      <c r="X505" s="361">
        <f t="shared" si="1055"/>
        <v>-32</v>
      </c>
      <c r="Y505" s="361">
        <f t="shared" si="1055"/>
        <v>-26</v>
      </c>
      <c r="Z505" s="361">
        <f t="shared" si="1055"/>
        <v>-32</v>
      </c>
      <c r="AA505" s="361">
        <f t="shared" si="1055"/>
        <v>-32</v>
      </c>
      <c r="AB505" s="361">
        <f t="shared" si="1055"/>
        <v>-32</v>
      </c>
      <c r="AC505" s="361">
        <f t="shared" si="1055"/>
        <v>-42</v>
      </c>
      <c r="AD505" s="1539">
        <f>SUM(AD506:AD507)</f>
        <v>-89</v>
      </c>
      <c r="AE505" s="381">
        <f t="shared" ref="AE505:AJ505" si="1056">SUM(AE506:AE507)</f>
        <v>-93.972000000000008</v>
      </c>
      <c r="AF505" s="381">
        <f>SUM(AF506:AF507)</f>
        <v>-90</v>
      </c>
      <c r="AG505" s="381">
        <f t="shared" si="1056"/>
        <v>-106</v>
      </c>
      <c r="AH505" s="381">
        <f t="shared" si="1056"/>
        <v>-182.97200000000001</v>
      </c>
      <c r="AI505" s="381">
        <f t="shared" si="1056"/>
        <v>-196</v>
      </c>
      <c r="AJ505" s="381">
        <f t="shared" si="1056"/>
        <v>-378.97199999999998</v>
      </c>
      <c r="AL505" s="381">
        <f ca="1">SUM((INDIRECT(AL$2&amp;(ROW())):INDIRECT(AL$3&amp;(ROW()))))</f>
        <v>-42</v>
      </c>
      <c r="AM505" s="381">
        <f ca="1">SUM(INDIRECT(AM$1&amp;AM$2&amp;$C505):INDIRECT(AM$1&amp;AM$3&amp;$C505))</f>
        <v>0</v>
      </c>
      <c r="AN505" s="896">
        <f t="shared" ca="1" si="1013"/>
        <v>-42</v>
      </c>
      <c r="AO505" s="957">
        <f t="shared" ca="1" si="1014"/>
        <v>0</v>
      </c>
      <c r="AP505" s="381">
        <f ca="1">SUM(INDIRECT(AP$1&amp;AP$2&amp;$A505):INDIRECT(AP$1&amp;AP$3&amp;$A505))</f>
        <v>-7</v>
      </c>
      <c r="AQ505" s="896">
        <f t="shared" ca="1" si="1015"/>
        <v>-35</v>
      </c>
      <c r="AR505" s="957">
        <f t="shared" ca="1" si="1016"/>
        <v>6</v>
      </c>
      <c r="AT505" s="381">
        <f ca="1">SUM((INDIRECT(AT$2&amp;(ROW())):INDIRECT(AT$3&amp;(ROW()))))</f>
        <v>-106</v>
      </c>
      <c r="AU505" s="381">
        <f ca="1">SUM(INDIRECT(AU$1&amp;AU$2&amp;$C505):INDIRECT(AU$1&amp;AU$3&amp;$C505))</f>
        <v>0</v>
      </c>
      <c r="AV505" s="896">
        <f t="shared" ca="1" si="1017"/>
        <v>-106</v>
      </c>
      <c r="AW505" s="957">
        <f t="shared" ca="1" si="1018"/>
        <v>0</v>
      </c>
      <c r="AX505" s="381">
        <f ca="1">SUM(INDIRECT(AX$1&amp;AX$2&amp;$A505):INDIRECT(AX$1&amp;AX$3&amp;$A505))</f>
        <v>-70</v>
      </c>
      <c r="AY505" s="896">
        <f t="shared" ca="1" si="1019"/>
        <v>-36</v>
      </c>
      <c r="AZ505" s="957">
        <f t="shared" ca="1" si="1020"/>
        <v>1.5142857142857142</v>
      </c>
      <c r="BB505" s="381">
        <f ca="1">SUM((INDIRECT(BB$2&amp;(ROW())):INDIRECT(BB$3&amp;(ROW()))))</f>
        <v>-378.97199999999998</v>
      </c>
      <c r="BC505" s="381">
        <f ca="1">SUM(INDIRECT(BC$1&amp;BC$2&amp;$C505):INDIRECT(BC$1&amp;BC$3&amp;$C505))</f>
        <v>0</v>
      </c>
      <c r="BD505" s="896">
        <f t="shared" ca="1" si="1021"/>
        <v>-378.97199999999998</v>
      </c>
      <c r="BE505" s="957">
        <f t="shared" ca="1" si="1022"/>
        <v>0</v>
      </c>
      <c r="BF505" s="381">
        <f ca="1">SUM(INDIRECT(BF$1&amp;BF$2&amp;$A505):INDIRECT(BF$1&amp;BF$3&amp;$A505))</f>
        <v>-377</v>
      </c>
      <c r="BG505" s="896">
        <f t="shared" ca="1" si="1023"/>
        <v>-1.97199999999998</v>
      </c>
      <c r="BH505" s="957">
        <f t="shared" ca="1" si="1024"/>
        <v>1.0052307692307692</v>
      </c>
    </row>
    <row r="506" spans="1:60" ht="14.5">
      <c r="A506" s="990">
        <f t="shared" si="991"/>
        <v>457</v>
      </c>
      <c r="B506" s="990">
        <v>1</v>
      </c>
      <c r="C506" s="990">
        <f t="shared" si="946"/>
        <v>503</v>
      </c>
      <c r="E506" s="1243">
        <v>1</v>
      </c>
      <c r="I506" s="106"/>
      <c r="J506" s="105"/>
      <c r="K506" s="74"/>
      <c r="L506" s="74"/>
      <c r="N506" s="371"/>
      <c r="O506" s="371"/>
      <c r="P506" s="371" t="s">
        <v>392</v>
      </c>
      <c r="Q506" s="1845" t="str">
        <f>CHOOSE(2, "6722000003425", "S/GP (1)-1 Gross Profit Direct NH &lt;Direct&gt;SDC(-) PC")</f>
        <v>S/GP (1)-1 Gross Profit Direct NH &lt;Direct&gt;SDC(-) PC</v>
      </c>
      <c r="R506" s="2042">
        <v>-35</v>
      </c>
      <c r="S506" s="2042">
        <v>-35</v>
      </c>
      <c r="T506" s="2042">
        <v>-19</v>
      </c>
      <c r="U506" s="2042">
        <v>-30</v>
      </c>
      <c r="V506" s="2042">
        <v>-31.972000000000001</v>
      </c>
      <c r="W506" s="2042">
        <v>-32</v>
      </c>
      <c r="X506" s="2042">
        <v>-32</v>
      </c>
      <c r="Y506" s="2042">
        <v>-26</v>
      </c>
      <c r="Z506" s="2042">
        <v>-32</v>
      </c>
      <c r="AA506" s="2042">
        <v>-32</v>
      </c>
      <c r="AB506" s="2042">
        <v>-32</v>
      </c>
      <c r="AC506" s="2042">
        <v>-42</v>
      </c>
      <c r="AD506" s="1537">
        <f>SUM(R506,S506,T506)</f>
        <v>-89</v>
      </c>
      <c r="AE506" s="108">
        <f t="shared" ref="AE506:AE509" si="1057">SUM(U506,V506,W506)</f>
        <v>-93.972000000000008</v>
      </c>
      <c r="AF506" s="108">
        <f t="shared" ref="AF506:AF509" si="1058">SUM(X506,Y506,Z506)</f>
        <v>-90</v>
      </c>
      <c r="AG506" s="108">
        <f t="shared" ref="AG506:AG509" si="1059">SUM(AA506,AB506,AC506)</f>
        <v>-106</v>
      </c>
      <c r="AH506" s="108">
        <f>AD506+AE506</f>
        <v>-182.97200000000001</v>
      </c>
      <c r="AI506" s="108">
        <f>AG506+AF506</f>
        <v>-196</v>
      </c>
      <c r="AJ506" s="108">
        <f>AH506+AI506</f>
        <v>-378.97199999999998</v>
      </c>
      <c r="AL506" s="108">
        <f ca="1">SUM((INDIRECT(AL$2&amp;(ROW())):INDIRECT(AL$3&amp;(ROW()))))</f>
        <v>-42</v>
      </c>
      <c r="AM506" s="108">
        <f ca="1">SUM(INDIRECT(AM$1&amp;AM$2&amp;$C506):INDIRECT(AM$1&amp;AM$3&amp;$C506))</f>
        <v>0</v>
      </c>
      <c r="AN506" s="893">
        <f t="shared" ca="1" si="1013"/>
        <v>-42</v>
      </c>
      <c r="AO506" s="954">
        <f t="shared" ca="1" si="1014"/>
        <v>0</v>
      </c>
      <c r="AP506" s="108">
        <f ca="1">SUM(INDIRECT(AP$1&amp;AP$2&amp;$A506):INDIRECT(AP$1&amp;AP$3&amp;$A506))</f>
        <v>-7</v>
      </c>
      <c r="AQ506" s="893">
        <f t="shared" ca="1" si="1015"/>
        <v>-35</v>
      </c>
      <c r="AR506" s="954">
        <f t="shared" ca="1" si="1016"/>
        <v>6</v>
      </c>
      <c r="AT506" s="108">
        <f ca="1">SUM((INDIRECT(AT$2&amp;(ROW())):INDIRECT(AT$3&amp;(ROW()))))</f>
        <v>-106</v>
      </c>
      <c r="AU506" s="108">
        <f ca="1">SUM(INDIRECT(AU$1&amp;AU$2&amp;$C506):INDIRECT(AU$1&amp;AU$3&amp;$C506))</f>
        <v>0</v>
      </c>
      <c r="AV506" s="893">
        <f t="shared" ca="1" si="1017"/>
        <v>-106</v>
      </c>
      <c r="AW506" s="954">
        <f t="shared" ca="1" si="1018"/>
        <v>0</v>
      </c>
      <c r="AX506" s="108">
        <f ca="1">SUM(INDIRECT(AX$1&amp;AX$2&amp;$A506):INDIRECT(AX$1&amp;AX$3&amp;$A506))</f>
        <v>-70</v>
      </c>
      <c r="AY506" s="893">
        <f t="shared" ca="1" si="1019"/>
        <v>-36</v>
      </c>
      <c r="AZ506" s="954">
        <f t="shared" ca="1" si="1020"/>
        <v>1.5142857142857142</v>
      </c>
      <c r="BB506" s="108">
        <f ca="1">SUM((INDIRECT(BB$2&amp;(ROW())):INDIRECT(BB$3&amp;(ROW()))))</f>
        <v>-378.97199999999998</v>
      </c>
      <c r="BC506" s="108">
        <f ca="1">SUM(INDIRECT(BC$1&amp;BC$2&amp;$C506):INDIRECT(BC$1&amp;BC$3&amp;$C506))</f>
        <v>0</v>
      </c>
      <c r="BD506" s="893">
        <f t="shared" ca="1" si="1021"/>
        <v>-378.97199999999998</v>
      </c>
      <c r="BE506" s="954">
        <f t="shared" ca="1" si="1022"/>
        <v>0</v>
      </c>
      <c r="BF506" s="108">
        <f ca="1">SUM(INDIRECT(BF$1&amp;BF$2&amp;$A506):INDIRECT(BF$1&amp;BF$3&amp;$A506))</f>
        <v>-377</v>
      </c>
      <c r="BG506" s="893">
        <f t="shared" ca="1" si="1023"/>
        <v>-1.97199999999998</v>
      </c>
      <c r="BH506" s="954">
        <f t="shared" ca="1" si="1024"/>
        <v>1.0052307692307692</v>
      </c>
    </row>
    <row r="507" spans="1:60" ht="14.5">
      <c r="A507" s="990">
        <f t="shared" si="991"/>
        <v>458</v>
      </c>
      <c r="B507" s="990">
        <v>1</v>
      </c>
      <c r="C507" s="990">
        <f t="shared" si="946"/>
        <v>504</v>
      </c>
      <c r="E507" s="1243">
        <v>1</v>
      </c>
      <c r="I507" s="106"/>
      <c r="J507" s="105"/>
      <c r="K507" s="74"/>
      <c r="L507" s="74"/>
      <c r="N507" s="298"/>
      <c r="O507" s="298"/>
      <c r="P507" s="298" t="s">
        <v>393</v>
      </c>
      <c r="Q507" s="1845" t="str">
        <f>CHOOSE(2, "6722000003426", "S/GP (1)-1 Gross Profit Direct NH &lt;Direct&gt;SDC(-) OFC")</f>
        <v>S/GP (1)-1 Gross Profit Direct NH &lt;Direct&gt;SDC(-) OFC</v>
      </c>
      <c r="R507" s="2037">
        <v>0</v>
      </c>
      <c r="S507" s="2037">
        <v>0</v>
      </c>
      <c r="T507" s="2037">
        <v>0</v>
      </c>
      <c r="U507" s="2037">
        <v>0</v>
      </c>
      <c r="V507" s="2037">
        <v>0</v>
      </c>
      <c r="W507" s="2037">
        <v>0</v>
      </c>
      <c r="X507" s="2037">
        <v>0</v>
      </c>
      <c r="Y507" s="2037">
        <v>0</v>
      </c>
      <c r="Z507" s="2037">
        <v>0</v>
      </c>
      <c r="AA507" s="2037">
        <v>0</v>
      </c>
      <c r="AB507" s="2037">
        <v>0</v>
      </c>
      <c r="AC507" s="2037">
        <v>0</v>
      </c>
      <c r="AD507" s="1383">
        <f>SUM(R507,S507,T507)</f>
        <v>0</v>
      </c>
      <c r="AE507" s="113">
        <f t="shared" si="1057"/>
        <v>0</v>
      </c>
      <c r="AF507" s="113">
        <f t="shared" si="1058"/>
        <v>0</v>
      </c>
      <c r="AG507" s="113">
        <f t="shared" si="1059"/>
        <v>0</v>
      </c>
      <c r="AH507" s="113">
        <f>AD507+AE507</f>
        <v>0</v>
      </c>
      <c r="AI507" s="113">
        <f>AG507+AF507</f>
        <v>0</v>
      </c>
      <c r="AJ507" s="113">
        <f>AH507+AI507</f>
        <v>0</v>
      </c>
      <c r="AL507" s="113">
        <f ca="1">SUM((INDIRECT(AL$2&amp;(ROW())):INDIRECT(AL$3&amp;(ROW()))))</f>
        <v>0</v>
      </c>
      <c r="AM507" s="113">
        <f ca="1">SUM(INDIRECT(AM$1&amp;AM$2&amp;$C507):INDIRECT(AM$1&amp;AM$3&amp;$C507))</f>
        <v>0</v>
      </c>
      <c r="AN507" s="899">
        <f t="shared" ca="1" si="1013"/>
        <v>0</v>
      </c>
      <c r="AO507" s="960">
        <f t="shared" ca="1" si="1014"/>
        <v>0</v>
      </c>
      <c r="AP507" s="113">
        <f ca="1">SUM(INDIRECT(AP$1&amp;AP$2&amp;$A507):INDIRECT(AP$1&amp;AP$3&amp;$A507))</f>
        <v>0</v>
      </c>
      <c r="AQ507" s="899">
        <f t="shared" ca="1" si="1015"/>
        <v>0</v>
      </c>
      <c r="AR507" s="960">
        <f t="shared" ca="1" si="1016"/>
        <v>0</v>
      </c>
      <c r="AT507" s="113">
        <f ca="1">SUM((INDIRECT(AT$2&amp;(ROW())):INDIRECT(AT$3&amp;(ROW()))))</f>
        <v>0</v>
      </c>
      <c r="AU507" s="113">
        <f ca="1">SUM(INDIRECT(AU$1&amp;AU$2&amp;$C507):INDIRECT(AU$1&amp;AU$3&amp;$C507))</f>
        <v>0</v>
      </c>
      <c r="AV507" s="899">
        <f t="shared" ca="1" si="1017"/>
        <v>0</v>
      </c>
      <c r="AW507" s="960">
        <f t="shared" ca="1" si="1018"/>
        <v>0</v>
      </c>
      <c r="AX507" s="113">
        <f ca="1">SUM(INDIRECT(AX$1&amp;AX$2&amp;$A507):INDIRECT(AX$1&amp;AX$3&amp;$A507))</f>
        <v>0</v>
      </c>
      <c r="AY507" s="899">
        <f t="shared" ca="1" si="1019"/>
        <v>0</v>
      </c>
      <c r="AZ507" s="960">
        <f t="shared" ca="1" si="1020"/>
        <v>0</v>
      </c>
      <c r="BB507" s="113">
        <f ca="1">SUM((INDIRECT(BB$2&amp;(ROW())):INDIRECT(BB$3&amp;(ROW()))))</f>
        <v>0</v>
      </c>
      <c r="BC507" s="113">
        <f ca="1">SUM(INDIRECT(BC$1&amp;BC$2&amp;$C507):INDIRECT(BC$1&amp;BC$3&amp;$C507))</f>
        <v>0</v>
      </c>
      <c r="BD507" s="899">
        <f t="shared" ca="1" si="1021"/>
        <v>0</v>
      </c>
      <c r="BE507" s="960">
        <f t="shared" ca="1" si="1022"/>
        <v>0</v>
      </c>
      <c r="BF507" s="113">
        <f ca="1">SUM(INDIRECT(BF$1&amp;BF$2&amp;$A507):INDIRECT(BF$1&amp;BF$3&amp;$A507))</f>
        <v>0</v>
      </c>
      <c r="BG507" s="899">
        <f t="shared" ca="1" si="1023"/>
        <v>0</v>
      </c>
      <c r="BH507" s="960">
        <f t="shared" ca="1" si="1024"/>
        <v>0</v>
      </c>
    </row>
    <row r="508" spans="1:60" ht="14.5">
      <c r="A508" s="990">
        <f t="shared" si="991"/>
        <v>459</v>
      </c>
      <c r="B508" s="990">
        <v>1</v>
      </c>
      <c r="C508" s="990">
        <f t="shared" si="946"/>
        <v>505</v>
      </c>
      <c r="E508" s="1243">
        <v>1</v>
      </c>
      <c r="I508" s="106"/>
      <c r="J508" s="105"/>
      <c r="K508" s="74"/>
      <c r="L508" s="74"/>
      <c r="N508" s="400" t="s">
        <v>534</v>
      </c>
      <c r="O508" s="299"/>
      <c r="P508" s="299"/>
      <c r="Q508" s="1845" t="str">
        <f>CHOOSE(2, "6722000003427", "S/GP (1)-1 Gross Profit Direct NH &lt;Direct&gt;D&amp;A (-)")</f>
        <v>S/GP (1)-1 Gross Profit Direct NH &lt;Direct&gt;D&amp;A (-)</v>
      </c>
      <c r="R508" s="2036">
        <v>0</v>
      </c>
      <c r="S508" s="2036">
        <v>0</v>
      </c>
      <c r="T508" s="2036">
        <v>0</v>
      </c>
      <c r="U508" s="2036">
        <v>0</v>
      </c>
      <c r="V508" s="2036">
        <v>0</v>
      </c>
      <c r="W508" s="2036">
        <v>0</v>
      </c>
      <c r="X508" s="2036">
        <v>0</v>
      </c>
      <c r="Y508" s="2036">
        <v>0</v>
      </c>
      <c r="Z508" s="2036">
        <v>0</v>
      </c>
      <c r="AA508" s="2036">
        <v>0</v>
      </c>
      <c r="AB508" s="2036">
        <v>0</v>
      </c>
      <c r="AC508" s="2036">
        <v>0</v>
      </c>
      <c r="AD508" s="1380">
        <f>SUM(R508,S508,T508)</f>
        <v>0</v>
      </c>
      <c r="AE508" s="107">
        <f t="shared" si="1057"/>
        <v>0</v>
      </c>
      <c r="AF508" s="107">
        <f t="shared" si="1058"/>
        <v>0</v>
      </c>
      <c r="AG508" s="107">
        <f t="shared" si="1059"/>
        <v>0</v>
      </c>
      <c r="AH508" s="107">
        <f>AD508+AE508</f>
        <v>0</v>
      </c>
      <c r="AI508" s="107">
        <f>AG508+AF508</f>
        <v>0</v>
      </c>
      <c r="AJ508" s="107">
        <f>AH508+AI508</f>
        <v>0</v>
      </c>
      <c r="AL508" s="107">
        <f ca="1">SUM((INDIRECT(AL$2&amp;(ROW())):INDIRECT(AL$3&amp;(ROW()))))</f>
        <v>0</v>
      </c>
      <c r="AM508" s="107">
        <f ca="1">SUM(INDIRECT(AM$1&amp;AM$2&amp;$C508):INDIRECT(AM$1&amp;AM$3&amp;$C508))</f>
        <v>0</v>
      </c>
      <c r="AN508" s="898">
        <f t="shared" ca="1" si="1013"/>
        <v>0</v>
      </c>
      <c r="AO508" s="959">
        <f t="shared" ca="1" si="1014"/>
        <v>0</v>
      </c>
      <c r="AP508" s="107">
        <f ca="1">SUM(INDIRECT(AP$1&amp;AP$2&amp;$A508):INDIRECT(AP$1&amp;AP$3&amp;$A508))</f>
        <v>0</v>
      </c>
      <c r="AQ508" s="898">
        <f t="shared" ca="1" si="1015"/>
        <v>0</v>
      </c>
      <c r="AR508" s="959">
        <f t="shared" ca="1" si="1016"/>
        <v>0</v>
      </c>
      <c r="AT508" s="107">
        <f ca="1">SUM((INDIRECT(AT$2&amp;(ROW())):INDIRECT(AT$3&amp;(ROW()))))</f>
        <v>0</v>
      </c>
      <c r="AU508" s="107">
        <f ca="1">SUM(INDIRECT(AU$1&amp;AU$2&amp;$C508):INDIRECT(AU$1&amp;AU$3&amp;$C508))</f>
        <v>0</v>
      </c>
      <c r="AV508" s="898">
        <f t="shared" ca="1" si="1017"/>
        <v>0</v>
      </c>
      <c r="AW508" s="959">
        <f t="shared" ca="1" si="1018"/>
        <v>0</v>
      </c>
      <c r="AX508" s="107">
        <f ca="1">SUM(INDIRECT(AX$1&amp;AX$2&amp;$A508):INDIRECT(AX$1&amp;AX$3&amp;$A508))</f>
        <v>0</v>
      </c>
      <c r="AY508" s="898">
        <f t="shared" ca="1" si="1019"/>
        <v>0</v>
      </c>
      <c r="AZ508" s="959">
        <f t="shared" ca="1" si="1020"/>
        <v>0</v>
      </c>
      <c r="BB508" s="107">
        <f ca="1">SUM((INDIRECT(BB$2&amp;(ROW())):INDIRECT(BB$3&amp;(ROW()))))</f>
        <v>0</v>
      </c>
      <c r="BC508" s="107">
        <f ca="1">SUM(INDIRECT(BC$1&amp;BC$2&amp;$C508):INDIRECT(BC$1&amp;BC$3&amp;$C508))</f>
        <v>0</v>
      </c>
      <c r="BD508" s="898">
        <f t="shared" ca="1" si="1021"/>
        <v>0</v>
      </c>
      <c r="BE508" s="959">
        <f t="shared" ca="1" si="1022"/>
        <v>0</v>
      </c>
      <c r="BF508" s="107">
        <f ca="1">SUM(INDIRECT(BF$1&amp;BF$2&amp;$A508):INDIRECT(BF$1&amp;BF$3&amp;$A508))</f>
        <v>0</v>
      </c>
      <c r="BG508" s="898">
        <f t="shared" ca="1" si="1023"/>
        <v>0</v>
      </c>
      <c r="BH508" s="959">
        <f t="shared" ca="1" si="1024"/>
        <v>0</v>
      </c>
    </row>
    <row r="509" spans="1:60" s="10" customFormat="1" ht="14.5">
      <c r="A509" s="990">
        <f t="shared" si="991"/>
        <v>460</v>
      </c>
      <c r="B509" s="990">
        <v>1</v>
      </c>
      <c r="C509" s="990">
        <f t="shared" si="946"/>
        <v>506</v>
      </c>
      <c r="E509" s="1243">
        <v>1</v>
      </c>
      <c r="H509" s="24"/>
      <c r="I509" s="106"/>
      <c r="J509" s="280"/>
      <c r="K509" s="73"/>
      <c r="L509" s="73"/>
      <c r="M509" s="22" t="s">
        <v>205</v>
      </c>
      <c r="N509" s="22"/>
      <c r="O509" s="22"/>
      <c r="P509" s="303"/>
      <c r="Q509" s="1845" t="str">
        <f>CHOOSE(2, "6722000003428", "S/GP (1)-1 Gross Profit Direct Others")</f>
        <v>S/GP (1)-1 Gross Profit Direct Others</v>
      </c>
      <c r="R509" s="2088">
        <v>0</v>
      </c>
      <c r="S509" s="2088">
        <v>0</v>
      </c>
      <c r="T509" s="2088">
        <v>0</v>
      </c>
      <c r="U509" s="2088">
        <v>0</v>
      </c>
      <c r="V509" s="2088">
        <v>0</v>
      </c>
      <c r="W509" s="2088">
        <v>0</v>
      </c>
      <c r="X509" s="2088">
        <v>0</v>
      </c>
      <c r="Y509" s="2088">
        <v>0</v>
      </c>
      <c r="Z509" s="2088">
        <v>0</v>
      </c>
      <c r="AA509" s="2088">
        <v>0</v>
      </c>
      <c r="AB509" s="2088">
        <v>0</v>
      </c>
      <c r="AC509" s="2088">
        <v>0</v>
      </c>
      <c r="AD509" s="1541">
        <f>SUM(R509,S509,T509)</f>
        <v>0</v>
      </c>
      <c r="AE509" s="70">
        <f t="shared" si="1057"/>
        <v>0</v>
      </c>
      <c r="AF509" s="70">
        <f t="shared" si="1058"/>
        <v>0</v>
      </c>
      <c r="AG509" s="70">
        <f t="shared" si="1059"/>
        <v>0</v>
      </c>
      <c r="AH509" s="70">
        <f>AD509+AE509</f>
        <v>0</v>
      </c>
      <c r="AI509" s="70">
        <f>AG509+AF509</f>
        <v>0</v>
      </c>
      <c r="AJ509" s="70">
        <f>AH509+AI509</f>
        <v>0</v>
      </c>
      <c r="AL509" s="2534">
        <f ca="1">SUM((INDIRECT(AL$2&amp;(ROW())):INDIRECT(AL$3&amp;(ROW()))))</f>
        <v>0</v>
      </c>
      <c r="AM509" s="2534">
        <f ca="1">SUM(INDIRECT(AM$1&amp;AM$2&amp;$C509):INDIRECT(AM$1&amp;AM$3&amp;$C509))</f>
        <v>0</v>
      </c>
      <c r="AN509" s="2535">
        <f t="shared" ca="1" si="1013"/>
        <v>0</v>
      </c>
      <c r="AO509" s="2536">
        <f t="shared" ca="1" si="1014"/>
        <v>0</v>
      </c>
      <c r="AP509" s="2534">
        <f ca="1">SUM(INDIRECT(AP$1&amp;AP$2&amp;$A509):INDIRECT(AP$1&amp;AP$3&amp;$A509))</f>
        <v>0</v>
      </c>
      <c r="AQ509" s="2535">
        <f t="shared" ca="1" si="1015"/>
        <v>0</v>
      </c>
      <c r="AR509" s="2536">
        <f t="shared" ca="1" si="1016"/>
        <v>0</v>
      </c>
      <c r="AT509" s="2534">
        <f ca="1">SUM((INDIRECT(AT$2&amp;(ROW())):INDIRECT(AT$3&amp;(ROW()))))</f>
        <v>0</v>
      </c>
      <c r="AU509" s="2534">
        <f ca="1">SUM(INDIRECT(AU$1&amp;AU$2&amp;$C509):INDIRECT(AU$1&amp;AU$3&amp;$C509))</f>
        <v>0</v>
      </c>
      <c r="AV509" s="2535">
        <f t="shared" ca="1" si="1017"/>
        <v>0</v>
      </c>
      <c r="AW509" s="2536">
        <f t="shared" ca="1" si="1018"/>
        <v>0</v>
      </c>
      <c r="AX509" s="2534">
        <f ca="1">SUM(INDIRECT(AX$1&amp;AX$2&amp;$A509):INDIRECT(AX$1&amp;AX$3&amp;$A509))</f>
        <v>0</v>
      </c>
      <c r="AY509" s="2535">
        <f t="shared" ca="1" si="1019"/>
        <v>0</v>
      </c>
      <c r="AZ509" s="2536">
        <f t="shared" ca="1" si="1020"/>
        <v>0</v>
      </c>
      <c r="BB509" s="2534">
        <f ca="1">SUM((INDIRECT(BB$2&amp;(ROW())):INDIRECT(BB$3&amp;(ROW()))))</f>
        <v>0</v>
      </c>
      <c r="BC509" s="2534">
        <f ca="1">SUM(INDIRECT(BC$1&amp;BC$2&amp;$C509):INDIRECT(BC$1&amp;BC$3&amp;$C509))</f>
        <v>0</v>
      </c>
      <c r="BD509" s="2535">
        <f t="shared" ca="1" si="1021"/>
        <v>0</v>
      </c>
      <c r="BE509" s="2536">
        <f t="shared" ca="1" si="1022"/>
        <v>0</v>
      </c>
      <c r="BF509" s="2534">
        <f ca="1">SUM(INDIRECT(BF$1&amp;BF$2&amp;$A509):INDIRECT(BF$1&amp;BF$3&amp;$A509))</f>
        <v>0</v>
      </c>
      <c r="BG509" s="2535">
        <f t="shared" ca="1" si="1023"/>
        <v>0</v>
      </c>
      <c r="BH509" s="2536">
        <f t="shared" ca="1" si="1024"/>
        <v>0</v>
      </c>
    </row>
    <row r="510" spans="1:60" ht="14.5">
      <c r="A510" s="990">
        <f t="shared" si="991"/>
        <v>461</v>
      </c>
      <c r="B510" s="990">
        <v>1</v>
      </c>
      <c r="C510" s="990">
        <f t="shared" si="946"/>
        <v>507</v>
      </c>
      <c r="E510" s="1243">
        <v>1</v>
      </c>
      <c r="I510" s="106"/>
      <c r="J510" s="105"/>
      <c r="K510" s="82" t="s">
        <v>221</v>
      </c>
      <c r="L510" s="82"/>
      <c r="M510" s="82"/>
      <c r="N510" s="82"/>
      <c r="O510" s="82"/>
      <c r="P510" s="794"/>
      <c r="Q510" s="1876" t="str">
        <f>CHOOSE(2, "6722000003429", "S/GP (1)-1 Gross Profit Indirect")</f>
        <v>S/GP (1)-1 Gross Profit Indirect</v>
      </c>
      <c r="R510" s="2135">
        <f t="shared" ref="R510:AC510" si="1060">R511+R516+R533</f>
        <v>40159</v>
      </c>
      <c r="S510" s="2005">
        <f t="shared" si="1060"/>
        <v>29496</v>
      </c>
      <c r="T510" s="2005">
        <f t="shared" si="1060"/>
        <v>42523</v>
      </c>
      <c r="U510" s="2005">
        <f t="shared" si="1060"/>
        <v>43120</v>
      </c>
      <c r="V510" s="2005">
        <f t="shared" si="1060"/>
        <v>55053.555672472212</v>
      </c>
      <c r="W510" s="2005">
        <f t="shared" si="1060"/>
        <v>60893</v>
      </c>
      <c r="X510" s="2005">
        <f t="shared" si="1060"/>
        <v>62834</v>
      </c>
      <c r="Y510" s="2005">
        <f t="shared" si="1060"/>
        <v>53610</v>
      </c>
      <c r="Z510" s="2005">
        <f t="shared" si="1060"/>
        <v>67656</v>
      </c>
      <c r="AA510" s="2005">
        <f t="shared" si="1060"/>
        <v>54111</v>
      </c>
      <c r="AB510" s="2005">
        <f t="shared" si="1060"/>
        <v>37242</v>
      </c>
      <c r="AC510" s="2005">
        <f t="shared" si="1060"/>
        <v>55194</v>
      </c>
      <c r="AD510" s="1542">
        <f t="shared" ref="AD510:AJ510" si="1061">AD511+AD516+AD533</f>
        <v>112178</v>
      </c>
      <c r="AE510" s="112">
        <f t="shared" si="1061"/>
        <v>159066.55567247223</v>
      </c>
      <c r="AF510" s="112">
        <f t="shared" si="1061"/>
        <v>184100</v>
      </c>
      <c r="AG510" s="112">
        <f t="shared" si="1061"/>
        <v>146547</v>
      </c>
      <c r="AH510" s="112">
        <f t="shared" si="1061"/>
        <v>271244.55567247223</v>
      </c>
      <c r="AI510" s="112">
        <f t="shared" si="1061"/>
        <v>330647</v>
      </c>
      <c r="AJ510" s="112">
        <f t="shared" si="1061"/>
        <v>601891.55567247211</v>
      </c>
      <c r="AL510" s="2135">
        <f ca="1">SUM((INDIRECT(AL$2&amp;(ROW())):INDIRECT(AL$3&amp;(ROW()))))</f>
        <v>55194</v>
      </c>
      <c r="AM510" s="112">
        <f ca="1">SUM(INDIRECT(AM$1&amp;AM$2&amp;$C510):INDIRECT(AM$1&amp;AM$3&amp;$C510))</f>
        <v>0</v>
      </c>
      <c r="AN510" s="1723">
        <f t="shared" ca="1" si="1013"/>
        <v>55194</v>
      </c>
      <c r="AO510" s="1724">
        <f t="shared" ca="1" si="1014"/>
        <v>0</v>
      </c>
      <c r="AP510" s="112">
        <f ca="1">SUM(INDIRECT(AP$1&amp;AP$2&amp;$A510):INDIRECT(AP$1&amp;AP$3&amp;$A510))</f>
        <v>44465</v>
      </c>
      <c r="AQ510" s="1723">
        <f t="shared" ca="1" si="1015"/>
        <v>10729</v>
      </c>
      <c r="AR510" s="1724">
        <f t="shared" ca="1" si="1016"/>
        <v>1.2412909029573822</v>
      </c>
      <c r="AT510" s="2135">
        <f ca="1">SUM((INDIRECT(AT$2&amp;(ROW())):INDIRECT(AT$3&amp;(ROW()))))</f>
        <v>146547</v>
      </c>
      <c r="AU510" s="112">
        <f ca="1">SUM(INDIRECT(AU$1&amp;AU$2&amp;$C510):INDIRECT(AU$1&amp;AU$3&amp;$C510))</f>
        <v>0</v>
      </c>
      <c r="AV510" s="1723">
        <f t="shared" ca="1" si="1017"/>
        <v>146547</v>
      </c>
      <c r="AW510" s="1724">
        <f t="shared" ca="1" si="1018"/>
        <v>0</v>
      </c>
      <c r="AX510" s="112">
        <f ca="1">SUM(INDIRECT(AX$1&amp;AX$2&amp;$A510):INDIRECT(AX$1&amp;AX$3&amp;$A510))</f>
        <v>98239</v>
      </c>
      <c r="AY510" s="1723">
        <f t="shared" ca="1" si="1019"/>
        <v>48308</v>
      </c>
      <c r="AZ510" s="1724">
        <f t="shared" ca="1" si="1020"/>
        <v>1.4917395331792873</v>
      </c>
      <c r="BB510" s="2135">
        <f ca="1">SUM((INDIRECT(BB$2&amp;(ROW())):INDIRECT(BB$3&amp;(ROW()))))</f>
        <v>601891.55567247223</v>
      </c>
      <c r="BC510" s="112">
        <f ca="1">SUM(INDIRECT(BC$1&amp;BC$2&amp;$C510):INDIRECT(BC$1&amp;BC$3&amp;$C510))</f>
        <v>0</v>
      </c>
      <c r="BD510" s="1723">
        <f t="shared" ca="1" si="1021"/>
        <v>601891.55567247223</v>
      </c>
      <c r="BE510" s="1724">
        <f t="shared" ca="1" si="1022"/>
        <v>0</v>
      </c>
      <c r="BF510" s="112">
        <f ca="1">SUM(INDIRECT(BF$1&amp;BF$2&amp;$A510):INDIRECT(BF$1&amp;BF$3&amp;$A510))</f>
        <v>470152</v>
      </c>
      <c r="BG510" s="1723">
        <f t="shared" ca="1" si="1023"/>
        <v>131739.55567247223</v>
      </c>
      <c r="BH510" s="1724">
        <f t="shared" ca="1" si="1024"/>
        <v>1.2802063070506393</v>
      </c>
    </row>
    <row r="511" spans="1:60" s="10" customFormat="1" ht="14.5">
      <c r="A511" s="990">
        <f t="shared" si="991"/>
        <v>462</v>
      </c>
      <c r="B511" s="990">
        <v>1</v>
      </c>
      <c r="C511" s="990">
        <f t="shared" si="946"/>
        <v>508</v>
      </c>
      <c r="E511" s="1243">
        <v>1</v>
      </c>
      <c r="H511" s="24"/>
      <c r="I511" s="106"/>
      <c r="J511" s="280"/>
      <c r="K511" s="69"/>
      <c r="L511" s="69"/>
      <c r="M511" s="9" t="s">
        <v>213</v>
      </c>
      <c r="N511" s="363"/>
      <c r="O511" s="363"/>
      <c r="P511" s="363"/>
      <c r="Q511" s="1843" t="str">
        <f>CHOOSE(2, "6722000003430", "S/GP (1)-1 Gross Profit Indirect HW")</f>
        <v>S/GP (1)-1 Gross Profit Indirect HW</v>
      </c>
      <c r="R511" s="365">
        <f>R512+R515</f>
        <v>14322</v>
      </c>
      <c r="S511" s="365">
        <f t="shared" ref="S511:AC511" si="1062">S512+S515</f>
        <v>20718</v>
      </c>
      <c r="T511" s="365">
        <f t="shared" si="1062"/>
        <v>12824</v>
      </c>
      <c r="U511" s="365">
        <f t="shared" si="1062"/>
        <v>19281</v>
      </c>
      <c r="V511" s="365">
        <f t="shared" si="1062"/>
        <v>28157.382709815749</v>
      </c>
      <c r="W511" s="365">
        <f t="shared" si="1062"/>
        <v>38590</v>
      </c>
      <c r="X511" s="365">
        <f t="shared" si="1062"/>
        <v>37238</v>
      </c>
      <c r="Y511" s="365">
        <f t="shared" si="1062"/>
        <v>23884</v>
      </c>
      <c r="Z511" s="365">
        <f t="shared" si="1062"/>
        <v>45828</v>
      </c>
      <c r="AA511" s="365">
        <f t="shared" si="1062"/>
        <v>32045</v>
      </c>
      <c r="AB511" s="365">
        <f t="shared" si="1062"/>
        <v>18705</v>
      </c>
      <c r="AC511" s="365">
        <f t="shared" si="1062"/>
        <v>31974</v>
      </c>
      <c r="AD511" s="1536">
        <f t="shared" ref="AD511:AJ511" si="1063">AD512+AD515</f>
        <v>47864</v>
      </c>
      <c r="AE511" s="365">
        <f t="shared" si="1063"/>
        <v>86028.382709815749</v>
      </c>
      <c r="AF511" s="365">
        <f t="shared" si="1063"/>
        <v>106950</v>
      </c>
      <c r="AG511" s="365">
        <f t="shared" si="1063"/>
        <v>82724</v>
      </c>
      <c r="AH511" s="365">
        <f t="shared" si="1063"/>
        <v>133892.38270981575</v>
      </c>
      <c r="AI511" s="365">
        <f t="shared" si="1063"/>
        <v>189674</v>
      </c>
      <c r="AJ511" s="365">
        <f t="shared" si="1063"/>
        <v>323566.38270981575</v>
      </c>
      <c r="AL511" s="365">
        <f ca="1">SUM((INDIRECT(AL$2&amp;(ROW())):INDIRECT(AL$3&amp;(ROW()))))</f>
        <v>31974</v>
      </c>
      <c r="AM511" s="365">
        <f ca="1">SUM(INDIRECT(AM$1&amp;AM$2&amp;$C511):INDIRECT(AM$1&amp;AM$3&amp;$C511))</f>
        <v>0</v>
      </c>
      <c r="AN511" s="891">
        <f t="shared" ca="1" si="1013"/>
        <v>31974</v>
      </c>
      <c r="AO511" s="952">
        <f t="shared" ca="1" si="1014"/>
        <v>0</v>
      </c>
      <c r="AP511" s="365">
        <f ca="1">SUM(INDIRECT(AP$1&amp;AP$2&amp;$A511):INDIRECT(AP$1&amp;AP$3&amp;$A511))</f>
        <v>30367</v>
      </c>
      <c r="AQ511" s="891">
        <f t="shared" ca="1" si="1015"/>
        <v>1607</v>
      </c>
      <c r="AR511" s="952">
        <f t="shared" ca="1" si="1016"/>
        <v>1.0529192873843316</v>
      </c>
      <c r="AT511" s="365">
        <f ca="1">SUM((INDIRECT(AT$2&amp;(ROW())):INDIRECT(AT$3&amp;(ROW()))))</f>
        <v>82724</v>
      </c>
      <c r="AU511" s="365">
        <f ca="1">SUM(INDIRECT(AU$1&amp;AU$2&amp;$C511):INDIRECT(AU$1&amp;AU$3&amp;$C511))</f>
        <v>0</v>
      </c>
      <c r="AV511" s="891">
        <f t="shared" ca="1" si="1017"/>
        <v>82724</v>
      </c>
      <c r="AW511" s="952">
        <f t="shared" ca="1" si="1018"/>
        <v>0</v>
      </c>
      <c r="AX511" s="365">
        <f ca="1">SUM(INDIRECT(AX$1&amp;AX$2&amp;$A511):INDIRECT(AX$1&amp;AX$3&amp;$A511))</f>
        <v>53448</v>
      </c>
      <c r="AY511" s="891">
        <f t="shared" ca="1" si="1019"/>
        <v>29276</v>
      </c>
      <c r="AZ511" s="952">
        <f t="shared" ca="1" si="1020"/>
        <v>1.5477473432120941</v>
      </c>
      <c r="BB511" s="365">
        <f ca="1">SUM((INDIRECT(BB$2&amp;(ROW())):INDIRECT(BB$3&amp;(ROW()))))</f>
        <v>323566.38270981575</v>
      </c>
      <c r="BC511" s="365">
        <f ca="1">SUM(INDIRECT(BC$1&amp;BC$2&amp;$C511):INDIRECT(BC$1&amp;BC$3&amp;$C511))</f>
        <v>0</v>
      </c>
      <c r="BD511" s="891">
        <f t="shared" ca="1" si="1021"/>
        <v>323566.38270981575</v>
      </c>
      <c r="BE511" s="952">
        <f t="shared" ca="1" si="1022"/>
        <v>0</v>
      </c>
      <c r="BF511" s="365">
        <f ca="1">SUM(INDIRECT(BF$1&amp;BF$2&amp;$A511):INDIRECT(BF$1&amp;BF$3&amp;$A511))</f>
        <v>266157</v>
      </c>
      <c r="BG511" s="891">
        <f t="shared" ca="1" si="1023"/>
        <v>57409.382709815749</v>
      </c>
      <c r="BH511" s="952">
        <f t="shared" ca="1" si="1024"/>
        <v>1.2156974368880613</v>
      </c>
    </row>
    <row r="512" spans="1:60" ht="14.5">
      <c r="A512" s="990">
        <f t="shared" si="991"/>
        <v>463</v>
      </c>
      <c r="B512" s="990">
        <v>1</v>
      </c>
      <c r="C512" s="990">
        <f t="shared" si="946"/>
        <v>509</v>
      </c>
      <c r="E512" s="1243">
        <v>1</v>
      </c>
      <c r="I512" s="106"/>
      <c r="J512" s="105"/>
      <c r="K512" s="69"/>
      <c r="L512" s="69"/>
      <c r="N512" s="111" t="s">
        <v>214</v>
      </c>
      <c r="O512" s="111"/>
      <c r="P512" s="111"/>
      <c r="Q512" s="1843" t="str">
        <f>CHOOSE(2, "6722000003431", "S/GP (1)-1 Gross Profit Indirect HW KMI")</f>
        <v>S/GP (1)-1 Gross Profit Indirect HW KMI</v>
      </c>
      <c r="R512" s="109">
        <f>SUM(R513:R514)</f>
        <v>14322</v>
      </c>
      <c r="S512" s="109">
        <f t="shared" ref="S512:AC512" si="1064">SUM(S513:S514)</f>
        <v>20718</v>
      </c>
      <c r="T512" s="109">
        <f t="shared" si="1064"/>
        <v>12824</v>
      </c>
      <c r="U512" s="109">
        <f t="shared" si="1064"/>
        <v>19281</v>
      </c>
      <c r="V512" s="109">
        <f t="shared" si="1064"/>
        <v>28157.382709815749</v>
      </c>
      <c r="W512" s="109">
        <f t="shared" si="1064"/>
        <v>38590</v>
      </c>
      <c r="X512" s="109">
        <f t="shared" si="1064"/>
        <v>37238</v>
      </c>
      <c r="Y512" s="109">
        <f t="shared" si="1064"/>
        <v>23884</v>
      </c>
      <c r="Z512" s="109">
        <f t="shared" si="1064"/>
        <v>45828</v>
      </c>
      <c r="AA512" s="109">
        <f t="shared" si="1064"/>
        <v>32045</v>
      </c>
      <c r="AB512" s="109">
        <f t="shared" si="1064"/>
        <v>18705</v>
      </c>
      <c r="AC512" s="109">
        <f t="shared" si="1064"/>
        <v>31974</v>
      </c>
      <c r="AD512" s="1537">
        <f t="shared" ref="AD512:AJ512" si="1065">SUM(AD513:AD514)</f>
        <v>47864</v>
      </c>
      <c r="AE512" s="109">
        <f t="shared" si="1065"/>
        <v>86028.382709815749</v>
      </c>
      <c r="AF512" s="109">
        <f t="shared" si="1065"/>
        <v>106950</v>
      </c>
      <c r="AG512" s="109">
        <f t="shared" si="1065"/>
        <v>82724</v>
      </c>
      <c r="AH512" s="109">
        <f t="shared" si="1065"/>
        <v>133892.38270981575</v>
      </c>
      <c r="AI512" s="109">
        <f t="shared" si="1065"/>
        <v>189674</v>
      </c>
      <c r="AJ512" s="109">
        <f t="shared" si="1065"/>
        <v>323566.38270981575</v>
      </c>
      <c r="AL512" s="109">
        <f ca="1">SUM((INDIRECT(AL$2&amp;(ROW())):INDIRECT(AL$3&amp;(ROW()))))</f>
        <v>31974</v>
      </c>
      <c r="AM512" s="109">
        <f ca="1">SUM(INDIRECT(AM$1&amp;AM$2&amp;$C512):INDIRECT(AM$1&amp;AM$3&amp;$C512))</f>
        <v>0</v>
      </c>
      <c r="AN512" s="892">
        <f t="shared" ca="1" si="1013"/>
        <v>31974</v>
      </c>
      <c r="AO512" s="953">
        <f t="shared" ca="1" si="1014"/>
        <v>0</v>
      </c>
      <c r="AP512" s="109">
        <f ca="1">SUM(INDIRECT(AP$1&amp;AP$2&amp;$A512):INDIRECT(AP$1&amp;AP$3&amp;$A512))</f>
        <v>30367</v>
      </c>
      <c r="AQ512" s="892">
        <f t="shared" ca="1" si="1015"/>
        <v>1607</v>
      </c>
      <c r="AR512" s="953">
        <f t="shared" ca="1" si="1016"/>
        <v>1.0529192873843316</v>
      </c>
      <c r="AT512" s="109">
        <f ca="1">SUM((INDIRECT(AT$2&amp;(ROW())):INDIRECT(AT$3&amp;(ROW()))))</f>
        <v>82724</v>
      </c>
      <c r="AU512" s="109">
        <f ca="1">SUM(INDIRECT(AU$1&amp;AU$2&amp;$C512):INDIRECT(AU$1&amp;AU$3&amp;$C512))</f>
        <v>0</v>
      </c>
      <c r="AV512" s="892">
        <f t="shared" ca="1" si="1017"/>
        <v>82724</v>
      </c>
      <c r="AW512" s="953">
        <f t="shared" ca="1" si="1018"/>
        <v>0</v>
      </c>
      <c r="AX512" s="109">
        <f ca="1">SUM(INDIRECT(AX$1&amp;AX$2&amp;$A512):INDIRECT(AX$1&amp;AX$3&amp;$A512))</f>
        <v>53448</v>
      </c>
      <c r="AY512" s="892">
        <f t="shared" ca="1" si="1019"/>
        <v>29276</v>
      </c>
      <c r="AZ512" s="953">
        <f t="shared" ca="1" si="1020"/>
        <v>1.5477473432120941</v>
      </c>
      <c r="BB512" s="109">
        <f ca="1">SUM((INDIRECT(BB$2&amp;(ROW())):INDIRECT(BB$3&amp;(ROW()))))</f>
        <v>323566.38270981575</v>
      </c>
      <c r="BC512" s="109">
        <f ca="1">SUM(INDIRECT(BC$1&amp;BC$2&amp;$C512):INDIRECT(BC$1&amp;BC$3&amp;$C512))</f>
        <v>0</v>
      </c>
      <c r="BD512" s="892">
        <f t="shared" ca="1" si="1021"/>
        <v>323566.38270981575</v>
      </c>
      <c r="BE512" s="953">
        <f t="shared" ca="1" si="1022"/>
        <v>0</v>
      </c>
      <c r="BF512" s="109">
        <f ca="1">SUM(INDIRECT(BF$1&amp;BF$2&amp;$A512):INDIRECT(BF$1&amp;BF$3&amp;$A512))</f>
        <v>266157</v>
      </c>
      <c r="BG512" s="892">
        <f t="shared" ca="1" si="1023"/>
        <v>57409.382709815749</v>
      </c>
      <c r="BH512" s="953">
        <f t="shared" ca="1" si="1024"/>
        <v>1.2156974368880613</v>
      </c>
    </row>
    <row r="513" spans="1:60" ht="14.5">
      <c r="A513" s="990">
        <f t="shared" si="991"/>
        <v>464</v>
      </c>
      <c r="B513" s="990">
        <v>1</v>
      </c>
      <c r="C513" s="990">
        <f t="shared" si="946"/>
        <v>510</v>
      </c>
      <c r="E513" s="1243">
        <v>1</v>
      </c>
      <c r="I513" s="106"/>
      <c r="J513" s="105"/>
      <c r="K513" s="69"/>
      <c r="L513" s="69"/>
      <c r="O513" s="111" t="s">
        <v>215</v>
      </c>
      <c r="P513" s="111"/>
      <c r="Q513" s="1845" t="str">
        <f>CHOOSE(2, "6722000003432", "S/GP (1)-1 Gross Profit Indirect HW KMI Office A3")</f>
        <v>S/GP (1)-1 Gross Profit Indirect HW KMI Office A3</v>
      </c>
      <c r="R513" s="2042">
        <v>14284</v>
      </c>
      <c r="S513" s="2042">
        <v>20718</v>
      </c>
      <c r="T513" s="2042">
        <v>12824</v>
      </c>
      <c r="U513" s="2042">
        <v>19281</v>
      </c>
      <c r="V513" s="2042">
        <v>28157.382709815749</v>
      </c>
      <c r="W513" s="2042">
        <v>38590</v>
      </c>
      <c r="X513" s="2042">
        <v>37238</v>
      </c>
      <c r="Y513" s="2042">
        <v>23884</v>
      </c>
      <c r="Z513" s="2042">
        <v>45828</v>
      </c>
      <c r="AA513" s="2042">
        <v>32045</v>
      </c>
      <c r="AB513" s="2042">
        <v>18705</v>
      </c>
      <c r="AC513" s="2042">
        <v>31974</v>
      </c>
      <c r="AD513" s="1537">
        <f>SUM(R513,S513,T513)</f>
        <v>47826</v>
      </c>
      <c r="AE513" s="108">
        <f t="shared" ref="AE513:AE515" si="1066">SUM(U513,V513,W513)</f>
        <v>86028.382709815749</v>
      </c>
      <c r="AF513" s="108">
        <f t="shared" ref="AF513:AF515" si="1067">SUM(X513,Y513,Z513)</f>
        <v>106950</v>
      </c>
      <c r="AG513" s="108">
        <f t="shared" ref="AG513:AG515" si="1068">SUM(AA513,AB513,AC513)</f>
        <v>82724</v>
      </c>
      <c r="AH513" s="108">
        <f>AD513+AE513</f>
        <v>133854.38270981575</v>
      </c>
      <c r="AI513" s="108">
        <f>AG513+AF513</f>
        <v>189674</v>
      </c>
      <c r="AJ513" s="108">
        <f>AH513+AI513</f>
        <v>323528.38270981575</v>
      </c>
      <c r="AL513" s="108">
        <f ca="1">SUM((INDIRECT(AL$2&amp;(ROW())):INDIRECT(AL$3&amp;(ROW()))))</f>
        <v>31974</v>
      </c>
      <c r="AM513" s="108">
        <f ca="1">SUM(INDIRECT(AM$1&amp;AM$2&amp;$C513):INDIRECT(AM$1&amp;AM$3&amp;$C513))</f>
        <v>0</v>
      </c>
      <c r="AN513" s="893">
        <f t="shared" ca="1" si="1013"/>
        <v>31974</v>
      </c>
      <c r="AO513" s="954">
        <f t="shared" ca="1" si="1014"/>
        <v>0</v>
      </c>
      <c r="AP513" s="108">
        <f ca="1">SUM(INDIRECT(AP$1&amp;AP$2&amp;$A513):INDIRECT(AP$1&amp;AP$3&amp;$A513))</f>
        <v>30367</v>
      </c>
      <c r="AQ513" s="893">
        <f t="shared" ca="1" si="1015"/>
        <v>1607</v>
      </c>
      <c r="AR513" s="954">
        <f t="shared" ca="1" si="1016"/>
        <v>1.0529192873843316</v>
      </c>
      <c r="AT513" s="108">
        <f ca="1">SUM((INDIRECT(AT$2&amp;(ROW())):INDIRECT(AT$3&amp;(ROW()))))</f>
        <v>82724</v>
      </c>
      <c r="AU513" s="108">
        <f ca="1">SUM(INDIRECT(AU$1&amp;AU$2&amp;$C513):INDIRECT(AU$1&amp;AU$3&amp;$C513))</f>
        <v>0</v>
      </c>
      <c r="AV513" s="893">
        <f t="shared" ca="1" si="1017"/>
        <v>82724</v>
      </c>
      <c r="AW513" s="954">
        <f t="shared" ca="1" si="1018"/>
        <v>0</v>
      </c>
      <c r="AX513" s="108">
        <f ca="1">SUM(INDIRECT(AX$1&amp;AX$2&amp;$A513):INDIRECT(AX$1&amp;AX$3&amp;$A513))</f>
        <v>53448</v>
      </c>
      <c r="AY513" s="893">
        <f t="shared" ca="1" si="1019"/>
        <v>29276</v>
      </c>
      <c r="AZ513" s="954">
        <f t="shared" ca="1" si="1020"/>
        <v>1.5477473432120941</v>
      </c>
      <c r="BB513" s="108">
        <f ca="1">SUM((INDIRECT(BB$2&amp;(ROW())):INDIRECT(BB$3&amp;(ROW()))))</f>
        <v>323528.38270981575</v>
      </c>
      <c r="BC513" s="108">
        <f ca="1">SUM(INDIRECT(BC$1&amp;BC$2&amp;$C513):INDIRECT(BC$1&amp;BC$3&amp;$C513))</f>
        <v>0</v>
      </c>
      <c r="BD513" s="893">
        <f t="shared" ca="1" si="1021"/>
        <v>323528.38270981575</v>
      </c>
      <c r="BE513" s="954">
        <f t="shared" ca="1" si="1022"/>
        <v>0</v>
      </c>
      <c r="BF513" s="108">
        <f ca="1">SUM(INDIRECT(BF$1&amp;BF$2&amp;$A513):INDIRECT(BF$1&amp;BF$3&amp;$A513))</f>
        <v>266157</v>
      </c>
      <c r="BG513" s="893">
        <f t="shared" ca="1" si="1023"/>
        <v>57371.382709815749</v>
      </c>
      <c r="BH513" s="954">
        <f t="shared" ca="1" si="1024"/>
        <v>1.2155546640134047</v>
      </c>
    </row>
    <row r="514" spans="1:60" ht="14.5">
      <c r="A514" s="990">
        <f t="shared" si="991"/>
        <v>465</v>
      </c>
      <c r="B514" s="990">
        <v>1</v>
      </c>
      <c r="C514" s="990">
        <f t="shared" ref="C514:C577" si="1069">ROW()-3</f>
        <v>511</v>
      </c>
      <c r="E514" s="1243">
        <v>1</v>
      </c>
      <c r="I514" s="106"/>
      <c r="J514" s="105"/>
      <c r="K514" s="69"/>
      <c r="L514" s="69"/>
      <c r="N514" s="363"/>
      <c r="O514" s="363" t="s">
        <v>216</v>
      </c>
      <c r="P514" s="363"/>
      <c r="Q514" s="1845" t="str">
        <f>CHOOSE(2, "6722000003433", "S/GP (1)-1 Gross Profit Indirect HW KMI Office A4")</f>
        <v>S/GP (1)-1 Gross Profit Indirect HW KMI Office A4</v>
      </c>
      <c r="R514" s="2052">
        <v>38</v>
      </c>
      <c r="S514" s="2052">
        <v>0</v>
      </c>
      <c r="T514" s="2052">
        <v>0</v>
      </c>
      <c r="U514" s="2052">
        <v>0</v>
      </c>
      <c r="V514" s="2052">
        <v>0</v>
      </c>
      <c r="W514" s="2052">
        <v>0</v>
      </c>
      <c r="X514" s="2052">
        <v>0</v>
      </c>
      <c r="Y514" s="2052">
        <v>0</v>
      </c>
      <c r="Z514" s="2052">
        <v>0</v>
      </c>
      <c r="AA514" s="2052">
        <v>0</v>
      </c>
      <c r="AB514" s="2052">
        <v>0</v>
      </c>
      <c r="AC514" s="2052">
        <v>0</v>
      </c>
      <c r="AD514" s="1536">
        <f>SUM(R514,S514,T514)</f>
        <v>38</v>
      </c>
      <c r="AE514" s="378">
        <f t="shared" si="1066"/>
        <v>0</v>
      </c>
      <c r="AF514" s="378">
        <f t="shared" si="1067"/>
        <v>0</v>
      </c>
      <c r="AG514" s="378">
        <f t="shared" si="1068"/>
        <v>0</v>
      </c>
      <c r="AH514" s="378">
        <f>AD514+AE514</f>
        <v>38</v>
      </c>
      <c r="AI514" s="378">
        <f>AG514+AF514</f>
        <v>0</v>
      </c>
      <c r="AJ514" s="378">
        <f>AH514+AI514</f>
        <v>38</v>
      </c>
      <c r="AL514" s="378">
        <f ca="1">SUM((INDIRECT(AL$2&amp;(ROW())):INDIRECT(AL$3&amp;(ROW()))))</f>
        <v>0</v>
      </c>
      <c r="AM514" s="378">
        <f ca="1">SUM(INDIRECT(AM$1&amp;AM$2&amp;$C514):INDIRECT(AM$1&amp;AM$3&amp;$C514))</f>
        <v>0</v>
      </c>
      <c r="AN514" s="894">
        <f t="shared" ca="1" si="1013"/>
        <v>0</v>
      </c>
      <c r="AO514" s="955">
        <f t="shared" ca="1" si="1014"/>
        <v>0</v>
      </c>
      <c r="AP514" s="378">
        <f ca="1">SUM(INDIRECT(AP$1&amp;AP$2&amp;$A514):INDIRECT(AP$1&amp;AP$3&amp;$A514))</f>
        <v>0</v>
      </c>
      <c r="AQ514" s="894">
        <f t="shared" ca="1" si="1015"/>
        <v>0</v>
      </c>
      <c r="AR514" s="955">
        <f t="shared" ca="1" si="1016"/>
        <v>0</v>
      </c>
      <c r="AT514" s="378">
        <f ca="1">SUM((INDIRECT(AT$2&amp;(ROW())):INDIRECT(AT$3&amp;(ROW()))))</f>
        <v>0</v>
      </c>
      <c r="AU514" s="378">
        <f ca="1">SUM(INDIRECT(AU$1&amp;AU$2&amp;$C514):INDIRECT(AU$1&amp;AU$3&amp;$C514))</f>
        <v>0</v>
      </c>
      <c r="AV514" s="894">
        <f t="shared" ca="1" si="1017"/>
        <v>0</v>
      </c>
      <c r="AW514" s="955">
        <f t="shared" ca="1" si="1018"/>
        <v>0</v>
      </c>
      <c r="AX514" s="378">
        <f ca="1">SUM(INDIRECT(AX$1&amp;AX$2&amp;$A514):INDIRECT(AX$1&amp;AX$3&amp;$A514))</f>
        <v>0</v>
      </c>
      <c r="AY514" s="894">
        <f t="shared" ca="1" si="1019"/>
        <v>0</v>
      </c>
      <c r="AZ514" s="955">
        <f t="shared" ca="1" si="1020"/>
        <v>0</v>
      </c>
      <c r="BB514" s="378">
        <f ca="1">SUM((INDIRECT(BB$2&amp;(ROW())):INDIRECT(BB$3&amp;(ROW()))))</f>
        <v>38</v>
      </c>
      <c r="BC514" s="378">
        <f ca="1">SUM(INDIRECT(BC$1&amp;BC$2&amp;$C514):INDIRECT(BC$1&amp;BC$3&amp;$C514))</f>
        <v>0</v>
      </c>
      <c r="BD514" s="894">
        <f t="shared" ca="1" si="1021"/>
        <v>38</v>
      </c>
      <c r="BE514" s="955">
        <f t="shared" ca="1" si="1022"/>
        <v>0</v>
      </c>
      <c r="BF514" s="378">
        <f ca="1">SUM(INDIRECT(BF$1&amp;BF$2&amp;$A514):INDIRECT(BF$1&amp;BF$3&amp;$A514))</f>
        <v>0</v>
      </c>
      <c r="BG514" s="894">
        <f t="shared" ca="1" si="1023"/>
        <v>38</v>
      </c>
      <c r="BH514" s="955">
        <f t="shared" ca="1" si="1024"/>
        <v>0</v>
      </c>
    </row>
    <row r="515" spans="1:60" ht="14.5" collapsed="1">
      <c r="A515" s="990">
        <f t="shared" si="991"/>
        <v>466</v>
      </c>
      <c r="B515" s="990">
        <v>1</v>
      </c>
      <c r="C515" s="990">
        <f t="shared" si="1069"/>
        <v>512</v>
      </c>
      <c r="E515" s="1243">
        <v>1</v>
      </c>
      <c r="I515" s="106"/>
      <c r="J515" s="105"/>
      <c r="K515" s="69"/>
      <c r="L515" s="69"/>
      <c r="M515" s="12"/>
      <c r="N515" s="366" t="s">
        <v>217</v>
      </c>
      <c r="O515" s="366"/>
      <c r="P515" s="366"/>
      <c r="Q515" s="1845" t="str">
        <f>CHOOSE(2, "6722000003434", "S/GP (1)-1 Gross Profit Indirect HW 3rd Party")</f>
        <v>S/GP (1)-1 Gross Profit Indirect HW 3rd Party</v>
      </c>
      <c r="R515" s="2053">
        <v>0</v>
      </c>
      <c r="S515" s="2053">
        <v>0</v>
      </c>
      <c r="T515" s="2053">
        <v>0</v>
      </c>
      <c r="U515" s="2053">
        <v>0</v>
      </c>
      <c r="V515" s="2053">
        <v>0</v>
      </c>
      <c r="W515" s="2053">
        <v>0</v>
      </c>
      <c r="X515" s="2053">
        <v>0</v>
      </c>
      <c r="Y515" s="2053">
        <v>0</v>
      </c>
      <c r="Z515" s="2053">
        <v>0</v>
      </c>
      <c r="AA515" s="2053">
        <v>0</v>
      </c>
      <c r="AB515" s="2053">
        <v>0</v>
      </c>
      <c r="AC515" s="2053">
        <v>0</v>
      </c>
      <c r="AD515" s="1538">
        <f>SUM(R515,S515,T515)</f>
        <v>0</v>
      </c>
      <c r="AE515" s="379">
        <f t="shared" si="1066"/>
        <v>0</v>
      </c>
      <c r="AF515" s="379">
        <f t="shared" si="1067"/>
        <v>0</v>
      </c>
      <c r="AG515" s="379">
        <f t="shared" si="1068"/>
        <v>0</v>
      </c>
      <c r="AH515" s="379">
        <f>AD515+AE515</f>
        <v>0</v>
      </c>
      <c r="AI515" s="379">
        <f>AG515+AF515</f>
        <v>0</v>
      </c>
      <c r="AJ515" s="379">
        <f>AH515+AI515</f>
        <v>0</v>
      </c>
      <c r="AL515" s="379">
        <f ca="1">SUM((INDIRECT(AL$2&amp;(ROW())):INDIRECT(AL$3&amp;(ROW()))))</f>
        <v>0</v>
      </c>
      <c r="AM515" s="379">
        <f ca="1">SUM(INDIRECT(AM$1&amp;AM$2&amp;$C515):INDIRECT(AM$1&amp;AM$3&amp;$C515))</f>
        <v>0</v>
      </c>
      <c r="AN515" s="895">
        <f t="shared" ca="1" si="1013"/>
        <v>0</v>
      </c>
      <c r="AO515" s="956">
        <f t="shared" ca="1" si="1014"/>
        <v>0</v>
      </c>
      <c r="AP515" s="379">
        <f ca="1">SUM(INDIRECT(AP$1&amp;AP$2&amp;$A515):INDIRECT(AP$1&amp;AP$3&amp;$A515))</f>
        <v>0</v>
      </c>
      <c r="AQ515" s="895">
        <f t="shared" ca="1" si="1015"/>
        <v>0</v>
      </c>
      <c r="AR515" s="956">
        <f t="shared" ca="1" si="1016"/>
        <v>0</v>
      </c>
      <c r="AT515" s="379">
        <f ca="1">SUM((INDIRECT(AT$2&amp;(ROW())):INDIRECT(AT$3&amp;(ROW()))))</f>
        <v>0</v>
      </c>
      <c r="AU515" s="379">
        <f ca="1">SUM(INDIRECT(AU$1&amp;AU$2&amp;$C515):INDIRECT(AU$1&amp;AU$3&amp;$C515))</f>
        <v>0</v>
      </c>
      <c r="AV515" s="895">
        <f t="shared" ca="1" si="1017"/>
        <v>0</v>
      </c>
      <c r="AW515" s="956">
        <f t="shared" ca="1" si="1018"/>
        <v>0</v>
      </c>
      <c r="AX515" s="379">
        <f ca="1">SUM(INDIRECT(AX$1&amp;AX$2&amp;$A515):INDIRECT(AX$1&amp;AX$3&amp;$A515))</f>
        <v>0</v>
      </c>
      <c r="AY515" s="895">
        <f t="shared" ca="1" si="1019"/>
        <v>0</v>
      </c>
      <c r="AZ515" s="956">
        <f t="shared" ca="1" si="1020"/>
        <v>0</v>
      </c>
      <c r="BB515" s="379">
        <f ca="1">SUM((INDIRECT(BB$2&amp;(ROW())):INDIRECT(BB$3&amp;(ROW()))))</f>
        <v>0</v>
      </c>
      <c r="BC515" s="379">
        <f ca="1">SUM(INDIRECT(BC$1&amp;BC$2&amp;$C515):INDIRECT(BC$1&amp;BC$3&amp;$C515))</f>
        <v>0</v>
      </c>
      <c r="BD515" s="895">
        <f t="shared" ca="1" si="1021"/>
        <v>0</v>
      </c>
      <c r="BE515" s="956">
        <f t="shared" ca="1" si="1022"/>
        <v>0</v>
      </c>
      <c r="BF515" s="379">
        <f ca="1">SUM(INDIRECT(BF$1&amp;BF$2&amp;$A515):INDIRECT(BF$1&amp;BF$3&amp;$A515))</f>
        <v>0</v>
      </c>
      <c r="BG515" s="895">
        <f t="shared" ca="1" si="1023"/>
        <v>0</v>
      </c>
      <c r="BH515" s="956">
        <f t="shared" ca="1" si="1024"/>
        <v>0</v>
      </c>
    </row>
    <row r="516" spans="1:60" s="10" customFormat="1" ht="14.5">
      <c r="A516" s="990">
        <f t="shared" si="991"/>
        <v>467</v>
      </c>
      <c r="B516" s="990">
        <v>1</v>
      </c>
      <c r="C516" s="990">
        <f t="shared" si="1069"/>
        <v>513</v>
      </c>
      <c r="E516" s="1243">
        <v>1</v>
      </c>
      <c r="H516" s="24"/>
      <c r="I516" s="106"/>
      <c r="J516" s="280"/>
      <c r="K516" s="69"/>
      <c r="L516" s="69"/>
      <c r="M516" s="9" t="s">
        <v>218</v>
      </c>
      <c r="N516" s="363"/>
      <c r="O516" s="363"/>
      <c r="P516" s="363"/>
      <c r="Q516" s="1843" t="str">
        <f>CHOOSE(2, "6722000003435", "S/GP (1)-1 Gross Profit Indirect NH")</f>
        <v>S/GP (1)-1 Gross Profit Indirect NH</v>
      </c>
      <c r="R516" s="365">
        <f t="shared" ref="R516:AC516" si="1070">R517+R525+R529+R532+R524</f>
        <v>25837</v>
      </c>
      <c r="S516" s="365">
        <f t="shared" si="1070"/>
        <v>8778</v>
      </c>
      <c r="T516" s="365">
        <f t="shared" si="1070"/>
        <v>29699</v>
      </c>
      <c r="U516" s="365">
        <f t="shared" si="1070"/>
        <v>23839</v>
      </c>
      <c r="V516" s="365">
        <f t="shared" si="1070"/>
        <v>26896.172962656459</v>
      </c>
      <c r="W516" s="365">
        <f t="shared" si="1070"/>
        <v>22303</v>
      </c>
      <c r="X516" s="365">
        <f t="shared" si="1070"/>
        <v>25596</v>
      </c>
      <c r="Y516" s="365">
        <f t="shared" si="1070"/>
        <v>29726</v>
      </c>
      <c r="Z516" s="365">
        <f t="shared" si="1070"/>
        <v>21828</v>
      </c>
      <c r="AA516" s="365">
        <f t="shared" si="1070"/>
        <v>22066</v>
      </c>
      <c r="AB516" s="365">
        <f t="shared" si="1070"/>
        <v>18537</v>
      </c>
      <c r="AC516" s="365">
        <f t="shared" si="1070"/>
        <v>23220</v>
      </c>
      <c r="AD516" s="408">
        <f t="shared" ref="AD516:AJ516" si="1071">AD517+AD525+AD529+AD532+AD524</f>
        <v>64314</v>
      </c>
      <c r="AE516" s="365">
        <f t="shared" si="1071"/>
        <v>73038.172962656463</v>
      </c>
      <c r="AF516" s="365">
        <f t="shared" si="1071"/>
        <v>77150</v>
      </c>
      <c r="AG516" s="365">
        <f t="shared" si="1071"/>
        <v>63823</v>
      </c>
      <c r="AH516" s="365">
        <f t="shared" si="1071"/>
        <v>137352.17296265648</v>
      </c>
      <c r="AI516" s="365">
        <f t="shared" si="1071"/>
        <v>140973</v>
      </c>
      <c r="AJ516" s="365">
        <f t="shared" si="1071"/>
        <v>278325.17296265642</v>
      </c>
      <c r="AL516" s="365">
        <f ca="1">SUM((INDIRECT(AL$2&amp;(ROW())):INDIRECT(AL$3&amp;(ROW()))))</f>
        <v>23220</v>
      </c>
      <c r="AM516" s="365">
        <f ca="1">SUM(INDIRECT(AM$1&amp;AM$2&amp;$C516):INDIRECT(AM$1&amp;AM$3&amp;$C516))</f>
        <v>0</v>
      </c>
      <c r="AN516" s="891">
        <f t="shared" ref="AN516:AN533" ca="1" si="1072">AL516-AM516</f>
        <v>23220</v>
      </c>
      <c r="AO516" s="952">
        <f t="shared" ref="AO516:AO533" ca="1" si="1073">IFERROR(AL516/AM516,0)</f>
        <v>0</v>
      </c>
      <c r="AP516" s="365">
        <f ca="1">SUM(INDIRECT(AP$1&amp;AP$2&amp;$A516):INDIRECT(AP$1&amp;AP$3&amp;$A516))</f>
        <v>14098</v>
      </c>
      <c r="AQ516" s="891">
        <f t="shared" ref="AQ516:AQ533" ca="1" si="1074">AL516-AP516</f>
        <v>9122</v>
      </c>
      <c r="AR516" s="952">
        <f t="shared" ref="AR516:AR533" ca="1" si="1075">IFERROR(AL516/AP516,0)</f>
        <v>1.6470421336359766</v>
      </c>
      <c r="AT516" s="365">
        <f ca="1">SUM((INDIRECT(AT$2&amp;(ROW())):INDIRECT(AT$3&amp;(ROW()))))</f>
        <v>63823</v>
      </c>
      <c r="AU516" s="365">
        <f ca="1">SUM(INDIRECT(AU$1&amp;AU$2&amp;$C516):INDIRECT(AU$1&amp;AU$3&amp;$C516))</f>
        <v>0</v>
      </c>
      <c r="AV516" s="891">
        <f t="shared" ref="AV516:AV533" ca="1" si="1076">AT516-AU516</f>
        <v>63823</v>
      </c>
      <c r="AW516" s="952">
        <f t="shared" ref="AW516:AW533" ca="1" si="1077">IFERROR(AT516/AU516,0)</f>
        <v>0</v>
      </c>
      <c r="AX516" s="365">
        <f ca="1">SUM(INDIRECT(AX$1&amp;AX$2&amp;$A516):INDIRECT(AX$1&amp;AX$3&amp;$A516))</f>
        <v>44791</v>
      </c>
      <c r="AY516" s="891">
        <f t="shared" ref="AY516:AY533" ca="1" si="1078">AT516-AX516</f>
        <v>19032</v>
      </c>
      <c r="AZ516" s="952">
        <f t="shared" ref="AZ516:AZ533" ca="1" si="1079">IFERROR(AT516/AX516,0)</f>
        <v>1.4249067893103524</v>
      </c>
      <c r="BB516" s="365">
        <f ca="1">SUM((INDIRECT(BB$2&amp;(ROW())):INDIRECT(BB$3&amp;(ROW()))))</f>
        <v>278325.17296265648</v>
      </c>
      <c r="BC516" s="365">
        <f ca="1">SUM(INDIRECT(BC$1&amp;BC$2&amp;$C516):INDIRECT(BC$1&amp;BC$3&amp;$C516))</f>
        <v>0</v>
      </c>
      <c r="BD516" s="891">
        <f t="shared" ref="BD516:BD533" ca="1" si="1080">BB516-BC516</f>
        <v>278325.17296265648</v>
      </c>
      <c r="BE516" s="952">
        <f t="shared" ref="BE516:BE533" ca="1" si="1081">IFERROR(BB516/BC516,0)</f>
        <v>0</v>
      </c>
      <c r="BF516" s="365">
        <f ca="1">SUM(INDIRECT(BF$1&amp;BF$2&amp;$A516):INDIRECT(BF$1&amp;BF$3&amp;$A516))</f>
        <v>203995</v>
      </c>
      <c r="BG516" s="891">
        <f t="shared" ref="BG516:BG533" ca="1" si="1082">BB516-BF516</f>
        <v>74330.172962656477</v>
      </c>
      <c r="BH516" s="952">
        <f t="shared" ref="BH516:BH533" ca="1" si="1083">IFERROR(BB516/BF516,0)</f>
        <v>1.3643725236533075</v>
      </c>
    </row>
    <row r="517" spans="1:60" ht="14.5">
      <c r="A517" s="990">
        <f t="shared" si="991"/>
        <v>468</v>
      </c>
      <c r="B517" s="990">
        <v>1</v>
      </c>
      <c r="C517" s="990">
        <f t="shared" si="1069"/>
        <v>514</v>
      </c>
      <c r="E517" s="1243">
        <v>1</v>
      </c>
      <c r="I517" s="106"/>
      <c r="J517" s="105"/>
      <c r="K517" s="69"/>
      <c r="L517" s="69"/>
      <c r="N517" s="111" t="s">
        <v>214</v>
      </c>
      <c r="O517" s="111"/>
      <c r="P517" s="111"/>
      <c r="Q517" s="1843" t="str">
        <f>CHOOSE(2, "6722000003436", "S/GP (1)-1 Gross Profit Indirect NH KMI")</f>
        <v>S/GP (1)-1 Gross Profit Indirect NH KMI</v>
      </c>
      <c r="R517" s="109">
        <f>R518+R521</f>
        <v>25837</v>
      </c>
      <c r="S517" s="109">
        <f t="shared" ref="S517:AC517" si="1084">S518+S521</f>
        <v>8778</v>
      </c>
      <c r="T517" s="109">
        <f t="shared" si="1084"/>
        <v>29699</v>
      </c>
      <c r="U517" s="109">
        <f t="shared" si="1084"/>
        <v>23839</v>
      </c>
      <c r="V517" s="109">
        <f t="shared" si="1084"/>
        <v>26896.172962656459</v>
      </c>
      <c r="W517" s="109">
        <f t="shared" si="1084"/>
        <v>22303</v>
      </c>
      <c r="X517" s="109">
        <f t="shared" si="1084"/>
        <v>25596</v>
      </c>
      <c r="Y517" s="109">
        <f t="shared" si="1084"/>
        <v>29726</v>
      </c>
      <c r="Z517" s="109">
        <f t="shared" si="1084"/>
        <v>21828</v>
      </c>
      <c r="AA517" s="109">
        <f t="shared" si="1084"/>
        <v>22066</v>
      </c>
      <c r="AB517" s="109">
        <f t="shared" si="1084"/>
        <v>18537</v>
      </c>
      <c r="AC517" s="109">
        <f t="shared" si="1084"/>
        <v>23220</v>
      </c>
      <c r="AD517" s="1537">
        <f>AD518+AD521</f>
        <v>64314</v>
      </c>
      <c r="AE517" s="108">
        <f t="shared" ref="AE517:AJ517" si="1085">AE518+AE521</f>
        <v>73038.172962656463</v>
      </c>
      <c r="AF517" s="108">
        <f t="shared" si="1085"/>
        <v>77150</v>
      </c>
      <c r="AG517" s="108">
        <f t="shared" si="1085"/>
        <v>63823</v>
      </c>
      <c r="AH517" s="108">
        <f t="shared" si="1085"/>
        <v>137352.17296265648</v>
      </c>
      <c r="AI517" s="108">
        <f t="shared" si="1085"/>
        <v>140973</v>
      </c>
      <c r="AJ517" s="108">
        <f t="shared" si="1085"/>
        <v>278325.17296265642</v>
      </c>
      <c r="AL517" s="108">
        <f ca="1">SUM((INDIRECT(AL$2&amp;(ROW())):INDIRECT(AL$3&amp;(ROW()))))</f>
        <v>23220</v>
      </c>
      <c r="AM517" s="108">
        <f ca="1">SUM(INDIRECT(AM$1&amp;AM$2&amp;$C517):INDIRECT(AM$1&amp;AM$3&amp;$C517))</f>
        <v>0</v>
      </c>
      <c r="AN517" s="893">
        <f t="shared" ca="1" si="1072"/>
        <v>23220</v>
      </c>
      <c r="AO517" s="954">
        <f t="shared" ca="1" si="1073"/>
        <v>0</v>
      </c>
      <c r="AP517" s="108">
        <f ca="1">SUM(INDIRECT(AP$1&amp;AP$2&amp;$A517):INDIRECT(AP$1&amp;AP$3&amp;$A517))</f>
        <v>14098</v>
      </c>
      <c r="AQ517" s="893">
        <f t="shared" ca="1" si="1074"/>
        <v>9122</v>
      </c>
      <c r="AR517" s="954">
        <f t="shared" ca="1" si="1075"/>
        <v>1.6470421336359766</v>
      </c>
      <c r="AT517" s="108">
        <f ca="1">SUM((INDIRECT(AT$2&amp;(ROW())):INDIRECT(AT$3&amp;(ROW()))))</f>
        <v>63823</v>
      </c>
      <c r="AU517" s="108">
        <f ca="1">SUM(INDIRECT(AU$1&amp;AU$2&amp;$C517):INDIRECT(AU$1&amp;AU$3&amp;$C517))</f>
        <v>0</v>
      </c>
      <c r="AV517" s="893">
        <f t="shared" ca="1" si="1076"/>
        <v>63823</v>
      </c>
      <c r="AW517" s="954">
        <f t="shared" ca="1" si="1077"/>
        <v>0</v>
      </c>
      <c r="AX517" s="108">
        <f ca="1">SUM(INDIRECT(AX$1&amp;AX$2&amp;$A517):INDIRECT(AX$1&amp;AX$3&amp;$A517))</f>
        <v>44791</v>
      </c>
      <c r="AY517" s="893">
        <f t="shared" ca="1" si="1078"/>
        <v>19032</v>
      </c>
      <c r="AZ517" s="954">
        <f t="shared" ca="1" si="1079"/>
        <v>1.4249067893103524</v>
      </c>
      <c r="BB517" s="108">
        <f ca="1">SUM((INDIRECT(BB$2&amp;(ROW())):INDIRECT(BB$3&amp;(ROW()))))</f>
        <v>278325.17296265648</v>
      </c>
      <c r="BC517" s="108">
        <f ca="1">SUM(INDIRECT(BC$1&amp;BC$2&amp;$C517):INDIRECT(BC$1&amp;BC$3&amp;$C517))</f>
        <v>0</v>
      </c>
      <c r="BD517" s="893">
        <f t="shared" ca="1" si="1080"/>
        <v>278325.17296265648</v>
      </c>
      <c r="BE517" s="954">
        <f t="shared" ca="1" si="1081"/>
        <v>0</v>
      </c>
      <c r="BF517" s="108">
        <f ca="1">SUM(INDIRECT(BF$1&amp;BF$2&amp;$A517):INDIRECT(BF$1&amp;BF$3&amp;$A517))</f>
        <v>203995</v>
      </c>
      <c r="BG517" s="893">
        <f t="shared" ca="1" si="1082"/>
        <v>74330.172962656477</v>
      </c>
      <c r="BH517" s="954">
        <f t="shared" ca="1" si="1083"/>
        <v>1.3643725236533075</v>
      </c>
    </row>
    <row r="518" spans="1:60" ht="14.5">
      <c r="A518" s="990">
        <f t="shared" si="991"/>
        <v>469</v>
      </c>
      <c r="B518" s="990">
        <v>1</v>
      </c>
      <c r="C518" s="990">
        <f t="shared" si="1069"/>
        <v>515</v>
      </c>
      <c r="E518" s="1243">
        <v>1</v>
      </c>
      <c r="I518" s="106"/>
      <c r="J518" s="105"/>
      <c r="K518" s="69"/>
      <c r="L518" s="69"/>
      <c r="O518" s="111" t="s">
        <v>215</v>
      </c>
      <c r="P518" s="111"/>
      <c r="Q518" s="1843" t="str">
        <f>CHOOSE(2, "6722000003437", "S/GP (1)-1 Gross Profit Indirect NH KMI Office A3")</f>
        <v>S/GP (1)-1 Gross Profit Indirect NH KMI Office A3</v>
      </c>
      <c r="R518" s="109">
        <f>SUM(R519:R520)</f>
        <v>25782</v>
      </c>
      <c r="S518" s="109">
        <f t="shared" ref="S518:AC518" si="1086">SUM(S519:S520)</f>
        <v>8746</v>
      </c>
      <c r="T518" s="109">
        <f t="shared" si="1086"/>
        <v>29683</v>
      </c>
      <c r="U518" s="109">
        <f t="shared" si="1086"/>
        <v>23765</v>
      </c>
      <c r="V518" s="109">
        <f t="shared" si="1086"/>
        <v>26791.81679265646</v>
      </c>
      <c r="W518" s="109">
        <f t="shared" si="1086"/>
        <v>22148</v>
      </c>
      <c r="X518" s="109">
        <f t="shared" si="1086"/>
        <v>25398</v>
      </c>
      <c r="Y518" s="109">
        <f t="shared" si="1086"/>
        <v>29557</v>
      </c>
      <c r="Z518" s="109">
        <f t="shared" si="1086"/>
        <v>21745</v>
      </c>
      <c r="AA518" s="109">
        <f t="shared" si="1086"/>
        <v>22066</v>
      </c>
      <c r="AB518" s="109">
        <f t="shared" si="1086"/>
        <v>18537</v>
      </c>
      <c r="AC518" s="109">
        <f t="shared" si="1086"/>
        <v>23220</v>
      </c>
      <c r="AD518" s="1537">
        <f t="shared" ref="AD518:AJ518" si="1087">SUM(AD519:AD520)</f>
        <v>64211</v>
      </c>
      <c r="AE518" s="108">
        <f t="shared" si="1087"/>
        <v>72704.816792656464</v>
      </c>
      <c r="AF518" s="108">
        <f t="shared" si="1087"/>
        <v>76700</v>
      </c>
      <c r="AG518" s="108">
        <f t="shared" si="1087"/>
        <v>63823</v>
      </c>
      <c r="AH518" s="108">
        <f t="shared" si="1087"/>
        <v>136915.81679265646</v>
      </c>
      <c r="AI518" s="108">
        <f t="shared" si="1087"/>
        <v>140523</v>
      </c>
      <c r="AJ518" s="108">
        <f t="shared" si="1087"/>
        <v>277438.81679265643</v>
      </c>
      <c r="AL518" s="108">
        <f ca="1">SUM((INDIRECT(AL$2&amp;(ROW())):INDIRECT(AL$3&amp;(ROW()))))</f>
        <v>23220</v>
      </c>
      <c r="AM518" s="108">
        <f ca="1">SUM(INDIRECT(AM$1&amp;AM$2&amp;$C518):INDIRECT(AM$1&amp;AM$3&amp;$C518))</f>
        <v>0</v>
      </c>
      <c r="AN518" s="893">
        <f t="shared" ca="1" si="1072"/>
        <v>23220</v>
      </c>
      <c r="AO518" s="954">
        <f t="shared" ca="1" si="1073"/>
        <v>0</v>
      </c>
      <c r="AP518" s="108">
        <f ca="1">SUM(INDIRECT(AP$1&amp;AP$2&amp;$A518):INDIRECT(AP$1&amp;AP$3&amp;$A518))</f>
        <v>14022</v>
      </c>
      <c r="AQ518" s="893">
        <f t="shared" ca="1" si="1074"/>
        <v>9198</v>
      </c>
      <c r="AR518" s="954">
        <f t="shared" ca="1" si="1075"/>
        <v>1.6559691912708601</v>
      </c>
      <c r="AT518" s="108">
        <f ca="1">SUM((INDIRECT(AT$2&amp;(ROW())):INDIRECT(AT$3&amp;(ROW()))))</f>
        <v>63823</v>
      </c>
      <c r="AU518" s="108">
        <f ca="1">SUM(INDIRECT(AU$1&amp;AU$2&amp;$C518):INDIRECT(AU$1&amp;AU$3&amp;$C518))</f>
        <v>0</v>
      </c>
      <c r="AV518" s="893">
        <f t="shared" ca="1" si="1076"/>
        <v>63823</v>
      </c>
      <c r="AW518" s="954">
        <f t="shared" ca="1" si="1077"/>
        <v>0</v>
      </c>
      <c r="AX518" s="108">
        <f ca="1">SUM(INDIRECT(AX$1&amp;AX$2&amp;$A518):INDIRECT(AX$1&amp;AX$3&amp;$A518))</f>
        <v>44567</v>
      </c>
      <c r="AY518" s="893">
        <f t="shared" ca="1" si="1078"/>
        <v>19256</v>
      </c>
      <c r="AZ518" s="954">
        <f t="shared" ca="1" si="1079"/>
        <v>1.4320685709156999</v>
      </c>
      <c r="BB518" s="108">
        <f ca="1">SUM((INDIRECT(BB$2&amp;(ROW())):INDIRECT(BB$3&amp;(ROW()))))</f>
        <v>277438.81679265643</v>
      </c>
      <c r="BC518" s="108">
        <f ca="1">SUM(INDIRECT(BC$1&amp;BC$2&amp;$C518):INDIRECT(BC$1&amp;BC$3&amp;$C518))</f>
        <v>0</v>
      </c>
      <c r="BD518" s="893">
        <f t="shared" ca="1" si="1080"/>
        <v>277438.81679265643</v>
      </c>
      <c r="BE518" s="954">
        <f t="shared" ca="1" si="1081"/>
        <v>0</v>
      </c>
      <c r="BF518" s="108">
        <f ca="1">SUM(INDIRECT(BF$1&amp;BF$2&amp;$A518):INDIRECT(BF$1&amp;BF$3&amp;$A518))</f>
        <v>203434</v>
      </c>
      <c r="BG518" s="893">
        <f t="shared" ca="1" si="1082"/>
        <v>74004.816792656435</v>
      </c>
      <c r="BH518" s="954">
        <f t="shared" ca="1" si="1083"/>
        <v>1.3637780154382082</v>
      </c>
    </row>
    <row r="519" spans="1:60" ht="14.5">
      <c r="A519" s="990">
        <f t="shared" si="991"/>
        <v>470</v>
      </c>
      <c r="B519" s="990">
        <v>1</v>
      </c>
      <c r="C519" s="990">
        <f t="shared" si="1069"/>
        <v>516</v>
      </c>
      <c r="E519" s="1243">
        <v>1</v>
      </c>
      <c r="I519" s="106"/>
      <c r="J519" s="105"/>
      <c r="K519" s="69"/>
      <c r="L519" s="69"/>
      <c r="P519" s="9" t="s">
        <v>222</v>
      </c>
      <c r="Q519" s="1845" t="str">
        <f>CHOOSE(2, "6722000003438", "S/GP (1)-1 Gross Profit Indirect NH KMI Office A3 Cons")</f>
        <v>S/GP (1)-1 Gross Profit Indirect NH KMI Office A3 Cons</v>
      </c>
      <c r="R519" s="2036">
        <v>25782</v>
      </c>
      <c r="S519" s="2036">
        <v>8746</v>
      </c>
      <c r="T519" s="2036">
        <v>29683</v>
      </c>
      <c r="U519" s="2036">
        <v>23765</v>
      </c>
      <c r="V519" s="2036">
        <v>26791.81679265646</v>
      </c>
      <c r="W519" s="2036">
        <v>22148</v>
      </c>
      <c r="X519" s="2036">
        <v>25398</v>
      </c>
      <c r="Y519" s="2036">
        <v>29557</v>
      </c>
      <c r="Z519" s="2036">
        <v>21745</v>
      </c>
      <c r="AA519" s="2036">
        <v>22066</v>
      </c>
      <c r="AB519" s="2036">
        <v>18537</v>
      </c>
      <c r="AC519" s="2036">
        <v>23220</v>
      </c>
      <c r="AD519" s="1380">
        <f>SUM(R519,S519,T519)</f>
        <v>64211</v>
      </c>
      <c r="AE519" s="107">
        <f t="shared" ref="AE519:AE520" si="1088">SUM(U519,V519,W519)</f>
        <v>72704.816792656464</v>
      </c>
      <c r="AF519" s="107">
        <f t="shared" ref="AF519:AF520" si="1089">SUM(X519,Y519,Z519)</f>
        <v>76700</v>
      </c>
      <c r="AG519" s="107">
        <f t="shared" ref="AG519:AG520" si="1090">SUM(AA519,AB519,AC519)</f>
        <v>63823</v>
      </c>
      <c r="AH519" s="107">
        <f>AD519+AE519</f>
        <v>136915.81679265646</v>
      </c>
      <c r="AI519" s="107">
        <f>AG519+AF519</f>
        <v>140523</v>
      </c>
      <c r="AJ519" s="107">
        <f>AH519+AI519</f>
        <v>277438.81679265643</v>
      </c>
      <c r="AL519" s="107">
        <f ca="1">SUM((INDIRECT(AL$2&amp;(ROW())):INDIRECT(AL$3&amp;(ROW()))))</f>
        <v>23220</v>
      </c>
      <c r="AM519" s="107">
        <f ca="1">SUM(INDIRECT(AM$1&amp;AM$2&amp;$C519):INDIRECT(AM$1&amp;AM$3&amp;$C519))</f>
        <v>0</v>
      </c>
      <c r="AN519" s="898">
        <f t="shared" ca="1" si="1072"/>
        <v>23220</v>
      </c>
      <c r="AO519" s="959">
        <f t="shared" ca="1" si="1073"/>
        <v>0</v>
      </c>
      <c r="AP519" s="107">
        <f ca="1">SUM(INDIRECT(AP$1&amp;AP$2&amp;$A519):INDIRECT(AP$1&amp;AP$3&amp;$A519))</f>
        <v>14022</v>
      </c>
      <c r="AQ519" s="898">
        <f t="shared" ca="1" si="1074"/>
        <v>9198</v>
      </c>
      <c r="AR519" s="959">
        <f t="shared" ca="1" si="1075"/>
        <v>1.6559691912708601</v>
      </c>
      <c r="AT519" s="107">
        <f ca="1">SUM((INDIRECT(AT$2&amp;(ROW())):INDIRECT(AT$3&amp;(ROW()))))</f>
        <v>63823</v>
      </c>
      <c r="AU519" s="107">
        <f ca="1">SUM(INDIRECT(AU$1&amp;AU$2&amp;$C519):INDIRECT(AU$1&amp;AU$3&amp;$C519))</f>
        <v>0</v>
      </c>
      <c r="AV519" s="898">
        <f t="shared" ca="1" si="1076"/>
        <v>63823</v>
      </c>
      <c r="AW519" s="959">
        <f t="shared" ca="1" si="1077"/>
        <v>0</v>
      </c>
      <c r="AX519" s="107">
        <f ca="1">SUM(INDIRECT(AX$1&amp;AX$2&amp;$A519):INDIRECT(AX$1&amp;AX$3&amp;$A519))</f>
        <v>44567</v>
      </c>
      <c r="AY519" s="898">
        <f t="shared" ca="1" si="1078"/>
        <v>19256</v>
      </c>
      <c r="AZ519" s="959">
        <f t="shared" ca="1" si="1079"/>
        <v>1.4320685709156999</v>
      </c>
      <c r="BB519" s="107">
        <f ca="1">SUM((INDIRECT(BB$2&amp;(ROW())):INDIRECT(BB$3&amp;(ROW()))))</f>
        <v>277438.81679265643</v>
      </c>
      <c r="BC519" s="107">
        <f ca="1">SUM(INDIRECT(BC$1&amp;BC$2&amp;$C519):INDIRECT(BC$1&amp;BC$3&amp;$C519))</f>
        <v>0</v>
      </c>
      <c r="BD519" s="898">
        <f t="shared" ca="1" si="1080"/>
        <v>277438.81679265643</v>
      </c>
      <c r="BE519" s="959">
        <f t="shared" ca="1" si="1081"/>
        <v>0</v>
      </c>
      <c r="BF519" s="107">
        <f ca="1">SUM(INDIRECT(BF$1&amp;BF$2&amp;$A519):INDIRECT(BF$1&amp;BF$3&amp;$A519))</f>
        <v>203434</v>
      </c>
      <c r="BG519" s="898">
        <f t="shared" ca="1" si="1082"/>
        <v>74004.816792656435</v>
      </c>
      <c r="BH519" s="959">
        <f t="shared" ca="1" si="1083"/>
        <v>1.3637780154382082</v>
      </c>
    </row>
    <row r="520" spans="1:60" ht="14.5">
      <c r="A520" s="990">
        <f t="shared" si="991"/>
        <v>471</v>
      </c>
      <c r="B520" s="990">
        <v>1</v>
      </c>
      <c r="C520" s="990">
        <f t="shared" si="1069"/>
        <v>517</v>
      </c>
      <c r="E520" s="1243">
        <v>1</v>
      </c>
      <c r="I520" s="106"/>
      <c r="J520" s="105"/>
      <c r="K520" s="69"/>
      <c r="L520" s="69"/>
      <c r="P520" s="9" t="s">
        <v>223</v>
      </c>
      <c r="Q520" s="1845" t="str">
        <f>CHOOSE(2, "6722000003439", "S/GP (1)-1 Gross Profit Indirect NH KMI Office A3 Parts")</f>
        <v>S/GP (1)-1 Gross Profit Indirect NH KMI Office A3 Parts</v>
      </c>
      <c r="R520" s="2036">
        <v>0</v>
      </c>
      <c r="S520" s="2036">
        <v>0</v>
      </c>
      <c r="T520" s="2036">
        <v>0</v>
      </c>
      <c r="U520" s="2036">
        <v>0</v>
      </c>
      <c r="V520" s="2036">
        <v>0</v>
      </c>
      <c r="W520" s="2036">
        <v>0</v>
      </c>
      <c r="X520" s="2036">
        <v>0</v>
      </c>
      <c r="Y520" s="2036">
        <v>0</v>
      </c>
      <c r="Z520" s="2036">
        <v>0</v>
      </c>
      <c r="AA520" s="2036">
        <v>0</v>
      </c>
      <c r="AB520" s="2036">
        <v>0</v>
      </c>
      <c r="AC520" s="2036">
        <v>0</v>
      </c>
      <c r="AD520" s="1380">
        <f>SUM(R520,S520,T520)</f>
        <v>0</v>
      </c>
      <c r="AE520" s="107">
        <f t="shared" si="1088"/>
        <v>0</v>
      </c>
      <c r="AF520" s="107">
        <f t="shared" si="1089"/>
        <v>0</v>
      </c>
      <c r="AG520" s="107">
        <f t="shared" si="1090"/>
        <v>0</v>
      </c>
      <c r="AH520" s="107">
        <f>AD520+AE520</f>
        <v>0</v>
      </c>
      <c r="AI520" s="107">
        <f>AG520+AF520</f>
        <v>0</v>
      </c>
      <c r="AJ520" s="107">
        <f>AH520+AI520</f>
        <v>0</v>
      </c>
      <c r="AL520" s="107">
        <f ca="1">SUM((INDIRECT(AL$2&amp;(ROW())):INDIRECT(AL$3&amp;(ROW()))))</f>
        <v>0</v>
      </c>
      <c r="AM520" s="107">
        <f ca="1">SUM(INDIRECT(AM$1&amp;AM$2&amp;$C520):INDIRECT(AM$1&amp;AM$3&amp;$C520))</f>
        <v>0</v>
      </c>
      <c r="AN520" s="898">
        <f t="shared" ca="1" si="1072"/>
        <v>0</v>
      </c>
      <c r="AO520" s="959">
        <f t="shared" ca="1" si="1073"/>
        <v>0</v>
      </c>
      <c r="AP520" s="107">
        <f ca="1">SUM(INDIRECT(AP$1&amp;AP$2&amp;$A520):INDIRECT(AP$1&amp;AP$3&amp;$A520))</f>
        <v>0</v>
      </c>
      <c r="AQ520" s="898">
        <f t="shared" ca="1" si="1074"/>
        <v>0</v>
      </c>
      <c r="AR520" s="959">
        <f t="shared" ca="1" si="1075"/>
        <v>0</v>
      </c>
      <c r="AT520" s="107">
        <f ca="1">SUM((INDIRECT(AT$2&amp;(ROW())):INDIRECT(AT$3&amp;(ROW()))))</f>
        <v>0</v>
      </c>
      <c r="AU520" s="107">
        <f ca="1">SUM(INDIRECT(AU$1&amp;AU$2&amp;$C520):INDIRECT(AU$1&amp;AU$3&amp;$C520))</f>
        <v>0</v>
      </c>
      <c r="AV520" s="898">
        <f t="shared" ca="1" si="1076"/>
        <v>0</v>
      </c>
      <c r="AW520" s="959">
        <f t="shared" ca="1" si="1077"/>
        <v>0</v>
      </c>
      <c r="AX520" s="107">
        <f ca="1">SUM(INDIRECT(AX$1&amp;AX$2&amp;$A520):INDIRECT(AX$1&amp;AX$3&amp;$A520))</f>
        <v>0</v>
      </c>
      <c r="AY520" s="898">
        <f t="shared" ca="1" si="1078"/>
        <v>0</v>
      </c>
      <c r="AZ520" s="959">
        <f t="shared" ca="1" si="1079"/>
        <v>0</v>
      </c>
      <c r="BB520" s="107">
        <f ca="1">SUM((INDIRECT(BB$2&amp;(ROW())):INDIRECT(BB$3&amp;(ROW()))))</f>
        <v>0</v>
      </c>
      <c r="BC520" s="107">
        <f ca="1">SUM(INDIRECT(BC$1&amp;BC$2&amp;$C520):INDIRECT(BC$1&amp;BC$3&amp;$C520))</f>
        <v>0</v>
      </c>
      <c r="BD520" s="898">
        <f t="shared" ca="1" si="1080"/>
        <v>0</v>
      </c>
      <c r="BE520" s="959">
        <f t="shared" ca="1" si="1081"/>
        <v>0</v>
      </c>
      <c r="BF520" s="107">
        <f ca="1">SUM(INDIRECT(BF$1&amp;BF$2&amp;$A520):INDIRECT(BF$1&amp;BF$3&amp;$A520))</f>
        <v>0</v>
      </c>
      <c r="BG520" s="898">
        <f t="shared" ca="1" si="1082"/>
        <v>0</v>
      </c>
      <c r="BH520" s="959">
        <f t="shared" ca="1" si="1083"/>
        <v>0</v>
      </c>
    </row>
    <row r="521" spans="1:60" ht="14.5">
      <c r="A521" s="990">
        <f t="shared" si="991"/>
        <v>472</v>
      </c>
      <c r="B521" s="990">
        <v>1</v>
      </c>
      <c r="C521" s="990">
        <f t="shared" si="1069"/>
        <v>518</v>
      </c>
      <c r="E521" s="1243">
        <v>1</v>
      </c>
      <c r="I521" s="106"/>
      <c r="J521" s="105"/>
      <c r="K521" s="69"/>
      <c r="L521" s="69"/>
      <c r="O521" s="111" t="s">
        <v>216</v>
      </c>
      <c r="P521" s="111"/>
      <c r="Q521" s="1843" t="str">
        <f>CHOOSE(2, "6722000003440", "S/GP (1)-1 Gross Profit Indirect NH KMI Office A4")</f>
        <v>S/GP (1)-1 Gross Profit Indirect NH KMI Office A4</v>
      </c>
      <c r="R521" s="109">
        <f>SUM(R522:R523)</f>
        <v>55</v>
      </c>
      <c r="S521" s="109">
        <f t="shared" ref="S521:AC521" si="1091">SUM(S522:S523)</f>
        <v>32</v>
      </c>
      <c r="T521" s="109">
        <f t="shared" si="1091"/>
        <v>16</v>
      </c>
      <c r="U521" s="109">
        <f t="shared" si="1091"/>
        <v>74</v>
      </c>
      <c r="V521" s="109">
        <f t="shared" si="1091"/>
        <v>104.35617000000001</v>
      </c>
      <c r="W521" s="109">
        <f t="shared" si="1091"/>
        <v>155</v>
      </c>
      <c r="X521" s="109">
        <f t="shared" si="1091"/>
        <v>198</v>
      </c>
      <c r="Y521" s="109">
        <f t="shared" si="1091"/>
        <v>169</v>
      </c>
      <c r="Z521" s="109">
        <f t="shared" si="1091"/>
        <v>83</v>
      </c>
      <c r="AA521" s="109">
        <f t="shared" si="1091"/>
        <v>0</v>
      </c>
      <c r="AB521" s="109">
        <f t="shared" si="1091"/>
        <v>0</v>
      </c>
      <c r="AC521" s="109">
        <f t="shared" si="1091"/>
        <v>0</v>
      </c>
      <c r="AD521" s="1537">
        <f t="shared" ref="AD521:AJ521" si="1092">SUM(AD522:AD523)</f>
        <v>103</v>
      </c>
      <c r="AE521" s="108">
        <f t="shared" si="1092"/>
        <v>333.35617000000002</v>
      </c>
      <c r="AF521" s="108">
        <f t="shared" si="1092"/>
        <v>450</v>
      </c>
      <c r="AG521" s="108">
        <f t="shared" si="1092"/>
        <v>0</v>
      </c>
      <c r="AH521" s="108">
        <f t="shared" si="1092"/>
        <v>436.35617000000002</v>
      </c>
      <c r="AI521" s="108">
        <f t="shared" si="1092"/>
        <v>450</v>
      </c>
      <c r="AJ521" s="108">
        <f t="shared" si="1092"/>
        <v>886.35617000000002</v>
      </c>
      <c r="AL521" s="108">
        <f ca="1">SUM((INDIRECT(AL$2&amp;(ROW())):INDIRECT(AL$3&amp;(ROW()))))</f>
        <v>0</v>
      </c>
      <c r="AM521" s="108">
        <f ca="1">SUM(INDIRECT(AM$1&amp;AM$2&amp;$C521):INDIRECT(AM$1&amp;AM$3&amp;$C521))</f>
        <v>0</v>
      </c>
      <c r="AN521" s="893">
        <f t="shared" ca="1" si="1072"/>
        <v>0</v>
      </c>
      <c r="AO521" s="954">
        <f t="shared" ca="1" si="1073"/>
        <v>0</v>
      </c>
      <c r="AP521" s="108">
        <f ca="1">SUM(INDIRECT(AP$1&amp;AP$2&amp;$A521):INDIRECT(AP$1&amp;AP$3&amp;$A521))</f>
        <v>76</v>
      </c>
      <c r="AQ521" s="893">
        <f t="shared" ca="1" si="1074"/>
        <v>-76</v>
      </c>
      <c r="AR521" s="954">
        <f t="shared" ca="1" si="1075"/>
        <v>0</v>
      </c>
      <c r="AT521" s="108">
        <f ca="1">SUM((INDIRECT(AT$2&amp;(ROW())):INDIRECT(AT$3&amp;(ROW()))))</f>
        <v>0</v>
      </c>
      <c r="AU521" s="108">
        <f ca="1">SUM(INDIRECT(AU$1&amp;AU$2&amp;$C521):INDIRECT(AU$1&amp;AU$3&amp;$C521))</f>
        <v>0</v>
      </c>
      <c r="AV521" s="893">
        <f t="shared" ca="1" si="1076"/>
        <v>0</v>
      </c>
      <c r="AW521" s="954">
        <f t="shared" ca="1" si="1077"/>
        <v>0</v>
      </c>
      <c r="AX521" s="108">
        <f ca="1">SUM(INDIRECT(AX$1&amp;AX$2&amp;$A521):INDIRECT(AX$1&amp;AX$3&amp;$A521))</f>
        <v>224</v>
      </c>
      <c r="AY521" s="893">
        <f t="shared" ca="1" si="1078"/>
        <v>-224</v>
      </c>
      <c r="AZ521" s="954">
        <f t="shared" ca="1" si="1079"/>
        <v>0</v>
      </c>
      <c r="BB521" s="108">
        <f ca="1">SUM((INDIRECT(BB$2&amp;(ROW())):INDIRECT(BB$3&amp;(ROW()))))</f>
        <v>886.35617000000002</v>
      </c>
      <c r="BC521" s="108">
        <f ca="1">SUM(INDIRECT(BC$1&amp;BC$2&amp;$C521):INDIRECT(BC$1&amp;BC$3&amp;$C521))</f>
        <v>0</v>
      </c>
      <c r="BD521" s="893">
        <f t="shared" ca="1" si="1080"/>
        <v>886.35617000000002</v>
      </c>
      <c r="BE521" s="954">
        <f t="shared" ca="1" si="1081"/>
        <v>0</v>
      </c>
      <c r="BF521" s="108">
        <f ca="1">SUM(INDIRECT(BF$1&amp;BF$2&amp;$A521):INDIRECT(BF$1&amp;BF$3&amp;$A521))</f>
        <v>561</v>
      </c>
      <c r="BG521" s="893">
        <f t="shared" ca="1" si="1082"/>
        <v>325.35617000000002</v>
      </c>
      <c r="BH521" s="954">
        <f t="shared" ca="1" si="1083"/>
        <v>1.57995752228164</v>
      </c>
    </row>
    <row r="522" spans="1:60" ht="14.5">
      <c r="A522" s="990">
        <f t="shared" si="991"/>
        <v>473</v>
      </c>
      <c r="B522" s="990">
        <v>1</v>
      </c>
      <c r="C522" s="990">
        <f t="shared" si="1069"/>
        <v>519</v>
      </c>
      <c r="E522" s="1243">
        <v>1</v>
      </c>
      <c r="I522" s="106"/>
      <c r="J522" s="105"/>
      <c r="K522" s="69"/>
      <c r="L522" s="69"/>
      <c r="P522" s="9" t="s">
        <v>222</v>
      </c>
      <c r="Q522" s="1845" t="str">
        <f>CHOOSE(2, "6722000003441", "S/GP (1)-1 Gross Profit Indirect NH KMI Office A4 Cons")</f>
        <v>S/GP (1)-1 Gross Profit Indirect NH KMI Office A4 Cons</v>
      </c>
      <c r="R522" s="2036">
        <v>55</v>
      </c>
      <c r="S522" s="2036">
        <v>32</v>
      </c>
      <c r="T522" s="2036">
        <v>16</v>
      </c>
      <c r="U522" s="2036">
        <v>74</v>
      </c>
      <c r="V522" s="2036">
        <v>104.35617000000001</v>
      </c>
      <c r="W522" s="2036">
        <v>155</v>
      </c>
      <c r="X522" s="2036">
        <v>198</v>
      </c>
      <c r="Y522" s="2036">
        <v>169</v>
      </c>
      <c r="Z522" s="2036">
        <v>83</v>
      </c>
      <c r="AA522" s="2036">
        <v>0</v>
      </c>
      <c r="AB522" s="2036">
        <v>0</v>
      </c>
      <c r="AC522" s="2036">
        <v>0</v>
      </c>
      <c r="AD522" s="1380">
        <f>SUM(R522,S522,T522)</f>
        <v>103</v>
      </c>
      <c r="AE522" s="107">
        <f t="shared" ref="AE522:AE524" si="1093">SUM(U522,V522,W522)</f>
        <v>333.35617000000002</v>
      </c>
      <c r="AF522" s="107">
        <f t="shared" ref="AF522:AF524" si="1094">SUM(X522,Y522,Z522)</f>
        <v>450</v>
      </c>
      <c r="AG522" s="107">
        <f t="shared" ref="AG522:AG524" si="1095">SUM(AA522,AB522,AC522)</f>
        <v>0</v>
      </c>
      <c r="AH522" s="107">
        <f>AD522+AE522</f>
        <v>436.35617000000002</v>
      </c>
      <c r="AI522" s="107">
        <f>AG522+AF522</f>
        <v>450</v>
      </c>
      <c r="AJ522" s="107">
        <f>AH522+AI522</f>
        <v>886.35617000000002</v>
      </c>
      <c r="AL522" s="107">
        <f ca="1">SUM((INDIRECT(AL$2&amp;(ROW())):INDIRECT(AL$3&amp;(ROW()))))</f>
        <v>0</v>
      </c>
      <c r="AM522" s="107">
        <f ca="1">SUM(INDIRECT(AM$1&amp;AM$2&amp;$C522):INDIRECT(AM$1&amp;AM$3&amp;$C522))</f>
        <v>0</v>
      </c>
      <c r="AN522" s="898">
        <f t="shared" ca="1" si="1072"/>
        <v>0</v>
      </c>
      <c r="AO522" s="959">
        <f t="shared" ca="1" si="1073"/>
        <v>0</v>
      </c>
      <c r="AP522" s="107">
        <f ca="1">SUM(INDIRECT(AP$1&amp;AP$2&amp;$A522):INDIRECT(AP$1&amp;AP$3&amp;$A522))</f>
        <v>76</v>
      </c>
      <c r="AQ522" s="898">
        <f t="shared" ca="1" si="1074"/>
        <v>-76</v>
      </c>
      <c r="AR522" s="959">
        <f t="shared" ca="1" si="1075"/>
        <v>0</v>
      </c>
      <c r="AT522" s="107">
        <f ca="1">SUM((INDIRECT(AT$2&amp;(ROW())):INDIRECT(AT$3&amp;(ROW()))))</f>
        <v>0</v>
      </c>
      <c r="AU522" s="107">
        <f ca="1">SUM(INDIRECT(AU$1&amp;AU$2&amp;$C522):INDIRECT(AU$1&amp;AU$3&amp;$C522))</f>
        <v>0</v>
      </c>
      <c r="AV522" s="898">
        <f t="shared" ca="1" si="1076"/>
        <v>0</v>
      </c>
      <c r="AW522" s="959">
        <f t="shared" ca="1" si="1077"/>
        <v>0</v>
      </c>
      <c r="AX522" s="107">
        <f ca="1">SUM(INDIRECT(AX$1&amp;AX$2&amp;$A522):INDIRECT(AX$1&amp;AX$3&amp;$A522))</f>
        <v>224</v>
      </c>
      <c r="AY522" s="898">
        <f t="shared" ca="1" si="1078"/>
        <v>-224</v>
      </c>
      <c r="AZ522" s="959">
        <f t="shared" ca="1" si="1079"/>
        <v>0</v>
      </c>
      <c r="BB522" s="107">
        <f ca="1">SUM((INDIRECT(BB$2&amp;(ROW())):INDIRECT(BB$3&amp;(ROW()))))</f>
        <v>886.35617000000002</v>
      </c>
      <c r="BC522" s="107">
        <f ca="1">SUM(INDIRECT(BC$1&amp;BC$2&amp;$C522):INDIRECT(BC$1&amp;BC$3&amp;$C522))</f>
        <v>0</v>
      </c>
      <c r="BD522" s="898">
        <f t="shared" ca="1" si="1080"/>
        <v>886.35617000000002</v>
      </c>
      <c r="BE522" s="959">
        <f t="shared" ca="1" si="1081"/>
        <v>0</v>
      </c>
      <c r="BF522" s="107">
        <f ca="1">SUM(INDIRECT(BF$1&amp;BF$2&amp;$A522):INDIRECT(BF$1&amp;BF$3&amp;$A522))</f>
        <v>561</v>
      </c>
      <c r="BG522" s="898">
        <f t="shared" ca="1" si="1082"/>
        <v>325.35617000000002</v>
      </c>
      <c r="BH522" s="959">
        <f t="shared" ca="1" si="1083"/>
        <v>1.57995752228164</v>
      </c>
    </row>
    <row r="523" spans="1:60" ht="14.5">
      <c r="A523" s="990">
        <f t="shared" si="991"/>
        <v>474</v>
      </c>
      <c r="B523" s="990">
        <v>1</v>
      </c>
      <c r="C523" s="990">
        <f t="shared" si="1069"/>
        <v>520</v>
      </c>
      <c r="E523" s="1243">
        <v>1</v>
      </c>
      <c r="I523" s="106"/>
      <c r="J523" s="105"/>
      <c r="K523" s="69"/>
      <c r="L523" s="69"/>
      <c r="N523" s="363"/>
      <c r="O523" s="363"/>
      <c r="P523" s="363" t="s">
        <v>223</v>
      </c>
      <c r="Q523" s="1845" t="str">
        <f>CHOOSE(2, "6722000003442", "S/GP (1)-1 Gross Profit Indirect NH KMI Office A4 Parts")</f>
        <v>S/GP (1)-1 Gross Profit Indirect NH KMI Office A4 Parts</v>
      </c>
      <c r="R523" s="2052">
        <v>0</v>
      </c>
      <c r="S523" s="2052">
        <v>0</v>
      </c>
      <c r="T523" s="2052">
        <v>0</v>
      </c>
      <c r="U523" s="2052">
        <v>0</v>
      </c>
      <c r="V523" s="2052">
        <v>0</v>
      </c>
      <c r="W523" s="2052">
        <v>0</v>
      </c>
      <c r="X523" s="2052">
        <v>0</v>
      </c>
      <c r="Y523" s="2052">
        <v>0</v>
      </c>
      <c r="Z523" s="2052">
        <v>0</v>
      </c>
      <c r="AA523" s="2052">
        <v>0</v>
      </c>
      <c r="AB523" s="2052">
        <v>0</v>
      </c>
      <c r="AC523" s="2052">
        <v>0</v>
      </c>
      <c r="AD523" s="1536">
        <f>SUM(R523,S523,T523)</f>
        <v>0</v>
      </c>
      <c r="AE523" s="378">
        <f t="shared" si="1093"/>
        <v>0</v>
      </c>
      <c r="AF523" s="378">
        <f t="shared" si="1094"/>
        <v>0</v>
      </c>
      <c r="AG523" s="378">
        <f t="shared" si="1095"/>
        <v>0</v>
      </c>
      <c r="AH523" s="378">
        <f>AD523+AE523</f>
        <v>0</v>
      </c>
      <c r="AI523" s="378">
        <f>AG523+AF523</f>
        <v>0</v>
      </c>
      <c r="AJ523" s="378">
        <f>AH523+AI523</f>
        <v>0</v>
      </c>
      <c r="AL523" s="378">
        <f ca="1">SUM((INDIRECT(AL$2&amp;(ROW())):INDIRECT(AL$3&amp;(ROW()))))</f>
        <v>0</v>
      </c>
      <c r="AM523" s="378">
        <f ca="1">SUM(INDIRECT(AM$1&amp;AM$2&amp;$C523):INDIRECT(AM$1&amp;AM$3&amp;$C523))</f>
        <v>0</v>
      </c>
      <c r="AN523" s="894">
        <f t="shared" ca="1" si="1072"/>
        <v>0</v>
      </c>
      <c r="AO523" s="955">
        <f t="shared" ca="1" si="1073"/>
        <v>0</v>
      </c>
      <c r="AP523" s="378">
        <f ca="1">SUM(INDIRECT(AP$1&amp;AP$2&amp;$A523):INDIRECT(AP$1&amp;AP$3&amp;$A523))</f>
        <v>0</v>
      </c>
      <c r="AQ523" s="894">
        <f t="shared" ca="1" si="1074"/>
        <v>0</v>
      </c>
      <c r="AR523" s="955">
        <f t="shared" ca="1" si="1075"/>
        <v>0</v>
      </c>
      <c r="AT523" s="378">
        <f ca="1">SUM((INDIRECT(AT$2&amp;(ROW())):INDIRECT(AT$3&amp;(ROW()))))</f>
        <v>0</v>
      </c>
      <c r="AU523" s="378">
        <f ca="1">SUM(INDIRECT(AU$1&amp;AU$2&amp;$C523):INDIRECT(AU$1&amp;AU$3&amp;$C523))</f>
        <v>0</v>
      </c>
      <c r="AV523" s="894">
        <f t="shared" ca="1" si="1076"/>
        <v>0</v>
      </c>
      <c r="AW523" s="955">
        <f t="shared" ca="1" si="1077"/>
        <v>0</v>
      </c>
      <c r="AX523" s="378">
        <f ca="1">SUM(INDIRECT(AX$1&amp;AX$2&amp;$A523):INDIRECT(AX$1&amp;AX$3&amp;$A523))</f>
        <v>0</v>
      </c>
      <c r="AY523" s="894">
        <f t="shared" ca="1" si="1078"/>
        <v>0</v>
      </c>
      <c r="AZ523" s="955">
        <f t="shared" ca="1" si="1079"/>
        <v>0</v>
      </c>
      <c r="BB523" s="378">
        <f ca="1">SUM((INDIRECT(BB$2&amp;(ROW())):INDIRECT(BB$3&amp;(ROW()))))</f>
        <v>0</v>
      </c>
      <c r="BC523" s="378">
        <f ca="1">SUM(INDIRECT(BC$1&amp;BC$2&amp;$C523):INDIRECT(BC$1&amp;BC$3&amp;$C523))</f>
        <v>0</v>
      </c>
      <c r="BD523" s="894">
        <f t="shared" ca="1" si="1080"/>
        <v>0</v>
      </c>
      <c r="BE523" s="955">
        <f t="shared" ca="1" si="1081"/>
        <v>0</v>
      </c>
      <c r="BF523" s="378">
        <f ca="1">SUM(INDIRECT(BF$1&amp;BF$2&amp;$A523):INDIRECT(BF$1&amp;BF$3&amp;$A523))</f>
        <v>0</v>
      </c>
      <c r="BG523" s="894">
        <f t="shared" ca="1" si="1082"/>
        <v>0</v>
      </c>
      <c r="BH523" s="955">
        <f t="shared" ca="1" si="1083"/>
        <v>0</v>
      </c>
    </row>
    <row r="524" spans="1:60" ht="14.5" collapsed="1">
      <c r="A524" s="990">
        <f t="shared" si="991"/>
        <v>475</v>
      </c>
      <c r="B524" s="990">
        <v>1</v>
      </c>
      <c r="C524" s="990">
        <f t="shared" si="1069"/>
        <v>521</v>
      </c>
      <c r="E524" s="1243">
        <v>1</v>
      </c>
      <c r="I524" s="106"/>
      <c r="J524" s="105"/>
      <c r="K524" s="69"/>
      <c r="L524" s="69"/>
      <c r="N524" s="12" t="s">
        <v>217</v>
      </c>
      <c r="O524" s="12"/>
      <c r="P524" s="12"/>
      <c r="Q524" s="1845" t="str">
        <f>CHOOSE(2, "6722000003443", "S/GP (1)-1 Gross Profit Indirect NH 3rd Party")</f>
        <v>S/GP (1)-1 Gross Profit Indirect NH 3rd Party</v>
      </c>
      <c r="R524" s="2037">
        <v>0</v>
      </c>
      <c r="S524" s="2037">
        <v>0</v>
      </c>
      <c r="T524" s="2037">
        <v>0</v>
      </c>
      <c r="U524" s="2037">
        <v>0</v>
      </c>
      <c r="V524" s="2037">
        <v>0</v>
      </c>
      <c r="W524" s="2037">
        <v>0</v>
      </c>
      <c r="X524" s="2037">
        <v>0</v>
      </c>
      <c r="Y524" s="2037">
        <v>0</v>
      </c>
      <c r="Z524" s="2037">
        <v>0</v>
      </c>
      <c r="AA524" s="2037">
        <v>0</v>
      </c>
      <c r="AB524" s="2037">
        <v>0</v>
      </c>
      <c r="AC524" s="2037">
        <v>0</v>
      </c>
      <c r="AD524" s="1383">
        <f>SUM(R524,S524,T524)</f>
        <v>0</v>
      </c>
      <c r="AE524" s="113">
        <f t="shared" si="1093"/>
        <v>0</v>
      </c>
      <c r="AF524" s="113">
        <f t="shared" si="1094"/>
        <v>0</v>
      </c>
      <c r="AG524" s="113">
        <f t="shared" si="1095"/>
        <v>0</v>
      </c>
      <c r="AH524" s="113">
        <f>AD524+AE524</f>
        <v>0</v>
      </c>
      <c r="AI524" s="113">
        <f>AG524+AF524</f>
        <v>0</v>
      </c>
      <c r="AJ524" s="113">
        <f>AH524+AI524</f>
        <v>0</v>
      </c>
      <c r="AL524" s="113">
        <f ca="1">SUM((INDIRECT(AL$2&amp;(ROW())):INDIRECT(AL$3&amp;(ROW()))))</f>
        <v>0</v>
      </c>
      <c r="AM524" s="113">
        <f ca="1">SUM(INDIRECT(AM$1&amp;AM$2&amp;$C524):INDIRECT(AM$1&amp;AM$3&amp;$C524))</f>
        <v>0</v>
      </c>
      <c r="AN524" s="899">
        <f t="shared" ca="1" si="1072"/>
        <v>0</v>
      </c>
      <c r="AO524" s="960">
        <f t="shared" ca="1" si="1073"/>
        <v>0</v>
      </c>
      <c r="AP524" s="113">
        <f ca="1">SUM(INDIRECT(AP$1&amp;AP$2&amp;$A524):INDIRECT(AP$1&amp;AP$3&amp;$A524))</f>
        <v>0</v>
      </c>
      <c r="AQ524" s="899">
        <f t="shared" ca="1" si="1074"/>
        <v>0</v>
      </c>
      <c r="AR524" s="960">
        <f t="shared" ca="1" si="1075"/>
        <v>0</v>
      </c>
      <c r="AT524" s="113">
        <f ca="1">SUM((INDIRECT(AT$2&amp;(ROW())):INDIRECT(AT$3&amp;(ROW()))))</f>
        <v>0</v>
      </c>
      <c r="AU524" s="113">
        <f ca="1">SUM(INDIRECT(AU$1&amp;AU$2&amp;$C524):INDIRECT(AU$1&amp;AU$3&amp;$C524))</f>
        <v>0</v>
      </c>
      <c r="AV524" s="899">
        <f t="shared" ca="1" si="1076"/>
        <v>0</v>
      </c>
      <c r="AW524" s="960">
        <f t="shared" ca="1" si="1077"/>
        <v>0</v>
      </c>
      <c r="AX524" s="113">
        <f ca="1">SUM(INDIRECT(AX$1&amp;AX$2&amp;$A524):INDIRECT(AX$1&amp;AX$3&amp;$A524))</f>
        <v>0</v>
      </c>
      <c r="AY524" s="899">
        <f t="shared" ca="1" si="1078"/>
        <v>0</v>
      </c>
      <c r="AZ524" s="960">
        <f t="shared" ca="1" si="1079"/>
        <v>0</v>
      </c>
      <c r="BB524" s="113">
        <f ca="1">SUM((INDIRECT(BB$2&amp;(ROW())):INDIRECT(BB$3&amp;(ROW()))))</f>
        <v>0</v>
      </c>
      <c r="BC524" s="113">
        <f ca="1">SUM(INDIRECT(BC$1&amp;BC$2&amp;$C524):INDIRECT(BC$1&amp;BC$3&amp;$C524))</f>
        <v>0</v>
      </c>
      <c r="BD524" s="899">
        <f t="shared" ca="1" si="1080"/>
        <v>0</v>
      </c>
      <c r="BE524" s="960">
        <f t="shared" ca="1" si="1081"/>
        <v>0</v>
      </c>
      <c r="BF524" s="113">
        <f ca="1">SUM(INDIRECT(BF$1&amp;BF$2&amp;$A524):INDIRECT(BF$1&amp;BF$3&amp;$A524))</f>
        <v>0</v>
      </c>
      <c r="BG524" s="899">
        <f t="shared" ca="1" si="1082"/>
        <v>0</v>
      </c>
      <c r="BH524" s="960">
        <f t="shared" ca="1" si="1083"/>
        <v>0</v>
      </c>
    </row>
    <row r="525" spans="1:60" ht="14.5">
      <c r="A525" s="990">
        <f t="shared" si="991"/>
        <v>476</v>
      </c>
      <c r="B525" s="990">
        <v>1</v>
      </c>
      <c r="C525" s="990">
        <f t="shared" si="1069"/>
        <v>522</v>
      </c>
      <c r="E525" s="1243">
        <v>1</v>
      </c>
      <c r="I525" s="106"/>
      <c r="J525" s="105"/>
      <c r="K525" s="69"/>
      <c r="L525" s="69"/>
      <c r="N525" s="383" t="s">
        <v>471</v>
      </c>
      <c r="O525" s="383"/>
      <c r="P525" s="383"/>
      <c r="Q525" s="1843" t="str">
        <f>CHOOSE(2, "6722000003444", "S/GP (1)-1 Gross Profit Indirect NH &lt;Direct&gt;FSC(-)")</f>
        <v>S/GP (1)-1 Gross Profit Indirect NH &lt;Direct&gt;FSC(-)</v>
      </c>
      <c r="R525" s="365">
        <f>SUM(R526:R528)</f>
        <v>0</v>
      </c>
      <c r="S525" s="365">
        <f t="shared" ref="S525:AC525" si="1096">SUM(S526:S528)</f>
        <v>0</v>
      </c>
      <c r="T525" s="365">
        <f t="shared" si="1096"/>
        <v>0</v>
      </c>
      <c r="U525" s="365">
        <f t="shared" si="1096"/>
        <v>0</v>
      </c>
      <c r="V525" s="365">
        <f t="shared" si="1096"/>
        <v>0</v>
      </c>
      <c r="W525" s="365">
        <f t="shared" si="1096"/>
        <v>0</v>
      </c>
      <c r="X525" s="365">
        <f t="shared" si="1096"/>
        <v>0</v>
      </c>
      <c r="Y525" s="365">
        <f t="shared" si="1096"/>
        <v>0</v>
      </c>
      <c r="Z525" s="365">
        <f t="shared" si="1096"/>
        <v>0</v>
      </c>
      <c r="AA525" s="365">
        <f t="shared" si="1096"/>
        <v>0</v>
      </c>
      <c r="AB525" s="365">
        <f t="shared" si="1096"/>
        <v>0</v>
      </c>
      <c r="AC525" s="365">
        <f t="shared" si="1096"/>
        <v>0</v>
      </c>
      <c r="AD525" s="1536">
        <f t="shared" ref="AD525:AJ525" si="1097">SUM(AD526:AD528)</f>
        <v>0</v>
      </c>
      <c r="AE525" s="378">
        <f t="shared" si="1097"/>
        <v>0</v>
      </c>
      <c r="AF525" s="378">
        <f t="shared" si="1097"/>
        <v>0</v>
      </c>
      <c r="AG525" s="378">
        <f t="shared" si="1097"/>
        <v>0</v>
      </c>
      <c r="AH525" s="378">
        <f t="shared" si="1097"/>
        <v>0</v>
      </c>
      <c r="AI525" s="378">
        <f t="shared" si="1097"/>
        <v>0</v>
      </c>
      <c r="AJ525" s="378">
        <f t="shared" si="1097"/>
        <v>0</v>
      </c>
      <c r="AL525" s="378">
        <f ca="1">SUM((INDIRECT(AL$2&amp;(ROW())):INDIRECT(AL$3&amp;(ROW()))))</f>
        <v>0</v>
      </c>
      <c r="AM525" s="378">
        <f ca="1">SUM(INDIRECT(AM$1&amp;AM$2&amp;$C525):INDIRECT(AM$1&amp;AM$3&amp;$C525))</f>
        <v>0</v>
      </c>
      <c r="AN525" s="894">
        <f t="shared" ca="1" si="1072"/>
        <v>0</v>
      </c>
      <c r="AO525" s="955">
        <f t="shared" ca="1" si="1073"/>
        <v>0</v>
      </c>
      <c r="AP525" s="378">
        <f ca="1">SUM(INDIRECT(AP$1&amp;AP$2&amp;$A525):INDIRECT(AP$1&amp;AP$3&amp;$A525))</f>
        <v>0</v>
      </c>
      <c r="AQ525" s="894">
        <f t="shared" ca="1" si="1074"/>
        <v>0</v>
      </c>
      <c r="AR525" s="955">
        <f t="shared" ca="1" si="1075"/>
        <v>0</v>
      </c>
      <c r="AT525" s="378">
        <f ca="1">SUM((INDIRECT(AT$2&amp;(ROW())):INDIRECT(AT$3&amp;(ROW()))))</f>
        <v>0</v>
      </c>
      <c r="AU525" s="378">
        <f ca="1">SUM(INDIRECT(AU$1&amp;AU$2&amp;$C525):INDIRECT(AU$1&amp;AU$3&amp;$C525))</f>
        <v>0</v>
      </c>
      <c r="AV525" s="894">
        <f t="shared" ca="1" si="1076"/>
        <v>0</v>
      </c>
      <c r="AW525" s="955">
        <f t="shared" ca="1" si="1077"/>
        <v>0</v>
      </c>
      <c r="AX525" s="378">
        <f ca="1">SUM(INDIRECT(AX$1&amp;AX$2&amp;$A525):INDIRECT(AX$1&amp;AX$3&amp;$A525))</f>
        <v>0</v>
      </c>
      <c r="AY525" s="894">
        <f t="shared" ca="1" si="1078"/>
        <v>0</v>
      </c>
      <c r="AZ525" s="955">
        <f t="shared" ca="1" si="1079"/>
        <v>0</v>
      </c>
      <c r="BB525" s="378">
        <f ca="1">SUM((INDIRECT(BB$2&amp;(ROW())):INDIRECT(BB$3&amp;(ROW()))))</f>
        <v>0</v>
      </c>
      <c r="BC525" s="378">
        <f ca="1">SUM(INDIRECT(BC$1&amp;BC$2&amp;$C525):INDIRECT(BC$1&amp;BC$3&amp;$C525))</f>
        <v>0</v>
      </c>
      <c r="BD525" s="894">
        <f t="shared" ca="1" si="1080"/>
        <v>0</v>
      </c>
      <c r="BE525" s="955">
        <f t="shared" ca="1" si="1081"/>
        <v>0</v>
      </c>
      <c r="BF525" s="378">
        <f ca="1">SUM(INDIRECT(BF$1&amp;BF$2&amp;$A525):INDIRECT(BF$1&amp;BF$3&amp;$A525))</f>
        <v>0</v>
      </c>
      <c r="BG525" s="894">
        <f t="shared" ca="1" si="1082"/>
        <v>0</v>
      </c>
      <c r="BH525" s="955">
        <f t="shared" ca="1" si="1083"/>
        <v>0</v>
      </c>
    </row>
    <row r="526" spans="1:60" ht="14.5">
      <c r="A526" s="990">
        <f t="shared" si="991"/>
        <v>477</v>
      </c>
      <c r="B526" s="990">
        <v>1</v>
      </c>
      <c r="C526" s="990">
        <f t="shared" si="1069"/>
        <v>523</v>
      </c>
      <c r="E526" s="1243">
        <v>1</v>
      </c>
      <c r="I526" s="106"/>
      <c r="J526" s="105"/>
      <c r="K526" s="69"/>
      <c r="L526" s="69"/>
      <c r="N526" s="371"/>
      <c r="O526" s="371"/>
      <c r="P526" s="371" t="s">
        <v>378</v>
      </c>
      <c r="Q526" s="1845" t="str">
        <f>CHOOSE(2, "6722000003445", "S/GP (1)-1 Gross Profit Indirect NH &lt;Direct&gt;FSC(-) PC")</f>
        <v>S/GP (1)-1 Gross Profit Indirect NH &lt;Direct&gt;FSC(-) PC</v>
      </c>
      <c r="R526" s="2042">
        <v>0</v>
      </c>
      <c r="S526" s="2042">
        <v>0</v>
      </c>
      <c r="T526" s="2042">
        <v>0</v>
      </c>
      <c r="U526" s="2042">
        <v>0</v>
      </c>
      <c r="V526" s="2042">
        <v>0</v>
      </c>
      <c r="W526" s="2042">
        <v>0</v>
      </c>
      <c r="X526" s="2042">
        <v>0</v>
      </c>
      <c r="Y526" s="2042">
        <v>0</v>
      </c>
      <c r="Z526" s="2042">
        <v>0</v>
      </c>
      <c r="AA526" s="2042">
        <v>0</v>
      </c>
      <c r="AB526" s="2042">
        <v>0</v>
      </c>
      <c r="AC526" s="2042">
        <v>0</v>
      </c>
      <c r="AD526" s="1537">
        <f>SUM(R526,S526,T526)</f>
        <v>0</v>
      </c>
      <c r="AE526" s="108">
        <f t="shared" ref="AE526:AE528" si="1098">SUM(U526,V526,W526)</f>
        <v>0</v>
      </c>
      <c r="AF526" s="108">
        <f t="shared" ref="AF526:AF528" si="1099">SUM(X526,Y526,Z526)</f>
        <v>0</v>
      </c>
      <c r="AG526" s="108">
        <f t="shared" ref="AG526:AG528" si="1100">SUM(AA526,AB526,AC526)</f>
        <v>0</v>
      </c>
      <c r="AH526" s="108">
        <f>AD526+AE526</f>
        <v>0</v>
      </c>
      <c r="AI526" s="108">
        <f>AG526+AF526</f>
        <v>0</v>
      </c>
      <c r="AJ526" s="108">
        <f>AH526+AI526</f>
        <v>0</v>
      </c>
      <c r="AL526" s="108">
        <f ca="1">SUM((INDIRECT(AL$2&amp;(ROW())):INDIRECT(AL$3&amp;(ROW()))))</f>
        <v>0</v>
      </c>
      <c r="AM526" s="108">
        <f ca="1">SUM(INDIRECT(AM$1&amp;AM$2&amp;$C526):INDIRECT(AM$1&amp;AM$3&amp;$C526))</f>
        <v>0</v>
      </c>
      <c r="AN526" s="893">
        <f t="shared" ca="1" si="1072"/>
        <v>0</v>
      </c>
      <c r="AO526" s="954">
        <f t="shared" ca="1" si="1073"/>
        <v>0</v>
      </c>
      <c r="AP526" s="108">
        <f ca="1">SUM(INDIRECT(AP$1&amp;AP$2&amp;$A526):INDIRECT(AP$1&amp;AP$3&amp;$A526))</f>
        <v>0</v>
      </c>
      <c r="AQ526" s="893">
        <f t="shared" ca="1" si="1074"/>
        <v>0</v>
      </c>
      <c r="AR526" s="954">
        <f t="shared" ca="1" si="1075"/>
        <v>0</v>
      </c>
      <c r="AT526" s="108">
        <f ca="1">SUM((INDIRECT(AT$2&amp;(ROW())):INDIRECT(AT$3&amp;(ROW()))))</f>
        <v>0</v>
      </c>
      <c r="AU526" s="108">
        <f ca="1">SUM(INDIRECT(AU$1&amp;AU$2&amp;$C526):INDIRECT(AU$1&amp;AU$3&amp;$C526))</f>
        <v>0</v>
      </c>
      <c r="AV526" s="893">
        <f t="shared" ca="1" si="1076"/>
        <v>0</v>
      </c>
      <c r="AW526" s="954">
        <f t="shared" ca="1" si="1077"/>
        <v>0</v>
      </c>
      <c r="AX526" s="108">
        <f ca="1">SUM(INDIRECT(AX$1&amp;AX$2&amp;$A526):INDIRECT(AX$1&amp;AX$3&amp;$A526))</f>
        <v>0</v>
      </c>
      <c r="AY526" s="893">
        <f t="shared" ca="1" si="1078"/>
        <v>0</v>
      </c>
      <c r="AZ526" s="954">
        <f t="shared" ca="1" si="1079"/>
        <v>0</v>
      </c>
      <c r="BB526" s="108">
        <f ca="1">SUM((INDIRECT(BB$2&amp;(ROW())):INDIRECT(BB$3&amp;(ROW()))))</f>
        <v>0</v>
      </c>
      <c r="BC526" s="108">
        <f ca="1">SUM(INDIRECT(BC$1&amp;BC$2&amp;$C526):INDIRECT(BC$1&amp;BC$3&amp;$C526))</f>
        <v>0</v>
      </c>
      <c r="BD526" s="893">
        <f t="shared" ca="1" si="1080"/>
        <v>0</v>
      </c>
      <c r="BE526" s="954">
        <f t="shared" ca="1" si="1081"/>
        <v>0</v>
      </c>
      <c r="BF526" s="108">
        <f ca="1">SUM(INDIRECT(BF$1&amp;BF$2&amp;$A526):INDIRECT(BF$1&amp;BF$3&amp;$A526))</f>
        <v>0</v>
      </c>
      <c r="BG526" s="893">
        <f t="shared" ca="1" si="1082"/>
        <v>0</v>
      </c>
      <c r="BH526" s="954">
        <f t="shared" ca="1" si="1083"/>
        <v>0</v>
      </c>
    </row>
    <row r="527" spans="1:60" ht="14.5">
      <c r="A527" s="990">
        <f t="shared" si="991"/>
        <v>478</v>
      </c>
      <c r="B527" s="990">
        <v>1</v>
      </c>
      <c r="C527" s="990">
        <f t="shared" si="1069"/>
        <v>524</v>
      </c>
      <c r="E527" s="1243">
        <v>1</v>
      </c>
      <c r="I527" s="106"/>
      <c r="J527" s="105"/>
      <c r="K527" s="69"/>
      <c r="L527" s="69"/>
      <c r="N527" s="299"/>
      <c r="O527" s="299"/>
      <c r="P527" s="299" t="s">
        <v>379</v>
      </c>
      <c r="Q527" s="1845" t="str">
        <f>CHOOSE(2, "6722000003446", "S/GP (1)-1 Gross Profit Indirect NH &lt;Direct&gt;FSC(-) TE")</f>
        <v>S/GP (1)-1 Gross Profit Indirect NH &lt;Direct&gt;FSC(-) TE</v>
      </c>
      <c r="R527" s="2036">
        <v>0</v>
      </c>
      <c r="S527" s="2036">
        <v>0</v>
      </c>
      <c r="T527" s="2036">
        <v>0</v>
      </c>
      <c r="U527" s="2036">
        <v>0</v>
      </c>
      <c r="V527" s="2036">
        <v>0</v>
      </c>
      <c r="W527" s="2036">
        <v>0</v>
      </c>
      <c r="X527" s="2036">
        <v>0</v>
      </c>
      <c r="Y527" s="2036">
        <v>0</v>
      </c>
      <c r="Z527" s="2036">
        <v>0</v>
      </c>
      <c r="AA527" s="2036">
        <v>0</v>
      </c>
      <c r="AB527" s="2036">
        <v>0</v>
      </c>
      <c r="AC527" s="2036">
        <v>0</v>
      </c>
      <c r="AD527" s="1380">
        <f>SUM(R527,S527,T527)</f>
        <v>0</v>
      </c>
      <c r="AE527" s="107">
        <f t="shared" si="1098"/>
        <v>0</v>
      </c>
      <c r="AF527" s="107">
        <f t="shared" si="1099"/>
        <v>0</v>
      </c>
      <c r="AG527" s="107">
        <f t="shared" si="1100"/>
        <v>0</v>
      </c>
      <c r="AH527" s="107">
        <f>AD527+AE527</f>
        <v>0</v>
      </c>
      <c r="AI527" s="107">
        <f>AG527+AF527</f>
        <v>0</v>
      </c>
      <c r="AJ527" s="107">
        <f>AH527+AI527</f>
        <v>0</v>
      </c>
      <c r="AL527" s="107">
        <f ca="1">SUM((INDIRECT(AL$2&amp;(ROW())):INDIRECT(AL$3&amp;(ROW()))))</f>
        <v>0</v>
      </c>
      <c r="AM527" s="107">
        <f ca="1">SUM(INDIRECT(AM$1&amp;AM$2&amp;$C527):INDIRECT(AM$1&amp;AM$3&amp;$C527))</f>
        <v>0</v>
      </c>
      <c r="AN527" s="898">
        <f t="shared" ca="1" si="1072"/>
        <v>0</v>
      </c>
      <c r="AO527" s="959">
        <f t="shared" ca="1" si="1073"/>
        <v>0</v>
      </c>
      <c r="AP527" s="107">
        <f ca="1">SUM(INDIRECT(AP$1&amp;AP$2&amp;$A527):INDIRECT(AP$1&amp;AP$3&amp;$A527))</f>
        <v>0</v>
      </c>
      <c r="AQ527" s="898">
        <f t="shared" ca="1" si="1074"/>
        <v>0</v>
      </c>
      <c r="AR527" s="959">
        <f t="shared" ca="1" si="1075"/>
        <v>0</v>
      </c>
      <c r="AT527" s="107">
        <f ca="1">SUM((INDIRECT(AT$2&amp;(ROW())):INDIRECT(AT$3&amp;(ROW()))))</f>
        <v>0</v>
      </c>
      <c r="AU527" s="107">
        <f ca="1">SUM(INDIRECT(AU$1&amp;AU$2&amp;$C527):INDIRECT(AU$1&amp;AU$3&amp;$C527))</f>
        <v>0</v>
      </c>
      <c r="AV527" s="898">
        <f t="shared" ca="1" si="1076"/>
        <v>0</v>
      </c>
      <c r="AW527" s="959">
        <f t="shared" ca="1" si="1077"/>
        <v>0</v>
      </c>
      <c r="AX527" s="107">
        <f ca="1">SUM(INDIRECT(AX$1&amp;AX$2&amp;$A527):INDIRECT(AX$1&amp;AX$3&amp;$A527))</f>
        <v>0</v>
      </c>
      <c r="AY527" s="898">
        <f t="shared" ca="1" si="1078"/>
        <v>0</v>
      </c>
      <c r="AZ527" s="959">
        <f t="shared" ca="1" si="1079"/>
        <v>0</v>
      </c>
      <c r="BB527" s="107">
        <f ca="1">SUM((INDIRECT(BB$2&amp;(ROW())):INDIRECT(BB$3&amp;(ROW()))))</f>
        <v>0</v>
      </c>
      <c r="BC527" s="107">
        <f ca="1">SUM(INDIRECT(BC$1&amp;BC$2&amp;$C527):INDIRECT(BC$1&amp;BC$3&amp;$C527))</f>
        <v>0</v>
      </c>
      <c r="BD527" s="898">
        <f t="shared" ca="1" si="1080"/>
        <v>0</v>
      </c>
      <c r="BE527" s="959">
        <f t="shared" ca="1" si="1081"/>
        <v>0</v>
      </c>
      <c r="BF527" s="107">
        <f ca="1">SUM(INDIRECT(BF$1&amp;BF$2&amp;$A527):INDIRECT(BF$1&amp;BF$3&amp;$A527))</f>
        <v>0</v>
      </c>
      <c r="BG527" s="898">
        <f t="shared" ca="1" si="1082"/>
        <v>0</v>
      </c>
      <c r="BH527" s="959">
        <f t="shared" ca="1" si="1083"/>
        <v>0</v>
      </c>
    </row>
    <row r="528" spans="1:60" ht="14.5">
      <c r="A528" s="990">
        <f t="shared" si="991"/>
        <v>479</v>
      </c>
      <c r="B528" s="990">
        <v>1</v>
      </c>
      <c r="C528" s="990">
        <f t="shared" si="1069"/>
        <v>525</v>
      </c>
      <c r="E528" s="1243">
        <v>1</v>
      </c>
      <c r="I528" s="106"/>
      <c r="J528" s="105"/>
      <c r="K528" s="69"/>
      <c r="L528" s="69"/>
      <c r="N528" s="298"/>
      <c r="O528" s="298"/>
      <c r="P528" s="298" t="s">
        <v>393</v>
      </c>
      <c r="Q528" s="1845" t="str">
        <f>CHOOSE(2, "6722000003447", "S/GP (1)-1 Gross Profit Indirect NH &lt;Direct&gt;FSC(-) OFC")</f>
        <v>S/GP (1)-1 Gross Profit Indirect NH &lt;Direct&gt;FSC(-) OFC</v>
      </c>
      <c r="R528" s="2037">
        <v>0</v>
      </c>
      <c r="S528" s="2037">
        <v>0</v>
      </c>
      <c r="T528" s="2037">
        <v>0</v>
      </c>
      <c r="U528" s="2037">
        <v>0</v>
      </c>
      <c r="V528" s="2037">
        <v>0</v>
      </c>
      <c r="W528" s="2037">
        <v>0</v>
      </c>
      <c r="X528" s="2037">
        <v>0</v>
      </c>
      <c r="Y528" s="2037">
        <v>0</v>
      </c>
      <c r="Z528" s="2037">
        <v>0</v>
      </c>
      <c r="AA528" s="2037">
        <v>0</v>
      </c>
      <c r="AB528" s="2037">
        <v>0</v>
      </c>
      <c r="AC528" s="2037">
        <v>0</v>
      </c>
      <c r="AD528" s="1383">
        <f>SUM(R528,S528,T528)</f>
        <v>0</v>
      </c>
      <c r="AE528" s="113">
        <f t="shared" si="1098"/>
        <v>0</v>
      </c>
      <c r="AF528" s="113">
        <f t="shared" si="1099"/>
        <v>0</v>
      </c>
      <c r="AG528" s="113">
        <f t="shared" si="1100"/>
        <v>0</v>
      </c>
      <c r="AH528" s="113">
        <f>AD528+AE528</f>
        <v>0</v>
      </c>
      <c r="AI528" s="113">
        <f>AG528+AF528</f>
        <v>0</v>
      </c>
      <c r="AJ528" s="113">
        <f>AH528+AI528</f>
        <v>0</v>
      </c>
      <c r="AL528" s="113">
        <f ca="1">SUM((INDIRECT(AL$2&amp;(ROW())):INDIRECT(AL$3&amp;(ROW()))))</f>
        <v>0</v>
      </c>
      <c r="AM528" s="113">
        <f ca="1">SUM(INDIRECT(AM$1&amp;AM$2&amp;$C528):INDIRECT(AM$1&amp;AM$3&amp;$C528))</f>
        <v>0</v>
      </c>
      <c r="AN528" s="899">
        <f t="shared" ca="1" si="1072"/>
        <v>0</v>
      </c>
      <c r="AO528" s="960">
        <f t="shared" ca="1" si="1073"/>
        <v>0</v>
      </c>
      <c r="AP528" s="113">
        <f ca="1">SUM(INDIRECT(AP$1&amp;AP$2&amp;$A528):INDIRECT(AP$1&amp;AP$3&amp;$A528))</f>
        <v>0</v>
      </c>
      <c r="AQ528" s="899">
        <f t="shared" ca="1" si="1074"/>
        <v>0</v>
      </c>
      <c r="AR528" s="960">
        <f t="shared" ca="1" si="1075"/>
        <v>0</v>
      </c>
      <c r="AT528" s="113">
        <f ca="1">SUM((INDIRECT(AT$2&amp;(ROW())):INDIRECT(AT$3&amp;(ROW()))))</f>
        <v>0</v>
      </c>
      <c r="AU528" s="113">
        <f ca="1">SUM(INDIRECT(AU$1&amp;AU$2&amp;$C528):INDIRECT(AU$1&amp;AU$3&amp;$C528))</f>
        <v>0</v>
      </c>
      <c r="AV528" s="899">
        <f t="shared" ca="1" si="1076"/>
        <v>0</v>
      </c>
      <c r="AW528" s="960">
        <f t="shared" ca="1" si="1077"/>
        <v>0</v>
      </c>
      <c r="AX528" s="113">
        <f ca="1">SUM(INDIRECT(AX$1&amp;AX$2&amp;$A528):INDIRECT(AX$1&amp;AX$3&amp;$A528))</f>
        <v>0</v>
      </c>
      <c r="AY528" s="899">
        <f t="shared" ca="1" si="1078"/>
        <v>0</v>
      </c>
      <c r="AZ528" s="960">
        <f t="shared" ca="1" si="1079"/>
        <v>0</v>
      </c>
      <c r="BB528" s="113">
        <f ca="1">SUM((INDIRECT(BB$2&amp;(ROW())):INDIRECT(BB$3&amp;(ROW()))))</f>
        <v>0</v>
      </c>
      <c r="BC528" s="113">
        <f ca="1">SUM(INDIRECT(BC$1&amp;BC$2&amp;$C528):INDIRECT(BC$1&amp;BC$3&amp;$C528))</f>
        <v>0</v>
      </c>
      <c r="BD528" s="899">
        <f t="shared" ca="1" si="1080"/>
        <v>0</v>
      </c>
      <c r="BE528" s="960">
        <f t="shared" ca="1" si="1081"/>
        <v>0</v>
      </c>
      <c r="BF528" s="113">
        <f ca="1">SUM(INDIRECT(BF$1&amp;BF$2&amp;$A528):INDIRECT(BF$1&amp;BF$3&amp;$A528))</f>
        <v>0</v>
      </c>
      <c r="BG528" s="899">
        <f t="shared" ca="1" si="1082"/>
        <v>0</v>
      </c>
      <c r="BH528" s="960">
        <f t="shared" ca="1" si="1083"/>
        <v>0</v>
      </c>
    </row>
    <row r="529" spans="1:60" ht="14.5">
      <c r="A529" s="990">
        <f t="shared" si="991"/>
        <v>480</v>
      </c>
      <c r="B529" s="990">
        <v>1</v>
      </c>
      <c r="C529" s="990">
        <f t="shared" si="1069"/>
        <v>526</v>
      </c>
      <c r="E529" s="1243">
        <v>1</v>
      </c>
      <c r="I529" s="106"/>
      <c r="J529" s="105"/>
      <c r="K529" s="69"/>
      <c r="L529" s="69"/>
      <c r="N529" s="370" t="s">
        <v>472</v>
      </c>
      <c r="O529" s="370"/>
      <c r="P529" s="370"/>
      <c r="Q529" s="1843" t="str">
        <f>CHOOSE(2, "6722000003448", "S/GP (1)-1 Gross Profit Indirect NH &lt;Direct&gt;SDC(-)")</f>
        <v>S/GP (1)-1 Gross Profit Indirect NH &lt;Direct&gt;SDC(-)</v>
      </c>
      <c r="R529" s="361">
        <f>SUM(R530:R531)</f>
        <v>0</v>
      </c>
      <c r="S529" s="361">
        <f t="shared" ref="S529:AC529" si="1101">SUM(S530:S531)</f>
        <v>0</v>
      </c>
      <c r="T529" s="361">
        <f t="shared" si="1101"/>
        <v>0</v>
      </c>
      <c r="U529" s="361">
        <f t="shared" si="1101"/>
        <v>0</v>
      </c>
      <c r="V529" s="361">
        <f t="shared" si="1101"/>
        <v>0</v>
      </c>
      <c r="W529" s="361">
        <f t="shared" si="1101"/>
        <v>0</v>
      </c>
      <c r="X529" s="361">
        <f t="shared" si="1101"/>
        <v>0</v>
      </c>
      <c r="Y529" s="361">
        <f t="shared" si="1101"/>
        <v>0</v>
      </c>
      <c r="Z529" s="361">
        <f t="shared" si="1101"/>
        <v>0</v>
      </c>
      <c r="AA529" s="361">
        <f t="shared" si="1101"/>
        <v>0</v>
      </c>
      <c r="AB529" s="361">
        <f t="shared" si="1101"/>
        <v>0</v>
      </c>
      <c r="AC529" s="361">
        <f t="shared" si="1101"/>
        <v>0</v>
      </c>
      <c r="AD529" s="1539">
        <f t="shared" ref="AD529:AJ529" si="1102">SUM(AD530:AD531)</f>
        <v>0</v>
      </c>
      <c r="AE529" s="381">
        <f t="shared" si="1102"/>
        <v>0</v>
      </c>
      <c r="AF529" s="381">
        <f t="shared" si="1102"/>
        <v>0</v>
      </c>
      <c r="AG529" s="381">
        <f t="shared" si="1102"/>
        <v>0</v>
      </c>
      <c r="AH529" s="381">
        <f t="shared" si="1102"/>
        <v>0</v>
      </c>
      <c r="AI529" s="381">
        <f t="shared" si="1102"/>
        <v>0</v>
      </c>
      <c r="AJ529" s="381">
        <f t="shared" si="1102"/>
        <v>0</v>
      </c>
      <c r="AL529" s="381">
        <f ca="1">SUM((INDIRECT(AL$2&amp;(ROW())):INDIRECT(AL$3&amp;(ROW()))))</f>
        <v>0</v>
      </c>
      <c r="AM529" s="381">
        <f ca="1">SUM(INDIRECT(AM$1&amp;AM$2&amp;$C529):INDIRECT(AM$1&amp;AM$3&amp;$C529))</f>
        <v>0</v>
      </c>
      <c r="AN529" s="896">
        <f t="shared" ca="1" si="1072"/>
        <v>0</v>
      </c>
      <c r="AO529" s="957">
        <f t="shared" ca="1" si="1073"/>
        <v>0</v>
      </c>
      <c r="AP529" s="381">
        <f ca="1">SUM(INDIRECT(AP$1&amp;AP$2&amp;$A529):INDIRECT(AP$1&amp;AP$3&amp;$A529))</f>
        <v>0</v>
      </c>
      <c r="AQ529" s="896">
        <f t="shared" ca="1" si="1074"/>
        <v>0</v>
      </c>
      <c r="AR529" s="957">
        <f t="shared" ca="1" si="1075"/>
        <v>0</v>
      </c>
      <c r="AT529" s="381">
        <f ca="1">SUM((INDIRECT(AT$2&amp;(ROW())):INDIRECT(AT$3&amp;(ROW()))))</f>
        <v>0</v>
      </c>
      <c r="AU529" s="381">
        <f ca="1">SUM(INDIRECT(AU$1&amp;AU$2&amp;$C529):INDIRECT(AU$1&amp;AU$3&amp;$C529))</f>
        <v>0</v>
      </c>
      <c r="AV529" s="896">
        <f t="shared" ca="1" si="1076"/>
        <v>0</v>
      </c>
      <c r="AW529" s="957">
        <f t="shared" ca="1" si="1077"/>
        <v>0</v>
      </c>
      <c r="AX529" s="381">
        <f ca="1">SUM(INDIRECT(AX$1&amp;AX$2&amp;$A529):INDIRECT(AX$1&amp;AX$3&amp;$A529))</f>
        <v>0</v>
      </c>
      <c r="AY529" s="896">
        <f t="shared" ca="1" si="1078"/>
        <v>0</v>
      </c>
      <c r="AZ529" s="957">
        <f t="shared" ca="1" si="1079"/>
        <v>0</v>
      </c>
      <c r="BB529" s="381">
        <f ca="1">SUM((INDIRECT(BB$2&amp;(ROW())):INDIRECT(BB$3&amp;(ROW()))))</f>
        <v>0</v>
      </c>
      <c r="BC529" s="381">
        <f ca="1">SUM(INDIRECT(BC$1&amp;BC$2&amp;$C529):INDIRECT(BC$1&amp;BC$3&amp;$C529))</f>
        <v>0</v>
      </c>
      <c r="BD529" s="896">
        <f t="shared" ca="1" si="1080"/>
        <v>0</v>
      </c>
      <c r="BE529" s="957">
        <f t="shared" ca="1" si="1081"/>
        <v>0</v>
      </c>
      <c r="BF529" s="381">
        <f ca="1">SUM(INDIRECT(BF$1&amp;BF$2&amp;$A529):INDIRECT(BF$1&amp;BF$3&amp;$A529))</f>
        <v>0</v>
      </c>
      <c r="BG529" s="896">
        <f t="shared" ca="1" si="1082"/>
        <v>0</v>
      </c>
      <c r="BH529" s="957">
        <f t="shared" ca="1" si="1083"/>
        <v>0</v>
      </c>
    </row>
    <row r="530" spans="1:60" ht="14.5">
      <c r="A530" s="990">
        <f t="shared" si="991"/>
        <v>481</v>
      </c>
      <c r="B530" s="990">
        <v>1</v>
      </c>
      <c r="C530" s="990">
        <f t="shared" si="1069"/>
        <v>527</v>
      </c>
      <c r="E530" s="1243">
        <v>1</v>
      </c>
      <c r="I530" s="106"/>
      <c r="J530" s="105"/>
      <c r="K530" s="69"/>
      <c r="L530" s="69"/>
      <c r="N530" s="371"/>
      <c r="O530" s="371"/>
      <c r="P530" s="371" t="s">
        <v>391</v>
      </c>
      <c r="Q530" s="1845" t="str">
        <f>CHOOSE(2, "6722000003449", "S/GP (1)-1 Gross Profit Indirect NH &lt;Direct&gt;SDC(-) PC")</f>
        <v>S/GP (1)-1 Gross Profit Indirect NH &lt;Direct&gt;SDC(-) PC</v>
      </c>
      <c r="R530" s="2042">
        <v>0</v>
      </c>
      <c r="S530" s="2042">
        <v>0</v>
      </c>
      <c r="T530" s="2042">
        <v>0</v>
      </c>
      <c r="U530" s="2042">
        <v>0</v>
      </c>
      <c r="V530" s="2042">
        <v>0</v>
      </c>
      <c r="W530" s="2042">
        <v>0</v>
      </c>
      <c r="X530" s="2042">
        <v>0</v>
      </c>
      <c r="Y530" s="2042">
        <v>0</v>
      </c>
      <c r="Z530" s="2042">
        <v>0</v>
      </c>
      <c r="AA530" s="2042">
        <v>0</v>
      </c>
      <c r="AB530" s="2042">
        <v>0</v>
      </c>
      <c r="AC530" s="2042">
        <v>0</v>
      </c>
      <c r="AD530" s="1537">
        <f>SUM(R530,S530,T530)</f>
        <v>0</v>
      </c>
      <c r="AE530" s="108">
        <f t="shared" ref="AE530:AE533" si="1103">SUM(U530,V530,W530)</f>
        <v>0</v>
      </c>
      <c r="AF530" s="108">
        <f t="shared" ref="AF530:AF533" si="1104">SUM(X530,Y530,Z530)</f>
        <v>0</v>
      </c>
      <c r="AG530" s="108">
        <f t="shared" ref="AG530:AG533" si="1105">SUM(AA530,AB530,AC530)</f>
        <v>0</v>
      </c>
      <c r="AH530" s="108">
        <f>AD530+AE530</f>
        <v>0</v>
      </c>
      <c r="AI530" s="108">
        <f>AG530+AF530</f>
        <v>0</v>
      </c>
      <c r="AJ530" s="108">
        <f>AH530+AI530</f>
        <v>0</v>
      </c>
      <c r="AL530" s="108">
        <f ca="1">SUM((INDIRECT(AL$2&amp;(ROW())):INDIRECT(AL$3&amp;(ROW()))))</f>
        <v>0</v>
      </c>
      <c r="AM530" s="108">
        <f ca="1">SUM(INDIRECT(AM$1&amp;AM$2&amp;$C530):INDIRECT(AM$1&amp;AM$3&amp;$C530))</f>
        <v>0</v>
      </c>
      <c r="AN530" s="893">
        <f t="shared" ca="1" si="1072"/>
        <v>0</v>
      </c>
      <c r="AO530" s="954">
        <f t="shared" ca="1" si="1073"/>
        <v>0</v>
      </c>
      <c r="AP530" s="108">
        <f ca="1">SUM(INDIRECT(AP$1&amp;AP$2&amp;$A530):INDIRECT(AP$1&amp;AP$3&amp;$A530))</f>
        <v>0</v>
      </c>
      <c r="AQ530" s="893">
        <f t="shared" ca="1" si="1074"/>
        <v>0</v>
      </c>
      <c r="AR530" s="954">
        <f t="shared" ca="1" si="1075"/>
        <v>0</v>
      </c>
      <c r="AT530" s="108">
        <f ca="1">SUM((INDIRECT(AT$2&amp;(ROW())):INDIRECT(AT$3&amp;(ROW()))))</f>
        <v>0</v>
      </c>
      <c r="AU530" s="108">
        <f ca="1">SUM(INDIRECT(AU$1&amp;AU$2&amp;$C530):INDIRECT(AU$1&amp;AU$3&amp;$C530))</f>
        <v>0</v>
      </c>
      <c r="AV530" s="893">
        <f t="shared" ca="1" si="1076"/>
        <v>0</v>
      </c>
      <c r="AW530" s="954">
        <f t="shared" ca="1" si="1077"/>
        <v>0</v>
      </c>
      <c r="AX530" s="108">
        <f ca="1">SUM(INDIRECT(AX$1&amp;AX$2&amp;$A530):INDIRECT(AX$1&amp;AX$3&amp;$A530))</f>
        <v>0</v>
      </c>
      <c r="AY530" s="893">
        <f t="shared" ca="1" si="1078"/>
        <v>0</v>
      </c>
      <c r="AZ530" s="954">
        <f t="shared" ca="1" si="1079"/>
        <v>0</v>
      </c>
      <c r="BB530" s="108">
        <f ca="1">SUM((INDIRECT(BB$2&amp;(ROW())):INDIRECT(BB$3&amp;(ROW()))))</f>
        <v>0</v>
      </c>
      <c r="BC530" s="108">
        <f ca="1">SUM(INDIRECT(BC$1&amp;BC$2&amp;$C530):INDIRECT(BC$1&amp;BC$3&amp;$C530))</f>
        <v>0</v>
      </c>
      <c r="BD530" s="893">
        <f t="shared" ca="1" si="1080"/>
        <v>0</v>
      </c>
      <c r="BE530" s="954">
        <f t="shared" ca="1" si="1081"/>
        <v>0</v>
      </c>
      <c r="BF530" s="108">
        <f ca="1">SUM(INDIRECT(BF$1&amp;BF$2&amp;$A530):INDIRECT(BF$1&amp;BF$3&amp;$A530))</f>
        <v>0</v>
      </c>
      <c r="BG530" s="893">
        <f t="shared" ca="1" si="1082"/>
        <v>0</v>
      </c>
      <c r="BH530" s="954">
        <f t="shared" ca="1" si="1083"/>
        <v>0</v>
      </c>
    </row>
    <row r="531" spans="1:60" ht="14.5">
      <c r="A531" s="990">
        <f t="shared" si="991"/>
        <v>482</v>
      </c>
      <c r="B531" s="990">
        <v>1</v>
      </c>
      <c r="C531" s="990">
        <f t="shared" si="1069"/>
        <v>528</v>
      </c>
      <c r="E531" s="1243">
        <v>1</v>
      </c>
      <c r="I531" s="106"/>
      <c r="J531" s="105"/>
      <c r="K531" s="69"/>
      <c r="L531" s="69"/>
      <c r="N531" s="298"/>
      <c r="O531" s="298"/>
      <c r="P531" s="298" t="s">
        <v>393</v>
      </c>
      <c r="Q531" s="1845" t="str">
        <f>CHOOSE(2, "6722000003450", "S/GP (1)-1 Gross Profit Indirect NH &lt;Direct&gt;SDC(-) OFC")</f>
        <v>S/GP (1)-1 Gross Profit Indirect NH &lt;Direct&gt;SDC(-) OFC</v>
      </c>
      <c r="R531" s="2037">
        <v>0</v>
      </c>
      <c r="S531" s="2037">
        <v>0</v>
      </c>
      <c r="T531" s="2037">
        <v>0</v>
      </c>
      <c r="U531" s="2037">
        <v>0</v>
      </c>
      <c r="V531" s="2037">
        <v>0</v>
      </c>
      <c r="W531" s="2037">
        <v>0</v>
      </c>
      <c r="X531" s="2037">
        <v>0</v>
      </c>
      <c r="Y531" s="2037">
        <v>0</v>
      </c>
      <c r="Z531" s="2037">
        <v>0</v>
      </c>
      <c r="AA531" s="2037">
        <v>0</v>
      </c>
      <c r="AB531" s="2037">
        <v>0</v>
      </c>
      <c r="AC531" s="2037">
        <v>0</v>
      </c>
      <c r="AD531" s="1383">
        <f>SUM(R531,S531,T531)</f>
        <v>0</v>
      </c>
      <c r="AE531" s="113">
        <f t="shared" si="1103"/>
        <v>0</v>
      </c>
      <c r="AF531" s="113">
        <f t="shared" si="1104"/>
        <v>0</v>
      </c>
      <c r="AG531" s="113">
        <f t="shared" si="1105"/>
        <v>0</v>
      </c>
      <c r="AH531" s="113">
        <f>AD531+AE531</f>
        <v>0</v>
      </c>
      <c r="AI531" s="113">
        <f>AG531+AF531</f>
        <v>0</v>
      </c>
      <c r="AJ531" s="113">
        <f>AH531+AI531</f>
        <v>0</v>
      </c>
      <c r="AL531" s="113">
        <f ca="1">SUM((INDIRECT(AL$2&amp;(ROW())):INDIRECT(AL$3&amp;(ROW()))))</f>
        <v>0</v>
      </c>
      <c r="AM531" s="113">
        <f ca="1">SUM(INDIRECT(AM$1&amp;AM$2&amp;$C531):INDIRECT(AM$1&amp;AM$3&amp;$C531))</f>
        <v>0</v>
      </c>
      <c r="AN531" s="899">
        <f t="shared" ca="1" si="1072"/>
        <v>0</v>
      </c>
      <c r="AO531" s="960">
        <f t="shared" ca="1" si="1073"/>
        <v>0</v>
      </c>
      <c r="AP531" s="113">
        <f ca="1">SUM(INDIRECT(AP$1&amp;AP$2&amp;$A531):INDIRECT(AP$1&amp;AP$3&amp;$A531))</f>
        <v>0</v>
      </c>
      <c r="AQ531" s="899">
        <f t="shared" ca="1" si="1074"/>
        <v>0</v>
      </c>
      <c r="AR531" s="960">
        <f t="shared" ca="1" si="1075"/>
        <v>0</v>
      </c>
      <c r="AT531" s="113">
        <f ca="1">SUM((INDIRECT(AT$2&amp;(ROW())):INDIRECT(AT$3&amp;(ROW()))))</f>
        <v>0</v>
      </c>
      <c r="AU531" s="113">
        <f ca="1">SUM(INDIRECT(AU$1&amp;AU$2&amp;$C531):INDIRECT(AU$1&amp;AU$3&amp;$C531))</f>
        <v>0</v>
      </c>
      <c r="AV531" s="899">
        <f t="shared" ca="1" si="1076"/>
        <v>0</v>
      </c>
      <c r="AW531" s="960">
        <f t="shared" ca="1" si="1077"/>
        <v>0</v>
      </c>
      <c r="AX531" s="113">
        <f ca="1">SUM(INDIRECT(AX$1&amp;AX$2&amp;$A531):INDIRECT(AX$1&amp;AX$3&amp;$A531))</f>
        <v>0</v>
      </c>
      <c r="AY531" s="899">
        <f t="shared" ca="1" si="1078"/>
        <v>0</v>
      </c>
      <c r="AZ531" s="960">
        <f t="shared" ca="1" si="1079"/>
        <v>0</v>
      </c>
      <c r="BB531" s="113">
        <f ca="1">SUM((INDIRECT(BB$2&amp;(ROW())):INDIRECT(BB$3&amp;(ROW()))))</f>
        <v>0</v>
      </c>
      <c r="BC531" s="113">
        <f ca="1">SUM(INDIRECT(BC$1&amp;BC$2&amp;$C531):INDIRECT(BC$1&amp;BC$3&amp;$C531))</f>
        <v>0</v>
      </c>
      <c r="BD531" s="899">
        <f t="shared" ca="1" si="1080"/>
        <v>0</v>
      </c>
      <c r="BE531" s="960">
        <f t="shared" ca="1" si="1081"/>
        <v>0</v>
      </c>
      <c r="BF531" s="113">
        <f ca="1">SUM(INDIRECT(BF$1&amp;BF$2&amp;$A531):INDIRECT(BF$1&amp;BF$3&amp;$A531))</f>
        <v>0</v>
      </c>
      <c r="BG531" s="899">
        <f t="shared" ca="1" si="1082"/>
        <v>0</v>
      </c>
      <c r="BH531" s="960">
        <f t="shared" ca="1" si="1083"/>
        <v>0</v>
      </c>
    </row>
    <row r="532" spans="1:60" ht="14.5">
      <c r="A532" s="990">
        <f t="shared" si="991"/>
        <v>483</v>
      </c>
      <c r="B532" s="990">
        <v>1</v>
      </c>
      <c r="C532" s="990">
        <f t="shared" si="1069"/>
        <v>529</v>
      </c>
      <c r="E532" s="1243">
        <v>1</v>
      </c>
      <c r="I532" s="106"/>
      <c r="J532" s="105"/>
      <c r="K532" s="69"/>
      <c r="L532" s="69"/>
      <c r="N532" s="582" t="s">
        <v>535</v>
      </c>
      <c r="O532" s="583"/>
      <c r="P532" s="583"/>
      <c r="Q532" s="1845" t="str">
        <f>CHOOSE(2, "6722000003451", "S/GP (1)-1 Gross Profit Indirect NH &lt;Direct&gt;D&amp;A (-)")</f>
        <v>S/GP (1)-1 Gross Profit Indirect NH &lt;Direct&gt;D&amp;A (-)</v>
      </c>
      <c r="R532" s="2088">
        <v>0</v>
      </c>
      <c r="S532" s="2088">
        <v>0</v>
      </c>
      <c r="T532" s="2088">
        <v>0</v>
      </c>
      <c r="U532" s="2088">
        <v>0</v>
      </c>
      <c r="V532" s="2088">
        <v>0</v>
      </c>
      <c r="W532" s="2088">
        <v>0</v>
      </c>
      <c r="X532" s="2088">
        <v>0</v>
      </c>
      <c r="Y532" s="2088">
        <v>0</v>
      </c>
      <c r="Z532" s="2088">
        <v>0</v>
      </c>
      <c r="AA532" s="2088">
        <v>0</v>
      </c>
      <c r="AB532" s="2088">
        <v>0</v>
      </c>
      <c r="AC532" s="2088">
        <v>0</v>
      </c>
      <c r="AD532" s="1541">
        <f>SUM(R532,S532,T532)</f>
        <v>0</v>
      </c>
      <c r="AE532" s="584">
        <f t="shared" si="1103"/>
        <v>0</v>
      </c>
      <c r="AF532" s="584">
        <f t="shared" si="1104"/>
        <v>0</v>
      </c>
      <c r="AG532" s="584">
        <f t="shared" si="1105"/>
        <v>0</v>
      </c>
      <c r="AH532" s="584">
        <f>AD532+AE532</f>
        <v>0</v>
      </c>
      <c r="AI532" s="584">
        <f>AG532+AF532</f>
        <v>0</v>
      </c>
      <c r="AJ532" s="584">
        <f>AH532+AI532</f>
        <v>0</v>
      </c>
      <c r="AL532" s="2534">
        <f ca="1">SUM((INDIRECT(AL$2&amp;(ROW())):INDIRECT(AL$3&amp;(ROW()))))</f>
        <v>0</v>
      </c>
      <c r="AM532" s="2534">
        <f ca="1">SUM(INDIRECT(AM$1&amp;AM$2&amp;$C532):INDIRECT(AM$1&amp;AM$3&amp;$C532))</f>
        <v>0</v>
      </c>
      <c r="AN532" s="2535">
        <f t="shared" ca="1" si="1072"/>
        <v>0</v>
      </c>
      <c r="AO532" s="2536">
        <f t="shared" ca="1" si="1073"/>
        <v>0</v>
      </c>
      <c r="AP532" s="2534">
        <f ca="1">SUM(INDIRECT(AP$1&amp;AP$2&amp;$A532):INDIRECT(AP$1&amp;AP$3&amp;$A532))</f>
        <v>0</v>
      </c>
      <c r="AQ532" s="2535">
        <f t="shared" ca="1" si="1074"/>
        <v>0</v>
      </c>
      <c r="AR532" s="2536">
        <f t="shared" ca="1" si="1075"/>
        <v>0</v>
      </c>
      <c r="AT532" s="2534">
        <f ca="1">SUM((INDIRECT(AT$2&amp;(ROW())):INDIRECT(AT$3&amp;(ROW()))))</f>
        <v>0</v>
      </c>
      <c r="AU532" s="2534">
        <f ca="1">SUM(INDIRECT(AU$1&amp;AU$2&amp;$C532):INDIRECT(AU$1&amp;AU$3&amp;$C532))</f>
        <v>0</v>
      </c>
      <c r="AV532" s="2535">
        <f t="shared" ca="1" si="1076"/>
        <v>0</v>
      </c>
      <c r="AW532" s="2536">
        <f t="shared" ca="1" si="1077"/>
        <v>0</v>
      </c>
      <c r="AX532" s="2534">
        <f ca="1">SUM(INDIRECT(AX$1&amp;AX$2&amp;$A532):INDIRECT(AX$1&amp;AX$3&amp;$A532))</f>
        <v>0</v>
      </c>
      <c r="AY532" s="2535">
        <f t="shared" ca="1" si="1078"/>
        <v>0</v>
      </c>
      <c r="AZ532" s="2536">
        <f t="shared" ca="1" si="1079"/>
        <v>0</v>
      </c>
      <c r="BB532" s="2534">
        <f ca="1">SUM((INDIRECT(BB$2&amp;(ROW())):INDIRECT(BB$3&amp;(ROW()))))</f>
        <v>0</v>
      </c>
      <c r="BC532" s="2534">
        <f ca="1">SUM(INDIRECT(BC$1&amp;BC$2&amp;$C532):INDIRECT(BC$1&amp;BC$3&amp;$C532))</f>
        <v>0</v>
      </c>
      <c r="BD532" s="2535">
        <f t="shared" ca="1" si="1080"/>
        <v>0</v>
      </c>
      <c r="BE532" s="2536">
        <f t="shared" ca="1" si="1081"/>
        <v>0</v>
      </c>
      <c r="BF532" s="2534">
        <f ca="1">SUM(INDIRECT(BF$1&amp;BF$2&amp;$A532):INDIRECT(BF$1&amp;BF$3&amp;$A532))</f>
        <v>0</v>
      </c>
      <c r="BG532" s="2535">
        <f t="shared" ca="1" si="1082"/>
        <v>0</v>
      </c>
      <c r="BH532" s="2536">
        <f t="shared" ca="1" si="1083"/>
        <v>0</v>
      </c>
    </row>
    <row r="533" spans="1:60" s="10" customFormat="1" ht="14.5">
      <c r="A533" s="990">
        <f t="shared" si="991"/>
        <v>484</v>
      </c>
      <c r="B533" s="990">
        <v>1</v>
      </c>
      <c r="C533" s="990">
        <f t="shared" si="1069"/>
        <v>530</v>
      </c>
      <c r="E533" s="1243">
        <v>1</v>
      </c>
      <c r="H533" s="24"/>
      <c r="I533" s="104"/>
      <c r="J533" s="281"/>
      <c r="K533" s="68"/>
      <c r="L533" s="68"/>
      <c r="M533" s="22" t="s">
        <v>205</v>
      </c>
      <c r="N533" s="22"/>
      <c r="O533" s="22"/>
      <c r="P533" s="303"/>
      <c r="Q533" s="1845" t="str">
        <f>CHOOSE(2, "6722000003452", "S/GP (1)-1 Gross Profit Indirect Others")</f>
        <v>S/GP (1)-1 Gross Profit Indirect Others</v>
      </c>
      <c r="R533" s="2088">
        <v>0</v>
      </c>
      <c r="S533" s="2088">
        <v>0</v>
      </c>
      <c r="T533" s="2088">
        <v>0</v>
      </c>
      <c r="U533" s="2088">
        <v>0</v>
      </c>
      <c r="V533" s="2088">
        <v>0</v>
      </c>
      <c r="W533" s="2088">
        <v>0</v>
      </c>
      <c r="X533" s="2088">
        <v>0</v>
      </c>
      <c r="Y533" s="2088">
        <v>0</v>
      </c>
      <c r="Z533" s="2088">
        <v>0</v>
      </c>
      <c r="AA533" s="2088">
        <v>0</v>
      </c>
      <c r="AB533" s="2088">
        <v>0</v>
      </c>
      <c r="AC533" s="2088">
        <v>0</v>
      </c>
      <c r="AD533" s="1541">
        <f>SUM(R533,S533,T533)</f>
        <v>0</v>
      </c>
      <c r="AE533" s="70">
        <f t="shared" si="1103"/>
        <v>0</v>
      </c>
      <c r="AF533" s="70">
        <f t="shared" si="1104"/>
        <v>0</v>
      </c>
      <c r="AG533" s="70">
        <f t="shared" si="1105"/>
        <v>0</v>
      </c>
      <c r="AH533" s="70">
        <f>AD533+AE533</f>
        <v>0</v>
      </c>
      <c r="AI533" s="70">
        <f>AG533+AF533</f>
        <v>0</v>
      </c>
      <c r="AJ533" s="70">
        <f>AH533+AI533</f>
        <v>0</v>
      </c>
      <c r="AL533" s="2534">
        <f ca="1">SUM((INDIRECT(AL$2&amp;(ROW())):INDIRECT(AL$3&amp;(ROW()))))</f>
        <v>0</v>
      </c>
      <c r="AM533" s="2534">
        <f ca="1">SUM(INDIRECT(AM$1&amp;AM$2&amp;$C533):INDIRECT(AM$1&amp;AM$3&amp;$C533))</f>
        <v>0</v>
      </c>
      <c r="AN533" s="2535">
        <f t="shared" ca="1" si="1072"/>
        <v>0</v>
      </c>
      <c r="AO533" s="2536">
        <f t="shared" ca="1" si="1073"/>
        <v>0</v>
      </c>
      <c r="AP533" s="2534">
        <f ca="1">SUM(INDIRECT(AP$1&amp;AP$2&amp;$A533):INDIRECT(AP$1&amp;AP$3&amp;$A533))</f>
        <v>0</v>
      </c>
      <c r="AQ533" s="2535">
        <f t="shared" ca="1" si="1074"/>
        <v>0</v>
      </c>
      <c r="AR533" s="2536">
        <f t="shared" ca="1" si="1075"/>
        <v>0</v>
      </c>
      <c r="AT533" s="2534">
        <f ca="1">SUM((INDIRECT(AT$2&amp;(ROW())):INDIRECT(AT$3&amp;(ROW()))))</f>
        <v>0</v>
      </c>
      <c r="AU533" s="2534">
        <f ca="1">SUM(INDIRECT(AU$1&amp;AU$2&amp;$C533):INDIRECT(AU$1&amp;AU$3&amp;$C533))</f>
        <v>0</v>
      </c>
      <c r="AV533" s="2535">
        <f t="shared" ca="1" si="1076"/>
        <v>0</v>
      </c>
      <c r="AW533" s="2536">
        <f t="shared" ca="1" si="1077"/>
        <v>0</v>
      </c>
      <c r="AX533" s="2534">
        <f ca="1">SUM(INDIRECT(AX$1&amp;AX$2&amp;$A533):INDIRECT(AX$1&amp;AX$3&amp;$A533))</f>
        <v>0</v>
      </c>
      <c r="AY533" s="2535">
        <f t="shared" ca="1" si="1078"/>
        <v>0</v>
      </c>
      <c r="AZ533" s="2536">
        <f t="shared" ca="1" si="1079"/>
        <v>0</v>
      </c>
      <c r="BB533" s="2534">
        <f ca="1">SUM((INDIRECT(BB$2&amp;(ROW())):INDIRECT(BB$3&amp;(ROW()))))</f>
        <v>0</v>
      </c>
      <c r="BC533" s="2534">
        <f ca="1">SUM(INDIRECT(BC$1&amp;BC$2&amp;$C533):INDIRECT(BC$1&amp;BC$3&amp;$C533))</f>
        <v>0</v>
      </c>
      <c r="BD533" s="2535">
        <f t="shared" ca="1" si="1080"/>
        <v>0</v>
      </c>
      <c r="BE533" s="2536">
        <f t="shared" ca="1" si="1081"/>
        <v>0</v>
      </c>
      <c r="BF533" s="2534">
        <f ca="1">SUM(INDIRECT(BF$1&amp;BF$2&amp;$A533):INDIRECT(BF$1&amp;BF$3&amp;$A533))</f>
        <v>0</v>
      </c>
      <c r="BG533" s="2535">
        <f t="shared" ca="1" si="1082"/>
        <v>0</v>
      </c>
      <c r="BH533" s="2536">
        <f t="shared" ca="1" si="1083"/>
        <v>0</v>
      </c>
    </row>
    <row r="534" spans="1:60" ht="14.5">
      <c r="A534" s="990">
        <f t="shared" ref="A534:A597" si="1106">A533+1</f>
        <v>485</v>
      </c>
      <c r="B534" s="990">
        <v>1</v>
      </c>
      <c r="C534" s="990">
        <f t="shared" si="1069"/>
        <v>531</v>
      </c>
      <c r="E534" s="1243">
        <v>1</v>
      </c>
      <c r="I534" s="24"/>
      <c r="J534" s="75"/>
      <c r="K534" s="24"/>
      <c r="L534" s="24"/>
      <c r="M534" s="75"/>
      <c r="N534" s="75"/>
      <c r="O534" s="75"/>
      <c r="P534" s="75"/>
      <c r="Q534" s="1838" t="str">
        <f>CHOOSE(2, "6722000003453", "▷ Blank 19")</f>
        <v>▷ Blank 19</v>
      </c>
      <c r="R534" s="2200"/>
      <c r="AA534" s="163"/>
      <c r="AB534" s="163"/>
      <c r="AC534" s="163"/>
      <c r="AD534" s="163"/>
      <c r="AE534" s="163"/>
      <c r="AF534" s="163"/>
      <c r="AG534" s="163"/>
      <c r="AH534" s="163"/>
      <c r="AI534" s="163"/>
      <c r="AJ534" s="868"/>
      <c r="AL534" s="163"/>
      <c r="AM534" s="163"/>
      <c r="AN534" s="163"/>
      <c r="AO534" s="163"/>
      <c r="AP534" s="163"/>
      <c r="AQ534" s="163"/>
      <c r="AR534" s="163"/>
      <c r="AT534" s="163"/>
      <c r="AU534" s="163"/>
      <c r="AV534" s="163"/>
      <c r="AW534" s="163"/>
      <c r="AX534" s="163"/>
      <c r="AY534" s="163"/>
      <c r="AZ534" s="163"/>
      <c r="BB534" s="163"/>
      <c r="BC534" s="163"/>
      <c r="BD534" s="163"/>
      <c r="BE534" s="163"/>
      <c r="BF534" s="163"/>
      <c r="BG534" s="163"/>
      <c r="BH534" s="163"/>
    </row>
    <row r="535" spans="1:60" ht="14.5">
      <c r="A535" s="990">
        <v>1</v>
      </c>
      <c r="B535" s="990">
        <v>1</v>
      </c>
      <c r="C535" s="990">
        <f t="shared" si="1069"/>
        <v>532</v>
      </c>
      <c r="E535" s="1292" t="s">
        <v>460</v>
      </c>
      <c r="F535" s="1757"/>
      <c r="H535" s="5" t="s">
        <v>1414</v>
      </c>
      <c r="L535" s="4"/>
      <c r="Q535" s="1838" t="str">
        <f>CHOOSE(2, "6722000003454", "S/GP (1)-2 ""Office Solution"" only")</f>
        <v>S/GP (1)-2 "Office Solution" only</v>
      </c>
      <c r="R535" s="2200"/>
    </row>
    <row r="536" spans="1:60" ht="14.5">
      <c r="A536" s="990">
        <v>1</v>
      </c>
      <c r="B536" s="990">
        <v>1</v>
      </c>
      <c r="C536" s="990">
        <f t="shared" si="1069"/>
        <v>533</v>
      </c>
      <c r="E536" s="1292" t="s">
        <v>460</v>
      </c>
      <c r="F536" s="1459"/>
      <c r="I536" s="115" t="s">
        <v>211</v>
      </c>
      <c r="J536" s="114"/>
      <c r="K536" s="401"/>
      <c r="L536" s="401"/>
      <c r="M536" s="792"/>
      <c r="N536" s="792"/>
      <c r="O536" s="792"/>
      <c r="P536" s="792"/>
      <c r="Q536" s="1874" t="str">
        <f>CHOOSE(2, "6722000003455", "S/GP (1)-2 Net Sales")</f>
        <v>S/GP (1)-2 Net Sales</v>
      </c>
      <c r="R536" s="2133">
        <f>R537+R542</f>
        <v>1285</v>
      </c>
      <c r="S536" s="2006">
        <f t="shared" ref="S536:AC536" si="1107">S537+S542</f>
        <v>1777</v>
      </c>
      <c r="T536" s="2006">
        <f t="shared" si="1107"/>
        <v>1492</v>
      </c>
      <c r="U536" s="2006">
        <f t="shared" si="1107"/>
        <v>1267</v>
      </c>
      <c r="V536" s="2006">
        <f t="shared" si="1107"/>
        <v>1554.885</v>
      </c>
      <c r="W536" s="2006">
        <f t="shared" si="1107"/>
        <v>2374</v>
      </c>
      <c r="X536" s="2006">
        <f t="shared" si="1107"/>
        <v>1320</v>
      </c>
      <c r="Y536" s="2006">
        <f t="shared" si="1107"/>
        <v>3871</v>
      </c>
      <c r="Z536" s="2006">
        <f t="shared" si="1107"/>
        <v>3249</v>
      </c>
      <c r="AA536" s="2006">
        <f t="shared" si="1107"/>
        <v>1808</v>
      </c>
      <c r="AB536" s="2006">
        <f t="shared" si="1107"/>
        <v>2870</v>
      </c>
      <c r="AC536" s="2006">
        <f t="shared" si="1107"/>
        <v>3229</v>
      </c>
      <c r="AD536" s="1535">
        <f t="shared" ref="AD536:AJ536" si="1108">AD537+AD542</f>
        <v>4554</v>
      </c>
      <c r="AE536" s="1535">
        <f t="shared" si="1108"/>
        <v>5195.8850000000002</v>
      </c>
      <c r="AF536" s="1535">
        <f t="shared" si="1108"/>
        <v>8440</v>
      </c>
      <c r="AG536" s="1535">
        <f t="shared" si="1108"/>
        <v>7907</v>
      </c>
      <c r="AH536" s="1535">
        <f t="shared" si="1108"/>
        <v>9749.8850000000002</v>
      </c>
      <c r="AI536" s="1535">
        <f t="shared" si="1108"/>
        <v>16347</v>
      </c>
      <c r="AJ536" s="1535">
        <f t="shared" si="1108"/>
        <v>26096.885000000002</v>
      </c>
      <c r="AL536" s="2133">
        <f ca="1">AL537+AL542</f>
        <v>3229</v>
      </c>
      <c r="AM536" s="116">
        <f ca="1">AM537+AM542</f>
        <v>0</v>
      </c>
      <c r="AN536" s="1721">
        <f t="shared" ref="AN536:AN549" ca="1" si="1109">AL536-AM536</f>
        <v>3229</v>
      </c>
      <c r="AO536" s="1722">
        <f t="shared" ref="AO536:AO549" ca="1" si="1110">IFERROR(AL536/AM536,0)</f>
        <v>0</v>
      </c>
      <c r="AP536" s="116">
        <f ca="1">AP537+AP542</f>
        <v>1294</v>
      </c>
      <c r="AQ536" s="1721">
        <f t="shared" ref="AQ536:AQ549" ca="1" si="1111">AL536-AP536</f>
        <v>1935</v>
      </c>
      <c r="AR536" s="1722">
        <f t="shared" ref="AR536:AR549" ca="1" si="1112">IFERROR(AL536/AP536,0)</f>
        <v>2.4953632148377127</v>
      </c>
      <c r="AT536" s="2133">
        <f ca="1">AT537+AT542</f>
        <v>7907</v>
      </c>
      <c r="AU536" s="116">
        <f ca="1">AU537+AU542</f>
        <v>0</v>
      </c>
      <c r="AV536" s="1721">
        <f t="shared" ref="AV536:AV549" ca="1" si="1113">AT536-AU536</f>
        <v>7907</v>
      </c>
      <c r="AW536" s="1722">
        <f t="shared" ref="AW536:AW549" ca="1" si="1114">IFERROR(AT536/AU536,0)</f>
        <v>0</v>
      </c>
      <c r="AX536" s="116">
        <f ca="1">AX537+AX542</f>
        <v>4327</v>
      </c>
      <c r="AY536" s="1721">
        <f t="shared" ref="AY536:AY549" ca="1" si="1115">AT536-AX536</f>
        <v>3580</v>
      </c>
      <c r="AZ536" s="1722">
        <f t="shared" ref="AZ536:AZ549" ca="1" si="1116">IFERROR(AT536/AX536,0)</f>
        <v>1.8273630691009937</v>
      </c>
      <c r="BB536" s="2133">
        <f ca="1">BB537+BB542</f>
        <v>26096.885000000002</v>
      </c>
      <c r="BC536" s="116">
        <f ca="1">BC537+BC542</f>
        <v>0</v>
      </c>
      <c r="BD536" s="1721">
        <f t="shared" ref="BD536:BD549" ca="1" si="1117">BB536-BC536</f>
        <v>26096.885000000002</v>
      </c>
      <c r="BE536" s="1722">
        <f t="shared" ref="BE536:BE549" ca="1" si="1118">IFERROR(BB536/BC536,0)</f>
        <v>0</v>
      </c>
      <c r="BF536" s="116">
        <f ca="1">BF537+BF542</f>
        <v>18923</v>
      </c>
      <c r="BG536" s="1721">
        <f t="shared" ref="BG536:BG549" ca="1" si="1119">BB536-BF536</f>
        <v>7173.885000000002</v>
      </c>
      <c r="BH536" s="1722">
        <f t="shared" ref="BH536:BH549" ca="1" si="1120">IFERROR(BB536/BF536,0)</f>
        <v>1.3791092849970936</v>
      </c>
    </row>
    <row r="537" spans="1:60" ht="14.5">
      <c r="A537" s="1397">
        <v>711</v>
      </c>
      <c r="B537" s="990">
        <v>1</v>
      </c>
      <c r="C537" s="990">
        <f t="shared" si="1069"/>
        <v>534</v>
      </c>
      <c r="E537" s="1292" t="s">
        <v>460</v>
      </c>
      <c r="F537" s="1459"/>
      <c r="G537" s="24"/>
      <c r="I537" s="106"/>
      <c r="J537" s="105"/>
      <c r="K537" s="74" t="s">
        <v>212</v>
      </c>
      <c r="L537" s="74"/>
      <c r="M537" s="357" t="s">
        <v>275</v>
      </c>
      <c r="N537" s="1772"/>
      <c r="O537" s="1772"/>
      <c r="P537" s="1772"/>
      <c r="Q537" s="1878" t="str">
        <f>CHOOSE(2, "6722000003456", "S/GP (1)-2 Net Sales Direct Office Solution")</f>
        <v>S/GP (1)-2 Net Sales Direct Office Solution</v>
      </c>
      <c r="R537" s="1773">
        <f t="shared" ref="R537" si="1121">SUM(R538:R541)</f>
        <v>1285</v>
      </c>
      <c r="S537" s="1773">
        <f t="shared" ref="S537:AC537" si="1122">SUM(S538:S541)</f>
        <v>1157</v>
      </c>
      <c r="T537" s="1773">
        <f t="shared" si="1122"/>
        <v>1345</v>
      </c>
      <c r="U537" s="1773">
        <f t="shared" si="1122"/>
        <v>1230</v>
      </c>
      <c r="V537" s="1773">
        <f t="shared" si="1122"/>
        <v>1264</v>
      </c>
      <c r="W537" s="1773">
        <f t="shared" si="1122"/>
        <v>1398</v>
      </c>
      <c r="X537" s="1773">
        <f t="shared" si="1122"/>
        <v>938</v>
      </c>
      <c r="Y537" s="1773">
        <f t="shared" si="1122"/>
        <v>2372</v>
      </c>
      <c r="Z537" s="1773">
        <f t="shared" si="1122"/>
        <v>2120</v>
      </c>
      <c r="AA537" s="1773">
        <f t="shared" si="1122"/>
        <v>1294</v>
      </c>
      <c r="AB537" s="1773">
        <f t="shared" si="1122"/>
        <v>2212</v>
      </c>
      <c r="AC537" s="1773">
        <f t="shared" si="1122"/>
        <v>2272</v>
      </c>
      <c r="AD537" s="1774">
        <f t="shared" ref="AD537:AJ537" si="1123">SUM(AD538:AD541)</f>
        <v>3787</v>
      </c>
      <c r="AE537" s="1773">
        <f t="shared" si="1123"/>
        <v>3892</v>
      </c>
      <c r="AF537" s="1773">
        <f t="shared" si="1123"/>
        <v>5430</v>
      </c>
      <c r="AG537" s="1773">
        <f t="shared" si="1123"/>
        <v>5778</v>
      </c>
      <c r="AH537" s="1773">
        <f t="shared" si="1123"/>
        <v>7679</v>
      </c>
      <c r="AI537" s="1773">
        <f t="shared" si="1123"/>
        <v>11208</v>
      </c>
      <c r="AJ537" s="1774">
        <f t="shared" si="1123"/>
        <v>18887</v>
      </c>
      <c r="AL537" s="361">
        <f ca="1">SUM((INDIRECT(AL$2&amp;(ROW())):INDIRECT(AL$3&amp;(ROW()))))</f>
        <v>2272</v>
      </c>
      <c r="AM537" s="375">
        <f ca="1">SUM(INDIRECT(AM$1&amp;AM$2&amp;$C537):INDIRECT(AM$1&amp;AM$3&amp;$C537))</f>
        <v>0</v>
      </c>
      <c r="AN537" s="910">
        <f t="shared" ca="1" si="1109"/>
        <v>2272</v>
      </c>
      <c r="AO537" s="971">
        <f t="shared" ca="1" si="1110"/>
        <v>0</v>
      </c>
      <c r="AP537" s="375">
        <f ca="1">SUM(INDIRECT(AP$1&amp;AP$2&amp;$A537):INDIRECT(AP$1&amp;AP$3&amp;$A537))+SUM(INDIRECT(AP$1&amp;AP$2&amp;$B537):INDIRECT(AP$1&amp;AP$3&amp;$B537))</f>
        <v>1161</v>
      </c>
      <c r="AQ537" s="910">
        <f t="shared" ca="1" si="1111"/>
        <v>1111</v>
      </c>
      <c r="AR537" s="971">
        <f t="shared" ca="1" si="1112"/>
        <v>1.9569336778639104</v>
      </c>
      <c r="AT537" s="361">
        <f ca="1">SUM((INDIRECT(AT$2&amp;(ROW())):INDIRECT(AT$3&amp;(ROW()))))</f>
        <v>5778</v>
      </c>
      <c r="AU537" s="375">
        <f ca="1">SUM(INDIRECT(AU$1&amp;AU$2&amp;$C537):INDIRECT(AU$1&amp;AU$3&amp;$C537))</f>
        <v>0</v>
      </c>
      <c r="AV537" s="910">
        <f t="shared" ca="1" si="1113"/>
        <v>5778</v>
      </c>
      <c r="AW537" s="971">
        <f t="shared" ca="1" si="1114"/>
        <v>0</v>
      </c>
      <c r="AX537" s="375">
        <f ca="1">SUM(INDIRECT(AX$1&amp;AX$2&amp;$A537):INDIRECT(AX$1&amp;AX$3&amp;$A537))+SUM(INDIRECT(AX$1&amp;AX$2&amp;$B537):INDIRECT(AX$1&amp;AX$3&amp;$B537))</f>
        <v>3807</v>
      </c>
      <c r="AY537" s="910">
        <f t="shared" ca="1" si="1115"/>
        <v>1971</v>
      </c>
      <c r="AZ537" s="971">
        <f t="shared" ca="1" si="1116"/>
        <v>1.5177304964539007</v>
      </c>
      <c r="BB537" s="361">
        <f ca="1">SUM((INDIRECT(BB$2&amp;(ROW())):INDIRECT(BB$3&amp;(ROW()))))</f>
        <v>18887</v>
      </c>
      <c r="BC537" s="375">
        <f ca="1">SUM(INDIRECT(BC$1&amp;BC$2&amp;$C537):INDIRECT(BC$1&amp;BC$3&amp;$C537))</f>
        <v>0</v>
      </c>
      <c r="BD537" s="910">
        <f t="shared" ca="1" si="1117"/>
        <v>18887</v>
      </c>
      <c r="BE537" s="971">
        <f t="shared" ca="1" si="1118"/>
        <v>0</v>
      </c>
      <c r="BF537" s="375">
        <f ca="1">SUM(INDIRECT(BF$1&amp;BF$2&amp;$A537):INDIRECT(BF$1&amp;BF$3&amp;$A537))+SUM(INDIRECT(BF$1&amp;BF$2&amp;$B537):INDIRECT(BF$1&amp;BF$3&amp;$B537))</f>
        <v>16144</v>
      </c>
      <c r="BG537" s="910">
        <f t="shared" ca="1" si="1119"/>
        <v>2743</v>
      </c>
      <c r="BH537" s="971">
        <f t="shared" ca="1" si="1120"/>
        <v>1.169908325074331</v>
      </c>
    </row>
    <row r="538" spans="1:60" ht="14.5">
      <c r="A538" s="990">
        <f>A537+1</f>
        <v>712</v>
      </c>
      <c r="B538" s="990">
        <v>1</v>
      </c>
      <c r="C538" s="990">
        <f t="shared" si="1069"/>
        <v>535</v>
      </c>
      <c r="E538" s="1292" t="s">
        <v>460</v>
      </c>
      <c r="F538" s="1459"/>
      <c r="G538" s="24"/>
      <c r="I538" s="106"/>
      <c r="J538" s="105"/>
      <c r="K538" s="74"/>
      <c r="L538" s="74"/>
      <c r="M538" s="75"/>
      <c r="N538" s="377" t="s">
        <v>903</v>
      </c>
      <c r="O538" s="377"/>
      <c r="P538" s="377"/>
      <c r="Q538" s="1845" t="str">
        <f>CHOOSE(2, "6722000003457", "S/GP (1)-2 Net Sales Direct Office Solution OSP")</f>
        <v>S/GP (1)-2 Net Sales Direct Office Solution OSP</v>
      </c>
      <c r="R538" s="2042">
        <v>0</v>
      </c>
      <c r="S538" s="2042">
        <v>0</v>
      </c>
      <c r="T538" s="2042">
        <v>0</v>
      </c>
      <c r="U538" s="2042">
        <v>0</v>
      </c>
      <c r="V538" s="2042">
        <v>0</v>
      </c>
      <c r="W538" s="2042">
        <v>0</v>
      </c>
      <c r="X538" s="2042">
        <v>0</v>
      </c>
      <c r="Y538" s="2042">
        <v>0</v>
      </c>
      <c r="Z538" s="2042">
        <v>0</v>
      </c>
      <c r="AA538" s="2042">
        <v>0</v>
      </c>
      <c r="AB538" s="2042">
        <v>0</v>
      </c>
      <c r="AC538" s="2042">
        <v>0</v>
      </c>
      <c r="AD538" s="376">
        <f>SUM(R538,S538,T538)</f>
        <v>0</v>
      </c>
      <c r="AE538" s="109">
        <f t="shared" ref="AE538:AE541" si="1124">SUM(U538,V538,W538)</f>
        <v>0</v>
      </c>
      <c r="AF538" s="109">
        <f t="shared" ref="AF538:AF541" si="1125">SUM(X538,Y538,Z538)</f>
        <v>0</v>
      </c>
      <c r="AG538" s="109">
        <f t="shared" ref="AG538:AG541" si="1126">SUM(AA538,AB538,AC538)</f>
        <v>0</v>
      </c>
      <c r="AH538" s="109">
        <f>AD538+AE538</f>
        <v>0</v>
      </c>
      <c r="AI538" s="109">
        <f>AG538+AF538</f>
        <v>0</v>
      </c>
      <c r="AJ538" s="376">
        <f>AH538+AI538</f>
        <v>0</v>
      </c>
      <c r="AL538" s="109">
        <f ca="1">SUM((INDIRECT(AL$2&amp;(ROW())):INDIRECT(AL$3&amp;(ROW()))))</f>
        <v>0</v>
      </c>
      <c r="AM538" s="376">
        <f ca="1">SUM(INDIRECT(AM$1&amp;AM$2&amp;$C538):INDIRECT(AM$1&amp;AM$3&amp;$C538))</f>
        <v>0</v>
      </c>
      <c r="AN538" s="904">
        <f t="shared" ca="1" si="1109"/>
        <v>0</v>
      </c>
      <c r="AO538" s="965">
        <f t="shared" ca="1" si="1110"/>
        <v>0</v>
      </c>
      <c r="AP538" s="376">
        <f ca="1">SUM(INDIRECT(AP$1&amp;AP$2&amp;$A538):INDIRECT(AP$1&amp;AP$3&amp;$A538))+SUM(INDIRECT(AP$1&amp;AP$2&amp;$B538):INDIRECT(AP$1&amp;AP$3&amp;$B538))</f>
        <v>0</v>
      </c>
      <c r="AQ538" s="904">
        <f t="shared" ca="1" si="1111"/>
        <v>0</v>
      </c>
      <c r="AR538" s="965">
        <f t="shared" ca="1" si="1112"/>
        <v>0</v>
      </c>
      <c r="AT538" s="109">
        <f ca="1">SUM((INDIRECT(AT$2&amp;(ROW())):INDIRECT(AT$3&amp;(ROW()))))</f>
        <v>0</v>
      </c>
      <c r="AU538" s="376">
        <f ca="1">SUM(INDIRECT(AU$1&amp;AU$2&amp;$C538):INDIRECT(AU$1&amp;AU$3&amp;$C538))</f>
        <v>0</v>
      </c>
      <c r="AV538" s="904">
        <f t="shared" ca="1" si="1113"/>
        <v>0</v>
      </c>
      <c r="AW538" s="965">
        <f t="shared" ca="1" si="1114"/>
        <v>0</v>
      </c>
      <c r="AX538" s="376">
        <f ca="1">SUM(INDIRECT(AX$1&amp;AX$2&amp;$A538):INDIRECT(AX$1&amp;AX$3&amp;$A538))+SUM(INDIRECT(AX$1&amp;AX$2&amp;$B538):INDIRECT(AX$1&amp;AX$3&amp;$B538))</f>
        <v>0</v>
      </c>
      <c r="AY538" s="904">
        <f t="shared" ca="1" si="1115"/>
        <v>0</v>
      </c>
      <c r="AZ538" s="965">
        <f t="shared" ca="1" si="1116"/>
        <v>0</v>
      </c>
      <c r="BB538" s="109">
        <f ca="1">SUM((INDIRECT(BB$2&amp;(ROW())):INDIRECT(BB$3&amp;(ROW()))))</f>
        <v>0</v>
      </c>
      <c r="BC538" s="376">
        <f ca="1">SUM(INDIRECT(BC$1&amp;BC$2&amp;$C538):INDIRECT(BC$1&amp;BC$3&amp;$C538))</f>
        <v>0</v>
      </c>
      <c r="BD538" s="904">
        <f t="shared" ca="1" si="1117"/>
        <v>0</v>
      </c>
      <c r="BE538" s="965">
        <f t="shared" ca="1" si="1118"/>
        <v>0</v>
      </c>
      <c r="BF538" s="376">
        <f ca="1">SUM(INDIRECT(BF$1&amp;BF$2&amp;$A538):INDIRECT(BF$1&amp;BF$3&amp;$A538))+SUM(INDIRECT(BF$1&amp;BF$2&amp;$B538):INDIRECT(BF$1&amp;BF$3&amp;$B538))</f>
        <v>0</v>
      </c>
      <c r="BG538" s="904">
        <f t="shared" ca="1" si="1119"/>
        <v>0</v>
      </c>
      <c r="BH538" s="965">
        <f t="shared" ca="1" si="1120"/>
        <v>0</v>
      </c>
    </row>
    <row r="539" spans="1:60" ht="14.5">
      <c r="A539" s="990">
        <f>A538+1</f>
        <v>713</v>
      </c>
      <c r="B539" s="990">
        <v>1</v>
      </c>
      <c r="C539" s="990">
        <f t="shared" si="1069"/>
        <v>536</v>
      </c>
      <c r="E539" s="1292" t="s">
        <v>460</v>
      </c>
      <c r="F539" s="1459"/>
      <c r="G539" s="24"/>
      <c r="I539" s="106"/>
      <c r="J539" s="105"/>
      <c r="K539" s="74"/>
      <c r="L539" s="74"/>
      <c r="M539" s="75"/>
      <c r="N539" s="75" t="s">
        <v>904</v>
      </c>
      <c r="O539" s="75"/>
      <c r="P539" s="75"/>
      <c r="Q539" s="1845" t="str">
        <f>CHOOSE(2, "6722000003458", "S/GP (1)-2 Net Sales Direct Office Solution RP")</f>
        <v>S/GP (1)-2 Net Sales Direct Office Solution RP</v>
      </c>
      <c r="R539" s="2036">
        <v>1285</v>
      </c>
      <c r="S539" s="2036">
        <v>1157</v>
      </c>
      <c r="T539" s="2036">
        <f>1130+215</f>
        <v>1345</v>
      </c>
      <c r="U539" s="2036">
        <f>1740-510</f>
        <v>1230</v>
      </c>
      <c r="V539" s="2036">
        <v>1264</v>
      </c>
      <c r="W539" s="2036">
        <v>1398</v>
      </c>
      <c r="X539" s="2036">
        <v>938</v>
      </c>
      <c r="Y539" s="2036">
        <v>2372</v>
      </c>
      <c r="Z539" s="2036">
        <v>2120</v>
      </c>
      <c r="AA539" s="2036">
        <v>1294</v>
      </c>
      <c r="AB539" s="2036">
        <v>2212</v>
      </c>
      <c r="AC539" s="2036">
        <v>2272</v>
      </c>
      <c r="AD539" s="100">
        <f>SUM(R539,S539,T539)</f>
        <v>3787</v>
      </c>
      <c r="AE539" s="19">
        <f t="shared" si="1124"/>
        <v>3892</v>
      </c>
      <c r="AF539" s="19">
        <f t="shared" si="1125"/>
        <v>5430</v>
      </c>
      <c r="AG539" s="19">
        <f t="shared" si="1126"/>
        <v>5778</v>
      </c>
      <c r="AH539" s="19">
        <f>AD539+AE539</f>
        <v>7679</v>
      </c>
      <c r="AI539" s="19">
        <f>AG539+AF539</f>
        <v>11208</v>
      </c>
      <c r="AJ539" s="100">
        <f>AH539+AI539</f>
        <v>18887</v>
      </c>
      <c r="AL539" s="19">
        <f ca="1">SUM((INDIRECT(AL$2&amp;(ROW())):INDIRECT(AL$3&amp;(ROW()))))</f>
        <v>2272</v>
      </c>
      <c r="AM539" s="100">
        <f ca="1">SUM(INDIRECT(AM$1&amp;AM$2&amp;$C539):INDIRECT(AM$1&amp;AM$3&amp;$C539))</f>
        <v>0</v>
      </c>
      <c r="AN539" s="906">
        <f t="shared" ca="1" si="1109"/>
        <v>2272</v>
      </c>
      <c r="AO539" s="967">
        <f t="shared" ca="1" si="1110"/>
        <v>0</v>
      </c>
      <c r="AP539" s="100">
        <f ca="1">SUM(INDIRECT(AP$1&amp;AP$2&amp;$A539):INDIRECT(AP$1&amp;AP$3&amp;$A539))+SUM(INDIRECT(AP$1&amp;AP$2&amp;$B539):INDIRECT(AP$1&amp;AP$3&amp;$B539))</f>
        <v>1161</v>
      </c>
      <c r="AQ539" s="906">
        <f t="shared" ca="1" si="1111"/>
        <v>1111</v>
      </c>
      <c r="AR539" s="967">
        <f t="shared" ca="1" si="1112"/>
        <v>1.9569336778639104</v>
      </c>
      <c r="AT539" s="19">
        <f ca="1">SUM((INDIRECT(AT$2&amp;(ROW())):INDIRECT(AT$3&amp;(ROW()))))</f>
        <v>5778</v>
      </c>
      <c r="AU539" s="100">
        <f ca="1">SUM(INDIRECT(AU$1&amp;AU$2&amp;$C539):INDIRECT(AU$1&amp;AU$3&amp;$C539))</f>
        <v>0</v>
      </c>
      <c r="AV539" s="906">
        <f t="shared" ca="1" si="1113"/>
        <v>5778</v>
      </c>
      <c r="AW539" s="967">
        <f t="shared" ca="1" si="1114"/>
        <v>0</v>
      </c>
      <c r="AX539" s="100">
        <f ca="1">SUM(INDIRECT(AX$1&amp;AX$2&amp;$A539):INDIRECT(AX$1&amp;AX$3&amp;$A539))+SUM(INDIRECT(AX$1&amp;AX$2&amp;$B539):INDIRECT(AX$1&amp;AX$3&amp;$B539))</f>
        <v>3807</v>
      </c>
      <c r="AY539" s="906">
        <f t="shared" ca="1" si="1115"/>
        <v>1971</v>
      </c>
      <c r="AZ539" s="967">
        <f t="shared" ca="1" si="1116"/>
        <v>1.5177304964539007</v>
      </c>
      <c r="BB539" s="19">
        <f ca="1">SUM((INDIRECT(BB$2&amp;(ROW())):INDIRECT(BB$3&amp;(ROW()))))</f>
        <v>18887</v>
      </c>
      <c r="BC539" s="100">
        <f ca="1">SUM(INDIRECT(BC$1&amp;BC$2&amp;$C539):INDIRECT(BC$1&amp;BC$3&amp;$C539))</f>
        <v>0</v>
      </c>
      <c r="BD539" s="906">
        <f t="shared" ca="1" si="1117"/>
        <v>18887</v>
      </c>
      <c r="BE539" s="967">
        <f t="shared" ca="1" si="1118"/>
        <v>0</v>
      </c>
      <c r="BF539" s="100">
        <f ca="1">SUM(INDIRECT(BF$1&amp;BF$2&amp;$A539):INDIRECT(BF$1&amp;BF$3&amp;$A539))+SUM(INDIRECT(BF$1&amp;BF$2&amp;$B539):INDIRECT(BF$1&amp;BF$3&amp;$B539))</f>
        <v>16144</v>
      </c>
      <c r="BG539" s="906">
        <f t="shared" ca="1" si="1119"/>
        <v>2743</v>
      </c>
      <c r="BH539" s="967">
        <f t="shared" ca="1" si="1120"/>
        <v>1.169908325074331</v>
      </c>
    </row>
    <row r="540" spans="1:60" ht="14.5">
      <c r="A540" s="990">
        <f>A539+1</f>
        <v>714</v>
      </c>
      <c r="B540" s="990">
        <v>1</v>
      </c>
      <c r="C540" s="990">
        <f t="shared" si="1069"/>
        <v>537</v>
      </c>
      <c r="E540" s="1292" t="s">
        <v>460</v>
      </c>
      <c r="F540" s="1459"/>
      <c r="G540" s="24"/>
      <c r="I540" s="106"/>
      <c r="J540" s="105"/>
      <c r="K540" s="74"/>
      <c r="L540" s="74"/>
      <c r="M540" s="75"/>
      <c r="N540" s="75" t="s">
        <v>905</v>
      </c>
      <c r="O540" s="75"/>
      <c r="P540" s="75"/>
      <c r="Q540" s="1845" t="str">
        <f>CHOOSE(2, "6722000003459", "S/GP (1)-2 Net Sales Direct Office Solution OSP service")</f>
        <v>S/GP (1)-2 Net Sales Direct Office Solution OSP service</v>
      </c>
      <c r="R540" s="2036">
        <v>0</v>
      </c>
      <c r="S540" s="2036">
        <v>0</v>
      </c>
      <c r="T540" s="2036">
        <v>0</v>
      </c>
      <c r="U540" s="2036">
        <v>0</v>
      </c>
      <c r="V540" s="2036">
        <v>0</v>
      </c>
      <c r="W540" s="2036">
        <v>0</v>
      </c>
      <c r="X540" s="2036">
        <v>0</v>
      </c>
      <c r="Y540" s="2036">
        <v>0</v>
      </c>
      <c r="Z540" s="2036">
        <v>0</v>
      </c>
      <c r="AA540" s="2036">
        <v>0</v>
      </c>
      <c r="AB540" s="2036">
        <v>0</v>
      </c>
      <c r="AC540" s="2036">
        <v>0</v>
      </c>
      <c r="AD540" s="100">
        <f>SUM(R540,S540,T540)</f>
        <v>0</v>
      </c>
      <c r="AE540" s="19">
        <f t="shared" si="1124"/>
        <v>0</v>
      </c>
      <c r="AF540" s="19">
        <f t="shared" si="1125"/>
        <v>0</v>
      </c>
      <c r="AG540" s="19">
        <f t="shared" si="1126"/>
        <v>0</v>
      </c>
      <c r="AH540" s="19">
        <f>AD540+AE540</f>
        <v>0</v>
      </c>
      <c r="AI540" s="19">
        <f>AG540+AF540</f>
        <v>0</v>
      </c>
      <c r="AJ540" s="100">
        <f>AH540+AI540</f>
        <v>0</v>
      </c>
      <c r="AL540" s="19">
        <f ca="1">SUM((INDIRECT(AL$2&amp;(ROW())):INDIRECT(AL$3&amp;(ROW()))))</f>
        <v>0</v>
      </c>
      <c r="AM540" s="100">
        <f ca="1">SUM(INDIRECT(AM$1&amp;AM$2&amp;$C540):INDIRECT(AM$1&amp;AM$3&amp;$C540))</f>
        <v>0</v>
      </c>
      <c r="AN540" s="906">
        <f t="shared" ca="1" si="1109"/>
        <v>0</v>
      </c>
      <c r="AO540" s="967">
        <f t="shared" ca="1" si="1110"/>
        <v>0</v>
      </c>
      <c r="AP540" s="100">
        <f ca="1">SUM(INDIRECT(AP$1&amp;AP$2&amp;$A540):INDIRECT(AP$1&amp;AP$3&amp;$A540))+SUM(INDIRECT(AP$1&amp;AP$2&amp;$B540):INDIRECT(AP$1&amp;AP$3&amp;$B540))</f>
        <v>0</v>
      </c>
      <c r="AQ540" s="906">
        <f t="shared" ca="1" si="1111"/>
        <v>0</v>
      </c>
      <c r="AR540" s="967">
        <f t="shared" ca="1" si="1112"/>
        <v>0</v>
      </c>
      <c r="AT540" s="19">
        <f ca="1">SUM((INDIRECT(AT$2&amp;(ROW())):INDIRECT(AT$3&amp;(ROW()))))</f>
        <v>0</v>
      </c>
      <c r="AU540" s="100">
        <f ca="1">SUM(INDIRECT(AU$1&amp;AU$2&amp;$C540):INDIRECT(AU$1&amp;AU$3&amp;$C540))</f>
        <v>0</v>
      </c>
      <c r="AV540" s="906">
        <f t="shared" ca="1" si="1113"/>
        <v>0</v>
      </c>
      <c r="AW540" s="967">
        <f t="shared" ca="1" si="1114"/>
        <v>0</v>
      </c>
      <c r="AX540" s="100">
        <f ca="1">SUM(INDIRECT(AX$1&amp;AX$2&amp;$A540):INDIRECT(AX$1&amp;AX$3&amp;$A540))+SUM(INDIRECT(AX$1&amp;AX$2&amp;$B540):INDIRECT(AX$1&amp;AX$3&amp;$B540))</f>
        <v>0</v>
      </c>
      <c r="AY540" s="906">
        <f t="shared" ca="1" si="1115"/>
        <v>0</v>
      </c>
      <c r="AZ540" s="967">
        <f t="shared" ca="1" si="1116"/>
        <v>0</v>
      </c>
      <c r="BB540" s="19">
        <f ca="1">SUM((INDIRECT(BB$2&amp;(ROW())):INDIRECT(BB$3&amp;(ROW()))))</f>
        <v>0</v>
      </c>
      <c r="BC540" s="100">
        <f ca="1">SUM(INDIRECT(BC$1&amp;BC$2&amp;$C540):INDIRECT(BC$1&amp;BC$3&amp;$C540))</f>
        <v>0</v>
      </c>
      <c r="BD540" s="906">
        <f t="shared" ca="1" si="1117"/>
        <v>0</v>
      </c>
      <c r="BE540" s="967">
        <f t="shared" ca="1" si="1118"/>
        <v>0</v>
      </c>
      <c r="BF540" s="100">
        <f ca="1">SUM(INDIRECT(BF$1&amp;BF$2&amp;$A540):INDIRECT(BF$1&amp;BF$3&amp;$A540))+SUM(INDIRECT(BF$1&amp;BF$2&amp;$B540):INDIRECT(BF$1&amp;BF$3&amp;$B540))</f>
        <v>0</v>
      </c>
      <c r="BG540" s="906">
        <f t="shared" ca="1" si="1119"/>
        <v>0</v>
      </c>
      <c r="BH540" s="967">
        <f t="shared" ca="1" si="1120"/>
        <v>0</v>
      </c>
    </row>
    <row r="541" spans="1:60" ht="14.5">
      <c r="A541" s="990">
        <f>A540+1</f>
        <v>715</v>
      </c>
      <c r="B541" s="990">
        <v>1</v>
      </c>
      <c r="C541" s="990">
        <f t="shared" si="1069"/>
        <v>538</v>
      </c>
      <c r="E541" s="1292" t="s">
        <v>460</v>
      </c>
      <c r="F541" s="1459"/>
      <c r="G541" s="24"/>
      <c r="I541" s="106"/>
      <c r="J541" s="105"/>
      <c r="K541" s="74"/>
      <c r="L541" s="74"/>
      <c r="M541" s="276"/>
      <c r="N541" s="276" t="s">
        <v>906</v>
      </c>
      <c r="O541" s="276"/>
      <c r="P541" s="276"/>
      <c r="Q541" s="1845" t="str">
        <f>CHOOSE(2, "6722000003460", "S/GP (1)-2 Net Sales Direct Office Solution RP service")</f>
        <v>S/GP (1)-2 Net Sales Direct Office Solution RP service</v>
      </c>
      <c r="R541" s="2037">
        <v>0</v>
      </c>
      <c r="S541" s="2037">
        <v>0</v>
      </c>
      <c r="T541" s="2037">
        <v>0</v>
      </c>
      <c r="U541" s="2037">
        <v>0</v>
      </c>
      <c r="V541" s="2037">
        <v>0</v>
      </c>
      <c r="W541" s="2037">
        <v>0</v>
      </c>
      <c r="X541" s="2037">
        <v>0</v>
      </c>
      <c r="Y541" s="2037">
        <v>0</v>
      </c>
      <c r="Z541" s="2037">
        <v>0</v>
      </c>
      <c r="AA541" s="2037">
        <v>0</v>
      </c>
      <c r="AB541" s="2037">
        <v>0</v>
      </c>
      <c r="AC541" s="2037">
        <v>0</v>
      </c>
      <c r="AD541" s="99">
        <f>SUM(R541,S541,T541)</f>
        <v>0</v>
      </c>
      <c r="AE541" s="17">
        <f t="shared" si="1124"/>
        <v>0</v>
      </c>
      <c r="AF541" s="17">
        <f t="shared" si="1125"/>
        <v>0</v>
      </c>
      <c r="AG541" s="17">
        <f t="shared" si="1126"/>
        <v>0</v>
      </c>
      <c r="AH541" s="17">
        <f>AD541+AE541</f>
        <v>0</v>
      </c>
      <c r="AI541" s="17">
        <f>AG541+AF541</f>
        <v>0</v>
      </c>
      <c r="AJ541" s="99">
        <f>AH541+AI541</f>
        <v>0</v>
      </c>
      <c r="AL541" s="19">
        <f ca="1">SUM((INDIRECT(AL$2&amp;(ROW())):INDIRECT(AL$3&amp;(ROW()))))</f>
        <v>0</v>
      </c>
      <c r="AM541" s="100">
        <f ca="1">SUM(INDIRECT(AM$1&amp;AM$2&amp;$C541):INDIRECT(AM$1&amp;AM$3&amp;$C541))</f>
        <v>0</v>
      </c>
      <c r="AN541" s="906">
        <f t="shared" ca="1" si="1109"/>
        <v>0</v>
      </c>
      <c r="AO541" s="967">
        <f t="shared" ca="1" si="1110"/>
        <v>0</v>
      </c>
      <c r="AP541" s="100">
        <f ca="1">SUM(INDIRECT(AP$1&amp;AP$2&amp;$A541):INDIRECT(AP$1&amp;AP$3&amp;$A541))+SUM(INDIRECT(AP$1&amp;AP$2&amp;$B541):INDIRECT(AP$1&amp;AP$3&amp;$B541))</f>
        <v>0</v>
      </c>
      <c r="AQ541" s="906">
        <f t="shared" ca="1" si="1111"/>
        <v>0</v>
      </c>
      <c r="AR541" s="967">
        <f t="shared" ca="1" si="1112"/>
        <v>0</v>
      </c>
      <c r="AT541" s="19">
        <f ca="1">SUM((INDIRECT(AT$2&amp;(ROW())):INDIRECT(AT$3&amp;(ROW()))))</f>
        <v>0</v>
      </c>
      <c r="AU541" s="100">
        <f ca="1">SUM(INDIRECT(AU$1&amp;AU$2&amp;$C541):INDIRECT(AU$1&amp;AU$3&amp;$C541))</f>
        <v>0</v>
      </c>
      <c r="AV541" s="906">
        <f t="shared" ca="1" si="1113"/>
        <v>0</v>
      </c>
      <c r="AW541" s="967">
        <f t="shared" ca="1" si="1114"/>
        <v>0</v>
      </c>
      <c r="AX541" s="100">
        <f ca="1">SUM(INDIRECT(AX$1&amp;AX$2&amp;$A541):INDIRECT(AX$1&amp;AX$3&amp;$A541))+SUM(INDIRECT(AX$1&amp;AX$2&amp;$B541):INDIRECT(AX$1&amp;AX$3&amp;$B541))</f>
        <v>0</v>
      </c>
      <c r="AY541" s="906">
        <f t="shared" ca="1" si="1115"/>
        <v>0</v>
      </c>
      <c r="AZ541" s="967">
        <f t="shared" ca="1" si="1116"/>
        <v>0</v>
      </c>
      <c r="BB541" s="19">
        <f ca="1">SUM((INDIRECT(BB$2&amp;(ROW())):INDIRECT(BB$3&amp;(ROW()))))</f>
        <v>0</v>
      </c>
      <c r="BC541" s="100">
        <f ca="1">SUM(INDIRECT(BC$1&amp;BC$2&amp;$C541):INDIRECT(BC$1&amp;BC$3&amp;$C541))</f>
        <v>0</v>
      </c>
      <c r="BD541" s="906">
        <f t="shared" ca="1" si="1117"/>
        <v>0</v>
      </c>
      <c r="BE541" s="967">
        <f t="shared" ca="1" si="1118"/>
        <v>0</v>
      </c>
      <c r="BF541" s="100">
        <f ca="1">SUM(INDIRECT(BF$1&amp;BF$2&amp;$A541):INDIRECT(BF$1&amp;BF$3&amp;$A541))+SUM(INDIRECT(BF$1&amp;BF$2&amp;$B541):INDIRECT(BF$1&amp;BF$3&amp;$B541))</f>
        <v>0</v>
      </c>
      <c r="BG541" s="906">
        <f t="shared" ca="1" si="1119"/>
        <v>0</v>
      </c>
      <c r="BH541" s="967">
        <f t="shared" ca="1" si="1120"/>
        <v>0</v>
      </c>
    </row>
    <row r="542" spans="1:60" ht="14.5">
      <c r="A542" s="1397">
        <v>721</v>
      </c>
      <c r="B542" s="990">
        <v>1</v>
      </c>
      <c r="C542" s="990">
        <f t="shared" si="1069"/>
        <v>539</v>
      </c>
      <c r="E542" s="1292" t="s">
        <v>460</v>
      </c>
      <c r="F542" s="1459"/>
      <c r="G542" s="24"/>
      <c r="I542" s="106"/>
      <c r="J542" s="105"/>
      <c r="K542" s="69" t="s">
        <v>221</v>
      </c>
      <c r="L542" s="69"/>
      <c r="M542" s="389" t="s">
        <v>275</v>
      </c>
      <c r="N542" s="72"/>
      <c r="O542" s="72"/>
      <c r="P542" s="72"/>
      <c r="Q542" s="1845" t="str">
        <f>CHOOSE(2, "6722000003461", "S/GP (1)-2 Net Sales Indirect Office Solution")</f>
        <v>S/GP (1)-2 Net Sales Indirect Office Solution</v>
      </c>
      <c r="R542" s="2036">
        <v>0</v>
      </c>
      <c r="S542" s="2040">
        <v>620</v>
      </c>
      <c r="T542" s="2036">
        <v>147</v>
      </c>
      <c r="U542" s="2036">
        <v>37</v>
      </c>
      <c r="V542" s="2036">
        <v>290.88499999999999</v>
      </c>
      <c r="W542" s="2036">
        <v>976</v>
      </c>
      <c r="X542" s="2036">
        <v>382</v>
      </c>
      <c r="Y542" s="2036">
        <v>1499</v>
      </c>
      <c r="Z542" s="2036">
        <v>1129</v>
      </c>
      <c r="AA542" s="2036">
        <v>514</v>
      </c>
      <c r="AB542" s="2036">
        <v>658</v>
      </c>
      <c r="AC542" s="2036">
        <v>957</v>
      </c>
      <c r="AD542" s="1776">
        <f>SUM(R542,S542,T542)</f>
        <v>767</v>
      </c>
      <c r="AE542" s="1775">
        <f>SUM(U542,V542,W542)</f>
        <v>1303.885</v>
      </c>
      <c r="AF542" s="1775">
        <f>SUM(X542,Y542,Z542)</f>
        <v>3010</v>
      </c>
      <c r="AG542" s="1775">
        <f>SUM(AA542,AB542,AC542)</f>
        <v>2129</v>
      </c>
      <c r="AH542" s="1775">
        <f>AD542+AE542</f>
        <v>2070.8850000000002</v>
      </c>
      <c r="AI542" s="1775">
        <f>AG542+AF542</f>
        <v>5139</v>
      </c>
      <c r="AJ542" s="1776">
        <f>AH542+AI542</f>
        <v>7209.8850000000002</v>
      </c>
      <c r="AL542" s="19">
        <f ca="1">SUM((INDIRECT(AL$2&amp;(ROW())):INDIRECT(AL$3&amp;(ROW()))))</f>
        <v>957</v>
      </c>
      <c r="AM542" s="100">
        <f ca="1">SUM(INDIRECT(AM$1&amp;AM$2&amp;$C542):INDIRECT(AM$1&amp;AM$3&amp;$C542))</f>
        <v>0</v>
      </c>
      <c r="AN542" s="906">
        <f t="shared" ca="1" si="1109"/>
        <v>957</v>
      </c>
      <c r="AO542" s="967">
        <f t="shared" ca="1" si="1110"/>
        <v>0</v>
      </c>
      <c r="AP542" s="100">
        <f ca="1">SUM(INDIRECT(AP$1&amp;AP$2&amp;$A542):INDIRECT(AP$1&amp;AP$3&amp;$A542))+SUM(INDIRECT(AP$1&amp;AP$2&amp;$B542):INDIRECT(AP$1&amp;AP$3&amp;$B542))</f>
        <v>133</v>
      </c>
      <c r="AQ542" s="906">
        <f t="shared" ca="1" si="1111"/>
        <v>824</v>
      </c>
      <c r="AR542" s="967">
        <f t="shared" ca="1" si="1112"/>
        <v>7.1954887218045114</v>
      </c>
      <c r="AT542" s="19">
        <f ca="1">SUM((INDIRECT(AT$2&amp;(ROW())):INDIRECT(AT$3&amp;(ROW()))))</f>
        <v>2129</v>
      </c>
      <c r="AU542" s="100">
        <f ca="1">SUM(INDIRECT(AU$1&amp;AU$2&amp;$C542):INDIRECT(AU$1&amp;AU$3&amp;$C542))</f>
        <v>0</v>
      </c>
      <c r="AV542" s="906">
        <f t="shared" ca="1" si="1113"/>
        <v>2129</v>
      </c>
      <c r="AW542" s="967">
        <f t="shared" ca="1" si="1114"/>
        <v>0</v>
      </c>
      <c r="AX542" s="100">
        <f ca="1">SUM(INDIRECT(AX$1&amp;AX$2&amp;$A542):INDIRECT(AX$1&amp;AX$3&amp;$A542))+SUM(INDIRECT(AX$1&amp;AX$2&amp;$B542):INDIRECT(AX$1&amp;AX$3&amp;$B542))</f>
        <v>520</v>
      </c>
      <c r="AY542" s="906">
        <f t="shared" ca="1" si="1115"/>
        <v>1609</v>
      </c>
      <c r="AZ542" s="967">
        <f t="shared" ca="1" si="1116"/>
        <v>4.0942307692307693</v>
      </c>
      <c r="BB542" s="19">
        <f ca="1">SUM((INDIRECT(BB$2&amp;(ROW())):INDIRECT(BB$3&amp;(ROW()))))</f>
        <v>7209.8850000000002</v>
      </c>
      <c r="BC542" s="100">
        <f ca="1">SUM(INDIRECT(BC$1&amp;BC$2&amp;$C542):INDIRECT(BC$1&amp;BC$3&amp;$C542))</f>
        <v>0</v>
      </c>
      <c r="BD542" s="906">
        <f t="shared" ca="1" si="1117"/>
        <v>7209.8850000000002</v>
      </c>
      <c r="BE542" s="967">
        <f t="shared" ca="1" si="1118"/>
        <v>0</v>
      </c>
      <c r="BF542" s="100">
        <f ca="1">SUM(INDIRECT(BF$1&amp;BF$2&amp;$A542):INDIRECT(BF$1&amp;BF$3&amp;$A542))+SUM(INDIRECT(BF$1&amp;BF$2&amp;$B542):INDIRECT(BF$1&amp;BF$3&amp;$B542))</f>
        <v>2779</v>
      </c>
      <c r="BG542" s="906">
        <f t="shared" ca="1" si="1119"/>
        <v>4430.8850000000002</v>
      </c>
      <c r="BH542" s="967">
        <f t="shared" ca="1" si="1120"/>
        <v>2.5944170564951423</v>
      </c>
    </row>
    <row r="543" spans="1:60" ht="14.5">
      <c r="A543" s="990">
        <v>1</v>
      </c>
      <c r="B543" s="990">
        <v>1</v>
      </c>
      <c r="C543" s="990">
        <f t="shared" si="1069"/>
        <v>540</v>
      </c>
      <c r="E543" s="1292" t="s">
        <v>460</v>
      </c>
      <c r="F543" s="1459"/>
      <c r="I543" s="115" t="s">
        <v>224</v>
      </c>
      <c r="J543" s="114"/>
      <c r="K543" s="401"/>
      <c r="L543" s="401"/>
      <c r="M543" s="792"/>
      <c r="N543" s="792"/>
      <c r="O543" s="792"/>
      <c r="P543" s="792"/>
      <c r="Q543" s="1874" t="str">
        <f>CHOOSE(2, "6722000003462", "S/GP (1)-2 Gross Profit")</f>
        <v>S/GP (1)-2 Gross Profit</v>
      </c>
      <c r="R543" s="2133">
        <f>R544+R549</f>
        <v>835</v>
      </c>
      <c r="S543" s="2006">
        <f t="shared" ref="S543:AC543" si="1127">S544+S549</f>
        <v>1141</v>
      </c>
      <c r="T543" s="2006">
        <f t="shared" si="1127"/>
        <v>1015</v>
      </c>
      <c r="U543" s="2006">
        <f t="shared" si="1127"/>
        <v>1045</v>
      </c>
      <c r="V543" s="2006">
        <f t="shared" si="1127"/>
        <v>1115</v>
      </c>
      <c r="W543" s="2006">
        <f t="shared" si="1127"/>
        <v>1553</v>
      </c>
      <c r="X543" s="2006">
        <f t="shared" si="1127"/>
        <v>976</v>
      </c>
      <c r="Y543" s="2006">
        <f t="shared" si="1127"/>
        <v>2358</v>
      </c>
      <c r="Z543" s="2006">
        <f t="shared" si="1127"/>
        <v>1616</v>
      </c>
      <c r="AA543" s="2006">
        <f t="shared" si="1127"/>
        <v>1427</v>
      </c>
      <c r="AB543" s="2006">
        <f t="shared" si="1127"/>
        <v>1988.8565899999999</v>
      </c>
      <c r="AC543" s="2006">
        <f t="shared" si="1127"/>
        <v>1903</v>
      </c>
      <c r="AD543" s="1535">
        <f t="shared" ref="AD543" si="1128">AD544+AD549</f>
        <v>2991</v>
      </c>
      <c r="AE543" s="1535">
        <f t="shared" ref="AE543" si="1129">AE544+AE549</f>
        <v>3713</v>
      </c>
      <c r="AF543" s="1535">
        <f t="shared" ref="AF543" si="1130">AF544+AF549</f>
        <v>4950</v>
      </c>
      <c r="AG543" s="1535">
        <f t="shared" ref="AG543" si="1131">AG544+AG549</f>
        <v>5318.8565900000003</v>
      </c>
      <c r="AH543" s="1535">
        <f t="shared" ref="AH543" si="1132">AH544+AH549</f>
        <v>6704</v>
      </c>
      <c r="AI543" s="1535">
        <f t="shared" ref="AI543" si="1133">AI544+AI549</f>
        <v>10268.856589999999</v>
      </c>
      <c r="AJ543" s="1535">
        <f t="shared" ref="AJ543" si="1134">AJ544+AJ549</f>
        <v>16972.856590000003</v>
      </c>
      <c r="AL543" s="2133">
        <f ca="1">AL544+AL549</f>
        <v>1903</v>
      </c>
      <c r="AM543" s="116">
        <f ca="1">AM544+AM549</f>
        <v>0</v>
      </c>
      <c r="AN543" s="1721">
        <f t="shared" ca="1" si="1109"/>
        <v>1903</v>
      </c>
      <c r="AO543" s="1722">
        <f t="shared" ca="1" si="1110"/>
        <v>0</v>
      </c>
      <c r="AP543" s="116">
        <f ca="1">AP544+AP549</f>
        <v>805</v>
      </c>
      <c r="AQ543" s="1721">
        <f t="shared" ca="1" si="1111"/>
        <v>1098</v>
      </c>
      <c r="AR543" s="1722">
        <f t="shared" ca="1" si="1112"/>
        <v>2.363975155279503</v>
      </c>
      <c r="AT543" s="2133">
        <f ca="1">AT544+AT549</f>
        <v>5318.8565900000003</v>
      </c>
      <c r="AU543" s="116">
        <f ca="1">AU544+AU549</f>
        <v>0</v>
      </c>
      <c r="AV543" s="1721">
        <f t="shared" ca="1" si="1113"/>
        <v>5318.8565900000003</v>
      </c>
      <c r="AW543" s="1722">
        <f t="shared" ca="1" si="1114"/>
        <v>0</v>
      </c>
      <c r="AX543" s="116">
        <f ca="1">AX544+AX549</f>
        <v>2442</v>
      </c>
      <c r="AY543" s="1721">
        <f t="shared" ca="1" si="1115"/>
        <v>2876.8565900000003</v>
      </c>
      <c r="AZ543" s="1722">
        <f t="shared" ca="1" si="1116"/>
        <v>2.178073951678952</v>
      </c>
      <c r="BB543" s="2133">
        <f ca="1">BB544+BB549</f>
        <v>16972.856589999999</v>
      </c>
      <c r="BC543" s="116">
        <f ca="1">BC544+BC549</f>
        <v>0</v>
      </c>
      <c r="BD543" s="1721">
        <f t="shared" ca="1" si="1117"/>
        <v>16972.856589999999</v>
      </c>
      <c r="BE543" s="1722">
        <f t="shared" ca="1" si="1118"/>
        <v>0</v>
      </c>
      <c r="BF543" s="116">
        <f ca="1">BF544+BF549</f>
        <v>10552</v>
      </c>
      <c r="BG543" s="1721">
        <f t="shared" ca="1" si="1119"/>
        <v>6420.8565899999994</v>
      </c>
      <c r="BH543" s="1722">
        <f t="shared" ca="1" si="1120"/>
        <v>1.608496644238059</v>
      </c>
    </row>
    <row r="544" spans="1:60" ht="14.5">
      <c r="A544" s="1397">
        <v>744</v>
      </c>
      <c r="B544" s="990">
        <v>1</v>
      </c>
      <c r="C544" s="990">
        <f t="shared" si="1069"/>
        <v>541</v>
      </c>
      <c r="E544" s="1292" t="s">
        <v>460</v>
      </c>
      <c r="F544" s="1459"/>
      <c r="G544" s="24"/>
      <c r="I544" s="106"/>
      <c r="J544" s="105"/>
      <c r="K544" s="74" t="s">
        <v>212</v>
      </c>
      <c r="L544" s="74"/>
      <c r="M544" s="357" t="s">
        <v>275</v>
      </c>
      <c r="N544" s="1772"/>
      <c r="O544" s="1772"/>
      <c r="P544" s="1772"/>
      <c r="Q544" s="1878" t="str">
        <f>CHOOSE(2, "6722000003463", "S/GP (1)-2 Gross Profit Direct Office Solution")</f>
        <v>S/GP (1)-2 Gross Profit Direct Office Solution</v>
      </c>
      <c r="R544" s="1773">
        <f>SUM(R545:R548)</f>
        <v>835</v>
      </c>
      <c r="S544" s="1773">
        <f t="shared" ref="S544:AC544" si="1135">SUM(S545:S548)</f>
        <v>715</v>
      </c>
      <c r="T544" s="1773">
        <f t="shared" si="1135"/>
        <v>896</v>
      </c>
      <c r="U544" s="1773">
        <f t="shared" si="1135"/>
        <v>1025</v>
      </c>
      <c r="V544" s="1773">
        <f t="shared" si="1135"/>
        <v>927</v>
      </c>
      <c r="W544" s="1773">
        <f t="shared" si="1135"/>
        <v>953</v>
      </c>
      <c r="X544" s="1773">
        <f t="shared" si="1135"/>
        <v>765</v>
      </c>
      <c r="Y544" s="1773">
        <f t="shared" si="1135"/>
        <v>1688</v>
      </c>
      <c r="Z544" s="1773">
        <f t="shared" si="1135"/>
        <v>1065</v>
      </c>
      <c r="AA544" s="1773">
        <f t="shared" si="1135"/>
        <v>1081</v>
      </c>
      <c r="AB544" s="1773">
        <f t="shared" si="1135"/>
        <v>1647.68688</v>
      </c>
      <c r="AC544" s="1773">
        <f t="shared" si="1135"/>
        <v>1357</v>
      </c>
      <c r="AD544" s="1774">
        <f t="shared" ref="AD544:AJ544" si="1136">SUM(AD545:AD548)</f>
        <v>2446</v>
      </c>
      <c r="AE544" s="1773">
        <f t="shared" si="1136"/>
        <v>2905</v>
      </c>
      <c r="AF544" s="1773">
        <f t="shared" si="1136"/>
        <v>3518</v>
      </c>
      <c r="AG544" s="1773">
        <f t="shared" si="1136"/>
        <v>4085.6868800000002</v>
      </c>
      <c r="AH544" s="1773">
        <f t="shared" si="1136"/>
        <v>5351</v>
      </c>
      <c r="AI544" s="1773">
        <f t="shared" si="1136"/>
        <v>7603.6868800000002</v>
      </c>
      <c r="AJ544" s="1774">
        <f t="shared" si="1136"/>
        <v>12954.686880000001</v>
      </c>
      <c r="AL544" s="361">
        <f ca="1">SUM((INDIRECT(AL$2&amp;(ROW())):INDIRECT(AL$3&amp;(ROW()))))</f>
        <v>1357</v>
      </c>
      <c r="AM544" s="375">
        <f ca="1">SUM(INDIRECT(AM$1&amp;AM$2&amp;$C544):INDIRECT(AM$1&amp;AM$3&amp;$C544))</f>
        <v>0</v>
      </c>
      <c r="AN544" s="910">
        <f t="shared" ca="1" si="1109"/>
        <v>1357</v>
      </c>
      <c r="AO544" s="971">
        <f t="shared" ca="1" si="1110"/>
        <v>0</v>
      </c>
      <c r="AP544" s="375">
        <f ca="1">SUM(INDIRECT(AP$1&amp;AP$2&amp;$A544):INDIRECT(AP$1&amp;AP$3&amp;$A544))+SUM(INDIRECT(AP$1&amp;AP$2&amp;$B544):INDIRECT(AP$1&amp;AP$3&amp;$B544))</f>
        <v>724</v>
      </c>
      <c r="AQ544" s="910">
        <f t="shared" ca="1" si="1111"/>
        <v>633</v>
      </c>
      <c r="AR544" s="971">
        <f t="shared" ca="1" si="1112"/>
        <v>1.8743093922651934</v>
      </c>
      <c r="AT544" s="361">
        <f ca="1">SUM((INDIRECT(AT$2&amp;(ROW())):INDIRECT(AT$3&amp;(ROW()))))</f>
        <v>4085.6868800000002</v>
      </c>
      <c r="AU544" s="375">
        <f ca="1">SUM(INDIRECT(AU$1&amp;AU$2&amp;$C544):INDIRECT(AU$1&amp;AU$3&amp;$C544))</f>
        <v>0</v>
      </c>
      <c r="AV544" s="910">
        <f t="shared" ca="1" si="1113"/>
        <v>4085.6868800000002</v>
      </c>
      <c r="AW544" s="971">
        <f t="shared" ca="1" si="1114"/>
        <v>0</v>
      </c>
      <c r="AX544" s="375">
        <f ca="1">SUM(INDIRECT(AX$1&amp;AX$2&amp;$A544):INDIRECT(AX$1&amp;AX$3&amp;$A544))+SUM(INDIRECT(AX$1&amp;AX$2&amp;$B544):INDIRECT(AX$1&amp;AX$3&amp;$B544))</f>
        <v>2072</v>
      </c>
      <c r="AY544" s="910">
        <f t="shared" ca="1" si="1115"/>
        <v>2013.6868800000002</v>
      </c>
      <c r="AZ544" s="971">
        <f t="shared" ca="1" si="1116"/>
        <v>1.9718566023166024</v>
      </c>
      <c r="BB544" s="361">
        <f ca="1">SUM((INDIRECT(BB$2&amp;(ROW())):INDIRECT(BB$3&amp;(ROW()))))</f>
        <v>12954.686879999999</v>
      </c>
      <c r="BC544" s="375">
        <f ca="1">SUM(INDIRECT(BC$1&amp;BC$2&amp;$C544):INDIRECT(BC$1&amp;BC$3&amp;$C544))</f>
        <v>0</v>
      </c>
      <c r="BD544" s="910">
        <f t="shared" ca="1" si="1117"/>
        <v>12954.686879999999</v>
      </c>
      <c r="BE544" s="971">
        <f t="shared" ca="1" si="1118"/>
        <v>0</v>
      </c>
      <c r="BF544" s="375">
        <f ca="1">SUM(INDIRECT(BF$1&amp;BF$2&amp;$A544):INDIRECT(BF$1&amp;BF$3&amp;$A544))+SUM(INDIRECT(BF$1&amp;BF$2&amp;$B544):INDIRECT(BF$1&amp;BF$3&amp;$B544))</f>
        <v>8752</v>
      </c>
      <c r="BG544" s="910">
        <f t="shared" ca="1" si="1119"/>
        <v>4202.6868799999993</v>
      </c>
      <c r="BH544" s="971">
        <f t="shared" ca="1" si="1120"/>
        <v>1.4801973126142596</v>
      </c>
    </row>
    <row r="545" spans="1:60" ht="14.5">
      <c r="A545" s="990">
        <f>A544+1</f>
        <v>745</v>
      </c>
      <c r="B545" s="990">
        <v>1</v>
      </c>
      <c r="C545" s="990">
        <f t="shared" si="1069"/>
        <v>542</v>
      </c>
      <c r="E545" s="1292" t="s">
        <v>460</v>
      </c>
      <c r="F545" s="1459"/>
      <c r="G545" s="24"/>
      <c r="I545" s="106"/>
      <c r="J545" s="105"/>
      <c r="K545" s="74"/>
      <c r="L545" s="74"/>
      <c r="M545" s="75"/>
      <c r="N545" s="377" t="s">
        <v>903</v>
      </c>
      <c r="O545" s="377"/>
      <c r="P545" s="377"/>
      <c r="Q545" s="1845" t="str">
        <f>CHOOSE(2, "6722000003464", "S/GP (1)-2 Gross Profit Direct Office Solution OSP")</f>
        <v>S/GP (1)-2 Gross Profit Direct Office Solution OSP</v>
      </c>
      <c r="R545" s="2042">
        <v>0</v>
      </c>
      <c r="S545" s="2042">
        <v>0</v>
      </c>
      <c r="T545" s="2042">
        <v>0</v>
      </c>
      <c r="U545" s="2042">
        <v>0</v>
      </c>
      <c r="V545" s="2042">
        <v>0</v>
      </c>
      <c r="W545" s="2042">
        <v>0</v>
      </c>
      <c r="X545" s="2042">
        <v>0</v>
      </c>
      <c r="Y545" s="2042">
        <v>0</v>
      </c>
      <c r="Z545" s="2042">
        <v>0</v>
      </c>
      <c r="AA545" s="2042">
        <v>0</v>
      </c>
      <c r="AB545" s="2042">
        <v>0</v>
      </c>
      <c r="AC545" s="2042">
        <v>0</v>
      </c>
      <c r="AD545" s="376">
        <f>SUM(R545,S545,T545)</f>
        <v>0</v>
      </c>
      <c r="AE545" s="109">
        <f t="shared" ref="AE545:AE548" si="1137">SUM(U545,V545,W545)</f>
        <v>0</v>
      </c>
      <c r="AF545" s="109">
        <f t="shared" ref="AF545:AF548" si="1138">SUM(X545,Y545,Z545)</f>
        <v>0</v>
      </c>
      <c r="AG545" s="109">
        <f t="shared" ref="AG545:AG548" si="1139">SUM(AA545,AB545,AC545)</f>
        <v>0</v>
      </c>
      <c r="AH545" s="109">
        <f>AD545+AE545</f>
        <v>0</v>
      </c>
      <c r="AI545" s="109">
        <f>AG545+AF545</f>
        <v>0</v>
      </c>
      <c r="AJ545" s="376">
        <f>AH545+AI545</f>
        <v>0</v>
      </c>
      <c r="AL545" s="109">
        <f ca="1">SUM((INDIRECT(AL$2&amp;(ROW())):INDIRECT(AL$3&amp;(ROW()))))</f>
        <v>0</v>
      </c>
      <c r="AM545" s="376">
        <f ca="1">SUM(INDIRECT(AM$1&amp;AM$2&amp;$C545):INDIRECT(AM$1&amp;AM$3&amp;$C545))</f>
        <v>0</v>
      </c>
      <c r="AN545" s="904">
        <f t="shared" ca="1" si="1109"/>
        <v>0</v>
      </c>
      <c r="AO545" s="965">
        <f t="shared" ca="1" si="1110"/>
        <v>0</v>
      </c>
      <c r="AP545" s="376">
        <f ca="1">SUM(INDIRECT(AP$1&amp;AP$2&amp;$A545):INDIRECT(AP$1&amp;AP$3&amp;$A545))+SUM(INDIRECT(AP$1&amp;AP$2&amp;$B545):INDIRECT(AP$1&amp;AP$3&amp;$B545))</f>
        <v>0</v>
      </c>
      <c r="AQ545" s="904">
        <f t="shared" ca="1" si="1111"/>
        <v>0</v>
      </c>
      <c r="AR545" s="965">
        <f t="shared" ca="1" si="1112"/>
        <v>0</v>
      </c>
      <c r="AT545" s="109">
        <f ca="1">SUM((INDIRECT(AT$2&amp;(ROW())):INDIRECT(AT$3&amp;(ROW()))))</f>
        <v>0</v>
      </c>
      <c r="AU545" s="376">
        <f ca="1">SUM(INDIRECT(AU$1&amp;AU$2&amp;$C545):INDIRECT(AU$1&amp;AU$3&amp;$C545))</f>
        <v>0</v>
      </c>
      <c r="AV545" s="904">
        <f t="shared" ca="1" si="1113"/>
        <v>0</v>
      </c>
      <c r="AW545" s="965">
        <f t="shared" ca="1" si="1114"/>
        <v>0</v>
      </c>
      <c r="AX545" s="376">
        <f ca="1">SUM(INDIRECT(AX$1&amp;AX$2&amp;$A545):INDIRECT(AX$1&amp;AX$3&amp;$A545))+SUM(INDIRECT(AX$1&amp;AX$2&amp;$B545):INDIRECT(AX$1&amp;AX$3&amp;$B545))</f>
        <v>0</v>
      </c>
      <c r="AY545" s="904">
        <f t="shared" ca="1" si="1115"/>
        <v>0</v>
      </c>
      <c r="AZ545" s="965">
        <f t="shared" ca="1" si="1116"/>
        <v>0</v>
      </c>
      <c r="BB545" s="109">
        <f ca="1">SUM((INDIRECT(BB$2&amp;(ROW())):INDIRECT(BB$3&amp;(ROW()))))</f>
        <v>0</v>
      </c>
      <c r="BC545" s="376">
        <f ca="1">SUM(INDIRECT(BC$1&amp;BC$2&amp;$C545):INDIRECT(BC$1&amp;BC$3&amp;$C545))</f>
        <v>0</v>
      </c>
      <c r="BD545" s="904">
        <f t="shared" ca="1" si="1117"/>
        <v>0</v>
      </c>
      <c r="BE545" s="965">
        <f t="shared" ca="1" si="1118"/>
        <v>0</v>
      </c>
      <c r="BF545" s="376">
        <f ca="1">SUM(INDIRECT(BF$1&amp;BF$2&amp;$A545):INDIRECT(BF$1&amp;BF$3&amp;$A545))+SUM(INDIRECT(BF$1&amp;BF$2&amp;$B545):INDIRECT(BF$1&amp;BF$3&amp;$B545))</f>
        <v>0</v>
      </c>
      <c r="BG545" s="904">
        <f t="shared" ca="1" si="1119"/>
        <v>0</v>
      </c>
      <c r="BH545" s="965">
        <f t="shared" ca="1" si="1120"/>
        <v>0</v>
      </c>
    </row>
    <row r="546" spans="1:60" ht="14.5">
      <c r="A546" s="990">
        <f>A545+1</f>
        <v>746</v>
      </c>
      <c r="B546" s="990">
        <v>1</v>
      </c>
      <c r="C546" s="990">
        <f t="shared" si="1069"/>
        <v>543</v>
      </c>
      <c r="E546" s="1292" t="s">
        <v>460</v>
      </c>
      <c r="F546" s="1459"/>
      <c r="G546" s="24"/>
      <c r="I546" s="106"/>
      <c r="J546" s="105"/>
      <c r="K546" s="74"/>
      <c r="L546" s="74"/>
      <c r="M546" s="75"/>
      <c r="N546" s="75" t="s">
        <v>904</v>
      </c>
      <c r="O546" s="75"/>
      <c r="P546" s="75"/>
      <c r="Q546" s="1845" t="str">
        <f>CHOOSE(2, "6722000003465", "S/GP (1)-2 Gross Profit Direct Office Solution RP")</f>
        <v>S/GP (1)-2 Gross Profit Direct Office Solution RP</v>
      </c>
      <c r="R546" s="2036">
        <v>835</v>
      </c>
      <c r="S546" s="2036">
        <v>715</v>
      </c>
      <c r="T546" s="2036">
        <f>735+161</f>
        <v>896</v>
      </c>
      <c r="U546" s="2036">
        <f>1535-510</f>
        <v>1025</v>
      </c>
      <c r="V546" s="2036">
        <v>927</v>
      </c>
      <c r="W546" s="2036">
        <v>953</v>
      </c>
      <c r="X546" s="2036">
        <v>765</v>
      </c>
      <c r="Y546" s="2036">
        <v>1688</v>
      </c>
      <c r="Z546" s="2036">
        <v>1065</v>
      </c>
      <c r="AA546" s="2036">
        <v>1081</v>
      </c>
      <c r="AB546" s="2036">
        <v>1647.68688</v>
      </c>
      <c r="AC546" s="2036">
        <v>1357</v>
      </c>
      <c r="AD546" s="100">
        <f>SUM(R546,S546,T546)</f>
        <v>2446</v>
      </c>
      <c r="AE546" s="19">
        <f t="shared" si="1137"/>
        <v>2905</v>
      </c>
      <c r="AF546" s="19">
        <f t="shared" si="1138"/>
        <v>3518</v>
      </c>
      <c r="AG546" s="19">
        <f t="shared" si="1139"/>
        <v>4085.6868800000002</v>
      </c>
      <c r="AH546" s="19">
        <f>AD546+AE546</f>
        <v>5351</v>
      </c>
      <c r="AI546" s="19">
        <f>AG546+AF546</f>
        <v>7603.6868800000002</v>
      </c>
      <c r="AJ546" s="100">
        <f>AH546+AI546</f>
        <v>12954.686880000001</v>
      </c>
      <c r="AL546" s="19">
        <f ca="1">SUM((INDIRECT(AL$2&amp;(ROW())):INDIRECT(AL$3&amp;(ROW()))))</f>
        <v>1357</v>
      </c>
      <c r="AM546" s="100">
        <f ca="1">SUM(INDIRECT(AM$1&amp;AM$2&amp;$C546):INDIRECT(AM$1&amp;AM$3&amp;$C546))</f>
        <v>0</v>
      </c>
      <c r="AN546" s="906">
        <f t="shared" ca="1" si="1109"/>
        <v>1357</v>
      </c>
      <c r="AO546" s="967">
        <f t="shared" ca="1" si="1110"/>
        <v>0</v>
      </c>
      <c r="AP546" s="100">
        <f ca="1">SUM(INDIRECT(AP$1&amp;AP$2&amp;$A546):INDIRECT(AP$1&amp;AP$3&amp;$A546))+SUM(INDIRECT(AP$1&amp;AP$2&amp;$B546):INDIRECT(AP$1&amp;AP$3&amp;$B546))</f>
        <v>724</v>
      </c>
      <c r="AQ546" s="906">
        <f t="shared" ca="1" si="1111"/>
        <v>633</v>
      </c>
      <c r="AR546" s="967">
        <f t="shared" ca="1" si="1112"/>
        <v>1.8743093922651934</v>
      </c>
      <c r="AT546" s="19">
        <f ca="1">SUM((INDIRECT(AT$2&amp;(ROW())):INDIRECT(AT$3&amp;(ROW()))))</f>
        <v>4085.6868800000002</v>
      </c>
      <c r="AU546" s="100">
        <f ca="1">SUM(INDIRECT(AU$1&amp;AU$2&amp;$C546):INDIRECT(AU$1&amp;AU$3&amp;$C546))</f>
        <v>0</v>
      </c>
      <c r="AV546" s="906">
        <f t="shared" ca="1" si="1113"/>
        <v>4085.6868800000002</v>
      </c>
      <c r="AW546" s="967">
        <f t="shared" ca="1" si="1114"/>
        <v>0</v>
      </c>
      <c r="AX546" s="100">
        <f ca="1">SUM(INDIRECT(AX$1&amp;AX$2&amp;$A546):INDIRECT(AX$1&amp;AX$3&amp;$A546))+SUM(INDIRECT(AX$1&amp;AX$2&amp;$B546):INDIRECT(AX$1&amp;AX$3&amp;$B546))</f>
        <v>2072</v>
      </c>
      <c r="AY546" s="906">
        <f t="shared" ca="1" si="1115"/>
        <v>2013.6868800000002</v>
      </c>
      <c r="AZ546" s="967">
        <f t="shared" ca="1" si="1116"/>
        <v>1.9718566023166024</v>
      </c>
      <c r="BB546" s="19">
        <f ca="1">SUM((INDIRECT(BB$2&amp;(ROW())):INDIRECT(BB$3&amp;(ROW()))))</f>
        <v>12954.686879999999</v>
      </c>
      <c r="BC546" s="100">
        <f ca="1">SUM(INDIRECT(BC$1&amp;BC$2&amp;$C546):INDIRECT(BC$1&amp;BC$3&amp;$C546))</f>
        <v>0</v>
      </c>
      <c r="BD546" s="906">
        <f t="shared" ca="1" si="1117"/>
        <v>12954.686879999999</v>
      </c>
      <c r="BE546" s="967">
        <f t="shared" ca="1" si="1118"/>
        <v>0</v>
      </c>
      <c r="BF546" s="100">
        <f ca="1">SUM(INDIRECT(BF$1&amp;BF$2&amp;$A546):INDIRECT(BF$1&amp;BF$3&amp;$A546))+SUM(INDIRECT(BF$1&amp;BF$2&amp;$B546):INDIRECT(BF$1&amp;BF$3&amp;$B546))</f>
        <v>8752</v>
      </c>
      <c r="BG546" s="906">
        <f t="shared" ca="1" si="1119"/>
        <v>4202.6868799999993</v>
      </c>
      <c r="BH546" s="967">
        <f t="shared" ca="1" si="1120"/>
        <v>1.4801973126142596</v>
      </c>
    </row>
    <row r="547" spans="1:60" ht="14.5">
      <c r="A547" s="990">
        <f>A546+1</f>
        <v>747</v>
      </c>
      <c r="B547" s="990">
        <v>1</v>
      </c>
      <c r="C547" s="990">
        <f t="shared" si="1069"/>
        <v>544</v>
      </c>
      <c r="E547" s="1292" t="s">
        <v>460</v>
      </c>
      <c r="F547" s="1459"/>
      <c r="G547" s="24"/>
      <c r="I547" s="106"/>
      <c r="J547" s="105"/>
      <c r="K547" s="74"/>
      <c r="L547" s="74"/>
      <c r="M547" s="75"/>
      <c r="N547" s="75" t="s">
        <v>905</v>
      </c>
      <c r="O547" s="75"/>
      <c r="P547" s="75"/>
      <c r="Q547" s="1845" t="str">
        <f>CHOOSE(2, "6722000003466", "S/GP (1)-2 Gross Profit Direct Office Solution OSP service")</f>
        <v>S/GP (1)-2 Gross Profit Direct Office Solution OSP service</v>
      </c>
      <c r="R547" s="2036">
        <v>0</v>
      </c>
      <c r="S547" s="2036">
        <v>0</v>
      </c>
      <c r="T547" s="2036">
        <v>0</v>
      </c>
      <c r="U547" s="2036">
        <v>0</v>
      </c>
      <c r="V547" s="2036">
        <v>0</v>
      </c>
      <c r="W547" s="2036">
        <v>0</v>
      </c>
      <c r="X547" s="2036">
        <v>0</v>
      </c>
      <c r="Y547" s="2036">
        <v>0</v>
      </c>
      <c r="Z547" s="2036">
        <v>0</v>
      </c>
      <c r="AA547" s="2036">
        <v>0</v>
      </c>
      <c r="AB547" s="2036">
        <v>0</v>
      </c>
      <c r="AC547" s="2036">
        <v>0</v>
      </c>
      <c r="AD547" s="100">
        <f>SUM(R547,S547,T547)</f>
        <v>0</v>
      </c>
      <c r="AE547" s="19">
        <f t="shared" si="1137"/>
        <v>0</v>
      </c>
      <c r="AF547" s="19">
        <f t="shared" si="1138"/>
        <v>0</v>
      </c>
      <c r="AG547" s="19">
        <f t="shared" si="1139"/>
        <v>0</v>
      </c>
      <c r="AH547" s="19">
        <f>AD547+AE547</f>
        <v>0</v>
      </c>
      <c r="AI547" s="19">
        <f>AG547+AF547</f>
        <v>0</v>
      </c>
      <c r="AJ547" s="100">
        <f>AH547+AI547</f>
        <v>0</v>
      </c>
      <c r="AL547" s="19">
        <f ca="1">SUM((INDIRECT(AL$2&amp;(ROW())):INDIRECT(AL$3&amp;(ROW()))))</f>
        <v>0</v>
      </c>
      <c r="AM547" s="100">
        <f ca="1">SUM(INDIRECT(AM$1&amp;AM$2&amp;$C547):INDIRECT(AM$1&amp;AM$3&amp;$C547))</f>
        <v>0</v>
      </c>
      <c r="AN547" s="906">
        <f t="shared" ca="1" si="1109"/>
        <v>0</v>
      </c>
      <c r="AO547" s="967">
        <f t="shared" ca="1" si="1110"/>
        <v>0</v>
      </c>
      <c r="AP547" s="100">
        <f ca="1">SUM(INDIRECT(AP$1&amp;AP$2&amp;$A547):INDIRECT(AP$1&amp;AP$3&amp;$A547))+SUM(INDIRECT(AP$1&amp;AP$2&amp;$B547):INDIRECT(AP$1&amp;AP$3&amp;$B547))</f>
        <v>0</v>
      </c>
      <c r="AQ547" s="906">
        <f t="shared" ca="1" si="1111"/>
        <v>0</v>
      </c>
      <c r="AR547" s="967">
        <f t="shared" ca="1" si="1112"/>
        <v>0</v>
      </c>
      <c r="AT547" s="19">
        <f ca="1">SUM((INDIRECT(AT$2&amp;(ROW())):INDIRECT(AT$3&amp;(ROW()))))</f>
        <v>0</v>
      </c>
      <c r="AU547" s="100">
        <f ca="1">SUM(INDIRECT(AU$1&amp;AU$2&amp;$C547):INDIRECT(AU$1&amp;AU$3&amp;$C547))</f>
        <v>0</v>
      </c>
      <c r="AV547" s="906">
        <f t="shared" ca="1" si="1113"/>
        <v>0</v>
      </c>
      <c r="AW547" s="967">
        <f t="shared" ca="1" si="1114"/>
        <v>0</v>
      </c>
      <c r="AX547" s="100">
        <f ca="1">SUM(INDIRECT(AX$1&amp;AX$2&amp;$A547):INDIRECT(AX$1&amp;AX$3&amp;$A547))+SUM(INDIRECT(AX$1&amp;AX$2&amp;$B547):INDIRECT(AX$1&amp;AX$3&amp;$B547))</f>
        <v>0</v>
      </c>
      <c r="AY547" s="906">
        <f t="shared" ca="1" si="1115"/>
        <v>0</v>
      </c>
      <c r="AZ547" s="967">
        <f t="shared" ca="1" si="1116"/>
        <v>0</v>
      </c>
      <c r="BB547" s="19">
        <f ca="1">SUM((INDIRECT(BB$2&amp;(ROW())):INDIRECT(BB$3&amp;(ROW()))))</f>
        <v>0</v>
      </c>
      <c r="BC547" s="100">
        <f ca="1">SUM(INDIRECT(BC$1&amp;BC$2&amp;$C547):INDIRECT(BC$1&amp;BC$3&amp;$C547))</f>
        <v>0</v>
      </c>
      <c r="BD547" s="906">
        <f t="shared" ca="1" si="1117"/>
        <v>0</v>
      </c>
      <c r="BE547" s="967">
        <f t="shared" ca="1" si="1118"/>
        <v>0</v>
      </c>
      <c r="BF547" s="100">
        <f ca="1">SUM(INDIRECT(BF$1&amp;BF$2&amp;$A547):INDIRECT(BF$1&amp;BF$3&amp;$A547))+SUM(INDIRECT(BF$1&amp;BF$2&amp;$B547):INDIRECT(BF$1&amp;BF$3&amp;$B547))</f>
        <v>0</v>
      </c>
      <c r="BG547" s="906">
        <f t="shared" ca="1" si="1119"/>
        <v>0</v>
      </c>
      <c r="BH547" s="967">
        <f t="shared" ca="1" si="1120"/>
        <v>0</v>
      </c>
    </row>
    <row r="548" spans="1:60" ht="14.5">
      <c r="A548" s="990">
        <f>A547+1</f>
        <v>748</v>
      </c>
      <c r="B548" s="990">
        <v>1</v>
      </c>
      <c r="C548" s="990">
        <f t="shared" si="1069"/>
        <v>545</v>
      </c>
      <c r="E548" s="1292" t="s">
        <v>460</v>
      </c>
      <c r="F548" s="1459"/>
      <c r="G548" s="24"/>
      <c r="I548" s="106"/>
      <c r="J548" s="105"/>
      <c r="K548" s="74"/>
      <c r="L548" s="74"/>
      <c r="M548" s="276"/>
      <c r="N548" s="276" t="s">
        <v>906</v>
      </c>
      <c r="O548" s="276"/>
      <c r="P548" s="276"/>
      <c r="Q548" s="1845" t="str">
        <f>CHOOSE(2, "6722000003467", "S/GP (1)-2 Gross Profit Direct Office Solution RP service")</f>
        <v>S/GP (1)-2 Gross Profit Direct Office Solution RP service</v>
      </c>
      <c r="R548" s="2037">
        <v>0</v>
      </c>
      <c r="S548" s="2037">
        <v>0</v>
      </c>
      <c r="T548" s="2037">
        <v>0</v>
      </c>
      <c r="U548" s="2037">
        <v>0</v>
      </c>
      <c r="V548" s="2037">
        <v>0</v>
      </c>
      <c r="W548" s="2037">
        <v>0</v>
      </c>
      <c r="X548" s="2037">
        <v>0</v>
      </c>
      <c r="Y548" s="2037">
        <v>0</v>
      </c>
      <c r="Z548" s="2037">
        <v>0</v>
      </c>
      <c r="AA548" s="2037">
        <v>0</v>
      </c>
      <c r="AB548" s="2037">
        <v>0</v>
      </c>
      <c r="AC548" s="2037">
        <v>0</v>
      </c>
      <c r="AD548" s="99">
        <f>SUM(R548,S548,T548)</f>
        <v>0</v>
      </c>
      <c r="AE548" s="17">
        <f t="shared" si="1137"/>
        <v>0</v>
      </c>
      <c r="AF548" s="17">
        <f t="shared" si="1138"/>
        <v>0</v>
      </c>
      <c r="AG548" s="17">
        <f t="shared" si="1139"/>
        <v>0</v>
      </c>
      <c r="AH548" s="17">
        <f>AD548+AE548</f>
        <v>0</v>
      </c>
      <c r="AI548" s="17">
        <f>AG548+AF548</f>
        <v>0</v>
      </c>
      <c r="AJ548" s="99">
        <f>AH548+AI548</f>
        <v>0</v>
      </c>
      <c r="AL548" s="19">
        <f ca="1">SUM((INDIRECT(AL$2&amp;(ROW())):INDIRECT(AL$3&amp;(ROW()))))</f>
        <v>0</v>
      </c>
      <c r="AM548" s="100">
        <f ca="1">SUM(INDIRECT(AM$1&amp;AM$2&amp;$C548):INDIRECT(AM$1&amp;AM$3&amp;$C548))</f>
        <v>0</v>
      </c>
      <c r="AN548" s="906">
        <f t="shared" ca="1" si="1109"/>
        <v>0</v>
      </c>
      <c r="AO548" s="967">
        <f t="shared" ca="1" si="1110"/>
        <v>0</v>
      </c>
      <c r="AP548" s="100">
        <f ca="1">SUM(INDIRECT(AP$1&amp;AP$2&amp;$A548):INDIRECT(AP$1&amp;AP$3&amp;$A548))+SUM(INDIRECT(AP$1&amp;AP$2&amp;$B548):INDIRECT(AP$1&amp;AP$3&amp;$B548))</f>
        <v>0</v>
      </c>
      <c r="AQ548" s="906">
        <f t="shared" ca="1" si="1111"/>
        <v>0</v>
      </c>
      <c r="AR548" s="967">
        <f t="shared" ca="1" si="1112"/>
        <v>0</v>
      </c>
      <c r="AT548" s="19">
        <f ca="1">SUM((INDIRECT(AT$2&amp;(ROW())):INDIRECT(AT$3&amp;(ROW()))))</f>
        <v>0</v>
      </c>
      <c r="AU548" s="100">
        <f ca="1">SUM(INDIRECT(AU$1&amp;AU$2&amp;$C548):INDIRECT(AU$1&amp;AU$3&amp;$C548))</f>
        <v>0</v>
      </c>
      <c r="AV548" s="906">
        <f t="shared" ca="1" si="1113"/>
        <v>0</v>
      </c>
      <c r="AW548" s="967">
        <f t="shared" ca="1" si="1114"/>
        <v>0</v>
      </c>
      <c r="AX548" s="100">
        <f ca="1">SUM(INDIRECT(AX$1&amp;AX$2&amp;$A548):INDIRECT(AX$1&amp;AX$3&amp;$A548))+SUM(INDIRECT(AX$1&amp;AX$2&amp;$B548):INDIRECT(AX$1&amp;AX$3&amp;$B548))</f>
        <v>0</v>
      </c>
      <c r="AY548" s="906">
        <f t="shared" ca="1" si="1115"/>
        <v>0</v>
      </c>
      <c r="AZ548" s="967">
        <f t="shared" ca="1" si="1116"/>
        <v>0</v>
      </c>
      <c r="BB548" s="19">
        <f ca="1">SUM((INDIRECT(BB$2&amp;(ROW())):INDIRECT(BB$3&amp;(ROW()))))</f>
        <v>0</v>
      </c>
      <c r="BC548" s="100">
        <f ca="1">SUM(INDIRECT(BC$1&amp;BC$2&amp;$C548):INDIRECT(BC$1&amp;BC$3&amp;$C548))</f>
        <v>0</v>
      </c>
      <c r="BD548" s="906">
        <f t="shared" ca="1" si="1117"/>
        <v>0</v>
      </c>
      <c r="BE548" s="967">
        <f t="shared" ca="1" si="1118"/>
        <v>0</v>
      </c>
      <c r="BF548" s="100">
        <f ca="1">SUM(INDIRECT(BF$1&amp;BF$2&amp;$A548):INDIRECT(BF$1&amp;BF$3&amp;$A548))+SUM(INDIRECT(BF$1&amp;BF$2&amp;$B548):INDIRECT(BF$1&amp;BF$3&amp;$B548))</f>
        <v>0</v>
      </c>
      <c r="BG548" s="906">
        <f t="shared" ca="1" si="1119"/>
        <v>0</v>
      </c>
      <c r="BH548" s="967">
        <f t="shared" ca="1" si="1120"/>
        <v>0</v>
      </c>
    </row>
    <row r="549" spans="1:60" ht="14.5">
      <c r="A549" s="1397">
        <v>754</v>
      </c>
      <c r="B549" s="990">
        <v>1</v>
      </c>
      <c r="C549" s="990">
        <f t="shared" si="1069"/>
        <v>546</v>
      </c>
      <c r="E549" s="1292" t="s">
        <v>460</v>
      </c>
      <c r="F549" s="1459"/>
      <c r="G549" s="24"/>
      <c r="I549" s="104"/>
      <c r="J549" s="103"/>
      <c r="K549" s="68" t="s">
        <v>221</v>
      </c>
      <c r="L549" s="68"/>
      <c r="M549" s="1777" t="s">
        <v>275</v>
      </c>
      <c r="N549" s="1778"/>
      <c r="O549" s="1778"/>
      <c r="P549" s="1778"/>
      <c r="Q549" s="1845" t="str">
        <f>CHOOSE(2, "6722000003468", "S/GP (1)-2 Gross Profit Indirect Office Solution")</f>
        <v>S/GP (1)-2 Gross Profit Indirect Office Solution</v>
      </c>
      <c r="R549" s="2037">
        <v>0</v>
      </c>
      <c r="S549" s="2041">
        <v>426</v>
      </c>
      <c r="T549" s="2037">
        <v>119</v>
      </c>
      <c r="U549" s="2037">
        <v>20</v>
      </c>
      <c r="V549" s="2037">
        <v>188</v>
      </c>
      <c r="W549" s="2037">
        <v>600</v>
      </c>
      <c r="X549" s="2037">
        <v>211</v>
      </c>
      <c r="Y549" s="2037">
        <v>670</v>
      </c>
      <c r="Z549" s="2037">
        <v>551</v>
      </c>
      <c r="AA549" s="2037">
        <v>346</v>
      </c>
      <c r="AB549" s="2037">
        <v>341.16971000000001</v>
      </c>
      <c r="AC549" s="2037">
        <v>546</v>
      </c>
      <c r="AD549" s="1780">
        <f>SUM(R549,S549,T549)</f>
        <v>545</v>
      </c>
      <c r="AE549" s="1779">
        <f>SUM(U549,V549,W549)</f>
        <v>808</v>
      </c>
      <c r="AF549" s="1779">
        <f>SUM(X549,Y549,Z549)</f>
        <v>1432</v>
      </c>
      <c r="AG549" s="1779">
        <f>SUM(AA549,AB549,AC549)</f>
        <v>1233.1697100000001</v>
      </c>
      <c r="AH549" s="1779">
        <f>AD549+AE549</f>
        <v>1353</v>
      </c>
      <c r="AI549" s="1779">
        <f>AG549+AF549</f>
        <v>2665.1697100000001</v>
      </c>
      <c r="AJ549" s="1780">
        <f>AH549+AI549</f>
        <v>4018.1697100000001</v>
      </c>
      <c r="AL549" s="17">
        <f ca="1">SUM((INDIRECT(AL$2&amp;(ROW())):INDIRECT(AL$3&amp;(ROW()))))</f>
        <v>546</v>
      </c>
      <c r="AM549" s="99">
        <f ca="1">SUM(INDIRECT(AM$1&amp;AM$2&amp;$C549):INDIRECT(AM$1&amp;AM$3&amp;$C549))</f>
        <v>0</v>
      </c>
      <c r="AN549" s="905">
        <f t="shared" ca="1" si="1109"/>
        <v>546</v>
      </c>
      <c r="AO549" s="966">
        <f t="shared" ca="1" si="1110"/>
        <v>0</v>
      </c>
      <c r="AP549" s="99">
        <f ca="1">SUM(INDIRECT(AP$1&amp;AP$2&amp;$A549):INDIRECT(AP$1&amp;AP$3&amp;$A549))+SUM(INDIRECT(AP$1&amp;AP$2&amp;$B549):INDIRECT(AP$1&amp;AP$3&amp;$B549))</f>
        <v>81</v>
      </c>
      <c r="AQ549" s="905">
        <f t="shared" ca="1" si="1111"/>
        <v>465</v>
      </c>
      <c r="AR549" s="966">
        <f t="shared" ca="1" si="1112"/>
        <v>6.7407407407407405</v>
      </c>
      <c r="AT549" s="17">
        <f ca="1">SUM((INDIRECT(AT$2&amp;(ROW())):INDIRECT(AT$3&amp;(ROW()))))</f>
        <v>1233.1697100000001</v>
      </c>
      <c r="AU549" s="99">
        <f ca="1">SUM(INDIRECT(AU$1&amp;AU$2&amp;$C549):INDIRECT(AU$1&amp;AU$3&amp;$C549))</f>
        <v>0</v>
      </c>
      <c r="AV549" s="905">
        <f t="shared" ca="1" si="1113"/>
        <v>1233.1697100000001</v>
      </c>
      <c r="AW549" s="966">
        <f t="shared" ca="1" si="1114"/>
        <v>0</v>
      </c>
      <c r="AX549" s="99">
        <f ca="1">SUM(INDIRECT(AX$1&amp;AX$2&amp;$A549):INDIRECT(AX$1&amp;AX$3&amp;$A549))+SUM(INDIRECT(AX$1&amp;AX$2&amp;$B549):INDIRECT(AX$1&amp;AX$3&amp;$B549))</f>
        <v>370</v>
      </c>
      <c r="AY549" s="905">
        <f t="shared" ca="1" si="1115"/>
        <v>863.16971000000012</v>
      </c>
      <c r="AZ549" s="966">
        <f t="shared" ca="1" si="1116"/>
        <v>3.3328911081081083</v>
      </c>
      <c r="BB549" s="17">
        <f ca="1">SUM((INDIRECT(BB$2&amp;(ROW())):INDIRECT(BB$3&amp;(ROW()))))</f>
        <v>4018.1697100000001</v>
      </c>
      <c r="BC549" s="99">
        <f ca="1">SUM(INDIRECT(BC$1&amp;BC$2&amp;$C549):INDIRECT(BC$1&amp;BC$3&amp;$C549))</f>
        <v>0</v>
      </c>
      <c r="BD549" s="905">
        <f t="shared" ca="1" si="1117"/>
        <v>4018.1697100000001</v>
      </c>
      <c r="BE549" s="966">
        <f t="shared" ca="1" si="1118"/>
        <v>0</v>
      </c>
      <c r="BF549" s="99">
        <f ca="1">SUM(INDIRECT(BF$1&amp;BF$2&amp;$A549):INDIRECT(BF$1&amp;BF$3&amp;$A549))+SUM(INDIRECT(BF$1&amp;BF$2&amp;$B549):INDIRECT(BF$1&amp;BF$3&amp;$B549))</f>
        <v>1800</v>
      </c>
      <c r="BG549" s="905">
        <f t="shared" ca="1" si="1119"/>
        <v>2218.1697100000001</v>
      </c>
      <c r="BH549" s="966">
        <f t="shared" ca="1" si="1120"/>
        <v>2.2323165055555556</v>
      </c>
    </row>
    <row r="550" spans="1:60" ht="14.5">
      <c r="A550" s="990">
        <v>1</v>
      </c>
      <c r="B550" s="990">
        <v>1</v>
      </c>
      <c r="C550" s="990">
        <f t="shared" si="1069"/>
        <v>547</v>
      </c>
      <c r="E550" s="1292" t="s">
        <v>460</v>
      </c>
      <c r="I550" s="24"/>
      <c r="J550" s="75"/>
      <c r="K550" s="24"/>
      <c r="L550" s="24"/>
      <c r="M550" s="75"/>
      <c r="N550" s="1688" t="s">
        <v>1415</v>
      </c>
      <c r="O550" s="75"/>
      <c r="P550" s="75"/>
      <c r="Q550" s="1838" t="str">
        <f>CHOOSE(2, "6722000003469", "▷ Blank 20")</f>
        <v>▷ Blank 20</v>
      </c>
      <c r="R550" s="2200"/>
      <c r="AA550" s="163"/>
      <c r="AB550" s="163"/>
      <c r="AC550" s="163"/>
      <c r="AD550" s="163"/>
      <c r="AE550" s="163"/>
      <c r="AF550" s="163"/>
      <c r="AG550" s="163"/>
      <c r="AH550" s="163"/>
      <c r="AI550" s="163"/>
      <c r="AJ550" s="868"/>
      <c r="AL550" s="163"/>
      <c r="AM550" s="163"/>
      <c r="AN550" s="163"/>
      <c r="AO550" s="163"/>
      <c r="AP550" s="163"/>
      <c r="AQ550" s="163"/>
      <c r="AR550" s="163"/>
      <c r="AT550" s="163"/>
      <c r="AU550" s="163"/>
      <c r="AV550" s="163"/>
      <c r="AW550" s="163"/>
      <c r="AX550" s="163"/>
      <c r="AY550" s="163"/>
      <c r="AZ550" s="163"/>
      <c r="BB550" s="163"/>
      <c r="BC550" s="163"/>
      <c r="BD550" s="163"/>
      <c r="BE550" s="163"/>
      <c r="BF550" s="163"/>
      <c r="BG550" s="163"/>
      <c r="BH550" s="163"/>
    </row>
    <row r="551" spans="1:60" ht="14.5">
      <c r="A551" s="990">
        <f>A534+1</f>
        <v>486</v>
      </c>
      <c r="B551" s="990">
        <v>1</v>
      </c>
      <c r="C551" s="990">
        <f t="shared" si="1069"/>
        <v>548</v>
      </c>
      <c r="E551" s="1292" t="s">
        <v>460</v>
      </c>
      <c r="H551" s="24" t="s">
        <v>484</v>
      </c>
      <c r="P551" s="291"/>
      <c r="Q551" s="1838" t="str">
        <f>CHOOSE(2, "6722000003470", "S/GP (2) PP")</f>
        <v>S/GP (2) PP</v>
      </c>
      <c r="R551" s="2218"/>
      <c r="S551" s="2038"/>
      <c r="T551" s="2038"/>
      <c r="U551" s="2038"/>
      <c r="V551" s="2038"/>
      <c r="W551" s="2038"/>
      <c r="AB551" s="1"/>
      <c r="AC551" s="1"/>
      <c r="AD551" s="1"/>
      <c r="AE551" s="1"/>
      <c r="AF551" s="1"/>
      <c r="AG551" s="1"/>
      <c r="AH551" s="1"/>
      <c r="AI551" s="1"/>
      <c r="AJ551" s="1"/>
      <c r="AL551" s="1"/>
      <c r="AM551" s="1"/>
      <c r="AN551" s="1"/>
      <c r="AO551" s="1"/>
      <c r="AP551" s="1"/>
      <c r="AQ551" s="1"/>
      <c r="AR551" s="1"/>
      <c r="AT551" s="1"/>
      <c r="AU551" s="1"/>
      <c r="AV551" s="1"/>
      <c r="AW551" s="1"/>
      <c r="AX551" s="1"/>
      <c r="AY551" s="1"/>
      <c r="AZ551" s="1"/>
      <c r="BB551" s="1"/>
      <c r="BC551" s="1"/>
      <c r="BD551" s="1"/>
      <c r="BE551" s="1"/>
      <c r="BF551" s="1"/>
      <c r="BG551" s="1"/>
      <c r="BH551" s="1"/>
    </row>
    <row r="552" spans="1:60" ht="14.5">
      <c r="A552" s="990">
        <f t="shared" si="1106"/>
        <v>487</v>
      </c>
      <c r="B552" s="990">
        <v>1</v>
      </c>
      <c r="C552" s="990">
        <f t="shared" si="1069"/>
        <v>549</v>
      </c>
      <c r="E552" s="1292" t="s">
        <v>460</v>
      </c>
      <c r="I552" s="84" t="s">
        <v>211</v>
      </c>
      <c r="J552" s="83"/>
      <c r="K552" s="355"/>
      <c r="L552" s="355"/>
      <c r="M552" s="307"/>
      <c r="N552" s="307"/>
      <c r="O552" s="307"/>
      <c r="P552" s="612"/>
      <c r="Q552" s="1879" t="str">
        <f>CHOOSE(2, "6722000003471", "S/GP (2) Net Sales")</f>
        <v>S/GP (2) Net Sales</v>
      </c>
      <c r="R552" s="1993">
        <f>R553+R568</f>
        <v>469389</v>
      </c>
      <c r="S552" s="2051">
        <f t="shared" ref="S552:AC552" si="1140">S553+S568</f>
        <v>465913</v>
      </c>
      <c r="T552" s="2051">
        <f t="shared" si="1140"/>
        <v>468237</v>
      </c>
      <c r="U552" s="2051">
        <f t="shared" si="1140"/>
        <v>490672</v>
      </c>
      <c r="V552" s="2051">
        <f t="shared" si="1140"/>
        <v>544123.20207</v>
      </c>
      <c r="W552" s="2051">
        <f t="shared" si="1140"/>
        <v>420374</v>
      </c>
      <c r="X552" s="2051">
        <f t="shared" si="1140"/>
        <v>631088</v>
      </c>
      <c r="Y552" s="2051">
        <f t="shared" si="1140"/>
        <v>524580</v>
      </c>
      <c r="Z552" s="2051">
        <f t="shared" si="1140"/>
        <v>514753</v>
      </c>
      <c r="AA552" s="2051">
        <f t="shared" si="1140"/>
        <v>565106</v>
      </c>
      <c r="AB552" s="2051">
        <f t="shared" si="1140"/>
        <v>597727</v>
      </c>
      <c r="AC552" s="2051">
        <f t="shared" si="1140"/>
        <v>455797</v>
      </c>
      <c r="AD552" s="1544">
        <f t="shared" ref="AD552:AJ552" si="1141">AD553+AD568</f>
        <v>1403539</v>
      </c>
      <c r="AE552" s="356">
        <f t="shared" si="1141"/>
        <v>1455169.2020700001</v>
      </c>
      <c r="AF552" s="356">
        <f t="shared" si="1141"/>
        <v>1670421</v>
      </c>
      <c r="AG552" s="356">
        <f t="shared" si="1141"/>
        <v>1618630</v>
      </c>
      <c r="AH552" s="356">
        <f t="shared" si="1141"/>
        <v>2858708.2020700001</v>
      </c>
      <c r="AI552" s="356">
        <f t="shared" si="1141"/>
        <v>3289051</v>
      </c>
      <c r="AJ552" s="356">
        <f t="shared" si="1141"/>
        <v>6147759.2020699997</v>
      </c>
      <c r="AL552" s="2051">
        <f ca="1">SUM((INDIRECT(AL$2&amp;(ROW())):INDIRECT(AL$3&amp;(ROW()))))</f>
        <v>455797</v>
      </c>
      <c r="AM552" s="2051">
        <f ca="1">SUM(INDIRECT(AM$1&amp;AM$2&amp;$C552):INDIRECT(AM$1&amp;AM$3&amp;$C552))</f>
        <v>0</v>
      </c>
      <c r="AN552" s="2538">
        <f t="shared" ref="AN552:AN583" ca="1" si="1142">AL552-AM552</f>
        <v>455797</v>
      </c>
      <c r="AO552" s="2539">
        <f t="shared" ref="AO552:AO583" ca="1" si="1143">IFERROR(AL552/AM552,0)</f>
        <v>0</v>
      </c>
      <c r="AP552" s="2051">
        <f ca="1">SUM(INDIRECT(AP$1&amp;AP$2&amp;$A552):INDIRECT(AP$1&amp;AP$3&amp;$A552))</f>
        <v>510228</v>
      </c>
      <c r="AQ552" s="2538">
        <f t="shared" ref="AQ552:AQ583" ca="1" si="1144">AL552-AP552</f>
        <v>-54431</v>
      </c>
      <c r="AR552" s="2539">
        <f t="shared" ref="AR552:AR583" ca="1" si="1145">IFERROR(AL552/AP552,0)</f>
        <v>0.89332024114709507</v>
      </c>
      <c r="AT552" s="2051">
        <f ca="1">SUM((INDIRECT(AT$2&amp;(ROW())):INDIRECT(AT$3&amp;(ROW()))))</f>
        <v>1618630</v>
      </c>
      <c r="AU552" s="2051">
        <f ca="1">SUM(INDIRECT(AU$1&amp;AU$2&amp;$C552):INDIRECT(AU$1&amp;AU$3&amp;$C552))</f>
        <v>0</v>
      </c>
      <c r="AV552" s="2538">
        <f t="shared" ref="AV552:AV583" ca="1" si="1146">AT552-AU552</f>
        <v>1618630</v>
      </c>
      <c r="AW552" s="2539">
        <f t="shared" ref="AW552:AW583" ca="1" si="1147">IFERROR(AT552/AU552,0)</f>
        <v>0</v>
      </c>
      <c r="AX552" s="2051">
        <f ca="1">SUM(INDIRECT(AX$1&amp;AX$2&amp;$A552):INDIRECT(AX$1&amp;AX$3&amp;$A552))</f>
        <v>1263363</v>
      </c>
      <c r="AY552" s="2538">
        <f t="shared" ref="AY552:AY583" ca="1" si="1148">AT552-AX552</f>
        <v>355267</v>
      </c>
      <c r="AZ552" s="2539">
        <f t="shared" ref="AZ552:AZ583" ca="1" si="1149">IFERROR(AT552/AX552,0)</f>
        <v>1.2812073806182387</v>
      </c>
      <c r="BB552" s="2051">
        <f ca="1">SUM((INDIRECT(BB$2&amp;(ROW())):INDIRECT(BB$3&amp;(ROW()))))</f>
        <v>6147759.2020699997</v>
      </c>
      <c r="BC552" s="2051">
        <f ca="1">SUM(INDIRECT(BC$1&amp;BC$2&amp;$C552):INDIRECT(BC$1&amp;BC$3&amp;$C552))</f>
        <v>0</v>
      </c>
      <c r="BD552" s="2538">
        <f t="shared" ref="BD552:BD583" ca="1" si="1150">BB552-BC552</f>
        <v>6147759.2020699997</v>
      </c>
      <c r="BE552" s="2539">
        <f t="shared" ref="BE552:BE583" ca="1" si="1151">IFERROR(BB552/BC552,0)</f>
        <v>0</v>
      </c>
      <c r="BF552" s="2051">
        <f ca="1">SUM(INDIRECT(BF$1&amp;BF$2&amp;$A552):INDIRECT(BF$1&amp;BF$3&amp;$A552))</f>
        <v>4565670</v>
      </c>
      <c r="BG552" s="2538">
        <f t="shared" ref="BG552:BG583" ca="1" si="1152">BB552-BF552</f>
        <v>1582089.2020699997</v>
      </c>
      <c r="BH552" s="2539">
        <f t="shared" ref="BH552:BH583" ca="1" si="1153">IFERROR(BB552/BF552,0)</f>
        <v>1.3465185179984536</v>
      </c>
    </row>
    <row r="553" spans="1:60" ht="14.5">
      <c r="A553" s="990">
        <f t="shared" si="1106"/>
        <v>488</v>
      </c>
      <c r="B553" s="990">
        <v>1</v>
      </c>
      <c r="C553" s="990">
        <f t="shared" si="1069"/>
        <v>550</v>
      </c>
      <c r="E553" s="1243"/>
      <c r="I553" s="79"/>
      <c r="J553" s="78"/>
      <c r="K553" s="74" t="s">
        <v>212</v>
      </c>
      <c r="L553" s="74"/>
      <c r="M553" s="357"/>
      <c r="N553" s="357"/>
      <c r="O553" s="357"/>
      <c r="P553" s="357"/>
      <c r="Q553" s="1878" t="str">
        <f>CHOOSE(2, "6722000003472", "S/GP (2) Net Sales Direct")</f>
        <v>S/GP (2) Net Sales Direct</v>
      </c>
      <c r="R553" s="2064">
        <f>R554+R557+R562+R567</f>
        <v>403399</v>
      </c>
      <c r="S553" s="359">
        <f t="shared" ref="S553:AC553" si="1154">S554+S557+S562+S567</f>
        <v>411071</v>
      </c>
      <c r="T553" s="359">
        <f t="shared" si="1154"/>
        <v>406421</v>
      </c>
      <c r="U553" s="359">
        <f t="shared" si="1154"/>
        <v>418493</v>
      </c>
      <c r="V553" s="359">
        <f t="shared" si="1154"/>
        <v>485754.99407000002</v>
      </c>
      <c r="W553" s="359">
        <f t="shared" si="1154"/>
        <v>380095</v>
      </c>
      <c r="X553" s="359">
        <f t="shared" si="1154"/>
        <v>573097</v>
      </c>
      <c r="Y553" s="359">
        <f t="shared" si="1154"/>
        <v>465202</v>
      </c>
      <c r="Z553" s="359">
        <f t="shared" si="1154"/>
        <v>458861</v>
      </c>
      <c r="AA553" s="359">
        <f t="shared" si="1154"/>
        <v>501709</v>
      </c>
      <c r="AB553" s="359">
        <f t="shared" si="1154"/>
        <v>509314</v>
      </c>
      <c r="AC553" s="359">
        <f t="shared" si="1154"/>
        <v>394604</v>
      </c>
      <c r="AD553" s="407">
        <f t="shared" ref="AD553:AJ553" si="1155">AD554+AD557+AD562+AD567</f>
        <v>1220891</v>
      </c>
      <c r="AE553" s="359">
        <f t="shared" si="1155"/>
        <v>1284342.99407</v>
      </c>
      <c r="AF553" s="359">
        <f t="shared" si="1155"/>
        <v>1497160</v>
      </c>
      <c r="AG553" s="359">
        <f t="shared" si="1155"/>
        <v>1405627</v>
      </c>
      <c r="AH553" s="359">
        <f t="shared" si="1155"/>
        <v>2505233.99407</v>
      </c>
      <c r="AI553" s="359">
        <f t="shared" si="1155"/>
        <v>2902787</v>
      </c>
      <c r="AJ553" s="359">
        <f t="shared" si="1155"/>
        <v>5408020.99407</v>
      </c>
      <c r="AL553" s="359">
        <f ca="1">SUM((INDIRECT(AL$2&amp;(ROW())):INDIRECT(AL$3&amp;(ROW()))))</f>
        <v>394604</v>
      </c>
      <c r="AM553" s="359">
        <f ca="1">SUM(INDIRECT(AM$1&amp;AM$2&amp;$C553):INDIRECT(AM$1&amp;AM$3&amp;$C553))</f>
        <v>0</v>
      </c>
      <c r="AN553" s="900">
        <f t="shared" ca="1" si="1142"/>
        <v>394604</v>
      </c>
      <c r="AO553" s="961">
        <f t="shared" ca="1" si="1143"/>
        <v>0</v>
      </c>
      <c r="AP553" s="359">
        <f ca="1">SUM(INDIRECT(AP$1&amp;AP$2&amp;$A553):INDIRECT(AP$1&amp;AP$3&amp;$A553))</f>
        <v>452843</v>
      </c>
      <c r="AQ553" s="900">
        <f t="shared" ca="1" si="1144"/>
        <v>-58239</v>
      </c>
      <c r="AR553" s="961">
        <f t="shared" ca="1" si="1145"/>
        <v>0.87139251352013836</v>
      </c>
      <c r="AT553" s="359">
        <f ca="1">SUM((INDIRECT(AT$2&amp;(ROW())):INDIRECT(AT$3&amp;(ROW()))))</f>
        <v>1405627</v>
      </c>
      <c r="AU553" s="359">
        <f ca="1">SUM(INDIRECT(AU$1&amp;AU$2&amp;$C553):INDIRECT(AU$1&amp;AU$3&amp;$C553))</f>
        <v>0</v>
      </c>
      <c r="AV553" s="900">
        <f t="shared" ca="1" si="1146"/>
        <v>1405627</v>
      </c>
      <c r="AW553" s="961">
        <f t="shared" ca="1" si="1147"/>
        <v>0</v>
      </c>
      <c r="AX553" s="359">
        <f ca="1">SUM(INDIRECT(AX$1&amp;AX$2&amp;$A553):INDIRECT(AX$1&amp;AX$3&amp;$A553))</f>
        <v>1121301</v>
      </c>
      <c r="AY553" s="900">
        <f t="shared" ca="1" si="1148"/>
        <v>284326</v>
      </c>
      <c r="AZ553" s="961">
        <f t="shared" ca="1" si="1149"/>
        <v>1.253567953653836</v>
      </c>
      <c r="BB553" s="359">
        <f ca="1">SUM((INDIRECT(BB$2&amp;(ROW())):INDIRECT(BB$3&amp;(ROW()))))</f>
        <v>5408020.99407</v>
      </c>
      <c r="BC553" s="359">
        <f ca="1">SUM(INDIRECT(BC$1&amp;BC$2&amp;$C553):INDIRECT(BC$1&amp;BC$3&amp;$C553))</f>
        <v>0</v>
      </c>
      <c r="BD553" s="900">
        <f t="shared" ca="1" si="1150"/>
        <v>5408020.99407</v>
      </c>
      <c r="BE553" s="961">
        <f t="shared" ca="1" si="1151"/>
        <v>0</v>
      </c>
      <c r="BF553" s="359">
        <f ca="1">SUM(INDIRECT(BF$1&amp;BF$2&amp;$A553):INDIRECT(BF$1&amp;BF$3&amp;$A553))</f>
        <v>4026682</v>
      </c>
      <c r="BG553" s="900">
        <f t="shared" ca="1" si="1152"/>
        <v>1381338.99407</v>
      </c>
      <c r="BH553" s="961">
        <f t="shared" ca="1" si="1153"/>
        <v>1.3430464571252461</v>
      </c>
    </row>
    <row r="554" spans="1:60" ht="14.5">
      <c r="A554" s="990">
        <f t="shared" si="1106"/>
        <v>489</v>
      </c>
      <c r="B554" s="990">
        <v>1</v>
      </c>
      <c r="C554" s="990">
        <f t="shared" si="1069"/>
        <v>551</v>
      </c>
      <c r="E554" s="1243">
        <v>1</v>
      </c>
      <c r="I554" s="79"/>
      <c r="J554" s="78"/>
      <c r="K554" s="74"/>
      <c r="L554" s="74"/>
      <c r="M554" s="9" t="s">
        <v>213</v>
      </c>
      <c r="N554" s="363"/>
      <c r="O554" s="363"/>
      <c r="P554" s="363"/>
      <c r="Q554" s="1843" t="str">
        <f>CHOOSE(2, "6722000003473", "S/GP (2) Net Sales Direct HW")</f>
        <v>S/GP (2) Net Sales Direct HW</v>
      </c>
      <c r="R554" s="2065">
        <f>SUM(R555:R556)</f>
        <v>109550</v>
      </c>
      <c r="S554" s="365">
        <f t="shared" ref="S554:AC554" si="1156">SUM(S555:S556)</f>
        <v>104685</v>
      </c>
      <c r="T554" s="365">
        <f t="shared" si="1156"/>
        <v>95888</v>
      </c>
      <c r="U554" s="365">
        <f t="shared" si="1156"/>
        <v>122248</v>
      </c>
      <c r="V554" s="365">
        <f t="shared" si="1156"/>
        <v>146168.747</v>
      </c>
      <c r="W554" s="365">
        <f t="shared" si="1156"/>
        <v>114818</v>
      </c>
      <c r="X554" s="365">
        <f t="shared" si="1156"/>
        <v>171297</v>
      </c>
      <c r="Y554" s="365">
        <f t="shared" si="1156"/>
        <v>132244</v>
      </c>
      <c r="Z554" s="365">
        <f t="shared" si="1156"/>
        <v>117597</v>
      </c>
      <c r="AA554" s="365">
        <f t="shared" si="1156"/>
        <v>150636</v>
      </c>
      <c r="AB554" s="365">
        <f t="shared" si="1156"/>
        <v>151240</v>
      </c>
      <c r="AC554" s="365">
        <f t="shared" si="1156"/>
        <v>97886</v>
      </c>
      <c r="AD554" s="408">
        <f t="shared" ref="AD554:AJ554" si="1157">SUM(AD555:AD556)</f>
        <v>310123</v>
      </c>
      <c r="AE554" s="365">
        <f t="shared" si="1157"/>
        <v>383234.74699999997</v>
      </c>
      <c r="AF554" s="365">
        <f t="shared" si="1157"/>
        <v>421138</v>
      </c>
      <c r="AG554" s="365">
        <f t="shared" si="1157"/>
        <v>399762</v>
      </c>
      <c r="AH554" s="365">
        <f t="shared" si="1157"/>
        <v>693357.74699999997</v>
      </c>
      <c r="AI554" s="365">
        <f t="shared" si="1157"/>
        <v>820900</v>
      </c>
      <c r="AJ554" s="365">
        <f t="shared" si="1157"/>
        <v>1514257.747</v>
      </c>
      <c r="AL554" s="365">
        <f ca="1">SUM((INDIRECT(AL$2&amp;(ROW())):INDIRECT(AL$3&amp;(ROW()))))</f>
        <v>97886</v>
      </c>
      <c r="AM554" s="365">
        <f ca="1">SUM(INDIRECT(AM$1&amp;AM$2&amp;$C554):INDIRECT(AM$1&amp;AM$3&amp;$C554))</f>
        <v>0</v>
      </c>
      <c r="AN554" s="891">
        <f t="shared" ca="1" si="1142"/>
        <v>97886</v>
      </c>
      <c r="AO554" s="952">
        <f t="shared" ca="1" si="1143"/>
        <v>0</v>
      </c>
      <c r="AP554" s="365">
        <f ca="1">SUM(INDIRECT(AP$1&amp;AP$2&amp;$A554):INDIRECT(AP$1&amp;AP$3&amp;$A554))</f>
        <v>86383</v>
      </c>
      <c r="AQ554" s="891">
        <f t="shared" ca="1" si="1144"/>
        <v>11503</v>
      </c>
      <c r="AR554" s="952">
        <f t="shared" ca="1" si="1145"/>
        <v>1.1331627750830604</v>
      </c>
      <c r="AT554" s="365">
        <f ca="1">SUM((INDIRECT(AT$2&amp;(ROW())):INDIRECT(AT$3&amp;(ROW()))))</f>
        <v>399762</v>
      </c>
      <c r="AU554" s="365">
        <f ca="1">SUM(INDIRECT(AU$1&amp;AU$2&amp;$C554):INDIRECT(AU$1&amp;AU$3&amp;$C554))</f>
        <v>0</v>
      </c>
      <c r="AV554" s="891">
        <f t="shared" ca="1" si="1146"/>
        <v>399762</v>
      </c>
      <c r="AW554" s="952">
        <f t="shared" ca="1" si="1147"/>
        <v>0</v>
      </c>
      <c r="AX554" s="365">
        <f ca="1">SUM(INDIRECT(AX$1&amp;AX$2&amp;$A554):INDIRECT(AX$1&amp;AX$3&amp;$A554))</f>
        <v>214757</v>
      </c>
      <c r="AY554" s="891">
        <f t="shared" ca="1" si="1148"/>
        <v>185005</v>
      </c>
      <c r="AZ554" s="952">
        <f t="shared" ca="1" si="1149"/>
        <v>1.8614620245207374</v>
      </c>
      <c r="BB554" s="365">
        <f ca="1">SUM((INDIRECT(BB$2&amp;(ROW())):INDIRECT(BB$3&amp;(ROW()))))</f>
        <v>1514257.747</v>
      </c>
      <c r="BC554" s="365">
        <f ca="1">SUM(INDIRECT(BC$1&amp;BC$2&amp;$C554):INDIRECT(BC$1&amp;BC$3&amp;$C554))</f>
        <v>0</v>
      </c>
      <c r="BD554" s="891">
        <f t="shared" ca="1" si="1150"/>
        <v>1514257.747</v>
      </c>
      <c r="BE554" s="952">
        <f t="shared" ca="1" si="1151"/>
        <v>0</v>
      </c>
      <c r="BF554" s="365">
        <f ca="1">SUM(INDIRECT(BF$1&amp;BF$2&amp;$A554):INDIRECT(BF$1&amp;BF$3&amp;$A554))</f>
        <v>948495</v>
      </c>
      <c r="BG554" s="891">
        <f t="shared" ca="1" si="1152"/>
        <v>565762.74699999997</v>
      </c>
      <c r="BH554" s="952">
        <f t="shared" ca="1" si="1153"/>
        <v>1.5964846910104955</v>
      </c>
    </row>
    <row r="555" spans="1:60" ht="14.5">
      <c r="A555" s="990">
        <f t="shared" si="1106"/>
        <v>490</v>
      </c>
      <c r="B555" s="990">
        <v>1</v>
      </c>
      <c r="C555" s="990">
        <f t="shared" si="1069"/>
        <v>552</v>
      </c>
      <c r="E555" s="1243">
        <v>1</v>
      </c>
      <c r="I555" s="79"/>
      <c r="J555" s="78"/>
      <c r="K555" s="74"/>
      <c r="L555" s="74"/>
      <c r="N555" s="111" t="s">
        <v>214</v>
      </c>
      <c r="O555" s="111"/>
      <c r="P555" s="111"/>
      <c r="Q555" s="1845" t="str">
        <f>CHOOSE(2, "6722000003474", "S/GP (2) Net Sales Direct HW KMI")</f>
        <v>S/GP (2) Net Sales Direct HW KMI</v>
      </c>
      <c r="R555" s="2055">
        <v>109550</v>
      </c>
      <c r="S555" s="2042">
        <v>104685</v>
      </c>
      <c r="T555" s="2042">
        <v>95888</v>
      </c>
      <c r="U555" s="2042">
        <v>122248</v>
      </c>
      <c r="V555" s="2042">
        <v>146168.747</v>
      </c>
      <c r="W555" s="2042">
        <v>114818</v>
      </c>
      <c r="X555" s="2042">
        <v>171297</v>
      </c>
      <c r="Y555" s="2042">
        <v>132244</v>
      </c>
      <c r="Z555" s="2042">
        <v>117597</v>
      </c>
      <c r="AA555" s="2042">
        <v>150636</v>
      </c>
      <c r="AB555" s="2042">
        <v>151240</v>
      </c>
      <c r="AC555" s="2042">
        <v>97886</v>
      </c>
      <c r="AD555" s="376">
        <f>SUM(R555,S555,T555)</f>
        <v>310123</v>
      </c>
      <c r="AE555" s="109">
        <f t="shared" ref="AE555:AE556" si="1158">SUM(U555,V555,W555)</f>
        <v>383234.74699999997</v>
      </c>
      <c r="AF555" s="109">
        <f t="shared" ref="AF555:AF556" si="1159">SUM(X555,Y555,Z555)</f>
        <v>421138</v>
      </c>
      <c r="AG555" s="109">
        <f t="shared" ref="AG555:AG556" si="1160">SUM(AA555,AB555,AC555)</f>
        <v>399762</v>
      </c>
      <c r="AH555" s="109">
        <f>AD555+AE555</f>
        <v>693357.74699999997</v>
      </c>
      <c r="AI555" s="109">
        <f>AG555+AF555</f>
        <v>820900</v>
      </c>
      <c r="AJ555" s="109">
        <f>AH555+AI555</f>
        <v>1514257.747</v>
      </c>
      <c r="AL555" s="109">
        <f ca="1">SUM((INDIRECT(AL$2&amp;(ROW())):INDIRECT(AL$3&amp;(ROW()))))</f>
        <v>97886</v>
      </c>
      <c r="AM555" s="109">
        <f ca="1">SUM(INDIRECT(AM$1&amp;AM$2&amp;$C555):INDIRECT(AM$1&amp;AM$3&amp;$C555))</f>
        <v>0</v>
      </c>
      <c r="AN555" s="892">
        <f t="shared" ca="1" si="1142"/>
        <v>97886</v>
      </c>
      <c r="AO555" s="953">
        <f t="shared" ca="1" si="1143"/>
        <v>0</v>
      </c>
      <c r="AP555" s="109">
        <f ca="1">SUM(INDIRECT(AP$1&amp;AP$2&amp;$A555):INDIRECT(AP$1&amp;AP$3&amp;$A555))</f>
        <v>86383</v>
      </c>
      <c r="AQ555" s="892">
        <f t="shared" ca="1" si="1144"/>
        <v>11503</v>
      </c>
      <c r="AR555" s="953">
        <f t="shared" ca="1" si="1145"/>
        <v>1.1331627750830604</v>
      </c>
      <c r="AT555" s="109">
        <f ca="1">SUM((INDIRECT(AT$2&amp;(ROW())):INDIRECT(AT$3&amp;(ROW()))))</f>
        <v>399762</v>
      </c>
      <c r="AU555" s="109">
        <f ca="1">SUM(INDIRECT(AU$1&amp;AU$2&amp;$C555):INDIRECT(AU$1&amp;AU$3&amp;$C555))</f>
        <v>0</v>
      </c>
      <c r="AV555" s="892">
        <f t="shared" ca="1" si="1146"/>
        <v>399762</v>
      </c>
      <c r="AW555" s="953">
        <f t="shared" ca="1" si="1147"/>
        <v>0</v>
      </c>
      <c r="AX555" s="109">
        <f ca="1">SUM(INDIRECT(AX$1&amp;AX$2&amp;$A555):INDIRECT(AX$1&amp;AX$3&amp;$A555))</f>
        <v>214757</v>
      </c>
      <c r="AY555" s="892">
        <f t="shared" ca="1" si="1148"/>
        <v>185005</v>
      </c>
      <c r="AZ555" s="953">
        <f t="shared" ca="1" si="1149"/>
        <v>1.8614620245207374</v>
      </c>
      <c r="BB555" s="109">
        <f ca="1">SUM((INDIRECT(BB$2&amp;(ROW())):INDIRECT(BB$3&amp;(ROW()))))</f>
        <v>1514257.747</v>
      </c>
      <c r="BC555" s="109">
        <f ca="1">SUM(INDIRECT(BC$1&amp;BC$2&amp;$C555):INDIRECT(BC$1&amp;BC$3&amp;$C555))</f>
        <v>0</v>
      </c>
      <c r="BD555" s="892">
        <f t="shared" ca="1" si="1150"/>
        <v>1514257.747</v>
      </c>
      <c r="BE555" s="953">
        <f t="shared" ca="1" si="1151"/>
        <v>0</v>
      </c>
      <c r="BF555" s="109">
        <f ca="1">SUM(INDIRECT(BF$1&amp;BF$2&amp;$A555):INDIRECT(BF$1&amp;BF$3&amp;$A555))</f>
        <v>948495</v>
      </c>
      <c r="BG555" s="892">
        <f t="shared" ca="1" si="1152"/>
        <v>565762.74699999997</v>
      </c>
      <c r="BH555" s="953">
        <f t="shared" ca="1" si="1153"/>
        <v>1.5964846910104955</v>
      </c>
    </row>
    <row r="556" spans="1:60" ht="14.5">
      <c r="A556" s="990">
        <f t="shared" si="1106"/>
        <v>491</v>
      </c>
      <c r="B556" s="990">
        <v>1</v>
      </c>
      <c r="C556" s="990">
        <f t="shared" si="1069"/>
        <v>553</v>
      </c>
      <c r="E556" s="1243">
        <v>1</v>
      </c>
      <c r="I556" s="79"/>
      <c r="J556" s="78"/>
      <c r="K556" s="74"/>
      <c r="L556" s="74"/>
      <c r="N556" s="12" t="s">
        <v>217</v>
      </c>
      <c r="O556" s="12"/>
      <c r="P556" s="12"/>
      <c r="Q556" s="1845" t="str">
        <f>CHOOSE(2, "6722000003475", "S/GP (2) Net Sales Direct HW 3rd Party")</f>
        <v>S/GP (2) Net Sales Direct HW 3rd Party</v>
      </c>
      <c r="R556" s="2041">
        <v>0</v>
      </c>
      <c r="S556" s="2037">
        <v>0</v>
      </c>
      <c r="T556" s="2037">
        <v>0</v>
      </c>
      <c r="U556" s="2037">
        <v>0</v>
      </c>
      <c r="V556" s="2037">
        <v>0</v>
      </c>
      <c r="W556" s="2037">
        <v>0</v>
      </c>
      <c r="X556" s="2037">
        <v>0</v>
      </c>
      <c r="Y556" s="2037">
        <v>0</v>
      </c>
      <c r="Z556" s="2037">
        <v>0</v>
      </c>
      <c r="AA556" s="2037">
        <v>0</v>
      </c>
      <c r="AB556" s="2037">
        <v>0</v>
      </c>
      <c r="AC556" s="2037">
        <v>0</v>
      </c>
      <c r="AD556" s="99">
        <f>SUM(R556,S556,T556)</f>
        <v>0</v>
      </c>
      <c r="AE556" s="17">
        <f t="shared" si="1158"/>
        <v>0</v>
      </c>
      <c r="AF556" s="17">
        <f t="shared" si="1159"/>
        <v>0</v>
      </c>
      <c r="AG556" s="17">
        <f t="shared" si="1160"/>
        <v>0</v>
      </c>
      <c r="AH556" s="17">
        <f>AD556+AE556</f>
        <v>0</v>
      </c>
      <c r="AI556" s="17">
        <f>AG556+AF556</f>
        <v>0</v>
      </c>
      <c r="AJ556" s="17">
        <f>AH556+AI556</f>
        <v>0</v>
      </c>
      <c r="AL556" s="17">
        <f ca="1">SUM((INDIRECT(AL$2&amp;(ROW())):INDIRECT(AL$3&amp;(ROW()))))</f>
        <v>0</v>
      </c>
      <c r="AM556" s="17">
        <f ca="1">SUM(INDIRECT(AM$1&amp;AM$2&amp;$C556):INDIRECT(AM$1&amp;AM$3&amp;$C556))</f>
        <v>0</v>
      </c>
      <c r="AN556" s="876">
        <f t="shared" ca="1" si="1142"/>
        <v>0</v>
      </c>
      <c r="AO556" s="927">
        <f t="shared" ca="1" si="1143"/>
        <v>0</v>
      </c>
      <c r="AP556" s="17">
        <f ca="1">SUM(INDIRECT(AP$1&amp;AP$2&amp;$A556):INDIRECT(AP$1&amp;AP$3&amp;$A556))</f>
        <v>0</v>
      </c>
      <c r="AQ556" s="876">
        <f t="shared" ca="1" si="1144"/>
        <v>0</v>
      </c>
      <c r="AR556" s="927">
        <f t="shared" ca="1" si="1145"/>
        <v>0</v>
      </c>
      <c r="AT556" s="17">
        <f ca="1">SUM((INDIRECT(AT$2&amp;(ROW())):INDIRECT(AT$3&amp;(ROW()))))</f>
        <v>0</v>
      </c>
      <c r="AU556" s="17">
        <f ca="1">SUM(INDIRECT(AU$1&amp;AU$2&amp;$C556):INDIRECT(AU$1&amp;AU$3&amp;$C556))</f>
        <v>0</v>
      </c>
      <c r="AV556" s="876">
        <f t="shared" ca="1" si="1146"/>
        <v>0</v>
      </c>
      <c r="AW556" s="927">
        <f t="shared" ca="1" si="1147"/>
        <v>0</v>
      </c>
      <c r="AX556" s="17">
        <f ca="1">SUM(INDIRECT(AX$1&amp;AX$2&amp;$A556):INDIRECT(AX$1&amp;AX$3&amp;$A556))</f>
        <v>0</v>
      </c>
      <c r="AY556" s="876">
        <f t="shared" ca="1" si="1148"/>
        <v>0</v>
      </c>
      <c r="AZ556" s="927">
        <f t="shared" ca="1" si="1149"/>
        <v>0</v>
      </c>
      <c r="BB556" s="17">
        <f ca="1">SUM((INDIRECT(BB$2&amp;(ROW())):INDIRECT(BB$3&amp;(ROW()))))</f>
        <v>0</v>
      </c>
      <c r="BC556" s="17">
        <f ca="1">SUM(INDIRECT(BC$1&amp;BC$2&amp;$C556):INDIRECT(BC$1&amp;BC$3&amp;$C556))</f>
        <v>0</v>
      </c>
      <c r="BD556" s="876">
        <f t="shared" ca="1" si="1150"/>
        <v>0</v>
      </c>
      <c r="BE556" s="927">
        <f t="shared" ca="1" si="1151"/>
        <v>0</v>
      </c>
      <c r="BF556" s="17">
        <f ca="1">SUM(INDIRECT(BF$1&amp;BF$2&amp;$A556):INDIRECT(BF$1&amp;BF$3&amp;$A556))</f>
        <v>0</v>
      </c>
      <c r="BG556" s="876">
        <f t="shared" ca="1" si="1152"/>
        <v>0</v>
      </c>
      <c r="BH556" s="927">
        <f t="shared" ca="1" si="1153"/>
        <v>0</v>
      </c>
    </row>
    <row r="557" spans="1:60" ht="14.5">
      <c r="A557" s="990">
        <f t="shared" si="1106"/>
        <v>492</v>
      </c>
      <c r="B557" s="990">
        <v>1</v>
      </c>
      <c r="C557" s="990">
        <f t="shared" si="1069"/>
        <v>554</v>
      </c>
      <c r="E557" s="1243">
        <v>1</v>
      </c>
      <c r="I557" s="79"/>
      <c r="J557" s="78"/>
      <c r="K557" s="74"/>
      <c r="L557" s="74"/>
      <c r="M557" s="71" t="s">
        <v>218</v>
      </c>
      <c r="N557" s="362"/>
      <c r="O557" s="362"/>
      <c r="P557" s="362"/>
      <c r="Q557" s="1843" t="str">
        <f>CHOOSE(2, "6722000003476", "S/GP (2) Net Sales Direct NH")</f>
        <v>S/GP (2) Net Sales Direct NH</v>
      </c>
      <c r="R557" s="2054">
        <f>R558+R561</f>
        <v>293849</v>
      </c>
      <c r="S557" s="361">
        <f t="shared" ref="S557:AC557" si="1161">S558+S561</f>
        <v>306386</v>
      </c>
      <c r="T557" s="361">
        <f t="shared" si="1161"/>
        <v>310533</v>
      </c>
      <c r="U557" s="361">
        <f t="shared" si="1161"/>
        <v>296245</v>
      </c>
      <c r="V557" s="361">
        <f t="shared" si="1161"/>
        <v>339586.24706999998</v>
      </c>
      <c r="W557" s="361">
        <f t="shared" si="1161"/>
        <v>265277</v>
      </c>
      <c r="X557" s="361">
        <f t="shared" si="1161"/>
        <v>401800</v>
      </c>
      <c r="Y557" s="361">
        <f t="shared" si="1161"/>
        <v>332958</v>
      </c>
      <c r="Z557" s="361">
        <f t="shared" si="1161"/>
        <v>341264</v>
      </c>
      <c r="AA557" s="361">
        <f t="shared" si="1161"/>
        <v>351073</v>
      </c>
      <c r="AB557" s="361">
        <f t="shared" si="1161"/>
        <v>358074</v>
      </c>
      <c r="AC557" s="361">
        <f t="shared" si="1161"/>
        <v>296718</v>
      </c>
      <c r="AD557" s="375">
        <f t="shared" ref="AD557:AJ557" si="1162">AD558+AD561</f>
        <v>910768</v>
      </c>
      <c r="AE557" s="361">
        <f t="shared" si="1162"/>
        <v>901108.24707000004</v>
      </c>
      <c r="AF557" s="361">
        <f t="shared" si="1162"/>
        <v>1076022</v>
      </c>
      <c r="AG557" s="361">
        <f t="shared" si="1162"/>
        <v>1005865</v>
      </c>
      <c r="AH557" s="361">
        <f t="shared" si="1162"/>
        <v>1811876.24707</v>
      </c>
      <c r="AI557" s="361">
        <f t="shared" si="1162"/>
        <v>2081887</v>
      </c>
      <c r="AJ557" s="361">
        <f t="shared" si="1162"/>
        <v>3893763.24707</v>
      </c>
      <c r="AL557" s="361">
        <f ca="1">SUM((INDIRECT(AL$2&amp;(ROW())):INDIRECT(AL$3&amp;(ROW()))))</f>
        <v>296718</v>
      </c>
      <c r="AM557" s="361">
        <f ca="1">SUM(INDIRECT(AM$1&amp;AM$2&amp;$C557):INDIRECT(AM$1&amp;AM$3&amp;$C557))</f>
        <v>0</v>
      </c>
      <c r="AN557" s="901">
        <f t="shared" ca="1" si="1142"/>
        <v>296718</v>
      </c>
      <c r="AO557" s="962">
        <f t="shared" ca="1" si="1143"/>
        <v>0</v>
      </c>
      <c r="AP557" s="361">
        <f ca="1">SUM(INDIRECT(AP$1&amp;AP$2&amp;$A557):INDIRECT(AP$1&amp;AP$3&amp;$A557))</f>
        <v>366460</v>
      </c>
      <c r="AQ557" s="901">
        <f t="shared" ca="1" si="1144"/>
        <v>-69742</v>
      </c>
      <c r="AR557" s="962">
        <f t="shared" ca="1" si="1145"/>
        <v>0.80968727828412379</v>
      </c>
      <c r="AT557" s="361">
        <f ca="1">SUM((INDIRECT(AT$2&amp;(ROW())):INDIRECT(AT$3&amp;(ROW()))))</f>
        <v>1005865</v>
      </c>
      <c r="AU557" s="361">
        <f ca="1">SUM(INDIRECT(AU$1&amp;AU$2&amp;$C557):INDIRECT(AU$1&amp;AU$3&amp;$C557))</f>
        <v>0</v>
      </c>
      <c r="AV557" s="901">
        <f t="shared" ca="1" si="1146"/>
        <v>1005865</v>
      </c>
      <c r="AW557" s="962">
        <f t="shared" ca="1" si="1147"/>
        <v>0</v>
      </c>
      <c r="AX557" s="361">
        <f ca="1">SUM(INDIRECT(AX$1&amp;AX$2&amp;$A557):INDIRECT(AX$1&amp;AX$3&amp;$A557))</f>
        <v>906544</v>
      </c>
      <c r="AY557" s="901">
        <f t="shared" ca="1" si="1148"/>
        <v>99321</v>
      </c>
      <c r="AZ557" s="962">
        <f t="shared" ca="1" si="1149"/>
        <v>1.1095600434176389</v>
      </c>
      <c r="BB557" s="361">
        <f ca="1">SUM((INDIRECT(BB$2&amp;(ROW())):INDIRECT(BB$3&amp;(ROW()))))</f>
        <v>3893763.24707</v>
      </c>
      <c r="BC557" s="361">
        <f ca="1">SUM(INDIRECT(BC$1&amp;BC$2&amp;$C557):INDIRECT(BC$1&amp;BC$3&amp;$C557))</f>
        <v>0</v>
      </c>
      <c r="BD557" s="901">
        <f t="shared" ca="1" si="1150"/>
        <v>3893763.24707</v>
      </c>
      <c r="BE557" s="962">
        <f t="shared" ca="1" si="1151"/>
        <v>0</v>
      </c>
      <c r="BF557" s="361">
        <f ca="1">SUM(INDIRECT(BF$1&amp;BF$2&amp;$A557):INDIRECT(BF$1&amp;BF$3&amp;$A557))</f>
        <v>3078187</v>
      </c>
      <c r="BG557" s="901">
        <f t="shared" ca="1" si="1152"/>
        <v>815576.24707000004</v>
      </c>
      <c r="BH557" s="962">
        <f t="shared" ca="1" si="1153"/>
        <v>1.2649534440467718</v>
      </c>
    </row>
    <row r="558" spans="1:60" ht="14.5">
      <c r="A558" s="990">
        <f t="shared" si="1106"/>
        <v>493</v>
      </c>
      <c r="B558" s="990">
        <v>1</v>
      </c>
      <c r="C558" s="990">
        <f t="shared" si="1069"/>
        <v>555</v>
      </c>
      <c r="E558" s="1243">
        <v>1</v>
      </c>
      <c r="I558" s="79"/>
      <c r="J558" s="78"/>
      <c r="K558" s="74"/>
      <c r="L558" s="74"/>
      <c r="N558" s="111" t="s">
        <v>214</v>
      </c>
      <c r="O558" s="111"/>
      <c r="P558" s="1500"/>
      <c r="Q558" s="1843" t="str">
        <f>CHOOSE(2, "6722000003477", "S/GP (2) Net Sales Direct NH KMI")</f>
        <v>S/GP (2) Net Sales Direct NH KMI</v>
      </c>
      <c r="R558" s="2219">
        <f>SUM(R559:R560)</f>
        <v>293849</v>
      </c>
      <c r="S558" s="64">
        <f t="shared" ref="S558:AC558" si="1163">SUM(S559:S560)</f>
        <v>306386</v>
      </c>
      <c r="T558" s="64">
        <f t="shared" si="1163"/>
        <v>310533</v>
      </c>
      <c r="U558" s="64">
        <f t="shared" si="1163"/>
        <v>296245</v>
      </c>
      <c r="V558" s="64">
        <f t="shared" si="1163"/>
        <v>339586.24706999998</v>
      </c>
      <c r="W558" s="64">
        <f t="shared" si="1163"/>
        <v>265277</v>
      </c>
      <c r="X558" s="64">
        <f t="shared" si="1163"/>
        <v>401800</v>
      </c>
      <c r="Y558" s="64">
        <f t="shared" si="1163"/>
        <v>332958</v>
      </c>
      <c r="Z558" s="64">
        <f t="shared" si="1163"/>
        <v>341264</v>
      </c>
      <c r="AA558" s="64">
        <f t="shared" si="1163"/>
        <v>351073</v>
      </c>
      <c r="AB558" s="64">
        <f t="shared" si="1163"/>
        <v>358074</v>
      </c>
      <c r="AC558" s="64">
        <f t="shared" si="1163"/>
        <v>296718</v>
      </c>
      <c r="AD558" s="1545">
        <f t="shared" ref="AD558:AJ558" si="1164">SUM(AD559:AD560)</f>
        <v>910768</v>
      </c>
      <c r="AE558" s="64">
        <f t="shared" si="1164"/>
        <v>901108.24707000004</v>
      </c>
      <c r="AF558" s="64">
        <f t="shared" si="1164"/>
        <v>1076022</v>
      </c>
      <c r="AG558" s="64">
        <f t="shared" si="1164"/>
        <v>1005865</v>
      </c>
      <c r="AH558" s="64">
        <f t="shared" si="1164"/>
        <v>1811876.24707</v>
      </c>
      <c r="AI558" s="64">
        <f t="shared" si="1164"/>
        <v>2081887</v>
      </c>
      <c r="AJ558" s="64">
        <f t="shared" si="1164"/>
        <v>3893763.24707</v>
      </c>
      <c r="AL558" s="64">
        <f ca="1">SUM((INDIRECT(AL$2&amp;(ROW())):INDIRECT(AL$3&amp;(ROW()))))</f>
        <v>296718</v>
      </c>
      <c r="AM558" s="64">
        <f ca="1">SUM(INDIRECT(AM$1&amp;AM$2&amp;$C558):INDIRECT(AM$1&amp;AM$3&amp;$C558))</f>
        <v>0</v>
      </c>
      <c r="AN558" s="902">
        <f t="shared" ca="1" si="1142"/>
        <v>296718</v>
      </c>
      <c r="AO558" s="963">
        <f t="shared" ca="1" si="1143"/>
        <v>0</v>
      </c>
      <c r="AP558" s="64">
        <f ca="1">SUM(INDIRECT(AP$1&amp;AP$2&amp;$A558):INDIRECT(AP$1&amp;AP$3&amp;$A558))</f>
        <v>366460</v>
      </c>
      <c r="AQ558" s="902">
        <f t="shared" ca="1" si="1144"/>
        <v>-69742</v>
      </c>
      <c r="AR558" s="963">
        <f t="shared" ca="1" si="1145"/>
        <v>0.80968727828412379</v>
      </c>
      <c r="AT558" s="64">
        <f ca="1">SUM((INDIRECT(AT$2&amp;(ROW())):INDIRECT(AT$3&amp;(ROW()))))</f>
        <v>1005865</v>
      </c>
      <c r="AU558" s="64">
        <f ca="1">SUM(INDIRECT(AU$1&amp;AU$2&amp;$C558):INDIRECT(AU$1&amp;AU$3&amp;$C558))</f>
        <v>0</v>
      </c>
      <c r="AV558" s="902">
        <f t="shared" ca="1" si="1146"/>
        <v>1005865</v>
      </c>
      <c r="AW558" s="963">
        <f t="shared" ca="1" si="1147"/>
        <v>0</v>
      </c>
      <c r="AX558" s="64">
        <f ca="1">SUM(INDIRECT(AX$1&amp;AX$2&amp;$A558):INDIRECT(AX$1&amp;AX$3&amp;$A558))</f>
        <v>906544</v>
      </c>
      <c r="AY558" s="902">
        <f t="shared" ca="1" si="1148"/>
        <v>99321</v>
      </c>
      <c r="AZ558" s="963">
        <f t="shared" ca="1" si="1149"/>
        <v>1.1095600434176389</v>
      </c>
      <c r="BB558" s="64">
        <f ca="1">SUM((INDIRECT(BB$2&amp;(ROW())):INDIRECT(BB$3&amp;(ROW()))))</f>
        <v>3893763.24707</v>
      </c>
      <c r="BC558" s="64">
        <f ca="1">SUM(INDIRECT(BC$1&amp;BC$2&amp;$C558):INDIRECT(BC$1&amp;BC$3&amp;$C558))</f>
        <v>0</v>
      </c>
      <c r="BD558" s="902">
        <f t="shared" ca="1" si="1150"/>
        <v>3893763.24707</v>
      </c>
      <c r="BE558" s="963">
        <f t="shared" ca="1" si="1151"/>
        <v>0</v>
      </c>
      <c r="BF558" s="64">
        <f ca="1">SUM(INDIRECT(BF$1&amp;BF$2&amp;$A558):INDIRECT(BF$1&amp;BF$3&amp;$A558))</f>
        <v>3078187</v>
      </c>
      <c r="BG558" s="902">
        <f t="shared" ca="1" si="1152"/>
        <v>815576.24707000004</v>
      </c>
      <c r="BH558" s="963">
        <f t="shared" ca="1" si="1153"/>
        <v>1.2649534440467718</v>
      </c>
    </row>
    <row r="559" spans="1:60" ht="14.5">
      <c r="A559" s="990">
        <f t="shared" si="1106"/>
        <v>494</v>
      </c>
      <c r="B559" s="990">
        <v>1</v>
      </c>
      <c r="C559" s="990">
        <f t="shared" si="1069"/>
        <v>556</v>
      </c>
      <c r="E559" s="1243">
        <v>1</v>
      </c>
      <c r="I559" s="79"/>
      <c r="J559" s="78"/>
      <c r="K559" s="74"/>
      <c r="L559" s="74"/>
      <c r="P559" s="111" t="s">
        <v>219</v>
      </c>
      <c r="Q559" s="1845" t="str">
        <f>CHOOSE(2, "6722000003478", "S/GP (2) Net Sales Direct NH KMI Copy Click")</f>
        <v>S/GP (2) Net Sales Direct NH KMI Copy Click</v>
      </c>
      <c r="R559" s="2055">
        <v>293849</v>
      </c>
      <c r="S559" s="2042">
        <v>306386</v>
      </c>
      <c r="T559" s="2042">
        <v>310533</v>
      </c>
      <c r="U559" s="2042">
        <v>296245</v>
      </c>
      <c r="V559" s="2042">
        <v>339586.24706999998</v>
      </c>
      <c r="W559" s="2042">
        <v>265277</v>
      </c>
      <c r="X559" s="2042">
        <v>401800</v>
      </c>
      <c r="Y559" s="2042">
        <v>332958</v>
      </c>
      <c r="Z559" s="2042">
        <v>341264</v>
      </c>
      <c r="AA559" s="2042">
        <v>351073</v>
      </c>
      <c r="AB559" s="2042">
        <v>358074</v>
      </c>
      <c r="AC559" s="2042">
        <v>296718</v>
      </c>
      <c r="AD559" s="376">
        <f>SUM(R559,S559,T559)</f>
        <v>910768</v>
      </c>
      <c r="AE559" s="109">
        <f t="shared" ref="AE559:AE561" si="1165">SUM(U559,V559,W559)</f>
        <v>901108.24707000004</v>
      </c>
      <c r="AF559" s="109">
        <f t="shared" ref="AF559:AF561" si="1166">SUM(X559,Y559,Z559)</f>
        <v>1076022</v>
      </c>
      <c r="AG559" s="109">
        <f t="shared" ref="AG559:AG561" si="1167">SUM(AA559,AB559,AC559)</f>
        <v>1005865</v>
      </c>
      <c r="AH559" s="109">
        <f>AD559+AE559</f>
        <v>1811876.24707</v>
      </c>
      <c r="AI559" s="109">
        <f>AG559+AF559</f>
        <v>2081887</v>
      </c>
      <c r="AJ559" s="109">
        <f>AH559+AI559</f>
        <v>3893763.24707</v>
      </c>
      <c r="AL559" s="109">
        <f ca="1">SUM((INDIRECT(AL$2&amp;(ROW())):INDIRECT(AL$3&amp;(ROW()))))</f>
        <v>296718</v>
      </c>
      <c r="AM559" s="109">
        <f ca="1">SUM(INDIRECT(AM$1&amp;AM$2&amp;$C559):INDIRECT(AM$1&amp;AM$3&amp;$C559))</f>
        <v>0</v>
      </c>
      <c r="AN559" s="892">
        <f t="shared" ca="1" si="1142"/>
        <v>296718</v>
      </c>
      <c r="AO559" s="953">
        <f t="shared" ca="1" si="1143"/>
        <v>0</v>
      </c>
      <c r="AP559" s="109">
        <f ca="1">SUM(INDIRECT(AP$1&amp;AP$2&amp;$A559):INDIRECT(AP$1&amp;AP$3&amp;$A559))</f>
        <v>366460</v>
      </c>
      <c r="AQ559" s="892">
        <f t="shared" ca="1" si="1144"/>
        <v>-69742</v>
      </c>
      <c r="AR559" s="953">
        <f t="shared" ca="1" si="1145"/>
        <v>0.80968727828412379</v>
      </c>
      <c r="AT559" s="109">
        <f ca="1">SUM((INDIRECT(AT$2&amp;(ROW())):INDIRECT(AT$3&amp;(ROW()))))</f>
        <v>1005865</v>
      </c>
      <c r="AU559" s="109">
        <f ca="1">SUM(INDIRECT(AU$1&amp;AU$2&amp;$C559):INDIRECT(AU$1&amp;AU$3&amp;$C559))</f>
        <v>0</v>
      </c>
      <c r="AV559" s="892">
        <f t="shared" ca="1" si="1146"/>
        <v>1005865</v>
      </c>
      <c r="AW559" s="953">
        <f t="shared" ca="1" si="1147"/>
        <v>0</v>
      </c>
      <c r="AX559" s="109">
        <f ca="1">SUM(INDIRECT(AX$1&amp;AX$2&amp;$A559):INDIRECT(AX$1&amp;AX$3&amp;$A559))</f>
        <v>906544</v>
      </c>
      <c r="AY559" s="892">
        <f t="shared" ca="1" si="1148"/>
        <v>99321</v>
      </c>
      <c r="AZ559" s="953">
        <f t="shared" ca="1" si="1149"/>
        <v>1.1095600434176389</v>
      </c>
      <c r="BB559" s="109">
        <f ca="1">SUM((INDIRECT(BB$2&amp;(ROW())):INDIRECT(BB$3&amp;(ROW()))))</f>
        <v>3893763.24707</v>
      </c>
      <c r="BC559" s="109">
        <f ca="1">SUM(INDIRECT(BC$1&amp;BC$2&amp;$C559):INDIRECT(BC$1&amp;BC$3&amp;$C559))</f>
        <v>0</v>
      </c>
      <c r="BD559" s="892">
        <f t="shared" ca="1" si="1150"/>
        <v>3893763.24707</v>
      </c>
      <c r="BE559" s="953">
        <f t="shared" ca="1" si="1151"/>
        <v>0</v>
      </c>
      <c r="BF559" s="109">
        <f ca="1">SUM(INDIRECT(BF$1&amp;BF$2&amp;$A559):INDIRECT(BF$1&amp;BF$3&amp;$A559))</f>
        <v>3078187</v>
      </c>
      <c r="BG559" s="892">
        <f t="shared" ca="1" si="1152"/>
        <v>815576.24707000004</v>
      </c>
      <c r="BH559" s="953">
        <f t="shared" ca="1" si="1153"/>
        <v>1.2649534440467718</v>
      </c>
    </row>
    <row r="560" spans="1:60" ht="14.5">
      <c r="A560" s="990">
        <f t="shared" si="1106"/>
        <v>495</v>
      </c>
      <c r="B560" s="990">
        <v>1</v>
      </c>
      <c r="C560" s="990">
        <f t="shared" si="1069"/>
        <v>557</v>
      </c>
      <c r="E560" s="1243">
        <v>1</v>
      </c>
      <c r="I560" s="79"/>
      <c r="J560" s="78"/>
      <c r="K560" s="74"/>
      <c r="L560" s="74"/>
      <c r="N560" s="363"/>
      <c r="O560" s="363"/>
      <c r="P560" s="363" t="s">
        <v>220</v>
      </c>
      <c r="Q560" s="1845" t="str">
        <f>CHOOSE(2, "6722000003479", "S/GP (2) Net Sales Direct NH KMI NonContract")</f>
        <v>S/GP (2) Net Sales Direct NH KMI NonContract</v>
      </c>
      <c r="R560" s="2220">
        <v>0</v>
      </c>
      <c r="S560" s="2052">
        <v>0</v>
      </c>
      <c r="T560" s="2052">
        <v>0</v>
      </c>
      <c r="U560" s="2052">
        <v>0</v>
      </c>
      <c r="V560" s="2052">
        <v>0</v>
      </c>
      <c r="W560" s="2052">
        <v>0</v>
      </c>
      <c r="X560" s="2052">
        <v>0</v>
      </c>
      <c r="Y560" s="2052">
        <v>0</v>
      </c>
      <c r="Z560" s="2052">
        <v>0</v>
      </c>
      <c r="AA560" s="2052">
        <v>0</v>
      </c>
      <c r="AB560" s="2052">
        <v>0</v>
      </c>
      <c r="AC560" s="2052">
        <v>0</v>
      </c>
      <c r="AD560" s="408">
        <f>SUM(R560,S560,T560)</f>
        <v>0</v>
      </c>
      <c r="AE560" s="365">
        <f t="shared" si="1165"/>
        <v>0</v>
      </c>
      <c r="AF560" s="365">
        <f t="shared" si="1166"/>
        <v>0</v>
      </c>
      <c r="AG560" s="365">
        <f t="shared" si="1167"/>
        <v>0</v>
      </c>
      <c r="AH560" s="365">
        <f>AD560+AE560</f>
        <v>0</v>
      </c>
      <c r="AI560" s="365">
        <f>AG560+AF560</f>
        <v>0</v>
      </c>
      <c r="AJ560" s="365">
        <f>AH560+AI560</f>
        <v>0</v>
      </c>
      <c r="AL560" s="365">
        <f ca="1">SUM((INDIRECT(AL$2&amp;(ROW())):INDIRECT(AL$3&amp;(ROW()))))</f>
        <v>0</v>
      </c>
      <c r="AM560" s="365">
        <f ca="1">SUM(INDIRECT(AM$1&amp;AM$2&amp;$C560):INDIRECT(AM$1&amp;AM$3&amp;$C560))</f>
        <v>0</v>
      </c>
      <c r="AN560" s="891">
        <f t="shared" ca="1" si="1142"/>
        <v>0</v>
      </c>
      <c r="AO560" s="952">
        <f t="shared" ca="1" si="1143"/>
        <v>0</v>
      </c>
      <c r="AP560" s="365">
        <f ca="1">SUM(INDIRECT(AP$1&amp;AP$2&amp;$A560):INDIRECT(AP$1&amp;AP$3&amp;$A560))</f>
        <v>0</v>
      </c>
      <c r="AQ560" s="891">
        <f t="shared" ca="1" si="1144"/>
        <v>0</v>
      </c>
      <c r="AR560" s="952">
        <f t="shared" ca="1" si="1145"/>
        <v>0</v>
      </c>
      <c r="AT560" s="365">
        <f ca="1">SUM((INDIRECT(AT$2&amp;(ROW())):INDIRECT(AT$3&amp;(ROW()))))</f>
        <v>0</v>
      </c>
      <c r="AU560" s="365">
        <f ca="1">SUM(INDIRECT(AU$1&amp;AU$2&amp;$C560):INDIRECT(AU$1&amp;AU$3&amp;$C560))</f>
        <v>0</v>
      </c>
      <c r="AV560" s="891">
        <f t="shared" ca="1" si="1146"/>
        <v>0</v>
      </c>
      <c r="AW560" s="952">
        <f t="shared" ca="1" si="1147"/>
        <v>0</v>
      </c>
      <c r="AX560" s="365">
        <f ca="1">SUM(INDIRECT(AX$1&amp;AX$2&amp;$A560):INDIRECT(AX$1&amp;AX$3&amp;$A560))</f>
        <v>0</v>
      </c>
      <c r="AY560" s="891">
        <f t="shared" ca="1" si="1148"/>
        <v>0</v>
      </c>
      <c r="AZ560" s="952">
        <f t="shared" ca="1" si="1149"/>
        <v>0</v>
      </c>
      <c r="BB560" s="365">
        <f ca="1">SUM((INDIRECT(BB$2&amp;(ROW())):INDIRECT(BB$3&amp;(ROW()))))</f>
        <v>0</v>
      </c>
      <c r="BC560" s="365">
        <f ca="1">SUM(INDIRECT(BC$1&amp;BC$2&amp;$C560):INDIRECT(BC$1&amp;BC$3&amp;$C560))</f>
        <v>0</v>
      </c>
      <c r="BD560" s="891">
        <f t="shared" ca="1" si="1150"/>
        <v>0</v>
      </c>
      <c r="BE560" s="952">
        <f t="shared" ca="1" si="1151"/>
        <v>0</v>
      </c>
      <c r="BF560" s="365">
        <f ca="1">SUM(INDIRECT(BF$1&amp;BF$2&amp;$A560):INDIRECT(BF$1&amp;BF$3&amp;$A560))</f>
        <v>0</v>
      </c>
      <c r="BG560" s="891">
        <f t="shared" ca="1" si="1152"/>
        <v>0</v>
      </c>
      <c r="BH560" s="952">
        <f t="shared" ca="1" si="1153"/>
        <v>0</v>
      </c>
    </row>
    <row r="561" spans="1:60" ht="14.5">
      <c r="A561" s="990">
        <f t="shared" si="1106"/>
        <v>496</v>
      </c>
      <c r="B561" s="990">
        <v>1</v>
      </c>
      <c r="C561" s="990">
        <f t="shared" si="1069"/>
        <v>558</v>
      </c>
      <c r="E561" s="1243">
        <v>1</v>
      </c>
      <c r="I561" s="79"/>
      <c r="J561" s="78"/>
      <c r="K561" s="74"/>
      <c r="L561" s="74"/>
      <c r="N561" s="366" t="s">
        <v>217</v>
      </c>
      <c r="O561" s="366"/>
      <c r="P561" s="366"/>
      <c r="Q561" s="1845" t="str">
        <f>CHOOSE(2, "6722000003480", "S/GP (2) Net Sales Direct NH 3rd Party")</f>
        <v>S/GP (2) Net Sales Direct NH 3rd Party</v>
      </c>
      <c r="R561" s="2221">
        <v>0</v>
      </c>
      <c r="S561" s="2053">
        <v>0</v>
      </c>
      <c r="T561" s="2053">
        <v>0</v>
      </c>
      <c r="U561" s="2053">
        <v>0</v>
      </c>
      <c r="V561" s="2053">
        <v>0</v>
      </c>
      <c r="W561" s="2053">
        <v>0</v>
      </c>
      <c r="X561" s="2053">
        <v>0</v>
      </c>
      <c r="Y561" s="2053">
        <v>0</v>
      </c>
      <c r="Z561" s="2053">
        <v>0</v>
      </c>
      <c r="AA561" s="2053">
        <v>0</v>
      </c>
      <c r="AB561" s="2053">
        <v>0</v>
      </c>
      <c r="AC561" s="2053">
        <v>0</v>
      </c>
      <c r="AD561" s="1546">
        <f>SUM(R561,S561,T561)</f>
        <v>0</v>
      </c>
      <c r="AE561" s="368">
        <f t="shared" si="1165"/>
        <v>0</v>
      </c>
      <c r="AF561" s="368">
        <f t="shared" si="1166"/>
        <v>0</v>
      </c>
      <c r="AG561" s="368">
        <f t="shared" si="1167"/>
        <v>0</v>
      </c>
      <c r="AH561" s="368">
        <f>AD561+AE561</f>
        <v>0</v>
      </c>
      <c r="AI561" s="368">
        <f>AG561+AF561</f>
        <v>0</v>
      </c>
      <c r="AJ561" s="368">
        <f>AH561+AI561</f>
        <v>0</v>
      </c>
      <c r="AL561" s="368">
        <f ca="1">SUM((INDIRECT(AL$2&amp;(ROW())):INDIRECT(AL$3&amp;(ROW()))))</f>
        <v>0</v>
      </c>
      <c r="AM561" s="368">
        <f ca="1">SUM(INDIRECT(AM$1&amp;AM$2&amp;$C561):INDIRECT(AM$1&amp;AM$3&amp;$C561))</f>
        <v>0</v>
      </c>
      <c r="AN561" s="903">
        <f t="shared" ca="1" si="1142"/>
        <v>0</v>
      </c>
      <c r="AO561" s="964">
        <f t="shared" ca="1" si="1143"/>
        <v>0</v>
      </c>
      <c r="AP561" s="368">
        <f ca="1">SUM(INDIRECT(AP$1&amp;AP$2&amp;$A561):INDIRECT(AP$1&amp;AP$3&amp;$A561))</f>
        <v>0</v>
      </c>
      <c r="AQ561" s="903">
        <f t="shared" ca="1" si="1144"/>
        <v>0</v>
      </c>
      <c r="AR561" s="964">
        <f t="shared" ca="1" si="1145"/>
        <v>0</v>
      </c>
      <c r="AT561" s="368">
        <f ca="1">SUM((INDIRECT(AT$2&amp;(ROW())):INDIRECT(AT$3&amp;(ROW()))))</f>
        <v>0</v>
      </c>
      <c r="AU561" s="368">
        <f ca="1">SUM(INDIRECT(AU$1&amp;AU$2&amp;$C561):INDIRECT(AU$1&amp;AU$3&amp;$C561))</f>
        <v>0</v>
      </c>
      <c r="AV561" s="903">
        <f t="shared" ca="1" si="1146"/>
        <v>0</v>
      </c>
      <c r="AW561" s="964">
        <f t="shared" ca="1" si="1147"/>
        <v>0</v>
      </c>
      <c r="AX561" s="368">
        <f ca="1">SUM(INDIRECT(AX$1&amp;AX$2&amp;$A561):INDIRECT(AX$1&amp;AX$3&amp;$A561))</f>
        <v>0</v>
      </c>
      <c r="AY561" s="903">
        <f t="shared" ca="1" si="1148"/>
        <v>0</v>
      </c>
      <c r="AZ561" s="964">
        <f t="shared" ca="1" si="1149"/>
        <v>0</v>
      </c>
      <c r="BB561" s="368">
        <f ca="1">SUM((INDIRECT(BB$2&amp;(ROW())):INDIRECT(BB$3&amp;(ROW()))))</f>
        <v>0</v>
      </c>
      <c r="BC561" s="368">
        <f ca="1">SUM(INDIRECT(BC$1&amp;BC$2&amp;$C561):INDIRECT(BC$1&amp;BC$3&amp;$C561))</f>
        <v>0</v>
      </c>
      <c r="BD561" s="903">
        <f t="shared" ca="1" si="1150"/>
        <v>0</v>
      </c>
      <c r="BE561" s="964">
        <f t="shared" ca="1" si="1151"/>
        <v>0</v>
      </c>
      <c r="BF561" s="368">
        <f ca="1">SUM(INDIRECT(BF$1&amp;BF$2&amp;$A561):INDIRECT(BF$1&amp;BF$3&amp;$A561))</f>
        <v>0</v>
      </c>
      <c r="BG561" s="903">
        <f t="shared" ca="1" si="1152"/>
        <v>0</v>
      </c>
      <c r="BH561" s="964">
        <f t="shared" ca="1" si="1153"/>
        <v>0</v>
      </c>
    </row>
    <row r="562" spans="1:60" ht="14.5">
      <c r="A562" s="990">
        <f t="shared" si="1106"/>
        <v>497</v>
      </c>
      <c r="B562" s="990">
        <v>1</v>
      </c>
      <c r="C562" s="990">
        <f t="shared" si="1069"/>
        <v>559</v>
      </c>
      <c r="E562" s="1243">
        <v>1</v>
      </c>
      <c r="I562" s="79"/>
      <c r="J562" s="78"/>
      <c r="K562" s="74"/>
      <c r="L562" s="74"/>
      <c r="M562" s="71" t="s">
        <v>208</v>
      </c>
      <c r="N562" s="362"/>
      <c r="O562" s="362"/>
      <c r="P562" s="362"/>
      <c r="Q562" s="1843" t="str">
        <f>CHOOSE(2, "6722000003481", "S/GP (2) Net Sales Direct Solution")</f>
        <v>S/GP (2) Net Sales Direct Solution</v>
      </c>
      <c r="R562" s="2054">
        <f>SUM(R563:R566)</f>
        <v>0</v>
      </c>
      <c r="S562" s="361">
        <f t="shared" ref="S562:AC562" si="1168">SUM(S563:S566)</f>
        <v>0</v>
      </c>
      <c r="T562" s="361">
        <f t="shared" si="1168"/>
        <v>0</v>
      </c>
      <c r="U562" s="361">
        <f t="shared" si="1168"/>
        <v>0</v>
      </c>
      <c r="V562" s="361">
        <f t="shared" si="1168"/>
        <v>0</v>
      </c>
      <c r="W562" s="361">
        <f t="shared" si="1168"/>
        <v>0</v>
      </c>
      <c r="X562" s="361">
        <f t="shared" si="1168"/>
        <v>0</v>
      </c>
      <c r="Y562" s="361">
        <f t="shared" si="1168"/>
        <v>0</v>
      </c>
      <c r="Z562" s="361">
        <f t="shared" si="1168"/>
        <v>0</v>
      </c>
      <c r="AA562" s="361">
        <f t="shared" si="1168"/>
        <v>0</v>
      </c>
      <c r="AB562" s="361">
        <f t="shared" si="1168"/>
        <v>0</v>
      </c>
      <c r="AC562" s="361">
        <f t="shared" si="1168"/>
        <v>0</v>
      </c>
      <c r="AD562" s="375">
        <f t="shared" ref="AD562:AJ562" si="1169">SUM(AD563:AD566)</f>
        <v>0</v>
      </c>
      <c r="AE562" s="361">
        <f t="shared" si="1169"/>
        <v>0</v>
      </c>
      <c r="AF562" s="361">
        <f t="shared" si="1169"/>
        <v>0</v>
      </c>
      <c r="AG562" s="361">
        <f t="shared" si="1169"/>
        <v>0</v>
      </c>
      <c r="AH562" s="361">
        <f t="shared" si="1169"/>
        <v>0</v>
      </c>
      <c r="AI562" s="361">
        <f t="shared" si="1169"/>
        <v>0</v>
      </c>
      <c r="AJ562" s="361">
        <f t="shared" si="1169"/>
        <v>0</v>
      </c>
      <c r="AL562" s="361">
        <f ca="1">SUM((INDIRECT(AL$2&amp;(ROW())):INDIRECT(AL$3&amp;(ROW()))))</f>
        <v>0</v>
      </c>
      <c r="AM562" s="361">
        <f ca="1">SUM(INDIRECT(AM$1&amp;AM$2&amp;$C562):INDIRECT(AM$1&amp;AM$3&amp;$C562))</f>
        <v>0</v>
      </c>
      <c r="AN562" s="901">
        <f t="shared" ca="1" si="1142"/>
        <v>0</v>
      </c>
      <c r="AO562" s="962">
        <f t="shared" ca="1" si="1143"/>
        <v>0</v>
      </c>
      <c r="AP562" s="361">
        <f ca="1">SUM(INDIRECT(AP$1&amp;AP$2&amp;$A562):INDIRECT(AP$1&amp;AP$3&amp;$A562))</f>
        <v>0</v>
      </c>
      <c r="AQ562" s="901">
        <f t="shared" ca="1" si="1144"/>
        <v>0</v>
      </c>
      <c r="AR562" s="962">
        <f t="shared" ca="1" si="1145"/>
        <v>0</v>
      </c>
      <c r="AT562" s="361">
        <f ca="1">SUM((INDIRECT(AT$2&amp;(ROW())):INDIRECT(AT$3&amp;(ROW()))))</f>
        <v>0</v>
      </c>
      <c r="AU562" s="361">
        <f ca="1">SUM(INDIRECT(AU$1&amp;AU$2&amp;$C562):INDIRECT(AU$1&amp;AU$3&amp;$C562))</f>
        <v>0</v>
      </c>
      <c r="AV562" s="901">
        <f t="shared" ca="1" si="1146"/>
        <v>0</v>
      </c>
      <c r="AW562" s="962">
        <f t="shared" ca="1" si="1147"/>
        <v>0</v>
      </c>
      <c r="AX562" s="361">
        <f ca="1">SUM(INDIRECT(AX$1&amp;AX$2&amp;$A562):INDIRECT(AX$1&amp;AX$3&amp;$A562))</f>
        <v>0</v>
      </c>
      <c r="AY562" s="901">
        <f t="shared" ca="1" si="1148"/>
        <v>0</v>
      </c>
      <c r="AZ562" s="962">
        <f t="shared" ca="1" si="1149"/>
        <v>0</v>
      </c>
      <c r="BB562" s="361">
        <f ca="1">SUM((INDIRECT(BB$2&amp;(ROW())):INDIRECT(BB$3&amp;(ROW()))))</f>
        <v>0</v>
      </c>
      <c r="BC562" s="361">
        <f ca="1">SUM(INDIRECT(BC$1&amp;BC$2&amp;$C562):INDIRECT(BC$1&amp;BC$3&amp;$C562))</f>
        <v>0</v>
      </c>
      <c r="BD562" s="901">
        <f t="shared" ca="1" si="1150"/>
        <v>0</v>
      </c>
      <c r="BE562" s="962">
        <f t="shared" ca="1" si="1151"/>
        <v>0</v>
      </c>
      <c r="BF562" s="361">
        <f ca="1">SUM(INDIRECT(BF$1&amp;BF$2&amp;$A562):INDIRECT(BF$1&amp;BF$3&amp;$A562))</f>
        <v>0</v>
      </c>
      <c r="BG562" s="901">
        <f t="shared" ca="1" si="1152"/>
        <v>0</v>
      </c>
      <c r="BH562" s="962">
        <f t="shared" ca="1" si="1153"/>
        <v>0</v>
      </c>
    </row>
    <row r="563" spans="1:60" ht="14.5">
      <c r="A563" s="990">
        <f t="shared" si="1106"/>
        <v>498</v>
      </c>
      <c r="B563" s="990">
        <v>1</v>
      </c>
      <c r="C563" s="990">
        <f t="shared" si="1069"/>
        <v>560</v>
      </c>
      <c r="E563" s="1243">
        <v>1</v>
      </c>
      <c r="I563" s="79"/>
      <c r="J563" s="78"/>
      <c r="K563" s="74"/>
      <c r="L563" s="74"/>
      <c r="N563" s="111"/>
      <c r="O563" s="111"/>
      <c r="P563" s="111" t="s">
        <v>133</v>
      </c>
      <c r="Q563" s="1845" t="str">
        <f>CHOOSE(2, "6722000003482", "S/GP (2) Net Sales Direct Solution HWware")</f>
        <v>S/GP (2) Net Sales Direct Solution HWware</v>
      </c>
      <c r="R563" s="2055">
        <v>0</v>
      </c>
      <c r="S563" s="2042">
        <v>0</v>
      </c>
      <c r="T563" s="2042">
        <v>0</v>
      </c>
      <c r="U563" s="2042">
        <v>0</v>
      </c>
      <c r="V563" s="2042">
        <v>0</v>
      </c>
      <c r="W563" s="2042">
        <v>0</v>
      </c>
      <c r="X563" s="2042">
        <v>0</v>
      </c>
      <c r="Y563" s="2042">
        <v>0</v>
      </c>
      <c r="Z563" s="2042">
        <v>0</v>
      </c>
      <c r="AA563" s="2042">
        <v>0</v>
      </c>
      <c r="AB563" s="2042">
        <v>0</v>
      </c>
      <c r="AC563" s="2042">
        <v>0</v>
      </c>
      <c r="AD563" s="376">
        <f>SUM(R563,S563,T563)</f>
        <v>0</v>
      </c>
      <c r="AE563" s="109">
        <f t="shared" ref="AE563:AE567" si="1170">SUM(U563,V563,W563)</f>
        <v>0</v>
      </c>
      <c r="AF563" s="109">
        <f t="shared" ref="AF563:AF567" si="1171">SUM(X563,Y563,Z563)</f>
        <v>0</v>
      </c>
      <c r="AG563" s="109">
        <f t="shared" ref="AG563:AG567" si="1172">SUM(AA563,AB563,AC563)</f>
        <v>0</v>
      </c>
      <c r="AH563" s="109">
        <f>AD563+AE563</f>
        <v>0</v>
      </c>
      <c r="AI563" s="109">
        <f>AG563+AF563</f>
        <v>0</v>
      </c>
      <c r="AJ563" s="109">
        <f>AH563+AI563</f>
        <v>0</v>
      </c>
      <c r="AL563" s="109">
        <f ca="1">SUM((INDIRECT(AL$2&amp;(ROW())):INDIRECT(AL$3&amp;(ROW()))))</f>
        <v>0</v>
      </c>
      <c r="AM563" s="109">
        <f ca="1">SUM(INDIRECT(AM$1&amp;AM$2&amp;$C563):INDIRECT(AM$1&amp;AM$3&amp;$C563))</f>
        <v>0</v>
      </c>
      <c r="AN563" s="892">
        <f t="shared" ca="1" si="1142"/>
        <v>0</v>
      </c>
      <c r="AO563" s="953">
        <f t="shared" ca="1" si="1143"/>
        <v>0</v>
      </c>
      <c r="AP563" s="109">
        <f ca="1">SUM(INDIRECT(AP$1&amp;AP$2&amp;$A563):INDIRECT(AP$1&amp;AP$3&amp;$A563))</f>
        <v>0</v>
      </c>
      <c r="AQ563" s="892">
        <f t="shared" ca="1" si="1144"/>
        <v>0</v>
      </c>
      <c r="AR563" s="953">
        <f t="shared" ca="1" si="1145"/>
        <v>0</v>
      </c>
      <c r="AT563" s="109">
        <f ca="1">SUM((INDIRECT(AT$2&amp;(ROW())):INDIRECT(AT$3&amp;(ROW()))))</f>
        <v>0</v>
      </c>
      <c r="AU563" s="109">
        <f ca="1">SUM(INDIRECT(AU$1&amp;AU$2&amp;$C563):INDIRECT(AU$1&amp;AU$3&amp;$C563))</f>
        <v>0</v>
      </c>
      <c r="AV563" s="892">
        <f t="shared" ca="1" si="1146"/>
        <v>0</v>
      </c>
      <c r="AW563" s="953">
        <f t="shared" ca="1" si="1147"/>
        <v>0</v>
      </c>
      <c r="AX563" s="109">
        <f ca="1">SUM(INDIRECT(AX$1&amp;AX$2&amp;$A563):INDIRECT(AX$1&amp;AX$3&amp;$A563))</f>
        <v>0</v>
      </c>
      <c r="AY563" s="892">
        <f t="shared" ca="1" si="1148"/>
        <v>0</v>
      </c>
      <c r="AZ563" s="953">
        <f t="shared" ca="1" si="1149"/>
        <v>0</v>
      </c>
      <c r="BB563" s="109">
        <f ca="1">SUM((INDIRECT(BB$2&amp;(ROW())):INDIRECT(BB$3&amp;(ROW()))))</f>
        <v>0</v>
      </c>
      <c r="BC563" s="109">
        <f ca="1">SUM(INDIRECT(BC$1&amp;BC$2&amp;$C563):INDIRECT(BC$1&amp;BC$3&amp;$C563))</f>
        <v>0</v>
      </c>
      <c r="BD563" s="892">
        <f t="shared" ca="1" si="1150"/>
        <v>0</v>
      </c>
      <c r="BE563" s="953">
        <f t="shared" ca="1" si="1151"/>
        <v>0</v>
      </c>
      <c r="BF563" s="109">
        <f ca="1">SUM(INDIRECT(BF$1&amp;BF$2&amp;$A563):INDIRECT(BF$1&amp;BF$3&amp;$A563))</f>
        <v>0</v>
      </c>
      <c r="BG563" s="892">
        <f t="shared" ca="1" si="1152"/>
        <v>0</v>
      </c>
      <c r="BH563" s="953">
        <f t="shared" ca="1" si="1153"/>
        <v>0</v>
      </c>
    </row>
    <row r="564" spans="1:60" ht="14.5">
      <c r="A564" s="990">
        <f t="shared" si="1106"/>
        <v>499</v>
      </c>
      <c r="B564" s="990">
        <v>1</v>
      </c>
      <c r="C564" s="990">
        <f t="shared" si="1069"/>
        <v>561</v>
      </c>
      <c r="E564" s="1243">
        <v>1</v>
      </c>
      <c r="I564" s="79"/>
      <c r="J564" s="78"/>
      <c r="K564" s="74"/>
      <c r="L564" s="74"/>
      <c r="P564" s="9" t="s">
        <v>226</v>
      </c>
      <c r="Q564" s="1845" t="str">
        <f>CHOOSE(2, "6722000003483", "S/GP (2) Net Sales Direct Solution Software")</f>
        <v>S/GP (2) Net Sales Direct Solution Software</v>
      </c>
      <c r="R564" s="2040">
        <v>0</v>
      </c>
      <c r="S564" s="2036">
        <v>0</v>
      </c>
      <c r="T564" s="2036">
        <v>0</v>
      </c>
      <c r="U564" s="2036">
        <v>0</v>
      </c>
      <c r="V564" s="2036">
        <v>0</v>
      </c>
      <c r="W564" s="2036">
        <v>0</v>
      </c>
      <c r="X564" s="2036">
        <v>0</v>
      </c>
      <c r="Y564" s="2036">
        <v>0</v>
      </c>
      <c r="Z564" s="2036">
        <v>0</v>
      </c>
      <c r="AA564" s="2036">
        <v>0</v>
      </c>
      <c r="AB564" s="2036">
        <v>0</v>
      </c>
      <c r="AC564" s="2036">
        <v>0</v>
      </c>
      <c r="AD564" s="100">
        <f>SUM(R564,S564,T564)</f>
        <v>0</v>
      </c>
      <c r="AE564" s="19">
        <f t="shared" si="1170"/>
        <v>0</v>
      </c>
      <c r="AF564" s="19">
        <f t="shared" si="1171"/>
        <v>0</v>
      </c>
      <c r="AG564" s="19">
        <f t="shared" si="1172"/>
        <v>0</v>
      </c>
      <c r="AH564" s="19">
        <f>AD564+AE564</f>
        <v>0</v>
      </c>
      <c r="AI564" s="19">
        <f>AG564+AF564</f>
        <v>0</v>
      </c>
      <c r="AJ564" s="19">
        <f>AH564+AI564</f>
        <v>0</v>
      </c>
      <c r="AL564" s="19">
        <f ca="1">SUM((INDIRECT(AL$2&amp;(ROW())):INDIRECT(AL$3&amp;(ROW()))))</f>
        <v>0</v>
      </c>
      <c r="AM564" s="19">
        <f ca="1">SUM(INDIRECT(AM$1&amp;AM$2&amp;$C564):INDIRECT(AM$1&amp;AM$3&amp;$C564))</f>
        <v>0</v>
      </c>
      <c r="AN564" s="875">
        <f t="shared" ca="1" si="1142"/>
        <v>0</v>
      </c>
      <c r="AO564" s="926">
        <f t="shared" ca="1" si="1143"/>
        <v>0</v>
      </c>
      <c r="AP564" s="19">
        <f ca="1">SUM(INDIRECT(AP$1&amp;AP$2&amp;$A564):INDIRECT(AP$1&amp;AP$3&amp;$A564))</f>
        <v>0</v>
      </c>
      <c r="AQ564" s="875">
        <f t="shared" ca="1" si="1144"/>
        <v>0</v>
      </c>
      <c r="AR564" s="926">
        <f t="shared" ca="1" si="1145"/>
        <v>0</v>
      </c>
      <c r="AT564" s="19">
        <f ca="1">SUM((INDIRECT(AT$2&amp;(ROW())):INDIRECT(AT$3&amp;(ROW()))))</f>
        <v>0</v>
      </c>
      <c r="AU564" s="19">
        <f ca="1">SUM(INDIRECT(AU$1&amp;AU$2&amp;$C564):INDIRECT(AU$1&amp;AU$3&amp;$C564))</f>
        <v>0</v>
      </c>
      <c r="AV564" s="875">
        <f t="shared" ca="1" si="1146"/>
        <v>0</v>
      </c>
      <c r="AW564" s="926">
        <f t="shared" ca="1" si="1147"/>
        <v>0</v>
      </c>
      <c r="AX564" s="19">
        <f ca="1">SUM(INDIRECT(AX$1&amp;AX$2&amp;$A564):INDIRECT(AX$1&amp;AX$3&amp;$A564))</f>
        <v>0</v>
      </c>
      <c r="AY564" s="875">
        <f t="shared" ca="1" si="1148"/>
        <v>0</v>
      </c>
      <c r="AZ564" s="926">
        <f t="shared" ca="1" si="1149"/>
        <v>0</v>
      </c>
      <c r="BB564" s="19">
        <f ca="1">SUM((INDIRECT(BB$2&amp;(ROW())):INDIRECT(BB$3&amp;(ROW()))))</f>
        <v>0</v>
      </c>
      <c r="BC564" s="19">
        <f ca="1">SUM(INDIRECT(BC$1&amp;BC$2&amp;$C564):INDIRECT(BC$1&amp;BC$3&amp;$C564))</f>
        <v>0</v>
      </c>
      <c r="BD564" s="875">
        <f t="shared" ca="1" si="1150"/>
        <v>0</v>
      </c>
      <c r="BE564" s="926">
        <f t="shared" ca="1" si="1151"/>
        <v>0</v>
      </c>
      <c r="BF564" s="19">
        <f ca="1">SUM(INDIRECT(BF$1&amp;BF$2&amp;$A564):INDIRECT(BF$1&amp;BF$3&amp;$A564))</f>
        <v>0</v>
      </c>
      <c r="BG564" s="875">
        <f t="shared" ca="1" si="1152"/>
        <v>0</v>
      </c>
      <c r="BH564" s="926">
        <f t="shared" ca="1" si="1153"/>
        <v>0</v>
      </c>
    </row>
    <row r="565" spans="1:60" ht="14.5">
      <c r="A565" s="990">
        <f t="shared" si="1106"/>
        <v>500</v>
      </c>
      <c r="B565" s="990">
        <v>1</v>
      </c>
      <c r="C565" s="990">
        <f t="shared" si="1069"/>
        <v>562</v>
      </c>
      <c r="E565" s="1243">
        <v>1</v>
      </c>
      <c r="I565" s="79"/>
      <c r="J565" s="78"/>
      <c r="K565" s="74"/>
      <c r="L565" s="74"/>
      <c r="P565" s="9" t="s">
        <v>227</v>
      </c>
      <c r="Q565" s="1845" t="str">
        <f>CHOOSE(2, "6722000003484", "S/GP (2) Net Sales Direct Solution Professional Service")</f>
        <v>S/GP (2) Net Sales Direct Solution Professional Service</v>
      </c>
      <c r="R565" s="2040">
        <v>0</v>
      </c>
      <c r="S565" s="2036">
        <v>0</v>
      </c>
      <c r="T565" s="2036">
        <v>0</v>
      </c>
      <c r="U565" s="2036">
        <v>0</v>
      </c>
      <c r="V565" s="2036">
        <v>0</v>
      </c>
      <c r="W565" s="2036">
        <v>0</v>
      </c>
      <c r="X565" s="2036">
        <v>0</v>
      </c>
      <c r="Y565" s="2036">
        <v>0</v>
      </c>
      <c r="Z565" s="2036">
        <v>0</v>
      </c>
      <c r="AA565" s="2036">
        <v>0</v>
      </c>
      <c r="AB565" s="2036">
        <v>0</v>
      </c>
      <c r="AC565" s="2036">
        <v>0</v>
      </c>
      <c r="AD565" s="100">
        <f>SUM(R565,S565,T565)</f>
        <v>0</v>
      </c>
      <c r="AE565" s="19">
        <f t="shared" si="1170"/>
        <v>0</v>
      </c>
      <c r="AF565" s="19">
        <f t="shared" si="1171"/>
        <v>0</v>
      </c>
      <c r="AG565" s="19">
        <f t="shared" si="1172"/>
        <v>0</v>
      </c>
      <c r="AH565" s="19">
        <f>AD565+AE565</f>
        <v>0</v>
      </c>
      <c r="AI565" s="19">
        <f>AG565+AF565</f>
        <v>0</v>
      </c>
      <c r="AJ565" s="19">
        <f>AH565+AI565</f>
        <v>0</v>
      </c>
      <c r="AL565" s="19">
        <f ca="1">SUM((INDIRECT(AL$2&amp;(ROW())):INDIRECT(AL$3&amp;(ROW()))))</f>
        <v>0</v>
      </c>
      <c r="AM565" s="19">
        <f ca="1">SUM(INDIRECT(AM$1&amp;AM$2&amp;$C565):INDIRECT(AM$1&amp;AM$3&amp;$C565))</f>
        <v>0</v>
      </c>
      <c r="AN565" s="875">
        <f t="shared" ca="1" si="1142"/>
        <v>0</v>
      </c>
      <c r="AO565" s="926">
        <f t="shared" ca="1" si="1143"/>
        <v>0</v>
      </c>
      <c r="AP565" s="19">
        <f ca="1">SUM(INDIRECT(AP$1&amp;AP$2&amp;$A565):INDIRECT(AP$1&amp;AP$3&amp;$A565))</f>
        <v>0</v>
      </c>
      <c r="AQ565" s="875">
        <f t="shared" ca="1" si="1144"/>
        <v>0</v>
      </c>
      <c r="AR565" s="926">
        <f t="shared" ca="1" si="1145"/>
        <v>0</v>
      </c>
      <c r="AT565" s="19">
        <f ca="1">SUM((INDIRECT(AT$2&amp;(ROW())):INDIRECT(AT$3&amp;(ROW()))))</f>
        <v>0</v>
      </c>
      <c r="AU565" s="19">
        <f ca="1">SUM(INDIRECT(AU$1&amp;AU$2&amp;$C565):INDIRECT(AU$1&amp;AU$3&amp;$C565))</f>
        <v>0</v>
      </c>
      <c r="AV565" s="875">
        <f t="shared" ca="1" si="1146"/>
        <v>0</v>
      </c>
      <c r="AW565" s="926">
        <f t="shared" ca="1" si="1147"/>
        <v>0</v>
      </c>
      <c r="AX565" s="19">
        <f ca="1">SUM(INDIRECT(AX$1&amp;AX$2&amp;$A565):INDIRECT(AX$1&amp;AX$3&amp;$A565))</f>
        <v>0</v>
      </c>
      <c r="AY565" s="875">
        <f t="shared" ca="1" si="1148"/>
        <v>0</v>
      </c>
      <c r="AZ565" s="926">
        <f t="shared" ca="1" si="1149"/>
        <v>0</v>
      </c>
      <c r="BB565" s="19">
        <f ca="1">SUM((INDIRECT(BB$2&amp;(ROW())):INDIRECT(BB$3&amp;(ROW()))))</f>
        <v>0</v>
      </c>
      <c r="BC565" s="19">
        <f ca="1">SUM(INDIRECT(BC$1&amp;BC$2&amp;$C565):INDIRECT(BC$1&amp;BC$3&amp;$C565))</f>
        <v>0</v>
      </c>
      <c r="BD565" s="875">
        <f t="shared" ca="1" si="1150"/>
        <v>0</v>
      </c>
      <c r="BE565" s="926">
        <f t="shared" ca="1" si="1151"/>
        <v>0</v>
      </c>
      <c r="BF565" s="19">
        <f ca="1">SUM(INDIRECT(BF$1&amp;BF$2&amp;$A565):INDIRECT(BF$1&amp;BF$3&amp;$A565))</f>
        <v>0</v>
      </c>
      <c r="BG565" s="875">
        <f t="shared" ca="1" si="1152"/>
        <v>0</v>
      </c>
      <c r="BH565" s="926">
        <f t="shared" ca="1" si="1153"/>
        <v>0</v>
      </c>
    </row>
    <row r="566" spans="1:60" ht="14.5">
      <c r="A566" s="990">
        <f t="shared" si="1106"/>
        <v>501</v>
      </c>
      <c r="B566" s="990">
        <v>1</v>
      </c>
      <c r="C566" s="990">
        <f t="shared" si="1069"/>
        <v>563</v>
      </c>
      <c r="E566" s="1243">
        <v>1</v>
      </c>
      <c r="I566" s="79"/>
      <c r="J566" s="78"/>
      <c r="K566" s="74"/>
      <c r="L566" s="74"/>
      <c r="N566" s="12"/>
      <c r="O566" s="12"/>
      <c r="P566" s="12" t="s">
        <v>205</v>
      </c>
      <c r="Q566" s="1845" t="str">
        <f>CHOOSE(2, "6722000003485", "S/GP (2) Net Sales Direct Solution Others")</f>
        <v>S/GP (2) Net Sales Direct Solution Others</v>
      </c>
      <c r="R566" s="2041">
        <v>0</v>
      </c>
      <c r="S566" s="2037">
        <v>0</v>
      </c>
      <c r="T566" s="2037">
        <v>0</v>
      </c>
      <c r="U566" s="2037">
        <v>0</v>
      </c>
      <c r="V566" s="2037">
        <v>0</v>
      </c>
      <c r="W566" s="2037">
        <v>0</v>
      </c>
      <c r="X566" s="2037">
        <v>0</v>
      </c>
      <c r="Y566" s="2037">
        <v>0</v>
      </c>
      <c r="Z566" s="2037">
        <v>0</v>
      </c>
      <c r="AA566" s="2037">
        <v>0</v>
      </c>
      <c r="AB566" s="2037">
        <v>0</v>
      </c>
      <c r="AC566" s="2037">
        <v>0</v>
      </c>
      <c r="AD566" s="99">
        <f>SUM(R566,S566,T566)</f>
        <v>0</v>
      </c>
      <c r="AE566" s="17">
        <f t="shared" si="1170"/>
        <v>0</v>
      </c>
      <c r="AF566" s="17">
        <f t="shared" si="1171"/>
        <v>0</v>
      </c>
      <c r="AG566" s="17">
        <f t="shared" si="1172"/>
        <v>0</v>
      </c>
      <c r="AH566" s="17">
        <f>AD566+AE566</f>
        <v>0</v>
      </c>
      <c r="AI566" s="17">
        <f>AG566+AF566</f>
        <v>0</v>
      </c>
      <c r="AJ566" s="17">
        <f>AH566+AI566</f>
        <v>0</v>
      </c>
      <c r="AL566" s="17">
        <f ca="1">SUM((INDIRECT(AL$2&amp;(ROW())):INDIRECT(AL$3&amp;(ROW()))))</f>
        <v>0</v>
      </c>
      <c r="AM566" s="17">
        <f ca="1">SUM(INDIRECT(AM$1&amp;AM$2&amp;$C566):INDIRECT(AM$1&amp;AM$3&amp;$C566))</f>
        <v>0</v>
      </c>
      <c r="AN566" s="876">
        <f t="shared" ca="1" si="1142"/>
        <v>0</v>
      </c>
      <c r="AO566" s="927">
        <f t="shared" ca="1" si="1143"/>
        <v>0</v>
      </c>
      <c r="AP566" s="17">
        <f ca="1">SUM(INDIRECT(AP$1&amp;AP$2&amp;$A566):INDIRECT(AP$1&amp;AP$3&amp;$A566))</f>
        <v>0</v>
      </c>
      <c r="AQ566" s="876">
        <f t="shared" ca="1" si="1144"/>
        <v>0</v>
      </c>
      <c r="AR566" s="927">
        <f t="shared" ca="1" si="1145"/>
        <v>0</v>
      </c>
      <c r="AT566" s="17">
        <f ca="1">SUM((INDIRECT(AT$2&amp;(ROW())):INDIRECT(AT$3&amp;(ROW()))))</f>
        <v>0</v>
      </c>
      <c r="AU566" s="17">
        <f ca="1">SUM(INDIRECT(AU$1&amp;AU$2&amp;$C566):INDIRECT(AU$1&amp;AU$3&amp;$C566))</f>
        <v>0</v>
      </c>
      <c r="AV566" s="876">
        <f t="shared" ca="1" si="1146"/>
        <v>0</v>
      </c>
      <c r="AW566" s="927">
        <f t="shared" ca="1" si="1147"/>
        <v>0</v>
      </c>
      <c r="AX566" s="17">
        <f ca="1">SUM(INDIRECT(AX$1&amp;AX$2&amp;$A566):INDIRECT(AX$1&amp;AX$3&amp;$A566))</f>
        <v>0</v>
      </c>
      <c r="AY566" s="876">
        <f t="shared" ca="1" si="1148"/>
        <v>0</v>
      </c>
      <c r="AZ566" s="927">
        <f t="shared" ca="1" si="1149"/>
        <v>0</v>
      </c>
      <c r="BB566" s="17">
        <f ca="1">SUM((INDIRECT(BB$2&amp;(ROW())):INDIRECT(BB$3&amp;(ROW()))))</f>
        <v>0</v>
      </c>
      <c r="BC566" s="17">
        <f ca="1">SUM(INDIRECT(BC$1&amp;BC$2&amp;$C566):INDIRECT(BC$1&amp;BC$3&amp;$C566))</f>
        <v>0</v>
      </c>
      <c r="BD566" s="876">
        <f t="shared" ca="1" si="1150"/>
        <v>0</v>
      </c>
      <c r="BE566" s="927">
        <f t="shared" ca="1" si="1151"/>
        <v>0</v>
      </c>
      <c r="BF566" s="17">
        <f ca="1">SUM(INDIRECT(BF$1&amp;BF$2&amp;$A566):INDIRECT(BF$1&amp;BF$3&amp;$A566))</f>
        <v>0</v>
      </c>
      <c r="BG566" s="876">
        <f t="shared" ca="1" si="1152"/>
        <v>0</v>
      </c>
      <c r="BH566" s="927">
        <f t="shared" ca="1" si="1153"/>
        <v>0</v>
      </c>
    </row>
    <row r="567" spans="1:60" ht="14.5">
      <c r="A567" s="990">
        <f t="shared" si="1106"/>
        <v>502</v>
      </c>
      <c r="B567" s="990">
        <v>1</v>
      </c>
      <c r="C567" s="990">
        <f t="shared" si="1069"/>
        <v>564</v>
      </c>
      <c r="E567" s="1243">
        <v>1</v>
      </c>
      <c r="I567" s="79"/>
      <c r="J567" s="78"/>
      <c r="K567" s="74"/>
      <c r="L567" s="74"/>
      <c r="M567" s="22" t="s">
        <v>205</v>
      </c>
      <c r="N567" s="12"/>
      <c r="O567" s="12"/>
      <c r="P567" s="12"/>
      <c r="Q567" s="1845" t="str">
        <f>CHOOSE(2, "6722000003486", "S/GP (2) Net Sales Direct Others")</f>
        <v>S/GP (2) Net Sales Direct Others</v>
      </c>
      <c r="R567" s="2088">
        <v>0</v>
      </c>
      <c r="S567" s="2037">
        <v>0</v>
      </c>
      <c r="T567" s="2037">
        <v>0</v>
      </c>
      <c r="U567" s="2037">
        <v>0</v>
      </c>
      <c r="V567" s="2037">
        <v>0</v>
      </c>
      <c r="W567" s="2037">
        <v>0</v>
      </c>
      <c r="X567" s="2037">
        <v>0</v>
      </c>
      <c r="Y567" s="2037">
        <v>0</v>
      </c>
      <c r="Z567" s="2037">
        <v>0</v>
      </c>
      <c r="AA567" s="2037">
        <v>0</v>
      </c>
      <c r="AB567" s="2037">
        <v>0</v>
      </c>
      <c r="AC567" s="2037">
        <v>0</v>
      </c>
      <c r="AD567" s="99">
        <f>SUM(R567,S567,T567)</f>
        <v>0</v>
      </c>
      <c r="AE567" s="17">
        <f t="shared" si="1170"/>
        <v>0</v>
      </c>
      <c r="AF567" s="17">
        <f t="shared" si="1171"/>
        <v>0</v>
      </c>
      <c r="AG567" s="17">
        <f t="shared" si="1172"/>
        <v>0</v>
      </c>
      <c r="AH567" s="17">
        <f>AD567+AE567</f>
        <v>0</v>
      </c>
      <c r="AI567" s="17">
        <f>AG567+AF567</f>
        <v>0</v>
      </c>
      <c r="AJ567" s="17">
        <f>AH567+AI567</f>
        <v>0</v>
      </c>
      <c r="AL567" s="17">
        <f ca="1">SUM((INDIRECT(AL$2&amp;(ROW())):INDIRECT(AL$3&amp;(ROW()))))</f>
        <v>0</v>
      </c>
      <c r="AM567" s="17">
        <f ca="1">SUM(INDIRECT(AM$1&amp;AM$2&amp;$C567):INDIRECT(AM$1&amp;AM$3&amp;$C567))</f>
        <v>0</v>
      </c>
      <c r="AN567" s="876">
        <f t="shared" ca="1" si="1142"/>
        <v>0</v>
      </c>
      <c r="AO567" s="927">
        <f t="shared" ca="1" si="1143"/>
        <v>0</v>
      </c>
      <c r="AP567" s="17">
        <f ca="1">SUM(INDIRECT(AP$1&amp;AP$2&amp;$A567):INDIRECT(AP$1&amp;AP$3&amp;$A567))</f>
        <v>0</v>
      </c>
      <c r="AQ567" s="876">
        <f t="shared" ca="1" si="1144"/>
        <v>0</v>
      </c>
      <c r="AR567" s="927">
        <f t="shared" ca="1" si="1145"/>
        <v>0</v>
      </c>
      <c r="AT567" s="17">
        <f ca="1">SUM((INDIRECT(AT$2&amp;(ROW())):INDIRECT(AT$3&amp;(ROW()))))</f>
        <v>0</v>
      </c>
      <c r="AU567" s="17">
        <f ca="1">SUM(INDIRECT(AU$1&amp;AU$2&amp;$C567):INDIRECT(AU$1&amp;AU$3&amp;$C567))</f>
        <v>0</v>
      </c>
      <c r="AV567" s="876">
        <f t="shared" ca="1" si="1146"/>
        <v>0</v>
      </c>
      <c r="AW567" s="927">
        <f t="shared" ca="1" si="1147"/>
        <v>0</v>
      </c>
      <c r="AX567" s="17">
        <f ca="1">SUM(INDIRECT(AX$1&amp;AX$2&amp;$A567):INDIRECT(AX$1&amp;AX$3&amp;$A567))</f>
        <v>0</v>
      </c>
      <c r="AY567" s="876">
        <f t="shared" ca="1" si="1148"/>
        <v>0</v>
      </c>
      <c r="AZ567" s="927">
        <f t="shared" ca="1" si="1149"/>
        <v>0</v>
      </c>
      <c r="BB567" s="17">
        <f ca="1">SUM((INDIRECT(BB$2&amp;(ROW())):INDIRECT(BB$3&amp;(ROW()))))</f>
        <v>0</v>
      </c>
      <c r="BC567" s="17">
        <f ca="1">SUM(INDIRECT(BC$1&amp;BC$2&amp;$C567):INDIRECT(BC$1&amp;BC$3&amp;$C567))</f>
        <v>0</v>
      </c>
      <c r="BD567" s="876">
        <f t="shared" ca="1" si="1150"/>
        <v>0</v>
      </c>
      <c r="BE567" s="927">
        <f t="shared" ca="1" si="1151"/>
        <v>0</v>
      </c>
      <c r="BF567" s="17">
        <f ca="1">SUM(INDIRECT(BF$1&amp;BF$2&amp;$A567):INDIRECT(BF$1&amp;BF$3&amp;$A567))</f>
        <v>0</v>
      </c>
      <c r="BG567" s="876">
        <f t="shared" ca="1" si="1152"/>
        <v>0</v>
      </c>
      <c r="BH567" s="927">
        <f t="shared" ca="1" si="1153"/>
        <v>0</v>
      </c>
    </row>
    <row r="568" spans="1:60" ht="14.5">
      <c r="A568" s="990">
        <f t="shared" si="1106"/>
        <v>503</v>
      </c>
      <c r="B568" s="990">
        <v>1</v>
      </c>
      <c r="C568" s="990">
        <f t="shared" si="1069"/>
        <v>565</v>
      </c>
      <c r="E568" s="1243">
        <v>1</v>
      </c>
      <c r="I568" s="79"/>
      <c r="J568" s="78"/>
      <c r="K568" s="82" t="s">
        <v>221</v>
      </c>
      <c r="L568" s="82"/>
      <c r="M568" s="81"/>
      <c r="N568" s="81"/>
      <c r="O568" s="81"/>
      <c r="P568" s="610"/>
      <c r="Q568" s="1867" t="str">
        <f>CHOOSE(2, "6722000003487", "S/GP (2) Net Sales Indirect")</f>
        <v>S/GP (2) Net Sales Indirect</v>
      </c>
      <c r="R568" s="2056">
        <f>R569+R572+R577+R582</f>
        <v>65990</v>
      </c>
      <c r="S568" s="2056">
        <f t="shared" ref="S568:AC568" si="1173">S569+S572+S577+S582</f>
        <v>54842</v>
      </c>
      <c r="T568" s="2056">
        <f t="shared" si="1173"/>
        <v>61816</v>
      </c>
      <c r="U568" s="2056">
        <f t="shared" si="1173"/>
        <v>72179</v>
      </c>
      <c r="V568" s="2056">
        <f t="shared" si="1173"/>
        <v>58368.207999999999</v>
      </c>
      <c r="W568" s="2056">
        <f t="shared" si="1173"/>
        <v>40279</v>
      </c>
      <c r="X568" s="2056">
        <f t="shared" si="1173"/>
        <v>57991</v>
      </c>
      <c r="Y568" s="2056">
        <f t="shared" si="1173"/>
        <v>59378</v>
      </c>
      <c r="Z568" s="2056">
        <f t="shared" si="1173"/>
        <v>55892</v>
      </c>
      <c r="AA568" s="2056">
        <f t="shared" si="1173"/>
        <v>63397</v>
      </c>
      <c r="AB568" s="2056">
        <f t="shared" si="1173"/>
        <v>88413</v>
      </c>
      <c r="AC568" s="2056">
        <f t="shared" si="1173"/>
        <v>61193</v>
      </c>
      <c r="AD568" s="611">
        <f t="shared" ref="AD568:AJ568" si="1174">AD569+AD572+AD577+AD582</f>
        <v>182648</v>
      </c>
      <c r="AE568" s="80">
        <f t="shared" si="1174"/>
        <v>170826.20800000001</v>
      </c>
      <c r="AF568" s="80">
        <f t="shared" si="1174"/>
        <v>173261</v>
      </c>
      <c r="AG568" s="80">
        <f t="shared" si="1174"/>
        <v>213003</v>
      </c>
      <c r="AH568" s="80">
        <f t="shared" si="1174"/>
        <v>353474.20799999998</v>
      </c>
      <c r="AI568" s="80">
        <f t="shared" si="1174"/>
        <v>386264</v>
      </c>
      <c r="AJ568" s="80">
        <f t="shared" si="1174"/>
        <v>739738.2080000001</v>
      </c>
      <c r="AL568" s="2056">
        <f ca="1">SUM((INDIRECT(AL$2&amp;(ROW())):INDIRECT(AL$3&amp;(ROW()))))</f>
        <v>61193</v>
      </c>
      <c r="AM568" s="2056">
        <f ca="1">SUM(INDIRECT(AM$1&amp;AM$2&amp;$C568):INDIRECT(AM$1&amp;AM$3&amp;$C568))</f>
        <v>0</v>
      </c>
      <c r="AN568" s="2540">
        <f t="shared" ca="1" si="1142"/>
        <v>61193</v>
      </c>
      <c r="AO568" s="2541">
        <f t="shared" ca="1" si="1143"/>
        <v>0</v>
      </c>
      <c r="AP568" s="2056">
        <f ca="1">SUM(INDIRECT(AP$1&amp;AP$2&amp;$A568):INDIRECT(AP$1&amp;AP$3&amp;$A568))</f>
        <v>57385</v>
      </c>
      <c r="AQ568" s="2540">
        <f t="shared" ca="1" si="1144"/>
        <v>3808</v>
      </c>
      <c r="AR568" s="2541">
        <f t="shared" ca="1" si="1145"/>
        <v>1.0663588045656531</v>
      </c>
      <c r="AT568" s="2056">
        <f ca="1">SUM((INDIRECT(AT$2&amp;(ROW())):INDIRECT(AT$3&amp;(ROW()))))</f>
        <v>213003</v>
      </c>
      <c r="AU568" s="2056">
        <f ca="1">SUM(INDIRECT(AU$1&amp;AU$2&amp;$C568):INDIRECT(AU$1&amp;AU$3&amp;$C568))</f>
        <v>0</v>
      </c>
      <c r="AV568" s="2540">
        <f t="shared" ca="1" si="1146"/>
        <v>213003</v>
      </c>
      <c r="AW568" s="2541">
        <f t="shared" ca="1" si="1147"/>
        <v>0</v>
      </c>
      <c r="AX568" s="2056">
        <f ca="1">SUM(INDIRECT(AX$1&amp;AX$2&amp;$A568):INDIRECT(AX$1&amp;AX$3&amp;$A568))</f>
        <v>142062</v>
      </c>
      <c r="AY568" s="2540">
        <f t="shared" ca="1" si="1148"/>
        <v>70941</v>
      </c>
      <c r="AZ568" s="2541">
        <f t="shared" ca="1" si="1149"/>
        <v>1.4993664737931325</v>
      </c>
      <c r="BB568" s="2056">
        <f ca="1">SUM((INDIRECT(BB$2&amp;(ROW())):INDIRECT(BB$3&amp;(ROW()))))</f>
        <v>739738.20799999998</v>
      </c>
      <c r="BC568" s="2056">
        <f ca="1">SUM(INDIRECT(BC$1&amp;BC$2&amp;$C568):INDIRECT(BC$1&amp;BC$3&amp;$C568))</f>
        <v>0</v>
      </c>
      <c r="BD568" s="2540">
        <f t="shared" ca="1" si="1150"/>
        <v>739738.20799999998</v>
      </c>
      <c r="BE568" s="2541">
        <f t="shared" ca="1" si="1151"/>
        <v>0</v>
      </c>
      <c r="BF568" s="2056">
        <f ca="1">SUM(INDIRECT(BF$1&amp;BF$2&amp;$A568):INDIRECT(BF$1&amp;BF$3&amp;$A568))</f>
        <v>538988</v>
      </c>
      <c r="BG568" s="2540">
        <f t="shared" ca="1" si="1152"/>
        <v>200750.20799999998</v>
      </c>
      <c r="BH568" s="2541">
        <f t="shared" ca="1" si="1153"/>
        <v>1.3724576576844012</v>
      </c>
    </row>
    <row r="569" spans="1:60" ht="14.5">
      <c r="A569" s="990">
        <f t="shared" si="1106"/>
        <v>504</v>
      </c>
      <c r="B569" s="990">
        <v>1</v>
      </c>
      <c r="C569" s="990">
        <f t="shared" si="1069"/>
        <v>566</v>
      </c>
      <c r="E569" s="1243">
        <v>1</v>
      </c>
      <c r="I569" s="79"/>
      <c r="J569" s="78"/>
      <c r="K569" s="69"/>
      <c r="L569" s="69"/>
      <c r="M569" s="9" t="s">
        <v>335</v>
      </c>
      <c r="N569" s="363"/>
      <c r="O569" s="363"/>
      <c r="P569" s="363"/>
      <c r="Q569" s="1843" t="str">
        <f>CHOOSE(2, "6722000003488", "S/GP (2) Net Sales Indirect HW")</f>
        <v>S/GP (2) Net Sales Indirect HW</v>
      </c>
      <c r="R569" s="2065">
        <f>SUM(R570:R571)</f>
        <v>14904</v>
      </c>
      <c r="S569" s="365">
        <f t="shared" ref="S569:AC569" si="1175">SUM(S570:S571)</f>
        <v>12202</v>
      </c>
      <c r="T569" s="365">
        <f t="shared" si="1175"/>
        <v>11739</v>
      </c>
      <c r="U569" s="365">
        <f t="shared" si="1175"/>
        <v>24361</v>
      </c>
      <c r="V569" s="365">
        <f t="shared" si="1175"/>
        <v>21912.361000000001</v>
      </c>
      <c r="W569" s="365">
        <f t="shared" si="1175"/>
        <v>10950</v>
      </c>
      <c r="X569" s="365">
        <f t="shared" si="1175"/>
        <v>13738</v>
      </c>
      <c r="Y569" s="365">
        <f t="shared" si="1175"/>
        <v>18724</v>
      </c>
      <c r="Z569" s="365">
        <f t="shared" si="1175"/>
        <v>9392</v>
      </c>
      <c r="AA569" s="365">
        <f t="shared" si="1175"/>
        <v>15378</v>
      </c>
      <c r="AB569" s="365">
        <f t="shared" si="1175"/>
        <v>14712</v>
      </c>
      <c r="AC569" s="365">
        <f t="shared" si="1175"/>
        <v>13993</v>
      </c>
      <c r="AD569" s="408">
        <f t="shared" ref="AD569:AJ569" si="1176">SUM(AD570:AD571)</f>
        <v>38845</v>
      </c>
      <c r="AE569" s="365">
        <f t="shared" si="1176"/>
        <v>57223.361000000004</v>
      </c>
      <c r="AF569" s="365">
        <f t="shared" si="1176"/>
        <v>41854</v>
      </c>
      <c r="AG569" s="365">
        <f t="shared" si="1176"/>
        <v>44083</v>
      </c>
      <c r="AH569" s="365">
        <f t="shared" si="1176"/>
        <v>96068.361000000004</v>
      </c>
      <c r="AI569" s="365">
        <f t="shared" si="1176"/>
        <v>85937</v>
      </c>
      <c r="AJ569" s="365">
        <f t="shared" si="1176"/>
        <v>182005.361</v>
      </c>
      <c r="AL569" s="365">
        <f ca="1">SUM((INDIRECT(AL$2&amp;(ROW())):INDIRECT(AL$3&amp;(ROW()))))</f>
        <v>13993</v>
      </c>
      <c r="AM569" s="365">
        <f ca="1">SUM(INDIRECT(AM$1&amp;AM$2&amp;$C569):INDIRECT(AM$1&amp;AM$3&amp;$C569))</f>
        <v>0</v>
      </c>
      <c r="AN569" s="891">
        <f t="shared" ca="1" si="1142"/>
        <v>13993</v>
      </c>
      <c r="AO569" s="952">
        <f t="shared" ca="1" si="1143"/>
        <v>0</v>
      </c>
      <c r="AP569" s="365">
        <f ca="1">SUM(INDIRECT(AP$1&amp;AP$2&amp;$A569):INDIRECT(AP$1&amp;AP$3&amp;$A569))</f>
        <v>15922</v>
      </c>
      <c r="AQ569" s="891">
        <f t="shared" ca="1" si="1144"/>
        <v>-1929</v>
      </c>
      <c r="AR569" s="952">
        <f t="shared" ca="1" si="1145"/>
        <v>0.8788468785328476</v>
      </c>
      <c r="AT569" s="365">
        <f ca="1">SUM((INDIRECT(AT$2&amp;(ROW())):INDIRECT(AT$3&amp;(ROW()))))</f>
        <v>44083</v>
      </c>
      <c r="AU569" s="365">
        <f ca="1">SUM(INDIRECT(AU$1&amp;AU$2&amp;$C569):INDIRECT(AU$1&amp;AU$3&amp;$C569))</f>
        <v>0</v>
      </c>
      <c r="AV569" s="891">
        <f t="shared" ca="1" si="1146"/>
        <v>44083</v>
      </c>
      <c r="AW569" s="952">
        <f t="shared" ca="1" si="1147"/>
        <v>0</v>
      </c>
      <c r="AX569" s="365">
        <f ca="1">SUM(INDIRECT(AX$1&amp;AX$2&amp;$A569):INDIRECT(AX$1&amp;AX$3&amp;$A569))</f>
        <v>25213</v>
      </c>
      <c r="AY569" s="891">
        <f t="shared" ca="1" si="1148"/>
        <v>18870</v>
      </c>
      <c r="AZ569" s="952">
        <f t="shared" ca="1" si="1149"/>
        <v>1.7484234323563241</v>
      </c>
      <c r="BB569" s="365">
        <f ca="1">SUM((INDIRECT(BB$2&amp;(ROW())):INDIRECT(BB$3&amp;(ROW()))))</f>
        <v>182005.361</v>
      </c>
      <c r="BC569" s="365">
        <f ca="1">SUM(INDIRECT(BC$1&amp;BC$2&amp;$C569):INDIRECT(BC$1&amp;BC$3&amp;$C569))</f>
        <v>0</v>
      </c>
      <c r="BD569" s="891">
        <f t="shared" ca="1" si="1150"/>
        <v>182005.361</v>
      </c>
      <c r="BE569" s="952">
        <f t="shared" ca="1" si="1151"/>
        <v>0</v>
      </c>
      <c r="BF569" s="365">
        <f ca="1">SUM(INDIRECT(BF$1&amp;BF$2&amp;$A569):INDIRECT(BF$1&amp;BF$3&amp;$A569))</f>
        <v>135891</v>
      </c>
      <c r="BG569" s="891">
        <f t="shared" ca="1" si="1152"/>
        <v>46114.361000000004</v>
      </c>
      <c r="BH569" s="952">
        <f t="shared" ca="1" si="1153"/>
        <v>1.3393481613940585</v>
      </c>
    </row>
    <row r="570" spans="1:60" ht="14.5">
      <c r="A570" s="990">
        <f t="shared" si="1106"/>
        <v>505</v>
      </c>
      <c r="B570" s="990">
        <v>1</v>
      </c>
      <c r="C570" s="990">
        <f t="shared" si="1069"/>
        <v>567</v>
      </c>
      <c r="E570" s="1243">
        <v>1</v>
      </c>
      <c r="I570" s="79"/>
      <c r="J570" s="78"/>
      <c r="K570" s="69"/>
      <c r="L570" s="69"/>
      <c r="N570" s="111" t="s">
        <v>336</v>
      </c>
      <c r="O570" s="111"/>
      <c r="P570" s="111"/>
      <c r="Q570" s="1845" t="str">
        <f>CHOOSE(2, "6722000003489", "S/GP (2) Net Sales Indirect HW KMI")</f>
        <v>S/GP (2) Net Sales Indirect HW KMI</v>
      </c>
      <c r="R570" s="2055">
        <v>14904</v>
      </c>
      <c r="S570" s="2042">
        <v>12202</v>
      </c>
      <c r="T570" s="2042">
        <v>11739</v>
      </c>
      <c r="U570" s="2042">
        <v>24361</v>
      </c>
      <c r="V570" s="2042">
        <v>21912.361000000001</v>
      </c>
      <c r="W570" s="2042">
        <f>8749+2201</f>
        <v>10950</v>
      </c>
      <c r="X570" s="2042">
        <v>13738</v>
      </c>
      <c r="Y570" s="2042">
        <v>18724</v>
      </c>
      <c r="Z570" s="2042">
        <v>9392</v>
      </c>
      <c r="AA570" s="2042">
        <v>15378</v>
      </c>
      <c r="AB570" s="2042">
        <v>14712</v>
      </c>
      <c r="AC570" s="2042">
        <v>13993</v>
      </c>
      <c r="AD570" s="376">
        <f>SUM(R570,S570,T570)</f>
        <v>38845</v>
      </c>
      <c r="AE570" s="109">
        <f t="shared" ref="AE570:AE571" si="1177">SUM(U570,V570,W570)</f>
        <v>57223.361000000004</v>
      </c>
      <c r="AF570" s="109">
        <f t="shared" ref="AF570:AF571" si="1178">SUM(X570,Y570,Z570)</f>
        <v>41854</v>
      </c>
      <c r="AG570" s="109">
        <f t="shared" ref="AG570:AG571" si="1179">SUM(AA570,AB570,AC570)</f>
        <v>44083</v>
      </c>
      <c r="AH570" s="109">
        <f>AD570+AE570</f>
        <v>96068.361000000004</v>
      </c>
      <c r="AI570" s="109">
        <f>AG570+AF570</f>
        <v>85937</v>
      </c>
      <c r="AJ570" s="109">
        <f>AH570+AI570</f>
        <v>182005.361</v>
      </c>
      <c r="AL570" s="109">
        <f ca="1">SUM((INDIRECT(AL$2&amp;(ROW())):INDIRECT(AL$3&amp;(ROW()))))</f>
        <v>13993</v>
      </c>
      <c r="AM570" s="109">
        <f ca="1">SUM(INDIRECT(AM$1&amp;AM$2&amp;$C570):INDIRECT(AM$1&amp;AM$3&amp;$C570))</f>
        <v>0</v>
      </c>
      <c r="AN570" s="892">
        <f t="shared" ca="1" si="1142"/>
        <v>13993</v>
      </c>
      <c r="AO570" s="953">
        <f t="shared" ca="1" si="1143"/>
        <v>0</v>
      </c>
      <c r="AP570" s="109">
        <f ca="1">SUM(INDIRECT(AP$1&amp;AP$2&amp;$A570):INDIRECT(AP$1&amp;AP$3&amp;$A570))</f>
        <v>15922</v>
      </c>
      <c r="AQ570" s="892">
        <f t="shared" ca="1" si="1144"/>
        <v>-1929</v>
      </c>
      <c r="AR570" s="953">
        <f t="shared" ca="1" si="1145"/>
        <v>0.8788468785328476</v>
      </c>
      <c r="AT570" s="109">
        <f ca="1">SUM((INDIRECT(AT$2&amp;(ROW())):INDIRECT(AT$3&amp;(ROW()))))</f>
        <v>44083</v>
      </c>
      <c r="AU570" s="109">
        <f ca="1">SUM(INDIRECT(AU$1&amp;AU$2&amp;$C570):INDIRECT(AU$1&amp;AU$3&amp;$C570))</f>
        <v>0</v>
      </c>
      <c r="AV570" s="892">
        <f t="shared" ca="1" si="1146"/>
        <v>44083</v>
      </c>
      <c r="AW570" s="953">
        <f t="shared" ca="1" si="1147"/>
        <v>0</v>
      </c>
      <c r="AX570" s="109">
        <f ca="1">SUM(INDIRECT(AX$1&amp;AX$2&amp;$A570):INDIRECT(AX$1&amp;AX$3&amp;$A570))</f>
        <v>25213</v>
      </c>
      <c r="AY570" s="892">
        <f t="shared" ca="1" si="1148"/>
        <v>18870</v>
      </c>
      <c r="AZ570" s="953">
        <f t="shared" ca="1" si="1149"/>
        <v>1.7484234323563241</v>
      </c>
      <c r="BB570" s="109">
        <f ca="1">SUM((INDIRECT(BB$2&amp;(ROW())):INDIRECT(BB$3&amp;(ROW()))))</f>
        <v>182005.361</v>
      </c>
      <c r="BC570" s="109">
        <f ca="1">SUM(INDIRECT(BC$1&amp;BC$2&amp;$C570):INDIRECT(BC$1&amp;BC$3&amp;$C570))</f>
        <v>0</v>
      </c>
      <c r="BD570" s="892">
        <f t="shared" ca="1" si="1150"/>
        <v>182005.361</v>
      </c>
      <c r="BE570" s="953">
        <f t="shared" ca="1" si="1151"/>
        <v>0</v>
      </c>
      <c r="BF570" s="109">
        <f ca="1">SUM(INDIRECT(BF$1&amp;BF$2&amp;$A570):INDIRECT(BF$1&amp;BF$3&amp;$A570))</f>
        <v>135891</v>
      </c>
      <c r="BG570" s="892">
        <f t="shared" ca="1" si="1152"/>
        <v>46114.361000000004</v>
      </c>
      <c r="BH570" s="953">
        <f t="shared" ca="1" si="1153"/>
        <v>1.3393481613940585</v>
      </c>
    </row>
    <row r="571" spans="1:60" ht="14.5">
      <c r="A571" s="990">
        <f t="shared" si="1106"/>
        <v>506</v>
      </c>
      <c r="B571" s="990">
        <v>1</v>
      </c>
      <c r="C571" s="990">
        <f t="shared" si="1069"/>
        <v>568</v>
      </c>
      <c r="E571" s="1243">
        <v>1</v>
      </c>
      <c r="I571" s="79"/>
      <c r="J571" s="78"/>
      <c r="K571" s="69"/>
      <c r="L571" s="69"/>
      <c r="N571" s="12" t="s">
        <v>337</v>
      </c>
      <c r="O571" s="12"/>
      <c r="P571" s="12"/>
      <c r="Q571" s="1845" t="str">
        <f>CHOOSE(2, "6722000003490", "S/GP (2) Net Sales Indirect HW 3rd Party")</f>
        <v>S/GP (2) Net Sales Indirect HW 3rd Party</v>
      </c>
      <c r="R571" s="2041">
        <v>0</v>
      </c>
      <c r="S571" s="2037">
        <v>0</v>
      </c>
      <c r="T571" s="2037">
        <v>0</v>
      </c>
      <c r="U571" s="2037">
        <v>0</v>
      </c>
      <c r="V571" s="2037">
        <v>0</v>
      </c>
      <c r="W571" s="2037">
        <v>0</v>
      </c>
      <c r="X571" s="2037">
        <v>0</v>
      </c>
      <c r="Y571" s="2037">
        <v>0</v>
      </c>
      <c r="Z571" s="2037">
        <v>0</v>
      </c>
      <c r="AA571" s="2037">
        <v>0</v>
      </c>
      <c r="AB571" s="2037">
        <v>0</v>
      </c>
      <c r="AC571" s="2037">
        <v>0</v>
      </c>
      <c r="AD571" s="99">
        <f>SUM(R571,S571,T571)</f>
        <v>0</v>
      </c>
      <c r="AE571" s="17">
        <f t="shared" si="1177"/>
        <v>0</v>
      </c>
      <c r="AF571" s="17">
        <f t="shared" si="1178"/>
        <v>0</v>
      </c>
      <c r="AG571" s="17">
        <f t="shared" si="1179"/>
        <v>0</v>
      </c>
      <c r="AH571" s="17">
        <f>AD571+AE571</f>
        <v>0</v>
      </c>
      <c r="AI571" s="17">
        <f>AG571+AF571</f>
        <v>0</v>
      </c>
      <c r="AJ571" s="17">
        <f>AH571+AI571</f>
        <v>0</v>
      </c>
      <c r="AL571" s="17">
        <f ca="1">SUM((INDIRECT(AL$2&amp;(ROW())):INDIRECT(AL$3&amp;(ROW()))))</f>
        <v>0</v>
      </c>
      <c r="AM571" s="17">
        <f ca="1">SUM(INDIRECT(AM$1&amp;AM$2&amp;$C571):INDIRECT(AM$1&amp;AM$3&amp;$C571))</f>
        <v>0</v>
      </c>
      <c r="AN571" s="876">
        <f t="shared" ca="1" si="1142"/>
        <v>0</v>
      </c>
      <c r="AO571" s="927">
        <f t="shared" ca="1" si="1143"/>
        <v>0</v>
      </c>
      <c r="AP571" s="17">
        <f ca="1">SUM(INDIRECT(AP$1&amp;AP$2&amp;$A571):INDIRECT(AP$1&amp;AP$3&amp;$A571))</f>
        <v>0</v>
      </c>
      <c r="AQ571" s="876">
        <f t="shared" ca="1" si="1144"/>
        <v>0</v>
      </c>
      <c r="AR571" s="927">
        <f t="shared" ca="1" si="1145"/>
        <v>0</v>
      </c>
      <c r="AT571" s="17">
        <f ca="1">SUM((INDIRECT(AT$2&amp;(ROW())):INDIRECT(AT$3&amp;(ROW()))))</f>
        <v>0</v>
      </c>
      <c r="AU571" s="17">
        <f ca="1">SUM(INDIRECT(AU$1&amp;AU$2&amp;$C571):INDIRECT(AU$1&amp;AU$3&amp;$C571))</f>
        <v>0</v>
      </c>
      <c r="AV571" s="876">
        <f t="shared" ca="1" si="1146"/>
        <v>0</v>
      </c>
      <c r="AW571" s="927">
        <f t="shared" ca="1" si="1147"/>
        <v>0</v>
      </c>
      <c r="AX571" s="17">
        <f ca="1">SUM(INDIRECT(AX$1&amp;AX$2&amp;$A571):INDIRECT(AX$1&amp;AX$3&amp;$A571))</f>
        <v>0</v>
      </c>
      <c r="AY571" s="876">
        <f t="shared" ca="1" si="1148"/>
        <v>0</v>
      </c>
      <c r="AZ571" s="927">
        <f t="shared" ca="1" si="1149"/>
        <v>0</v>
      </c>
      <c r="BB571" s="17">
        <f ca="1">SUM((INDIRECT(BB$2&amp;(ROW())):INDIRECT(BB$3&amp;(ROW()))))</f>
        <v>0</v>
      </c>
      <c r="BC571" s="17">
        <f ca="1">SUM(INDIRECT(BC$1&amp;BC$2&amp;$C571):INDIRECT(BC$1&amp;BC$3&amp;$C571))</f>
        <v>0</v>
      </c>
      <c r="BD571" s="876">
        <f t="shared" ca="1" si="1150"/>
        <v>0</v>
      </c>
      <c r="BE571" s="927">
        <f t="shared" ca="1" si="1151"/>
        <v>0</v>
      </c>
      <c r="BF571" s="17">
        <f ca="1">SUM(INDIRECT(BF$1&amp;BF$2&amp;$A571):INDIRECT(BF$1&amp;BF$3&amp;$A571))</f>
        <v>0</v>
      </c>
      <c r="BG571" s="876">
        <f t="shared" ca="1" si="1152"/>
        <v>0</v>
      </c>
      <c r="BH571" s="927">
        <f t="shared" ca="1" si="1153"/>
        <v>0</v>
      </c>
    </row>
    <row r="572" spans="1:60" ht="14.5">
      <c r="A572" s="990">
        <f t="shared" si="1106"/>
        <v>507</v>
      </c>
      <c r="B572" s="990">
        <v>1</v>
      </c>
      <c r="C572" s="990">
        <f t="shared" si="1069"/>
        <v>569</v>
      </c>
      <c r="E572" s="1243">
        <v>1</v>
      </c>
      <c r="I572" s="79"/>
      <c r="J572" s="78"/>
      <c r="K572" s="69"/>
      <c r="L572" s="69"/>
      <c r="M572" s="71" t="s">
        <v>338</v>
      </c>
      <c r="N572" s="362"/>
      <c r="O572" s="362"/>
      <c r="P572" s="362"/>
      <c r="Q572" s="1843" t="str">
        <f>CHOOSE(2, "6722000003491", "S/GP (2) Net Sales Indirect NH")</f>
        <v>S/GP (2) Net Sales Indirect NH</v>
      </c>
      <c r="R572" s="2054">
        <f>R573+R576</f>
        <v>51086</v>
      </c>
      <c r="S572" s="361">
        <f t="shared" ref="S572:AC572" si="1180">S573+S576</f>
        <v>42640</v>
      </c>
      <c r="T572" s="361">
        <f t="shared" si="1180"/>
        <v>50077</v>
      </c>
      <c r="U572" s="361">
        <f t="shared" si="1180"/>
        <v>47818</v>
      </c>
      <c r="V572" s="361">
        <f t="shared" si="1180"/>
        <v>36455.847000000002</v>
      </c>
      <c r="W572" s="361">
        <f t="shared" si="1180"/>
        <v>29329</v>
      </c>
      <c r="X572" s="361">
        <f t="shared" si="1180"/>
        <v>44253</v>
      </c>
      <c r="Y572" s="361">
        <f t="shared" si="1180"/>
        <v>40654</v>
      </c>
      <c r="Z572" s="361">
        <f t="shared" si="1180"/>
        <v>46500</v>
      </c>
      <c r="AA572" s="361">
        <f t="shared" si="1180"/>
        <v>48019</v>
      </c>
      <c r="AB572" s="361">
        <f t="shared" si="1180"/>
        <v>73701</v>
      </c>
      <c r="AC572" s="361">
        <f t="shared" si="1180"/>
        <v>47200</v>
      </c>
      <c r="AD572" s="375">
        <f t="shared" ref="AD572:AJ572" si="1181">AD573+AD576</f>
        <v>143803</v>
      </c>
      <c r="AE572" s="361">
        <f t="shared" si="1181"/>
        <v>113602.84700000001</v>
      </c>
      <c r="AF572" s="361">
        <f t="shared" si="1181"/>
        <v>131407</v>
      </c>
      <c r="AG572" s="361">
        <f t="shared" si="1181"/>
        <v>168920</v>
      </c>
      <c r="AH572" s="361">
        <f t="shared" si="1181"/>
        <v>257405.84700000001</v>
      </c>
      <c r="AI572" s="361">
        <f t="shared" si="1181"/>
        <v>300327</v>
      </c>
      <c r="AJ572" s="361">
        <f t="shared" si="1181"/>
        <v>557732.84700000007</v>
      </c>
      <c r="AL572" s="361">
        <f ca="1">SUM((INDIRECT(AL$2&amp;(ROW())):INDIRECT(AL$3&amp;(ROW()))))</f>
        <v>47200</v>
      </c>
      <c r="AM572" s="361">
        <f ca="1">SUM(INDIRECT(AM$1&amp;AM$2&amp;$C572):INDIRECT(AM$1&amp;AM$3&amp;$C572))</f>
        <v>0</v>
      </c>
      <c r="AN572" s="901">
        <f t="shared" ca="1" si="1142"/>
        <v>47200</v>
      </c>
      <c r="AO572" s="962">
        <f t="shared" ca="1" si="1143"/>
        <v>0</v>
      </c>
      <c r="AP572" s="361">
        <f ca="1">SUM(INDIRECT(AP$1&amp;AP$2&amp;$A572):INDIRECT(AP$1&amp;AP$3&amp;$A572))</f>
        <v>41463</v>
      </c>
      <c r="AQ572" s="901">
        <f t="shared" ca="1" si="1144"/>
        <v>5737</v>
      </c>
      <c r="AR572" s="962">
        <f t="shared" ca="1" si="1145"/>
        <v>1.1383643248197188</v>
      </c>
      <c r="AT572" s="361">
        <f ca="1">SUM((INDIRECT(AT$2&amp;(ROW())):INDIRECT(AT$3&amp;(ROW()))))</f>
        <v>168920</v>
      </c>
      <c r="AU572" s="361">
        <f ca="1">SUM(INDIRECT(AU$1&amp;AU$2&amp;$C572):INDIRECT(AU$1&amp;AU$3&amp;$C572))</f>
        <v>0</v>
      </c>
      <c r="AV572" s="901">
        <f t="shared" ca="1" si="1146"/>
        <v>168920</v>
      </c>
      <c r="AW572" s="962">
        <f t="shared" ca="1" si="1147"/>
        <v>0</v>
      </c>
      <c r="AX572" s="361">
        <f ca="1">SUM(INDIRECT(AX$1&amp;AX$2&amp;$A572):INDIRECT(AX$1&amp;AX$3&amp;$A572))</f>
        <v>116849</v>
      </c>
      <c r="AY572" s="901">
        <f t="shared" ca="1" si="1148"/>
        <v>52071</v>
      </c>
      <c r="AZ572" s="962">
        <f t="shared" ca="1" si="1149"/>
        <v>1.4456264067300533</v>
      </c>
      <c r="BB572" s="361">
        <f ca="1">SUM((INDIRECT(BB$2&amp;(ROW())):INDIRECT(BB$3&amp;(ROW()))))</f>
        <v>557732.84700000007</v>
      </c>
      <c r="BC572" s="361">
        <f ca="1">SUM(INDIRECT(BC$1&amp;BC$2&amp;$C572):INDIRECT(BC$1&amp;BC$3&amp;$C572))</f>
        <v>0</v>
      </c>
      <c r="BD572" s="901">
        <f t="shared" ca="1" si="1150"/>
        <v>557732.84700000007</v>
      </c>
      <c r="BE572" s="962">
        <f t="shared" ca="1" si="1151"/>
        <v>0</v>
      </c>
      <c r="BF572" s="361">
        <f ca="1">SUM(INDIRECT(BF$1&amp;BF$2&amp;$A572):INDIRECT(BF$1&amp;BF$3&amp;$A572))</f>
        <v>403097</v>
      </c>
      <c r="BG572" s="901">
        <f t="shared" ca="1" si="1152"/>
        <v>154635.84700000007</v>
      </c>
      <c r="BH572" s="962">
        <f t="shared" ca="1" si="1153"/>
        <v>1.3836194439551772</v>
      </c>
    </row>
    <row r="573" spans="1:60" ht="14.5">
      <c r="A573" s="990">
        <f t="shared" si="1106"/>
        <v>508</v>
      </c>
      <c r="B573" s="990">
        <v>1</v>
      </c>
      <c r="C573" s="990">
        <f t="shared" si="1069"/>
        <v>570</v>
      </c>
      <c r="E573" s="1243">
        <v>1</v>
      </c>
      <c r="I573" s="79"/>
      <c r="J573" s="78"/>
      <c r="K573" s="69"/>
      <c r="L573" s="69"/>
      <c r="N573" s="111" t="s">
        <v>336</v>
      </c>
      <c r="O573" s="111"/>
      <c r="P573" s="1500"/>
      <c r="Q573" s="1843" t="str">
        <f>CHOOSE(2, "6722000003492", "S/GP (2) Net Sales Indirect NH KMI")</f>
        <v>S/GP (2) Net Sales Indirect NH KMI</v>
      </c>
      <c r="R573" s="2219">
        <f>SUM(R574:R575)</f>
        <v>51086</v>
      </c>
      <c r="S573" s="64">
        <f t="shared" ref="S573:AC573" si="1182">SUM(S574:S575)</f>
        <v>42640</v>
      </c>
      <c r="T573" s="64">
        <f t="shared" si="1182"/>
        <v>50077</v>
      </c>
      <c r="U573" s="64">
        <f t="shared" si="1182"/>
        <v>47818</v>
      </c>
      <c r="V573" s="64">
        <f t="shared" si="1182"/>
        <v>36455.847000000002</v>
      </c>
      <c r="W573" s="64">
        <f t="shared" si="1182"/>
        <v>29329</v>
      </c>
      <c r="X573" s="64">
        <f t="shared" si="1182"/>
        <v>44253</v>
      </c>
      <c r="Y573" s="64">
        <f t="shared" si="1182"/>
        <v>40654</v>
      </c>
      <c r="Z573" s="64">
        <f t="shared" si="1182"/>
        <v>46500</v>
      </c>
      <c r="AA573" s="64">
        <f t="shared" si="1182"/>
        <v>48019</v>
      </c>
      <c r="AB573" s="64">
        <f>SUM(AB574:AB575)</f>
        <v>73701</v>
      </c>
      <c r="AC573" s="64">
        <f t="shared" si="1182"/>
        <v>47200</v>
      </c>
      <c r="AD573" s="1545">
        <f t="shared" ref="AD573:AJ573" si="1183">SUM(AD574:AD575)</f>
        <v>143803</v>
      </c>
      <c r="AE573" s="64">
        <f t="shared" si="1183"/>
        <v>113602.84700000001</v>
      </c>
      <c r="AF573" s="64">
        <f t="shared" si="1183"/>
        <v>131407</v>
      </c>
      <c r="AG573" s="64">
        <f t="shared" si="1183"/>
        <v>168920</v>
      </c>
      <c r="AH573" s="64">
        <f t="shared" si="1183"/>
        <v>257405.84700000001</v>
      </c>
      <c r="AI573" s="64">
        <f t="shared" si="1183"/>
        <v>300327</v>
      </c>
      <c r="AJ573" s="64">
        <f t="shared" si="1183"/>
        <v>557732.84700000007</v>
      </c>
      <c r="AL573" s="64">
        <f ca="1">SUM((INDIRECT(AL$2&amp;(ROW())):INDIRECT(AL$3&amp;(ROW()))))</f>
        <v>47200</v>
      </c>
      <c r="AM573" s="64">
        <f ca="1">SUM(INDIRECT(AM$1&amp;AM$2&amp;$C573):INDIRECT(AM$1&amp;AM$3&amp;$C573))</f>
        <v>0</v>
      </c>
      <c r="AN573" s="902">
        <f t="shared" ca="1" si="1142"/>
        <v>47200</v>
      </c>
      <c r="AO573" s="963">
        <f t="shared" ca="1" si="1143"/>
        <v>0</v>
      </c>
      <c r="AP573" s="64">
        <f ca="1">SUM(INDIRECT(AP$1&amp;AP$2&amp;$A573):INDIRECT(AP$1&amp;AP$3&amp;$A573))</f>
        <v>41463</v>
      </c>
      <c r="AQ573" s="902">
        <f t="shared" ca="1" si="1144"/>
        <v>5737</v>
      </c>
      <c r="AR573" s="963">
        <f t="shared" ca="1" si="1145"/>
        <v>1.1383643248197188</v>
      </c>
      <c r="AT573" s="64">
        <f ca="1">SUM((INDIRECT(AT$2&amp;(ROW())):INDIRECT(AT$3&amp;(ROW()))))</f>
        <v>168920</v>
      </c>
      <c r="AU573" s="64">
        <f ca="1">SUM(INDIRECT(AU$1&amp;AU$2&amp;$C573):INDIRECT(AU$1&amp;AU$3&amp;$C573))</f>
        <v>0</v>
      </c>
      <c r="AV573" s="902">
        <f t="shared" ca="1" si="1146"/>
        <v>168920</v>
      </c>
      <c r="AW573" s="963">
        <f t="shared" ca="1" si="1147"/>
        <v>0</v>
      </c>
      <c r="AX573" s="64">
        <f ca="1">SUM(INDIRECT(AX$1&amp;AX$2&amp;$A573):INDIRECT(AX$1&amp;AX$3&amp;$A573))</f>
        <v>116849</v>
      </c>
      <c r="AY573" s="902">
        <f t="shared" ca="1" si="1148"/>
        <v>52071</v>
      </c>
      <c r="AZ573" s="963">
        <f t="shared" ca="1" si="1149"/>
        <v>1.4456264067300533</v>
      </c>
      <c r="BB573" s="64">
        <f ca="1">SUM((INDIRECT(BB$2&amp;(ROW())):INDIRECT(BB$3&amp;(ROW()))))</f>
        <v>557732.84700000007</v>
      </c>
      <c r="BC573" s="64">
        <f ca="1">SUM(INDIRECT(BC$1&amp;BC$2&amp;$C573):INDIRECT(BC$1&amp;BC$3&amp;$C573))</f>
        <v>0</v>
      </c>
      <c r="BD573" s="902">
        <f t="shared" ca="1" si="1150"/>
        <v>557732.84700000007</v>
      </c>
      <c r="BE573" s="963">
        <f t="shared" ca="1" si="1151"/>
        <v>0</v>
      </c>
      <c r="BF573" s="64">
        <f ca="1">SUM(INDIRECT(BF$1&amp;BF$2&amp;$A573):INDIRECT(BF$1&amp;BF$3&amp;$A573))</f>
        <v>403097</v>
      </c>
      <c r="BG573" s="902">
        <f t="shared" ca="1" si="1152"/>
        <v>154635.84700000007</v>
      </c>
      <c r="BH573" s="963">
        <f t="shared" ca="1" si="1153"/>
        <v>1.3836194439551772</v>
      </c>
    </row>
    <row r="574" spans="1:60" ht="14.5">
      <c r="A574" s="990">
        <f t="shared" si="1106"/>
        <v>509</v>
      </c>
      <c r="B574" s="990">
        <v>1</v>
      </c>
      <c r="C574" s="990">
        <f t="shared" si="1069"/>
        <v>571</v>
      </c>
      <c r="E574" s="1243">
        <v>1</v>
      </c>
      <c r="I574" s="79"/>
      <c r="J574" s="78"/>
      <c r="K574" s="69"/>
      <c r="L574" s="69"/>
      <c r="P574" s="111" t="s">
        <v>339</v>
      </c>
      <c r="Q574" s="1845" t="str">
        <f>CHOOSE(2, "6722000003493", "S/GP (2) Net Sales Indirect NH KMI Consumables")</f>
        <v>S/GP (2) Net Sales Indirect NH KMI Consumables</v>
      </c>
      <c r="R574" s="2055">
        <v>51086</v>
      </c>
      <c r="S574" s="2042">
        <v>42640</v>
      </c>
      <c r="T574" s="2042">
        <v>50077</v>
      </c>
      <c r="U574" s="2042">
        <v>47818</v>
      </c>
      <c r="V574" s="2042">
        <v>36455.847000000002</v>
      </c>
      <c r="W574" s="2042">
        <v>29329</v>
      </c>
      <c r="X574" s="2042">
        <v>44253</v>
      </c>
      <c r="Y574" s="2042">
        <v>40654</v>
      </c>
      <c r="Z574" s="2042">
        <v>46500</v>
      </c>
      <c r="AA574" s="2042">
        <v>48019</v>
      </c>
      <c r="AB574" s="2042">
        <v>73701</v>
      </c>
      <c r="AC574" s="2042">
        <v>47200</v>
      </c>
      <c r="AD574" s="376">
        <f>SUM(R574,S574,T574)</f>
        <v>143803</v>
      </c>
      <c r="AE574" s="109">
        <f t="shared" ref="AE574:AE576" si="1184">SUM(U574,V574,W574)</f>
        <v>113602.84700000001</v>
      </c>
      <c r="AF574" s="109">
        <f t="shared" ref="AF574:AF576" si="1185">SUM(X574,Y574,Z574)</f>
        <v>131407</v>
      </c>
      <c r="AG574" s="109">
        <f t="shared" ref="AG574:AG576" si="1186">SUM(AA574,AB574,AC574)</f>
        <v>168920</v>
      </c>
      <c r="AH574" s="109">
        <f>AD574+AE574</f>
        <v>257405.84700000001</v>
      </c>
      <c r="AI574" s="109">
        <f>AG574+AF574</f>
        <v>300327</v>
      </c>
      <c r="AJ574" s="109">
        <f>AH574+AI574</f>
        <v>557732.84700000007</v>
      </c>
      <c r="AL574" s="109">
        <f ca="1">SUM((INDIRECT(AL$2&amp;(ROW())):INDIRECT(AL$3&amp;(ROW()))))</f>
        <v>47200</v>
      </c>
      <c r="AM574" s="109">
        <f ca="1">SUM(INDIRECT(AM$1&amp;AM$2&amp;$C574):INDIRECT(AM$1&amp;AM$3&amp;$C574))</f>
        <v>0</v>
      </c>
      <c r="AN574" s="892">
        <f t="shared" ca="1" si="1142"/>
        <v>47200</v>
      </c>
      <c r="AO574" s="953">
        <f t="shared" ca="1" si="1143"/>
        <v>0</v>
      </c>
      <c r="AP574" s="109">
        <f ca="1">SUM(INDIRECT(AP$1&amp;AP$2&amp;$A574):INDIRECT(AP$1&amp;AP$3&amp;$A574))</f>
        <v>41463</v>
      </c>
      <c r="AQ574" s="892">
        <f t="shared" ca="1" si="1144"/>
        <v>5737</v>
      </c>
      <c r="AR574" s="953">
        <f t="shared" ca="1" si="1145"/>
        <v>1.1383643248197188</v>
      </c>
      <c r="AT574" s="109">
        <f ca="1">SUM((INDIRECT(AT$2&amp;(ROW())):INDIRECT(AT$3&amp;(ROW()))))</f>
        <v>168920</v>
      </c>
      <c r="AU574" s="109">
        <f ca="1">SUM(INDIRECT(AU$1&amp;AU$2&amp;$C574):INDIRECT(AU$1&amp;AU$3&amp;$C574))</f>
        <v>0</v>
      </c>
      <c r="AV574" s="892">
        <f t="shared" ca="1" si="1146"/>
        <v>168920</v>
      </c>
      <c r="AW574" s="953">
        <f t="shared" ca="1" si="1147"/>
        <v>0</v>
      </c>
      <c r="AX574" s="109">
        <f ca="1">SUM(INDIRECT(AX$1&amp;AX$2&amp;$A574):INDIRECT(AX$1&amp;AX$3&amp;$A574))</f>
        <v>116849</v>
      </c>
      <c r="AY574" s="892">
        <f t="shared" ca="1" si="1148"/>
        <v>52071</v>
      </c>
      <c r="AZ574" s="953">
        <f t="shared" ca="1" si="1149"/>
        <v>1.4456264067300533</v>
      </c>
      <c r="BB574" s="109">
        <f ca="1">SUM((INDIRECT(BB$2&amp;(ROW())):INDIRECT(BB$3&amp;(ROW()))))</f>
        <v>557732.84700000007</v>
      </c>
      <c r="BC574" s="109">
        <f ca="1">SUM(INDIRECT(BC$1&amp;BC$2&amp;$C574):INDIRECT(BC$1&amp;BC$3&amp;$C574))</f>
        <v>0</v>
      </c>
      <c r="BD574" s="892">
        <f t="shared" ca="1" si="1150"/>
        <v>557732.84700000007</v>
      </c>
      <c r="BE574" s="953">
        <f t="shared" ca="1" si="1151"/>
        <v>0</v>
      </c>
      <c r="BF574" s="109">
        <f ca="1">SUM(INDIRECT(BF$1&amp;BF$2&amp;$A574):INDIRECT(BF$1&amp;BF$3&amp;$A574))</f>
        <v>403097</v>
      </c>
      <c r="BG574" s="892">
        <f t="shared" ca="1" si="1152"/>
        <v>154635.84700000007</v>
      </c>
      <c r="BH574" s="953">
        <f t="shared" ca="1" si="1153"/>
        <v>1.3836194439551772</v>
      </c>
    </row>
    <row r="575" spans="1:60" ht="14.5">
      <c r="A575" s="990">
        <f t="shared" si="1106"/>
        <v>510</v>
      </c>
      <c r="B575" s="990">
        <v>1</v>
      </c>
      <c r="C575" s="990">
        <f t="shared" si="1069"/>
        <v>572</v>
      </c>
      <c r="E575" s="1243">
        <v>1</v>
      </c>
      <c r="I575" s="79"/>
      <c r="J575" s="78"/>
      <c r="K575" s="69"/>
      <c r="L575" s="69"/>
      <c r="N575" s="363"/>
      <c r="O575" s="363"/>
      <c r="P575" s="363" t="s">
        <v>340</v>
      </c>
      <c r="Q575" s="1845" t="str">
        <f>CHOOSE(2, "6722000003494", "S/GP (2) Net Sales Indirect NH KMI Parts")</f>
        <v>S/GP (2) Net Sales Indirect NH KMI Parts</v>
      </c>
      <c r="R575" s="2220">
        <v>0</v>
      </c>
      <c r="S575" s="2052">
        <v>0</v>
      </c>
      <c r="T575" s="2052">
        <v>0</v>
      </c>
      <c r="U575" s="2052">
        <v>0</v>
      </c>
      <c r="V575" s="2052">
        <v>0</v>
      </c>
      <c r="W575" s="2052">
        <v>0</v>
      </c>
      <c r="X575" s="2052">
        <v>0</v>
      </c>
      <c r="Y575" s="2052">
        <v>0</v>
      </c>
      <c r="Z575" s="2052">
        <v>0</v>
      </c>
      <c r="AA575" s="2052">
        <v>0</v>
      </c>
      <c r="AB575" s="2052">
        <v>0</v>
      </c>
      <c r="AC575" s="2052">
        <v>0</v>
      </c>
      <c r="AD575" s="408">
        <f>SUM(R575,S575,T575)</f>
        <v>0</v>
      </c>
      <c r="AE575" s="365">
        <f t="shared" si="1184"/>
        <v>0</v>
      </c>
      <c r="AF575" s="365">
        <f t="shared" si="1185"/>
        <v>0</v>
      </c>
      <c r="AG575" s="365">
        <f t="shared" si="1186"/>
        <v>0</v>
      </c>
      <c r="AH575" s="365">
        <f>AD575+AE575</f>
        <v>0</v>
      </c>
      <c r="AI575" s="365">
        <f>AG575+AF575</f>
        <v>0</v>
      </c>
      <c r="AJ575" s="365">
        <f>AH575+AI575</f>
        <v>0</v>
      </c>
      <c r="AL575" s="365">
        <f ca="1">SUM((INDIRECT(AL$2&amp;(ROW())):INDIRECT(AL$3&amp;(ROW()))))</f>
        <v>0</v>
      </c>
      <c r="AM575" s="365">
        <f ca="1">SUM(INDIRECT(AM$1&amp;AM$2&amp;$C575):INDIRECT(AM$1&amp;AM$3&amp;$C575))</f>
        <v>0</v>
      </c>
      <c r="AN575" s="891">
        <f t="shared" ca="1" si="1142"/>
        <v>0</v>
      </c>
      <c r="AO575" s="952">
        <f t="shared" ca="1" si="1143"/>
        <v>0</v>
      </c>
      <c r="AP575" s="365">
        <f ca="1">SUM(INDIRECT(AP$1&amp;AP$2&amp;$A575):INDIRECT(AP$1&amp;AP$3&amp;$A575))</f>
        <v>0</v>
      </c>
      <c r="AQ575" s="891">
        <f t="shared" ca="1" si="1144"/>
        <v>0</v>
      </c>
      <c r="AR575" s="952">
        <f t="shared" ca="1" si="1145"/>
        <v>0</v>
      </c>
      <c r="AT575" s="365">
        <f ca="1">SUM((INDIRECT(AT$2&amp;(ROW())):INDIRECT(AT$3&amp;(ROW()))))</f>
        <v>0</v>
      </c>
      <c r="AU575" s="365">
        <f ca="1">SUM(INDIRECT(AU$1&amp;AU$2&amp;$C575):INDIRECT(AU$1&amp;AU$3&amp;$C575))</f>
        <v>0</v>
      </c>
      <c r="AV575" s="891">
        <f t="shared" ca="1" si="1146"/>
        <v>0</v>
      </c>
      <c r="AW575" s="952">
        <f t="shared" ca="1" si="1147"/>
        <v>0</v>
      </c>
      <c r="AX575" s="365">
        <f ca="1">SUM(INDIRECT(AX$1&amp;AX$2&amp;$A575):INDIRECT(AX$1&amp;AX$3&amp;$A575))</f>
        <v>0</v>
      </c>
      <c r="AY575" s="891">
        <f t="shared" ca="1" si="1148"/>
        <v>0</v>
      </c>
      <c r="AZ575" s="952">
        <f t="shared" ca="1" si="1149"/>
        <v>0</v>
      </c>
      <c r="BB575" s="365">
        <f ca="1">SUM((INDIRECT(BB$2&amp;(ROW())):INDIRECT(BB$3&amp;(ROW()))))</f>
        <v>0</v>
      </c>
      <c r="BC575" s="365">
        <f ca="1">SUM(INDIRECT(BC$1&amp;BC$2&amp;$C575):INDIRECT(BC$1&amp;BC$3&amp;$C575))</f>
        <v>0</v>
      </c>
      <c r="BD575" s="891">
        <f t="shared" ca="1" si="1150"/>
        <v>0</v>
      </c>
      <c r="BE575" s="952">
        <f t="shared" ca="1" si="1151"/>
        <v>0</v>
      </c>
      <c r="BF575" s="365">
        <f ca="1">SUM(INDIRECT(BF$1&amp;BF$2&amp;$A575):INDIRECT(BF$1&amp;BF$3&amp;$A575))</f>
        <v>0</v>
      </c>
      <c r="BG575" s="891">
        <f t="shared" ca="1" si="1152"/>
        <v>0</v>
      </c>
      <c r="BH575" s="952">
        <f t="shared" ca="1" si="1153"/>
        <v>0</v>
      </c>
    </row>
    <row r="576" spans="1:60" ht="14.5">
      <c r="A576" s="990">
        <f t="shared" si="1106"/>
        <v>511</v>
      </c>
      <c r="B576" s="990">
        <v>1</v>
      </c>
      <c r="C576" s="990">
        <f t="shared" si="1069"/>
        <v>573</v>
      </c>
      <c r="E576" s="1243">
        <v>1</v>
      </c>
      <c r="I576" s="79"/>
      <c r="J576" s="78"/>
      <c r="K576" s="69"/>
      <c r="L576" s="69"/>
      <c r="N576" s="366" t="s">
        <v>337</v>
      </c>
      <c r="O576" s="366"/>
      <c r="P576" s="366"/>
      <c r="Q576" s="1845" t="str">
        <f>CHOOSE(2, "6722000003495", "S/GP (2) Net Sales Indirect NH 3rd Party")</f>
        <v>S/GP (2) Net Sales Indirect NH 3rd Party</v>
      </c>
      <c r="R576" s="2221">
        <v>0</v>
      </c>
      <c r="S576" s="2053">
        <v>0</v>
      </c>
      <c r="T576" s="2053">
        <v>0</v>
      </c>
      <c r="U576" s="2053">
        <v>0</v>
      </c>
      <c r="V576" s="2053">
        <v>0</v>
      </c>
      <c r="W576" s="2053">
        <v>0</v>
      </c>
      <c r="X576" s="2053">
        <v>0</v>
      </c>
      <c r="Y576" s="2053">
        <v>0</v>
      </c>
      <c r="Z576" s="2053">
        <v>0</v>
      </c>
      <c r="AA576" s="2053">
        <v>0</v>
      </c>
      <c r="AB576" s="2053">
        <v>0</v>
      </c>
      <c r="AC576" s="2053">
        <v>0</v>
      </c>
      <c r="AD576" s="1546">
        <f>SUM(R576,S576,T576)</f>
        <v>0</v>
      </c>
      <c r="AE576" s="368">
        <f t="shared" si="1184"/>
        <v>0</v>
      </c>
      <c r="AF576" s="368">
        <f t="shared" si="1185"/>
        <v>0</v>
      </c>
      <c r="AG576" s="368">
        <f t="shared" si="1186"/>
        <v>0</v>
      </c>
      <c r="AH576" s="368">
        <f>AD576+AE576</f>
        <v>0</v>
      </c>
      <c r="AI576" s="368">
        <f>AG576+AF576</f>
        <v>0</v>
      </c>
      <c r="AJ576" s="368">
        <f>AH576+AI576</f>
        <v>0</v>
      </c>
      <c r="AL576" s="368">
        <f ca="1">SUM((INDIRECT(AL$2&amp;(ROW())):INDIRECT(AL$3&amp;(ROW()))))</f>
        <v>0</v>
      </c>
      <c r="AM576" s="368">
        <f ca="1">SUM(INDIRECT(AM$1&amp;AM$2&amp;$C576):INDIRECT(AM$1&amp;AM$3&amp;$C576))</f>
        <v>0</v>
      </c>
      <c r="AN576" s="903">
        <f t="shared" ca="1" si="1142"/>
        <v>0</v>
      </c>
      <c r="AO576" s="964">
        <f t="shared" ca="1" si="1143"/>
        <v>0</v>
      </c>
      <c r="AP576" s="368">
        <f ca="1">SUM(INDIRECT(AP$1&amp;AP$2&amp;$A576):INDIRECT(AP$1&amp;AP$3&amp;$A576))</f>
        <v>0</v>
      </c>
      <c r="AQ576" s="903">
        <f t="shared" ca="1" si="1144"/>
        <v>0</v>
      </c>
      <c r="AR576" s="964">
        <f t="shared" ca="1" si="1145"/>
        <v>0</v>
      </c>
      <c r="AT576" s="368">
        <f ca="1">SUM((INDIRECT(AT$2&amp;(ROW())):INDIRECT(AT$3&amp;(ROW()))))</f>
        <v>0</v>
      </c>
      <c r="AU576" s="368">
        <f ca="1">SUM(INDIRECT(AU$1&amp;AU$2&amp;$C576):INDIRECT(AU$1&amp;AU$3&amp;$C576))</f>
        <v>0</v>
      </c>
      <c r="AV576" s="903">
        <f t="shared" ca="1" si="1146"/>
        <v>0</v>
      </c>
      <c r="AW576" s="964">
        <f t="shared" ca="1" si="1147"/>
        <v>0</v>
      </c>
      <c r="AX576" s="368">
        <f ca="1">SUM(INDIRECT(AX$1&amp;AX$2&amp;$A576):INDIRECT(AX$1&amp;AX$3&amp;$A576))</f>
        <v>0</v>
      </c>
      <c r="AY576" s="903">
        <f t="shared" ca="1" si="1148"/>
        <v>0</v>
      </c>
      <c r="AZ576" s="964">
        <f t="shared" ca="1" si="1149"/>
        <v>0</v>
      </c>
      <c r="BB576" s="368">
        <f ca="1">SUM((INDIRECT(BB$2&amp;(ROW())):INDIRECT(BB$3&amp;(ROW()))))</f>
        <v>0</v>
      </c>
      <c r="BC576" s="368">
        <f ca="1">SUM(INDIRECT(BC$1&amp;BC$2&amp;$C576):INDIRECT(BC$1&amp;BC$3&amp;$C576))</f>
        <v>0</v>
      </c>
      <c r="BD576" s="903">
        <f t="shared" ca="1" si="1150"/>
        <v>0</v>
      </c>
      <c r="BE576" s="964">
        <f t="shared" ca="1" si="1151"/>
        <v>0</v>
      </c>
      <c r="BF576" s="368">
        <f ca="1">SUM(INDIRECT(BF$1&amp;BF$2&amp;$A576):INDIRECT(BF$1&amp;BF$3&amp;$A576))</f>
        <v>0</v>
      </c>
      <c r="BG576" s="903">
        <f t="shared" ca="1" si="1152"/>
        <v>0</v>
      </c>
      <c r="BH576" s="964">
        <f t="shared" ca="1" si="1153"/>
        <v>0</v>
      </c>
    </row>
    <row r="577" spans="1:60" ht="14.5">
      <c r="A577" s="990">
        <f t="shared" si="1106"/>
        <v>512</v>
      </c>
      <c r="B577" s="990">
        <v>1</v>
      </c>
      <c r="C577" s="990">
        <f t="shared" si="1069"/>
        <v>574</v>
      </c>
      <c r="E577" s="1243">
        <v>1</v>
      </c>
      <c r="I577" s="79"/>
      <c r="J577" s="78"/>
      <c r="K577" s="69"/>
      <c r="L577" s="69"/>
      <c r="M577" s="71" t="s">
        <v>341</v>
      </c>
      <c r="N577" s="362"/>
      <c r="O577" s="362"/>
      <c r="P577" s="362"/>
      <c r="Q577" s="1843" t="str">
        <f>CHOOSE(2, "6722000003496", "S/GP (2) Net Sales Indirect Solution")</f>
        <v>S/GP (2) Net Sales Indirect Solution</v>
      </c>
      <c r="R577" s="2054">
        <f>SUM(R578:R581)</f>
        <v>0</v>
      </c>
      <c r="S577" s="361">
        <f t="shared" ref="S577:AC577" si="1187">SUM(S578:S581)</f>
        <v>0</v>
      </c>
      <c r="T577" s="361">
        <f t="shared" si="1187"/>
        <v>0</v>
      </c>
      <c r="U577" s="361">
        <f t="shared" si="1187"/>
        <v>0</v>
      </c>
      <c r="V577" s="361">
        <f t="shared" si="1187"/>
        <v>0</v>
      </c>
      <c r="W577" s="361">
        <f t="shared" si="1187"/>
        <v>0</v>
      </c>
      <c r="X577" s="361">
        <f t="shared" si="1187"/>
        <v>0</v>
      </c>
      <c r="Y577" s="361">
        <f t="shared" si="1187"/>
        <v>0</v>
      </c>
      <c r="Z577" s="361">
        <f t="shared" si="1187"/>
        <v>0</v>
      </c>
      <c r="AA577" s="361">
        <f t="shared" si="1187"/>
        <v>0</v>
      </c>
      <c r="AB577" s="361">
        <f t="shared" si="1187"/>
        <v>0</v>
      </c>
      <c r="AC577" s="361">
        <f t="shared" si="1187"/>
        <v>0</v>
      </c>
      <c r="AD577" s="375">
        <f t="shared" ref="AD577:AJ577" si="1188">SUM(AD578:AD581)</f>
        <v>0</v>
      </c>
      <c r="AE577" s="361">
        <f t="shared" si="1188"/>
        <v>0</v>
      </c>
      <c r="AF577" s="361">
        <f t="shared" si="1188"/>
        <v>0</v>
      </c>
      <c r="AG577" s="361">
        <f t="shared" si="1188"/>
        <v>0</v>
      </c>
      <c r="AH577" s="361">
        <f t="shared" si="1188"/>
        <v>0</v>
      </c>
      <c r="AI577" s="361">
        <f t="shared" si="1188"/>
        <v>0</v>
      </c>
      <c r="AJ577" s="361">
        <f t="shared" si="1188"/>
        <v>0</v>
      </c>
      <c r="AL577" s="361">
        <f ca="1">SUM((INDIRECT(AL$2&amp;(ROW())):INDIRECT(AL$3&amp;(ROW()))))</f>
        <v>0</v>
      </c>
      <c r="AM577" s="361">
        <f ca="1">SUM(INDIRECT(AM$1&amp;AM$2&amp;$C577):INDIRECT(AM$1&amp;AM$3&amp;$C577))</f>
        <v>0</v>
      </c>
      <c r="AN577" s="901">
        <f t="shared" ca="1" si="1142"/>
        <v>0</v>
      </c>
      <c r="AO577" s="962">
        <f t="shared" ca="1" si="1143"/>
        <v>0</v>
      </c>
      <c r="AP577" s="361">
        <f ca="1">SUM(INDIRECT(AP$1&amp;AP$2&amp;$A577):INDIRECT(AP$1&amp;AP$3&amp;$A577))</f>
        <v>0</v>
      </c>
      <c r="AQ577" s="901">
        <f t="shared" ca="1" si="1144"/>
        <v>0</v>
      </c>
      <c r="AR577" s="962">
        <f t="shared" ca="1" si="1145"/>
        <v>0</v>
      </c>
      <c r="AT577" s="361">
        <f ca="1">SUM((INDIRECT(AT$2&amp;(ROW())):INDIRECT(AT$3&amp;(ROW()))))</f>
        <v>0</v>
      </c>
      <c r="AU577" s="361">
        <f ca="1">SUM(INDIRECT(AU$1&amp;AU$2&amp;$C577):INDIRECT(AU$1&amp;AU$3&amp;$C577))</f>
        <v>0</v>
      </c>
      <c r="AV577" s="901">
        <f t="shared" ca="1" si="1146"/>
        <v>0</v>
      </c>
      <c r="AW577" s="962">
        <f t="shared" ca="1" si="1147"/>
        <v>0</v>
      </c>
      <c r="AX577" s="361">
        <f ca="1">SUM(INDIRECT(AX$1&amp;AX$2&amp;$A577):INDIRECT(AX$1&amp;AX$3&amp;$A577))</f>
        <v>0</v>
      </c>
      <c r="AY577" s="901">
        <f t="shared" ca="1" si="1148"/>
        <v>0</v>
      </c>
      <c r="AZ577" s="962">
        <f t="shared" ca="1" si="1149"/>
        <v>0</v>
      </c>
      <c r="BB577" s="361">
        <f ca="1">SUM((INDIRECT(BB$2&amp;(ROW())):INDIRECT(BB$3&amp;(ROW()))))</f>
        <v>0</v>
      </c>
      <c r="BC577" s="361">
        <f ca="1">SUM(INDIRECT(BC$1&amp;BC$2&amp;$C577):INDIRECT(BC$1&amp;BC$3&amp;$C577))</f>
        <v>0</v>
      </c>
      <c r="BD577" s="901">
        <f t="shared" ca="1" si="1150"/>
        <v>0</v>
      </c>
      <c r="BE577" s="962">
        <f t="shared" ca="1" si="1151"/>
        <v>0</v>
      </c>
      <c r="BF577" s="361">
        <f ca="1">SUM(INDIRECT(BF$1&amp;BF$2&amp;$A577):INDIRECT(BF$1&amp;BF$3&amp;$A577))</f>
        <v>0</v>
      </c>
      <c r="BG577" s="901">
        <f t="shared" ca="1" si="1152"/>
        <v>0</v>
      </c>
      <c r="BH577" s="962">
        <f t="shared" ca="1" si="1153"/>
        <v>0</v>
      </c>
    </row>
    <row r="578" spans="1:60" ht="14.5">
      <c r="A578" s="990">
        <f t="shared" si="1106"/>
        <v>513</v>
      </c>
      <c r="B578" s="990">
        <v>1</v>
      </c>
      <c r="C578" s="990">
        <f t="shared" ref="C578:C641" si="1189">ROW()-3</f>
        <v>575</v>
      </c>
      <c r="E578" s="1243">
        <v>1</v>
      </c>
      <c r="I578" s="79"/>
      <c r="J578" s="78"/>
      <c r="K578" s="69"/>
      <c r="L578" s="69"/>
      <c r="N578" s="111"/>
      <c r="O578" s="111"/>
      <c r="P578" s="111" t="s">
        <v>342</v>
      </c>
      <c r="Q578" s="1845" t="str">
        <f>CHOOSE(2, "6722000003497", "S/GP (2) Net Sales Indirect Solution HWware")</f>
        <v>S/GP (2) Net Sales Indirect Solution HWware</v>
      </c>
      <c r="R578" s="2055">
        <v>0</v>
      </c>
      <c r="S578" s="2042">
        <v>0</v>
      </c>
      <c r="T578" s="2042">
        <v>0</v>
      </c>
      <c r="U578" s="2042">
        <v>0</v>
      </c>
      <c r="V578" s="2042">
        <v>0</v>
      </c>
      <c r="W578" s="2042">
        <v>0</v>
      </c>
      <c r="X578" s="2042">
        <v>0</v>
      </c>
      <c r="Y578" s="2042">
        <v>0</v>
      </c>
      <c r="Z578" s="2042">
        <v>0</v>
      </c>
      <c r="AA578" s="2042">
        <v>0</v>
      </c>
      <c r="AB578" s="2042">
        <v>0</v>
      </c>
      <c r="AC578" s="2042">
        <v>0</v>
      </c>
      <c r="AD578" s="376">
        <f>SUM(R578,S578,T578)</f>
        <v>0</v>
      </c>
      <c r="AE578" s="109">
        <f t="shared" ref="AE578:AE582" si="1190">SUM(U578,V578,W578)</f>
        <v>0</v>
      </c>
      <c r="AF578" s="109">
        <f t="shared" ref="AF578:AF582" si="1191">SUM(X578,Y578,Z578)</f>
        <v>0</v>
      </c>
      <c r="AG578" s="109">
        <f t="shared" ref="AG578:AG582" si="1192">SUM(AA578,AB578,AC578)</f>
        <v>0</v>
      </c>
      <c r="AH578" s="109">
        <f>AD578+AE578</f>
        <v>0</v>
      </c>
      <c r="AI578" s="109">
        <f>AG578+AF578</f>
        <v>0</v>
      </c>
      <c r="AJ578" s="109">
        <f>AH578+AI578</f>
        <v>0</v>
      </c>
      <c r="AL578" s="109">
        <f ca="1">SUM((INDIRECT(AL$2&amp;(ROW())):INDIRECT(AL$3&amp;(ROW()))))</f>
        <v>0</v>
      </c>
      <c r="AM578" s="109">
        <f ca="1">SUM(INDIRECT(AM$1&amp;AM$2&amp;$C578):INDIRECT(AM$1&amp;AM$3&amp;$C578))</f>
        <v>0</v>
      </c>
      <c r="AN578" s="892">
        <f t="shared" ca="1" si="1142"/>
        <v>0</v>
      </c>
      <c r="AO578" s="953">
        <f t="shared" ca="1" si="1143"/>
        <v>0</v>
      </c>
      <c r="AP578" s="109">
        <f ca="1">SUM(INDIRECT(AP$1&amp;AP$2&amp;$A578):INDIRECT(AP$1&amp;AP$3&amp;$A578))</f>
        <v>0</v>
      </c>
      <c r="AQ578" s="892">
        <f t="shared" ca="1" si="1144"/>
        <v>0</v>
      </c>
      <c r="AR578" s="953">
        <f t="shared" ca="1" si="1145"/>
        <v>0</v>
      </c>
      <c r="AT578" s="109">
        <f ca="1">SUM((INDIRECT(AT$2&amp;(ROW())):INDIRECT(AT$3&amp;(ROW()))))</f>
        <v>0</v>
      </c>
      <c r="AU578" s="109">
        <f ca="1">SUM(INDIRECT(AU$1&amp;AU$2&amp;$C578):INDIRECT(AU$1&amp;AU$3&amp;$C578))</f>
        <v>0</v>
      </c>
      <c r="AV578" s="892">
        <f t="shared" ca="1" si="1146"/>
        <v>0</v>
      </c>
      <c r="AW578" s="953">
        <f t="shared" ca="1" si="1147"/>
        <v>0</v>
      </c>
      <c r="AX578" s="109">
        <f ca="1">SUM(INDIRECT(AX$1&amp;AX$2&amp;$A578):INDIRECT(AX$1&amp;AX$3&amp;$A578))</f>
        <v>0</v>
      </c>
      <c r="AY578" s="892">
        <f t="shared" ca="1" si="1148"/>
        <v>0</v>
      </c>
      <c r="AZ578" s="953">
        <f t="shared" ca="1" si="1149"/>
        <v>0</v>
      </c>
      <c r="BB578" s="109">
        <f ca="1">SUM((INDIRECT(BB$2&amp;(ROW())):INDIRECT(BB$3&amp;(ROW()))))</f>
        <v>0</v>
      </c>
      <c r="BC578" s="109">
        <f ca="1">SUM(INDIRECT(BC$1&amp;BC$2&amp;$C578):INDIRECT(BC$1&amp;BC$3&amp;$C578))</f>
        <v>0</v>
      </c>
      <c r="BD578" s="892">
        <f t="shared" ca="1" si="1150"/>
        <v>0</v>
      </c>
      <c r="BE578" s="953">
        <f t="shared" ca="1" si="1151"/>
        <v>0</v>
      </c>
      <c r="BF578" s="109">
        <f ca="1">SUM(INDIRECT(BF$1&amp;BF$2&amp;$A578):INDIRECT(BF$1&amp;BF$3&amp;$A578))</f>
        <v>0</v>
      </c>
      <c r="BG578" s="892">
        <f t="shared" ca="1" si="1152"/>
        <v>0</v>
      </c>
      <c r="BH578" s="953">
        <f t="shared" ca="1" si="1153"/>
        <v>0</v>
      </c>
    </row>
    <row r="579" spans="1:60" ht="14.5">
      <c r="A579" s="990">
        <f t="shared" si="1106"/>
        <v>514</v>
      </c>
      <c r="B579" s="990">
        <v>1</v>
      </c>
      <c r="C579" s="990">
        <f t="shared" si="1189"/>
        <v>576</v>
      </c>
      <c r="E579" s="1243">
        <v>1</v>
      </c>
      <c r="I579" s="79"/>
      <c r="J579" s="78"/>
      <c r="K579" s="69"/>
      <c r="L579" s="69"/>
      <c r="P579" s="9" t="s">
        <v>343</v>
      </c>
      <c r="Q579" s="1845" t="str">
        <f>CHOOSE(2, "6722000003498", "S/GP (2) Net Sales Indirect Solution Software")</f>
        <v>S/GP (2) Net Sales Indirect Solution Software</v>
      </c>
      <c r="R579" s="2040">
        <v>0</v>
      </c>
      <c r="S579" s="2036">
        <v>0</v>
      </c>
      <c r="T579" s="2036">
        <v>0</v>
      </c>
      <c r="U579" s="2036">
        <v>0</v>
      </c>
      <c r="V579" s="2036">
        <v>0</v>
      </c>
      <c r="W579" s="2036">
        <v>0</v>
      </c>
      <c r="X579" s="2036">
        <v>0</v>
      </c>
      <c r="Y579" s="2036">
        <v>0</v>
      </c>
      <c r="Z579" s="2036">
        <v>0</v>
      </c>
      <c r="AA579" s="2036">
        <v>0</v>
      </c>
      <c r="AB579" s="2036">
        <v>0</v>
      </c>
      <c r="AC579" s="2036">
        <v>0</v>
      </c>
      <c r="AD579" s="100">
        <f>SUM(R579,S579,T579)</f>
        <v>0</v>
      </c>
      <c r="AE579" s="19">
        <f t="shared" si="1190"/>
        <v>0</v>
      </c>
      <c r="AF579" s="19">
        <f t="shared" si="1191"/>
        <v>0</v>
      </c>
      <c r="AG579" s="19">
        <f t="shared" si="1192"/>
        <v>0</v>
      </c>
      <c r="AH579" s="19">
        <f>AD579+AE579</f>
        <v>0</v>
      </c>
      <c r="AI579" s="19">
        <f>AG579+AF579</f>
        <v>0</v>
      </c>
      <c r="AJ579" s="19">
        <f>AH579+AI579</f>
        <v>0</v>
      </c>
      <c r="AL579" s="19">
        <f ca="1">SUM((INDIRECT(AL$2&amp;(ROW())):INDIRECT(AL$3&amp;(ROW()))))</f>
        <v>0</v>
      </c>
      <c r="AM579" s="19">
        <f ca="1">SUM(INDIRECT(AM$1&amp;AM$2&amp;$C579):INDIRECT(AM$1&amp;AM$3&amp;$C579))</f>
        <v>0</v>
      </c>
      <c r="AN579" s="875">
        <f t="shared" ca="1" si="1142"/>
        <v>0</v>
      </c>
      <c r="AO579" s="926">
        <f t="shared" ca="1" si="1143"/>
        <v>0</v>
      </c>
      <c r="AP579" s="19">
        <f ca="1">SUM(INDIRECT(AP$1&amp;AP$2&amp;$A579):INDIRECT(AP$1&amp;AP$3&amp;$A579))</f>
        <v>0</v>
      </c>
      <c r="AQ579" s="875">
        <f t="shared" ca="1" si="1144"/>
        <v>0</v>
      </c>
      <c r="AR579" s="926">
        <f t="shared" ca="1" si="1145"/>
        <v>0</v>
      </c>
      <c r="AT579" s="19">
        <f ca="1">SUM((INDIRECT(AT$2&amp;(ROW())):INDIRECT(AT$3&amp;(ROW()))))</f>
        <v>0</v>
      </c>
      <c r="AU579" s="19">
        <f ca="1">SUM(INDIRECT(AU$1&amp;AU$2&amp;$C579):INDIRECT(AU$1&amp;AU$3&amp;$C579))</f>
        <v>0</v>
      </c>
      <c r="AV579" s="875">
        <f t="shared" ca="1" si="1146"/>
        <v>0</v>
      </c>
      <c r="AW579" s="926">
        <f t="shared" ca="1" si="1147"/>
        <v>0</v>
      </c>
      <c r="AX579" s="19">
        <f ca="1">SUM(INDIRECT(AX$1&amp;AX$2&amp;$A579):INDIRECT(AX$1&amp;AX$3&amp;$A579))</f>
        <v>0</v>
      </c>
      <c r="AY579" s="875">
        <f t="shared" ca="1" si="1148"/>
        <v>0</v>
      </c>
      <c r="AZ579" s="926">
        <f t="shared" ca="1" si="1149"/>
        <v>0</v>
      </c>
      <c r="BB579" s="19">
        <f ca="1">SUM((INDIRECT(BB$2&amp;(ROW())):INDIRECT(BB$3&amp;(ROW()))))</f>
        <v>0</v>
      </c>
      <c r="BC579" s="19">
        <f ca="1">SUM(INDIRECT(BC$1&amp;BC$2&amp;$C579):INDIRECT(BC$1&amp;BC$3&amp;$C579))</f>
        <v>0</v>
      </c>
      <c r="BD579" s="875">
        <f t="shared" ca="1" si="1150"/>
        <v>0</v>
      </c>
      <c r="BE579" s="926">
        <f t="shared" ca="1" si="1151"/>
        <v>0</v>
      </c>
      <c r="BF579" s="19">
        <f ca="1">SUM(INDIRECT(BF$1&amp;BF$2&amp;$A579):INDIRECT(BF$1&amp;BF$3&amp;$A579))</f>
        <v>0</v>
      </c>
      <c r="BG579" s="875">
        <f t="shared" ca="1" si="1152"/>
        <v>0</v>
      </c>
      <c r="BH579" s="926">
        <f t="shared" ca="1" si="1153"/>
        <v>0</v>
      </c>
    </row>
    <row r="580" spans="1:60" ht="14.5">
      <c r="A580" s="990">
        <f t="shared" si="1106"/>
        <v>515</v>
      </c>
      <c r="B580" s="990">
        <v>1</v>
      </c>
      <c r="C580" s="990">
        <f t="shared" si="1189"/>
        <v>577</v>
      </c>
      <c r="E580" s="1243">
        <v>1</v>
      </c>
      <c r="I580" s="79"/>
      <c r="J580" s="78"/>
      <c r="K580" s="69"/>
      <c r="L580" s="69"/>
      <c r="P580" s="9" t="s">
        <v>344</v>
      </c>
      <c r="Q580" s="1845" t="str">
        <f>CHOOSE(2, "6722000003499", "S/GP (2) Net Sales Indirect Solution Professional Service")</f>
        <v>S/GP (2) Net Sales Indirect Solution Professional Service</v>
      </c>
      <c r="R580" s="2040">
        <v>0</v>
      </c>
      <c r="S580" s="2036">
        <v>0</v>
      </c>
      <c r="T580" s="2036">
        <v>0</v>
      </c>
      <c r="U580" s="2036">
        <v>0</v>
      </c>
      <c r="V580" s="2036">
        <v>0</v>
      </c>
      <c r="W580" s="2036">
        <v>0</v>
      </c>
      <c r="X580" s="2036">
        <v>0</v>
      </c>
      <c r="Y580" s="2036">
        <v>0</v>
      </c>
      <c r="Z580" s="2036">
        <v>0</v>
      </c>
      <c r="AA580" s="2036">
        <v>0</v>
      </c>
      <c r="AB580" s="2036">
        <v>0</v>
      </c>
      <c r="AC580" s="2036">
        <v>0</v>
      </c>
      <c r="AD580" s="100">
        <f>SUM(R580,S580,T580)</f>
        <v>0</v>
      </c>
      <c r="AE580" s="19">
        <f t="shared" si="1190"/>
        <v>0</v>
      </c>
      <c r="AF580" s="19">
        <f t="shared" si="1191"/>
        <v>0</v>
      </c>
      <c r="AG580" s="19">
        <f t="shared" si="1192"/>
        <v>0</v>
      </c>
      <c r="AH580" s="19">
        <f>AD580+AE580</f>
        <v>0</v>
      </c>
      <c r="AI580" s="19">
        <f>AG580+AF580</f>
        <v>0</v>
      </c>
      <c r="AJ580" s="19">
        <f>AH580+AI580</f>
        <v>0</v>
      </c>
      <c r="AL580" s="19">
        <f ca="1">SUM((INDIRECT(AL$2&amp;(ROW())):INDIRECT(AL$3&amp;(ROW()))))</f>
        <v>0</v>
      </c>
      <c r="AM580" s="19">
        <f ca="1">SUM(INDIRECT(AM$1&amp;AM$2&amp;$C580):INDIRECT(AM$1&amp;AM$3&amp;$C580))</f>
        <v>0</v>
      </c>
      <c r="AN580" s="875">
        <f t="shared" ca="1" si="1142"/>
        <v>0</v>
      </c>
      <c r="AO580" s="926">
        <f t="shared" ca="1" si="1143"/>
        <v>0</v>
      </c>
      <c r="AP580" s="19">
        <f ca="1">SUM(INDIRECT(AP$1&amp;AP$2&amp;$A580):INDIRECT(AP$1&amp;AP$3&amp;$A580))</f>
        <v>0</v>
      </c>
      <c r="AQ580" s="875">
        <f t="shared" ca="1" si="1144"/>
        <v>0</v>
      </c>
      <c r="AR580" s="926">
        <f t="shared" ca="1" si="1145"/>
        <v>0</v>
      </c>
      <c r="AT580" s="19">
        <f ca="1">SUM((INDIRECT(AT$2&amp;(ROW())):INDIRECT(AT$3&amp;(ROW()))))</f>
        <v>0</v>
      </c>
      <c r="AU580" s="19">
        <f ca="1">SUM(INDIRECT(AU$1&amp;AU$2&amp;$C580):INDIRECT(AU$1&amp;AU$3&amp;$C580))</f>
        <v>0</v>
      </c>
      <c r="AV580" s="875">
        <f t="shared" ca="1" si="1146"/>
        <v>0</v>
      </c>
      <c r="AW580" s="926">
        <f t="shared" ca="1" si="1147"/>
        <v>0</v>
      </c>
      <c r="AX580" s="19">
        <f ca="1">SUM(INDIRECT(AX$1&amp;AX$2&amp;$A580):INDIRECT(AX$1&amp;AX$3&amp;$A580))</f>
        <v>0</v>
      </c>
      <c r="AY580" s="875">
        <f t="shared" ca="1" si="1148"/>
        <v>0</v>
      </c>
      <c r="AZ580" s="926">
        <f t="shared" ca="1" si="1149"/>
        <v>0</v>
      </c>
      <c r="BB580" s="19">
        <f ca="1">SUM((INDIRECT(BB$2&amp;(ROW())):INDIRECT(BB$3&amp;(ROW()))))</f>
        <v>0</v>
      </c>
      <c r="BC580" s="19">
        <f ca="1">SUM(INDIRECT(BC$1&amp;BC$2&amp;$C580):INDIRECT(BC$1&amp;BC$3&amp;$C580))</f>
        <v>0</v>
      </c>
      <c r="BD580" s="875">
        <f t="shared" ca="1" si="1150"/>
        <v>0</v>
      </c>
      <c r="BE580" s="926">
        <f t="shared" ca="1" si="1151"/>
        <v>0</v>
      </c>
      <c r="BF580" s="19">
        <f ca="1">SUM(INDIRECT(BF$1&amp;BF$2&amp;$A580):INDIRECT(BF$1&amp;BF$3&amp;$A580))</f>
        <v>0</v>
      </c>
      <c r="BG580" s="875">
        <f t="shared" ca="1" si="1152"/>
        <v>0</v>
      </c>
      <c r="BH580" s="926">
        <f t="shared" ca="1" si="1153"/>
        <v>0</v>
      </c>
    </row>
    <row r="581" spans="1:60" ht="14.5">
      <c r="A581" s="990">
        <f t="shared" si="1106"/>
        <v>516</v>
      </c>
      <c r="B581" s="990">
        <v>1</v>
      </c>
      <c r="C581" s="990">
        <f t="shared" si="1189"/>
        <v>578</v>
      </c>
      <c r="E581" s="1243">
        <v>1</v>
      </c>
      <c r="I581" s="79"/>
      <c r="J581" s="78"/>
      <c r="K581" s="69"/>
      <c r="L581" s="69"/>
      <c r="N581" s="12"/>
      <c r="O581" s="12"/>
      <c r="P581" s="12" t="s">
        <v>345</v>
      </c>
      <c r="Q581" s="1845" t="str">
        <f>CHOOSE(2, "6722000003500", "S/GP (2) Net Sales Indirect Solution Others")</f>
        <v>S/GP (2) Net Sales Indirect Solution Others</v>
      </c>
      <c r="R581" s="2041">
        <v>0</v>
      </c>
      <c r="S581" s="2037">
        <v>0</v>
      </c>
      <c r="T581" s="2037">
        <v>0</v>
      </c>
      <c r="U581" s="2037">
        <v>0</v>
      </c>
      <c r="V581" s="2037">
        <v>0</v>
      </c>
      <c r="W581" s="2037">
        <v>0</v>
      </c>
      <c r="X581" s="2037">
        <v>0</v>
      </c>
      <c r="Y581" s="2037">
        <v>0</v>
      </c>
      <c r="Z581" s="2037">
        <v>0</v>
      </c>
      <c r="AA581" s="2037">
        <v>0</v>
      </c>
      <c r="AB581" s="2037">
        <v>0</v>
      </c>
      <c r="AC581" s="2037">
        <v>0</v>
      </c>
      <c r="AD581" s="99">
        <f>SUM(R581,S581,T581)</f>
        <v>0</v>
      </c>
      <c r="AE581" s="17">
        <f t="shared" si="1190"/>
        <v>0</v>
      </c>
      <c r="AF581" s="17">
        <f t="shared" si="1191"/>
        <v>0</v>
      </c>
      <c r="AG581" s="17">
        <f t="shared" si="1192"/>
        <v>0</v>
      </c>
      <c r="AH581" s="17">
        <f>AD581+AE581</f>
        <v>0</v>
      </c>
      <c r="AI581" s="17">
        <f>AG581+AF581</f>
        <v>0</v>
      </c>
      <c r="AJ581" s="17">
        <f>AH581+AI581</f>
        <v>0</v>
      </c>
      <c r="AL581" s="17">
        <f ca="1">SUM((INDIRECT(AL$2&amp;(ROW())):INDIRECT(AL$3&amp;(ROW()))))</f>
        <v>0</v>
      </c>
      <c r="AM581" s="17">
        <f ca="1">SUM(INDIRECT(AM$1&amp;AM$2&amp;$C581):INDIRECT(AM$1&amp;AM$3&amp;$C581))</f>
        <v>0</v>
      </c>
      <c r="AN581" s="876">
        <f t="shared" ca="1" si="1142"/>
        <v>0</v>
      </c>
      <c r="AO581" s="927">
        <f t="shared" ca="1" si="1143"/>
        <v>0</v>
      </c>
      <c r="AP581" s="17">
        <f ca="1">SUM(INDIRECT(AP$1&amp;AP$2&amp;$A581):INDIRECT(AP$1&amp;AP$3&amp;$A581))</f>
        <v>0</v>
      </c>
      <c r="AQ581" s="876">
        <f t="shared" ca="1" si="1144"/>
        <v>0</v>
      </c>
      <c r="AR581" s="927">
        <f t="shared" ca="1" si="1145"/>
        <v>0</v>
      </c>
      <c r="AT581" s="17">
        <f ca="1">SUM((INDIRECT(AT$2&amp;(ROW())):INDIRECT(AT$3&amp;(ROW()))))</f>
        <v>0</v>
      </c>
      <c r="AU581" s="17">
        <f ca="1">SUM(INDIRECT(AU$1&amp;AU$2&amp;$C581):INDIRECT(AU$1&amp;AU$3&amp;$C581))</f>
        <v>0</v>
      </c>
      <c r="AV581" s="876">
        <f t="shared" ca="1" si="1146"/>
        <v>0</v>
      </c>
      <c r="AW581" s="927">
        <f t="shared" ca="1" si="1147"/>
        <v>0</v>
      </c>
      <c r="AX581" s="17">
        <f ca="1">SUM(INDIRECT(AX$1&amp;AX$2&amp;$A581):INDIRECT(AX$1&amp;AX$3&amp;$A581))</f>
        <v>0</v>
      </c>
      <c r="AY581" s="876">
        <f t="shared" ca="1" si="1148"/>
        <v>0</v>
      </c>
      <c r="AZ581" s="927">
        <f t="shared" ca="1" si="1149"/>
        <v>0</v>
      </c>
      <c r="BB581" s="17">
        <f ca="1">SUM((INDIRECT(BB$2&amp;(ROW())):INDIRECT(BB$3&amp;(ROW()))))</f>
        <v>0</v>
      </c>
      <c r="BC581" s="17">
        <f ca="1">SUM(INDIRECT(BC$1&amp;BC$2&amp;$C581):INDIRECT(BC$1&amp;BC$3&amp;$C581))</f>
        <v>0</v>
      </c>
      <c r="BD581" s="876">
        <f t="shared" ca="1" si="1150"/>
        <v>0</v>
      </c>
      <c r="BE581" s="927">
        <f t="shared" ca="1" si="1151"/>
        <v>0</v>
      </c>
      <c r="BF581" s="17">
        <f ca="1">SUM(INDIRECT(BF$1&amp;BF$2&amp;$A581):INDIRECT(BF$1&amp;BF$3&amp;$A581))</f>
        <v>0</v>
      </c>
      <c r="BG581" s="876">
        <f t="shared" ca="1" si="1152"/>
        <v>0</v>
      </c>
      <c r="BH581" s="927">
        <f t="shared" ca="1" si="1153"/>
        <v>0</v>
      </c>
    </row>
    <row r="582" spans="1:60" ht="14.5">
      <c r="A582" s="990">
        <f t="shared" si="1106"/>
        <v>517</v>
      </c>
      <c r="B582" s="990">
        <v>1</v>
      </c>
      <c r="C582" s="990">
        <f t="shared" si="1189"/>
        <v>579</v>
      </c>
      <c r="E582" s="1243">
        <v>1</v>
      </c>
      <c r="I582" s="79"/>
      <c r="J582" s="78"/>
      <c r="K582" s="68"/>
      <c r="L582" s="68"/>
      <c r="M582" s="22" t="s">
        <v>345</v>
      </c>
      <c r="N582" s="12"/>
      <c r="O582" s="12"/>
      <c r="P582" s="12"/>
      <c r="Q582" s="1845" t="str">
        <f>CHOOSE(2, "6722000003501", "S/GP (2) Net Sales Indirect Others")</f>
        <v>S/GP (2) Net Sales Indirect Others</v>
      </c>
      <c r="R582" s="2088"/>
      <c r="S582" s="2088"/>
      <c r="T582" s="2088"/>
      <c r="U582" s="2037">
        <v>0</v>
      </c>
      <c r="V582" s="2037">
        <v>0</v>
      </c>
      <c r="W582" s="2037">
        <v>0</v>
      </c>
      <c r="X582" s="2037">
        <v>0</v>
      </c>
      <c r="Y582" s="2037">
        <v>0</v>
      </c>
      <c r="Z582" s="2037">
        <v>0</v>
      </c>
      <c r="AA582" s="2037">
        <v>0</v>
      </c>
      <c r="AB582" s="2037">
        <v>0</v>
      </c>
      <c r="AC582" s="2037">
        <v>0</v>
      </c>
      <c r="AD582" s="99">
        <f>SUM(R582,S582,T582)</f>
        <v>0</v>
      </c>
      <c r="AE582" s="17">
        <f t="shared" si="1190"/>
        <v>0</v>
      </c>
      <c r="AF582" s="17">
        <f t="shared" si="1191"/>
        <v>0</v>
      </c>
      <c r="AG582" s="17">
        <f t="shared" si="1192"/>
        <v>0</v>
      </c>
      <c r="AH582" s="17">
        <f>AD582+AE582</f>
        <v>0</v>
      </c>
      <c r="AI582" s="17">
        <f>AG582+AF582</f>
        <v>0</v>
      </c>
      <c r="AJ582" s="17">
        <f>AH582+AI582</f>
        <v>0</v>
      </c>
      <c r="AL582" s="17">
        <f ca="1">SUM((INDIRECT(AL$2&amp;(ROW())):INDIRECT(AL$3&amp;(ROW()))))</f>
        <v>0</v>
      </c>
      <c r="AM582" s="17">
        <f ca="1">SUM(INDIRECT(AM$1&amp;AM$2&amp;$C582):INDIRECT(AM$1&amp;AM$3&amp;$C582))</f>
        <v>0</v>
      </c>
      <c r="AN582" s="876">
        <f t="shared" ca="1" si="1142"/>
        <v>0</v>
      </c>
      <c r="AO582" s="927">
        <f t="shared" ca="1" si="1143"/>
        <v>0</v>
      </c>
      <c r="AP582" s="17">
        <f ca="1">SUM(INDIRECT(AP$1&amp;AP$2&amp;$A582):INDIRECT(AP$1&amp;AP$3&amp;$A582))</f>
        <v>0</v>
      </c>
      <c r="AQ582" s="876">
        <f t="shared" ca="1" si="1144"/>
        <v>0</v>
      </c>
      <c r="AR582" s="927">
        <f t="shared" ca="1" si="1145"/>
        <v>0</v>
      </c>
      <c r="AT582" s="17">
        <f ca="1">SUM((INDIRECT(AT$2&amp;(ROW())):INDIRECT(AT$3&amp;(ROW()))))</f>
        <v>0</v>
      </c>
      <c r="AU582" s="17">
        <f ca="1">SUM(INDIRECT(AU$1&amp;AU$2&amp;$C582):INDIRECT(AU$1&amp;AU$3&amp;$C582))</f>
        <v>0</v>
      </c>
      <c r="AV582" s="876">
        <f t="shared" ca="1" si="1146"/>
        <v>0</v>
      </c>
      <c r="AW582" s="927">
        <f t="shared" ca="1" si="1147"/>
        <v>0</v>
      </c>
      <c r="AX582" s="17">
        <f ca="1">SUM(INDIRECT(AX$1&amp;AX$2&amp;$A582):INDIRECT(AX$1&amp;AX$3&amp;$A582))</f>
        <v>0</v>
      </c>
      <c r="AY582" s="876">
        <f t="shared" ca="1" si="1148"/>
        <v>0</v>
      </c>
      <c r="AZ582" s="927">
        <f t="shared" ca="1" si="1149"/>
        <v>0</v>
      </c>
      <c r="BB582" s="17">
        <f ca="1">SUM((INDIRECT(BB$2&amp;(ROW())):INDIRECT(BB$3&amp;(ROW()))))</f>
        <v>0</v>
      </c>
      <c r="BC582" s="17">
        <f ca="1">SUM(INDIRECT(BC$1&amp;BC$2&amp;$C582):INDIRECT(BC$1&amp;BC$3&amp;$C582))</f>
        <v>0</v>
      </c>
      <c r="BD582" s="876">
        <f t="shared" ca="1" si="1150"/>
        <v>0</v>
      </c>
      <c r="BE582" s="927">
        <f t="shared" ca="1" si="1151"/>
        <v>0</v>
      </c>
      <c r="BF582" s="17">
        <f ca="1">SUM(INDIRECT(BF$1&amp;BF$2&amp;$A582):INDIRECT(BF$1&amp;BF$3&amp;$A582))</f>
        <v>0</v>
      </c>
      <c r="BG582" s="876">
        <f t="shared" ca="1" si="1152"/>
        <v>0</v>
      </c>
      <c r="BH582" s="927">
        <f t="shared" ca="1" si="1153"/>
        <v>0</v>
      </c>
    </row>
    <row r="583" spans="1:60" ht="14.5">
      <c r="A583" s="990">
        <f t="shared" si="1106"/>
        <v>518</v>
      </c>
      <c r="B583" s="990">
        <v>1</v>
      </c>
      <c r="C583" s="990">
        <f t="shared" si="1189"/>
        <v>580</v>
      </c>
      <c r="E583" s="1243">
        <v>1</v>
      </c>
      <c r="I583" s="84" t="s">
        <v>224</v>
      </c>
      <c r="J583" s="83"/>
      <c r="K583" s="355"/>
      <c r="L583" s="355"/>
      <c r="M583" s="307"/>
      <c r="N583" s="307"/>
      <c r="O583" s="307"/>
      <c r="P583" s="612"/>
      <c r="Q583" s="1879" t="str">
        <f>CHOOSE(2, "6722000003502", "S/GP (2) Gross Profit")</f>
        <v>S/GP (2) Gross Profit</v>
      </c>
      <c r="R583" s="2051">
        <f t="shared" ref="R583:AC583" si="1193">R584+R607</f>
        <v>142665</v>
      </c>
      <c r="S583" s="2051">
        <f t="shared" si="1193"/>
        <v>141450</v>
      </c>
      <c r="T583" s="2051">
        <f t="shared" si="1193"/>
        <v>145026</v>
      </c>
      <c r="U583" s="2051">
        <f t="shared" si="1193"/>
        <v>165436</v>
      </c>
      <c r="V583" s="2051">
        <f t="shared" si="1193"/>
        <v>192046.95069008577</v>
      </c>
      <c r="W583" s="2051">
        <f t="shared" si="1193"/>
        <v>100777.25200000001</v>
      </c>
      <c r="X583" s="2051">
        <f t="shared" si="1193"/>
        <v>220153.25200000001</v>
      </c>
      <c r="Y583" s="2051">
        <f t="shared" si="1193"/>
        <v>168432</v>
      </c>
      <c r="Z583" s="2051">
        <f t="shared" si="1193"/>
        <v>167133</v>
      </c>
      <c r="AA583" s="2051">
        <f t="shared" si="1193"/>
        <v>204845</v>
      </c>
      <c r="AB583" s="2051">
        <f t="shared" si="1193"/>
        <v>190302.96372958334</v>
      </c>
      <c r="AC583" s="2051">
        <f t="shared" si="1193"/>
        <v>89819</v>
      </c>
      <c r="AD583" s="1544">
        <f t="shared" ref="AD583:AJ583" si="1194">AD584+AD607</f>
        <v>429141</v>
      </c>
      <c r="AE583" s="356">
        <f t="shared" si="1194"/>
        <v>458260.20269008575</v>
      </c>
      <c r="AF583" s="356">
        <f t="shared" si="1194"/>
        <v>555718.25199999998</v>
      </c>
      <c r="AG583" s="356">
        <f t="shared" si="1194"/>
        <v>484966.96372958331</v>
      </c>
      <c r="AH583" s="356">
        <f t="shared" si="1194"/>
        <v>887401.20269008575</v>
      </c>
      <c r="AI583" s="356">
        <f t="shared" si="1194"/>
        <v>1040685.2157295834</v>
      </c>
      <c r="AJ583" s="356">
        <f t="shared" si="1194"/>
        <v>1928086.4184196691</v>
      </c>
      <c r="AL583" s="2051">
        <f ca="1">SUM((INDIRECT(AL$2&amp;(ROW())):INDIRECT(AL$3&amp;(ROW()))))</f>
        <v>89819</v>
      </c>
      <c r="AM583" s="2051">
        <f ca="1">SUM(INDIRECT(AM$1&amp;AM$2&amp;$C583):INDIRECT(AM$1&amp;AM$3&amp;$C583))</f>
        <v>0</v>
      </c>
      <c r="AN583" s="2538">
        <f t="shared" ca="1" si="1142"/>
        <v>89819</v>
      </c>
      <c r="AO583" s="2539">
        <f t="shared" ca="1" si="1143"/>
        <v>0</v>
      </c>
      <c r="AP583" s="2051">
        <f ca="1">SUM(INDIRECT(AP$1&amp;AP$2&amp;$A583):INDIRECT(AP$1&amp;AP$3&amp;$A583))</f>
        <v>204900</v>
      </c>
      <c r="AQ583" s="2538">
        <f t="shared" ca="1" si="1144"/>
        <v>-115081</v>
      </c>
      <c r="AR583" s="2539">
        <f t="shared" ca="1" si="1145"/>
        <v>0.43835529526598338</v>
      </c>
      <c r="AT583" s="2051">
        <f ca="1">SUM((INDIRECT(AT$2&amp;(ROW())):INDIRECT(AT$3&amp;(ROW()))))</f>
        <v>484966.96372958331</v>
      </c>
      <c r="AU583" s="2051">
        <f ca="1">SUM(INDIRECT(AU$1&amp;AU$2&amp;$C583):INDIRECT(AU$1&amp;AU$3&amp;$C583))</f>
        <v>0</v>
      </c>
      <c r="AV583" s="2538">
        <f t="shared" ca="1" si="1146"/>
        <v>484966.96372958331</v>
      </c>
      <c r="AW583" s="2539">
        <f t="shared" ca="1" si="1147"/>
        <v>0</v>
      </c>
      <c r="AX583" s="2051">
        <f ca="1">SUM(INDIRECT(AX$1&amp;AX$2&amp;$A583):INDIRECT(AX$1&amp;AX$3&amp;$A583))</f>
        <v>473115</v>
      </c>
      <c r="AY583" s="2538">
        <f t="shared" ca="1" si="1148"/>
        <v>11851.963729583309</v>
      </c>
      <c r="AZ583" s="2539">
        <f t="shared" ca="1" si="1149"/>
        <v>1.0250509151677358</v>
      </c>
      <c r="BB583" s="2051">
        <f ca="1">SUM((INDIRECT(BB$2&amp;(ROW())):INDIRECT(BB$3&amp;(ROW()))))</f>
        <v>1928086.4184196691</v>
      </c>
      <c r="BC583" s="2051">
        <f ca="1">SUM(INDIRECT(BC$1&amp;BC$2&amp;$C583):INDIRECT(BC$1&amp;BC$3&amp;$C583))</f>
        <v>0</v>
      </c>
      <c r="BD583" s="2538">
        <f t="shared" ca="1" si="1150"/>
        <v>1928086.4184196691</v>
      </c>
      <c r="BE583" s="2539">
        <f t="shared" ca="1" si="1151"/>
        <v>0</v>
      </c>
      <c r="BF583" s="2051">
        <f ca="1">SUM(INDIRECT(BF$1&amp;BF$2&amp;$A583):INDIRECT(BF$1&amp;BF$3&amp;$A583))</f>
        <v>1663630</v>
      </c>
      <c r="BG583" s="2538">
        <f t="shared" ca="1" si="1152"/>
        <v>264456.41841966915</v>
      </c>
      <c r="BH583" s="2539">
        <f t="shared" ca="1" si="1153"/>
        <v>1.1589634825169475</v>
      </c>
    </row>
    <row r="584" spans="1:60" ht="14.5">
      <c r="A584" s="990">
        <f t="shared" si="1106"/>
        <v>519</v>
      </c>
      <c r="B584" s="990">
        <v>1</v>
      </c>
      <c r="C584" s="990">
        <f t="shared" si="1189"/>
        <v>581</v>
      </c>
      <c r="E584" s="1243">
        <v>1</v>
      </c>
      <c r="I584" s="79"/>
      <c r="J584" s="78"/>
      <c r="K584" s="74" t="s">
        <v>212</v>
      </c>
      <c r="L584" s="74"/>
      <c r="M584" s="357"/>
      <c r="N584" s="357"/>
      <c r="O584" s="357"/>
      <c r="P584" s="357"/>
      <c r="Q584" s="1878" t="str">
        <f>CHOOSE(2, "6722000003503", "S/GP (2) Gross Profit Direct")</f>
        <v>S/GP (2) Gross Profit Direct</v>
      </c>
      <c r="R584" s="359">
        <f>R585+R588+R601+R606</f>
        <v>123231</v>
      </c>
      <c r="S584" s="359">
        <f t="shared" ref="S584:AC584" si="1195">S585+S588+S601+S606</f>
        <v>126447</v>
      </c>
      <c r="T584" s="359">
        <f t="shared" si="1195"/>
        <v>129875</v>
      </c>
      <c r="U584" s="359">
        <f t="shared" si="1195"/>
        <v>144282</v>
      </c>
      <c r="V584" s="359">
        <f t="shared" si="1195"/>
        <v>174059.38558742512</v>
      </c>
      <c r="W584" s="359">
        <f t="shared" si="1195"/>
        <v>93658.252000000008</v>
      </c>
      <c r="X584" s="359">
        <f t="shared" si="1195"/>
        <v>199687.25200000001</v>
      </c>
      <c r="Y584" s="359">
        <f t="shared" si="1195"/>
        <v>150590</v>
      </c>
      <c r="Z584" s="359">
        <f t="shared" si="1195"/>
        <v>155379</v>
      </c>
      <c r="AA584" s="359">
        <f t="shared" si="1195"/>
        <v>186175</v>
      </c>
      <c r="AB584" s="359">
        <f t="shared" si="1195"/>
        <v>166099.85702958333</v>
      </c>
      <c r="AC584" s="359">
        <f t="shared" si="1195"/>
        <v>73638</v>
      </c>
      <c r="AD584" s="407">
        <f t="shared" ref="AD584:AJ584" si="1196">AD585+AD588+AD601+AD606</f>
        <v>379553</v>
      </c>
      <c r="AE584" s="359">
        <f t="shared" si="1196"/>
        <v>411999.63758742512</v>
      </c>
      <c r="AF584" s="359">
        <f t="shared" si="1196"/>
        <v>505656.25199999998</v>
      </c>
      <c r="AG584" s="359">
        <f t="shared" si="1196"/>
        <v>425912.85702958331</v>
      </c>
      <c r="AH584" s="359">
        <f t="shared" si="1196"/>
        <v>791552.63758742507</v>
      </c>
      <c r="AI584" s="359">
        <f t="shared" si="1196"/>
        <v>931569.1090295834</v>
      </c>
      <c r="AJ584" s="359">
        <f t="shared" si="1196"/>
        <v>1723121.7466170085</v>
      </c>
      <c r="AL584" s="359">
        <f ca="1">SUM((INDIRECT(AL$2&amp;(ROW())):INDIRECT(AL$3&amp;(ROW()))))</f>
        <v>73638</v>
      </c>
      <c r="AM584" s="359">
        <f ca="1">SUM(INDIRECT(AM$1&amp;AM$2&amp;$C584):INDIRECT(AM$1&amp;AM$3&amp;$C584))</f>
        <v>0</v>
      </c>
      <c r="AN584" s="900">
        <f t="shared" ref="AN584:AN615" ca="1" si="1197">AL584-AM584</f>
        <v>73638</v>
      </c>
      <c r="AO584" s="961">
        <f t="shared" ref="AO584:AO615" ca="1" si="1198">IFERROR(AL584/AM584,0)</f>
        <v>0</v>
      </c>
      <c r="AP584" s="359">
        <f ca="1">SUM(INDIRECT(AP$1&amp;AP$2&amp;$A584):INDIRECT(AP$1&amp;AP$3&amp;$A584))</f>
        <v>192945</v>
      </c>
      <c r="AQ584" s="900">
        <f t="shared" ref="AQ584:AQ615" ca="1" si="1199">AL584-AP584</f>
        <v>-119307</v>
      </c>
      <c r="AR584" s="961">
        <f t="shared" ref="AR584:AR615" ca="1" si="1200">IFERROR(AL584/AP584,0)</f>
        <v>0.38165280261214335</v>
      </c>
      <c r="AT584" s="359">
        <f ca="1">SUM((INDIRECT(AT$2&amp;(ROW())):INDIRECT(AT$3&amp;(ROW()))))</f>
        <v>425912.85702958331</v>
      </c>
      <c r="AU584" s="359">
        <f ca="1">SUM(INDIRECT(AU$1&amp;AU$2&amp;$C584):INDIRECT(AU$1&amp;AU$3&amp;$C584))</f>
        <v>0</v>
      </c>
      <c r="AV584" s="900">
        <f t="shared" ref="AV584:AV615" ca="1" si="1201">AT584-AU584</f>
        <v>425912.85702958331</v>
      </c>
      <c r="AW584" s="961">
        <f t="shared" ref="AW584:AW615" ca="1" si="1202">IFERROR(AT584/AU584,0)</f>
        <v>0</v>
      </c>
      <c r="AX584" s="359">
        <f ca="1">SUM(INDIRECT(AX$1&amp;AX$2&amp;$A584):INDIRECT(AX$1&amp;AX$3&amp;$A584))</f>
        <v>437773</v>
      </c>
      <c r="AY584" s="900">
        <f t="shared" ref="AY584:AY615" ca="1" si="1203">AT584-AX584</f>
        <v>-11860.142970416695</v>
      </c>
      <c r="AZ584" s="961">
        <f t="shared" ref="AZ584:AZ615" ca="1" si="1204">IFERROR(AT584/AX584,0)</f>
        <v>0.97290800718542103</v>
      </c>
      <c r="BB584" s="359">
        <f ca="1">SUM((INDIRECT(BB$2&amp;(ROW())):INDIRECT(BB$3&amp;(ROW()))))</f>
        <v>1723121.7466170085</v>
      </c>
      <c r="BC584" s="359">
        <f ca="1">SUM(INDIRECT(BC$1&amp;BC$2&amp;$C584):INDIRECT(BC$1&amp;BC$3&amp;$C584))</f>
        <v>0</v>
      </c>
      <c r="BD584" s="900">
        <f t="shared" ref="BD584:BD615" ca="1" si="1205">BB584-BC584</f>
        <v>1723121.7466170085</v>
      </c>
      <c r="BE584" s="961">
        <f t="shared" ref="BE584:BE615" ca="1" si="1206">IFERROR(BB584/BC584,0)</f>
        <v>0</v>
      </c>
      <c r="BF584" s="359">
        <f ca="1">SUM(INDIRECT(BF$1&amp;BF$2&amp;$A584):INDIRECT(BF$1&amp;BF$3&amp;$A584))</f>
        <v>1502166</v>
      </c>
      <c r="BG584" s="900">
        <f t="shared" ref="BG584:BG615" ca="1" si="1207">BB584-BF584</f>
        <v>220955.74661700847</v>
      </c>
      <c r="BH584" s="961">
        <f t="shared" ref="BH584:BH615" ca="1" si="1208">IFERROR(BB584/BF584,0)</f>
        <v>1.1470914310515672</v>
      </c>
    </row>
    <row r="585" spans="1:60" ht="14.5">
      <c r="A585" s="990">
        <f t="shared" si="1106"/>
        <v>520</v>
      </c>
      <c r="B585" s="990">
        <v>1</v>
      </c>
      <c r="C585" s="990">
        <f t="shared" si="1189"/>
        <v>582</v>
      </c>
      <c r="E585" s="1243">
        <v>1</v>
      </c>
      <c r="I585" s="79"/>
      <c r="J585" s="78"/>
      <c r="K585" s="74"/>
      <c r="L585" s="74"/>
      <c r="M585" s="9" t="s">
        <v>346</v>
      </c>
      <c r="N585" s="363"/>
      <c r="O585" s="363"/>
      <c r="P585" s="363"/>
      <c r="Q585" s="1843" t="str">
        <f>CHOOSE(2, "6722000003504", "S/GP (2) Gross Profit Direct HW")</f>
        <v>S/GP (2) Gross Profit Direct HW</v>
      </c>
      <c r="R585" s="2065">
        <f>SUM(R586:R587)</f>
        <v>36876</v>
      </c>
      <c r="S585" s="365">
        <f t="shared" ref="S585:AC585" si="1209">SUM(S586:S587)</f>
        <v>33128</v>
      </c>
      <c r="T585" s="365">
        <f t="shared" si="1209"/>
        <v>33993</v>
      </c>
      <c r="U585" s="365">
        <f t="shared" si="1209"/>
        <v>45586</v>
      </c>
      <c r="V585" s="365">
        <f t="shared" si="1209"/>
        <v>49772.13257300407</v>
      </c>
      <c r="W585" s="365">
        <f t="shared" si="1209"/>
        <v>43448</v>
      </c>
      <c r="X585" s="365">
        <f t="shared" si="1209"/>
        <v>64807</v>
      </c>
      <c r="Y585" s="365">
        <f t="shared" si="1209"/>
        <v>46291</v>
      </c>
      <c r="Z585" s="365">
        <f t="shared" si="1209"/>
        <v>43405</v>
      </c>
      <c r="AA585" s="365">
        <f t="shared" si="1209"/>
        <v>55552</v>
      </c>
      <c r="AB585" s="365">
        <f t="shared" si="1209"/>
        <v>53956.949029583338</v>
      </c>
      <c r="AC585" s="365">
        <f t="shared" si="1209"/>
        <v>31460</v>
      </c>
      <c r="AD585" s="408">
        <f>SUM(AD586:AD587)</f>
        <v>103997</v>
      </c>
      <c r="AE585" s="365">
        <f t="shared" ref="AE585:AJ585" si="1210">SUM(AE586:AE587)</f>
        <v>138806.13257300406</v>
      </c>
      <c r="AF585" s="365">
        <f t="shared" si="1210"/>
        <v>154503</v>
      </c>
      <c r="AG585" s="365">
        <f t="shared" si="1210"/>
        <v>140968.94902958334</v>
      </c>
      <c r="AH585" s="365">
        <f t="shared" si="1210"/>
        <v>242803.13257300406</v>
      </c>
      <c r="AI585" s="365">
        <f t="shared" si="1210"/>
        <v>295471.94902958337</v>
      </c>
      <c r="AJ585" s="365">
        <f t="shared" si="1210"/>
        <v>538275.08160258736</v>
      </c>
      <c r="AL585" s="365">
        <f ca="1">SUM((INDIRECT(AL$2&amp;(ROW())):INDIRECT(AL$3&amp;(ROW()))))</f>
        <v>31460</v>
      </c>
      <c r="AM585" s="365">
        <f ca="1">SUM(INDIRECT(AM$1&amp;AM$2&amp;$C585):INDIRECT(AM$1&amp;AM$3&amp;$C585))</f>
        <v>0</v>
      </c>
      <c r="AN585" s="891">
        <f t="shared" ca="1" si="1197"/>
        <v>31460</v>
      </c>
      <c r="AO585" s="952">
        <f t="shared" ca="1" si="1198"/>
        <v>0</v>
      </c>
      <c r="AP585" s="365">
        <f ca="1">SUM(INDIRECT(AP$1&amp;AP$2&amp;$A585):INDIRECT(AP$1&amp;AP$3&amp;$A585))</f>
        <v>49793</v>
      </c>
      <c r="AQ585" s="891">
        <f t="shared" ca="1" si="1199"/>
        <v>-18333</v>
      </c>
      <c r="AR585" s="952">
        <f t="shared" ca="1" si="1200"/>
        <v>0.63181571706866424</v>
      </c>
      <c r="AT585" s="365">
        <f ca="1">SUM((INDIRECT(AT$2&amp;(ROW())):INDIRECT(AT$3&amp;(ROW()))))</f>
        <v>140968.94902958334</v>
      </c>
      <c r="AU585" s="365">
        <f ca="1">SUM(INDIRECT(AU$1&amp;AU$2&amp;$C585):INDIRECT(AU$1&amp;AU$3&amp;$C585))</f>
        <v>0</v>
      </c>
      <c r="AV585" s="891">
        <f t="shared" ca="1" si="1201"/>
        <v>140968.94902958334</v>
      </c>
      <c r="AW585" s="952">
        <f t="shared" ca="1" si="1202"/>
        <v>0</v>
      </c>
      <c r="AX585" s="365">
        <f ca="1">SUM(INDIRECT(AX$1&amp;AX$2&amp;$A585):INDIRECT(AX$1&amp;AX$3&amp;$A585))</f>
        <v>90474</v>
      </c>
      <c r="AY585" s="891">
        <f t="shared" ca="1" si="1203"/>
        <v>50494.949029583338</v>
      </c>
      <c r="AZ585" s="952">
        <f t="shared" ca="1" si="1204"/>
        <v>1.5581155804936593</v>
      </c>
      <c r="BB585" s="365">
        <f ca="1">SUM((INDIRECT(BB$2&amp;(ROW())):INDIRECT(BB$3&amp;(ROW()))))</f>
        <v>538275.08160258736</v>
      </c>
      <c r="BC585" s="365">
        <f ca="1">SUM(INDIRECT(BC$1&amp;BC$2&amp;$C585):INDIRECT(BC$1&amp;BC$3&amp;$C585))</f>
        <v>0</v>
      </c>
      <c r="BD585" s="891">
        <f t="shared" ca="1" si="1205"/>
        <v>538275.08160258736</v>
      </c>
      <c r="BE585" s="952">
        <f t="shared" ca="1" si="1206"/>
        <v>0</v>
      </c>
      <c r="BF585" s="365">
        <f ca="1">SUM(INDIRECT(BF$1&amp;BF$2&amp;$A585):INDIRECT(BF$1&amp;BF$3&amp;$A585))</f>
        <v>309183</v>
      </c>
      <c r="BG585" s="891">
        <f t="shared" ca="1" si="1207"/>
        <v>229092.08160258736</v>
      </c>
      <c r="BH585" s="952">
        <f t="shared" ca="1" si="1208"/>
        <v>1.7409595016627284</v>
      </c>
    </row>
    <row r="586" spans="1:60" ht="14.5">
      <c r="A586" s="990">
        <f t="shared" si="1106"/>
        <v>521</v>
      </c>
      <c r="B586" s="990">
        <v>1</v>
      </c>
      <c r="C586" s="990">
        <f t="shared" si="1189"/>
        <v>583</v>
      </c>
      <c r="E586" s="1243">
        <v>1</v>
      </c>
      <c r="I586" s="79"/>
      <c r="J586" s="78"/>
      <c r="K586" s="74"/>
      <c r="L586" s="74"/>
      <c r="N586" s="111" t="s">
        <v>347</v>
      </c>
      <c r="O586" s="111"/>
      <c r="P586" s="111"/>
      <c r="Q586" s="1845" t="str">
        <f>CHOOSE(2, "6722000003505", "S/GP (2) Gross Profit Direct HW KMI")</f>
        <v>S/GP (2) Gross Profit Direct HW KMI</v>
      </c>
      <c r="R586" s="2055">
        <v>36876</v>
      </c>
      <c r="S586" s="2042">
        <v>33128</v>
      </c>
      <c r="T586" s="2042">
        <v>33993</v>
      </c>
      <c r="U586" s="2042">
        <v>45586</v>
      </c>
      <c r="V586" s="2042">
        <v>49772.13257300407</v>
      </c>
      <c r="W586" s="2042">
        <v>43448</v>
      </c>
      <c r="X586" s="2042">
        <v>64807</v>
      </c>
      <c r="Y586" s="2042">
        <v>46291</v>
      </c>
      <c r="Z586" s="2042">
        <v>43405</v>
      </c>
      <c r="AA586" s="2042">
        <v>55552</v>
      </c>
      <c r="AB586" s="2042">
        <v>53956.949029583338</v>
      </c>
      <c r="AC586" s="2042">
        <v>31460</v>
      </c>
      <c r="AD586" s="376">
        <f>SUM(R586,S586,T586)</f>
        <v>103997</v>
      </c>
      <c r="AE586" s="109">
        <f t="shared" ref="AE586:AE587" si="1211">SUM(U586,V586,W586)</f>
        <v>138806.13257300406</v>
      </c>
      <c r="AF586" s="109">
        <f t="shared" ref="AF586:AF587" si="1212">SUM(X586,Y586,Z586)</f>
        <v>154503</v>
      </c>
      <c r="AG586" s="109">
        <f t="shared" ref="AG586:AG587" si="1213">SUM(AA586,AB586,AC586)</f>
        <v>140968.94902958334</v>
      </c>
      <c r="AH586" s="109">
        <f>AD586+AE586</f>
        <v>242803.13257300406</v>
      </c>
      <c r="AI586" s="109">
        <f>AG586+AF586</f>
        <v>295471.94902958337</v>
      </c>
      <c r="AJ586" s="109">
        <f>AH586+AI586</f>
        <v>538275.08160258736</v>
      </c>
      <c r="AL586" s="109">
        <f ca="1">SUM((INDIRECT(AL$2&amp;(ROW())):INDIRECT(AL$3&amp;(ROW()))))</f>
        <v>31460</v>
      </c>
      <c r="AM586" s="109">
        <f ca="1">SUM(INDIRECT(AM$1&amp;AM$2&amp;$C586):INDIRECT(AM$1&amp;AM$3&amp;$C586))</f>
        <v>0</v>
      </c>
      <c r="AN586" s="892">
        <f t="shared" ca="1" si="1197"/>
        <v>31460</v>
      </c>
      <c r="AO586" s="953">
        <f t="shared" ca="1" si="1198"/>
        <v>0</v>
      </c>
      <c r="AP586" s="109">
        <f ca="1">SUM(INDIRECT(AP$1&amp;AP$2&amp;$A586):INDIRECT(AP$1&amp;AP$3&amp;$A586))</f>
        <v>49793</v>
      </c>
      <c r="AQ586" s="892">
        <f t="shared" ca="1" si="1199"/>
        <v>-18333</v>
      </c>
      <c r="AR586" s="953">
        <f t="shared" ca="1" si="1200"/>
        <v>0.63181571706866424</v>
      </c>
      <c r="AT586" s="109">
        <f ca="1">SUM((INDIRECT(AT$2&amp;(ROW())):INDIRECT(AT$3&amp;(ROW()))))</f>
        <v>140968.94902958334</v>
      </c>
      <c r="AU586" s="109">
        <f ca="1">SUM(INDIRECT(AU$1&amp;AU$2&amp;$C586):INDIRECT(AU$1&amp;AU$3&amp;$C586))</f>
        <v>0</v>
      </c>
      <c r="AV586" s="892">
        <f t="shared" ca="1" si="1201"/>
        <v>140968.94902958334</v>
      </c>
      <c r="AW586" s="953">
        <f t="shared" ca="1" si="1202"/>
        <v>0</v>
      </c>
      <c r="AX586" s="109">
        <f ca="1">SUM(INDIRECT(AX$1&amp;AX$2&amp;$A586):INDIRECT(AX$1&amp;AX$3&amp;$A586))</f>
        <v>90474</v>
      </c>
      <c r="AY586" s="892">
        <f t="shared" ca="1" si="1203"/>
        <v>50494.949029583338</v>
      </c>
      <c r="AZ586" s="953">
        <f t="shared" ca="1" si="1204"/>
        <v>1.5581155804936593</v>
      </c>
      <c r="BB586" s="109">
        <f ca="1">SUM((INDIRECT(BB$2&amp;(ROW())):INDIRECT(BB$3&amp;(ROW()))))</f>
        <v>538275.08160258736</v>
      </c>
      <c r="BC586" s="109">
        <f ca="1">SUM(INDIRECT(BC$1&amp;BC$2&amp;$C586):INDIRECT(BC$1&amp;BC$3&amp;$C586))</f>
        <v>0</v>
      </c>
      <c r="BD586" s="892">
        <f t="shared" ca="1" si="1205"/>
        <v>538275.08160258736</v>
      </c>
      <c r="BE586" s="953">
        <f t="shared" ca="1" si="1206"/>
        <v>0</v>
      </c>
      <c r="BF586" s="109">
        <f ca="1">SUM(INDIRECT(BF$1&amp;BF$2&amp;$A586):INDIRECT(BF$1&amp;BF$3&amp;$A586))</f>
        <v>309183</v>
      </c>
      <c r="BG586" s="892">
        <f t="shared" ca="1" si="1207"/>
        <v>229092.08160258736</v>
      </c>
      <c r="BH586" s="953">
        <f t="shared" ca="1" si="1208"/>
        <v>1.7409595016627284</v>
      </c>
    </row>
    <row r="587" spans="1:60" ht="14.5">
      <c r="A587" s="990">
        <f t="shared" si="1106"/>
        <v>522</v>
      </c>
      <c r="B587" s="990">
        <v>1</v>
      </c>
      <c r="C587" s="990">
        <f t="shared" si="1189"/>
        <v>584</v>
      </c>
      <c r="E587" s="1243">
        <v>1</v>
      </c>
      <c r="I587" s="79"/>
      <c r="J587" s="78"/>
      <c r="K587" s="74"/>
      <c r="L587" s="74"/>
      <c r="N587" s="12" t="s">
        <v>348</v>
      </c>
      <c r="O587" s="12"/>
      <c r="P587" s="12"/>
      <c r="Q587" s="1845" t="str">
        <f>CHOOSE(2, "6722000003506", "S/GP (2) Gross Profit Direct HW 3rd Party")</f>
        <v>S/GP (2) Gross Profit Direct HW 3rd Party</v>
      </c>
      <c r="R587" s="2041">
        <v>0</v>
      </c>
      <c r="S587" s="2037">
        <v>0</v>
      </c>
      <c r="T587" s="2037">
        <v>0</v>
      </c>
      <c r="U587" s="2037">
        <v>0</v>
      </c>
      <c r="V587" s="2037">
        <v>0</v>
      </c>
      <c r="W587" s="2037">
        <v>0</v>
      </c>
      <c r="X587" s="2037">
        <v>0</v>
      </c>
      <c r="Y587" s="2037">
        <v>0</v>
      </c>
      <c r="Z587" s="2037">
        <v>0</v>
      </c>
      <c r="AA587" s="2037">
        <v>0</v>
      </c>
      <c r="AB587" s="2037">
        <v>0</v>
      </c>
      <c r="AC587" s="2037">
        <v>0</v>
      </c>
      <c r="AD587" s="99">
        <f>SUM(R587,S587,T587)</f>
        <v>0</v>
      </c>
      <c r="AE587" s="17">
        <f t="shared" si="1211"/>
        <v>0</v>
      </c>
      <c r="AF587" s="17">
        <f t="shared" si="1212"/>
        <v>0</v>
      </c>
      <c r="AG587" s="17">
        <f t="shared" si="1213"/>
        <v>0</v>
      </c>
      <c r="AH587" s="17">
        <f>AD587+AE587</f>
        <v>0</v>
      </c>
      <c r="AI587" s="17">
        <f>AG587+AF587</f>
        <v>0</v>
      </c>
      <c r="AJ587" s="17">
        <f>AH587+AI587</f>
        <v>0</v>
      </c>
      <c r="AL587" s="17">
        <f ca="1">SUM((INDIRECT(AL$2&amp;(ROW())):INDIRECT(AL$3&amp;(ROW()))))</f>
        <v>0</v>
      </c>
      <c r="AM587" s="17">
        <f ca="1">SUM(INDIRECT(AM$1&amp;AM$2&amp;$C587):INDIRECT(AM$1&amp;AM$3&amp;$C587))</f>
        <v>0</v>
      </c>
      <c r="AN587" s="876">
        <f t="shared" ca="1" si="1197"/>
        <v>0</v>
      </c>
      <c r="AO587" s="927">
        <f t="shared" ca="1" si="1198"/>
        <v>0</v>
      </c>
      <c r="AP587" s="17">
        <f ca="1">SUM(INDIRECT(AP$1&amp;AP$2&amp;$A587):INDIRECT(AP$1&amp;AP$3&amp;$A587))</f>
        <v>0</v>
      </c>
      <c r="AQ587" s="876">
        <f t="shared" ca="1" si="1199"/>
        <v>0</v>
      </c>
      <c r="AR587" s="927">
        <f t="shared" ca="1" si="1200"/>
        <v>0</v>
      </c>
      <c r="AT587" s="17">
        <f ca="1">SUM((INDIRECT(AT$2&amp;(ROW())):INDIRECT(AT$3&amp;(ROW()))))</f>
        <v>0</v>
      </c>
      <c r="AU587" s="17">
        <f ca="1">SUM(INDIRECT(AU$1&amp;AU$2&amp;$C587):INDIRECT(AU$1&amp;AU$3&amp;$C587))</f>
        <v>0</v>
      </c>
      <c r="AV587" s="876">
        <f t="shared" ca="1" si="1201"/>
        <v>0</v>
      </c>
      <c r="AW587" s="927">
        <f t="shared" ca="1" si="1202"/>
        <v>0</v>
      </c>
      <c r="AX587" s="17">
        <f ca="1">SUM(INDIRECT(AX$1&amp;AX$2&amp;$A587):INDIRECT(AX$1&amp;AX$3&amp;$A587))</f>
        <v>0</v>
      </c>
      <c r="AY587" s="876">
        <f t="shared" ca="1" si="1203"/>
        <v>0</v>
      </c>
      <c r="AZ587" s="927">
        <f t="shared" ca="1" si="1204"/>
        <v>0</v>
      </c>
      <c r="BB587" s="17">
        <f ca="1">SUM((INDIRECT(BB$2&amp;(ROW())):INDIRECT(BB$3&amp;(ROW()))))</f>
        <v>0</v>
      </c>
      <c r="BC587" s="17">
        <f ca="1">SUM(INDIRECT(BC$1&amp;BC$2&amp;$C587):INDIRECT(BC$1&amp;BC$3&amp;$C587))</f>
        <v>0</v>
      </c>
      <c r="BD587" s="876">
        <f t="shared" ca="1" si="1205"/>
        <v>0</v>
      </c>
      <c r="BE587" s="927">
        <f t="shared" ca="1" si="1206"/>
        <v>0</v>
      </c>
      <c r="BF587" s="17">
        <f ca="1">SUM(INDIRECT(BF$1&amp;BF$2&amp;$A587):INDIRECT(BF$1&amp;BF$3&amp;$A587))</f>
        <v>0</v>
      </c>
      <c r="BG587" s="876">
        <f t="shared" ca="1" si="1207"/>
        <v>0</v>
      </c>
      <c r="BH587" s="927">
        <f t="shared" ca="1" si="1208"/>
        <v>0</v>
      </c>
    </row>
    <row r="588" spans="1:60" ht="14.5">
      <c r="A588" s="990">
        <f t="shared" si="1106"/>
        <v>523</v>
      </c>
      <c r="B588" s="990">
        <v>1</v>
      </c>
      <c r="C588" s="990">
        <f t="shared" si="1189"/>
        <v>585</v>
      </c>
      <c r="E588" s="1243">
        <v>1</v>
      </c>
      <c r="I588" s="79"/>
      <c r="J588" s="78"/>
      <c r="K588" s="74"/>
      <c r="L588" s="74"/>
      <c r="M588" s="71" t="s">
        <v>349</v>
      </c>
      <c r="N588" s="362"/>
      <c r="O588" s="362"/>
      <c r="P588" s="362"/>
      <c r="Q588" s="1843" t="str">
        <f>CHOOSE(2, "6722000003507", "S/GP (2) Gross Profit Direct NH")</f>
        <v>S/GP (2) Gross Profit Direct NH</v>
      </c>
      <c r="R588" s="2054">
        <f>R589+R592+R593+R597+R600</f>
        <v>86355</v>
      </c>
      <c r="S588" s="361">
        <f t="shared" ref="S588:AC588" si="1214">S589+S592+S593+S597+S600</f>
        <v>93319</v>
      </c>
      <c r="T588" s="361">
        <f t="shared" si="1214"/>
        <v>95882</v>
      </c>
      <c r="U588" s="361">
        <f t="shared" si="1214"/>
        <v>98696</v>
      </c>
      <c r="V588" s="361">
        <f>V589+V592+V593+V597+V600</f>
        <v>124287.25301442105</v>
      </c>
      <c r="W588" s="361">
        <f t="shared" si="1214"/>
        <v>50210.252</v>
      </c>
      <c r="X588" s="361">
        <f t="shared" si="1214"/>
        <v>134880.25200000001</v>
      </c>
      <c r="Y588" s="361">
        <f t="shared" si="1214"/>
        <v>104299</v>
      </c>
      <c r="Z588" s="361">
        <f t="shared" si="1214"/>
        <v>111974</v>
      </c>
      <c r="AA588" s="361">
        <f t="shared" si="1214"/>
        <v>130623</v>
      </c>
      <c r="AB588" s="361">
        <f t="shared" si="1214"/>
        <v>112142.908</v>
      </c>
      <c r="AC588" s="361">
        <f t="shared" si="1214"/>
        <v>42178</v>
      </c>
      <c r="AD588" s="375">
        <f t="shared" ref="AD588:AJ588" si="1215">AD589+AD592+AD593+AD597+AD600</f>
        <v>275556</v>
      </c>
      <c r="AE588" s="361">
        <f t="shared" si="1215"/>
        <v>273193.50501442107</v>
      </c>
      <c r="AF588" s="361">
        <f t="shared" si="1215"/>
        <v>351153.25199999998</v>
      </c>
      <c r="AG588" s="361">
        <f t="shared" si="1215"/>
        <v>284943.908</v>
      </c>
      <c r="AH588" s="361">
        <f t="shared" si="1215"/>
        <v>548749.50501442107</v>
      </c>
      <c r="AI588" s="361">
        <f t="shared" si="1215"/>
        <v>636097.16</v>
      </c>
      <c r="AJ588" s="361">
        <f t="shared" si="1215"/>
        <v>1184846.6650144211</v>
      </c>
      <c r="AK588" s="290"/>
      <c r="AL588" s="361">
        <f ca="1">SUM((INDIRECT(AL$2&amp;(ROW())):INDIRECT(AL$3&amp;(ROW()))))</f>
        <v>42178</v>
      </c>
      <c r="AM588" s="361">
        <f ca="1">SUM(INDIRECT(AM$1&amp;AM$2&amp;$C588):INDIRECT(AM$1&amp;AM$3&amp;$C588))</f>
        <v>0</v>
      </c>
      <c r="AN588" s="901">
        <f t="shared" ca="1" si="1197"/>
        <v>42178</v>
      </c>
      <c r="AO588" s="962">
        <f t="shared" ca="1" si="1198"/>
        <v>0</v>
      </c>
      <c r="AP588" s="361">
        <f ca="1">SUM(INDIRECT(AP$1&amp;AP$2&amp;$A588):INDIRECT(AP$1&amp;AP$3&amp;$A588))</f>
        <v>143152</v>
      </c>
      <c r="AQ588" s="901">
        <f t="shared" ca="1" si="1199"/>
        <v>-100974</v>
      </c>
      <c r="AR588" s="962">
        <f t="shared" ca="1" si="1200"/>
        <v>0.29463786744160053</v>
      </c>
      <c r="AT588" s="361">
        <f ca="1">SUM((INDIRECT(AT$2&amp;(ROW())):INDIRECT(AT$3&amp;(ROW()))))</f>
        <v>284943.908</v>
      </c>
      <c r="AU588" s="361">
        <f ca="1">SUM(INDIRECT(AU$1&amp;AU$2&amp;$C588):INDIRECT(AU$1&amp;AU$3&amp;$C588))</f>
        <v>0</v>
      </c>
      <c r="AV588" s="901">
        <f t="shared" ca="1" si="1201"/>
        <v>284943.908</v>
      </c>
      <c r="AW588" s="962">
        <f t="shared" ca="1" si="1202"/>
        <v>0</v>
      </c>
      <c r="AX588" s="361">
        <f ca="1">SUM(INDIRECT(AX$1&amp;AX$2&amp;$A588):INDIRECT(AX$1&amp;AX$3&amp;$A588))</f>
        <v>347299</v>
      </c>
      <c r="AY588" s="901">
        <f t="shared" ca="1" si="1203"/>
        <v>-62355.092000000004</v>
      </c>
      <c r="AZ588" s="962">
        <f t="shared" ca="1" si="1204"/>
        <v>0.82045703558029248</v>
      </c>
      <c r="BB588" s="361">
        <f ca="1">SUM((INDIRECT(BB$2&amp;(ROW())):INDIRECT(BB$3&amp;(ROW()))))</f>
        <v>1184846.6650144211</v>
      </c>
      <c r="BC588" s="361">
        <f ca="1">SUM(INDIRECT(BC$1&amp;BC$2&amp;$C588):INDIRECT(BC$1&amp;BC$3&amp;$C588))</f>
        <v>0</v>
      </c>
      <c r="BD588" s="901">
        <f t="shared" ca="1" si="1205"/>
        <v>1184846.6650144211</v>
      </c>
      <c r="BE588" s="962">
        <f t="shared" ca="1" si="1206"/>
        <v>0</v>
      </c>
      <c r="BF588" s="361">
        <f ca="1">SUM(INDIRECT(BF$1&amp;BF$2&amp;$A588):INDIRECT(BF$1&amp;BF$3&amp;$A588))</f>
        <v>1192983</v>
      </c>
      <c r="BG588" s="901">
        <f t="shared" ca="1" si="1207"/>
        <v>-8136.3349855788983</v>
      </c>
      <c r="BH588" s="962">
        <f t="shared" ca="1" si="1208"/>
        <v>0.9931798399595142</v>
      </c>
    </row>
    <row r="589" spans="1:60" ht="14.5">
      <c r="A589" s="990">
        <f t="shared" si="1106"/>
        <v>524</v>
      </c>
      <c r="B589" s="990">
        <v>1</v>
      </c>
      <c r="C589" s="990">
        <f t="shared" si="1189"/>
        <v>586</v>
      </c>
      <c r="E589" s="1243">
        <v>1</v>
      </c>
      <c r="I589" s="79"/>
      <c r="J589" s="78"/>
      <c r="K589" s="74"/>
      <c r="L589" s="74"/>
      <c r="N589" s="111" t="s">
        <v>347</v>
      </c>
      <c r="O589" s="111"/>
      <c r="P589" s="1500"/>
      <c r="Q589" s="1843" t="str">
        <f>CHOOSE(2, "6722000003508", "S/GP (2) Gross Profit Direct NH KMI")</f>
        <v>S/GP (2) Gross Profit Direct NH KMI</v>
      </c>
      <c r="R589" s="2219">
        <f>SUM(R590:R591)</f>
        <v>100042</v>
      </c>
      <c r="S589" s="64">
        <f t="shared" ref="S589:AC589" si="1216">SUM(S590:S591)</f>
        <v>107961</v>
      </c>
      <c r="T589" s="64">
        <f t="shared" si="1216"/>
        <v>111963</v>
      </c>
      <c r="U589" s="64">
        <f t="shared" si="1216"/>
        <v>116316</v>
      </c>
      <c r="V589" s="64">
        <f t="shared" si="1216"/>
        <v>141146.10871554</v>
      </c>
      <c r="W589" s="64">
        <f t="shared" si="1216"/>
        <v>67232</v>
      </c>
      <c r="X589" s="64">
        <f t="shared" si="1216"/>
        <v>161975</v>
      </c>
      <c r="Y589" s="64">
        <f t="shared" si="1216"/>
        <v>120002</v>
      </c>
      <c r="Z589" s="64">
        <f t="shared" si="1216"/>
        <v>128348</v>
      </c>
      <c r="AA589" s="64">
        <f t="shared" si="1216"/>
        <v>146200</v>
      </c>
      <c r="AB589" s="64">
        <f t="shared" si="1216"/>
        <v>138441</v>
      </c>
      <c r="AC589" s="64">
        <f t="shared" si="1216"/>
        <v>63249</v>
      </c>
      <c r="AD589" s="1545">
        <f t="shared" ref="AD589:AJ589" si="1217">SUM(AD590:AD591)</f>
        <v>319966</v>
      </c>
      <c r="AE589" s="64">
        <f t="shared" si="1217"/>
        <v>324694.10871554003</v>
      </c>
      <c r="AF589" s="64">
        <f t="shared" si="1217"/>
        <v>410325</v>
      </c>
      <c r="AG589" s="64">
        <f t="shared" si="1217"/>
        <v>347890</v>
      </c>
      <c r="AH589" s="64">
        <f t="shared" si="1217"/>
        <v>644660.10871554003</v>
      </c>
      <c r="AI589" s="64">
        <f t="shared" si="1217"/>
        <v>758215</v>
      </c>
      <c r="AJ589" s="64">
        <f t="shared" si="1217"/>
        <v>1402875.10871554</v>
      </c>
      <c r="AL589" s="64">
        <f ca="1">SUM((INDIRECT(AL$2&amp;(ROW())):INDIRECT(AL$3&amp;(ROW()))))</f>
        <v>63249</v>
      </c>
      <c r="AM589" s="64">
        <f ca="1">SUM(INDIRECT(AM$1&amp;AM$2&amp;$C589):INDIRECT(AM$1&amp;AM$3&amp;$C589))</f>
        <v>0</v>
      </c>
      <c r="AN589" s="902">
        <f t="shared" ca="1" si="1197"/>
        <v>63249</v>
      </c>
      <c r="AO589" s="963">
        <f t="shared" ca="1" si="1198"/>
        <v>0</v>
      </c>
      <c r="AP589" s="64">
        <f ca="1">SUM(INDIRECT(AP$1&amp;AP$2&amp;$A589):INDIRECT(AP$1&amp;AP$3&amp;$A589))</f>
        <v>163520</v>
      </c>
      <c r="AQ589" s="902">
        <f t="shared" ca="1" si="1199"/>
        <v>-100271</v>
      </c>
      <c r="AR589" s="963">
        <f t="shared" ca="1" si="1200"/>
        <v>0.38679672211350291</v>
      </c>
      <c r="AT589" s="64">
        <f ca="1">SUM((INDIRECT(AT$2&amp;(ROW())):INDIRECT(AT$3&amp;(ROW()))))</f>
        <v>347890</v>
      </c>
      <c r="AU589" s="64">
        <f ca="1">SUM(INDIRECT(AU$1&amp;AU$2&amp;$C589):INDIRECT(AU$1&amp;AU$3&amp;$C589))</f>
        <v>0</v>
      </c>
      <c r="AV589" s="902">
        <f t="shared" ca="1" si="1201"/>
        <v>347890</v>
      </c>
      <c r="AW589" s="963">
        <f t="shared" ca="1" si="1202"/>
        <v>0</v>
      </c>
      <c r="AX589" s="64">
        <f ca="1">SUM(INDIRECT(AX$1&amp;AX$2&amp;$A589):INDIRECT(AX$1&amp;AX$3&amp;$A589))</f>
        <v>395970</v>
      </c>
      <c r="AY589" s="902">
        <f t="shared" ca="1" si="1203"/>
        <v>-48080</v>
      </c>
      <c r="AZ589" s="963">
        <f t="shared" ca="1" si="1204"/>
        <v>0.87857665984796829</v>
      </c>
      <c r="BB589" s="64">
        <f ca="1">SUM((INDIRECT(BB$2&amp;(ROW())):INDIRECT(BB$3&amp;(ROW()))))</f>
        <v>1402875.10871554</v>
      </c>
      <c r="BC589" s="64">
        <f ca="1">SUM(INDIRECT(BC$1&amp;BC$2&amp;$C589):INDIRECT(BC$1&amp;BC$3&amp;$C589))</f>
        <v>0</v>
      </c>
      <c r="BD589" s="902">
        <f t="shared" ca="1" si="1205"/>
        <v>1402875.10871554</v>
      </c>
      <c r="BE589" s="963">
        <f t="shared" ca="1" si="1206"/>
        <v>0</v>
      </c>
      <c r="BF589" s="64">
        <f ca="1">SUM(INDIRECT(BF$1&amp;BF$2&amp;$A589):INDIRECT(BF$1&amp;BF$3&amp;$A589))</f>
        <v>1363204</v>
      </c>
      <c r="BG589" s="902">
        <f t="shared" ca="1" si="1207"/>
        <v>39671.108715540031</v>
      </c>
      <c r="BH589" s="963">
        <f t="shared" ca="1" si="1208"/>
        <v>1.0291013734668766</v>
      </c>
    </row>
    <row r="590" spans="1:60" ht="14.5">
      <c r="A590" s="990">
        <f t="shared" si="1106"/>
        <v>525</v>
      </c>
      <c r="B590" s="990">
        <v>1</v>
      </c>
      <c r="C590" s="990">
        <f t="shared" si="1189"/>
        <v>587</v>
      </c>
      <c r="E590" s="1243">
        <v>1</v>
      </c>
      <c r="I590" s="79"/>
      <c r="J590" s="78"/>
      <c r="K590" s="74"/>
      <c r="L590" s="74"/>
      <c r="P590" s="111" t="s">
        <v>350</v>
      </c>
      <c r="Q590" s="1845" t="str">
        <f>CHOOSE(2, "6722000003509", "S/GP (2) Gross Profit Direct NH KMI Copy Click")</f>
        <v>S/GP (2) Gross Profit Direct NH KMI Copy Click</v>
      </c>
      <c r="R590" s="2055">
        <f>86355+13687</f>
        <v>100042</v>
      </c>
      <c r="S590" s="2042">
        <f>93319+14642</f>
        <v>107961</v>
      </c>
      <c r="T590" s="2042">
        <f>95882+16081</f>
        <v>111963</v>
      </c>
      <c r="U590" s="2042">
        <f>98696+17620</f>
        <v>116316</v>
      </c>
      <c r="V590" s="2042">
        <f>124287.10871554+16859</f>
        <v>141146.10871554</v>
      </c>
      <c r="W590" s="2042">
        <f>50210+17022</f>
        <v>67232</v>
      </c>
      <c r="X590" s="2042">
        <f>134880+27095</f>
        <v>161975</v>
      </c>
      <c r="Y590" s="2042">
        <f>104299+15703</f>
        <v>120002</v>
      </c>
      <c r="Z590" s="2042">
        <f>111974+16374</f>
        <v>128348</v>
      </c>
      <c r="AA590" s="2042">
        <f>130623+15577</f>
        <v>146200</v>
      </c>
      <c r="AB590" s="2042">
        <f>112143+26298</f>
        <v>138441</v>
      </c>
      <c r="AC590" s="2042">
        <f>42178+21071</f>
        <v>63249</v>
      </c>
      <c r="AD590" s="376">
        <f>SUM(R590,S590,T590)</f>
        <v>319966</v>
      </c>
      <c r="AE590" s="109">
        <f t="shared" ref="AE590:AE592" si="1218">SUM(U590,V590,W590)</f>
        <v>324694.10871554003</v>
      </c>
      <c r="AF590" s="109">
        <f t="shared" ref="AF590:AF592" si="1219">SUM(X590,Y590,Z590)</f>
        <v>410325</v>
      </c>
      <c r="AG590" s="109">
        <f t="shared" ref="AG590:AG592" si="1220">SUM(AA590,AB590,AC590)</f>
        <v>347890</v>
      </c>
      <c r="AH590" s="109">
        <f>AD590+AE590</f>
        <v>644660.10871554003</v>
      </c>
      <c r="AI590" s="109">
        <f>AG590+AF590</f>
        <v>758215</v>
      </c>
      <c r="AJ590" s="109">
        <f>AH590+AI590</f>
        <v>1402875.10871554</v>
      </c>
      <c r="AL590" s="109">
        <f ca="1">SUM((INDIRECT(AL$2&amp;(ROW())):INDIRECT(AL$3&amp;(ROW()))))</f>
        <v>63249</v>
      </c>
      <c r="AM590" s="109">
        <f ca="1">SUM(INDIRECT(AM$1&amp;AM$2&amp;$C590):INDIRECT(AM$1&amp;AM$3&amp;$C590))</f>
        <v>0</v>
      </c>
      <c r="AN590" s="892">
        <f t="shared" ca="1" si="1197"/>
        <v>63249</v>
      </c>
      <c r="AO590" s="953">
        <f t="shared" ca="1" si="1198"/>
        <v>0</v>
      </c>
      <c r="AP590" s="109">
        <f ca="1">SUM(INDIRECT(AP$1&amp;AP$2&amp;$A590):INDIRECT(AP$1&amp;AP$3&amp;$A590))</f>
        <v>163520</v>
      </c>
      <c r="AQ590" s="892">
        <f t="shared" ca="1" si="1199"/>
        <v>-100271</v>
      </c>
      <c r="AR590" s="953">
        <f t="shared" ca="1" si="1200"/>
        <v>0.38679672211350291</v>
      </c>
      <c r="AT590" s="109">
        <f ca="1">SUM((INDIRECT(AT$2&amp;(ROW())):INDIRECT(AT$3&amp;(ROW()))))</f>
        <v>347890</v>
      </c>
      <c r="AU590" s="109">
        <f ca="1">SUM(INDIRECT(AU$1&amp;AU$2&amp;$C590):INDIRECT(AU$1&amp;AU$3&amp;$C590))</f>
        <v>0</v>
      </c>
      <c r="AV590" s="892">
        <f t="shared" ca="1" si="1201"/>
        <v>347890</v>
      </c>
      <c r="AW590" s="953">
        <f t="shared" ca="1" si="1202"/>
        <v>0</v>
      </c>
      <c r="AX590" s="109">
        <f ca="1">SUM(INDIRECT(AX$1&amp;AX$2&amp;$A590):INDIRECT(AX$1&amp;AX$3&amp;$A590))</f>
        <v>395970</v>
      </c>
      <c r="AY590" s="892">
        <f t="shared" ca="1" si="1203"/>
        <v>-48080</v>
      </c>
      <c r="AZ590" s="953">
        <f t="shared" ca="1" si="1204"/>
        <v>0.87857665984796829</v>
      </c>
      <c r="BB590" s="109">
        <f ca="1">SUM((INDIRECT(BB$2&amp;(ROW())):INDIRECT(BB$3&amp;(ROW()))))</f>
        <v>1402875.10871554</v>
      </c>
      <c r="BC590" s="109">
        <f ca="1">SUM(INDIRECT(BC$1&amp;BC$2&amp;$C590):INDIRECT(BC$1&amp;BC$3&amp;$C590))</f>
        <v>0</v>
      </c>
      <c r="BD590" s="892">
        <f t="shared" ca="1" si="1205"/>
        <v>1402875.10871554</v>
      </c>
      <c r="BE590" s="953">
        <f t="shared" ca="1" si="1206"/>
        <v>0</v>
      </c>
      <c r="BF590" s="109">
        <f ca="1">SUM(INDIRECT(BF$1&amp;BF$2&amp;$A590):INDIRECT(BF$1&amp;BF$3&amp;$A590))</f>
        <v>1363204</v>
      </c>
      <c r="BG590" s="892">
        <f t="shared" ca="1" si="1207"/>
        <v>39671.108715540031</v>
      </c>
      <c r="BH590" s="953">
        <f t="shared" ca="1" si="1208"/>
        <v>1.0291013734668766</v>
      </c>
    </row>
    <row r="591" spans="1:60" ht="14.5">
      <c r="A591" s="990">
        <f t="shared" si="1106"/>
        <v>526</v>
      </c>
      <c r="B591" s="990">
        <v>1</v>
      </c>
      <c r="C591" s="990">
        <f t="shared" si="1189"/>
        <v>588</v>
      </c>
      <c r="E591" s="1243">
        <v>1</v>
      </c>
      <c r="I591" s="79"/>
      <c r="J591" s="78"/>
      <c r="K591" s="74"/>
      <c r="L591" s="74"/>
      <c r="N591" s="363"/>
      <c r="O591" s="363"/>
      <c r="P591" s="363" t="s">
        <v>351</v>
      </c>
      <c r="Q591" s="1845" t="str">
        <f>CHOOSE(2, "6722000003510", "S/GP (2) Gross Profit Direct NH KMI NonContract")</f>
        <v>S/GP (2) Gross Profit Direct NH KMI NonContract</v>
      </c>
      <c r="R591" s="2220">
        <v>0</v>
      </c>
      <c r="S591" s="2052">
        <v>0</v>
      </c>
      <c r="T591" s="2052">
        <v>0</v>
      </c>
      <c r="U591" s="2052">
        <v>0</v>
      </c>
      <c r="V591" s="2052">
        <v>0</v>
      </c>
      <c r="W591" s="2052">
        <v>0</v>
      </c>
      <c r="X591" s="2052">
        <v>0</v>
      </c>
      <c r="Y591" s="2052">
        <v>0</v>
      </c>
      <c r="Z591" s="2052">
        <v>0</v>
      </c>
      <c r="AA591" s="2052">
        <v>0</v>
      </c>
      <c r="AB591" s="2052">
        <v>0</v>
      </c>
      <c r="AC591" s="2052">
        <v>0</v>
      </c>
      <c r="AD591" s="408">
        <f>SUM(R591,S591,T591)</f>
        <v>0</v>
      </c>
      <c r="AE591" s="365">
        <f t="shared" si="1218"/>
        <v>0</v>
      </c>
      <c r="AF591" s="365">
        <f t="shared" si="1219"/>
        <v>0</v>
      </c>
      <c r="AG591" s="365">
        <f t="shared" si="1220"/>
        <v>0</v>
      </c>
      <c r="AH591" s="365">
        <f>AD591+AE591</f>
        <v>0</v>
      </c>
      <c r="AI591" s="365">
        <f>AG591+AF591</f>
        <v>0</v>
      </c>
      <c r="AJ591" s="365">
        <f>AH591+AI591</f>
        <v>0</v>
      </c>
      <c r="AL591" s="365">
        <f ca="1">SUM((INDIRECT(AL$2&amp;(ROW())):INDIRECT(AL$3&amp;(ROW()))))</f>
        <v>0</v>
      </c>
      <c r="AM591" s="365">
        <f ca="1">SUM(INDIRECT(AM$1&amp;AM$2&amp;$C591):INDIRECT(AM$1&amp;AM$3&amp;$C591))</f>
        <v>0</v>
      </c>
      <c r="AN591" s="891">
        <f t="shared" ca="1" si="1197"/>
        <v>0</v>
      </c>
      <c r="AO591" s="952">
        <f t="shared" ca="1" si="1198"/>
        <v>0</v>
      </c>
      <c r="AP591" s="365">
        <f ca="1">SUM(INDIRECT(AP$1&amp;AP$2&amp;$A591):INDIRECT(AP$1&amp;AP$3&amp;$A591))</f>
        <v>0</v>
      </c>
      <c r="AQ591" s="891">
        <f t="shared" ca="1" si="1199"/>
        <v>0</v>
      </c>
      <c r="AR591" s="952">
        <f t="shared" ca="1" si="1200"/>
        <v>0</v>
      </c>
      <c r="AT591" s="365">
        <f ca="1">SUM((INDIRECT(AT$2&amp;(ROW())):INDIRECT(AT$3&amp;(ROW()))))</f>
        <v>0</v>
      </c>
      <c r="AU591" s="365">
        <f ca="1">SUM(INDIRECT(AU$1&amp;AU$2&amp;$C591):INDIRECT(AU$1&amp;AU$3&amp;$C591))</f>
        <v>0</v>
      </c>
      <c r="AV591" s="891">
        <f t="shared" ca="1" si="1201"/>
        <v>0</v>
      </c>
      <c r="AW591" s="952">
        <f t="shared" ca="1" si="1202"/>
        <v>0</v>
      </c>
      <c r="AX591" s="365">
        <f ca="1">SUM(INDIRECT(AX$1&amp;AX$2&amp;$A591):INDIRECT(AX$1&amp;AX$3&amp;$A591))</f>
        <v>0</v>
      </c>
      <c r="AY591" s="891">
        <f t="shared" ca="1" si="1203"/>
        <v>0</v>
      </c>
      <c r="AZ591" s="952">
        <f t="shared" ca="1" si="1204"/>
        <v>0</v>
      </c>
      <c r="BB591" s="365">
        <f ca="1">SUM((INDIRECT(BB$2&amp;(ROW())):INDIRECT(BB$3&amp;(ROW()))))</f>
        <v>0</v>
      </c>
      <c r="BC591" s="365">
        <f ca="1">SUM(INDIRECT(BC$1&amp;BC$2&amp;$C591):INDIRECT(BC$1&amp;BC$3&amp;$C591))</f>
        <v>0</v>
      </c>
      <c r="BD591" s="891">
        <f t="shared" ca="1" si="1205"/>
        <v>0</v>
      </c>
      <c r="BE591" s="952">
        <f t="shared" ca="1" si="1206"/>
        <v>0</v>
      </c>
      <c r="BF591" s="365">
        <f ca="1">SUM(INDIRECT(BF$1&amp;BF$2&amp;$A591):INDIRECT(BF$1&amp;BF$3&amp;$A591))</f>
        <v>0</v>
      </c>
      <c r="BG591" s="891">
        <f t="shared" ca="1" si="1207"/>
        <v>0</v>
      </c>
      <c r="BH591" s="952">
        <f t="shared" ca="1" si="1208"/>
        <v>0</v>
      </c>
    </row>
    <row r="592" spans="1:60" ht="14.5">
      <c r="A592" s="990">
        <f t="shared" si="1106"/>
        <v>527</v>
      </c>
      <c r="B592" s="990">
        <v>1</v>
      </c>
      <c r="C592" s="990">
        <f t="shared" si="1189"/>
        <v>589</v>
      </c>
      <c r="E592" s="1243">
        <v>1</v>
      </c>
      <c r="I592" s="79"/>
      <c r="J592" s="78"/>
      <c r="K592" s="74"/>
      <c r="L592" s="74"/>
      <c r="N592" s="366" t="s">
        <v>217</v>
      </c>
      <c r="Q592" s="1845" t="str">
        <f>CHOOSE(2, "6722000003511", "S/GP (2) Gross Profit Direct NH 3rd Party")</f>
        <v>S/GP (2) Gross Profit Direct NH 3rd Party</v>
      </c>
      <c r="R592" s="2036">
        <v>0</v>
      </c>
      <c r="S592" s="2036">
        <v>0</v>
      </c>
      <c r="T592" s="2036">
        <v>0</v>
      </c>
      <c r="U592" s="2036">
        <v>0</v>
      </c>
      <c r="V592" s="2036">
        <v>0</v>
      </c>
      <c r="W592" s="2036">
        <v>0</v>
      </c>
      <c r="X592" s="2036">
        <v>0</v>
      </c>
      <c r="Y592" s="2036">
        <v>0</v>
      </c>
      <c r="Z592" s="2036">
        <v>0</v>
      </c>
      <c r="AA592" s="2036">
        <v>0</v>
      </c>
      <c r="AB592" s="2036">
        <v>0</v>
      </c>
      <c r="AC592" s="2036">
        <v>0</v>
      </c>
      <c r="AD592" s="100">
        <f>SUM(R592,S592,T592)</f>
        <v>0</v>
      </c>
      <c r="AE592" s="19">
        <f t="shared" si="1218"/>
        <v>0</v>
      </c>
      <c r="AF592" s="19">
        <f t="shared" si="1219"/>
        <v>0</v>
      </c>
      <c r="AG592" s="19">
        <f t="shared" si="1220"/>
        <v>0</v>
      </c>
      <c r="AH592" s="19">
        <f>AD592+AE592</f>
        <v>0</v>
      </c>
      <c r="AI592" s="19">
        <f>AG592+AF592</f>
        <v>0</v>
      </c>
      <c r="AJ592" s="19">
        <f>AH592+AI592</f>
        <v>0</v>
      </c>
      <c r="AL592" s="19">
        <f ca="1">SUM((INDIRECT(AL$2&amp;(ROW())):INDIRECT(AL$3&amp;(ROW()))))</f>
        <v>0</v>
      </c>
      <c r="AM592" s="19">
        <f ca="1">SUM(INDIRECT(AM$1&amp;AM$2&amp;$C592):INDIRECT(AM$1&amp;AM$3&amp;$C592))</f>
        <v>0</v>
      </c>
      <c r="AN592" s="875">
        <f t="shared" ca="1" si="1197"/>
        <v>0</v>
      </c>
      <c r="AO592" s="926">
        <f t="shared" ca="1" si="1198"/>
        <v>0</v>
      </c>
      <c r="AP592" s="19">
        <f ca="1">SUM(INDIRECT(AP$1&amp;AP$2&amp;$A592):INDIRECT(AP$1&amp;AP$3&amp;$A592))</f>
        <v>0</v>
      </c>
      <c r="AQ592" s="875">
        <f t="shared" ca="1" si="1199"/>
        <v>0</v>
      </c>
      <c r="AR592" s="926">
        <f t="shared" ca="1" si="1200"/>
        <v>0</v>
      </c>
      <c r="AT592" s="19">
        <f ca="1">SUM((INDIRECT(AT$2&amp;(ROW())):INDIRECT(AT$3&amp;(ROW()))))</f>
        <v>0</v>
      </c>
      <c r="AU592" s="19">
        <f ca="1">SUM(INDIRECT(AU$1&amp;AU$2&amp;$C592):INDIRECT(AU$1&amp;AU$3&amp;$C592))</f>
        <v>0</v>
      </c>
      <c r="AV592" s="875">
        <f t="shared" ca="1" si="1201"/>
        <v>0</v>
      </c>
      <c r="AW592" s="926">
        <f t="shared" ca="1" si="1202"/>
        <v>0</v>
      </c>
      <c r="AX592" s="19">
        <f ca="1">SUM(INDIRECT(AX$1&amp;AX$2&amp;$A592):INDIRECT(AX$1&amp;AX$3&amp;$A592))</f>
        <v>0</v>
      </c>
      <c r="AY592" s="875">
        <f t="shared" ca="1" si="1203"/>
        <v>0</v>
      </c>
      <c r="AZ592" s="926">
        <f t="shared" ca="1" si="1204"/>
        <v>0</v>
      </c>
      <c r="BB592" s="19">
        <f ca="1">SUM((INDIRECT(BB$2&amp;(ROW())):INDIRECT(BB$3&amp;(ROW()))))</f>
        <v>0</v>
      </c>
      <c r="BC592" s="19">
        <f ca="1">SUM(INDIRECT(BC$1&amp;BC$2&amp;$C592):INDIRECT(BC$1&amp;BC$3&amp;$C592))</f>
        <v>0</v>
      </c>
      <c r="BD592" s="875">
        <f t="shared" ca="1" si="1205"/>
        <v>0</v>
      </c>
      <c r="BE592" s="926">
        <f t="shared" ca="1" si="1206"/>
        <v>0</v>
      </c>
      <c r="BF592" s="19">
        <f ca="1">SUM(INDIRECT(BF$1&amp;BF$2&amp;$A592):INDIRECT(BF$1&amp;BF$3&amp;$A592))</f>
        <v>0</v>
      </c>
      <c r="BG592" s="875">
        <f t="shared" ca="1" si="1207"/>
        <v>0</v>
      </c>
      <c r="BH592" s="926">
        <f t="shared" ca="1" si="1208"/>
        <v>0</v>
      </c>
    </row>
    <row r="593" spans="1:60" ht="14.5">
      <c r="A593" s="990">
        <f t="shared" si="1106"/>
        <v>528</v>
      </c>
      <c r="B593" s="990">
        <v>1</v>
      </c>
      <c r="C593" s="990">
        <f t="shared" si="1189"/>
        <v>590</v>
      </c>
      <c r="E593" s="1243">
        <v>1</v>
      </c>
      <c r="I593" s="79"/>
      <c r="J593" s="78"/>
      <c r="K593" s="74"/>
      <c r="L593" s="74"/>
      <c r="M593" s="273"/>
      <c r="N593" s="370" t="s">
        <v>309</v>
      </c>
      <c r="O593" s="370"/>
      <c r="P593" s="370"/>
      <c r="Q593" s="1843" t="str">
        <f>CHOOSE(2, "6722000003512", "S/GP (2) Gross Profit Direct NH &lt;Direct&gt;FSC(-)")</f>
        <v>S/GP (2) Gross Profit Direct NH &lt;Direct&gt;FSC(-)</v>
      </c>
      <c r="R593" s="361">
        <f t="shared" ref="R593:AC593" si="1221">SUM(R594:R596)</f>
        <v>-13687</v>
      </c>
      <c r="S593" s="361">
        <f t="shared" si="1221"/>
        <v>-14642</v>
      </c>
      <c r="T593" s="361">
        <f t="shared" si="1221"/>
        <v>-16081</v>
      </c>
      <c r="U593" s="361">
        <f t="shared" si="1221"/>
        <v>-17620</v>
      </c>
      <c r="V593" s="361">
        <f t="shared" si="1221"/>
        <v>-16858.855701118951</v>
      </c>
      <c r="W593" s="361">
        <f t="shared" si="1221"/>
        <v>-17021.748</v>
      </c>
      <c r="X593" s="361">
        <f t="shared" si="1221"/>
        <v>-27094.748</v>
      </c>
      <c r="Y593" s="361">
        <f t="shared" si="1221"/>
        <v>-15703</v>
      </c>
      <c r="Z593" s="361">
        <f t="shared" si="1221"/>
        <v>-16374</v>
      </c>
      <c r="AA593" s="361">
        <f t="shared" si="1221"/>
        <v>-15577</v>
      </c>
      <c r="AB593" s="361">
        <f t="shared" si="1221"/>
        <v>-26298.092000000001</v>
      </c>
      <c r="AC593" s="361">
        <f t="shared" si="1221"/>
        <v>-21071</v>
      </c>
      <c r="AD593" s="375">
        <f t="shared" ref="AD593:AJ593" si="1222">SUM(AD594:AD596)</f>
        <v>-44410</v>
      </c>
      <c r="AE593" s="361">
        <f t="shared" si="1222"/>
        <v>-51500.603701118947</v>
      </c>
      <c r="AF593" s="361">
        <f t="shared" si="1222"/>
        <v>-59171.748</v>
      </c>
      <c r="AG593" s="361">
        <f t="shared" si="1222"/>
        <v>-62946.091999999997</v>
      </c>
      <c r="AH593" s="361">
        <f t="shared" si="1222"/>
        <v>-95910.603701118947</v>
      </c>
      <c r="AI593" s="361">
        <f t="shared" si="1222"/>
        <v>-122117.84</v>
      </c>
      <c r="AJ593" s="361">
        <f t="shared" si="1222"/>
        <v>-218028.44370111896</v>
      </c>
      <c r="AL593" s="361">
        <f ca="1">SUM((INDIRECT(AL$2&amp;(ROW())):INDIRECT(AL$3&amp;(ROW()))))</f>
        <v>-21071</v>
      </c>
      <c r="AM593" s="361">
        <f ca="1">SUM(INDIRECT(AM$1&amp;AM$2&amp;$C593):INDIRECT(AM$1&amp;AM$3&amp;$C593))</f>
        <v>0</v>
      </c>
      <c r="AN593" s="901">
        <f t="shared" ca="1" si="1197"/>
        <v>-21071</v>
      </c>
      <c r="AO593" s="962">
        <f t="shared" ca="1" si="1198"/>
        <v>0</v>
      </c>
      <c r="AP593" s="361">
        <f ca="1">SUM(INDIRECT(AP$1&amp;AP$2&amp;$A593):INDIRECT(AP$1&amp;AP$3&amp;$A593))</f>
        <v>-20308</v>
      </c>
      <c r="AQ593" s="901">
        <f t="shared" ca="1" si="1199"/>
        <v>-763</v>
      </c>
      <c r="AR593" s="962">
        <f t="shared" ca="1" si="1200"/>
        <v>1.0375714004333267</v>
      </c>
      <c r="AT593" s="361">
        <f ca="1">SUM((INDIRECT(AT$2&amp;(ROW())):INDIRECT(AT$3&amp;(ROW()))))</f>
        <v>-62946.092000000004</v>
      </c>
      <c r="AU593" s="361">
        <f ca="1">SUM(INDIRECT(AU$1&amp;AU$2&amp;$C593):INDIRECT(AU$1&amp;AU$3&amp;$C593))</f>
        <v>0</v>
      </c>
      <c r="AV593" s="901">
        <f t="shared" ca="1" si="1201"/>
        <v>-62946.092000000004</v>
      </c>
      <c r="AW593" s="962">
        <f t="shared" ca="1" si="1202"/>
        <v>0</v>
      </c>
      <c r="AX593" s="361">
        <f ca="1">SUM(INDIRECT(AX$1&amp;AX$2&amp;$A593):INDIRECT(AX$1&amp;AX$3&amp;$A593))</f>
        <v>-48036</v>
      </c>
      <c r="AY593" s="901">
        <f t="shared" ca="1" si="1203"/>
        <v>-14910.092000000004</v>
      </c>
      <c r="AZ593" s="962">
        <f t="shared" ca="1" si="1204"/>
        <v>1.3103941210758598</v>
      </c>
      <c r="BB593" s="361">
        <f ca="1">SUM((INDIRECT(BB$2&amp;(ROW())):INDIRECT(BB$3&amp;(ROW()))))</f>
        <v>-218028.44370111896</v>
      </c>
      <c r="BC593" s="361">
        <f ca="1">SUM(INDIRECT(BC$1&amp;BC$2&amp;$C593):INDIRECT(BC$1&amp;BC$3&amp;$C593))</f>
        <v>0</v>
      </c>
      <c r="BD593" s="901">
        <f t="shared" ca="1" si="1205"/>
        <v>-218028.44370111896</v>
      </c>
      <c r="BE593" s="962">
        <f t="shared" ca="1" si="1206"/>
        <v>0</v>
      </c>
      <c r="BF593" s="361">
        <f ca="1">SUM(INDIRECT(BF$1&amp;BF$2&amp;$A593):INDIRECT(BF$1&amp;BF$3&amp;$A593))</f>
        <v>-166800</v>
      </c>
      <c r="BG593" s="901">
        <f t="shared" ca="1" si="1207"/>
        <v>-51228.443701118958</v>
      </c>
      <c r="BH593" s="962">
        <f t="shared" ca="1" si="1208"/>
        <v>1.3071249622369243</v>
      </c>
    </row>
    <row r="594" spans="1:60" ht="14.5">
      <c r="A594" s="990">
        <f t="shared" si="1106"/>
        <v>529</v>
      </c>
      <c r="B594" s="990">
        <v>1</v>
      </c>
      <c r="C594" s="990">
        <f t="shared" si="1189"/>
        <v>591</v>
      </c>
      <c r="E594" s="1243">
        <v>1</v>
      </c>
      <c r="I594" s="79"/>
      <c r="J594" s="78"/>
      <c r="K594" s="74"/>
      <c r="L594" s="74"/>
      <c r="M594" s="273"/>
      <c r="N594" s="371"/>
      <c r="O594" s="371"/>
      <c r="P594" s="371" t="s">
        <v>378</v>
      </c>
      <c r="Q594" s="1845" t="str">
        <f>CHOOSE(2, "6722000003513", "S/GP (2) Gross Profit Direct NH &lt;Direct&gt;FSC(-) PC")</f>
        <v>S/GP (2) Gross Profit Direct NH &lt;Direct&gt;FSC(-) PC</v>
      </c>
      <c r="R594" s="2042">
        <v>-13368</v>
      </c>
      <c r="S594" s="2042">
        <v>-13249</v>
      </c>
      <c r="T594" s="2042">
        <v>-13514</v>
      </c>
      <c r="U594" s="2042">
        <v>-15078</v>
      </c>
      <c r="V594" s="2042">
        <v>-14059.14570111895</v>
      </c>
      <c r="W594" s="2042">
        <v>-13264</v>
      </c>
      <c r="X594" s="2042">
        <v>-22029</v>
      </c>
      <c r="Y594" s="2042">
        <v>-13234</v>
      </c>
      <c r="Z594" s="2042">
        <v>-13397</v>
      </c>
      <c r="AA594" s="2042">
        <v>-13114</v>
      </c>
      <c r="AB594" s="2042">
        <v>-22624</v>
      </c>
      <c r="AC594" s="2042">
        <v>-10762</v>
      </c>
      <c r="AD594" s="376">
        <f>SUM(R594,S594,T594)</f>
        <v>-40131</v>
      </c>
      <c r="AE594" s="109">
        <f t="shared" ref="AE594:AE596" si="1223">SUM(U594,V594,W594)</f>
        <v>-42401.145701118949</v>
      </c>
      <c r="AF594" s="109">
        <f t="shared" ref="AF594:AF596" si="1224">SUM(X594,Y594,Z594)</f>
        <v>-48660</v>
      </c>
      <c r="AG594" s="109">
        <f t="shared" ref="AG594:AG596" si="1225">SUM(AA594,AB594,AC594)</f>
        <v>-46500</v>
      </c>
      <c r="AH594" s="109">
        <f>AD594+AE594</f>
        <v>-82532.145701118949</v>
      </c>
      <c r="AI594" s="109">
        <f>AG594+AF594</f>
        <v>-95160</v>
      </c>
      <c r="AJ594" s="109">
        <f>AH594+AI594</f>
        <v>-177692.14570111895</v>
      </c>
      <c r="AL594" s="109">
        <f ca="1">SUM((INDIRECT(AL$2&amp;(ROW())):INDIRECT(AL$3&amp;(ROW()))))</f>
        <v>-10762</v>
      </c>
      <c r="AM594" s="109">
        <f ca="1">SUM(INDIRECT(AM$1&amp;AM$2&amp;$C594):INDIRECT(AM$1&amp;AM$3&amp;$C594))</f>
        <v>0</v>
      </c>
      <c r="AN594" s="892">
        <f t="shared" ca="1" si="1197"/>
        <v>-10762</v>
      </c>
      <c r="AO594" s="953">
        <f t="shared" ca="1" si="1198"/>
        <v>0</v>
      </c>
      <c r="AP594" s="109">
        <f ca="1">SUM(INDIRECT(AP$1&amp;AP$2&amp;$A594):INDIRECT(AP$1&amp;AP$3&amp;$A594))</f>
        <v>-11641</v>
      </c>
      <c r="AQ594" s="892">
        <f t="shared" ca="1" si="1199"/>
        <v>879</v>
      </c>
      <c r="AR594" s="953">
        <f t="shared" ca="1" si="1200"/>
        <v>0.92449102310798037</v>
      </c>
      <c r="AT594" s="109">
        <f ca="1">SUM((INDIRECT(AT$2&amp;(ROW())):INDIRECT(AT$3&amp;(ROW()))))</f>
        <v>-46500</v>
      </c>
      <c r="AU594" s="109">
        <f ca="1">SUM(INDIRECT(AU$1&amp;AU$2&amp;$C594):INDIRECT(AU$1&amp;AU$3&amp;$C594))</f>
        <v>0</v>
      </c>
      <c r="AV594" s="892">
        <f t="shared" ca="1" si="1201"/>
        <v>-46500</v>
      </c>
      <c r="AW594" s="953">
        <f t="shared" ca="1" si="1202"/>
        <v>0</v>
      </c>
      <c r="AX594" s="109">
        <f ca="1">SUM(INDIRECT(AX$1&amp;AX$2&amp;$A594):INDIRECT(AX$1&amp;AX$3&amp;$A594))</f>
        <v>-34329</v>
      </c>
      <c r="AY594" s="892">
        <f t="shared" ca="1" si="1203"/>
        <v>-12171</v>
      </c>
      <c r="AZ594" s="953">
        <f t="shared" ca="1" si="1204"/>
        <v>1.354539893384602</v>
      </c>
      <c r="BB594" s="109">
        <f ca="1">SUM((INDIRECT(BB$2&amp;(ROW())):INDIRECT(BB$3&amp;(ROW()))))</f>
        <v>-177692.14570111895</v>
      </c>
      <c r="BC594" s="109">
        <f ca="1">SUM(INDIRECT(BC$1&amp;BC$2&amp;$C594):INDIRECT(BC$1&amp;BC$3&amp;$C594))</f>
        <v>0</v>
      </c>
      <c r="BD594" s="892">
        <f t="shared" ca="1" si="1205"/>
        <v>-177692.14570111895</v>
      </c>
      <c r="BE594" s="953">
        <f t="shared" ca="1" si="1206"/>
        <v>0</v>
      </c>
      <c r="BF594" s="109">
        <f ca="1">SUM(INDIRECT(BF$1&amp;BF$2&amp;$A594):INDIRECT(BF$1&amp;BF$3&amp;$A594))</f>
        <v>-140848</v>
      </c>
      <c r="BG594" s="892">
        <f t="shared" ca="1" si="1207"/>
        <v>-36844.145701118949</v>
      </c>
      <c r="BH594" s="953">
        <f t="shared" ca="1" si="1208"/>
        <v>1.2615879934476808</v>
      </c>
    </row>
    <row r="595" spans="1:60" ht="14.5">
      <c r="A595" s="990">
        <f t="shared" si="1106"/>
        <v>530</v>
      </c>
      <c r="B595" s="990">
        <v>1</v>
      </c>
      <c r="C595" s="990">
        <f t="shared" si="1189"/>
        <v>592</v>
      </c>
      <c r="E595" s="1243">
        <v>1</v>
      </c>
      <c r="I595" s="79"/>
      <c r="J595" s="78"/>
      <c r="K595" s="74"/>
      <c r="L595" s="74"/>
      <c r="M595" s="273"/>
      <c r="N595" s="299"/>
      <c r="O595" s="299"/>
      <c r="P595" s="299" t="s">
        <v>379</v>
      </c>
      <c r="Q595" s="1845" t="str">
        <f>CHOOSE(2, "6722000003514", "S/GP (2) Gross Profit Direct NH &lt;Direct&gt;FSC(-) TE")</f>
        <v>S/GP (2) Gross Profit Direct NH &lt;Direct&gt;FSC(-) TE</v>
      </c>
      <c r="R595" s="2036">
        <v>0</v>
      </c>
      <c r="S595" s="2036">
        <v>-1074</v>
      </c>
      <c r="T595" s="2036">
        <v>-2392</v>
      </c>
      <c r="U595" s="2036">
        <v>-2268</v>
      </c>
      <c r="V595" s="2036">
        <v>-2511.962</v>
      </c>
      <c r="W595" s="2036">
        <v>-3470</v>
      </c>
      <c r="X595" s="2036">
        <v>-4778</v>
      </c>
      <c r="Y595" s="2036">
        <v>-2231</v>
      </c>
      <c r="Z595" s="2036">
        <v>-2689</v>
      </c>
      <c r="AA595" s="2036">
        <v>-2175</v>
      </c>
      <c r="AB595" s="2036">
        <v>-3386.3440000000001</v>
      </c>
      <c r="AC595" s="2036">
        <v>-9936</v>
      </c>
      <c r="AD595" s="100">
        <f>SUM(R595,S595,T595)</f>
        <v>-3466</v>
      </c>
      <c r="AE595" s="19">
        <f t="shared" si="1223"/>
        <v>-8249.9619999999995</v>
      </c>
      <c r="AF595" s="19">
        <f t="shared" si="1224"/>
        <v>-9698</v>
      </c>
      <c r="AG595" s="19">
        <f t="shared" si="1225"/>
        <v>-15497.344000000001</v>
      </c>
      <c r="AH595" s="19">
        <f>AD595+AE595</f>
        <v>-11715.962</v>
      </c>
      <c r="AI595" s="19">
        <f>AG595+AF595</f>
        <v>-25195.344000000001</v>
      </c>
      <c r="AJ595" s="19">
        <f>AH595+AI595</f>
        <v>-36911.305999999997</v>
      </c>
      <c r="AL595" s="19">
        <f ca="1">SUM((INDIRECT(AL$2&amp;(ROW())):INDIRECT(AL$3&amp;(ROW()))))</f>
        <v>-9936</v>
      </c>
      <c r="AM595" s="19">
        <f ca="1">SUM(INDIRECT(AM$1&amp;AM$2&amp;$C595):INDIRECT(AM$1&amp;AM$3&amp;$C595))</f>
        <v>0</v>
      </c>
      <c r="AN595" s="875">
        <f t="shared" ca="1" si="1197"/>
        <v>-9936</v>
      </c>
      <c r="AO595" s="926">
        <f t="shared" ca="1" si="1198"/>
        <v>0</v>
      </c>
      <c r="AP595" s="19">
        <f ca="1">SUM(INDIRECT(AP$1&amp;AP$2&amp;$A595):INDIRECT(AP$1&amp;AP$3&amp;$A595))</f>
        <v>-8667</v>
      </c>
      <c r="AQ595" s="875">
        <f t="shared" ca="1" si="1199"/>
        <v>-1269</v>
      </c>
      <c r="AR595" s="926">
        <f t="shared" ca="1" si="1200"/>
        <v>1.1464174454828659</v>
      </c>
      <c r="AT595" s="19">
        <f ca="1">SUM((INDIRECT(AT$2&amp;(ROW())):INDIRECT(AT$3&amp;(ROW()))))</f>
        <v>-15497.344000000001</v>
      </c>
      <c r="AU595" s="19">
        <f ca="1">SUM(INDIRECT(AU$1&amp;AU$2&amp;$C595):INDIRECT(AU$1&amp;AU$3&amp;$C595))</f>
        <v>0</v>
      </c>
      <c r="AV595" s="875">
        <f t="shared" ca="1" si="1201"/>
        <v>-15497.344000000001</v>
      </c>
      <c r="AW595" s="926">
        <f t="shared" ca="1" si="1202"/>
        <v>0</v>
      </c>
      <c r="AX595" s="19">
        <f ca="1">SUM(INDIRECT(AX$1&amp;AX$2&amp;$A595):INDIRECT(AX$1&amp;AX$3&amp;$A595))</f>
        <v>-13707</v>
      </c>
      <c r="AY595" s="875">
        <f t="shared" ca="1" si="1203"/>
        <v>-1790.344000000001</v>
      </c>
      <c r="AZ595" s="926">
        <f t="shared" ca="1" si="1204"/>
        <v>1.1306153060480046</v>
      </c>
      <c r="BB595" s="19">
        <f ca="1">SUM((INDIRECT(BB$2&amp;(ROW())):INDIRECT(BB$3&amp;(ROW()))))</f>
        <v>-36911.305999999997</v>
      </c>
      <c r="BC595" s="19">
        <f ca="1">SUM(INDIRECT(BC$1&amp;BC$2&amp;$C595):INDIRECT(BC$1&amp;BC$3&amp;$C595))</f>
        <v>0</v>
      </c>
      <c r="BD595" s="875">
        <f t="shared" ca="1" si="1205"/>
        <v>-36911.305999999997</v>
      </c>
      <c r="BE595" s="926">
        <f t="shared" ca="1" si="1206"/>
        <v>0</v>
      </c>
      <c r="BF595" s="19">
        <f ca="1">SUM(INDIRECT(BF$1&amp;BF$2&amp;$A595):INDIRECT(BF$1&amp;BF$3&amp;$A595))</f>
        <v>-25952</v>
      </c>
      <c r="BG595" s="875">
        <f t="shared" ca="1" si="1207"/>
        <v>-10959.305999999997</v>
      </c>
      <c r="BH595" s="926">
        <f t="shared" ca="1" si="1208"/>
        <v>1.4222913840937113</v>
      </c>
    </row>
    <row r="596" spans="1:60" ht="14.5">
      <c r="A596" s="990">
        <f t="shared" si="1106"/>
        <v>531</v>
      </c>
      <c r="B596" s="990">
        <v>1</v>
      </c>
      <c r="C596" s="990">
        <f t="shared" si="1189"/>
        <v>593</v>
      </c>
      <c r="E596" s="1243">
        <v>1</v>
      </c>
      <c r="I596" s="79"/>
      <c r="J596" s="78"/>
      <c r="K596" s="74"/>
      <c r="L596" s="74"/>
      <c r="M596" s="273"/>
      <c r="N596" s="299"/>
      <c r="O596" s="299"/>
      <c r="P596" s="298" t="s">
        <v>386</v>
      </c>
      <c r="Q596" s="1845" t="str">
        <f>CHOOSE(2, "6722000003515", "S/GP (2) Gross Profit Direct NH &lt;Direct&gt;FSC(-) OFC")</f>
        <v>S/GP (2) Gross Profit Direct NH &lt;Direct&gt;FSC(-) OFC</v>
      </c>
      <c r="R596" s="2037">
        <v>-319</v>
      </c>
      <c r="S596" s="2037">
        <v>-319</v>
      </c>
      <c r="T596" s="2037">
        <v>-175</v>
      </c>
      <c r="U596" s="2037">
        <v>-274</v>
      </c>
      <c r="V596" s="2037">
        <v>-287.74799999999999</v>
      </c>
      <c r="W596" s="2037">
        <v>-287.74799999999999</v>
      </c>
      <c r="X596" s="2037">
        <v>-287.74799999999999</v>
      </c>
      <c r="Y596" s="2037">
        <v>-238</v>
      </c>
      <c r="Z596" s="2037">
        <v>-288</v>
      </c>
      <c r="AA596" s="2037">
        <v>-288</v>
      </c>
      <c r="AB596" s="2037">
        <v>-287.74799999999999</v>
      </c>
      <c r="AC596" s="2037">
        <v>-373</v>
      </c>
      <c r="AD596" s="99">
        <f>SUM(R596,S596,T596)</f>
        <v>-813</v>
      </c>
      <c r="AE596" s="17">
        <f t="shared" si="1223"/>
        <v>-849.49600000000009</v>
      </c>
      <c r="AF596" s="17">
        <f t="shared" si="1224"/>
        <v>-813.74800000000005</v>
      </c>
      <c r="AG596" s="17">
        <f t="shared" si="1225"/>
        <v>-948.74800000000005</v>
      </c>
      <c r="AH596" s="17">
        <f>AD596+AE596</f>
        <v>-1662.4960000000001</v>
      </c>
      <c r="AI596" s="17">
        <f>AG596+AF596</f>
        <v>-1762.4960000000001</v>
      </c>
      <c r="AJ596" s="17">
        <f>AH596+AI596</f>
        <v>-3424.9920000000002</v>
      </c>
      <c r="AL596" s="17">
        <f ca="1">SUM((INDIRECT(AL$2&amp;(ROW())):INDIRECT(AL$3&amp;(ROW()))))</f>
        <v>-373</v>
      </c>
      <c r="AM596" s="17">
        <f ca="1">SUM(INDIRECT(AM$1&amp;AM$2&amp;$C596):INDIRECT(AM$1&amp;AM$3&amp;$C596))</f>
        <v>0</v>
      </c>
      <c r="AN596" s="876">
        <f t="shared" ca="1" si="1197"/>
        <v>-373</v>
      </c>
      <c r="AO596" s="927">
        <f t="shared" ca="1" si="1198"/>
        <v>0</v>
      </c>
      <c r="AP596" s="17">
        <f ca="1">SUM(INDIRECT(AP$1&amp;AP$2&amp;$A596):INDIRECT(AP$1&amp;AP$3&amp;$A596))</f>
        <v>0</v>
      </c>
      <c r="AQ596" s="876">
        <f t="shared" ca="1" si="1199"/>
        <v>-373</v>
      </c>
      <c r="AR596" s="927">
        <f t="shared" ca="1" si="1200"/>
        <v>0</v>
      </c>
      <c r="AT596" s="17">
        <f ca="1">SUM((INDIRECT(AT$2&amp;(ROW())):INDIRECT(AT$3&amp;(ROW()))))</f>
        <v>-948.74800000000005</v>
      </c>
      <c r="AU596" s="17">
        <f ca="1">SUM(INDIRECT(AU$1&amp;AU$2&amp;$C596):INDIRECT(AU$1&amp;AU$3&amp;$C596))</f>
        <v>0</v>
      </c>
      <c r="AV596" s="876">
        <f t="shared" ca="1" si="1201"/>
        <v>-948.74800000000005</v>
      </c>
      <c r="AW596" s="927">
        <f t="shared" ca="1" si="1202"/>
        <v>0</v>
      </c>
      <c r="AX596" s="17">
        <f ca="1">SUM(INDIRECT(AX$1&amp;AX$2&amp;$A596):INDIRECT(AX$1&amp;AX$3&amp;$A596))</f>
        <v>0</v>
      </c>
      <c r="AY596" s="876">
        <f t="shared" ca="1" si="1203"/>
        <v>-948.74800000000005</v>
      </c>
      <c r="AZ596" s="927">
        <f t="shared" ca="1" si="1204"/>
        <v>0</v>
      </c>
      <c r="BB596" s="17">
        <f ca="1">SUM((INDIRECT(BB$2&amp;(ROW())):INDIRECT(BB$3&amp;(ROW()))))</f>
        <v>-3424.9920000000002</v>
      </c>
      <c r="BC596" s="17">
        <f ca="1">SUM(INDIRECT(BC$1&amp;BC$2&amp;$C596):INDIRECT(BC$1&amp;BC$3&amp;$C596))</f>
        <v>0</v>
      </c>
      <c r="BD596" s="876">
        <f t="shared" ca="1" si="1205"/>
        <v>-3424.9920000000002</v>
      </c>
      <c r="BE596" s="927">
        <f t="shared" ca="1" si="1206"/>
        <v>0</v>
      </c>
      <c r="BF596" s="17">
        <f ca="1">SUM(INDIRECT(BF$1&amp;BF$2&amp;$A596):INDIRECT(BF$1&amp;BF$3&amp;$A596))</f>
        <v>0</v>
      </c>
      <c r="BG596" s="876">
        <f t="shared" ca="1" si="1207"/>
        <v>-3424.9920000000002</v>
      </c>
      <c r="BH596" s="927">
        <f t="shared" ca="1" si="1208"/>
        <v>0</v>
      </c>
    </row>
    <row r="597" spans="1:60" ht="14.5">
      <c r="A597" s="990">
        <f t="shared" si="1106"/>
        <v>532</v>
      </c>
      <c r="B597" s="990">
        <v>1</v>
      </c>
      <c r="C597" s="990">
        <f t="shared" si="1189"/>
        <v>594</v>
      </c>
      <c r="E597" s="1243">
        <v>1</v>
      </c>
      <c r="I597" s="79"/>
      <c r="J597" s="78"/>
      <c r="K597" s="74"/>
      <c r="L597" s="74"/>
      <c r="M597" s="273"/>
      <c r="N597" s="370" t="s">
        <v>473</v>
      </c>
      <c r="O597" s="370"/>
      <c r="P597" s="370"/>
      <c r="Q597" s="1843" t="str">
        <f>CHOOSE(2, "6722000003516", "S/GP (2) Gross Profit Direct NH &lt;Direct&gt;SDC(-)")</f>
        <v>S/GP (2) Gross Profit Direct NH &lt;Direct&gt;SDC(-)</v>
      </c>
      <c r="R597" s="361">
        <f t="shared" ref="R597:AC597" si="1226">SUM(R598:R599)</f>
        <v>0</v>
      </c>
      <c r="S597" s="361">
        <f t="shared" si="1226"/>
        <v>0</v>
      </c>
      <c r="T597" s="361">
        <f t="shared" si="1226"/>
        <v>0</v>
      </c>
      <c r="U597" s="361">
        <f t="shared" si="1226"/>
        <v>0</v>
      </c>
      <c r="V597" s="361">
        <f t="shared" si="1226"/>
        <v>0</v>
      </c>
      <c r="W597" s="361">
        <f t="shared" si="1226"/>
        <v>0</v>
      </c>
      <c r="X597" s="361">
        <f t="shared" si="1226"/>
        <v>0</v>
      </c>
      <c r="Y597" s="361">
        <f t="shared" si="1226"/>
        <v>0</v>
      </c>
      <c r="Z597" s="361">
        <f t="shared" si="1226"/>
        <v>0</v>
      </c>
      <c r="AA597" s="361">
        <f t="shared" si="1226"/>
        <v>0</v>
      </c>
      <c r="AB597" s="361">
        <f t="shared" si="1226"/>
        <v>0</v>
      </c>
      <c r="AC597" s="361">
        <f t="shared" si="1226"/>
        <v>0</v>
      </c>
      <c r="AD597" s="375">
        <f t="shared" ref="AD597:AJ597" si="1227">SUM(AD598:AD599)</f>
        <v>0</v>
      </c>
      <c r="AE597" s="361">
        <f t="shared" si="1227"/>
        <v>0</v>
      </c>
      <c r="AF597" s="361">
        <f t="shared" si="1227"/>
        <v>0</v>
      </c>
      <c r="AG597" s="361">
        <f t="shared" si="1227"/>
        <v>0</v>
      </c>
      <c r="AH597" s="361">
        <f t="shared" si="1227"/>
        <v>0</v>
      </c>
      <c r="AI597" s="361">
        <f t="shared" si="1227"/>
        <v>0</v>
      </c>
      <c r="AJ597" s="361">
        <f t="shared" si="1227"/>
        <v>0</v>
      </c>
      <c r="AL597" s="361">
        <f ca="1">SUM((INDIRECT(AL$2&amp;(ROW())):INDIRECT(AL$3&amp;(ROW()))))</f>
        <v>0</v>
      </c>
      <c r="AM597" s="361">
        <f ca="1">SUM(INDIRECT(AM$1&amp;AM$2&amp;$C597):INDIRECT(AM$1&amp;AM$3&amp;$C597))</f>
        <v>0</v>
      </c>
      <c r="AN597" s="901">
        <f t="shared" ca="1" si="1197"/>
        <v>0</v>
      </c>
      <c r="AO597" s="962">
        <f t="shared" ca="1" si="1198"/>
        <v>0</v>
      </c>
      <c r="AP597" s="361">
        <f ca="1">SUM(INDIRECT(AP$1&amp;AP$2&amp;$A597):INDIRECT(AP$1&amp;AP$3&amp;$A597))</f>
        <v>-60</v>
      </c>
      <c r="AQ597" s="901">
        <f t="shared" ca="1" si="1199"/>
        <v>60</v>
      </c>
      <c r="AR597" s="962">
        <f t="shared" ca="1" si="1200"/>
        <v>0</v>
      </c>
      <c r="AT597" s="361">
        <f ca="1">SUM((INDIRECT(AT$2&amp;(ROW())):INDIRECT(AT$3&amp;(ROW()))))</f>
        <v>0</v>
      </c>
      <c r="AU597" s="361">
        <f ca="1">SUM(INDIRECT(AU$1&amp;AU$2&amp;$C597):INDIRECT(AU$1&amp;AU$3&amp;$C597))</f>
        <v>0</v>
      </c>
      <c r="AV597" s="901">
        <f t="shared" ca="1" si="1201"/>
        <v>0</v>
      </c>
      <c r="AW597" s="962">
        <f t="shared" ca="1" si="1202"/>
        <v>0</v>
      </c>
      <c r="AX597" s="361">
        <f ca="1">SUM(INDIRECT(AX$1&amp;AX$2&amp;$A597):INDIRECT(AX$1&amp;AX$3&amp;$A597))</f>
        <v>-635</v>
      </c>
      <c r="AY597" s="901">
        <f t="shared" ca="1" si="1203"/>
        <v>635</v>
      </c>
      <c r="AZ597" s="962">
        <f t="shared" ca="1" si="1204"/>
        <v>0</v>
      </c>
      <c r="BB597" s="361">
        <f ca="1">SUM((INDIRECT(BB$2&amp;(ROW())):INDIRECT(BB$3&amp;(ROW()))))</f>
        <v>0</v>
      </c>
      <c r="BC597" s="361">
        <f ca="1">SUM(INDIRECT(BC$1&amp;BC$2&amp;$C597):INDIRECT(BC$1&amp;BC$3&amp;$C597))</f>
        <v>0</v>
      </c>
      <c r="BD597" s="901">
        <f t="shared" ca="1" si="1205"/>
        <v>0</v>
      </c>
      <c r="BE597" s="962">
        <f t="shared" ca="1" si="1206"/>
        <v>0</v>
      </c>
      <c r="BF597" s="361">
        <f ca="1">SUM(INDIRECT(BF$1&amp;BF$2&amp;$A597):INDIRECT(BF$1&amp;BF$3&amp;$A597))</f>
        <v>-3421</v>
      </c>
      <c r="BG597" s="901">
        <f t="shared" ca="1" si="1207"/>
        <v>3421</v>
      </c>
      <c r="BH597" s="962">
        <f t="shared" ca="1" si="1208"/>
        <v>0</v>
      </c>
    </row>
    <row r="598" spans="1:60" ht="14.5">
      <c r="A598" s="990">
        <f t="shared" ref="A598:A661" si="1228">A597+1</f>
        <v>533</v>
      </c>
      <c r="B598" s="990">
        <v>1</v>
      </c>
      <c r="C598" s="990">
        <f t="shared" si="1189"/>
        <v>595</v>
      </c>
      <c r="E598" s="1243">
        <v>1</v>
      </c>
      <c r="I598" s="79"/>
      <c r="J598" s="78"/>
      <c r="K598" s="74"/>
      <c r="L598" s="74"/>
      <c r="M598" s="273"/>
      <c r="N598" s="372"/>
      <c r="O598" s="371"/>
      <c r="P598" s="371" t="s">
        <v>391</v>
      </c>
      <c r="Q598" s="1845" t="str">
        <f>CHOOSE(2, "6722000003517", "S/GP (2) Gross Profit Direct NH &lt;Direct&gt;SDC(-) PC")</f>
        <v>S/GP (2) Gross Profit Direct NH &lt;Direct&gt;SDC(-) PC</v>
      </c>
      <c r="R598" s="2042">
        <v>0</v>
      </c>
      <c r="S598" s="2042">
        <v>0</v>
      </c>
      <c r="T598" s="2042">
        <v>0</v>
      </c>
      <c r="U598" s="2042">
        <v>0</v>
      </c>
      <c r="V598" s="2042">
        <v>0</v>
      </c>
      <c r="W598" s="2042">
        <v>0</v>
      </c>
      <c r="X598" s="2042">
        <v>0</v>
      </c>
      <c r="Y598" s="2042">
        <v>0</v>
      </c>
      <c r="Z598" s="2042">
        <v>0</v>
      </c>
      <c r="AA598" s="2042">
        <v>0</v>
      </c>
      <c r="AB598" s="2042">
        <v>0</v>
      </c>
      <c r="AC598" s="2042">
        <v>0</v>
      </c>
      <c r="AD598" s="376">
        <f>SUM(R598,S598,T598)</f>
        <v>0</v>
      </c>
      <c r="AE598" s="109">
        <f t="shared" ref="AE598:AE600" si="1229">SUM(U598,V598,W598)</f>
        <v>0</v>
      </c>
      <c r="AF598" s="109">
        <f t="shared" ref="AF598:AF600" si="1230">SUM(X598,Y598,Z598)</f>
        <v>0</v>
      </c>
      <c r="AG598" s="109">
        <f t="shared" ref="AG598:AG600" si="1231">SUM(AA598,AB598,AC598)</f>
        <v>0</v>
      </c>
      <c r="AH598" s="109">
        <f>AD598+AE598</f>
        <v>0</v>
      </c>
      <c r="AI598" s="109">
        <f>AG598+AF598</f>
        <v>0</v>
      </c>
      <c r="AJ598" s="109">
        <f>AH598+AI598</f>
        <v>0</v>
      </c>
      <c r="AL598" s="109">
        <f ca="1">SUM((INDIRECT(AL$2&amp;(ROW())):INDIRECT(AL$3&amp;(ROW()))))</f>
        <v>0</v>
      </c>
      <c r="AM598" s="109">
        <f ca="1">SUM(INDIRECT(AM$1&amp;AM$2&amp;$C598):INDIRECT(AM$1&amp;AM$3&amp;$C598))</f>
        <v>0</v>
      </c>
      <c r="AN598" s="892">
        <f t="shared" ca="1" si="1197"/>
        <v>0</v>
      </c>
      <c r="AO598" s="953">
        <f t="shared" ca="1" si="1198"/>
        <v>0</v>
      </c>
      <c r="AP598" s="109">
        <f ca="1">SUM(INDIRECT(AP$1&amp;AP$2&amp;$A598):INDIRECT(AP$1&amp;AP$3&amp;$A598))</f>
        <v>-60</v>
      </c>
      <c r="AQ598" s="892">
        <f t="shared" ca="1" si="1199"/>
        <v>60</v>
      </c>
      <c r="AR598" s="953">
        <f t="shared" ca="1" si="1200"/>
        <v>0</v>
      </c>
      <c r="AT598" s="109">
        <f ca="1">SUM((INDIRECT(AT$2&amp;(ROW())):INDIRECT(AT$3&amp;(ROW()))))</f>
        <v>0</v>
      </c>
      <c r="AU598" s="109">
        <f ca="1">SUM(INDIRECT(AU$1&amp;AU$2&amp;$C598):INDIRECT(AU$1&amp;AU$3&amp;$C598))</f>
        <v>0</v>
      </c>
      <c r="AV598" s="892">
        <f t="shared" ca="1" si="1201"/>
        <v>0</v>
      </c>
      <c r="AW598" s="953">
        <f t="shared" ca="1" si="1202"/>
        <v>0</v>
      </c>
      <c r="AX598" s="109">
        <f ca="1">SUM(INDIRECT(AX$1&amp;AX$2&amp;$A598):INDIRECT(AX$1&amp;AX$3&amp;$A598))</f>
        <v>-635</v>
      </c>
      <c r="AY598" s="892">
        <f t="shared" ca="1" si="1203"/>
        <v>635</v>
      </c>
      <c r="AZ598" s="953">
        <f t="shared" ca="1" si="1204"/>
        <v>0</v>
      </c>
      <c r="BB598" s="109">
        <f ca="1">SUM((INDIRECT(BB$2&amp;(ROW())):INDIRECT(BB$3&amp;(ROW()))))</f>
        <v>0</v>
      </c>
      <c r="BC598" s="109">
        <f ca="1">SUM(INDIRECT(BC$1&amp;BC$2&amp;$C598):INDIRECT(BC$1&amp;BC$3&amp;$C598))</f>
        <v>0</v>
      </c>
      <c r="BD598" s="892">
        <f t="shared" ca="1" si="1205"/>
        <v>0</v>
      </c>
      <c r="BE598" s="953">
        <f t="shared" ca="1" si="1206"/>
        <v>0</v>
      </c>
      <c r="BF598" s="109">
        <f ca="1">SUM(INDIRECT(BF$1&amp;BF$2&amp;$A598):INDIRECT(BF$1&amp;BF$3&amp;$A598))</f>
        <v>-3421</v>
      </c>
      <c r="BG598" s="892">
        <f t="shared" ca="1" si="1207"/>
        <v>3421</v>
      </c>
      <c r="BH598" s="953">
        <f t="shared" ca="1" si="1208"/>
        <v>0</v>
      </c>
    </row>
    <row r="599" spans="1:60" ht="14.5">
      <c r="A599" s="990">
        <f t="shared" si="1228"/>
        <v>534</v>
      </c>
      <c r="B599" s="990">
        <v>1</v>
      </c>
      <c r="C599" s="990">
        <f t="shared" si="1189"/>
        <v>596</v>
      </c>
      <c r="E599" s="1243">
        <v>1</v>
      </c>
      <c r="I599" s="79"/>
      <c r="J599" s="78"/>
      <c r="K599" s="74"/>
      <c r="L599" s="74"/>
      <c r="M599" s="273"/>
      <c r="N599" s="300"/>
      <c r="O599" s="298"/>
      <c r="P599" s="298" t="s">
        <v>393</v>
      </c>
      <c r="Q599" s="1845" t="str">
        <f>CHOOSE(2, "6722000003518", "S/GP (2) Gross Profit Direct NH &lt;Direct&gt;SDC(-) OFC")</f>
        <v>S/GP (2) Gross Profit Direct NH &lt;Direct&gt;SDC(-) OFC</v>
      </c>
      <c r="R599" s="2037">
        <v>0</v>
      </c>
      <c r="S599" s="2037">
        <v>0</v>
      </c>
      <c r="T599" s="2037">
        <v>0</v>
      </c>
      <c r="U599" s="2037">
        <v>0</v>
      </c>
      <c r="V599" s="2037">
        <v>0</v>
      </c>
      <c r="W599" s="2037">
        <v>0</v>
      </c>
      <c r="X599" s="2037">
        <v>0</v>
      </c>
      <c r="Y599" s="2037">
        <v>0</v>
      </c>
      <c r="Z599" s="2037">
        <v>0</v>
      </c>
      <c r="AA599" s="2037">
        <v>0</v>
      </c>
      <c r="AB599" s="2037">
        <v>0</v>
      </c>
      <c r="AC599" s="2037">
        <v>0</v>
      </c>
      <c r="AD599" s="99">
        <f>SUM(R599,S599,T599)</f>
        <v>0</v>
      </c>
      <c r="AE599" s="17">
        <f t="shared" si="1229"/>
        <v>0</v>
      </c>
      <c r="AF599" s="17">
        <f t="shared" si="1230"/>
        <v>0</v>
      </c>
      <c r="AG599" s="17">
        <f t="shared" si="1231"/>
        <v>0</v>
      </c>
      <c r="AH599" s="17">
        <f>AD599+AE599</f>
        <v>0</v>
      </c>
      <c r="AI599" s="17">
        <f>AG599+AF599</f>
        <v>0</v>
      </c>
      <c r="AJ599" s="17">
        <f>AH599+AI599</f>
        <v>0</v>
      </c>
      <c r="AL599" s="17">
        <f ca="1">SUM((INDIRECT(AL$2&amp;(ROW())):INDIRECT(AL$3&amp;(ROW()))))</f>
        <v>0</v>
      </c>
      <c r="AM599" s="17">
        <f ca="1">SUM(INDIRECT(AM$1&amp;AM$2&amp;$C599):INDIRECT(AM$1&amp;AM$3&amp;$C599))</f>
        <v>0</v>
      </c>
      <c r="AN599" s="876">
        <f t="shared" ca="1" si="1197"/>
        <v>0</v>
      </c>
      <c r="AO599" s="927">
        <f t="shared" ca="1" si="1198"/>
        <v>0</v>
      </c>
      <c r="AP599" s="17">
        <f ca="1">SUM(INDIRECT(AP$1&amp;AP$2&amp;$A599):INDIRECT(AP$1&amp;AP$3&amp;$A599))</f>
        <v>0</v>
      </c>
      <c r="AQ599" s="876">
        <f t="shared" ca="1" si="1199"/>
        <v>0</v>
      </c>
      <c r="AR599" s="927">
        <f t="shared" ca="1" si="1200"/>
        <v>0</v>
      </c>
      <c r="AT599" s="17">
        <f ca="1">SUM((INDIRECT(AT$2&amp;(ROW())):INDIRECT(AT$3&amp;(ROW()))))</f>
        <v>0</v>
      </c>
      <c r="AU599" s="17">
        <f ca="1">SUM(INDIRECT(AU$1&amp;AU$2&amp;$C599):INDIRECT(AU$1&amp;AU$3&amp;$C599))</f>
        <v>0</v>
      </c>
      <c r="AV599" s="876">
        <f t="shared" ca="1" si="1201"/>
        <v>0</v>
      </c>
      <c r="AW599" s="927">
        <f t="shared" ca="1" si="1202"/>
        <v>0</v>
      </c>
      <c r="AX599" s="17">
        <f ca="1">SUM(INDIRECT(AX$1&amp;AX$2&amp;$A599):INDIRECT(AX$1&amp;AX$3&amp;$A599))</f>
        <v>0</v>
      </c>
      <c r="AY599" s="876">
        <f t="shared" ca="1" si="1203"/>
        <v>0</v>
      </c>
      <c r="AZ599" s="927">
        <f t="shared" ca="1" si="1204"/>
        <v>0</v>
      </c>
      <c r="BB599" s="17">
        <f ca="1">SUM((INDIRECT(BB$2&amp;(ROW())):INDIRECT(BB$3&amp;(ROW()))))</f>
        <v>0</v>
      </c>
      <c r="BC599" s="17">
        <f ca="1">SUM(INDIRECT(BC$1&amp;BC$2&amp;$C599):INDIRECT(BC$1&amp;BC$3&amp;$C599))</f>
        <v>0</v>
      </c>
      <c r="BD599" s="876">
        <f t="shared" ca="1" si="1205"/>
        <v>0</v>
      </c>
      <c r="BE599" s="927">
        <f t="shared" ca="1" si="1206"/>
        <v>0</v>
      </c>
      <c r="BF599" s="17">
        <f ca="1">SUM(INDIRECT(BF$1&amp;BF$2&amp;$A599):INDIRECT(BF$1&amp;BF$3&amp;$A599))</f>
        <v>0</v>
      </c>
      <c r="BG599" s="876">
        <f t="shared" ca="1" si="1207"/>
        <v>0</v>
      </c>
      <c r="BH599" s="927">
        <f t="shared" ca="1" si="1208"/>
        <v>0</v>
      </c>
    </row>
    <row r="600" spans="1:60" ht="14.5">
      <c r="A600" s="990">
        <f t="shared" si="1228"/>
        <v>535</v>
      </c>
      <c r="B600" s="990">
        <v>1</v>
      </c>
      <c r="C600" s="990">
        <f t="shared" si="1189"/>
        <v>597</v>
      </c>
      <c r="E600" s="1243">
        <v>1</v>
      </c>
      <c r="I600" s="79"/>
      <c r="J600" s="78"/>
      <c r="K600" s="74"/>
      <c r="L600" s="74"/>
      <c r="M600" s="273"/>
      <c r="N600" s="400" t="s">
        <v>536</v>
      </c>
      <c r="O600" s="299"/>
      <c r="P600" s="299"/>
      <c r="Q600" s="1845" t="str">
        <f>CHOOSE(2, "6722000003519", "S/GP (2) Gross Profit Direct NH &lt;Direct&gt;D&amp;A (-)")</f>
        <v>S/GP (2) Gross Profit Direct NH &lt;Direct&gt;D&amp;A (-)</v>
      </c>
      <c r="R600" s="2036">
        <v>0</v>
      </c>
      <c r="S600" s="2036">
        <v>0</v>
      </c>
      <c r="T600" s="2036">
        <v>0</v>
      </c>
      <c r="U600" s="2036">
        <v>0</v>
      </c>
      <c r="V600" s="2036">
        <v>0</v>
      </c>
      <c r="W600" s="2036">
        <v>0</v>
      </c>
      <c r="X600" s="2036">
        <v>0</v>
      </c>
      <c r="Y600" s="2036">
        <v>0</v>
      </c>
      <c r="Z600" s="2036">
        <v>0</v>
      </c>
      <c r="AA600" s="2036">
        <v>0</v>
      </c>
      <c r="AB600" s="2036">
        <v>0</v>
      </c>
      <c r="AC600" s="2036">
        <v>0</v>
      </c>
      <c r="AD600" s="100">
        <f>SUM(R600,S600,T600)</f>
        <v>0</v>
      </c>
      <c r="AE600" s="19">
        <f t="shared" si="1229"/>
        <v>0</v>
      </c>
      <c r="AF600" s="19">
        <f t="shared" si="1230"/>
        <v>0</v>
      </c>
      <c r="AG600" s="19">
        <f t="shared" si="1231"/>
        <v>0</v>
      </c>
      <c r="AH600" s="19">
        <f>AD600+AE600</f>
        <v>0</v>
      </c>
      <c r="AI600" s="19">
        <f>AG600+AF600</f>
        <v>0</v>
      </c>
      <c r="AJ600" s="19">
        <f>AH600+AI600</f>
        <v>0</v>
      </c>
      <c r="AL600" s="19">
        <f ca="1">SUM((INDIRECT(AL$2&amp;(ROW())):INDIRECT(AL$3&amp;(ROW()))))</f>
        <v>0</v>
      </c>
      <c r="AM600" s="19">
        <f ca="1">SUM(INDIRECT(AM$1&amp;AM$2&amp;$C600):INDIRECT(AM$1&amp;AM$3&amp;$C600))</f>
        <v>0</v>
      </c>
      <c r="AN600" s="875">
        <f t="shared" ca="1" si="1197"/>
        <v>0</v>
      </c>
      <c r="AO600" s="926">
        <f t="shared" ca="1" si="1198"/>
        <v>0</v>
      </c>
      <c r="AP600" s="19">
        <f ca="1">SUM(INDIRECT(AP$1&amp;AP$2&amp;$A600):INDIRECT(AP$1&amp;AP$3&amp;$A600))</f>
        <v>0</v>
      </c>
      <c r="AQ600" s="875">
        <f t="shared" ca="1" si="1199"/>
        <v>0</v>
      </c>
      <c r="AR600" s="926">
        <f t="shared" ca="1" si="1200"/>
        <v>0</v>
      </c>
      <c r="AT600" s="19">
        <f ca="1">SUM((INDIRECT(AT$2&amp;(ROW())):INDIRECT(AT$3&amp;(ROW()))))</f>
        <v>0</v>
      </c>
      <c r="AU600" s="19">
        <f ca="1">SUM(INDIRECT(AU$1&amp;AU$2&amp;$C600):INDIRECT(AU$1&amp;AU$3&amp;$C600))</f>
        <v>0</v>
      </c>
      <c r="AV600" s="875">
        <f t="shared" ca="1" si="1201"/>
        <v>0</v>
      </c>
      <c r="AW600" s="926">
        <f t="shared" ca="1" si="1202"/>
        <v>0</v>
      </c>
      <c r="AX600" s="19">
        <f ca="1">SUM(INDIRECT(AX$1&amp;AX$2&amp;$A600):INDIRECT(AX$1&amp;AX$3&amp;$A600))</f>
        <v>0</v>
      </c>
      <c r="AY600" s="875">
        <f t="shared" ca="1" si="1203"/>
        <v>0</v>
      </c>
      <c r="AZ600" s="926">
        <f t="shared" ca="1" si="1204"/>
        <v>0</v>
      </c>
      <c r="BB600" s="19">
        <f ca="1">SUM((INDIRECT(BB$2&amp;(ROW())):INDIRECT(BB$3&amp;(ROW()))))</f>
        <v>0</v>
      </c>
      <c r="BC600" s="19">
        <f ca="1">SUM(INDIRECT(BC$1&amp;BC$2&amp;$C600):INDIRECT(BC$1&amp;BC$3&amp;$C600))</f>
        <v>0</v>
      </c>
      <c r="BD600" s="875">
        <f t="shared" ca="1" si="1205"/>
        <v>0</v>
      </c>
      <c r="BE600" s="926">
        <f t="shared" ca="1" si="1206"/>
        <v>0</v>
      </c>
      <c r="BF600" s="19">
        <f ca="1">SUM(INDIRECT(BF$1&amp;BF$2&amp;$A600):INDIRECT(BF$1&amp;BF$3&amp;$A600))</f>
        <v>0</v>
      </c>
      <c r="BG600" s="875">
        <f t="shared" ca="1" si="1207"/>
        <v>0</v>
      </c>
      <c r="BH600" s="926">
        <f t="shared" ca="1" si="1208"/>
        <v>0</v>
      </c>
    </row>
    <row r="601" spans="1:60" ht="14.5">
      <c r="A601" s="990">
        <f t="shared" si="1228"/>
        <v>536</v>
      </c>
      <c r="B601" s="990">
        <v>1</v>
      </c>
      <c r="C601" s="990">
        <f t="shared" si="1189"/>
        <v>598</v>
      </c>
      <c r="E601" s="1243">
        <v>1</v>
      </c>
      <c r="I601" s="79"/>
      <c r="J601" s="78"/>
      <c r="K601" s="74"/>
      <c r="L601" s="74"/>
      <c r="M601" s="71" t="s">
        <v>208</v>
      </c>
      <c r="N601" s="362"/>
      <c r="O601" s="362"/>
      <c r="P601" s="362"/>
      <c r="Q601" s="1843" t="str">
        <f>CHOOSE(2, "6722000003520", "S/GP (2) Gross Profit Direct Solution")</f>
        <v>S/GP (2) Gross Profit Direct Solution</v>
      </c>
      <c r="R601" s="361">
        <f>SUM(R602:R605)</f>
        <v>0</v>
      </c>
      <c r="S601" s="361">
        <f t="shared" ref="S601:AC601" si="1232">SUM(S602:S605)</f>
        <v>0</v>
      </c>
      <c r="T601" s="361">
        <f t="shared" si="1232"/>
        <v>0</v>
      </c>
      <c r="U601" s="361">
        <f t="shared" si="1232"/>
        <v>0</v>
      </c>
      <c r="V601" s="361">
        <f t="shared" si="1232"/>
        <v>0</v>
      </c>
      <c r="W601" s="361">
        <f t="shared" si="1232"/>
        <v>0</v>
      </c>
      <c r="X601" s="361">
        <f t="shared" si="1232"/>
        <v>0</v>
      </c>
      <c r="Y601" s="361">
        <f t="shared" si="1232"/>
        <v>0</v>
      </c>
      <c r="Z601" s="361">
        <f t="shared" si="1232"/>
        <v>0</v>
      </c>
      <c r="AA601" s="361">
        <f t="shared" si="1232"/>
        <v>0</v>
      </c>
      <c r="AB601" s="361">
        <f t="shared" si="1232"/>
        <v>0</v>
      </c>
      <c r="AC601" s="361">
        <f t="shared" si="1232"/>
        <v>0</v>
      </c>
      <c r="AD601" s="375">
        <f t="shared" ref="AD601:AJ601" si="1233">SUM(AD602:AD605)</f>
        <v>0</v>
      </c>
      <c r="AE601" s="361">
        <f t="shared" si="1233"/>
        <v>0</v>
      </c>
      <c r="AF601" s="361">
        <f t="shared" si="1233"/>
        <v>0</v>
      </c>
      <c r="AG601" s="361">
        <f t="shared" si="1233"/>
        <v>0</v>
      </c>
      <c r="AH601" s="361">
        <f t="shared" si="1233"/>
        <v>0</v>
      </c>
      <c r="AI601" s="361">
        <f t="shared" si="1233"/>
        <v>0</v>
      </c>
      <c r="AJ601" s="361">
        <f t="shared" si="1233"/>
        <v>0</v>
      </c>
      <c r="AL601" s="361">
        <f ca="1">SUM((INDIRECT(AL$2&amp;(ROW())):INDIRECT(AL$3&amp;(ROW()))))</f>
        <v>0</v>
      </c>
      <c r="AM601" s="361">
        <f ca="1">SUM(INDIRECT(AM$1&amp;AM$2&amp;$C601):INDIRECT(AM$1&amp;AM$3&amp;$C601))</f>
        <v>0</v>
      </c>
      <c r="AN601" s="901">
        <f t="shared" ca="1" si="1197"/>
        <v>0</v>
      </c>
      <c r="AO601" s="962">
        <f t="shared" ca="1" si="1198"/>
        <v>0</v>
      </c>
      <c r="AP601" s="361">
        <f ca="1">SUM(INDIRECT(AP$1&amp;AP$2&amp;$A601):INDIRECT(AP$1&amp;AP$3&amp;$A601))</f>
        <v>0</v>
      </c>
      <c r="AQ601" s="901">
        <f t="shared" ca="1" si="1199"/>
        <v>0</v>
      </c>
      <c r="AR601" s="962">
        <f t="shared" ca="1" si="1200"/>
        <v>0</v>
      </c>
      <c r="AT601" s="361">
        <f ca="1">SUM((INDIRECT(AT$2&amp;(ROW())):INDIRECT(AT$3&amp;(ROW()))))</f>
        <v>0</v>
      </c>
      <c r="AU601" s="361">
        <f ca="1">SUM(INDIRECT(AU$1&amp;AU$2&amp;$C601):INDIRECT(AU$1&amp;AU$3&amp;$C601))</f>
        <v>0</v>
      </c>
      <c r="AV601" s="901">
        <f t="shared" ca="1" si="1201"/>
        <v>0</v>
      </c>
      <c r="AW601" s="962">
        <f t="shared" ca="1" si="1202"/>
        <v>0</v>
      </c>
      <c r="AX601" s="361">
        <f ca="1">SUM(INDIRECT(AX$1&amp;AX$2&amp;$A601):INDIRECT(AX$1&amp;AX$3&amp;$A601))</f>
        <v>0</v>
      </c>
      <c r="AY601" s="901">
        <f t="shared" ca="1" si="1203"/>
        <v>0</v>
      </c>
      <c r="AZ601" s="962">
        <f t="shared" ca="1" si="1204"/>
        <v>0</v>
      </c>
      <c r="BB601" s="361">
        <f ca="1">SUM((INDIRECT(BB$2&amp;(ROW())):INDIRECT(BB$3&amp;(ROW()))))</f>
        <v>0</v>
      </c>
      <c r="BC601" s="361">
        <f ca="1">SUM(INDIRECT(BC$1&amp;BC$2&amp;$C601):INDIRECT(BC$1&amp;BC$3&amp;$C601))</f>
        <v>0</v>
      </c>
      <c r="BD601" s="901">
        <f t="shared" ca="1" si="1205"/>
        <v>0</v>
      </c>
      <c r="BE601" s="962">
        <f t="shared" ca="1" si="1206"/>
        <v>0</v>
      </c>
      <c r="BF601" s="361">
        <f ca="1">SUM(INDIRECT(BF$1&amp;BF$2&amp;$A601):INDIRECT(BF$1&amp;BF$3&amp;$A601))</f>
        <v>0</v>
      </c>
      <c r="BG601" s="901">
        <f t="shared" ca="1" si="1207"/>
        <v>0</v>
      </c>
      <c r="BH601" s="962">
        <f t="shared" ca="1" si="1208"/>
        <v>0</v>
      </c>
    </row>
    <row r="602" spans="1:60" ht="14.5">
      <c r="A602" s="990">
        <f t="shared" si="1228"/>
        <v>537</v>
      </c>
      <c r="B602" s="990">
        <v>1</v>
      </c>
      <c r="C602" s="990">
        <f t="shared" si="1189"/>
        <v>599</v>
      </c>
      <c r="E602" s="1243">
        <v>1</v>
      </c>
      <c r="I602" s="79"/>
      <c r="J602" s="78"/>
      <c r="K602" s="74"/>
      <c r="L602" s="74"/>
      <c r="N602" s="111"/>
      <c r="O602" s="111"/>
      <c r="P602" s="111" t="s">
        <v>133</v>
      </c>
      <c r="Q602" s="1845" t="str">
        <f>CHOOSE(2, "6722000003521", "S/GP (2) Gross Profit Direct Solution HWware")</f>
        <v>S/GP (2) Gross Profit Direct Solution HWware</v>
      </c>
      <c r="R602" s="2042">
        <v>0</v>
      </c>
      <c r="S602" s="2042">
        <v>0</v>
      </c>
      <c r="T602" s="2042">
        <v>0</v>
      </c>
      <c r="U602" s="2042">
        <v>0</v>
      </c>
      <c r="V602" s="2042">
        <v>0</v>
      </c>
      <c r="W602" s="2042">
        <v>0</v>
      </c>
      <c r="X602" s="2042">
        <v>0</v>
      </c>
      <c r="Y602" s="2042">
        <v>0</v>
      </c>
      <c r="Z602" s="2042">
        <v>0</v>
      </c>
      <c r="AA602" s="2042">
        <v>0</v>
      </c>
      <c r="AB602" s="2042">
        <v>0</v>
      </c>
      <c r="AC602" s="2042">
        <v>0</v>
      </c>
      <c r="AD602" s="376">
        <f>SUM(R602,S602,T602)</f>
        <v>0</v>
      </c>
      <c r="AE602" s="109">
        <f t="shared" ref="AE602:AE606" si="1234">SUM(U602,V602,W602)</f>
        <v>0</v>
      </c>
      <c r="AF602" s="109">
        <f t="shared" ref="AF602:AF606" si="1235">SUM(X602,Y602,Z602)</f>
        <v>0</v>
      </c>
      <c r="AG602" s="109">
        <f t="shared" ref="AG602:AG606" si="1236">SUM(AA602,AB602,AC602)</f>
        <v>0</v>
      </c>
      <c r="AH602" s="109">
        <f>AD602+AE602</f>
        <v>0</v>
      </c>
      <c r="AI602" s="109">
        <f>AG602+AF602</f>
        <v>0</v>
      </c>
      <c r="AJ602" s="109">
        <f>AH602+AI602</f>
        <v>0</v>
      </c>
      <c r="AL602" s="109">
        <f ca="1">SUM((INDIRECT(AL$2&amp;(ROW())):INDIRECT(AL$3&amp;(ROW()))))</f>
        <v>0</v>
      </c>
      <c r="AM602" s="109">
        <f ca="1">SUM(INDIRECT(AM$1&amp;AM$2&amp;$C602):INDIRECT(AM$1&amp;AM$3&amp;$C602))</f>
        <v>0</v>
      </c>
      <c r="AN602" s="892">
        <f t="shared" ca="1" si="1197"/>
        <v>0</v>
      </c>
      <c r="AO602" s="953">
        <f t="shared" ca="1" si="1198"/>
        <v>0</v>
      </c>
      <c r="AP602" s="109">
        <f ca="1">SUM(INDIRECT(AP$1&amp;AP$2&amp;$A602):INDIRECT(AP$1&amp;AP$3&amp;$A602))</f>
        <v>0</v>
      </c>
      <c r="AQ602" s="892">
        <f t="shared" ca="1" si="1199"/>
        <v>0</v>
      </c>
      <c r="AR602" s="953">
        <f t="shared" ca="1" si="1200"/>
        <v>0</v>
      </c>
      <c r="AT602" s="109">
        <f ca="1">SUM((INDIRECT(AT$2&amp;(ROW())):INDIRECT(AT$3&amp;(ROW()))))</f>
        <v>0</v>
      </c>
      <c r="AU602" s="109">
        <f ca="1">SUM(INDIRECT(AU$1&amp;AU$2&amp;$C602):INDIRECT(AU$1&amp;AU$3&amp;$C602))</f>
        <v>0</v>
      </c>
      <c r="AV602" s="892">
        <f t="shared" ca="1" si="1201"/>
        <v>0</v>
      </c>
      <c r="AW602" s="953">
        <f t="shared" ca="1" si="1202"/>
        <v>0</v>
      </c>
      <c r="AX602" s="109">
        <f ca="1">SUM(INDIRECT(AX$1&amp;AX$2&amp;$A602):INDIRECT(AX$1&amp;AX$3&amp;$A602))</f>
        <v>0</v>
      </c>
      <c r="AY602" s="892">
        <f t="shared" ca="1" si="1203"/>
        <v>0</v>
      </c>
      <c r="AZ602" s="953">
        <f t="shared" ca="1" si="1204"/>
        <v>0</v>
      </c>
      <c r="BB602" s="109">
        <f ca="1">SUM((INDIRECT(BB$2&amp;(ROW())):INDIRECT(BB$3&amp;(ROW()))))</f>
        <v>0</v>
      </c>
      <c r="BC602" s="109">
        <f ca="1">SUM(INDIRECT(BC$1&amp;BC$2&amp;$C602):INDIRECT(BC$1&amp;BC$3&amp;$C602))</f>
        <v>0</v>
      </c>
      <c r="BD602" s="892">
        <f t="shared" ca="1" si="1205"/>
        <v>0</v>
      </c>
      <c r="BE602" s="953">
        <f t="shared" ca="1" si="1206"/>
        <v>0</v>
      </c>
      <c r="BF602" s="109">
        <f ca="1">SUM(INDIRECT(BF$1&amp;BF$2&amp;$A602):INDIRECT(BF$1&amp;BF$3&amp;$A602))</f>
        <v>0</v>
      </c>
      <c r="BG602" s="892">
        <f t="shared" ca="1" si="1207"/>
        <v>0</v>
      </c>
      <c r="BH602" s="953">
        <f t="shared" ca="1" si="1208"/>
        <v>0</v>
      </c>
    </row>
    <row r="603" spans="1:60" ht="14.5">
      <c r="A603" s="990">
        <f t="shared" si="1228"/>
        <v>538</v>
      </c>
      <c r="B603" s="990">
        <v>1</v>
      </c>
      <c r="C603" s="990">
        <f t="shared" si="1189"/>
        <v>600</v>
      </c>
      <c r="E603" s="1243">
        <v>1</v>
      </c>
      <c r="I603" s="79"/>
      <c r="J603" s="78"/>
      <c r="K603" s="74"/>
      <c r="L603" s="74"/>
      <c r="P603" s="9" t="s">
        <v>226</v>
      </c>
      <c r="Q603" s="1845" t="str">
        <f>CHOOSE(2, "6722000003522", "S/GP (2) Gross Profit Direct Solution Software")</f>
        <v>S/GP (2) Gross Profit Direct Solution Software</v>
      </c>
      <c r="R603" s="2036">
        <v>0</v>
      </c>
      <c r="S603" s="2036">
        <v>0</v>
      </c>
      <c r="T603" s="2036">
        <v>0</v>
      </c>
      <c r="U603" s="2036">
        <v>0</v>
      </c>
      <c r="V603" s="2036">
        <v>0</v>
      </c>
      <c r="W603" s="2036">
        <v>0</v>
      </c>
      <c r="X603" s="2036">
        <v>0</v>
      </c>
      <c r="Y603" s="2036">
        <v>0</v>
      </c>
      <c r="Z603" s="2036">
        <v>0</v>
      </c>
      <c r="AA603" s="2036">
        <v>0</v>
      </c>
      <c r="AB603" s="2036">
        <v>0</v>
      </c>
      <c r="AC603" s="2036">
        <v>0</v>
      </c>
      <c r="AD603" s="100">
        <f>SUM(R603,S603,T603)</f>
        <v>0</v>
      </c>
      <c r="AE603" s="19">
        <f t="shared" si="1234"/>
        <v>0</v>
      </c>
      <c r="AF603" s="19">
        <f t="shared" si="1235"/>
        <v>0</v>
      </c>
      <c r="AG603" s="19">
        <f t="shared" si="1236"/>
        <v>0</v>
      </c>
      <c r="AH603" s="19">
        <f>AD603+AE603</f>
        <v>0</v>
      </c>
      <c r="AI603" s="19">
        <f>AG603+AF603</f>
        <v>0</v>
      </c>
      <c r="AJ603" s="19">
        <f>AH603+AI603</f>
        <v>0</v>
      </c>
      <c r="AL603" s="19">
        <f ca="1">SUM((INDIRECT(AL$2&amp;(ROW())):INDIRECT(AL$3&amp;(ROW()))))</f>
        <v>0</v>
      </c>
      <c r="AM603" s="19">
        <f ca="1">SUM(INDIRECT(AM$1&amp;AM$2&amp;$C603):INDIRECT(AM$1&amp;AM$3&amp;$C603))</f>
        <v>0</v>
      </c>
      <c r="AN603" s="875">
        <f t="shared" ca="1" si="1197"/>
        <v>0</v>
      </c>
      <c r="AO603" s="926">
        <f t="shared" ca="1" si="1198"/>
        <v>0</v>
      </c>
      <c r="AP603" s="19">
        <f ca="1">SUM(INDIRECT(AP$1&amp;AP$2&amp;$A603):INDIRECT(AP$1&amp;AP$3&amp;$A603))</f>
        <v>0</v>
      </c>
      <c r="AQ603" s="875">
        <f t="shared" ca="1" si="1199"/>
        <v>0</v>
      </c>
      <c r="AR603" s="926">
        <f t="shared" ca="1" si="1200"/>
        <v>0</v>
      </c>
      <c r="AT603" s="19">
        <f ca="1">SUM((INDIRECT(AT$2&amp;(ROW())):INDIRECT(AT$3&amp;(ROW()))))</f>
        <v>0</v>
      </c>
      <c r="AU603" s="19">
        <f ca="1">SUM(INDIRECT(AU$1&amp;AU$2&amp;$C603):INDIRECT(AU$1&amp;AU$3&amp;$C603))</f>
        <v>0</v>
      </c>
      <c r="AV603" s="875">
        <f t="shared" ca="1" si="1201"/>
        <v>0</v>
      </c>
      <c r="AW603" s="926">
        <f t="shared" ca="1" si="1202"/>
        <v>0</v>
      </c>
      <c r="AX603" s="19">
        <f ca="1">SUM(INDIRECT(AX$1&amp;AX$2&amp;$A603):INDIRECT(AX$1&amp;AX$3&amp;$A603))</f>
        <v>0</v>
      </c>
      <c r="AY603" s="875">
        <f t="shared" ca="1" si="1203"/>
        <v>0</v>
      </c>
      <c r="AZ603" s="926">
        <f t="shared" ca="1" si="1204"/>
        <v>0</v>
      </c>
      <c r="BB603" s="19">
        <f ca="1">SUM((INDIRECT(BB$2&amp;(ROW())):INDIRECT(BB$3&amp;(ROW()))))</f>
        <v>0</v>
      </c>
      <c r="BC603" s="19">
        <f ca="1">SUM(INDIRECT(BC$1&amp;BC$2&amp;$C603):INDIRECT(BC$1&amp;BC$3&amp;$C603))</f>
        <v>0</v>
      </c>
      <c r="BD603" s="875">
        <f t="shared" ca="1" si="1205"/>
        <v>0</v>
      </c>
      <c r="BE603" s="926">
        <f t="shared" ca="1" si="1206"/>
        <v>0</v>
      </c>
      <c r="BF603" s="19">
        <f ca="1">SUM(INDIRECT(BF$1&amp;BF$2&amp;$A603):INDIRECT(BF$1&amp;BF$3&amp;$A603))</f>
        <v>0</v>
      </c>
      <c r="BG603" s="875">
        <f t="shared" ca="1" si="1207"/>
        <v>0</v>
      </c>
      <c r="BH603" s="926">
        <f t="shared" ca="1" si="1208"/>
        <v>0</v>
      </c>
    </row>
    <row r="604" spans="1:60" ht="14.5">
      <c r="A604" s="990">
        <f t="shared" si="1228"/>
        <v>539</v>
      </c>
      <c r="B604" s="990">
        <v>1</v>
      </c>
      <c r="C604" s="990">
        <f t="shared" si="1189"/>
        <v>601</v>
      </c>
      <c r="E604" s="1243">
        <v>1</v>
      </c>
      <c r="I604" s="79"/>
      <c r="J604" s="78"/>
      <c r="K604" s="74"/>
      <c r="L604" s="74"/>
      <c r="P604" s="9" t="s">
        <v>227</v>
      </c>
      <c r="Q604" s="1845" t="str">
        <f>CHOOSE(2, "6722000003523", "S/GP (2) Gross Profit Direct Solution Professional Service")</f>
        <v>S/GP (2) Gross Profit Direct Solution Professional Service</v>
      </c>
      <c r="R604" s="2036">
        <v>0</v>
      </c>
      <c r="S604" s="2036">
        <v>0</v>
      </c>
      <c r="T604" s="2036">
        <v>0</v>
      </c>
      <c r="U604" s="2036">
        <v>0</v>
      </c>
      <c r="V604" s="2036">
        <v>0</v>
      </c>
      <c r="W604" s="2036">
        <v>0</v>
      </c>
      <c r="X604" s="2036">
        <v>0</v>
      </c>
      <c r="Y604" s="2036">
        <v>0</v>
      </c>
      <c r="Z604" s="2036">
        <v>0</v>
      </c>
      <c r="AA604" s="2036">
        <v>0</v>
      </c>
      <c r="AB604" s="2036">
        <v>0</v>
      </c>
      <c r="AC604" s="2036">
        <v>0</v>
      </c>
      <c r="AD604" s="100">
        <f>SUM(R604,S604,T604)</f>
        <v>0</v>
      </c>
      <c r="AE604" s="19">
        <f t="shared" si="1234"/>
        <v>0</v>
      </c>
      <c r="AF604" s="19">
        <f t="shared" si="1235"/>
        <v>0</v>
      </c>
      <c r="AG604" s="19">
        <f t="shared" si="1236"/>
        <v>0</v>
      </c>
      <c r="AH604" s="19">
        <f>AD604+AE604</f>
        <v>0</v>
      </c>
      <c r="AI604" s="19">
        <f>AG604+AF604</f>
        <v>0</v>
      </c>
      <c r="AJ604" s="19">
        <f>AH604+AI604</f>
        <v>0</v>
      </c>
      <c r="AL604" s="19">
        <f ca="1">SUM((INDIRECT(AL$2&amp;(ROW())):INDIRECT(AL$3&amp;(ROW()))))</f>
        <v>0</v>
      </c>
      <c r="AM604" s="19">
        <f ca="1">SUM(INDIRECT(AM$1&amp;AM$2&amp;$C604):INDIRECT(AM$1&amp;AM$3&amp;$C604))</f>
        <v>0</v>
      </c>
      <c r="AN604" s="875">
        <f t="shared" ca="1" si="1197"/>
        <v>0</v>
      </c>
      <c r="AO604" s="926">
        <f t="shared" ca="1" si="1198"/>
        <v>0</v>
      </c>
      <c r="AP604" s="19">
        <f ca="1">SUM(INDIRECT(AP$1&amp;AP$2&amp;$A604):INDIRECT(AP$1&amp;AP$3&amp;$A604))</f>
        <v>0</v>
      </c>
      <c r="AQ604" s="875">
        <f t="shared" ca="1" si="1199"/>
        <v>0</v>
      </c>
      <c r="AR604" s="926">
        <f t="shared" ca="1" si="1200"/>
        <v>0</v>
      </c>
      <c r="AT604" s="19">
        <f ca="1">SUM((INDIRECT(AT$2&amp;(ROW())):INDIRECT(AT$3&amp;(ROW()))))</f>
        <v>0</v>
      </c>
      <c r="AU604" s="19">
        <f ca="1">SUM(INDIRECT(AU$1&amp;AU$2&amp;$C604):INDIRECT(AU$1&amp;AU$3&amp;$C604))</f>
        <v>0</v>
      </c>
      <c r="AV604" s="875">
        <f t="shared" ca="1" si="1201"/>
        <v>0</v>
      </c>
      <c r="AW604" s="926">
        <f t="shared" ca="1" si="1202"/>
        <v>0</v>
      </c>
      <c r="AX604" s="19">
        <f ca="1">SUM(INDIRECT(AX$1&amp;AX$2&amp;$A604):INDIRECT(AX$1&amp;AX$3&amp;$A604))</f>
        <v>0</v>
      </c>
      <c r="AY604" s="875">
        <f t="shared" ca="1" si="1203"/>
        <v>0</v>
      </c>
      <c r="AZ604" s="926">
        <f t="shared" ca="1" si="1204"/>
        <v>0</v>
      </c>
      <c r="BB604" s="19">
        <f ca="1">SUM((INDIRECT(BB$2&amp;(ROW())):INDIRECT(BB$3&amp;(ROW()))))</f>
        <v>0</v>
      </c>
      <c r="BC604" s="19">
        <f ca="1">SUM(INDIRECT(BC$1&amp;BC$2&amp;$C604):INDIRECT(BC$1&amp;BC$3&amp;$C604))</f>
        <v>0</v>
      </c>
      <c r="BD604" s="875">
        <f t="shared" ca="1" si="1205"/>
        <v>0</v>
      </c>
      <c r="BE604" s="926">
        <f t="shared" ca="1" si="1206"/>
        <v>0</v>
      </c>
      <c r="BF604" s="19">
        <f ca="1">SUM(INDIRECT(BF$1&amp;BF$2&amp;$A604):INDIRECT(BF$1&amp;BF$3&amp;$A604))</f>
        <v>0</v>
      </c>
      <c r="BG604" s="875">
        <f t="shared" ca="1" si="1207"/>
        <v>0</v>
      </c>
      <c r="BH604" s="926">
        <f t="shared" ca="1" si="1208"/>
        <v>0</v>
      </c>
    </row>
    <row r="605" spans="1:60" ht="14.5">
      <c r="A605" s="990">
        <f t="shared" si="1228"/>
        <v>540</v>
      </c>
      <c r="B605" s="990">
        <v>1</v>
      </c>
      <c r="C605" s="990">
        <f t="shared" si="1189"/>
        <v>602</v>
      </c>
      <c r="E605" s="1243">
        <v>1</v>
      </c>
      <c r="I605" s="79"/>
      <c r="J605" s="78"/>
      <c r="K605" s="74"/>
      <c r="L605" s="74"/>
      <c r="M605" s="12"/>
      <c r="N605" s="12"/>
      <c r="O605" s="12"/>
      <c r="P605" s="12" t="s">
        <v>205</v>
      </c>
      <c r="Q605" s="1845" t="str">
        <f>CHOOSE(2, "6722000003524", "S/GP (2) Gross Profit Direct Solution Others")</f>
        <v>S/GP (2) Gross Profit Direct Solution Others</v>
      </c>
      <c r="R605" s="2037">
        <v>0</v>
      </c>
      <c r="S605" s="2037">
        <v>0</v>
      </c>
      <c r="T605" s="2037">
        <v>0</v>
      </c>
      <c r="U605" s="2037">
        <v>0</v>
      </c>
      <c r="V605" s="2037">
        <v>0</v>
      </c>
      <c r="W605" s="2037">
        <v>0</v>
      </c>
      <c r="X605" s="2037">
        <v>0</v>
      </c>
      <c r="Y605" s="2037">
        <v>0</v>
      </c>
      <c r="Z605" s="2037">
        <v>0</v>
      </c>
      <c r="AA605" s="2037">
        <v>0</v>
      </c>
      <c r="AB605" s="2037">
        <v>0</v>
      </c>
      <c r="AC605" s="2037">
        <v>0</v>
      </c>
      <c r="AD605" s="99">
        <f>SUM(R605,S605,T605)</f>
        <v>0</v>
      </c>
      <c r="AE605" s="17">
        <f t="shared" si="1234"/>
        <v>0</v>
      </c>
      <c r="AF605" s="17">
        <f t="shared" si="1235"/>
        <v>0</v>
      </c>
      <c r="AG605" s="17">
        <f t="shared" si="1236"/>
        <v>0</v>
      </c>
      <c r="AH605" s="17">
        <f>AD605+AE605</f>
        <v>0</v>
      </c>
      <c r="AI605" s="17">
        <f>AG605+AF605</f>
        <v>0</v>
      </c>
      <c r="AJ605" s="17">
        <f>AH605+AI605</f>
        <v>0</v>
      </c>
      <c r="AL605" s="17">
        <f ca="1">SUM((INDIRECT(AL$2&amp;(ROW())):INDIRECT(AL$3&amp;(ROW()))))</f>
        <v>0</v>
      </c>
      <c r="AM605" s="17">
        <f ca="1">SUM(INDIRECT(AM$1&amp;AM$2&amp;$C605):INDIRECT(AM$1&amp;AM$3&amp;$C605))</f>
        <v>0</v>
      </c>
      <c r="AN605" s="876">
        <f t="shared" ca="1" si="1197"/>
        <v>0</v>
      </c>
      <c r="AO605" s="927">
        <f t="shared" ca="1" si="1198"/>
        <v>0</v>
      </c>
      <c r="AP605" s="17">
        <f ca="1">SUM(INDIRECT(AP$1&amp;AP$2&amp;$A605):INDIRECT(AP$1&amp;AP$3&amp;$A605))</f>
        <v>0</v>
      </c>
      <c r="AQ605" s="876">
        <f t="shared" ca="1" si="1199"/>
        <v>0</v>
      </c>
      <c r="AR605" s="927">
        <f t="shared" ca="1" si="1200"/>
        <v>0</v>
      </c>
      <c r="AT605" s="17">
        <f ca="1">SUM((INDIRECT(AT$2&amp;(ROW())):INDIRECT(AT$3&amp;(ROW()))))</f>
        <v>0</v>
      </c>
      <c r="AU605" s="17">
        <f ca="1">SUM(INDIRECT(AU$1&amp;AU$2&amp;$C605):INDIRECT(AU$1&amp;AU$3&amp;$C605))</f>
        <v>0</v>
      </c>
      <c r="AV605" s="876">
        <f t="shared" ca="1" si="1201"/>
        <v>0</v>
      </c>
      <c r="AW605" s="927">
        <f t="shared" ca="1" si="1202"/>
        <v>0</v>
      </c>
      <c r="AX605" s="17">
        <f ca="1">SUM(INDIRECT(AX$1&amp;AX$2&amp;$A605):INDIRECT(AX$1&amp;AX$3&amp;$A605))</f>
        <v>0</v>
      </c>
      <c r="AY605" s="876">
        <f t="shared" ca="1" si="1203"/>
        <v>0</v>
      </c>
      <c r="AZ605" s="927">
        <f t="shared" ca="1" si="1204"/>
        <v>0</v>
      </c>
      <c r="BB605" s="17">
        <f ca="1">SUM((INDIRECT(BB$2&amp;(ROW())):INDIRECT(BB$3&amp;(ROW()))))</f>
        <v>0</v>
      </c>
      <c r="BC605" s="17">
        <f ca="1">SUM(INDIRECT(BC$1&amp;BC$2&amp;$C605):INDIRECT(BC$1&amp;BC$3&amp;$C605))</f>
        <v>0</v>
      </c>
      <c r="BD605" s="876">
        <f t="shared" ca="1" si="1205"/>
        <v>0</v>
      </c>
      <c r="BE605" s="927">
        <f t="shared" ca="1" si="1206"/>
        <v>0</v>
      </c>
      <c r="BF605" s="17">
        <f ca="1">SUM(INDIRECT(BF$1&amp;BF$2&amp;$A605):INDIRECT(BF$1&amp;BF$3&amp;$A605))</f>
        <v>0</v>
      </c>
      <c r="BG605" s="876">
        <f t="shared" ca="1" si="1207"/>
        <v>0</v>
      </c>
      <c r="BH605" s="927">
        <f t="shared" ca="1" si="1208"/>
        <v>0</v>
      </c>
    </row>
    <row r="606" spans="1:60" ht="14.5">
      <c r="A606" s="990">
        <f t="shared" si="1228"/>
        <v>541</v>
      </c>
      <c r="B606" s="990">
        <v>1</v>
      </c>
      <c r="C606" s="990">
        <f t="shared" si="1189"/>
        <v>603</v>
      </c>
      <c r="E606" s="1243">
        <v>1</v>
      </c>
      <c r="I606" s="79"/>
      <c r="J606" s="78"/>
      <c r="K606" s="74"/>
      <c r="L606" s="74"/>
      <c r="M606" s="9" t="s">
        <v>205</v>
      </c>
      <c r="Q606" s="1845" t="str">
        <f>CHOOSE(2, "6722000003525", "S/GP (2) Gross Profit Direct Others")</f>
        <v>S/GP (2) Gross Profit Direct Others</v>
      </c>
      <c r="R606" s="2036">
        <v>0</v>
      </c>
      <c r="S606" s="2036">
        <v>0</v>
      </c>
      <c r="T606" s="2036">
        <v>0</v>
      </c>
      <c r="U606" s="2036">
        <v>0</v>
      </c>
      <c r="V606" s="2036">
        <v>0</v>
      </c>
      <c r="W606" s="2036">
        <v>0</v>
      </c>
      <c r="X606" s="2036">
        <v>0</v>
      </c>
      <c r="Y606" s="2036">
        <v>0</v>
      </c>
      <c r="Z606" s="2036">
        <v>0</v>
      </c>
      <c r="AA606" s="2036">
        <v>0</v>
      </c>
      <c r="AB606" s="2036">
        <v>0</v>
      </c>
      <c r="AC606" s="2036">
        <v>0</v>
      </c>
      <c r="AD606" s="100">
        <f>SUM(R606,S606,T606)</f>
        <v>0</v>
      </c>
      <c r="AE606" s="19">
        <f t="shared" si="1234"/>
        <v>0</v>
      </c>
      <c r="AF606" s="19">
        <f t="shared" si="1235"/>
        <v>0</v>
      </c>
      <c r="AG606" s="19">
        <f t="shared" si="1236"/>
        <v>0</v>
      </c>
      <c r="AH606" s="19">
        <f>AD606+AE606</f>
        <v>0</v>
      </c>
      <c r="AI606" s="19">
        <f>AG606+AF606</f>
        <v>0</v>
      </c>
      <c r="AJ606" s="19">
        <f>AH606+AI606</f>
        <v>0</v>
      </c>
      <c r="AL606" s="19">
        <f ca="1">SUM((INDIRECT(AL$2&amp;(ROW())):INDIRECT(AL$3&amp;(ROW()))))</f>
        <v>0</v>
      </c>
      <c r="AM606" s="19">
        <f ca="1">SUM(INDIRECT(AM$1&amp;AM$2&amp;$C606):INDIRECT(AM$1&amp;AM$3&amp;$C606))</f>
        <v>0</v>
      </c>
      <c r="AN606" s="875">
        <f t="shared" ca="1" si="1197"/>
        <v>0</v>
      </c>
      <c r="AO606" s="926">
        <f t="shared" ca="1" si="1198"/>
        <v>0</v>
      </c>
      <c r="AP606" s="19">
        <f ca="1">SUM(INDIRECT(AP$1&amp;AP$2&amp;$A606):INDIRECT(AP$1&amp;AP$3&amp;$A606))</f>
        <v>0</v>
      </c>
      <c r="AQ606" s="875">
        <f t="shared" ca="1" si="1199"/>
        <v>0</v>
      </c>
      <c r="AR606" s="926">
        <f t="shared" ca="1" si="1200"/>
        <v>0</v>
      </c>
      <c r="AT606" s="19">
        <f ca="1">SUM((INDIRECT(AT$2&amp;(ROW())):INDIRECT(AT$3&amp;(ROW()))))</f>
        <v>0</v>
      </c>
      <c r="AU606" s="19">
        <f ca="1">SUM(INDIRECT(AU$1&amp;AU$2&amp;$C606):INDIRECT(AU$1&amp;AU$3&amp;$C606))</f>
        <v>0</v>
      </c>
      <c r="AV606" s="875">
        <f t="shared" ca="1" si="1201"/>
        <v>0</v>
      </c>
      <c r="AW606" s="926">
        <f t="shared" ca="1" si="1202"/>
        <v>0</v>
      </c>
      <c r="AX606" s="19">
        <f ca="1">SUM(INDIRECT(AX$1&amp;AX$2&amp;$A606):INDIRECT(AX$1&amp;AX$3&amp;$A606))</f>
        <v>0</v>
      </c>
      <c r="AY606" s="875">
        <f t="shared" ca="1" si="1203"/>
        <v>0</v>
      </c>
      <c r="AZ606" s="926">
        <f t="shared" ca="1" si="1204"/>
        <v>0</v>
      </c>
      <c r="BB606" s="19">
        <f ca="1">SUM((INDIRECT(BB$2&amp;(ROW())):INDIRECT(BB$3&amp;(ROW()))))</f>
        <v>0</v>
      </c>
      <c r="BC606" s="19">
        <f ca="1">SUM(INDIRECT(BC$1&amp;BC$2&amp;$C606):INDIRECT(BC$1&amp;BC$3&amp;$C606))</f>
        <v>0</v>
      </c>
      <c r="BD606" s="875">
        <f t="shared" ca="1" si="1205"/>
        <v>0</v>
      </c>
      <c r="BE606" s="926">
        <f t="shared" ca="1" si="1206"/>
        <v>0</v>
      </c>
      <c r="BF606" s="19">
        <f ca="1">SUM(INDIRECT(BF$1&amp;BF$2&amp;$A606):INDIRECT(BF$1&amp;BF$3&amp;$A606))</f>
        <v>0</v>
      </c>
      <c r="BG606" s="875">
        <f t="shared" ca="1" si="1207"/>
        <v>0</v>
      </c>
      <c r="BH606" s="926">
        <f t="shared" ca="1" si="1208"/>
        <v>0</v>
      </c>
    </row>
    <row r="607" spans="1:60" ht="14.5">
      <c r="A607" s="990">
        <f t="shared" si="1228"/>
        <v>542</v>
      </c>
      <c r="B607" s="990">
        <v>1</v>
      </c>
      <c r="C607" s="990">
        <f t="shared" si="1189"/>
        <v>604</v>
      </c>
      <c r="E607" s="1243">
        <v>1</v>
      </c>
      <c r="I607" s="79"/>
      <c r="J607" s="78"/>
      <c r="K607" s="82" t="s">
        <v>221</v>
      </c>
      <c r="L607" s="82"/>
      <c r="M607" s="81"/>
      <c r="N607" s="81"/>
      <c r="O607" s="81"/>
      <c r="P607" s="610"/>
      <c r="Q607" s="1867" t="str">
        <f>CHOOSE(2, "6722000003526", "S/GP (2) Gross Profit Indirect")</f>
        <v>S/GP (2) Gross Profit Indirect</v>
      </c>
      <c r="R607" s="2056">
        <f t="shared" ref="R607:AC607" si="1237">+R608+R611+R624+R629</f>
        <v>19434</v>
      </c>
      <c r="S607" s="2056">
        <f t="shared" si="1237"/>
        <v>15003</v>
      </c>
      <c r="T607" s="2056">
        <f t="shared" si="1237"/>
        <v>15151</v>
      </c>
      <c r="U607" s="2056">
        <f t="shared" si="1237"/>
        <v>21154</v>
      </c>
      <c r="V607" s="2056">
        <f t="shared" si="1237"/>
        <v>17987.565102660647</v>
      </c>
      <c r="W607" s="2056">
        <f t="shared" si="1237"/>
        <v>7119</v>
      </c>
      <c r="X607" s="2056">
        <f t="shared" si="1237"/>
        <v>20466</v>
      </c>
      <c r="Y607" s="2056">
        <f t="shared" si="1237"/>
        <v>17842</v>
      </c>
      <c r="Z607" s="2056">
        <f t="shared" si="1237"/>
        <v>11754</v>
      </c>
      <c r="AA607" s="2056">
        <f t="shared" si="1237"/>
        <v>18670</v>
      </c>
      <c r="AB607" s="2056">
        <f t="shared" si="1237"/>
        <v>24203.1067</v>
      </c>
      <c r="AC607" s="2056">
        <f t="shared" si="1237"/>
        <v>16181</v>
      </c>
      <c r="AD607" s="611">
        <f t="shared" ref="AD607:AJ607" si="1238">+AD608+AD611+AD624+AD629</f>
        <v>49588</v>
      </c>
      <c r="AE607" s="80">
        <f t="shared" si="1238"/>
        <v>46260.56510266065</v>
      </c>
      <c r="AF607" s="80">
        <f t="shared" si="1238"/>
        <v>50062</v>
      </c>
      <c r="AG607" s="80">
        <f t="shared" si="1238"/>
        <v>59054.106700000004</v>
      </c>
      <c r="AH607" s="80">
        <f t="shared" si="1238"/>
        <v>95848.56510266065</v>
      </c>
      <c r="AI607" s="80">
        <f t="shared" si="1238"/>
        <v>109116.1067</v>
      </c>
      <c r="AJ607" s="80">
        <f t="shared" si="1238"/>
        <v>204964.67180266065</v>
      </c>
      <c r="AL607" s="2056">
        <f ca="1">SUM((INDIRECT(AL$2&amp;(ROW())):INDIRECT(AL$3&amp;(ROW()))))</f>
        <v>16181</v>
      </c>
      <c r="AM607" s="2056">
        <f ca="1">SUM(INDIRECT(AM$1&amp;AM$2&amp;$C607):INDIRECT(AM$1&amp;AM$3&amp;$C607))</f>
        <v>0</v>
      </c>
      <c r="AN607" s="2540">
        <f t="shared" ca="1" si="1197"/>
        <v>16181</v>
      </c>
      <c r="AO607" s="2541">
        <f t="shared" ca="1" si="1198"/>
        <v>0</v>
      </c>
      <c r="AP607" s="2056">
        <f ca="1">SUM(INDIRECT(AP$1&amp;AP$2&amp;$A607):INDIRECT(AP$1&amp;AP$3&amp;$A607))</f>
        <v>11955</v>
      </c>
      <c r="AQ607" s="2540">
        <f t="shared" ca="1" si="1199"/>
        <v>4226</v>
      </c>
      <c r="AR607" s="2541">
        <f t="shared" ca="1" si="1200"/>
        <v>1.3534922626516102</v>
      </c>
      <c r="AT607" s="2056">
        <f ca="1">SUM((INDIRECT(AT$2&amp;(ROW())):INDIRECT(AT$3&amp;(ROW()))))</f>
        <v>59054.106700000004</v>
      </c>
      <c r="AU607" s="2056">
        <f ca="1">SUM(INDIRECT(AU$1&amp;AU$2&amp;$C607):INDIRECT(AU$1&amp;AU$3&amp;$C607))</f>
        <v>0</v>
      </c>
      <c r="AV607" s="2540">
        <f t="shared" ca="1" si="1201"/>
        <v>59054.106700000004</v>
      </c>
      <c r="AW607" s="2541">
        <f t="shared" ca="1" si="1202"/>
        <v>0</v>
      </c>
      <c r="AX607" s="2056">
        <f ca="1">SUM(INDIRECT(AX$1&amp;AX$2&amp;$A607):INDIRECT(AX$1&amp;AX$3&amp;$A607))</f>
        <v>35342</v>
      </c>
      <c r="AY607" s="2540">
        <f t="shared" ca="1" si="1203"/>
        <v>23712.106700000004</v>
      </c>
      <c r="AZ607" s="2541">
        <f t="shared" ca="1" si="1204"/>
        <v>1.670932791013525</v>
      </c>
      <c r="BB607" s="2056">
        <f ca="1">SUM((INDIRECT(BB$2&amp;(ROW())):INDIRECT(BB$3&amp;(ROW()))))</f>
        <v>204964.67180266065</v>
      </c>
      <c r="BC607" s="2056">
        <f ca="1">SUM(INDIRECT(BC$1&amp;BC$2&amp;$C607):INDIRECT(BC$1&amp;BC$3&amp;$C607))</f>
        <v>0</v>
      </c>
      <c r="BD607" s="2540">
        <f t="shared" ca="1" si="1205"/>
        <v>204964.67180266065</v>
      </c>
      <c r="BE607" s="2541">
        <f t="shared" ca="1" si="1206"/>
        <v>0</v>
      </c>
      <c r="BF607" s="2056">
        <f ca="1">SUM(INDIRECT(BF$1&amp;BF$2&amp;$A607):INDIRECT(BF$1&amp;BF$3&amp;$A607))</f>
        <v>161464</v>
      </c>
      <c r="BG607" s="2540">
        <f t="shared" ca="1" si="1207"/>
        <v>43500.671802660654</v>
      </c>
      <c r="BH607" s="2541">
        <f t="shared" ca="1" si="1208"/>
        <v>1.2694140601165624</v>
      </c>
    </row>
    <row r="608" spans="1:60" ht="14.5">
      <c r="A608" s="990">
        <f t="shared" si="1228"/>
        <v>543</v>
      </c>
      <c r="B608" s="990">
        <v>1</v>
      </c>
      <c r="C608" s="990">
        <f t="shared" si="1189"/>
        <v>605</v>
      </c>
      <c r="E608" s="1243">
        <v>1</v>
      </c>
      <c r="I608" s="79"/>
      <c r="J608" s="78"/>
      <c r="K608" s="69"/>
      <c r="L608" s="69"/>
      <c r="M608" s="9" t="s">
        <v>335</v>
      </c>
      <c r="N608" s="363"/>
      <c r="O608" s="363"/>
      <c r="P608" s="363"/>
      <c r="Q608" s="1843" t="str">
        <f>CHOOSE(2, "6722000003527", "S/GP (2) Gross Profit Indirect HW")</f>
        <v>S/GP (2) Gross Profit Indirect HW</v>
      </c>
      <c r="R608" s="2065">
        <f>SUM(R609:R610)</f>
        <v>4088</v>
      </c>
      <c r="S608" s="365">
        <f t="shared" ref="S608:AC608" si="1239">SUM(S609:S610)</f>
        <v>3772</v>
      </c>
      <c r="T608" s="365">
        <f t="shared" si="1239"/>
        <v>1690</v>
      </c>
      <c r="U608" s="365">
        <f t="shared" si="1239"/>
        <v>6090</v>
      </c>
      <c r="V608" s="365">
        <f t="shared" si="1239"/>
        <v>7150.7017364027297</v>
      </c>
      <c r="W608" s="365">
        <f t="shared" si="1239"/>
        <v>1751</v>
      </c>
      <c r="X608" s="365">
        <f t="shared" si="1239"/>
        <v>4327</v>
      </c>
      <c r="Y608" s="365">
        <f t="shared" si="1239"/>
        <v>5166</v>
      </c>
      <c r="Z608" s="365">
        <f t="shared" si="1239"/>
        <v>-1488</v>
      </c>
      <c r="AA608" s="365">
        <f t="shared" si="1239"/>
        <v>4533</v>
      </c>
      <c r="AB608" s="365">
        <f t="shared" si="1239"/>
        <v>4714</v>
      </c>
      <c r="AC608" s="365">
        <f t="shared" si="1239"/>
        <v>2094</v>
      </c>
      <c r="AD608" s="408">
        <f t="shared" ref="AD608:AJ608" si="1240">SUM(AD609:AD610)</f>
        <v>9550</v>
      </c>
      <c r="AE608" s="365">
        <f t="shared" si="1240"/>
        <v>14991.701736402731</v>
      </c>
      <c r="AF608" s="365">
        <f t="shared" si="1240"/>
        <v>8005</v>
      </c>
      <c r="AG608" s="365">
        <f t="shared" si="1240"/>
        <v>11341</v>
      </c>
      <c r="AH608" s="365">
        <f t="shared" si="1240"/>
        <v>24541.701736402731</v>
      </c>
      <c r="AI608" s="365">
        <f t="shared" si="1240"/>
        <v>19346</v>
      </c>
      <c r="AJ608" s="365">
        <f t="shared" si="1240"/>
        <v>43887.701736402727</v>
      </c>
      <c r="AL608" s="365">
        <f ca="1">SUM((INDIRECT(AL$2&amp;(ROW())):INDIRECT(AL$3&amp;(ROW()))))</f>
        <v>2094</v>
      </c>
      <c r="AM608" s="365">
        <f ca="1">SUM(INDIRECT(AM$1&amp;AM$2&amp;$C608):INDIRECT(AM$1&amp;AM$3&amp;$C608))</f>
        <v>0</v>
      </c>
      <c r="AN608" s="891">
        <f t="shared" ca="1" si="1197"/>
        <v>2094</v>
      </c>
      <c r="AO608" s="952">
        <f t="shared" ca="1" si="1198"/>
        <v>0</v>
      </c>
      <c r="AP608" s="365">
        <f ca="1">SUM(INDIRECT(AP$1&amp;AP$2&amp;$A608):INDIRECT(AP$1&amp;AP$3&amp;$A608))</f>
        <v>1366</v>
      </c>
      <c r="AQ608" s="891">
        <f t="shared" ca="1" si="1199"/>
        <v>728</v>
      </c>
      <c r="AR608" s="952">
        <f t="shared" ca="1" si="1200"/>
        <v>1.5329428989751097</v>
      </c>
      <c r="AT608" s="365">
        <f ca="1">SUM((INDIRECT(AT$2&amp;(ROW())):INDIRECT(AT$3&amp;(ROW()))))</f>
        <v>11341</v>
      </c>
      <c r="AU608" s="365">
        <f ca="1">SUM(INDIRECT(AU$1&amp;AU$2&amp;$C608):INDIRECT(AU$1&amp;AU$3&amp;$C608))</f>
        <v>0</v>
      </c>
      <c r="AV608" s="891">
        <f t="shared" ca="1" si="1201"/>
        <v>11341</v>
      </c>
      <c r="AW608" s="952">
        <f t="shared" ca="1" si="1202"/>
        <v>0</v>
      </c>
      <c r="AX608" s="365">
        <f ca="1">SUM(INDIRECT(AX$1&amp;AX$2&amp;$A608):INDIRECT(AX$1&amp;AX$3&amp;$A608))</f>
        <v>3731</v>
      </c>
      <c r="AY608" s="891">
        <f t="shared" ca="1" si="1203"/>
        <v>7610</v>
      </c>
      <c r="AZ608" s="952">
        <f t="shared" ca="1" si="1204"/>
        <v>3.0396676494237469</v>
      </c>
      <c r="BB608" s="365">
        <f ca="1">SUM((INDIRECT(BB$2&amp;(ROW())):INDIRECT(BB$3&amp;(ROW()))))</f>
        <v>43887.701736402727</v>
      </c>
      <c r="BC608" s="365">
        <f ca="1">SUM(INDIRECT(BC$1&amp;BC$2&amp;$C608):INDIRECT(BC$1&amp;BC$3&amp;$C608))</f>
        <v>0</v>
      </c>
      <c r="BD608" s="891">
        <f t="shared" ca="1" si="1205"/>
        <v>43887.701736402727</v>
      </c>
      <c r="BE608" s="952">
        <f t="shared" ca="1" si="1206"/>
        <v>0</v>
      </c>
      <c r="BF608" s="365">
        <f ca="1">SUM(INDIRECT(BF$1&amp;BF$2&amp;$A608):INDIRECT(BF$1&amp;BF$3&amp;$A608))</f>
        <v>36549</v>
      </c>
      <c r="BG608" s="891">
        <f t="shared" ca="1" si="1207"/>
        <v>7338.701736402727</v>
      </c>
      <c r="BH608" s="952">
        <f t="shared" ca="1" si="1208"/>
        <v>1.2007907668172242</v>
      </c>
    </row>
    <row r="609" spans="1:60" ht="14.5">
      <c r="A609" s="990">
        <f t="shared" si="1228"/>
        <v>544</v>
      </c>
      <c r="B609" s="990">
        <v>1</v>
      </c>
      <c r="C609" s="990">
        <f t="shared" si="1189"/>
        <v>606</v>
      </c>
      <c r="E609" s="1243">
        <v>1</v>
      </c>
      <c r="I609" s="79"/>
      <c r="J609" s="78"/>
      <c r="K609" s="69"/>
      <c r="L609" s="69"/>
      <c r="N609" s="111" t="s">
        <v>336</v>
      </c>
      <c r="O609" s="111"/>
      <c r="P609" s="111"/>
      <c r="Q609" s="1845" t="str">
        <f>CHOOSE(2, "6722000003528", "S/GP (2) Gross Profit Indirect HW KMI")</f>
        <v>S/GP (2) Gross Profit Indirect HW KMI</v>
      </c>
      <c r="R609" s="2055">
        <v>4088</v>
      </c>
      <c r="S609" s="2042">
        <v>3772</v>
      </c>
      <c r="T609" s="2042">
        <v>1690</v>
      </c>
      <c r="U609" s="2042">
        <v>6090</v>
      </c>
      <c r="V609" s="2042">
        <v>7150.7017364027297</v>
      </c>
      <c r="W609" s="2042">
        <f>-450+2201</f>
        <v>1751</v>
      </c>
      <c r="X609" s="2042">
        <v>4327</v>
      </c>
      <c r="Y609" s="2042">
        <v>5166</v>
      </c>
      <c r="Z609" s="2042">
        <v>-1488</v>
      </c>
      <c r="AA609" s="2042">
        <v>4533</v>
      </c>
      <c r="AB609" s="2042">
        <v>4714</v>
      </c>
      <c r="AC609" s="2042">
        <v>2094</v>
      </c>
      <c r="AD609" s="376">
        <f>SUM(R609,S609,T609)</f>
        <v>9550</v>
      </c>
      <c r="AE609" s="109">
        <f t="shared" ref="AE609:AE610" si="1241">SUM(U609,V609,W609)</f>
        <v>14991.701736402731</v>
      </c>
      <c r="AF609" s="109">
        <f t="shared" ref="AF609:AF610" si="1242">SUM(X609,Y609,Z609)</f>
        <v>8005</v>
      </c>
      <c r="AG609" s="109">
        <f t="shared" ref="AG609:AG610" si="1243">SUM(AA609,AB609,AC609)</f>
        <v>11341</v>
      </c>
      <c r="AH609" s="109">
        <f>AD609+AE609</f>
        <v>24541.701736402731</v>
      </c>
      <c r="AI609" s="109">
        <f>AG609+AF609</f>
        <v>19346</v>
      </c>
      <c r="AJ609" s="109">
        <f>AH609+AI609</f>
        <v>43887.701736402727</v>
      </c>
      <c r="AL609" s="109">
        <f ca="1">SUM((INDIRECT(AL$2&amp;(ROW())):INDIRECT(AL$3&amp;(ROW()))))</f>
        <v>2094</v>
      </c>
      <c r="AM609" s="109">
        <f ca="1">SUM(INDIRECT(AM$1&amp;AM$2&amp;$C609):INDIRECT(AM$1&amp;AM$3&amp;$C609))</f>
        <v>0</v>
      </c>
      <c r="AN609" s="892">
        <f t="shared" ca="1" si="1197"/>
        <v>2094</v>
      </c>
      <c r="AO609" s="953">
        <f t="shared" ca="1" si="1198"/>
        <v>0</v>
      </c>
      <c r="AP609" s="109">
        <f ca="1">SUM(INDIRECT(AP$1&amp;AP$2&amp;$A609):INDIRECT(AP$1&amp;AP$3&amp;$A609))</f>
        <v>1366</v>
      </c>
      <c r="AQ609" s="892">
        <f t="shared" ca="1" si="1199"/>
        <v>728</v>
      </c>
      <c r="AR609" s="953">
        <f t="shared" ca="1" si="1200"/>
        <v>1.5329428989751097</v>
      </c>
      <c r="AT609" s="109">
        <f ca="1">SUM((INDIRECT(AT$2&amp;(ROW())):INDIRECT(AT$3&amp;(ROW()))))</f>
        <v>11341</v>
      </c>
      <c r="AU609" s="109">
        <f ca="1">SUM(INDIRECT(AU$1&amp;AU$2&amp;$C609):INDIRECT(AU$1&amp;AU$3&amp;$C609))</f>
        <v>0</v>
      </c>
      <c r="AV609" s="892">
        <f t="shared" ca="1" si="1201"/>
        <v>11341</v>
      </c>
      <c r="AW609" s="953">
        <f t="shared" ca="1" si="1202"/>
        <v>0</v>
      </c>
      <c r="AX609" s="109">
        <f ca="1">SUM(INDIRECT(AX$1&amp;AX$2&amp;$A609):INDIRECT(AX$1&amp;AX$3&amp;$A609))</f>
        <v>3731</v>
      </c>
      <c r="AY609" s="892">
        <f t="shared" ca="1" si="1203"/>
        <v>7610</v>
      </c>
      <c r="AZ609" s="953">
        <f t="shared" ca="1" si="1204"/>
        <v>3.0396676494237469</v>
      </c>
      <c r="BB609" s="109">
        <f ca="1">SUM((INDIRECT(BB$2&amp;(ROW())):INDIRECT(BB$3&amp;(ROW()))))</f>
        <v>43887.701736402727</v>
      </c>
      <c r="BC609" s="109">
        <f ca="1">SUM(INDIRECT(BC$1&amp;BC$2&amp;$C609):INDIRECT(BC$1&amp;BC$3&amp;$C609))</f>
        <v>0</v>
      </c>
      <c r="BD609" s="892">
        <f t="shared" ca="1" si="1205"/>
        <v>43887.701736402727</v>
      </c>
      <c r="BE609" s="953">
        <f t="shared" ca="1" si="1206"/>
        <v>0</v>
      </c>
      <c r="BF609" s="109">
        <f ca="1">SUM(INDIRECT(BF$1&amp;BF$2&amp;$A609):INDIRECT(BF$1&amp;BF$3&amp;$A609))</f>
        <v>36549</v>
      </c>
      <c r="BG609" s="892">
        <f t="shared" ca="1" si="1207"/>
        <v>7338.701736402727</v>
      </c>
      <c r="BH609" s="953">
        <f t="shared" ca="1" si="1208"/>
        <v>1.2007907668172242</v>
      </c>
    </row>
    <row r="610" spans="1:60" ht="14.5">
      <c r="A610" s="990">
        <f t="shared" si="1228"/>
        <v>545</v>
      </c>
      <c r="B610" s="990">
        <v>1</v>
      </c>
      <c r="C610" s="990">
        <f t="shared" si="1189"/>
        <v>607</v>
      </c>
      <c r="E610" s="1243">
        <v>1</v>
      </c>
      <c r="I610" s="79"/>
      <c r="J610" s="78"/>
      <c r="K610" s="69"/>
      <c r="L610" s="69"/>
      <c r="N610" s="12" t="s">
        <v>337</v>
      </c>
      <c r="O610" s="12"/>
      <c r="P610" s="12"/>
      <c r="Q610" s="1845" t="str">
        <f>CHOOSE(2, "6722000003529", "S/GP (2) Gross Profit Indirect HW 3rd Party")</f>
        <v>S/GP (2) Gross Profit Indirect HW 3rd Party</v>
      </c>
      <c r="R610" s="2041">
        <v>0</v>
      </c>
      <c r="S610" s="2037">
        <v>0</v>
      </c>
      <c r="T610" s="2037">
        <v>0</v>
      </c>
      <c r="U610" s="2037">
        <v>0</v>
      </c>
      <c r="V610" s="2037">
        <v>0</v>
      </c>
      <c r="W610" s="2037">
        <v>0</v>
      </c>
      <c r="X610" s="2037">
        <v>0</v>
      </c>
      <c r="Y610" s="2037">
        <v>0</v>
      </c>
      <c r="Z610" s="2037">
        <v>0</v>
      </c>
      <c r="AA610" s="2037">
        <v>0</v>
      </c>
      <c r="AB610" s="2037">
        <v>0</v>
      </c>
      <c r="AC610" s="2037">
        <v>0</v>
      </c>
      <c r="AD610" s="99">
        <f>SUM(R610,S610,T610)</f>
        <v>0</v>
      </c>
      <c r="AE610" s="17">
        <f t="shared" si="1241"/>
        <v>0</v>
      </c>
      <c r="AF610" s="17">
        <f t="shared" si="1242"/>
        <v>0</v>
      </c>
      <c r="AG610" s="17">
        <f t="shared" si="1243"/>
        <v>0</v>
      </c>
      <c r="AH610" s="17">
        <f>AD610+AE610</f>
        <v>0</v>
      </c>
      <c r="AI610" s="17">
        <f>AG610+AF610</f>
        <v>0</v>
      </c>
      <c r="AJ610" s="17">
        <f>AH610+AI610</f>
        <v>0</v>
      </c>
      <c r="AL610" s="17">
        <f ca="1">SUM((INDIRECT(AL$2&amp;(ROW())):INDIRECT(AL$3&amp;(ROW()))))</f>
        <v>0</v>
      </c>
      <c r="AM610" s="17">
        <f ca="1">SUM(INDIRECT(AM$1&amp;AM$2&amp;$C610):INDIRECT(AM$1&amp;AM$3&amp;$C610))</f>
        <v>0</v>
      </c>
      <c r="AN610" s="876">
        <f t="shared" ca="1" si="1197"/>
        <v>0</v>
      </c>
      <c r="AO610" s="927">
        <f t="shared" ca="1" si="1198"/>
        <v>0</v>
      </c>
      <c r="AP610" s="17">
        <f ca="1">SUM(INDIRECT(AP$1&amp;AP$2&amp;$A610):INDIRECT(AP$1&amp;AP$3&amp;$A610))</f>
        <v>0</v>
      </c>
      <c r="AQ610" s="876">
        <f t="shared" ca="1" si="1199"/>
        <v>0</v>
      </c>
      <c r="AR610" s="927">
        <f t="shared" ca="1" si="1200"/>
        <v>0</v>
      </c>
      <c r="AT610" s="17">
        <f ca="1">SUM((INDIRECT(AT$2&amp;(ROW())):INDIRECT(AT$3&amp;(ROW()))))</f>
        <v>0</v>
      </c>
      <c r="AU610" s="17">
        <f ca="1">SUM(INDIRECT(AU$1&amp;AU$2&amp;$C610):INDIRECT(AU$1&amp;AU$3&amp;$C610))</f>
        <v>0</v>
      </c>
      <c r="AV610" s="876">
        <f t="shared" ca="1" si="1201"/>
        <v>0</v>
      </c>
      <c r="AW610" s="927">
        <f t="shared" ca="1" si="1202"/>
        <v>0</v>
      </c>
      <c r="AX610" s="17">
        <f ca="1">SUM(INDIRECT(AX$1&amp;AX$2&amp;$A610):INDIRECT(AX$1&amp;AX$3&amp;$A610))</f>
        <v>0</v>
      </c>
      <c r="AY610" s="876">
        <f t="shared" ca="1" si="1203"/>
        <v>0</v>
      </c>
      <c r="AZ610" s="927">
        <f t="shared" ca="1" si="1204"/>
        <v>0</v>
      </c>
      <c r="BB610" s="17">
        <f ca="1">SUM((INDIRECT(BB$2&amp;(ROW())):INDIRECT(BB$3&amp;(ROW()))))</f>
        <v>0</v>
      </c>
      <c r="BC610" s="17">
        <f ca="1">SUM(INDIRECT(BC$1&amp;BC$2&amp;$C610):INDIRECT(BC$1&amp;BC$3&amp;$C610))</f>
        <v>0</v>
      </c>
      <c r="BD610" s="876">
        <f t="shared" ca="1" si="1205"/>
        <v>0</v>
      </c>
      <c r="BE610" s="927">
        <f t="shared" ca="1" si="1206"/>
        <v>0</v>
      </c>
      <c r="BF610" s="17">
        <f ca="1">SUM(INDIRECT(BF$1&amp;BF$2&amp;$A610):INDIRECT(BF$1&amp;BF$3&amp;$A610))</f>
        <v>0</v>
      </c>
      <c r="BG610" s="876">
        <f t="shared" ca="1" si="1207"/>
        <v>0</v>
      </c>
      <c r="BH610" s="927">
        <f t="shared" ca="1" si="1208"/>
        <v>0</v>
      </c>
    </row>
    <row r="611" spans="1:60" ht="14.5">
      <c r="A611" s="990">
        <f t="shared" si="1228"/>
        <v>546</v>
      </c>
      <c r="B611" s="990">
        <v>1</v>
      </c>
      <c r="C611" s="990">
        <f t="shared" si="1189"/>
        <v>608</v>
      </c>
      <c r="E611" s="1243">
        <v>1</v>
      </c>
      <c r="I611" s="79"/>
      <c r="J611" s="78"/>
      <c r="K611" s="69"/>
      <c r="L611" s="69"/>
      <c r="M611" s="71" t="s">
        <v>338</v>
      </c>
      <c r="N611" s="362"/>
      <c r="O611" s="362"/>
      <c r="P611" s="362"/>
      <c r="Q611" s="1843" t="str">
        <f>CHOOSE(2, "6722000003530", "S/GP (2) Gross Profit Indirect NH")</f>
        <v>S/GP (2) Gross Profit Indirect NH</v>
      </c>
      <c r="R611" s="2054">
        <f>R612+R615+R616+R620+R623</f>
        <v>15346</v>
      </c>
      <c r="S611" s="361">
        <f t="shared" ref="S611:AC611" si="1244">S612+S615+S616+S620+S623</f>
        <v>11231</v>
      </c>
      <c r="T611" s="361">
        <f t="shared" si="1244"/>
        <v>13461</v>
      </c>
      <c r="U611" s="361">
        <f t="shared" si="1244"/>
        <v>15064</v>
      </c>
      <c r="V611" s="361">
        <f t="shared" si="1244"/>
        <v>10836.863366257916</v>
      </c>
      <c r="W611" s="361">
        <f t="shared" si="1244"/>
        <v>5368</v>
      </c>
      <c r="X611" s="361">
        <f t="shared" si="1244"/>
        <v>16139</v>
      </c>
      <c r="Y611" s="361">
        <f t="shared" si="1244"/>
        <v>12676</v>
      </c>
      <c r="Z611" s="361">
        <f t="shared" si="1244"/>
        <v>13242</v>
      </c>
      <c r="AA611" s="361">
        <f t="shared" si="1244"/>
        <v>14137</v>
      </c>
      <c r="AB611" s="361">
        <f t="shared" si="1244"/>
        <v>19489.1067</v>
      </c>
      <c r="AC611" s="361">
        <f t="shared" si="1244"/>
        <v>14087</v>
      </c>
      <c r="AD611" s="375">
        <f t="shared" ref="AD611:AJ611" si="1245">AD612+AD615+AD616+AD620+AD623</f>
        <v>40038</v>
      </c>
      <c r="AE611" s="361">
        <f t="shared" si="1245"/>
        <v>31268.863366257916</v>
      </c>
      <c r="AF611" s="361">
        <f t="shared" si="1245"/>
        <v>42057</v>
      </c>
      <c r="AG611" s="361">
        <f t="shared" si="1245"/>
        <v>47713.106700000004</v>
      </c>
      <c r="AH611" s="361">
        <f t="shared" si="1245"/>
        <v>71306.863366257923</v>
      </c>
      <c r="AI611" s="361">
        <f t="shared" si="1245"/>
        <v>89770.106700000004</v>
      </c>
      <c r="AJ611" s="361">
        <f t="shared" si="1245"/>
        <v>161076.97006625793</v>
      </c>
      <c r="AL611" s="361">
        <f ca="1">SUM((INDIRECT(AL$2&amp;(ROW())):INDIRECT(AL$3&amp;(ROW()))))</f>
        <v>14087</v>
      </c>
      <c r="AM611" s="361">
        <f ca="1">SUM(INDIRECT(AM$1&amp;AM$2&amp;$C611):INDIRECT(AM$1&amp;AM$3&amp;$C611))</f>
        <v>0</v>
      </c>
      <c r="AN611" s="901">
        <f t="shared" ca="1" si="1197"/>
        <v>14087</v>
      </c>
      <c r="AO611" s="962">
        <f t="shared" ca="1" si="1198"/>
        <v>0</v>
      </c>
      <c r="AP611" s="361">
        <f ca="1">SUM(INDIRECT(AP$1&amp;AP$2&amp;$A611):INDIRECT(AP$1&amp;AP$3&amp;$A611))</f>
        <v>10589</v>
      </c>
      <c r="AQ611" s="901">
        <f t="shared" ca="1" si="1199"/>
        <v>3498</v>
      </c>
      <c r="AR611" s="962">
        <f t="shared" ca="1" si="1200"/>
        <v>1.3303428085749363</v>
      </c>
      <c r="AT611" s="361">
        <f ca="1">SUM((INDIRECT(AT$2&amp;(ROW())):INDIRECT(AT$3&amp;(ROW()))))</f>
        <v>47713.106700000004</v>
      </c>
      <c r="AU611" s="361">
        <f ca="1">SUM(INDIRECT(AU$1&amp;AU$2&amp;$C611):INDIRECT(AU$1&amp;AU$3&amp;$C611))</f>
        <v>0</v>
      </c>
      <c r="AV611" s="901">
        <f t="shared" ca="1" si="1201"/>
        <v>47713.106700000004</v>
      </c>
      <c r="AW611" s="962">
        <f t="shared" ca="1" si="1202"/>
        <v>0</v>
      </c>
      <c r="AX611" s="361">
        <f ca="1">SUM(INDIRECT(AX$1&amp;AX$2&amp;$A611):INDIRECT(AX$1&amp;AX$3&amp;$A611))</f>
        <v>31611</v>
      </c>
      <c r="AY611" s="901">
        <f t="shared" ca="1" si="1203"/>
        <v>16102.106700000004</v>
      </c>
      <c r="AZ611" s="962">
        <f t="shared" ca="1" si="1204"/>
        <v>1.5093830217329411</v>
      </c>
      <c r="BB611" s="361">
        <f ca="1">SUM((INDIRECT(BB$2&amp;(ROW())):INDIRECT(BB$3&amp;(ROW()))))</f>
        <v>161076.97006625793</v>
      </c>
      <c r="BC611" s="361">
        <f ca="1">SUM(INDIRECT(BC$1&amp;BC$2&amp;$C611):INDIRECT(BC$1&amp;BC$3&amp;$C611))</f>
        <v>0</v>
      </c>
      <c r="BD611" s="901">
        <f t="shared" ca="1" si="1205"/>
        <v>161076.97006625793</v>
      </c>
      <c r="BE611" s="962">
        <f t="shared" ca="1" si="1206"/>
        <v>0</v>
      </c>
      <c r="BF611" s="361">
        <f ca="1">SUM(INDIRECT(BF$1&amp;BF$2&amp;$A611):INDIRECT(BF$1&amp;BF$3&amp;$A611))</f>
        <v>124915</v>
      </c>
      <c r="BG611" s="901">
        <f t="shared" ca="1" si="1207"/>
        <v>36161.970066257927</v>
      </c>
      <c r="BH611" s="962">
        <f t="shared" ca="1" si="1208"/>
        <v>1.2894926155086093</v>
      </c>
    </row>
    <row r="612" spans="1:60" ht="14.5">
      <c r="A612" s="990">
        <f t="shared" si="1228"/>
        <v>547</v>
      </c>
      <c r="B612" s="990">
        <v>1</v>
      </c>
      <c r="C612" s="990">
        <f t="shared" si="1189"/>
        <v>609</v>
      </c>
      <c r="E612" s="1243">
        <v>1</v>
      </c>
      <c r="I612" s="79"/>
      <c r="J612" s="78"/>
      <c r="K612" s="69"/>
      <c r="L612" s="69"/>
      <c r="N612" s="111" t="s">
        <v>336</v>
      </c>
      <c r="O612" s="111"/>
      <c r="P612" s="1500"/>
      <c r="Q612" s="1843" t="str">
        <f>CHOOSE(2, "6722000003531", "S/GP (2) Gross Profit Indirect NH KMI")</f>
        <v>S/GP (2) Gross Profit Indirect NH KMI</v>
      </c>
      <c r="R612" s="2219">
        <f>SUM(R613:R614)</f>
        <v>15346</v>
      </c>
      <c r="S612" s="64">
        <f t="shared" ref="S612:AC612" si="1246">SUM(S613:S614)</f>
        <v>11231</v>
      </c>
      <c r="T612" s="64">
        <f t="shared" si="1246"/>
        <v>13461</v>
      </c>
      <c r="U612" s="64">
        <f t="shared" si="1246"/>
        <v>15064</v>
      </c>
      <c r="V612" s="64">
        <f t="shared" si="1246"/>
        <v>10836.863366257916</v>
      </c>
      <c r="W612" s="64">
        <f t="shared" si="1246"/>
        <v>5368</v>
      </c>
      <c r="X612" s="64">
        <f t="shared" si="1246"/>
        <v>16139</v>
      </c>
      <c r="Y612" s="64">
        <f t="shared" si="1246"/>
        <v>12676</v>
      </c>
      <c r="Z612" s="64">
        <f t="shared" si="1246"/>
        <v>13242</v>
      </c>
      <c r="AA612" s="64">
        <f t="shared" si="1246"/>
        <v>14137</v>
      </c>
      <c r="AB612" s="64">
        <f t="shared" si="1246"/>
        <v>19489.1067</v>
      </c>
      <c r="AC612" s="64">
        <f t="shared" si="1246"/>
        <v>14087</v>
      </c>
      <c r="AD612" s="1545">
        <f t="shared" ref="AD612:AJ612" si="1247">SUM(AD613:AD614)</f>
        <v>40038</v>
      </c>
      <c r="AE612" s="64">
        <f t="shared" si="1247"/>
        <v>31268.863366257916</v>
      </c>
      <c r="AF612" s="64">
        <f t="shared" si="1247"/>
        <v>42057</v>
      </c>
      <c r="AG612" s="64">
        <f t="shared" si="1247"/>
        <v>47713.106700000004</v>
      </c>
      <c r="AH612" s="64">
        <f t="shared" si="1247"/>
        <v>71306.863366257923</v>
      </c>
      <c r="AI612" s="64">
        <f t="shared" si="1247"/>
        <v>89770.106700000004</v>
      </c>
      <c r="AJ612" s="64">
        <f t="shared" si="1247"/>
        <v>161076.97006625793</v>
      </c>
      <c r="AL612" s="64">
        <f ca="1">SUM((INDIRECT(AL$2&amp;(ROW())):INDIRECT(AL$3&amp;(ROW()))))</f>
        <v>14087</v>
      </c>
      <c r="AM612" s="64">
        <f ca="1">SUM(INDIRECT(AM$1&amp;AM$2&amp;$C612):INDIRECT(AM$1&amp;AM$3&amp;$C612))</f>
        <v>0</v>
      </c>
      <c r="AN612" s="902">
        <f t="shared" ca="1" si="1197"/>
        <v>14087</v>
      </c>
      <c r="AO612" s="963">
        <f t="shared" ca="1" si="1198"/>
        <v>0</v>
      </c>
      <c r="AP612" s="64">
        <f ca="1">SUM(INDIRECT(AP$1&amp;AP$2&amp;$A612):INDIRECT(AP$1&amp;AP$3&amp;$A612))</f>
        <v>10589</v>
      </c>
      <c r="AQ612" s="902">
        <f t="shared" ca="1" si="1199"/>
        <v>3498</v>
      </c>
      <c r="AR612" s="963">
        <f t="shared" ca="1" si="1200"/>
        <v>1.3303428085749363</v>
      </c>
      <c r="AT612" s="64">
        <f ca="1">SUM((INDIRECT(AT$2&amp;(ROW())):INDIRECT(AT$3&amp;(ROW()))))</f>
        <v>47713.106700000004</v>
      </c>
      <c r="AU612" s="64">
        <f ca="1">SUM(INDIRECT(AU$1&amp;AU$2&amp;$C612):INDIRECT(AU$1&amp;AU$3&amp;$C612))</f>
        <v>0</v>
      </c>
      <c r="AV612" s="902">
        <f t="shared" ca="1" si="1201"/>
        <v>47713.106700000004</v>
      </c>
      <c r="AW612" s="963">
        <f t="shared" ca="1" si="1202"/>
        <v>0</v>
      </c>
      <c r="AX612" s="64">
        <f ca="1">SUM(INDIRECT(AX$1&amp;AX$2&amp;$A612):INDIRECT(AX$1&amp;AX$3&amp;$A612))</f>
        <v>31611</v>
      </c>
      <c r="AY612" s="902">
        <f t="shared" ca="1" si="1203"/>
        <v>16102.106700000004</v>
      </c>
      <c r="AZ612" s="963">
        <f t="shared" ca="1" si="1204"/>
        <v>1.5093830217329411</v>
      </c>
      <c r="BB612" s="64">
        <f ca="1">SUM((INDIRECT(BB$2&amp;(ROW())):INDIRECT(BB$3&amp;(ROW()))))</f>
        <v>161076.97006625793</v>
      </c>
      <c r="BC612" s="64">
        <f ca="1">SUM(INDIRECT(BC$1&amp;BC$2&amp;$C612):INDIRECT(BC$1&amp;BC$3&amp;$C612))</f>
        <v>0</v>
      </c>
      <c r="BD612" s="902">
        <f t="shared" ca="1" si="1205"/>
        <v>161076.97006625793</v>
      </c>
      <c r="BE612" s="963">
        <f t="shared" ca="1" si="1206"/>
        <v>0</v>
      </c>
      <c r="BF612" s="64">
        <f ca="1">SUM(INDIRECT(BF$1&amp;BF$2&amp;$A612):INDIRECT(BF$1&amp;BF$3&amp;$A612))</f>
        <v>124915</v>
      </c>
      <c r="BG612" s="902">
        <f t="shared" ca="1" si="1207"/>
        <v>36161.970066257927</v>
      </c>
      <c r="BH612" s="963">
        <f t="shared" ca="1" si="1208"/>
        <v>1.2894926155086093</v>
      </c>
    </row>
    <row r="613" spans="1:60" ht="14.5">
      <c r="A613" s="990">
        <f t="shared" si="1228"/>
        <v>548</v>
      </c>
      <c r="B613" s="990">
        <v>1</v>
      </c>
      <c r="C613" s="990">
        <f t="shared" si="1189"/>
        <v>610</v>
      </c>
      <c r="E613" s="1243">
        <v>1</v>
      </c>
      <c r="I613" s="79"/>
      <c r="J613" s="78"/>
      <c r="K613" s="69"/>
      <c r="L613" s="69"/>
      <c r="P613" s="111" t="s">
        <v>339</v>
      </c>
      <c r="Q613" s="1845" t="str">
        <f>CHOOSE(2, "6722000003532", "S/GP (2) Gross Profit Indirect NH KMI Consumables")</f>
        <v>S/GP (2) Gross Profit Indirect NH KMI Consumables</v>
      </c>
      <c r="R613" s="2055">
        <v>15346</v>
      </c>
      <c r="S613" s="2042">
        <v>11231</v>
      </c>
      <c r="T613" s="2042">
        <v>13461</v>
      </c>
      <c r="U613" s="2042">
        <v>15064</v>
      </c>
      <c r="V613" s="2042">
        <v>10836.863366257916</v>
      </c>
      <c r="W613" s="2042">
        <v>5368</v>
      </c>
      <c r="X613" s="2042">
        <v>16139</v>
      </c>
      <c r="Y613" s="2042">
        <v>12676</v>
      </c>
      <c r="Z613" s="2042">
        <v>13242</v>
      </c>
      <c r="AA613" s="2042">
        <v>14137</v>
      </c>
      <c r="AB613" s="2042">
        <v>19489.1067</v>
      </c>
      <c r="AC613" s="2042">
        <v>14087</v>
      </c>
      <c r="AD613" s="376">
        <f>SUM(R613,S613,T613)</f>
        <v>40038</v>
      </c>
      <c r="AE613" s="109">
        <f t="shared" ref="AE613:AE615" si="1248">SUM(U613,V613,W613)</f>
        <v>31268.863366257916</v>
      </c>
      <c r="AF613" s="109">
        <f t="shared" ref="AF613:AF615" si="1249">SUM(X613,Y613,Z613)</f>
        <v>42057</v>
      </c>
      <c r="AG613" s="109">
        <f t="shared" ref="AG613:AG615" si="1250">SUM(AA613,AB613,AC613)</f>
        <v>47713.106700000004</v>
      </c>
      <c r="AH613" s="109">
        <f>AD613+AE613</f>
        <v>71306.863366257923</v>
      </c>
      <c r="AI613" s="109">
        <f>AG613+AF613</f>
        <v>89770.106700000004</v>
      </c>
      <c r="AJ613" s="109">
        <f>AH613+AI613</f>
        <v>161076.97006625793</v>
      </c>
      <c r="AL613" s="109">
        <f ca="1">SUM((INDIRECT(AL$2&amp;(ROW())):INDIRECT(AL$3&amp;(ROW()))))</f>
        <v>14087</v>
      </c>
      <c r="AM613" s="109">
        <f ca="1">SUM(INDIRECT(AM$1&amp;AM$2&amp;$C613):INDIRECT(AM$1&amp;AM$3&amp;$C613))</f>
        <v>0</v>
      </c>
      <c r="AN613" s="892">
        <f t="shared" ca="1" si="1197"/>
        <v>14087</v>
      </c>
      <c r="AO613" s="953">
        <f t="shared" ca="1" si="1198"/>
        <v>0</v>
      </c>
      <c r="AP613" s="109">
        <f ca="1">SUM(INDIRECT(AP$1&amp;AP$2&amp;$A613):INDIRECT(AP$1&amp;AP$3&amp;$A613))</f>
        <v>10589</v>
      </c>
      <c r="AQ613" s="892">
        <f t="shared" ca="1" si="1199"/>
        <v>3498</v>
      </c>
      <c r="AR613" s="953">
        <f t="shared" ca="1" si="1200"/>
        <v>1.3303428085749363</v>
      </c>
      <c r="AT613" s="109">
        <f ca="1">SUM((INDIRECT(AT$2&amp;(ROW())):INDIRECT(AT$3&amp;(ROW()))))</f>
        <v>47713.106700000004</v>
      </c>
      <c r="AU613" s="109">
        <f ca="1">SUM(INDIRECT(AU$1&amp;AU$2&amp;$C613):INDIRECT(AU$1&amp;AU$3&amp;$C613))</f>
        <v>0</v>
      </c>
      <c r="AV613" s="892">
        <f t="shared" ca="1" si="1201"/>
        <v>47713.106700000004</v>
      </c>
      <c r="AW613" s="953">
        <f t="shared" ca="1" si="1202"/>
        <v>0</v>
      </c>
      <c r="AX613" s="109">
        <f ca="1">SUM(INDIRECT(AX$1&amp;AX$2&amp;$A613):INDIRECT(AX$1&amp;AX$3&amp;$A613))</f>
        <v>31611</v>
      </c>
      <c r="AY613" s="892">
        <f t="shared" ca="1" si="1203"/>
        <v>16102.106700000004</v>
      </c>
      <c r="AZ613" s="953">
        <f t="shared" ca="1" si="1204"/>
        <v>1.5093830217329411</v>
      </c>
      <c r="BB613" s="109">
        <f ca="1">SUM((INDIRECT(BB$2&amp;(ROW())):INDIRECT(BB$3&amp;(ROW()))))</f>
        <v>161076.97006625793</v>
      </c>
      <c r="BC613" s="109">
        <f ca="1">SUM(INDIRECT(BC$1&amp;BC$2&amp;$C613):INDIRECT(BC$1&amp;BC$3&amp;$C613))</f>
        <v>0</v>
      </c>
      <c r="BD613" s="892">
        <f t="shared" ca="1" si="1205"/>
        <v>161076.97006625793</v>
      </c>
      <c r="BE613" s="953">
        <f t="shared" ca="1" si="1206"/>
        <v>0</v>
      </c>
      <c r="BF613" s="109">
        <f ca="1">SUM(INDIRECT(BF$1&amp;BF$2&amp;$A613):INDIRECT(BF$1&amp;BF$3&amp;$A613))</f>
        <v>124915</v>
      </c>
      <c r="BG613" s="892">
        <f t="shared" ca="1" si="1207"/>
        <v>36161.970066257927</v>
      </c>
      <c r="BH613" s="953">
        <f t="shared" ca="1" si="1208"/>
        <v>1.2894926155086093</v>
      </c>
    </row>
    <row r="614" spans="1:60" ht="14.5">
      <c r="A614" s="990">
        <f t="shared" si="1228"/>
        <v>549</v>
      </c>
      <c r="B614" s="990">
        <v>1</v>
      </c>
      <c r="C614" s="990">
        <f t="shared" si="1189"/>
        <v>611</v>
      </c>
      <c r="E614" s="1243">
        <v>1</v>
      </c>
      <c r="I614" s="79"/>
      <c r="J614" s="78"/>
      <c r="K614" s="69"/>
      <c r="L614" s="69"/>
      <c r="N614" s="363"/>
      <c r="O614" s="363"/>
      <c r="P614" s="363" t="s">
        <v>340</v>
      </c>
      <c r="Q614" s="1845" t="str">
        <f>CHOOSE(2, "6722000003533", "S/GP (2) Gross Profit Indirect NH KMI Parts")</f>
        <v>S/GP (2) Gross Profit Indirect NH KMI Parts</v>
      </c>
      <c r="R614" s="2220">
        <v>0</v>
      </c>
      <c r="S614" s="2052">
        <v>0</v>
      </c>
      <c r="T614" s="2052">
        <v>0</v>
      </c>
      <c r="U614" s="2052">
        <v>0</v>
      </c>
      <c r="V614" s="2052">
        <v>0</v>
      </c>
      <c r="W614" s="2052">
        <v>0</v>
      </c>
      <c r="X614" s="2052">
        <v>0</v>
      </c>
      <c r="Y614" s="2052">
        <v>0</v>
      </c>
      <c r="Z614" s="2052">
        <v>0</v>
      </c>
      <c r="AA614" s="2052">
        <v>0</v>
      </c>
      <c r="AB614" s="2052">
        <v>0</v>
      </c>
      <c r="AC614" s="2052">
        <v>0</v>
      </c>
      <c r="AD614" s="408">
        <f>SUM(R614,S614,T614)</f>
        <v>0</v>
      </c>
      <c r="AE614" s="365">
        <f t="shared" si="1248"/>
        <v>0</v>
      </c>
      <c r="AF614" s="365">
        <f t="shared" si="1249"/>
        <v>0</v>
      </c>
      <c r="AG614" s="365">
        <f t="shared" si="1250"/>
        <v>0</v>
      </c>
      <c r="AH614" s="365">
        <f>AD614+AE614</f>
        <v>0</v>
      </c>
      <c r="AI614" s="365">
        <f>AG614+AF614</f>
        <v>0</v>
      </c>
      <c r="AJ614" s="365">
        <f>AH614+AI614</f>
        <v>0</v>
      </c>
      <c r="AL614" s="365">
        <f ca="1">SUM((INDIRECT(AL$2&amp;(ROW())):INDIRECT(AL$3&amp;(ROW()))))</f>
        <v>0</v>
      </c>
      <c r="AM614" s="365">
        <f ca="1">SUM(INDIRECT(AM$1&amp;AM$2&amp;$C614):INDIRECT(AM$1&amp;AM$3&amp;$C614))</f>
        <v>0</v>
      </c>
      <c r="AN614" s="891">
        <f t="shared" ca="1" si="1197"/>
        <v>0</v>
      </c>
      <c r="AO614" s="952">
        <f t="shared" ca="1" si="1198"/>
        <v>0</v>
      </c>
      <c r="AP614" s="365">
        <f ca="1">SUM(INDIRECT(AP$1&amp;AP$2&amp;$A614):INDIRECT(AP$1&amp;AP$3&amp;$A614))</f>
        <v>0</v>
      </c>
      <c r="AQ614" s="891">
        <f t="shared" ca="1" si="1199"/>
        <v>0</v>
      </c>
      <c r="AR614" s="952">
        <f t="shared" ca="1" si="1200"/>
        <v>0</v>
      </c>
      <c r="AT614" s="365">
        <f ca="1">SUM((INDIRECT(AT$2&amp;(ROW())):INDIRECT(AT$3&amp;(ROW()))))</f>
        <v>0</v>
      </c>
      <c r="AU614" s="365">
        <f ca="1">SUM(INDIRECT(AU$1&amp;AU$2&amp;$C614):INDIRECT(AU$1&amp;AU$3&amp;$C614))</f>
        <v>0</v>
      </c>
      <c r="AV614" s="891">
        <f t="shared" ca="1" si="1201"/>
        <v>0</v>
      </c>
      <c r="AW614" s="952">
        <f t="shared" ca="1" si="1202"/>
        <v>0</v>
      </c>
      <c r="AX614" s="365">
        <f ca="1">SUM(INDIRECT(AX$1&amp;AX$2&amp;$A614):INDIRECT(AX$1&amp;AX$3&amp;$A614))</f>
        <v>0</v>
      </c>
      <c r="AY614" s="891">
        <f t="shared" ca="1" si="1203"/>
        <v>0</v>
      </c>
      <c r="AZ614" s="952">
        <f t="shared" ca="1" si="1204"/>
        <v>0</v>
      </c>
      <c r="BB614" s="365">
        <f ca="1">SUM((INDIRECT(BB$2&amp;(ROW())):INDIRECT(BB$3&amp;(ROW()))))</f>
        <v>0</v>
      </c>
      <c r="BC614" s="365">
        <f ca="1">SUM(INDIRECT(BC$1&amp;BC$2&amp;$C614):INDIRECT(BC$1&amp;BC$3&amp;$C614))</f>
        <v>0</v>
      </c>
      <c r="BD614" s="891">
        <f t="shared" ca="1" si="1205"/>
        <v>0</v>
      </c>
      <c r="BE614" s="952">
        <f t="shared" ca="1" si="1206"/>
        <v>0</v>
      </c>
      <c r="BF614" s="365">
        <f ca="1">SUM(INDIRECT(BF$1&amp;BF$2&amp;$A614):INDIRECT(BF$1&amp;BF$3&amp;$A614))</f>
        <v>0</v>
      </c>
      <c r="BG614" s="891">
        <f t="shared" ca="1" si="1207"/>
        <v>0</v>
      </c>
      <c r="BH614" s="952">
        <f t="shared" ca="1" si="1208"/>
        <v>0</v>
      </c>
    </row>
    <row r="615" spans="1:60" ht="14.5">
      <c r="A615" s="990">
        <f t="shared" si="1228"/>
        <v>550</v>
      </c>
      <c r="B615" s="990">
        <v>1</v>
      </c>
      <c r="C615" s="990">
        <f t="shared" si="1189"/>
        <v>612</v>
      </c>
      <c r="E615" s="1243">
        <v>1</v>
      </c>
      <c r="I615" s="79"/>
      <c r="J615" s="78"/>
      <c r="K615" s="69"/>
      <c r="L615" s="69"/>
      <c r="N615" s="366" t="s">
        <v>337</v>
      </c>
      <c r="Q615" s="1845" t="str">
        <f>CHOOSE(2, "6722000003534", "S/GP (2) Gross Profit Indirect NH 3rd Party")</f>
        <v>S/GP (2) Gross Profit Indirect NH 3rd Party</v>
      </c>
      <c r="R615" s="2036">
        <v>0</v>
      </c>
      <c r="S615" s="2036">
        <v>0</v>
      </c>
      <c r="T615" s="2036">
        <v>0</v>
      </c>
      <c r="U615" s="2036">
        <v>0</v>
      </c>
      <c r="V615" s="2036">
        <v>0</v>
      </c>
      <c r="W615" s="2036">
        <v>0</v>
      </c>
      <c r="X615" s="2036">
        <v>0</v>
      </c>
      <c r="Y615" s="2036">
        <v>0</v>
      </c>
      <c r="Z615" s="2036">
        <v>0</v>
      </c>
      <c r="AA615" s="2036">
        <v>0</v>
      </c>
      <c r="AB615" s="2036">
        <v>0</v>
      </c>
      <c r="AC615" s="2036">
        <v>0</v>
      </c>
      <c r="AD615" s="100">
        <f>SUM(R615,S615,T615)</f>
        <v>0</v>
      </c>
      <c r="AE615" s="19">
        <f t="shared" si="1248"/>
        <v>0</v>
      </c>
      <c r="AF615" s="19">
        <f t="shared" si="1249"/>
        <v>0</v>
      </c>
      <c r="AG615" s="19">
        <f t="shared" si="1250"/>
        <v>0</v>
      </c>
      <c r="AH615" s="19">
        <f>AD615+AE615</f>
        <v>0</v>
      </c>
      <c r="AI615" s="19">
        <f>AG615+AF615</f>
        <v>0</v>
      </c>
      <c r="AJ615" s="19">
        <f>AH615+AI615</f>
        <v>0</v>
      </c>
      <c r="AL615" s="19">
        <f ca="1">SUM((INDIRECT(AL$2&amp;(ROW())):INDIRECT(AL$3&amp;(ROW()))))</f>
        <v>0</v>
      </c>
      <c r="AM615" s="19">
        <f ca="1">SUM(INDIRECT(AM$1&amp;AM$2&amp;$C615):INDIRECT(AM$1&amp;AM$3&amp;$C615))</f>
        <v>0</v>
      </c>
      <c r="AN615" s="875">
        <f t="shared" ca="1" si="1197"/>
        <v>0</v>
      </c>
      <c r="AO615" s="926">
        <f t="shared" ca="1" si="1198"/>
        <v>0</v>
      </c>
      <c r="AP615" s="19">
        <f ca="1">SUM(INDIRECT(AP$1&amp;AP$2&amp;$A615):INDIRECT(AP$1&amp;AP$3&amp;$A615))</f>
        <v>0</v>
      </c>
      <c r="AQ615" s="875">
        <f t="shared" ca="1" si="1199"/>
        <v>0</v>
      </c>
      <c r="AR615" s="926">
        <f t="shared" ca="1" si="1200"/>
        <v>0</v>
      </c>
      <c r="AT615" s="19">
        <f ca="1">SUM((INDIRECT(AT$2&amp;(ROW())):INDIRECT(AT$3&amp;(ROW()))))</f>
        <v>0</v>
      </c>
      <c r="AU615" s="19">
        <f ca="1">SUM(INDIRECT(AU$1&amp;AU$2&amp;$C615):INDIRECT(AU$1&amp;AU$3&amp;$C615))</f>
        <v>0</v>
      </c>
      <c r="AV615" s="875">
        <f t="shared" ca="1" si="1201"/>
        <v>0</v>
      </c>
      <c r="AW615" s="926">
        <f t="shared" ca="1" si="1202"/>
        <v>0</v>
      </c>
      <c r="AX615" s="19">
        <f ca="1">SUM(INDIRECT(AX$1&amp;AX$2&amp;$A615):INDIRECT(AX$1&amp;AX$3&amp;$A615))</f>
        <v>0</v>
      </c>
      <c r="AY615" s="875">
        <f t="shared" ca="1" si="1203"/>
        <v>0</v>
      </c>
      <c r="AZ615" s="926">
        <f t="shared" ca="1" si="1204"/>
        <v>0</v>
      </c>
      <c r="BB615" s="19">
        <f ca="1">SUM((INDIRECT(BB$2&amp;(ROW())):INDIRECT(BB$3&amp;(ROW()))))</f>
        <v>0</v>
      </c>
      <c r="BC615" s="19">
        <f ca="1">SUM(INDIRECT(BC$1&amp;BC$2&amp;$C615):INDIRECT(BC$1&amp;BC$3&amp;$C615))</f>
        <v>0</v>
      </c>
      <c r="BD615" s="875">
        <f t="shared" ca="1" si="1205"/>
        <v>0</v>
      </c>
      <c r="BE615" s="926">
        <f t="shared" ca="1" si="1206"/>
        <v>0</v>
      </c>
      <c r="BF615" s="19">
        <f ca="1">SUM(INDIRECT(BF$1&amp;BF$2&amp;$A615):INDIRECT(BF$1&amp;BF$3&amp;$A615))</f>
        <v>0</v>
      </c>
      <c r="BG615" s="875">
        <f t="shared" ca="1" si="1207"/>
        <v>0</v>
      </c>
      <c r="BH615" s="926">
        <f t="shared" ca="1" si="1208"/>
        <v>0</v>
      </c>
    </row>
    <row r="616" spans="1:60" ht="14.5">
      <c r="A616" s="990">
        <f t="shared" si="1228"/>
        <v>551</v>
      </c>
      <c r="B616" s="990">
        <v>1</v>
      </c>
      <c r="C616" s="990">
        <f t="shared" si="1189"/>
        <v>613</v>
      </c>
      <c r="E616" s="1243">
        <v>1</v>
      </c>
      <c r="I616" s="79"/>
      <c r="J616" s="78"/>
      <c r="K616" s="69"/>
      <c r="L616" s="69"/>
      <c r="M616" s="273"/>
      <c r="N616" s="370" t="s">
        <v>310</v>
      </c>
      <c r="O616" s="370"/>
      <c r="P616" s="370"/>
      <c r="Q616" s="1843" t="str">
        <f>CHOOSE(2, "6722000003535", "S/GP (2) Gross Profit Indirect NH &lt;Direct&gt;FSC(-)")</f>
        <v>S/GP (2) Gross Profit Indirect NH &lt;Direct&gt;FSC(-)</v>
      </c>
      <c r="R616" s="361">
        <f t="shared" ref="R616:AC616" si="1251">SUM(R617:R619)</f>
        <v>0</v>
      </c>
      <c r="S616" s="361">
        <f t="shared" si="1251"/>
        <v>0</v>
      </c>
      <c r="T616" s="361">
        <f t="shared" si="1251"/>
        <v>0</v>
      </c>
      <c r="U616" s="361">
        <f t="shared" si="1251"/>
        <v>0</v>
      </c>
      <c r="V616" s="361">
        <f t="shared" si="1251"/>
        <v>0</v>
      </c>
      <c r="W616" s="361">
        <f t="shared" si="1251"/>
        <v>0</v>
      </c>
      <c r="X616" s="361">
        <f t="shared" si="1251"/>
        <v>0</v>
      </c>
      <c r="Y616" s="361">
        <f t="shared" si="1251"/>
        <v>0</v>
      </c>
      <c r="Z616" s="361">
        <f t="shared" si="1251"/>
        <v>0</v>
      </c>
      <c r="AA616" s="361">
        <f t="shared" si="1251"/>
        <v>0</v>
      </c>
      <c r="AB616" s="361">
        <f t="shared" si="1251"/>
        <v>0</v>
      </c>
      <c r="AC616" s="361">
        <f t="shared" si="1251"/>
        <v>0</v>
      </c>
      <c r="AD616" s="375">
        <f t="shared" ref="AD616:AJ616" si="1252">SUM(AD617:AD619)</f>
        <v>0</v>
      </c>
      <c r="AE616" s="361">
        <f t="shared" si="1252"/>
        <v>0</v>
      </c>
      <c r="AF616" s="361">
        <f t="shared" si="1252"/>
        <v>0</v>
      </c>
      <c r="AG616" s="361">
        <f t="shared" si="1252"/>
        <v>0</v>
      </c>
      <c r="AH616" s="361">
        <f t="shared" si="1252"/>
        <v>0</v>
      </c>
      <c r="AI616" s="361">
        <f t="shared" si="1252"/>
        <v>0</v>
      </c>
      <c r="AJ616" s="361">
        <f t="shared" si="1252"/>
        <v>0</v>
      </c>
      <c r="AL616" s="361">
        <f ca="1">SUM((INDIRECT(AL$2&amp;(ROW())):INDIRECT(AL$3&amp;(ROW()))))</f>
        <v>0</v>
      </c>
      <c r="AM616" s="361">
        <f ca="1">SUM(INDIRECT(AM$1&amp;AM$2&amp;$C616):INDIRECT(AM$1&amp;AM$3&amp;$C616))</f>
        <v>0</v>
      </c>
      <c r="AN616" s="901">
        <f t="shared" ref="AN616:AN629" ca="1" si="1253">AL616-AM616</f>
        <v>0</v>
      </c>
      <c r="AO616" s="962">
        <f t="shared" ref="AO616:AO629" ca="1" si="1254">IFERROR(AL616/AM616,0)</f>
        <v>0</v>
      </c>
      <c r="AP616" s="361">
        <f ca="1">SUM(INDIRECT(AP$1&amp;AP$2&amp;$A616):INDIRECT(AP$1&amp;AP$3&amp;$A616))</f>
        <v>0</v>
      </c>
      <c r="AQ616" s="901">
        <f t="shared" ref="AQ616:AQ629" ca="1" si="1255">AL616-AP616</f>
        <v>0</v>
      </c>
      <c r="AR616" s="962">
        <f t="shared" ref="AR616:AR629" ca="1" si="1256">IFERROR(AL616/AP616,0)</f>
        <v>0</v>
      </c>
      <c r="AT616" s="361">
        <f ca="1">SUM((INDIRECT(AT$2&amp;(ROW())):INDIRECT(AT$3&amp;(ROW()))))</f>
        <v>0</v>
      </c>
      <c r="AU616" s="361">
        <f ca="1">SUM(INDIRECT(AU$1&amp;AU$2&amp;$C616):INDIRECT(AU$1&amp;AU$3&amp;$C616))</f>
        <v>0</v>
      </c>
      <c r="AV616" s="901">
        <f t="shared" ref="AV616:AV629" ca="1" si="1257">AT616-AU616</f>
        <v>0</v>
      </c>
      <c r="AW616" s="962">
        <f t="shared" ref="AW616:AW629" ca="1" si="1258">IFERROR(AT616/AU616,0)</f>
        <v>0</v>
      </c>
      <c r="AX616" s="361">
        <f ca="1">SUM(INDIRECT(AX$1&amp;AX$2&amp;$A616):INDIRECT(AX$1&amp;AX$3&amp;$A616))</f>
        <v>0</v>
      </c>
      <c r="AY616" s="901">
        <f t="shared" ref="AY616:AY629" ca="1" si="1259">AT616-AX616</f>
        <v>0</v>
      </c>
      <c r="AZ616" s="962">
        <f t="shared" ref="AZ616:AZ629" ca="1" si="1260">IFERROR(AT616/AX616,0)</f>
        <v>0</v>
      </c>
      <c r="BB616" s="361">
        <f ca="1">SUM((INDIRECT(BB$2&amp;(ROW())):INDIRECT(BB$3&amp;(ROW()))))</f>
        <v>0</v>
      </c>
      <c r="BC616" s="361">
        <f ca="1">SUM(INDIRECT(BC$1&amp;BC$2&amp;$C616):INDIRECT(BC$1&amp;BC$3&amp;$C616))</f>
        <v>0</v>
      </c>
      <c r="BD616" s="901">
        <f t="shared" ref="BD616:BD629" ca="1" si="1261">BB616-BC616</f>
        <v>0</v>
      </c>
      <c r="BE616" s="962">
        <f t="shared" ref="BE616:BE629" ca="1" si="1262">IFERROR(BB616/BC616,0)</f>
        <v>0</v>
      </c>
      <c r="BF616" s="361">
        <f ca="1">SUM(INDIRECT(BF$1&amp;BF$2&amp;$A616):INDIRECT(BF$1&amp;BF$3&amp;$A616))</f>
        <v>0</v>
      </c>
      <c r="BG616" s="901">
        <f t="shared" ref="BG616:BG629" ca="1" si="1263">BB616-BF616</f>
        <v>0</v>
      </c>
      <c r="BH616" s="962">
        <f t="shared" ref="BH616:BH629" ca="1" si="1264">IFERROR(BB616/BF616,0)</f>
        <v>0</v>
      </c>
    </row>
    <row r="617" spans="1:60" ht="14.5">
      <c r="A617" s="990">
        <f t="shared" si="1228"/>
        <v>552</v>
      </c>
      <c r="B617" s="990">
        <v>1</v>
      </c>
      <c r="C617" s="990">
        <f t="shared" si="1189"/>
        <v>614</v>
      </c>
      <c r="E617" s="1243">
        <v>1</v>
      </c>
      <c r="I617" s="79"/>
      <c r="J617" s="78"/>
      <c r="K617" s="69"/>
      <c r="L617" s="69"/>
      <c r="M617" s="273"/>
      <c r="N617" s="371"/>
      <c r="O617" s="371"/>
      <c r="P617" s="371" t="s">
        <v>378</v>
      </c>
      <c r="Q617" s="1845" t="str">
        <f>CHOOSE(2, "6722000003536", "S/GP (2) Gross Profit Indirect NH &lt;Direct&gt;FSC(-) PC")</f>
        <v>S/GP (2) Gross Profit Indirect NH &lt;Direct&gt;FSC(-) PC</v>
      </c>
      <c r="R617" s="2042">
        <v>0</v>
      </c>
      <c r="S617" s="2042">
        <v>0</v>
      </c>
      <c r="T617" s="2042">
        <v>0</v>
      </c>
      <c r="U617" s="2042">
        <v>0</v>
      </c>
      <c r="V617" s="2042">
        <v>0</v>
      </c>
      <c r="W617" s="2042">
        <v>0</v>
      </c>
      <c r="X617" s="2042">
        <v>0</v>
      </c>
      <c r="Y617" s="2042">
        <v>0</v>
      </c>
      <c r="Z617" s="2042">
        <v>0</v>
      </c>
      <c r="AA617" s="2042">
        <v>0</v>
      </c>
      <c r="AB617" s="2042">
        <v>0</v>
      </c>
      <c r="AC617" s="2042">
        <v>0</v>
      </c>
      <c r="AD617" s="376">
        <f>SUM(R617,S617,T617)</f>
        <v>0</v>
      </c>
      <c r="AE617" s="109">
        <f t="shared" ref="AE617:AE619" si="1265">SUM(U617,V617,W617)</f>
        <v>0</v>
      </c>
      <c r="AF617" s="109">
        <f t="shared" ref="AF617:AF619" si="1266">SUM(X617,Y617,Z617)</f>
        <v>0</v>
      </c>
      <c r="AG617" s="109">
        <f t="shared" ref="AG617:AG619" si="1267">SUM(AA617,AB617,AC617)</f>
        <v>0</v>
      </c>
      <c r="AH617" s="109">
        <f>AD617+AE617</f>
        <v>0</v>
      </c>
      <c r="AI617" s="109">
        <f>AG617+AF617</f>
        <v>0</v>
      </c>
      <c r="AJ617" s="109">
        <f>AH617+AI617</f>
        <v>0</v>
      </c>
      <c r="AL617" s="109">
        <f ca="1">SUM((INDIRECT(AL$2&amp;(ROW())):INDIRECT(AL$3&amp;(ROW()))))</f>
        <v>0</v>
      </c>
      <c r="AM617" s="109">
        <f ca="1">SUM(INDIRECT(AM$1&amp;AM$2&amp;$C617):INDIRECT(AM$1&amp;AM$3&amp;$C617))</f>
        <v>0</v>
      </c>
      <c r="AN617" s="892">
        <f t="shared" ca="1" si="1253"/>
        <v>0</v>
      </c>
      <c r="AO617" s="953">
        <f t="shared" ca="1" si="1254"/>
        <v>0</v>
      </c>
      <c r="AP617" s="109">
        <f ca="1">SUM(INDIRECT(AP$1&amp;AP$2&amp;$A617):INDIRECT(AP$1&amp;AP$3&amp;$A617))</f>
        <v>0</v>
      </c>
      <c r="AQ617" s="892">
        <f t="shared" ca="1" si="1255"/>
        <v>0</v>
      </c>
      <c r="AR617" s="953">
        <f t="shared" ca="1" si="1256"/>
        <v>0</v>
      </c>
      <c r="AT617" s="109">
        <f ca="1">SUM((INDIRECT(AT$2&amp;(ROW())):INDIRECT(AT$3&amp;(ROW()))))</f>
        <v>0</v>
      </c>
      <c r="AU617" s="109">
        <f ca="1">SUM(INDIRECT(AU$1&amp;AU$2&amp;$C617):INDIRECT(AU$1&amp;AU$3&amp;$C617))</f>
        <v>0</v>
      </c>
      <c r="AV617" s="892">
        <f t="shared" ca="1" si="1257"/>
        <v>0</v>
      </c>
      <c r="AW617" s="953">
        <f t="shared" ca="1" si="1258"/>
        <v>0</v>
      </c>
      <c r="AX617" s="109">
        <f ca="1">SUM(INDIRECT(AX$1&amp;AX$2&amp;$A617):INDIRECT(AX$1&amp;AX$3&amp;$A617))</f>
        <v>0</v>
      </c>
      <c r="AY617" s="892">
        <f t="shared" ca="1" si="1259"/>
        <v>0</v>
      </c>
      <c r="AZ617" s="953">
        <f t="shared" ca="1" si="1260"/>
        <v>0</v>
      </c>
      <c r="BB617" s="109">
        <f ca="1">SUM((INDIRECT(BB$2&amp;(ROW())):INDIRECT(BB$3&amp;(ROW()))))</f>
        <v>0</v>
      </c>
      <c r="BC617" s="109">
        <f ca="1">SUM(INDIRECT(BC$1&amp;BC$2&amp;$C617):INDIRECT(BC$1&amp;BC$3&amp;$C617))</f>
        <v>0</v>
      </c>
      <c r="BD617" s="892">
        <f t="shared" ca="1" si="1261"/>
        <v>0</v>
      </c>
      <c r="BE617" s="953">
        <f t="shared" ca="1" si="1262"/>
        <v>0</v>
      </c>
      <c r="BF617" s="109">
        <f ca="1">SUM(INDIRECT(BF$1&amp;BF$2&amp;$A617):INDIRECT(BF$1&amp;BF$3&amp;$A617))</f>
        <v>0</v>
      </c>
      <c r="BG617" s="892">
        <f t="shared" ca="1" si="1263"/>
        <v>0</v>
      </c>
      <c r="BH617" s="953">
        <f t="shared" ca="1" si="1264"/>
        <v>0</v>
      </c>
    </row>
    <row r="618" spans="1:60" ht="14.5">
      <c r="A618" s="990">
        <f t="shared" si="1228"/>
        <v>553</v>
      </c>
      <c r="B618" s="990">
        <v>1</v>
      </c>
      <c r="C618" s="990">
        <f t="shared" si="1189"/>
        <v>615</v>
      </c>
      <c r="E618" s="1243">
        <v>1</v>
      </c>
      <c r="I618" s="79"/>
      <c r="J618" s="78"/>
      <c r="K618" s="69"/>
      <c r="L618" s="69"/>
      <c r="M618" s="273"/>
      <c r="N618" s="299"/>
      <c r="O618" s="299"/>
      <c r="P618" s="299" t="s">
        <v>379</v>
      </c>
      <c r="Q618" s="1845" t="str">
        <f>CHOOSE(2, "6722000003537", "S/GP (2) Gross Profit Indirect NH &lt;Direct&gt;FSC(-) TE")</f>
        <v>S/GP (2) Gross Profit Indirect NH &lt;Direct&gt;FSC(-) TE</v>
      </c>
      <c r="R618" s="2036">
        <v>0</v>
      </c>
      <c r="S618" s="2036">
        <v>0</v>
      </c>
      <c r="T618" s="2036">
        <v>0</v>
      </c>
      <c r="U618" s="2036">
        <v>0</v>
      </c>
      <c r="V618" s="2036">
        <v>0</v>
      </c>
      <c r="W618" s="2036">
        <v>0</v>
      </c>
      <c r="X618" s="2036">
        <v>0</v>
      </c>
      <c r="Y618" s="2036">
        <v>0</v>
      </c>
      <c r="Z618" s="2036">
        <v>0</v>
      </c>
      <c r="AA618" s="2036">
        <v>0</v>
      </c>
      <c r="AB618" s="2036">
        <v>0</v>
      </c>
      <c r="AC618" s="2036">
        <v>0</v>
      </c>
      <c r="AD618" s="100">
        <f>SUM(R618,S618,T618)</f>
        <v>0</v>
      </c>
      <c r="AE618" s="19">
        <f t="shared" si="1265"/>
        <v>0</v>
      </c>
      <c r="AF618" s="19">
        <f t="shared" si="1266"/>
        <v>0</v>
      </c>
      <c r="AG618" s="19">
        <f t="shared" si="1267"/>
        <v>0</v>
      </c>
      <c r="AH618" s="19">
        <f>AD618+AE618</f>
        <v>0</v>
      </c>
      <c r="AI618" s="19">
        <f>AG618+AF618</f>
        <v>0</v>
      </c>
      <c r="AJ618" s="19">
        <f>AH618+AI618</f>
        <v>0</v>
      </c>
      <c r="AL618" s="19">
        <f ca="1">SUM((INDIRECT(AL$2&amp;(ROW())):INDIRECT(AL$3&amp;(ROW()))))</f>
        <v>0</v>
      </c>
      <c r="AM618" s="19">
        <f ca="1">SUM(INDIRECT(AM$1&amp;AM$2&amp;$C618):INDIRECT(AM$1&amp;AM$3&amp;$C618))</f>
        <v>0</v>
      </c>
      <c r="AN618" s="875">
        <f t="shared" ca="1" si="1253"/>
        <v>0</v>
      </c>
      <c r="AO618" s="926">
        <f t="shared" ca="1" si="1254"/>
        <v>0</v>
      </c>
      <c r="AP618" s="19">
        <f ca="1">SUM(INDIRECT(AP$1&amp;AP$2&amp;$A618):INDIRECT(AP$1&amp;AP$3&amp;$A618))</f>
        <v>0</v>
      </c>
      <c r="AQ618" s="875">
        <f t="shared" ca="1" si="1255"/>
        <v>0</v>
      </c>
      <c r="AR618" s="926">
        <f t="shared" ca="1" si="1256"/>
        <v>0</v>
      </c>
      <c r="AT618" s="19">
        <f ca="1">SUM((INDIRECT(AT$2&amp;(ROW())):INDIRECT(AT$3&amp;(ROW()))))</f>
        <v>0</v>
      </c>
      <c r="AU618" s="19">
        <f ca="1">SUM(INDIRECT(AU$1&amp;AU$2&amp;$C618):INDIRECT(AU$1&amp;AU$3&amp;$C618))</f>
        <v>0</v>
      </c>
      <c r="AV618" s="875">
        <f t="shared" ca="1" si="1257"/>
        <v>0</v>
      </c>
      <c r="AW618" s="926">
        <f t="shared" ca="1" si="1258"/>
        <v>0</v>
      </c>
      <c r="AX618" s="19">
        <f ca="1">SUM(INDIRECT(AX$1&amp;AX$2&amp;$A618):INDIRECT(AX$1&amp;AX$3&amp;$A618))</f>
        <v>0</v>
      </c>
      <c r="AY618" s="875">
        <f t="shared" ca="1" si="1259"/>
        <v>0</v>
      </c>
      <c r="AZ618" s="926">
        <f t="shared" ca="1" si="1260"/>
        <v>0</v>
      </c>
      <c r="BB618" s="19">
        <f ca="1">SUM((INDIRECT(BB$2&amp;(ROW())):INDIRECT(BB$3&amp;(ROW()))))</f>
        <v>0</v>
      </c>
      <c r="BC618" s="19">
        <f ca="1">SUM(INDIRECT(BC$1&amp;BC$2&amp;$C618):INDIRECT(BC$1&amp;BC$3&amp;$C618))</f>
        <v>0</v>
      </c>
      <c r="BD618" s="875">
        <f t="shared" ca="1" si="1261"/>
        <v>0</v>
      </c>
      <c r="BE618" s="926">
        <f t="shared" ca="1" si="1262"/>
        <v>0</v>
      </c>
      <c r="BF618" s="19">
        <f ca="1">SUM(INDIRECT(BF$1&amp;BF$2&amp;$A618):INDIRECT(BF$1&amp;BF$3&amp;$A618))</f>
        <v>0</v>
      </c>
      <c r="BG618" s="875">
        <f t="shared" ca="1" si="1263"/>
        <v>0</v>
      </c>
      <c r="BH618" s="926">
        <f t="shared" ca="1" si="1264"/>
        <v>0</v>
      </c>
    </row>
    <row r="619" spans="1:60" ht="14.5">
      <c r="A619" s="990">
        <f t="shared" si="1228"/>
        <v>554</v>
      </c>
      <c r="B619" s="990">
        <v>1</v>
      </c>
      <c r="C619" s="990">
        <f t="shared" si="1189"/>
        <v>616</v>
      </c>
      <c r="E619" s="1243">
        <v>1</v>
      </c>
      <c r="I619" s="79"/>
      <c r="J619" s="78"/>
      <c r="K619" s="69"/>
      <c r="L619" s="69"/>
      <c r="M619" s="273"/>
      <c r="N619" s="299"/>
      <c r="O619" s="299"/>
      <c r="P619" s="298" t="s">
        <v>386</v>
      </c>
      <c r="Q619" s="1845" t="str">
        <f>CHOOSE(2, "6722000003538", "S/GP (2) Gross Profit Indirect NH &lt;Direct&gt;FSC(-) OFC")</f>
        <v>S/GP (2) Gross Profit Indirect NH &lt;Direct&gt;FSC(-) OFC</v>
      </c>
      <c r="R619" s="2037">
        <v>0</v>
      </c>
      <c r="S619" s="2037">
        <v>0</v>
      </c>
      <c r="T619" s="2037">
        <v>0</v>
      </c>
      <c r="U619" s="2037">
        <v>0</v>
      </c>
      <c r="V619" s="2037">
        <v>0</v>
      </c>
      <c r="W619" s="2037">
        <v>0</v>
      </c>
      <c r="X619" s="2037">
        <v>0</v>
      </c>
      <c r="Y619" s="2037">
        <v>0</v>
      </c>
      <c r="Z619" s="2037">
        <v>0</v>
      </c>
      <c r="AA619" s="2037">
        <v>0</v>
      </c>
      <c r="AB619" s="2037">
        <v>0</v>
      </c>
      <c r="AC619" s="2037">
        <v>0</v>
      </c>
      <c r="AD619" s="99">
        <f>SUM(R619,S619,T619)</f>
        <v>0</v>
      </c>
      <c r="AE619" s="17">
        <f t="shared" si="1265"/>
        <v>0</v>
      </c>
      <c r="AF619" s="17">
        <f t="shared" si="1266"/>
        <v>0</v>
      </c>
      <c r="AG619" s="17">
        <f t="shared" si="1267"/>
        <v>0</v>
      </c>
      <c r="AH619" s="17">
        <f>AD619+AE619</f>
        <v>0</v>
      </c>
      <c r="AI619" s="17">
        <f>AG619+AF619</f>
        <v>0</v>
      </c>
      <c r="AJ619" s="17">
        <f>AH619+AI619</f>
        <v>0</v>
      </c>
      <c r="AL619" s="17">
        <f ca="1">SUM((INDIRECT(AL$2&amp;(ROW())):INDIRECT(AL$3&amp;(ROW()))))</f>
        <v>0</v>
      </c>
      <c r="AM619" s="17">
        <f ca="1">SUM(INDIRECT(AM$1&amp;AM$2&amp;$C619):INDIRECT(AM$1&amp;AM$3&amp;$C619))</f>
        <v>0</v>
      </c>
      <c r="AN619" s="876">
        <f t="shared" ca="1" si="1253"/>
        <v>0</v>
      </c>
      <c r="AO619" s="927">
        <f t="shared" ca="1" si="1254"/>
        <v>0</v>
      </c>
      <c r="AP619" s="17">
        <f ca="1">SUM(INDIRECT(AP$1&amp;AP$2&amp;$A619):INDIRECT(AP$1&amp;AP$3&amp;$A619))</f>
        <v>0</v>
      </c>
      <c r="AQ619" s="876">
        <f t="shared" ca="1" si="1255"/>
        <v>0</v>
      </c>
      <c r="AR619" s="927">
        <f t="shared" ca="1" si="1256"/>
        <v>0</v>
      </c>
      <c r="AT619" s="17">
        <f ca="1">SUM((INDIRECT(AT$2&amp;(ROW())):INDIRECT(AT$3&amp;(ROW()))))</f>
        <v>0</v>
      </c>
      <c r="AU619" s="17">
        <f ca="1">SUM(INDIRECT(AU$1&amp;AU$2&amp;$C619):INDIRECT(AU$1&amp;AU$3&amp;$C619))</f>
        <v>0</v>
      </c>
      <c r="AV619" s="876">
        <f t="shared" ca="1" si="1257"/>
        <v>0</v>
      </c>
      <c r="AW619" s="927">
        <f t="shared" ca="1" si="1258"/>
        <v>0</v>
      </c>
      <c r="AX619" s="17">
        <f ca="1">SUM(INDIRECT(AX$1&amp;AX$2&amp;$A619):INDIRECT(AX$1&amp;AX$3&amp;$A619))</f>
        <v>0</v>
      </c>
      <c r="AY619" s="876">
        <f t="shared" ca="1" si="1259"/>
        <v>0</v>
      </c>
      <c r="AZ619" s="927">
        <f t="shared" ca="1" si="1260"/>
        <v>0</v>
      </c>
      <c r="BB619" s="17">
        <f ca="1">SUM((INDIRECT(BB$2&amp;(ROW())):INDIRECT(BB$3&amp;(ROW()))))</f>
        <v>0</v>
      </c>
      <c r="BC619" s="17">
        <f ca="1">SUM(INDIRECT(BC$1&amp;BC$2&amp;$C619):INDIRECT(BC$1&amp;BC$3&amp;$C619))</f>
        <v>0</v>
      </c>
      <c r="BD619" s="876">
        <f t="shared" ca="1" si="1261"/>
        <v>0</v>
      </c>
      <c r="BE619" s="927">
        <f t="shared" ca="1" si="1262"/>
        <v>0</v>
      </c>
      <c r="BF619" s="17">
        <f ca="1">SUM(INDIRECT(BF$1&amp;BF$2&amp;$A619):INDIRECT(BF$1&amp;BF$3&amp;$A619))</f>
        <v>0</v>
      </c>
      <c r="BG619" s="876">
        <f t="shared" ca="1" si="1263"/>
        <v>0</v>
      </c>
      <c r="BH619" s="927">
        <f t="shared" ca="1" si="1264"/>
        <v>0</v>
      </c>
    </row>
    <row r="620" spans="1:60" ht="14.5">
      <c r="A620" s="990">
        <f t="shared" si="1228"/>
        <v>555</v>
      </c>
      <c r="B620" s="990">
        <v>1</v>
      </c>
      <c r="C620" s="990">
        <f t="shared" si="1189"/>
        <v>617</v>
      </c>
      <c r="E620" s="1243">
        <v>1</v>
      </c>
      <c r="I620" s="79"/>
      <c r="J620" s="78"/>
      <c r="K620" s="69"/>
      <c r="L620" s="69"/>
      <c r="M620" s="273"/>
      <c r="N620" s="370" t="s">
        <v>387</v>
      </c>
      <c r="O620" s="370"/>
      <c r="P620" s="370"/>
      <c r="Q620" s="1843" t="str">
        <f>CHOOSE(2, "6722000003539", "S/GP (2) Gross Profit Indirect NH &lt;Direct&gt;SDC(-)")</f>
        <v>S/GP (2) Gross Profit Indirect NH &lt;Direct&gt;SDC(-)</v>
      </c>
      <c r="R620" s="361">
        <f>SUM(R621:R622)</f>
        <v>0</v>
      </c>
      <c r="S620" s="361">
        <f t="shared" ref="S620:AC620" si="1268">SUM(S621:S622)</f>
        <v>0</v>
      </c>
      <c r="T620" s="361">
        <f t="shared" si="1268"/>
        <v>0</v>
      </c>
      <c r="U620" s="361">
        <f t="shared" si="1268"/>
        <v>0</v>
      </c>
      <c r="V620" s="361">
        <f t="shared" si="1268"/>
        <v>0</v>
      </c>
      <c r="W620" s="361">
        <f t="shared" si="1268"/>
        <v>0</v>
      </c>
      <c r="X620" s="361">
        <f t="shared" si="1268"/>
        <v>0</v>
      </c>
      <c r="Y620" s="361">
        <f t="shared" si="1268"/>
        <v>0</v>
      </c>
      <c r="Z620" s="361">
        <f t="shared" si="1268"/>
        <v>0</v>
      </c>
      <c r="AA620" s="361">
        <f t="shared" si="1268"/>
        <v>0</v>
      </c>
      <c r="AB620" s="361">
        <f t="shared" si="1268"/>
        <v>0</v>
      </c>
      <c r="AC620" s="361">
        <f t="shared" si="1268"/>
        <v>0</v>
      </c>
      <c r="AD620" s="375">
        <f t="shared" ref="AD620:AJ620" si="1269">SUM(AD621:AD622)</f>
        <v>0</v>
      </c>
      <c r="AE620" s="361">
        <f t="shared" si="1269"/>
        <v>0</v>
      </c>
      <c r="AF620" s="361">
        <f t="shared" si="1269"/>
        <v>0</v>
      </c>
      <c r="AG620" s="361">
        <f t="shared" si="1269"/>
        <v>0</v>
      </c>
      <c r="AH620" s="361">
        <f t="shared" si="1269"/>
        <v>0</v>
      </c>
      <c r="AI620" s="361">
        <f t="shared" si="1269"/>
        <v>0</v>
      </c>
      <c r="AJ620" s="361">
        <f t="shared" si="1269"/>
        <v>0</v>
      </c>
      <c r="AL620" s="361">
        <f ca="1">SUM((INDIRECT(AL$2&amp;(ROW())):INDIRECT(AL$3&amp;(ROW()))))</f>
        <v>0</v>
      </c>
      <c r="AM620" s="361">
        <f ca="1">SUM(INDIRECT(AM$1&amp;AM$2&amp;$C620):INDIRECT(AM$1&amp;AM$3&amp;$C620))</f>
        <v>0</v>
      </c>
      <c r="AN620" s="901">
        <f t="shared" ca="1" si="1253"/>
        <v>0</v>
      </c>
      <c r="AO620" s="962">
        <f t="shared" ca="1" si="1254"/>
        <v>0</v>
      </c>
      <c r="AP620" s="361">
        <f ca="1">SUM(INDIRECT(AP$1&amp;AP$2&amp;$A620):INDIRECT(AP$1&amp;AP$3&amp;$A620))</f>
        <v>0</v>
      </c>
      <c r="AQ620" s="901">
        <f t="shared" ca="1" si="1255"/>
        <v>0</v>
      </c>
      <c r="AR620" s="962">
        <f t="shared" ca="1" si="1256"/>
        <v>0</v>
      </c>
      <c r="AT620" s="361">
        <f ca="1">SUM((INDIRECT(AT$2&amp;(ROW())):INDIRECT(AT$3&amp;(ROW()))))</f>
        <v>0</v>
      </c>
      <c r="AU620" s="361">
        <f ca="1">SUM(INDIRECT(AU$1&amp;AU$2&amp;$C620):INDIRECT(AU$1&amp;AU$3&amp;$C620))</f>
        <v>0</v>
      </c>
      <c r="AV620" s="901">
        <f t="shared" ca="1" si="1257"/>
        <v>0</v>
      </c>
      <c r="AW620" s="962">
        <f t="shared" ca="1" si="1258"/>
        <v>0</v>
      </c>
      <c r="AX620" s="361">
        <f ca="1">SUM(INDIRECT(AX$1&amp;AX$2&amp;$A620):INDIRECT(AX$1&amp;AX$3&amp;$A620))</f>
        <v>0</v>
      </c>
      <c r="AY620" s="901">
        <f t="shared" ca="1" si="1259"/>
        <v>0</v>
      </c>
      <c r="AZ620" s="962">
        <f t="shared" ca="1" si="1260"/>
        <v>0</v>
      </c>
      <c r="BB620" s="361">
        <f ca="1">SUM((INDIRECT(BB$2&amp;(ROW())):INDIRECT(BB$3&amp;(ROW()))))</f>
        <v>0</v>
      </c>
      <c r="BC620" s="361">
        <f ca="1">SUM(INDIRECT(BC$1&amp;BC$2&amp;$C620):INDIRECT(BC$1&amp;BC$3&amp;$C620))</f>
        <v>0</v>
      </c>
      <c r="BD620" s="901">
        <f t="shared" ca="1" si="1261"/>
        <v>0</v>
      </c>
      <c r="BE620" s="962">
        <f t="shared" ca="1" si="1262"/>
        <v>0</v>
      </c>
      <c r="BF620" s="361">
        <f ca="1">SUM(INDIRECT(BF$1&amp;BF$2&amp;$A620):INDIRECT(BF$1&amp;BF$3&amp;$A620))</f>
        <v>0</v>
      </c>
      <c r="BG620" s="901">
        <f t="shared" ca="1" si="1263"/>
        <v>0</v>
      </c>
      <c r="BH620" s="962">
        <f t="shared" ca="1" si="1264"/>
        <v>0</v>
      </c>
    </row>
    <row r="621" spans="1:60" ht="14.5">
      <c r="A621" s="990">
        <f t="shared" si="1228"/>
        <v>556</v>
      </c>
      <c r="B621" s="990">
        <v>1</v>
      </c>
      <c r="C621" s="990">
        <f t="shared" si="1189"/>
        <v>618</v>
      </c>
      <c r="E621" s="1243">
        <v>1</v>
      </c>
      <c r="I621" s="79"/>
      <c r="J621" s="78"/>
      <c r="K621" s="69"/>
      <c r="L621" s="69"/>
      <c r="M621" s="273"/>
      <c r="N621" s="372"/>
      <c r="O621" s="371"/>
      <c r="P621" s="371" t="s">
        <v>391</v>
      </c>
      <c r="Q621" s="1845" t="str">
        <f>CHOOSE(2, "6722000003540", "S/GP (2) Gross Profit Indirect NH &lt;Direct&gt;SDC(-) PC")</f>
        <v>S/GP (2) Gross Profit Indirect NH &lt;Direct&gt;SDC(-) PC</v>
      </c>
      <c r="R621" s="2042">
        <v>0</v>
      </c>
      <c r="S621" s="2042">
        <v>0</v>
      </c>
      <c r="T621" s="2042">
        <v>0</v>
      </c>
      <c r="U621" s="2042">
        <v>0</v>
      </c>
      <c r="V621" s="2042">
        <v>0</v>
      </c>
      <c r="W621" s="2042">
        <v>0</v>
      </c>
      <c r="X621" s="2042">
        <v>0</v>
      </c>
      <c r="Y621" s="2042">
        <v>0</v>
      </c>
      <c r="Z621" s="2042">
        <v>0</v>
      </c>
      <c r="AA621" s="2042">
        <v>0</v>
      </c>
      <c r="AB621" s="2042">
        <v>0</v>
      </c>
      <c r="AC621" s="2042">
        <v>0</v>
      </c>
      <c r="AD621" s="376">
        <f>SUM(R621,S621,T621)</f>
        <v>0</v>
      </c>
      <c r="AE621" s="109">
        <f t="shared" ref="AE621:AE623" si="1270">SUM(U621,V621,W621)</f>
        <v>0</v>
      </c>
      <c r="AF621" s="109">
        <f t="shared" ref="AF621:AF623" si="1271">SUM(X621,Y621,Z621)</f>
        <v>0</v>
      </c>
      <c r="AG621" s="109">
        <f t="shared" ref="AG621:AG623" si="1272">SUM(AA621,AB621,AC621)</f>
        <v>0</v>
      </c>
      <c r="AH621" s="109">
        <f>AD621+AE621</f>
        <v>0</v>
      </c>
      <c r="AI621" s="109">
        <f>AG621+AF621</f>
        <v>0</v>
      </c>
      <c r="AJ621" s="109">
        <f>AH621+AI621</f>
        <v>0</v>
      </c>
      <c r="AL621" s="109">
        <f ca="1">SUM((INDIRECT(AL$2&amp;(ROW())):INDIRECT(AL$3&amp;(ROW()))))</f>
        <v>0</v>
      </c>
      <c r="AM621" s="109">
        <f ca="1">SUM(INDIRECT(AM$1&amp;AM$2&amp;$C621):INDIRECT(AM$1&amp;AM$3&amp;$C621))</f>
        <v>0</v>
      </c>
      <c r="AN621" s="892">
        <f t="shared" ca="1" si="1253"/>
        <v>0</v>
      </c>
      <c r="AO621" s="953">
        <f t="shared" ca="1" si="1254"/>
        <v>0</v>
      </c>
      <c r="AP621" s="109">
        <f ca="1">SUM(INDIRECT(AP$1&amp;AP$2&amp;$A621):INDIRECT(AP$1&amp;AP$3&amp;$A621))</f>
        <v>0</v>
      </c>
      <c r="AQ621" s="892">
        <f t="shared" ca="1" si="1255"/>
        <v>0</v>
      </c>
      <c r="AR621" s="953">
        <f t="shared" ca="1" si="1256"/>
        <v>0</v>
      </c>
      <c r="AT621" s="109">
        <f ca="1">SUM((INDIRECT(AT$2&amp;(ROW())):INDIRECT(AT$3&amp;(ROW()))))</f>
        <v>0</v>
      </c>
      <c r="AU621" s="109">
        <f ca="1">SUM(INDIRECT(AU$1&amp;AU$2&amp;$C621):INDIRECT(AU$1&amp;AU$3&amp;$C621))</f>
        <v>0</v>
      </c>
      <c r="AV621" s="892">
        <f t="shared" ca="1" si="1257"/>
        <v>0</v>
      </c>
      <c r="AW621" s="953">
        <f t="shared" ca="1" si="1258"/>
        <v>0</v>
      </c>
      <c r="AX621" s="109">
        <f ca="1">SUM(INDIRECT(AX$1&amp;AX$2&amp;$A621):INDIRECT(AX$1&amp;AX$3&amp;$A621))</f>
        <v>0</v>
      </c>
      <c r="AY621" s="892">
        <f t="shared" ca="1" si="1259"/>
        <v>0</v>
      </c>
      <c r="AZ621" s="953">
        <f t="shared" ca="1" si="1260"/>
        <v>0</v>
      </c>
      <c r="BB621" s="109">
        <f ca="1">SUM((INDIRECT(BB$2&amp;(ROW())):INDIRECT(BB$3&amp;(ROW()))))</f>
        <v>0</v>
      </c>
      <c r="BC621" s="109">
        <f ca="1">SUM(INDIRECT(BC$1&amp;BC$2&amp;$C621):INDIRECT(BC$1&amp;BC$3&amp;$C621))</f>
        <v>0</v>
      </c>
      <c r="BD621" s="892">
        <f t="shared" ca="1" si="1261"/>
        <v>0</v>
      </c>
      <c r="BE621" s="953">
        <f t="shared" ca="1" si="1262"/>
        <v>0</v>
      </c>
      <c r="BF621" s="109">
        <f ca="1">SUM(INDIRECT(BF$1&amp;BF$2&amp;$A621):INDIRECT(BF$1&amp;BF$3&amp;$A621))</f>
        <v>0</v>
      </c>
      <c r="BG621" s="892">
        <f t="shared" ca="1" si="1263"/>
        <v>0</v>
      </c>
      <c r="BH621" s="953">
        <f t="shared" ca="1" si="1264"/>
        <v>0</v>
      </c>
    </row>
    <row r="622" spans="1:60" ht="14.5">
      <c r="A622" s="990">
        <f t="shared" si="1228"/>
        <v>557</v>
      </c>
      <c r="B622" s="990">
        <v>1</v>
      </c>
      <c r="C622" s="990">
        <f t="shared" si="1189"/>
        <v>619</v>
      </c>
      <c r="E622" s="1243">
        <v>1</v>
      </c>
      <c r="I622" s="79"/>
      <c r="J622" s="78"/>
      <c r="K622" s="69"/>
      <c r="L622" s="69"/>
      <c r="M622" s="273"/>
      <c r="N622" s="298"/>
      <c r="O622" s="298"/>
      <c r="P622" s="298" t="s">
        <v>393</v>
      </c>
      <c r="Q622" s="1845" t="str">
        <f>CHOOSE(2, "6722000003541", "S/GP (2) Gross Profit Indirect NH &lt;Direct&gt;SDC(-) OFC")</f>
        <v>S/GP (2) Gross Profit Indirect NH &lt;Direct&gt;SDC(-) OFC</v>
      </c>
      <c r="R622" s="2037">
        <v>0</v>
      </c>
      <c r="S622" s="2037">
        <v>0</v>
      </c>
      <c r="T622" s="2037">
        <v>0</v>
      </c>
      <c r="U622" s="2037">
        <v>0</v>
      </c>
      <c r="V622" s="2037">
        <v>0</v>
      </c>
      <c r="W622" s="2037">
        <v>0</v>
      </c>
      <c r="X622" s="2037">
        <v>0</v>
      </c>
      <c r="Y622" s="2037">
        <v>0</v>
      </c>
      <c r="Z622" s="2037">
        <v>0</v>
      </c>
      <c r="AA622" s="2037">
        <v>0</v>
      </c>
      <c r="AB622" s="2037">
        <v>0</v>
      </c>
      <c r="AC622" s="2037">
        <v>0</v>
      </c>
      <c r="AD622" s="99">
        <f>SUM(R622,S622,T622)</f>
        <v>0</v>
      </c>
      <c r="AE622" s="17">
        <f t="shared" si="1270"/>
        <v>0</v>
      </c>
      <c r="AF622" s="17">
        <f t="shared" si="1271"/>
        <v>0</v>
      </c>
      <c r="AG622" s="17">
        <f t="shared" si="1272"/>
        <v>0</v>
      </c>
      <c r="AH622" s="17">
        <f>AD622+AE622</f>
        <v>0</v>
      </c>
      <c r="AI622" s="17">
        <f>AG622+AF622</f>
        <v>0</v>
      </c>
      <c r="AJ622" s="17">
        <f>AH622+AI622</f>
        <v>0</v>
      </c>
      <c r="AL622" s="17">
        <f ca="1">SUM((INDIRECT(AL$2&amp;(ROW())):INDIRECT(AL$3&amp;(ROW()))))</f>
        <v>0</v>
      </c>
      <c r="AM622" s="17">
        <f ca="1">SUM(INDIRECT(AM$1&amp;AM$2&amp;$C622):INDIRECT(AM$1&amp;AM$3&amp;$C622))</f>
        <v>0</v>
      </c>
      <c r="AN622" s="876">
        <f t="shared" ca="1" si="1253"/>
        <v>0</v>
      </c>
      <c r="AO622" s="927">
        <f t="shared" ca="1" si="1254"/>
        <v>0</v>
      </c>
      <c r="AP622" s="17">
        <f ca="1">SUM(INDIRECT(AP$1&amp;AP$2&amp;$A622):INDIRECT(AP$1&amp;AP$3&amp;$A622))</f>
        <v>0</v>
      </c>
      <c r="AQ622" s="876">
        <f t="shared" ca="1" si="1255"/>
        <v>0</v>
      </c>
      <c r="AR622" s="927">
        <f t="shared" ca="1" si="1256"/>
        <v>0</v>
      </c>
      <c r="AT622" s="17">
        <f ca="1">SUM((INDIRECT(AT$2&amp;(ROW())):INDIRECT(AT$3&amp;(ROW()))))</f>
        <v>0</v>
      </c>
      <c r="AU622" s="17">
        <f ca="1">SUM(INDIRECT(AU$1&amp;AU$2&amp;$C622):INDIRECT(AU$1&amp;AU$3&amp;$C622))</f>
        <v>0</v>
      </c>
      <c r="AV622" s="876">
        <f t="shared" ca="1" si="1257"/>
        <v>0</v>
      </c>
      <c r="AW622" s="927">
        <f t="shared" ca="1" si="1258"/>
        <v>0</v>
      </c>
      <c r="AX622" s="17">
        <f ca="1">SUM(INDIRECT(AX$1&amp;AX$2&amp;$A622):INDIRECT(AX$1&amp;AX$3&amp;$A622))</f>
        <v>0</v>
      </c>
      <c r="AY622" s="876">
        <f t="shared" ca="1" si="1259"/>
        <v>0</v>
      </c>
      <c r="AZ622" s="927">
        <f t="shared" ca="1" si="1260"/>
        <v>0</v>
      </c>
      <c r="BB622" s="17">
        <f ca="1">SUM((INDIRECT(BB$2&amp;(ROW())):INDIRECT(BB$3&amp;(ROW()))))</f>
        <v>0</v>
      </c>
      <c r="BC622" s="17">
        <f ca="1">SUM(INDIRECT(BC$1&amp;BC$2&amp;$C622):INDIRECT(BC$1&amp;BC$3&amp;$C622))</f>
        <v>0</v>
      </c>
      <c r="BD622" s="876">
        <f t="shared" ca="1" si="1261"/>
        <v>0</v>
      </c>
      <c r="BE622" s="927">
        <f t="shared" ca="1" si="1262"/>
        <v>0</v>
      </c>
      <c r="BF622" s="17">
        <f ca="1">SUM(INDIRECT(BF$1&amp;BF$2&amp;$A622):INDIRECT(BF$1&amp;BF$3&amp;$A622))</f>
        <v>0</v>
      </c>
      <c r="BG622" s="876">
        <f t="shared" ca="1" si="1263"/>
        <v>0</v>
      </c>
      <c r="BH622" s="927">
        <f t="shared" ca="1" si="1264"/>
        <v>0</v>
      </c>
    </row>
    <row r="623" spans="1:60" ht="14.5">
      <c r="A623" s="990">
        <f t="shared" si="1228"/>
        <v>558</v>
      </c>
      <c r="B623" s="990">
        <v>1</v>
      </c>
      <c r="C623" s="990">
        <f t="shared" si="1189"/>
        <v>620</v>
      </c>
      <c r="E623" s="1243">
        <v>1</v>
      </c>
      <c r="I623" s="79"/>
      <c r="J623" s="78"/>
      <c r="K623" s="69"/>
      <c r="L623" s="69"/>
      <c r="M623" s="273"/>
      <c r="N623" s="400" t="s">
        <v>537</v>
      </c>
      <c r="O623" s="299"/>
      <c r="P623" s="299"/>
      <c r="Q623" s="1845" t="str">
        <f>CHOOSE(2, "6722000003542", "S/GP (2) Gross Profit Indirect NH &lt;Direct&gt;D&amp;A (-)")</f>
        <v>S/GP (2) Gross Profit Indirect NH &lt;Direct&gt;D&amp;A (-)</v>
      </c>
      <c r="R623" s="2036">
        <v>0</v>
      </c>
      <c r="S623" s="2036">
        <v>0</v>
      </c>
      <c r="T623" s="2036">
        <v>0</v>
      </c>
      <c r="U623" s="2036">
        <v>0</v>
      </c>
      <c r="V623" s="2036">
        <v>0</v>
      </c>
      <c r="W623" s="2036">
        <v>0</v>
      </c>
      <c r="X623" s="2036">
        <v>0</v>
      </c>
      <c r="Y623" s="2036">
        <v>0</v>
      </c>
      <c r="Z623" s="2036">
        <v>0</v>
      </c>
      <c r="AA623" s="2036">
        <v>0</v>
      </c>
      <c r="AB623" s="2036">
        <v>0</v>
      </c>
      <c r="AC623" s="2036">
        <v>0</v>
      </c>
      <c r="AD623" s="100">
        <f>SUM(R623,S623,T623)</f>
        <v>0</v>
      </c>
      <c r="AE623" s="19">
        <f t="shared" si="1270"/>
        <v>0</v>
      </c>
      <c r="AF623" s="19">
        <f t="shared" si="1271"/>
        <v>0</v>
      </c>
      <c r="AG623" s="19">
        <f t="shared" si="1272"/>
        <v>0</v>
      </c>
      <c r="AH623" s="19">
        <f>AD623+AE623</f>
        <v>0</v>
      </c>
      <c r="AI623" s="19">
        <f>AG623+AF623</f>
        <v>0</v>
      </c>
      <c r="AJ623" s="19">
        <f>AH623+AI623</f>
        <v>0</v>
      </c>
      <c r="AL623" s="19">
        <f ca="1">SUM((INDIRECT(AL$2&amp;(ROW())):INDIRECT(AL$3&amp;(ROW()))))</f>
        <v>0</v>
      </c>
      <c r="AM623" s="19">
        <f ca="1">SUM(INDIRECT(AM$1&amp;AM$2&amp;$C623):INDIRECT(AM$1&amp;AM$3&amp;$C623))</f>
        <v>0</v>
      </c>
      <c r="AN623" s="875">
        <f t="shared" ca="1" si="1253"/>
        <v>0</v>
      </c>
      <c r="AO623" s="926">
        <f t="shared" ca="1" si="1254"/>
        <v>0</v>
      </c>
      <c r="AP623" s="19">
        <f ca="1">SUM(INDIRECT(AP$1&amp;AP$2&amp;$A623):INDIRECT(AP$1&amp;AP$3&amp;$A623))</f>
        <v>0</v>
      </c>
      <c r="AQ623" s="875">
        <f t="shared" ca="1" si="1255"/>
        <v>0</v>
      </c>
      <c r="AR623" s="926">
        <f t="shared" ca="1" si="1256"/>
        <v>0</v>
      </c>
      <c r="AT623" s="19">
        <f ca="1">SUM((INDIRECT(AT$2&amp;(ROW())):INDIRECT(AT$3&amp;(ROW()))))</f>
        <v>0</v>
      </c>
      <c r="AU623" s="19">
        <f ca="1">SUM(INDIRECT(AU$1&amp;AU$2&amp;$C623):INDIRECT(AU$1&amp;AU$3&amp;$C623))</f>
        <v>0</v>
      </c>
      <c r="AV623" s="875">
        <f t="shared" ca="1" si="1257"/>
        <v>0</v>
      </c>
      <c r="AW623" s="926">
        <f t="shared" ca="1" si="1258"/>
        <v>0</v>
      </c>
      <c r="AX623" s="19">
        <f ca="1">SUM(INDIRECT(AX$1&amp;AX$2&amp;$A623):INDIRECT(AX$1&amp;AX$3&amp;$A623))</f>
        <v>0</v>
      </c>
      <c r="AY623" s="875">
        <f t="shared" ca="1" si="1259"/>
        <v>0</v>
      </c>
      <c r="AZ623" s="926">
        <f t="shared" ca="1" si="1260"/>
        <v>0</v>
      </c>
      <c r="BB623" s="19">
        <f ca="1">SUM((INDIRECT(BB$2&amp;(ROW())):INDIRECT(BB$3&amp;(ROW()))))</f>
        <v>0</v>
      </c>
      <c r="BC623" s="19">
        <f ca="1">SUM(INDIRECT(BC$1&amp;BC$2&amp;$C623):INDIRECT(BC$1&amp;BC$3&amp;$C623))</f>
        <v>0</v>
      </c>
      <c r="BD623" s="875">
        <f t="shared" ca="1" si="1261"/>
        <v>0</v>
      </c>
      <c r="BE623" s="926">
        <f t="shared" ca="1" si="1262"/>
        <v>0</v>
      </c>
      <c r="BF623" s="19">
        <f ca="1">SUM(INDIRECT(BF$1&amp;BF$2&amp;$A623):INDIRECT(BF$1&amp;BF$3&amp;$A623))</f>
        <v>0</v>
      </c>
      <c r="BG623" s="875">
        <f t="shared" ca="1" si="1263"/>
        <v>0</v>
      </c>
      <c r="BH623" s="926">
        <f t="shared" ca="1" si="1264"/>
        <v>0</v>
      </c>
    </row>
    <row r="624" spans="1:60" ht="14.5">
      <c r="A624" s="990">
        <f t="shared" si="1228"/>
        <v>559</v>
      </c>
      <c r="B624" s="990">
        <v>1</v>
      </c>
      <c r="C624" s="990">
        <f t="shared" si="1189"/>
        <v>621</v>
      </c>
      <c r="E624" s="1243">
        <v>1</v>
      </c>
      <c r="I624" s="79"/>
      <c r="J624" s="78"/>
      <c r="K624" s="69"/>
      <c r="L624" s="69"/>
      <c r="M624" s="71" t="s">
        <v>208</v>
      </c>
      <c r="N624" s="362"/>
      <c r="O624" s="362"/>
      <c r="P624" s="362"/>
      <c r="Q624" s="1843" t="str">
        <f>CHOOSE(2, "6722000003543", "S/GP (2) Gross Profit Indirect Solution")</f>
        <v>S/GP (2) Gross Profit Indirect Solution</v>
      </c>
      <c r="R624" s="361">
        <f>SUM(R625:R628)</f>
        <v>0</v>
      </c>
      <c r="S624" s="361">
        <f t="shared" ref="S624:AC624" si="1273">SUM(S625:S628)</f>
        <v>0</v>
      </c>
      <c r="T624" s="361">
        <f t="shared" si="1273"/>
        <v>0</v>
      </c>
      <c r="U624" s="361">
        <f t="shared" si="1273"/>
        <v>0</v>
      </c>
      <c r="V624" s="361">
        <f t="shared" si="1273"/>
        <v>0</v>
      </c>
      <c r="W624" s="361">
        <f t="shared" si="1273"/>
        <v>0</v>
      </c>
      <c r="X624" s="361">
        <f t="shared" si="1273"/>
        <v>0</v>
      </c>
      <c r="Y624" s="361">
        <f t="shared" si="1273"/>
        <v>0</v>
      </c>
      <c r="Z624" s="361">
        <f t="shared" si="1273"/>
        <v>0</v>
      </c>
      <c r="AA624" s="361">
        <f t="shared" si="1273"/>
        <v>0</v>
      </c>
      <c r="AB624" s="361">
        <f t="shared" si="1273"/>
        <v>0</v>
      </c>
      <c r="AC624" s="361">
        <f t="shared" si="1273"/>
        <v>0</v>
      </c>
      <c r="AD624" s="375">
        <f t="shared" ref="AD624:AJ624" si="1274">SUM(AD625:AD628)</f>
        <v>0</v>
      </c>
      <c r="AE624" s="361">
        <f t="shared" si="1274"/>
        <v>0</v>
      </c>
      <c r="AF624" s="361">
        <f t="shared" si="1274"/>
        <v>0</v>
      </c>
      <c r="AG624" s="361">
        <f t="shared" si="1274"/>
        <v>0</v>
      </c>
      <c r="AH624" s="361">
        <f t="shared" si="1274"/>
        <v>0</v>
      </c>
      <c r="AI624" s="361">
        <f t="shared" si="1274"/>
        <v>0</v>
      </c>
      <c r="AJ624" s="361">
        <f t="shared" si="1274"/>
        <v>0</v>
      </c>
      <c r="AL624" s="361">
        <f ca="1">SUM((INDIRECT(AL$2&amp;(ROW())):INDIRECT(AL$3&amp;(ROW()))))</f>
        <v>0</v>
      </c>
      <c r="AM624" s="361">
        <f ca="1">SUM(INDIRECT(AM$1&amp;AM$2&amp;$C624):INDIRECT(AM$1&amp;AM$3&amp;$C624))</f>
        <v>0</v>
      </c>
      <c r="AN624" s="901">
        <f t="shared" ca="1" si="1253"/>
        <v>0</v>
      </c>
      <c r="AO624" s="962">
        <f t="shared" ca="1" si="1254"/>
        <v>0</v>
      </c>
      <c r="AP624" s="361">
        <f ca="1">SUM(INDIRECT(AP$1&amp;AP$2&amp;$A624):INDIRECT(AP$1&amp;AP$3&amp;$A624))</f>
        <v>0</v>
      </c>
      <c r="AQ624" s="901">
        <f t="shared" ca="1" si="1255"/>
        <v>0</v>
      </c>
      <c r="AR624" s="962">
        <f t="shared" ca="1" si="1256"/>
        <v>0</v>
      </c>
      <c r="AT624" s="361">
        <f ca="1">SUM((INDIRECT(AT$2&amp;(ROW())):INDIRECT(AT$3&amp;(ROW()))))</f>
        <v>0</v>
      </c>
      <c r="AU624" s="361">
        <f ca="1">SUM(INDIRECT(AU$1&amp;AU$2&amp;$C624):INDIRECT(AU$1&amp;AU$3&amp;$C624))</f>
        <v>0</v>
      </c>
      <c r="AV624" s="901">
        <f t="shared" ca="1" si="1257"/>
        <v>0</v>
      </c>
      <c r="AW624" s="962">
        <f t="shared" ca="1" si="1258"/>
        <v>0</v>
      </c>
      <c r="AX624" s="361">
        <f ca="1">SUM(INDIRECT(AX$1&amp;AX$2&amp;$A624):INDIRECT(AX$1&amp;AX$3&amp;$A624))</f>
        <v>0</v>
      </c>
      <c r="AY624" s="901">
        <f t="shared" ca="1" si="1259"/>
        <v>0</v>
      </c>
      <c r="AZ624" s="962">
        <f t="shared" ca="1" si="1260"/>
        <v>0</v>
      </c>
      <c r="BB624" s="361">
        <f ca="1">SUM((INDIRECT(BB$2&amp;(ROW())):INDIRECT(BB$3&amp;(ROW()))))</f>
        <v>0</v>
      </c>
      <c r="BC624" s="361">
        <f ca="1">SUM(INDIRECT(BC$1&amp;BC$2&amp;$C624):INDIRECT(BC$1&amp;BC$3&amp;$C624))</f>
        <v>0</v>
      </c>
      <c r="BD624" s="901">
        <f t="shared" ca="1" si="1261"/>
        <v>0</v>
      </c>
      <c r="BE624" s="962">
        <f t="shared" ca="1" si="1262"/>
        <v>0</v>
      </c>
      <c r="BF624" s="361">
        <f ca="1">SUM(INDIRECT(BF$1&amp;BF$2&amp;$A624):INDIRECT(BF$1&amp;BF$3&amp;$A624))</f>
        <v>0</v>
      </c>
      <c r="BG624" s="901">
        <f t="shared" ca="1" si="1263"/>
        <v>0</v>
      </c>
      <c r="BH624" s="962">
        <f t="shared" ca="1" si="1264"/>
        <v>0</v>
      </c>
    </row>
    <row r="625" spans="1:60" ht="14.5">
      <c r="A625" s="990">
        <f t="shared" si="1228"/>
        <v>560</v>
      </c>
      <c r="B625" s="990">
        <v>1</v>
      </c>
      <c r="C625" s="990">
        <f t="shared" si="1189"/>
        <v>622</v>
      </c>
      <c r="E625" s="1243">
        <v>1</v>
      </c>
      <c r="I625" s="79"/>
      <c r="J625" s="78"/>
      <c r="K625" s="69"/>
      <c r="L625" s="69"/>
      <c r="N625" s="111"/>
      <c r="O625" s="111"/>
      <c r="P625" s="111" t="s">
        <v>133</v>
      </c>
      <c r="Q625" s="1845" t="str">
        <f>CHOOSE(2, "6722000003544", "S/GP (2) Gross Profit Indirect Solution HWware")</f>
        <v>S/GP (2) Gross Profit Indirect Solution HWware</v>
      </c>
      <c r="R625" s="2042">
        <v>0</v>
      </c>
      <c r="S625" s="2042">
        <v>0</v>
      </c>
      <c r="T625" s="2042">
        <v>0</v>
      </c>
      <c r="U625" s="2042">
        <v>0</v>
      </c>
      <c r="V625" s="2042">
        <v>0</v>
      </c>
      <c r="W625" s="2042">
        <v>0</v>
      </c>
      <c r="X625" s="2042">
        <v>0</v>
      </c>
      <c r="Y625" s="2042">
        <v>0</v>
      </c>
      <c r="Z625" s="2042">
        <v>0</v>
      </c>
      <c r="AA625" s="2042">
        <v>0</v>
      </c>
      <c r="AB625" s="2042">
        <v>0</v>
      </c>
      <c r="AC625" s="2042">
        <v>0</v>
      </c>
      <c r="AD625" s="376">
        <f>SUM(R625,S625,T625)</f>
        <v>0</v>
      </c>
      <c r="AE625" s="109">
        <f t="shared" ref="AE625:AE629" si="1275">SUM(U625,V625,W625)</f>
        <v>0</v>
      </c>
      <c r="AF625" s="109">
        <f t="shared" ref="AF625:AF629" si="1276">SUM(X625,Y625,Z625)</f>
        <v>0</v>
      </c>
      <c r="AG625" s="109">
        <f t="shared" ref="AG625:AG629" si="1277">SUM(AA625,AB625,AC625)</f>
        <v>0</v>
      </c>
      <c r="AH625" s="109">
        <f>AD625+AE625</f>
        <v>0</v>
      </c>
      <c r="AI625" s="109">
        <f>AG625+AF625</f>
        <v>0</v>
      </c>
      <c r="AJ625" s="109">
        <f>AH625+AI625</f>
        <v>0</v>
      </c>
      <c r="AL625" s="109">
        <f ca="1">SUM((INDIRECT(AL$2&amp;(ROW())):INDIRECT(AL$3&amp;(ROW()))))</f>
        <v>0</v>
      </c>
      <c r="AM625" s="109">
        <f ca="1">SUM(INDIRECT(AM$1&amp;AM$2&amp;$C625):INDIRECT(AM$1&amp;AM$3&amp;$C625))</f>
        <v>0</v>
      </c>
      <c r="AN625" s="892">
        <f t="shared" ca="1" si="1253"/>
        <v>0</v>
      </c>
      <c r="AO625" s="953">
        <f t="shared" ca="1" si="1254"/>
        <v>0</v>
      </c>
      <c r="AP625" s="109">
        <f ca="1">SUM(INDIRECT(AP$1&amp;AP$2&amp;$A625):INDIRECT(AP$1&amp;AP$3&amp;$A625))</f>
        <v>0</v>
      </c>
      <c r="AQ625" s="892">
        <f t="shared" ca="1" si="1255"/>
        <v>0</v>
      </c>
      <c r="AR625" s="953">
        <f t="shared" ca="1" si="1256"/>
        <v>0</v>
      </c>
      <c r="AT625" s="109">
        <f ca="1">SUM((INDIRECT(AT$2&amp;(ROW())):INDIRECT(AT$3&amp;(ROW()))))</f>
        <v>0</v>
      </c>
      <c r="AU625" s="109">
        <f ca="1">SUM(INDIRECT(AU$1&amp;AU$2&amp;$C625):INDIRECT(AU$1&amp;AU$3&amp;$C625))</f>
        <v>0</v>
      </c>
      <c r="AV625" s="892">
        <f t="shared" ca="1" si="1257"/>
        <v>0</v>
      </c>
      <c r="AW625" s="953">
        <f t="shared" ca="1" si="1258"/>
        <v>0</v>
      </c>
      <c r="AX625" s="109">
        <f ca="1">SUM(INDIRECT(AX$1&amp;AX$2&amp;$A625):INDIRECT(AX$1&amp;AX$3&amp;$A625))</f>
        <v>0</v>
      </c>
      <c r="AY625" s="892">
        <f t="shared" ca="1" si="1259"/>
        <v>0</v>
      </c>
      <c r="AZ625" s="953">
        <f t="shared" ca="1" si="1260"/>
        <v>0</v>
      </c>
      <c r="BB625" s="109">
        <f ca="1">SUM((INDIRECT(BB$2&amp;(ROW())):INDIRECT(BB$3&amp;(ROW()))))</f>
        <v>0</v>
      </c>
      <c r="BC625" s="109">
        <f ca="1">SUM(INDIRECT(BC$1&amp;BC$2&amp;$C625):INDIRECT(BC$1&amp;BC$3&amp;$C625))</f>
        <v>0</v>
      </c>
      <c r="BD625" s="892">
        <f t="shared" ca="1" si="1261"/>
        <v>0</v>
      </c>
      <c r="BE625" s="953">
        <f t="shared" ca="1" si="1262"/>
        <v>0</v>
      </c>
      <c r="BF625" s="109">
        <f ca="1">SUM(INDIRECT(BF$1&amp;BF$2&amp;$A625):INDIRECT(BF$1&amp;BF$3&amp;$A625))</f>
        <v>0</v>
      </c>
      <c r="BG625" s="892">
        <f t="shared" ca="1" si="1263"/>
        <v>0</v>
      </c>
      <c r="BH625" s="953">
        <f t="shared" ca="1" si="1264"/>
        <v>0</v>
      </c>
    </row>
    <row r="626" spans="1:60" ht="14.5">
      <c r="A626" s="990">
        <f t="shared" si="1228"/>
        <v>561</v>
      </c>
      <c r="B626" s="990">
        <v>1</v>
      </c>
      <c r="C626" s="990">
        <f t="shared" si="1189"/>
        <v>623</v>
      </c>
      <c r="E626" s="1243">
        <v>1</v>
      </c>
      <c r="I626" s="79"/>
      <c r="J626" s="78"/>
      <c r="K626" s="69"/>
      <c r="L626" s="69"/>
      <c r="P626" s="9" t="s">
        <v>226</v>
      </c>
      <c r="Q626" s="1845" t="str">
        <f>CHOOSE(2, "6722000003545", "S/GP (2) Gross Profit Indirect Solution Software")</f>
        <v>S/GP (2) Gross Profit Indirect Solution Software</v>
      </c>
      <c r="R626" s="2036">
        <v>0</v>
      </c>
      <c r="S626" s="2036">
        <v>0</v>
      </c>
      <c r="T626" s="2036">
        <v>0</v>
      </c>
      <c r="U626" s="2036">
        <v>0</v>
      </c>
      <c r="V626" s="2036">
        <v>0</v>
      </c>
      <c r="W626" s="2036">
        <v>0</v>
      </c>
      <c r="X626" s="2036">
        <v>0</v>
      </c>
      <c r="Y626" s="2036">
        <v>0</v>
      </c>
      <c r="Z626" s="2036">
        <v>0</v>
      </c>
      <c r="AA626" s="2036">
        <v>0</v>
      </c>
      <c r="AB626" s="2036">
        <v>0</v>
      </c>
      <c r="AC626" s="2036">
        <v>0</v>
      </c>
      <c r="AD626" s="100">
        <f>SUM(R626,S626,T626)</f>
        <v>0</v>
      </c>
      <c r="AE626" s="19">
        <f t="shared" si="1275"/>
        <v>0</v>
      </c>
      <c r="AF626" s="19">
        <f t="shared" si="1276"/>
        <v>0</v>
      </c>
      <c r="AG626" s="19">
        <f t="shared" si="1277"/>
        <v>0</v>
      </c>
      <c r="AH626" s="19">
        <f>AD626+AE626</f>
        <v>0</v>
      </c>
      <c r="AI626" s="19">
        <f>AG626+AF626</f>
        <v>0</v>
      </c>
      <c r="AJ626" s="19">
        <f>AH626+AI626</f>
        <v>0</v>
      </c>
      <c r="AL626" s="19">
        <f ca="1">SUM((INDIRECT(AL$2&amp;(ROW())):INDIRECT(AL$3&amp;(ROW()))))</f>
        <v>0</v>
      </c>
      <c r="AM626" s="19">
        <f ca="1">SUM(INDIRECT(AM$1&amp;AM$2&amp;$C626):INDIRECT(AM$1&amp;AM$3&amp;$C626))</f>
        <v>0</v>
      </c>
      <c r="AN626" s="875">
        <f t="shared" ca="1" si="1253"/>
        <v>0</v>
      </c>
      <c r="AO626" s="926">
        <f t="shared" ca="1" si="1254"/>
        <v>0</v>
      </c>
      <c r="AP626" s="19">
        <f ca="1">SUM(INDIRECT(AP$1&amp;AP$2&amp;$A626):INDIRECT(AP$1&amp;AP$3&amp;$A626))</f>
        <v>0</v>
      </c>
      <c r="AQ626" s="875">
        <f t="shared" ca="1" si="1255"/>
        <v>0</v>
      </c>
      <c r="AR626" s="926">
        <f t="shared" ca="1" si="1256"/>
        <v>0</v>
      </c>
      <c r="AT626" s="19">
        <f ca="1">SUM((INDIRECT(AT$2&amp;(ROW())):INDIRECT(AT$3&amp;(ROW()))))</f>
        <v>0</v>
      </c>
      <c r="AU626" s="19">
        <f ca="1">SUM(INDIRECT(AU$1&amp;AU$2&amp;$C626):INDIRECT(AU$1&amp;AU$3&amp;$C626))</f>
        <v>0</v>
      </c>
      <c r="AV626" s="875">
        <f t="shared" ca="1" si="1257"/>
        <v>0</v>
      </c>
      <c r="AW626" s="926">
        <f t="shared" ca="1" si="1258"/>
        <v>0</v>
      </c>
      <c r="AX626" s="19">
        <f ca="1">SUM(INDIRECT(AX$1&amp;AX$2&amp;$A626):INDIRECT(AX$1&amp;AX$3&amp;$A626))</f>
        <v>0</v>
      </c>
      <c r="AY626" s="875">
        <f t="shared" ca="1" si="1259"/>
        <v>0</v>
      </c>
      <c r="AZ626" s="926">
        <f t="shared" ca="1" si="1260"/>
        <v>0</v>
      </c>
      <c r="BB626" s="19">
        <f ca="1">SUM((INDIRECT(BB$2&amp;(ROW())):INDIRECT(BB$3&amp;(ROW()))))</f>
        <v>0</v>
      </c>
      <c r="BC626" s="19">
        <f ca="1">SUM(INDIRECT(BC$1&amp;BC$2&amp;$C626):INDIRECT(BC$1&amp;BC$3&amp;$C626))</f>
        <v>0</v>
      </c>
      <c r="BD626" s="875">
        <f t="shared" ca="1" si="1261"/>
        <v>0</v>
      </c>
      <c r="BE626" s="926">
        <f t="shared" ca="1" si="1262"/>
        <v>0</v>
      </c>
      <c r="BF626" s="19">
        <f ca="1">SUM(INDIRECT(BF$1&amp;BF$2&amp;$A626):INDIRECT(BF$1&amp;BF$3&amp;$A626))</f>
        <v>0</v>
      </c>
      <c r="BG626" s="875">
        <f t="shared" ca="1" si="1263"/>
        <v>0</v>
      </c>
      <c r="BH626" s="926">
        <f t="shared" ca="1" si="1264"/>
        <v>0</v>
      </c>
    </row>
    <row r="627" spans="1:60" ht="14.5">
      <c r="A627" s="990">
        <f t="shared" si="1228"/>
        <v>562</v>
      </c>
      <c r="B627" s="990">
        <v>1</v>
      </c>
      <c r="C627" s="990">
        <f t="shared" si="1189"/>
        <v>624</v>
      </c>
      <c r="E627" s="1243">
        <v>1</v>
      </c>
      <c r="I627" s="79"/>
      <c r="J627" s="78"/>
      <c r="K627" s="69"/>
      <c r="L627" s="69"/>
      <c r="P627" s="9" t="s">
        <v>227</v>
      </c>
      <c r="Q627" s="1845" t="str">
        <f>CHOOSE(2, "6722000003546", "S/GP (2) Gross Profit Indirect Solution Professional Service")</f>
        <v>S/GP (2) Gross Profit Indirect Solution Professional Service</v>
      </c>
      <c r="R627" s="2036">
        <v>0</v>
      </c>
      <c r="S627" s="2036">
        <v>0</v>
      </c>
      <c r="T627" s="2036">
        <v>0</v>
      </c>
      <c r="U627" s="2036">
        <v>0</v>
      </c>
      <c r="V627" s="2036">
        <v>0</v>
      </c>
      <c r="W627" s="2036">
        <v>0</v>
      </c>
      <c r="X627" s="2036">
        <v>0</v>
      </c>
      <c r="Y627" s="2036">
        <v>0</v>
      </c>
      <c r="Z627" s="2036">
        <v>0</v>
      </c>
      <c r="AA627" s="2036">
        <v>0</v>
      </c>
      <c r="AB627" s="2036">
        <v>0</v>
      </c>
      <c r="AC627" s="2036">
        <v>0</v>
      </c>
      <c r="AD627" s="100">
        <f>SUM(R627,S627,T627)</f>
        <v>0</v>
      </c>
      <c r="AE627" s="19">
        <f t="shared" si="1275"/>
        <v>0</v>
      </c>
      <c r="AF627" s="19">
        <f t="shared" si="1276"/>
        <v>0</v>
      </c>
      <c r="AG627" s="19">
        <f t="shared" si="1277"/>
        <v>0</v>
      </c>
      <c r="AH627" s="19">
        <f>AD627+AE627</f>
        <v>0</v>
      </c>
      <c r="AI627" s="19">
        <f>AG627+AF627</f>
        <v>0</v>
      </c>
      <c r="AJ627" s="19">
        <f>AH627+AI627</f>
        <v>0</v>
      </c>
      <c r="AL627" s="19">
        <f ca="1">SUM((INDIRECT(AL$2&amp;(ROW())):INDIRECT(AL$3&amp;(ROW()))))</f>
        <v>0</v>
      </c>
      <c r="AM627" s="19">
        <f ca="1">SUM(INDIRECT(AM$1&amp;AM$2&amp;$C627):INDIRECT(AM$1&amp;AM$3&amp;$C627))</f>
        <v>0</v>
      </c>
      <c r="AN627" s="875">
        <f t="shared" ca="1" si="1253"/>
        <v>0</v>
      </c>
      <c r="AO627" s="926">
        <f t="shared" ca="1" si="1254"/>
        <v>0</v>
      </c>
      <c r="AP627" s="19">
        <f ca="1">SUM(INDIRECT(AP$1&amp;AP$2&amp;$A627):INDIRECT(AP$1&amp;AP$3&amp;$A627))</f>
        <v>0</v>
      </c>
      <c r="AQ627" s="875">
        <f t="shared" ca="1" si="1255"/>
        <v>0</v>
      </c>
      <c r="AR627" s="926">
        <f t="shared" ca="1" si="1256"/>
        <v>0</v>
      </c>
      <c r="AT627" s="19">
        <f ca="1">SUM((INDIRECT(AT$2&amp;(ROW())):INDIRECT(AT$3&amp;(ROW()))))</f>
        <v>0</v>
      </c>
      <c r="AU627" s="19">
        <f ca="1">SUM(INDIRECT(AU$1&amp;AU$2&amp;$C627):INDIRECT(AU$1&amp;AU$3&amp;$C627))</f>
        <v>0</v>
      </c>
      <c r="AV627" s="875">
        <f t="shared" ca="1" si="1257"/>
        <v>0</v>
      </c>
      <c r="AW627" s="926">
        <f t="shared" ca="1" si="1258"/>
        <v>0</v>
      </c>
      <c r="AX627" s="19">
        <f ca="1">SUM(INDIRECT(AX$1&amp;AX$2&amp;$A627):INDIRECT(AX$1&amp;AX$3&amp;$A627))</f>
        <v>0</v>
      </c>
      <c r="AY627" s="875">
        <f t="shared" ca="1" si="1259"/>
        <v>0</v>
      </c>
      <c r="AZ627" s="926">
        <f t="shared" ca="1" si="1260"/>
        <v>0</v>
      </c>
      <c r="BB627" s="19">
        <f ca="1">SUM((INDIRECT(BB$2&amp;(ROW())):INDIRECT(BB$3&amp;(ROW()))))</f>
        <v>0</v>
      </c>
      <c r="BC627" s="19">
        <f ca="1">SUM(INDIRECT(BC$1&amp;BC$2&amp;$C627):INDIRECT(BC$1&amp;BC$3&amp;$C627))</f>
        <v>0</v>
      </c>
      <c r="BD627" s="875">
        <f t="shared" ca="1" si="1261"/>
        <v>0</v>
      </c>
      <c r="BE627" s="926">
        <f t="shared" ca="1" si="1262"/>
        <v>0</v>
      </c>
      <c r="BF627" s="19">
        <f ca="1">SUM(INDIRECT(BF$1&amp;BF$2&amp;$A627):INDIRECT(BF$1&amp;BF$3&amp;$A627))</f>
        <v>0</v>
      </c>
      <c r="BG627" s="875">
        <f t="shared" ca="1" si="1263"/>
        <v>0</v>
      </c>
      <c r="BH627" s="926">
        <f t="shared" ca="1" si="1264"/>
        <v>0</v>
      </c>
    </row>
    <row r="628" spans="1:60" ht="14.5">
      <c r="A628" s="990">
        <f t="shared" si="1228"/>
        <v>563</v>
      </c>
      <c r="B628" s="990">
        <v>1</v>
      </c>
      <c r="C628" s="990">
        <f t="shared" si="1189"/>
        <v>625</v>
      </c>
      <c r="E628" s="1243">
        <v>1</v>
      </c>
      <c r="I628" s="79"/>
      <c r="J628" s="78"/>
      <c r="K628" s="69"/>
      <c r="L628" s="69"/>
      <c r="N628" s="12"/>
      <c r="O628" s="12"/>
      <c r="P628" s="12" t="s">
        <v>205</v>
      </c>
      <c r="Q628" s="1845" t="str">
        <f>CHOOSE(2, "6722000003547", "S/GP (2) Gross Profit Indirect Solution Others")</f>
        <v>S/GP (2) Gross Profit Indirect Solution Others</v>
      </c>
      <c r="R628" s="2037">
        <v>0</v>
      </c>
      <c r="S628" s="2037">
        <v>0</v>
      </c>
      <c r="T628" s="2037">
        <v>0</v>
      </c>
      <c r="U628" s="2037">
        <v>0</v>
      </c>
      <c r="V628" s="2037">
        <v>0</v>
      </c>
      <c r="W628" s="2037">
        <v>0</v>
      </c>
      <c r="X628" s="2037">
        <v>0</v>
      </c>
      <c r="Y628" s="2037">
        <v>0</v>
      </c>
      <c r="Z628" s="2037">
        <v>0</v>
      </c>
      <c r="AA628" s="2037">
        <v>0</v>
      </c>
      <c r="AB628" s="2037">
        <v>0</v>
      </c>
      <c r="AC628" s="2037">
        <v>0</v>
      </c>
      <c r="AD628" s="99">
        <f>SUM(R628,S628,T628)</f>
        <v>0</v>
      </c>
      <c r="AE628" s="17">
        <f t="shared" si="1275"/>
        <v>0</v>
      </c>
      <c r="AF628" s="17">
        <f t="shared" si="1276"/>
        <v>0</v>
      </c>
      <c r="AG628" s="17">
        <f t="shared" si="1277"/>
        <v>0</v>
      </c>
      <c r="AH628" s="17">
        <f>AD628+AE628</f>
        <v>0</v>
      </c>
      <c r="AI628" s="17">
        <f>AG628+AF628</f>
        <v>0</v>
      </c>
      <c r="AJ628" s="17">
        <f>AH628+AI628</f>
        <v>0</v>
      </c>
      <c r="AL628" s="17">
        <f ca="1">SUM((INDIRECT(AL$2&amp;(ROW())):INDIRECT(AL$3&amp;(ROW()))))</f>
        <v>0</v>
      </c>
      <c r="AM628" s="17">
        <f ca="1">SUM(INDIRECT(AM$1&amp;AM$2&amp;$C628):INDIRECT(AM$1&amp;AM$3&amp;$C628))</f>
        <v>0</v>
      </c>
      <c r="AN628" s="876">
        <f t="shared" ca="1" si="1253"/>
        <v>0</v>
      </c>
      <c r="AO628" s="927">
        <f t="shared" ca="1" si="1254"/>
        <v>0</v>
      </c>
      <c r="AP628" s="17">
        <f ca="1">SUM(INDIRECT(AP$1&amp;AP$2&amp;$A628):INDIRECT(AP$1&amp;AP$3&amp;$A628))</f>
        <v>0</v>
      </c>
      <c r="AQ628" s="876">
        <f t="shared" ca="1" si="1255"/>
        <v>0</v>
      </c>
      <c r="AR628" s="927">
        <f t="shared" ca="1" si="1256"/>
        <v>0</v>
      </c>
      <c r="AT628" s="17">
        <f ca="1">SUM((INDIRECT(AT$2&amp;(ROW())):INDIRECT(AT$3&amp;(ROW()))))</f>
        <v>0</v>
      </c>
      <c r="AU628" s="17">
        <f ca="1">SUM(INDIRECT(AU$1&amp;AU$2&amp;$C628):INDIRECT(AU$1&amp;AU$3&amp;$C628))</f>
        <v>0</v>
      </c>
      <c r="AV628" s="876">
        <f t="shared" ca="1" si="1257"/>
        <v>0</v>
      </c>
      <c r="AW628" s="927">
        <f t="shared" ca="1" si="1258"/>
        <v>0</v>
      </c>
      <c r="AX628" s="17">
        <f ca="1">SUM(INDIRECT(AX$1&amp;AX$2&amp;$A628):INDIRECT(AX$1&amp;AX$3&amp;$A628))</f>
        <v>0</v>
      </c>
      <c r="AY628" s="876">
        <f t="shared" ca="1" si="1259"/>
        <v>0</v>
      </c>
      <c r="AZ628" s="927">
        <f t="shared" ca="1" si="1260"/>
        <v>0</v>
      </c>
      <c r="BB628" s="17">
        <f ca="1">SUM((INDIRECT(BB$2&amp;(ROW())):INDIRECT(BB$3&amp;(ROW()))))</f>
        <v>0</v>
      </c>
      <c r="BC628" s="17">
        <f ca="1">SUM(INDIRECT(BC$1&amp;BC$2&amp;$C628):INDIRECT(BC$1&amp;BC$3&amp;$C628))</f>
        <v>0</v>
      </c>
      <c r="BD628" s="876">
        <f t="shared" ca="1" si="1261"/>
        <v>0</v>
      </c>
      <c r="BE628" s="927">
        <f t="shared" ca="1" si="1262"/>
        <v>0</v>
      </c>
      <c r="BF628" s="17">
        <f ca="1">SUM(INDIRECT(BF$1&amp;BF$2&amp;$A628):INDIRECT(BF$1&amp;BF$3&amp;$A628))</f>
        <v>0</v>
      </c>
      <c r="BG628" s="876">
        <f t="shared" ca="1" si="1263"/>
        <v>0</v>
      </c>
      <c r="BH628" s="927">
        <f t="shared" ca="1" si="1264"/>
        <v>0</v>
      </c>
    </row>
    <row r="629" spans="1:60" ht="14.5">
      <c r="A629" s="990">
        <f t="shared" si="1228"/>
        <v>564</v>
      </c>
      <c r="B629" s="990">
        <v>1</v>
      </c>
      <c r="C629" s="990">
        <f t="shared" si="1189"/>
        <v>626</v>
      </c>
      <c r="E629" s="1243">
        <v>1</v>
      </c>
      <c r="I629" s="77"/>
      <c r="J629" s="76"/>
      <c r="K629" s="68"/>
      <c r="L629" s="68"/>
      <c r="M629" s="22" t="s">
        <v>205</v>
      </c>
      <c r="N629" s="12"/>
      <c r="O629" s="12"/>
      <c r="P629" s="12"/>
      <c r="Q629" s="1845" t="str">
        <f>CHOOSE(2, "6722000003548", "S/GP (2) Gross Profit Indirect Others")</f>
        <v>S/GP (2) Gross Profit Indirect Others</v>
      </c>
      <c r="R629" s="2037">
        <v>0</v>
      </c>
      <c r="S629" s="2037">
        <v>0</v>
      </c>
      <c r="T629" s="2037">
        <v>0</v>
      </c>
      <c r="U629" s="2037">
        <v>0</v>
      </c>
      <c r="V629" s="2037">
        <v>0</v>
      </c>
      <c r="W629" s="2037">
        <v>0</v>
      </c>
      <c r="X629" s="2037">
        <v>0</v>
      </c>
      <c r="Y629" s="2037">
        <v>0</v>
      </c>
      <c r="Z629" s="2037">
        <v>0</v>
      </c>
      <c r="AA629" s="2037">
        <v>0</v>
      </c>
      <c r="AB629" s="2037">
        <v>0</v>
      </c>
      <c r="AC629" s="2037">
        <v>0</v>
      </c>
      <c r="AD629" s="99">
        <f>SUM(R629,S629,T629)</f>
        <v>0</v>
      </c>
      <c r="AE629" s="17">
        <f t="shared" si="1275"/>
        <v>0</v>
      </c>
      <c r="AF629" s="17">
        <f t="shared" si="1276"/>
        <v>0</v>
      </c>
      <c r="AG629" s="17">
        <f t="shared" si="1277"/>
        <v>0</v>
      </c>
      <c r="AH629" s="17">
        <f>AD629+AE629</f>
        <v>0</v>
      </c>
      <c r="AI629" s="17">
        <f>AG629+AF629</f>
        <v>0</v>
      </c>
      <c r="AJ629" s="17">
        <f>AH629+AI629</f>
        <v>0</v>
      </c>
      <c r="AL629" s="17">
        <f ca="1">SUM((INDIRECT(AL$2&amp;(ROW())):INDIRECT(AL$3&amp;(ROW()))))</f>
        <v>0</v>
      </c>
      <c r="AM629" s="17">
        <f ca="1">SUM(INDIRECT(AM$1&amp;AM$2&amp;$C629):INDIRECT(AM$1&amp;AM$3&amp;$C629))</f>
        <v>0</v>
      </c>
      <c r="AN629" s="876">
        <f t="shared" ca="1" si="1253"/>
        <v>0</v>
      </c>
      <c r="AO629" s="927">
        <f t="shared" ca="1" si="1254"/>
        <v>0</v>
      </c>
      <c r="AP629" s="17">
        <f ca="1">SUM(INDIRECT(AP$1&amp;AP$2&amp;$A629):INDIRECT(AP$1&amp;AP$3&amp;$A629))</f>
        <v>0</v>
      </c>
      <c r="AQ629" s="876">
        <f t="shared" ca="1" si="1255"/>
        <v>0</v>
      </c>
      <c r="AR629" s="927">
        <f t="shared" ca="1" si="1256"/>
        <v>0</v>
      </c>
      <c r="AT629" s="17">
        <f ca="1">SUM((INDIRECT(AT$2&amp;(ROW())):INDIRECT(AT$3&amp;(ROW()))))</f>
        <v>0</v>
      </c>
      <c r="AU629" s="17">
        <f ca="1">SUM(INDIRECT(AU$1&amp;AU$2&amp;$C629):INDIRECT(AU$1&amp;AU$3&amp;$C629))</f>
        <v>0</v>
      </c>
      <c r="AV629" s="876">
        <f t="shared" ca="1" si="1257"/>
        <v>0</v>
      </c>
      <c r="AW629" s="927">
        <f t="shared" ca="1" si="1258"/>
        <v>0</v>
      </c>
      <c r="AX629" s="17">
        <f ca="1">SUM(INDIRECT(AX$1&amp;AX$2&amp;$A629):INDIRECT(AX$1&amp;AX$3&amp;$A629))</f>
        <v>0</v>
      </c>
      <c r="AY629" s="876">
        <f t="shared" ca="1" si="1259"/>
        <v>0</v>
      </c>
      <c r="AZ629" s="927">
        <f t="shared" ca="1" si="1260"/>
        <v>0</v>
      </c>
      <c r="BB629" s="17">
        <f ca="1">SUM((INDIRECT(BB$2&amp;(ROW())):INDIRECT(BB$3&amp;(ROW()))))</f>
        <v>0</v>
      </c>
      <c r="BC629" s="17">
        <f ca="1">SUM(INDIRECT(BC$1&amp;BC$2&amp;$C629):INDIRECT(BC$1&amp;BC$3&amp;$C629))</f>
        <v>0</v>
      </c>
      <c r="BD629" s="876">
        <f t="shared" ca="1" si="1261"/>
        <v>0</v>
      </c>
      <c r="BE629" s="927">
        <f t="shared" ca="1" si="1262"/>
        <v>0</v>
      </c>
      <c r="BF629" s="17">
        <f ca="1">SUM(INDIRECT(BF$1&amp;BF$2&amp;$A629):INDIRECT(BF$1&amp;BF$3&amp;$A629))</f>
        <v>0</v>
      </c>
      <c r="BG629" s="876">
        <f t="shared" ca="1" si="1263"/>
        <v>0</v>
      </c>
      <c r="BH629" s="927">
        <f t="shared" ca="1" si="1264"/>
        <v>0</v>
      </c>
    </row>
    <row r="630" spans="1:60" ht="14.5">
      <c r="A630" s="990">
        <f t="shared" si="1228"/>
        <v>565</v>
      </c>
      <c r="B630" s="990">
        <v>1</v>
      </c>
      <c r="C630" s="990">
        <f t="shared" si="1189"/>
        <v>627</v>
      </c>
      <c r="E630" s="1243">
        <v>1</v>
      </c>
      <c r="I630" s="24"/>
      <c r="J630" s="75"/>
      <c r="K630" s="24"/>
      <c r="L630" s="24"/>
      <c r="M630" s="75"/>
      <c r="N630" s="75"/>
      <c r="O630" s="75"/>
      <c r="P630" s="75"/>
      <c r="Q630" s="1838" t="str">
        <f>CHOOSE(2, "6722000003549", "▷ Blank 21")</f>
        <v>▷ Blank 21</v>
      </c>
      <c r="R630" s="2200"/>
      <c r="AB630" s="1"/>
      <c r="AC630" s="1"/>
      <c r="AD630" s="1"/>
      <c r="AE630" s="1"/>
      <c r="AF630" s="1"/>
      <c r="AG630" s="1"/>
      <c r="AH630" s="1"/>
      <c r="AI630" s="1"/>
      <c r="AJ630" s="1"/>
      <c r="AL630" s="1"/>
      <c r="AM630" s="1"/>
      <c r="AN630" s="1"/>
      <c r="AO630" s="1"/>
      <c r="AP630" s="1"/>
      <c r="AQ630" s="1"/>
      <c r="AR630" s="1"/>
      <c r="AT630" s="1"/>
      <c r="AU630" s="1"/>
      <c r="AV630" s="1"/>
      <c r="AW630" s="1"/>
      <c r="AX630" s="1"/>
      <c r="AY630" s="1"/>
      <c r="AZ630" s="1"/>
      <c r="BB630" s="1"/>
      <c r="BC630" s="1"/>
      <c r="BD630" s="1"/>
      <c r="BE630" s="1"/>
      <c r="BF630" s="1"/>
      <c r="BG630" s="1"/>
      <c r="BH630" s="1"/>
    </row>
    <row r="631" spans="1:60" ht="14.5">
      <c r="A631" s="990">
        <f t="shared" si="1228"/>
        <v>566</v>
      </c>
      <c r="B631" s="990">
        <v>1</v>
      </c>
      <c r="C631" s="990">
        <f t="shared" si="1189"/>
        <v>628</v>
      </c>
      <c r="E631" s="1243">
        <v>1</v>
      </c>
      <c r="H631" s="24" t="s">
        <v>482</v>
      </c>
      <c r="I631" s="24"/>
      <c r="J631" s="75"/>
      <c r="K631" s="24"/>
      <c r="L631" s="24"/>
      <c r="M631" s="75"/>
      <c r="N631" s="75"/>
      <c r="O631" s="75"/>
      <c r="P631" s="291"/>
      <c r="Q631" s="1838" t="str">
        <f>CHOOSE(2, "6722000003550", "S/GP (3) IP")</f>
        <v>S/GP (3) IP</v>
      </c>
      <c r="R631" s="2200"/>
      <c r="AB631" s="1"/>
      <c r="AC631" s="1"/>
      <c r="AD631" s="1"/>
      <c r="AE631" s="1"/>
      <c r="AF631" s="1"/>
      <c r="AG631" s="1"/>
      <c r="AH631" s="1"/>
      <c r="AI631" s="1"/>
      <c r="AJ631" s="1"/>
      <c r="AL631" s="1"/>
      <c r="AM631" s="1"/>
      <c r="AN631" s="1"/>
      <c r="AO631" s="1"/>
      <c r="AP631" s="1"/>
      <c r="AQ631" s="1"/>
      <c r="AR631" s="1"/>
      <c r="AT631" s="1"/>
      <c r="AU631" s="1"/>
      <c r="AV631" s="1"/>
      <c r="AW631" s="1"/>
      <c r="AX631" s="1"/>
      <c r="AY631" s="1"/>
      <c r="AZ631" s="1"/>
      <c r="BB631" s="1"/>
      <c r="BC631" s="1"/>
      <c r="BD631" s="1"/>
      <c r="BE631" s="1"/>
      <c r="BF631" s="1"/>
      <c r="BG631" s="1"/>
      <c r="BH631" s="1"/>
    </row>
    <row r="632" spans="1:60" ht="14.5">
      <c r="A632" s="990">
        <f t="shared" si="1228"/>
        <v>567</v>
      </c>
      <c r="B632" s="990">
        <v>1</v>
      </c>
      <c r="C632" s="990">
        <f t="shared" si="1189"/>
        <v>629</v>
      </c>
      <c r="E632" s="1243">
        <v>1</v>
      </c>
      <c r="I632" s="443" t="s">
        <v>211</v>
      </c>
      <c r="J632" s="444"/>
      <c r="K632" s="449"/>
      <c r="L632" s="449"/>
      <c r="M632" s="450"/>
      <c r="N632" s="450"/>
      <c r="O632" s="450"/>
      <c r="P632" s="604"/>
      <c r="Q632" s="1860" t="str">
        <f>CHOOSE(2, "6722000003551", "S/GP (3) Net Sales")</f>
        <v>S/GP (3) Net Sales</v>
      </c>
      <c r="R632" s="2074">
        <f>R633+R648</f>
        <v>15308</v>
      </c>
      <c r="S632" s="2074">
        <f t="shared" ref="S632:AC632" si="1278">S633+S648</f>
        <v>5995</v>
      </c>
      <c r="T632" s="2074">
        <f t="shared" si="1278"/>
        <v>25668</v>
      </c>
      <c r="U632" s="2074">
        <f t="shared" si="1278"/>
        <v>7458</v>
      </c>
      <c r="V632" s="2074">
        <f t="shared" si="1278"/>
        <v>17448.148999999998</v>
      </c>
      <c r="W632" s="2074">
        <f t="shared" si="1278"/>
        <v>19062</v>
      </c>
      <c r="X632" s="2074">
        <f t="shared" si="1278"/>
        <v>7362</v>
      </c>
      <c r="Y632" s="2074">
        <f t="shared" si="1278"/>
        <v>17023</v>
      </c>
      <c r="Z632" s="2074">
        <f t="shared" si="1278"/>
        <v>7585</v>
      </c>
      <c r="AA632" s="2074">
        <f t="shared" si="1278"/>
        <v>26150</v>
      </c>
      <c r="AB632" s="2074">
        <f t="shared" si="1278"/>
        <v>8583.2560000000012</v>
      </c>
      <c r="AC632" s="2074">
        <f t="shared" si="1278"/>
        <v>25747</v>
      </c>
      <c r="AD632" s="1547">
        <f t="shared" ref="AD632:AJ632" si="1279">AD633+AD648</f>
        <v>46971</v>
      </c>
      <c r="AE632" s="451">
        <f t="shared" si="1279"/>
        <v>43968.149000000005</v>
      </c>
      <c r="AF632" s="451">
        <f t="shared" si="1279"/>
        <v>31970</v>
      </c>
      <c r="AG632" s="451">
        <f t="shared" si="1279"/>
        <v>60480.256000000001</v>
      </c>
      <c r="AH632" s="451">
        <f t="shared" si="1279"/>
        <v>90939.149000000005</v>
      </c>
      <c r="AI632" s="451">
        <f t="shared" si="1279"/>
        <v>92450.255999999994</v>
      </c>
      <c r="AJ632" s="451">
        <f t="shared" si="1279"/>
        <v>183389.405</v>
      </c>
      <c r="AL632" s="2074">
        <f ca="1">SUM((INDIRECT(AL$2&amp;(ROW())):INDIRECT(AL$3&amp;(ROW()))))</f>
        <v>25747</v>
      </c>
      <c r="AM632" s="2074">
        <f ca="1">SUM(INDIRECT(AM$1&amp;AM$2&amp;$C632):INDIRECT(AM$1&amp;AM$3&amp;$C632))</f>
        <v>0</v>
      </c>
      <c r="AN632" s="2542">
        <f t="shared" ref="AN632:AN663" ca="1" si="1280">AL632-AM632</f>
        <v>25747</v>
      </c>
      <c r="AO632" s="2543">
        <f t="shared" ref="AO632:AO663" ca="1" si="1281">IFERROR(AL632/AM632,0)</f>
        <v>0</v>
      </c>
      <c r="AP632" s="2074">
        <f ca="1">SUM(INDIRECT(AP$1&amp;AP$2&amp;$A632):INDIRECT(AP$1&amp;AP$3&amp;$A632))</f>
        <v>17459</v>
      </c>
      <c r="AQ632" s="2542">
        <f t="shared" ref="AQ632:AQ663" ca="1" si="1282">AL632-AP632</f>
        <v>8288</v>
      </c>
      <c r="AR632" s="2543">
        <f t="shared" ref="AR632:AR663" ca="1" si="1283">IFERROR(AL632/AP632,0)</f>
        <v>1.4747121828283407</v>
      </c>
      <c r="AT632" s="2074">
        <f ca="1">SUM((INDIRECT(AT$2&amp;(ROW())):INDIRECT(AT$3&amp;(ROW()))))</f>
        <v>60480.256000000001</v>
      </c>
      <c r="AU632" s="2074">
        <f ca="1">SUM(INDIRECT(AU$1&amp;AU$2&amp;$C632):INDIRECT(AU$1&amp;AU$3&amp;$C632))</f>
        <v>0</v>
      </c>
      <c r="AV632" s="2542">
        <f t="shared" ref="AV632:AV663" ca="1" si="1284">AT632-AU632</f>
        <v>60480.256000000001</v>
      </c>
      <c r="AW632" s="2543">
        <f t="shared" ref="AW632:AW663" ca="1" si="1285">IFERROR(AT632/AU632,0)</f>
        <v>0</v>
      </c>
      <c r="AX632" s="2074">
        <f ca="1">SUM(INDIRECT(AX$1&amp;AX$2&amp;$A632):INDIRECT(AX$1&amp;AX$3&amp;$A632))</f>
        <v>91622</v>
      </c>
      <c r="AY632" s="2542">
        <f t="shared" ref="AY632:AY663" ca="1" si="1286">AT632-AX632</f>
        <v>-31141.743999999999</v>
      </c>
      <c r="AZ632" s="2543">
        <f t="shared" ref="AZ632:AZ663" ca="1" si="1287">IFERROR(AT632/AX632,0)</f>
        <v>0.66010626268800077</v>
      </c>
      <c r="BB632" s="2074">
        <f ca="1">SUM((INDIRECT(BB$2&amp;(ROW())):INDIRECT(BB$3&amp;(ROW()))))</f>
        <v>183389.405</v>
      </c>
      <c r="BC632" s="2074">
        <f ca="1">SUM(INDIRECT(BC$1&amp;BC$2&amp;$C632):INDIRECT(BC$1&amp;BC$3&amp;$C632))</f>
        <v>0</v>
      </c>
      <c r="BD632" s="2542">
        <f t="shared" ref="BD632:BD663" ca="1" si="1288">BB632-BC632</f>
        <v>183389.405</v>
      </c>
      <c r="BE632" s="2543">
        <f t="shared" ref="BE632:BE663" ca="1" si="1289">IFERROR(BB632/BC632,0)</f>
        <v>0</v>
      </c>
      <c r="BF632" s="2074">
        <f ca="1">SUM(INDIRECT(BF$1&amp;BF$2&amp;$A632):INDIRECT(BF$1&amp;BF$3&amp;$A632))</f>
        <v>240053</v>
      </c>
      <c r="BG632" s="2542">
        <f t="shared" ref="BG632:BG663" ca="1" si="1290">BB632-BF632</f>
        <v>-56663.595000000001</v>
      </c>
      <c r="BH632" s="2543">
        <f t="shared" ref="BH632:BH663" ca="1" si="1291">IFERROR(BB632/BF632,0)</f>
        <v>0.76395381436599419</v>
      </c>
    </row>
    <row r="633" spans="1:60" ht="14.5">
      <c r="A633" s="990">
        <f t="shared" si="1228"/>
        <v>568</v>
      </c>
      <c r="B633" s="990">
        <v>1</v>
      </c>
      <c r="C633" s="990">
        <f t="shared" si="1189"/>
        <v>630</v>
      </c>
      <c r="E633" s="1243">
        <v>1</v>
      </c>
      <c r="I633" s="445"/>
      <c r="J633" s="446"/>
      <c r="K633" s="74" t="s">
        <v>212</v>
      </c>
      <c r="L633" s="74"/>
      <c r="M633" s="357"/>
      <c r="N633" s="357"/>
      <c r="O633" s="357"/>
      <c r="P633" s="357"/>
      <c r="Q633" s="1878" t="str">
        <f>CHOOSE(2, "6722000003552", "S/GP (3) Net Sales Direct")</f>
        <v>S/GP (3) Net Sales Direct</v>
      </c>
      <c r="R633" s="359">
        <f>R634+R641</f>
        <v>15308</v>
      </c>
      <c r="S633" s="359">
        <f t="shared" ref="S633:AC633" si="1292">S634+S641</f>
        <v>5995</v>
      </c>
      <c r="T633" s="359">
        <f t="shared" si="1292"/>
        <v>25668</v>
      </c>
      <c r="U633" s="359">
        <f t="shared" si="1292"/>
        <v>7458</v>
      </c>
      <c r="V633" s="359">
        <f t="shared" si="1292"/>
        <v>17448.148999999998</v>
      </c>
      <c r="W633" s="359">
        <f t="shared" si="1292"/>
        <v>19062</v>
      </c>
      <c r="X633" s="359">
        <f t="shared" si="1292"/>
        <v>7362</v>
      </c>
      <c r="Y633" s="359">
        <f t="shared" si="1292"/>
        <v>17023</v>
      </c>
      <c r="Z633" s="359">
        <f t="shared" si="1292"/>
        <v>7585</v>
      </c>
      <c r="AA633" s="359">
        <f t="shared" si="1292"/>
        <v>26150</v>
      </c>
      <c r="AB633" s="359">
        <f t="shared" si="1292"/>
        <v>8583.2560000000012</v>
      </c>
      <c r="AC633" s="359">
        <f t="shared" si="1292"/>
        <v>25747</v>
      </c>
      <c r="AD633" s="407">
        <f t="shared" ref="AD633:AJ633" si="1293">AD634+AD641</f>
        <v>46971</v>
      </c>
      <c r="AE633" s="359">
        <f t="shared" si="1293"/>
        <v>43968.149000000005</v>
      </c>
      <c r="AF633" s="359">
        <f t="shared" si="1293"/>
        <v>31970</v>
      </c>
      <c r="AG633" s="359">
        <f t="shared" si="1293"/>
        <v>60480.256000000001</v>
      </c>
      <c r="AH633" s="359">
        <f t="shared" si="1293"/>
        <v>90939.149000000005</v>
      </c>
      <c r="AI633" s="359">
        <f t="shared" si="1293"/>
        <v>92450.255999999994</v>
      </c>
      <c r="AJ633" s="359">
        <f t="shared" si="1293"/>
        <v>183389.405</v>
      </c>
      <c r="AL633" s="359">
        <f ca="1">SUM((INDIRECT(AL$2&amp;(ROW())):INDIRECT(AL$3&amp;(ROW()))))</f>
        <v>25747</v>
      </c>
      <c r="AM633" s="359">
        <f ca="1">SUM(INDIRECT(AM$1&amp;AM$2&amp;$C633):INDIRECT(AM$1&amp;AM$3&amp;$C633))</f>
        <v>0</v>
      </c>
      <c r="AN633" s="900">
        <f t="shared" ca="1" si="1280"/>
        <v>25747</v>
      </c>
      <c r="AO633" s="961">
        <f t="shared" ca="1" si="1281"/>
        <v>0</v>
      </c>
      <c r="AP633" s="359">
        <f ca="1">SUM(INDIRECT(AP$1&amp;AP$2&amp;$A633):INDIRECT(AP$1&amp;AP$3&amp;$A633))</f>
        <v>17459</v>
      </c>
      <c r="AQ633" s="900">
        <f t="shared" ca="1" si="1282"/>
        <v>8288</v>
      </c>
      <c r="AR633" s="961">
        <f t="shared" ca="1" si="1283"/>
        <v>1.4747121828283407</v>
      </c>
      <c r="AT633" s="359">
        <f ca="1">SUM((INDIRECT(AT$2&amp;(ROW())):INDIRECT(AT$3&amp;(ROW()))))</f>
        <v>60480.256000000001</v>
      </c>
      <c r="AU633" s="359">
        <f ca="1">SUM(INDIRECT(AU$1&amp;AU$2&amp;$C633):INDIRECT(AU$1&amp;AU$3&amp;$C633))</f>
        <v>0</v>
      </c>
      <c r="AV633" s="900">
        <f t="shared" ca="1" si="1284"/>
        <v>60480.256000000001</v>
      </c>
      <c r="AW633" s="961">
        <f t="shared" ca="1" si="1285"/>
        <v>0</v>
      </c>
      <c r="AX633" s="359">
        <f ca="1">SUM(INDIRECT(AX$1&amp;AX$2&amp;$A633):INDIRECT(AX$1&amp;AX$3&amp;$A633))</f>
        <v>91622</v>
      </c>
      <c r="AY633" s="900">
        <f t="shared" ca="1" si="1286"/>
        <v>-31141.743999999999</v>
      </c>
      <c r="AZ633" s="961">
        <f t="shared" ca="1" si="1287"/>
        <v>0.66010626268800077</v>
      </c>
      <c r="BB633" s="359">
        <f ca="1">SUM((INDIRECT(BB$2&amp;(ROW())):INDIRECT(BB$3&amp;(ROW()))))</f>
        <v>183389.405</v>
      </c>
      <c r="BC633" s="359">
        <f ca="1">SUM(INDIRECT(BC$1&amp;BC$2&amp;$C633):INDIRECT(BC$1&amp;BC$3&amp;$C633))</f>
        <v>0</v>
      </c>
      <c r="BD633" s="900">
        <f t="shared" ca="1" si="1288"/>
        <v>183389.405</v>
      </c>
      <c r="BE633" s="961">
        <f t="shared" ca="1" si="1289"/>
        <v>0</v>
      </c>
      <c r="BF633" s="359">
        <f ca="1">SUM(INDIRECT(BF$1&amp;BF$2&amp;$A633):INDIRECT(BF$1&amp;BF$3&amp;$A633))</f>
        <v>240053</v>
      </c>
      <c r="BG633" s="900">
        <f t="shared" ca="1" si="1290"/>
        <v>-56663.595000000001</v>
      </c>
      <c r="BH633" s="961">
        <f t="shared" ca="1" si="1291"/>
        <v>0.76395381436599419</v>
      </c>
    </row>
    <row r="634" spans="1:60" ht="14.5">
      <c r="A634" s="990">
        <f t="shared" si="1228"/>
        <v>569</v>
      </c>
      <c r="B634" s="990">
        <v>1</v>
      </c>
      <c r="C634" s="990">
        <f t="shared" si="1189"/>
        <v>631</v>
      </c>
      <c r="E634" s="1243">
        <v>1</v>
      </c>
      <c r="I634" s="445"/>
      <c r="J634" s="446"/>
      <c r="K634" s="74"/>
      <c r="L634" s="74"/>
      <c r="M634" s="75" t="s">
        <v>304</v>
      </c>
      <c r="N634" s="391"/>
      <c r="O634" s="391"/>
      <c r="P634" s="391"/>
      <c r="Q634" s="1843" t="str">
        <f>CHOOSE(2, "6722000003553", "S/GP (3) Net Sales Direct HW &amp; Solution")</f>
        <v>S/GP (3) Net Sales Direct HW &amp; Solution</v>
      </c>
      <c r="R634" s="365">
        <f>SUM(R635:R640)</f>
        <v>9502</v>
      </c>
      <c r="S634" s="365">
        <f t="shared" ref="S634:AC634" si="1294">SUM(S635:S640)</f>
        <v>252</v>
      </c>
      <c r="T634" s="365">
        <f t="shared" si="1294"/>
        <v>19252</v>
      </c>
      <c r="U634" s="365">
        <f t="shared" si="1294"/>
        <v>252</v>
      </c>
      <c r="V634" s="365">
        <f t="shared" si="1294"/>
        <v>9600</v>
      </c>
      <c r="W634" s="365">
        <f t="shared" si="1294"/>
        <v>10756</v>
      </c>
      <c r="X634" s="365">
        <f t="shared" si="1294"/>
        <v>378</v>
      </c>
      <c r="Y634" s="365">
        <f t="shared" si="1294"/>
        <v>9900</v>
      </c>
      <c r="Z634" s="365">
        <f t="shared" si="1294"/>
        <v>0</v>
      </c>
      <c r="AA634" s="365">
        <f t="shared" si="1294"/>
        <v>18852</v>
      </c>
      <c r="AB634" s="365">
        <f t="shared" si="1294"/>
        <v>0</v>
      </c>
      <c r="AC634" s="365">
        <f t="shared" si="1294"/>
        <v>17085</v>
      </c>
      <c r="AD634" s="408">
        <f t="shared" ref="AD634:AJ634" si="1295">SUM(AD635:AD640)</f>
        <v>29006</v>
      </c>
      <c r="AE634" s="365">
        <f t="shared" si="1295"/>
        <v>20608</v>
      </c>
      <c r="AF634" s="365">
        <f t="shared" si="1295"/>
        <v>10278</v>
      </c>
      <c r="AG634" s="365">
        <f t="shared" si="1295"/>
        <v>35937</v>
      </c>
      <c r="AH634" s="365">
        <f t="shared" si="1295"/>
        <v>49614</v>
      </c>
      <c r="AI634" s="365">
        <f t="shared" si="1295"/>
        <v>46215</v>
      </c>
      <c r="AJ634" s="365">
        <f t="shared" si="1295"/>
        <v>95829</v>
      </c>
      <c r="AL634" s="365">
        <f ca="1">SUM((INDIRECT(AL$2&amp;(ROW())):INDIRECT(AL$3&amp;(ROW()))))</f>
        <v>17085</v>
      </c>
      <c r="AM634" s="365">
        <f ca="1">SUM(INDIRECT(AM$1&amp;AM$2&amp;$C634):INDIRECT(AM$1&amp;AM$3&amp;$C634))</f>
        <v>0</v>
      </c>
      <c r="AN634" s="891">
        <f t="shared" ca="1" si="1280"/>
        <v>17085</v>
      </c>
      <c r="AO634" s="952">
        <f t="shared" ca="1" si="1281"/>
        <v>0</v>
      </c>
      <c r="AP634" s="365">
        <f ca="1">SUM(INDIRECT(AP$1&amp;AP$2&amp;$A634):INDIRECT(AP$1&amp;AP$3&amp;$A634))</f>
        <v>12311</v>
      </c>
      <c r="AQ634" s="891">
        <f t="shared" ca="1" si="1282"/>
        <v>4774</v>
      </c>
      <c r="AR634" s="952">
        <f t="shared" ca="1" si="1283"/>
        <v>1.3877832832426285</v>
      </c>
      <c r="AT634" s="365">
        <f ca="1">SUM((INDIRECT(AT$2&amp;(ROW())):INDIRECT(AT$3&amp;(ROW()))))</f>
        <v>35937</v>
      </c>
      <c r="AU634" s="365">
        <f ca="1">SUM(INDIRECT(AU$1&amp;AU$2&amp;$C634):INDIRECT(AU$1&amp;AU$3&amp;$C634))</f>
        <v>0</v>
      </c>
      <c r="AV634" s="891">
        <f t="shared" ca="1" si="1284"/>
        <v>35937</v>
      </c>
      <c r="AW634" s="952">
        <f t="shared" ca="1" si="1285"/>
        <v>0</v>
      </c>
      <c r="AX634" s="365">
        <f ca="1">SUM(INDIRECT(AX$1&amp;AX$2&amp;$A634):INDIRECT(AX$1&amp;AX$3&amp;$A634))</f>
        <v>73698</v>
      </c>
      <c r="AY634" s="891">
        <f t="shared" ca="1" si="1286"/>
        <v>-37761</v>
      </c>
      <c r="AZ634" s="952">
        <f t="shared" ca="1" si="1287"/>
        <v>0.48762517300333796</v>
      </c>
      <c r="BB634" s="365">
        <f ca="1">SUM((INDIRECT(BB$2&amp;(ROW())):INDIRECT(BB$3&amp;(ROW()))))</f>
        <v>95829</v>
      </c>
      <c r="BC634" s="365">
        <f ca="1">SUM(INDIRECT(BC$1&amp;BC$2&amp;$C634):INDIRECT(BC$1&amp;BC$3&amp;$C634))</f>
        <v>0</v>
      </c>
      <c r="BD634" s="891">
        <f t="shared" ca="1" si="1288"/>
        <v>95829</v>
      </c>
      <c r="BE634" s="952">
        <f t="shared" ca="1" si="1289"/>
        <v>0</v>
      </c>
      <c r="BF634" s="365">
        <f ca="1">SUM(INDIRECT(BF$1&amp;BF$2&amp;$A634):INDIRECT(BF$1&amp;BF$3&amp;$A634))</f>
        <v>186541</v>
      </c>
      <c r="BG634" s="891">
        <f t="shared" ca="1" si="1290"/>
        <v>-90712</v>
      </c>
      <c r="BH634" s="952">
        <f t="shared" ca="1" si="1291"/>
        <v>0.51371548345940032</v>
      </c>
    </row>
    <row r="635" spans="1:60" ht="14.5">
      <c r="A635" s="990">
        <f t="shared" si="1228"/>
        <v>570</v>
      </c>
      <c r="B635" s="990">
        <v>1</v>
      </c>
      <c r="C635" s="990">
        <f t="shared" si="1189"/>
        <v>632</v>
      </c>
      <c r="E635" s="1243">
        <v>1</v>
      </c>
      <c r="I635" s="445"/>
      <c r="J635" s="446"/>
      <c r="K635" s="74"/>
      <c r="L635" s="74"/>
      <c r="M635" s="75"/>
      <c r="N635" s="1246" t="s">
        <v>1258</v>
      </c>
      <c r="O635" s="377"/>
      <c r="P635" s="377"/>
      <c r="Q635" s="1845" t="str">
        <f>CHOOSE(2, "6722000003554", "S/GP (3) Net Sales Direct HW &amp; Solution KM-1/KM-1e")</f>
        <v>S/GP (3) Net Sales Direct HW &amp; Solution KM-1/KM-1e</v>
      </c>
      <c r="R635" s="2042">
        <v>0</v>
      </c>
      <c r="S635" s="2042">
        <v>0</v>
      </c>
      <c r="T635" s="2042">
        <v>0</v>
      </c>
      <c r="U635" s="2042">
        <v>0</v>
      </c>
      <c r="V635" s="2042">
        <v>0</v>
      </c>
      <c r="W635" s="2042">
        <v>0</v>
      </c>
      <c r="X635" s="2042">
        <v>0</v>
      </c>
      <c r="Y635" s="2042">
        <v>0</v>
      </c>
      <c r="Z635" s="2042">
        <v>0</v>
      </c>
      <c r="AA635" s="2042">
        <v>0</v>
      </c>
      <c r="AB635" s="2042">
        <v>0</v>
      </c>
      <c r="AC635" s="2042">
        <v>-1515</v>
      </c>
      <c r="AD635" s="376">
        <f t="shared" ref="AD635:AD640" si="1296">SUM(R635,S635,T635)</f>
        <v>0</v>
      </c>
      <c r="AE635" s="109">
        <f t="shared" ref="AE635:AE640" si="1297">SUM(U635,V635,W635)</f>
        <v>0</v>
      </c>
      <c r="AF635" s="109">
        <f t="shared" ref="AF635:AF640" si="1298">SUM(X635,Y635,Z635)</f>
        <v>0</v>
      </c>
      <c r="AG635" s="109">
        <f t="shared" ref="AG635:AG640" si="1299">SUM(AA635,AB635,AC635)</f>
        <v>-1515</v>
      </c>
      <c r="AH635" s="109">
        <f t="shared" ref="AH635:AH640" si="1300">AD635+AE635</f>
        <v>0</v>
      </c>
      <c r="AI635" s="109">
        <f t="shared" ref="AI635:AI640" si="1301">AG635+AF635</f>
        <v>-1515</v>
      </c>
      <c r="AJ635" s="109">
        <f t="shared" ref="AJ635:AJ640" si="1302">AH635+AI635</f>
        <v>-1515</v>
      </c>
      <c r="AL635" s="109">
        <f ca="1">SUM((INDIRECT(AL$2&amp;(ROW())):INDIRECT(AL$3&amp;(ROW()))))</f>
        <v>-1515</v>
      </c>
      <c r="AM635" s="109">
        <f ca="1">SUM(INDIRECT(AM$1&amp;AM$2&amp;$C635):INDIRECT(AM$1&amp;AM$3&amp;$C635))</f>
        <v>0</v>
      </c>
      <c r="AN635" s="892">
        <f t="shared" ca="1" si="1280"/>
        <v>-1515</v>
      </c>
      <c r="AO635" s="953">
        <f t="shared" ca="1" si="1281"/>
        <v>0</v>
      </c>
      <c r="AP635" s="109">
        <f ca="1">SUM(INDIRECT(AP$1&amp;AP$2&amp;$A635):INDIRECT(AP$1&amp;AP$3&amp;$A635))</f>
        <v>0</v>
      </c>
      <c r="AQ635" s="892">
        <f t="shared" ca="1" si="1282"/>
        <v>-1515</v>
      </c>
      <c r="AR635" s="953">
        <f t="shared" ca="1" si="1283"/>
        <v>0</v>
      </c>
      <c r="AT635" s="109">
        <f ca="1">SUM((INDIRECT(AT$2&amp;(ROW())):INDIRECT(AT$3&amp;(ROW()))))</f>
        <v>-1515</v>
      </c>
      <c r="AU635" s="109">
        <f ca="1">SUM(INDIRECT(AU$1&amp;AU$2&amp;$C635):INDIRECT(AU$1&amp;AU$3&amp;$C635))</f>
        <v>0</v>
      </c>
      <c r="AV635" s="892">
        <f t="shared" ca="1" si="1284"/>
        <v>-1515</v>
      </c>
      <c r="AW635" s="953">
        <f t="shared" ca="1" si="1285"/>
        <v>0</v>
      </c>
      <c r="AX635" s="109">
        <f ca="1">SUM(INDIRECT(AX$1&amp;AX$2&amp;$A635):INDIRECT(AX$1&amp;AX$3&amp;$A635))</f>
        <v>-1647</v>
      </c>
      <c r="AY635" s="892">
        <f t="shared" ca="1" si="1286"/>
        <v>132</v>
      </c>
      <c r="AZ635" s="953">
        <f t="shared" ca="1" si="1287"/>
        <v>0.91985428051001816</v>
      </c>
      <c r="BB635" s="109">
        <f ca="1">SUM((INDIRECT(BB$2&amp;(ROW())):INDIRECT(BB$3&amp;(ROW()))))</f>
        <v>-1515</v>
      </c>
      <c r="BC635" s="109">
        <f ca="1">SUM(INDIRECT(BC$1&amp;BC$2&amp;$C635):INDIRECT(BC$1&amp;BC$3&amp;$C635))</f>
        <v>0</v>
      </c>
      <c r="BD635" s="892">
        <f t="shared" ca="1" si="1288"/>
        <v>-1515</v>
      </c>
      <c r="BE635" s="953">
        <f t="shared" ca="1" si="1289"/>
        <v>0</v>
      </c>
      <c r="BF635" s="109">
        <f ca="1">SUM(INDIRECT(BF$1&amp;BF$2&amp;$A635):INDIRECT(BF$1&amp;BF$3&amp;$A635))</f>
        <v>-1647</v>
      </c>
      <c r="BG635" s="892">
        <f t="shared" ca="1" si="1290"/>
        <v>132</v>
      </c>
      <c r="BH635" s="953">
        <f t="shared" ca="1" si="1291"/>
        <v>0.91985428051001816</v>
      </c>
    </row>
    <row r="636" spans="1:60" ht="14.5">
      <c r="A636" s="990">
        <f t="shared" si="1228"/>
        <v>571</v>
      </c>
      <c r="B636" s="990">
        <v>1</v>
      </c>
      <c r="C636" s="990">
        <f t="shared" si="1189"/>
        <v>633</v>
      </c>
      <c r="E636" s="1243">
        <v>1</v>
      </c>
      <c r="I636" s="445"/>
      <c r="J636" s="446"/>
      <c r="K636" s="74"/>
      <c r="L636" s="74"/>
      <c r="M636" s="75"/>
      <c r="N636" s="75" t="s">
        <v>209</v>
      </c>
      <c r="O636" s="75"/>
      <c r="P636" s="75"/>
      <c r="Q636" s="1845" t="str">
        <f>CHOOSE(2, "6722000003555", "S/GP (3) Net Sales Direct HW &amp; Solution Label Printer")</f>
        <v>S/GP (3) Net Sales Direct HW &amp; Solution Label Printer</v>
      </c>
      <c r="R636" s="2036">
        <v>0</v>
      </c>
      <c r="S636" s="2036">
        <v>0</v>
      </c>
      <c r="T636" s="2036">
        <v>9500</v>
      </c>
      <c r="U636" s="2036">
        <v>0</v>
      </c>
      <c r="V636" s="2036">
        <v>0</v>
      </c>
      <c r="W636" s="2036">
        <v>0</v>
      </c>
      <c r="X636" s="2036">
        <v>0</v>
      </c>
      <c r="Y636" s="2036">
        <v>0</v>
      </c>
      <c r="Z636" s="2036">
        <v>0</v>
      </c>
      <c r="AA636" s="2036">
        <v>9100</v>
      </c>
      <c r="AB636" s="2036">
        <v>0</v>
      </c>
      <c r="AC636" s="2036">
        <v>9000</v>
      </c>
      <c r="AD636" s="100">
        <f t="shared" si="1296"/>
        <v>9500</v>
      </c>
      <c r="AE636" s="19">
        <f t="shared" si="1297"/>
        <v>0</v>
      </c>
      <c r="AF636" s="19">
        <f t="shared" si="1298"/>
        <v>0</v>
      </c>
      <c r="AG636" s="19">
        <f t="shared" si="1299"/>
        <v>18100</v>
      </c>
      <c r="AH636" s="19">
        <f t="shared" si="1300"/>
        <v>9500</v>
      </c>
      <c r="AI636" s="19">
        <f t="shared" si="1301"/>
        <v>18100</v>
      </c>
      <c r="AJ636" s="19">
        <f t="shared" si="1302"/>
        <v>27600</v>
      </c>
      <c r="AL636" s="19">
        <f ca="1">SUM((INDIRECT(AL$2&amp;(ROW())):INDIRECT(AL$3&amp;(ROW()))))</f>
        <v>9000</v>
      </c>
      <c r="AM636" s="19">
        <f ca="1">SUM(INDIRECT(AM$1&amp;AM$2&amp;$C636):INDIRECT(AM$1&amp;AM$3&amp;$C636))</f>
        <v>0</v>
      </c>
      <c r="AN636" s="875">
        <f t="shared" ca="1" si="1280"/>
        <v>9000</v>
      </c>
      <c r="AO636" s="926">
        <f t="shared" ca="1" si="1281"/>
        <v>0</v>
      </c>
      <c r="AP636" s="19">
        <f ca="1">SUM(INDIRECT(AP$1&amp;AP$2&amp;$A636):INDIRECT(AP$1&amp;AP$3&amp;$A636))</f>
        <v>2709</v>
      </c>
      <c r="AQ636" s="875">
        <f t="shared" ca="1" si="1282"/>
        <v>6291</v>
      </c>
      <c r="AR636" s="926">
        <f t="shared" ca="1" si="1283"/>
        <v>3.3222591362126246</v>
      </c>
      <c r="AT636" s="19">
        <f ca="1">SUM((INDIRECT(AT$2&amp;(ROW())):INDIRECT(AT$3&amp;(ROW()))))</f>
        <v>18100</v>
      </c>
      <c r="AU636" s="19">
        <f ca="1">SUM(INDIRECT(AU$1&amp;AU$2&amp;$C636):INDIRECT(AU$1&amp;AU$3&amp;$C636))</f>
        <v>0</v>
      </c>
      <c r="AV636" s="875">
        <f t="shared" ca="1" si="1284"/>
        <v>18100</v>
      </c>
      <c r="AW636" s="926">
        <f t="shared" ca="1" si="1285"/>
        <v>0</v>
      </c>
      <c r="AX636" s="19">
        <f ca="1">SUM(INDIRECT(AX$1&amp;AX$2&amp;$A636):INDIRECT(AX$1&amp;AX$3&amp;$A636))</f>
        <v>14521</v>
      </c>
      <c r="AY636" s="875">
        <f t="shared" ca="1" si="1286"/>
        <v>3579</v>
      </c>
      <c r="AZ636" s="926">
        <f t="shared" ca="1" si="1287"/>
        <v>1.2464706287445768</v>
      </c>
      <c r="BB636" s="19">
        <f ca="1">SUM((INDIRECT(BB$2&amp;(ROW())):INDIRECT(BB$3&amp;(ROW()))))</f>
        <v>27600</v>
      </c>
      <c r="BC636" s="19">
        <f ca="1">SUM(INDIRECT(BC$1&amp;BC$2&amp;$C636):INDIRECT(BC$1&amp;BC$3&amp;$C636))</f>
        <v>0</v>
      </c>
      <c r="BD636" s="875">
        <f t="shared" ca="1" si="1288"/>
        <v>27600</v>
      </c>
      <c r="BE636" s="926">
        <f t="shared" ca="1" si="1289"/>
        <v>0</v>
      </c>
      <c r="BF636" s="19">
        <f ca="1">SUM(INDIRECT(BF$1&amp;BF$2&amp;$A636):INDIRECT(BF$1&amp;BF$3&amp;$A636))</f>
        <v>33182</v>
      </c>
      <c r="BG636" s="875">
        <f t="shared" ca="1" si="1290"/>
        <v>-5582</v>
      </c>
      <c r="BH636" s="926">
        <f t="shared" ca="1" si="1291"/>
        <v>0.83177626423964801</v>
      </c>
    </row>
    <row r="637" spans="1:60" ht="14.5">
      <c r="A637" s="990">
        <f t="shared" si="1228"/>
        <v>572</v>
      </c>
      <c r="B637" s="990">
        <v>1</v>
      </c>
      <c r="C637" s="990">
        <f t="shared" si="1189"/>
        <v>634</v>
      </c>
      <c r="E637" s="1243">
        <v>1</v>
      </c>
      <c r="I637" s="445"/>
      <c r="J637" s="446"/>
      <c r="K637" s="74"/>
      <c r="L637" s="74"/>
      <c r="M637" s="75"/>
      <c r="N637" s="75" t="s">
        <v>300</v>
      </c>
      <c r="O637" s="75"/>
      <c r="P637" s="75"/>
      <c r="Q637" s="1845" t="str">
        <f>CHOOSE(2, "6722000003556", "S/GP (3) Net Sales Direct HW &amp; Solution MGI")</f>
        <v>S/GP (3) Net Sales Direct HW &amp; Solution MGI</v>
      </c>
      <c r="R637" s="2036">
        <v>9502</v>
      </c>
      <c r="S637" s="2036">
        <v>252</v>
      </c>
      <c r="T637" s="2036">
        <v>9752</v>
      </c>
      <c r="U637" s="2036">
        <v>252</v>
      </c>
      <c r="V637" s="2036">
        <v>9600</v>
      </c>
      <c r="W637" s="2036">
        <v>10756</v>
      </c>
      <c r="X637" s="2036">
        <v>378</v>
      </c>
      <c r="Y637" s="2036">
        <v>9900</v>
      </c>
      <c r="Z637" s="2036">
        <v>0</v>
      </c>
      <c r="AA637" s="2036">
        <v>9752</v>
      </c>
      <c r="AB637" s="2036">
        <v>0</v>
      </c>
      <c r="AC637" s="2036">
        <v>9600</v>
      </c>
      <c r="AD637" s="100">
        <f t="shared" si="1296"/>
        <v>19506</v>
      </c>
      <c r="AE637" s="19">
        <f t="shared" si="1297"/>
        <v>20608</v>
      </c>
      <c r="AF637" s="19">
        <f t="shared" si="1298"/>
        <v>10278</v>
      </c>
      <c r="AG637" s="19">
        <f t="shared" si="1299"/>
        <v>19352</v>
      </c>
      <c r="AH637" s="19">
        <f t="shared" si="1300"/>
        <v>40114</v>
      </c>
      <c r="AI637" s="19">
        <f t="shared" si="1301"/>
        <v>29630</v>
      </c>
      <c r="AJ637" s="19">
        <f t="shared" si="1302"/>
        <v>69744</v>
      </c>
      <c r="AL637" s="19">
        <f ca="1">SUM((INDIRECT(AL$2&amp;(ROW())):INDIRECT(AL$3&amp;(ROW()))))</f>
        <v>9600</v>
      </c>
      <c r="AM637" s="19">
        <f ca="1">SUM(INDIRECT(AM$1&amp;AM$2&amp;$C637):INDIRECT(AM$1&amp;AM$3&amp;$C637))</f>
        <v>0</v>
      </c>
      <c r="AN637" s="875">
        <f t="shared" ca="1" si="1280"/>
        <v>9600</v>
      </c>
      <c r="AO637" s="926">
        <f t="shared" ca="1" si="1281"/>
        <v>0</v>
      </c>
      <c r="AP637" s="19">
        <f ca="1">SUM(INDIRECT(AP$1&amp;AP$2&amp;$A637):INDIRECT(AP$1&amp;AP$3&amp;$A637))</f>
        <v>9602</v>
      </c>
      <c r="AQ637" s="875">
        <f t="shared" ca="1" si="1282"/>
        <v>-2</v>
      </c>
      <c r="AR637" s="926">
        <f t="shared" ca="1" si="1283"/>
        <v>0.99979171006040413</v>
      </c>
      <c r="AT637" s="19">
        <f ca="1">SUM((INDIRECT(AT$2&amp;(ROW())):INDIRECT(AT$3&amp;(ROW()))))</f>
        <v>19352</v>
      </c>
      <c r="AU637" s="19">
        <f ca="1">SUM(INDIRECT(AU$1&amp;AU$2&amp;$C637):INDIRECT(AU$1&amp;AU$3&amp;$C637))</f>
        <v>0</v>
      </c>
      <c r="AV637" s="875">
        <f t="shared" ca="1" si="1284"/>
        <v>19352</v>
      </c>
      <c r="AW637" s="926">
        <f t="shared" ca="1" si="1285"/>
        <v>0</v>
      </c>
      <c r="AX637" s="19">
        <f ca="1">SUM(INDIRECT(AX$1&amp;AX$2&amp;$A637):INDIRECT(AX$1&amp;AX$3&amp;$A637))</f>
        <v>60824</v>
      </c>
      <c r="AY637" s="875">
        <f t="shared" ca="1" si="1286"/>
        <v>-41472</v>
      </c>
      <c r="AZ637" s="926">
        <f t="shared" ca="1" si="1287"/>
        <v>0.31816388267789031</v>
      </c>
      <c r="BB637" s="19">
        <f ca="1">SUM((INDIRECT(BB$2&amp;(ROW())):INDIRECT(BB$3&amp;(ROW()))))</f>
        <v>69744</v>
      </c>
      <c r="BC637" s="19">
        <f ca="1">SUM(INDIRECT(BC$1&amp;BC$2&amp;$C637):INDIRECT(BC$1&amp;BC$3&amp;$C637))</f>
        <v>0</v>
      </c>
      <c r="BD637" s="875">
        <f t="shared" ca="1" si="1288"/>
        <v>69744</v>
      </c>
      <c r="BE637" s="926">
        <f t="shared" ca="1" si="1289"/>
        <v>0</v>
      </c>
      <c r="BF637" s="19">
        <f ca="1">SUM(INDIRECT(BF$1&amp;BF$2&amp;$A637):INDIRECT(BF$1&amp;BF$3&amp;$A637))</f>
        <v>155006</v>
      </c>
      <c r="BG637" s="875">
        <f t="shared" ca="1" si="1290"/>
        <v>-85262</v>
      </c>
      <c r="BH637" s="926">
        <f t="shared" ca="1" si="1291"/>
        <v>0.44994387314039458</v>
      </c>
    </row>
    <row r="638" spans="1:60" ht="14.5">
      <c r="A638" s="990">
        <f t="shared" si="1228"/>
        <v>573</v>
      </c>
      <c r="B638" s="990">
        <v>1</v>
      </c>
      <c r="C638" s="990">
        <f t="shared" si="1189"/>
        <v>635</v>
      </c>
      <c r="E638" s="1243">
        <v>1</v>
      </c>
      <c r="I638" s="445"/>
      <c r="J638" s="446"/>
      <c r="K638" s="74"/>
      <c r="L638" s="74"/>
      <c r="M638" s="75"/>
      <c r="N638" s="75" t="s">
        <v>301</v>
      </c>
      <c r="O638" s="75"/>
      <c r="P638" s="75"/>
      <c r="Q638" s="1845" t="str">
        <f>CHOOSE(2, "6722000003557", "S/GP (3) Net Sales Direct HW &amp; Solution EFI/LF")</f>
        <v>S/GP (3) Net Sales Direct HW &amp; Solution EFI/LF</v>
      </c>
      <c r="R638" s="2036">
        <v>0</v>
      </c>
      <c r="S638" s="2036">
        <v>0</v>
      </c>
      <c r="T638" s="2036">
        <v>0</v>
      </c>
      <c r="U638" s="2036">
        <v>0</v>
      </c>
      <c r="V638" s="2036">
        <v>0</v>
      </c>
      <c r="W638" s="2036">
        <v>0</v>
      </c>
      <c r="X638" s="2036">
        <v>0</v>
      </c>
      <c r="Y638" s="2036">
        <v>0</v>
      </c>
      <c r="Z638" s="2036">
        <v>0</v>
      </c>
      <c r="AA638" s="2036">
        <v>0</v>
      </c>
      <c r="AB638" s="2036">
        <v>0</v>
      </c>
      <c r="AC638" s="2036">
        <v>0</v>
      </c>
      <c r="AD638" s="100">
        <f t="shared" si="1296"/>
        <v>0</v>
      </c>
      <c r="AE638" s="19">
        <f t="shared" si="1297"/>
        <v>0</v>
      </c>
      <c r="AF638" s="19">
        <f t="shared" si="1298"/>
        <v>0</v>
      </c>
      <c r="AG638" s="19">
        <f t="shared" si="1299"/>
        <v>0</v>
      </c>
      <c r="AH638" s="19">
        <f t="shared" si="1300"/>
        <v>0</v>
      </c>
      <c r="AI638" s="19">
        <f t="shared" si="1301"/>
        <v>0</v>
      </c>
      <c r="AJ638" s="19">
        <f t="shared" si="1302"/>
        <v>0</v>
      </c>
      <c r="AL638" s="19">
        <f ca="1">SUM((INDIRECT(AL$2&amp;(ROW())):INDIRECT(AL$3&amp;(ROW()))))</f>
        <v>0</v>
      </c>
      <c r="AM638" s="19">
        <f ca="1">SUM(INDIRECT(AM$1&amp;AM$2&amp;$C638):INDIRECT(AM$1&amp;AM$3&amp;$C638))</f>
        <v>0</v>
      </c>
      <c r="AN638" s="875">
        <f t="shared" ca="1" si="1280"/>
        <v>0</v>
      </c>
      <c r="AO638" s="926">
        <f t="shared" ca="1" si="1281"/>
        <v>0</v>
      </c>
      <c r="AP638" s="19">
        <f ca="1">SUM(INDIRECT(AP$1&amp;AP$2&amp;$A638):INDIRECT(AP$1&amp;AP$3&amp;$A638))</f>
        <v>0</v>
      </c>
      <c r="AQ638" s="875">
        <f t="shared" ca="1" si="1282"/>
        <v>0</v>
      </c>
      <c r="AR638" s="926">
        <f t="shared" ca="1" si="1283"/>
        <v>0</v>
      </c>
      <c r="AT638" s="19">
        <f ca="1">SUM((INDIRECT(AT$2&amp;(ROW())):INDIRECT(AT$3&amp;(ROW()))))</f>
        <v>0</v>
      </c>
      <c r="AU638" s="19">
        <f ca="1">SUM(INDIRECT(AU$1&amp;AU$2&amp;$C638):INDIRECT(AU$1&amp;AU$3&amp;$C638))</f>
        <v>0</v>
      </c>
      <c r="AV638" s="875">
        <f t="shared" ca="1" si="1284"/>
        <v>0</v>
      </c>
      <c r="AW638" s="926">
        <f t="shared" ca="1" si="1285"/>
        <v>0</v>
      </c>
      <c r="AX638" s="19">
        <f ca="1">SUM(INDIRECT(AX$1&amp;AX$2&amp;$A638):INDIRECT(AX$1&amp;AX$3&amp;$A638))</f>
        <v>0</v>
      </c>
      <c r="AY638" s="875">
        <f t="shared" ca="1" si="1286"/>
        <v>0</v>
      </c>
      <c r="AZ638" s="926">
        <f t="shared" ca="1" si="1287"/>
        <v>0</v>
      </c>
      <c r="BB638" s="19">
        <f ca="1">SUM((INDIRECT(BB$2&amp;(ROW())):INDIRECT(BB$3&amp;(ROW()))))</f>
        <v>0</v>
      </c>
      <c r="BC638" s="19">
        <f ca="1">SUM(INDIRECT(BC$1&amp;BC$2&amp;$C638):INDIRECT(BC$1&amp;BC$3&amp;$C638))</f>
        <v>0</v>
      </c>
      <c r="BD638" s="875">
        <f t="shared" ca="1" si="1288"/>
        <v>0</v>
      </c>
      <c r="BE638" s="926">
        <f t="shared" ca="1" si="1289"/>
        <v>0</v>
      </c>
      <c r="BF638" s="19">
        <f ca="1">SUM(INDIRECT(BF$1&amp;BF$2&amp;$A638):INDIRECT(BF$1&amp;BF$3&amp;$A638))</f>
        <v>0</v>
      </c>
      <c r="BG638" s="875">
        <f t="shared" ca="1" si="1290"/>
        <v>0</v>
      </c>
      <c r="BH638" s="926">
        <f t="shared" ca="1" si="1291"/>
        <v>0</v>
      </c>
    </row>
    <row r="639" spans="1:60" ht="14.5">
      <c r="A639" s="990">
        <f t="shared" si="1228"/>
        <v>574</v>
      </c>
      <c r="B639" s="990">
        <v>1</v>
      </c>
      <c r="C639" s="990">
        <f t="shared" si="1189"/>
        <v>636</v>
      </c>
      <c r="E639" s="1243">
        <v>1</v>
      </c>
      <c r="I639" s="445"/>
      <c r="J639" s="446"/>
      <c r="K639" s="74"/>
      <c r="L639" s="74"/>
      <c r="M639" s="75"/>
      <c r="N639" s="75" t="s">
        <v>292</v>
      </c>
      <c r="O639" s="75"/>
      <c r="P639" s="75"/>
      <c r="Q639" s="1845" t="str">
        <f>CHOOSE(2, "6722000003558", "S/GP (3) Net Sales Direct HW &amp; Solution Textile Printer")</f>
        <v>S/GP (3) Net Sales Direct HW &amp; Solution Textile Printer</v>
      </c>
      <c r="R639" s="2036">
        <v>0</v>
      </c>
      <c r="S639" s="2036">
        <v>0</v>
      </c>
      <c r="T639" s="2036">
        <v>0</v>
      </c>
      <c r="U639" s="2036">
        <v>0</v>
      </c>
      <c r="V639" s="2036">
        <v>0</v>
      </c>
      <c r="W639" s="2036">
        <v>0</v>
      </c>
      <c r="X639" s="2036">
        <v>0</v>
      </c>
      <c r="Y639" s="2036">
        <v>0</v>
      </c>
      <c r="Z639" s="2036">
        <v>0</v>
      </c>
      <c r="AA639" s="2036">
        <v>0</v>
      </c>
      <c r="AB639" s="2036">
        <v>0</v>
      </c>
      <c r="AC639" s="2036">
        <v>0</v>
      </c>
      <c r="AD639" s="100">
        <f t="shared" si="1296"/>
        <v>0</v>
      </c>
      <c r="AE639" s="19">
        <f t="shared" si="1297"/>
        <v>0</v>
      </c>
      <c r="AF639" s="19">
        <f t="shared" si="1298"/>
        <v>0</v>
      </c>
      <c r="AG639" s="19">
        <f t="shared" si="1299"/>
        <v>0</v>
      </c>
      <c r="AH639" s="19">
        <f t="shared" si="1300"/>
        <v>0</v>
      </c>
      <c r="AI639" s="19">
        <f t="shared" si="1301"/>
        <v>0</v>
      </c>
      <c r="AJ639" s="19">
        <f t="shared" si="1302"/>
        <v>0</v>
      </c>
      <c r="AL639" s="19">
        <f ca="1">SUM((INDIRECT(AL$2&amp;(ROW())):INDIRECT(AL$3&amp;(ROW()))))</f>
        <v>0</v>
      </c>
      <c r="AM639" s="19">
        <f ca="1">SUM(INDIRECT(AM$1&amp;AM$2&amp;$C639):INDIRECT(AM$1&amp;AM$3&amp;$C639))</f>
        <v>0</v>
      </c>
      <c r="AN639" s="875">
        <f t="shared" ca="1" si="1280"/>
        <v>0</v>
      </c>
      <c r="AO639" s="926">
        <f t="shared" ca="1" si="1281"/>
        <v>0</v>
      </c>
      <c r="AP639" s="19">
        <f ca="1">SUM(INDIRECT(AP$1&amp;AP$2&amp;$A639):INDIRECT(AP$1&amp;AP$3&amp;$A639))</f>
        <v>0</v>
      </c>
      <c r="AQ639" s="875">
        <f t="shared" ca="1" si="1282"/>
        <v>0</v>
      </c>
      <c r="AR639" s="926">
        <f t="shared" ca="1" si="1283"/>
        <v>0</v>
      </c>
      <c r="AT639" s="19">
        <f ca="1">SUM((INDIRECT(AT$2&amp;(ROW())):INDIRECT(AT$3&amp;(ROW()))))</f>
        <v>0</v>
      </c>
      <c r="AU639" s="19">
        <f ca="1">SUM(INDIRECT(AU$1&amp;AU$2&amp;$C639):INDIRECT(AU$1&amp;AU$3&amp;$C639))</f>
        <v>0</v>
      </c>
      <c r="AV639" s="875">
        <f t="shared" ca="1" si="1284"/>
        <v>0</v>
      </c>
      <c r="AW639" s="926">
        <f t="shared" ca="1" si="1285"/>
        <v>0</v>
      </c>
      <c r="AX639" s="19">
        <f ca="1">SUM(INDIRECT(AX$1&amp;AX$2&amp;$A639):INDIRECT(AX$1&amp;AX$3&amp;$A639))</f>
        <v>0</v>
      </c>
      <c r="AY639" s="875">
        <f t="shared" ca="1" si="1286"/>
        <v>0</v>
      </c>
      <c r="AZ639" s="926">
        <f t="shared" ca="1" si="1287"/>
        <v>0</v>
      </c>
      <c r="BB639" s="19">
        <f ca="1">SUM((INDIRECT(BB$2&amp;(ROW())):INDIRECT(BB$3&amp;(ROW()))))</f>
        <v>0</v>
      </c>
      <c r="BC639" s="19">
        <f ca="1">SUM(INDIRECT(BC$1&amp;BC$2&amp;$C639):INDIRECT(BC$1&amp;BC$3&amp;$C639))</f>
        <v>0</v>
      </c>
      <c r="BD639" s="875">
        <f t="shared" ca="1" si="1288"/>
        <v>0</v>
      </c>
      <c r="BE639" s="926">
        <f t="shared" ca="1" si="1289"/>
        <v>0</v>
      </c>
      <c r="BF639" s="19">
        <f ca="1">SUM(INDIRECT(BF$1&amp;BF$2&amp;$A639):INDIRECT(BF$1&amp;BF$3&amp;$A639))</f>
        <v>0</v>
      </c>
      <c r="BG639" s="875">
        <f t="shared" ca="1" si="1290"/>
        <v>0</v>
      </c>
      <c r="BH639" s="926">
        <f t="shared" ca="1" si="1291"/>
        <v>0</v>
      </c>
    </row>
    <row r="640" spans="1:60" ht="14.5">
      <c r="A640" s="990">
        <f t="shared" si="1228"/>
        <v>575</v>
      </c>
      <c r="B640" s="990">
        <v>1</v>
      </c>
      <c r="C640" s="990">
        <f t="shared" si="1189"/>
        <v>637</v>
      </c>
      <c r="E640" s="1243">
        <v>1</v>
      </c>
      <c r="I640" s="445"/>
      <c r="J640" s="446"/>
      <c r="K640" s="74"/>
      <c r="L640" s="74"/>
      <c r="M640" s="276"/>
      <c r="N640" s="276" t="s">
        <v>131</v>
      </c>
      <c r="O640" s="276"/>
      <c r="P640" s="276"/>
      <c r="Q640" s="1845" t="str">
        <f>CHOOSE(2, "6722000003559", "S/GP (3) Net Sales Direct HW &amp; Solution Others")</f>
        <v>S/GP (3) Net Sales Direct HW &amp; Solution Others</v>
      </c>
      <c r="R640" s="2037">
        <v>0</v>
      </c>
      <c r="S640" s="2037">
        <v>0</v>
      </c>
      <c r="T640" s="2037">
        <v>0</v>
      </c>
      <c r="U640" s="2037">
        <v>0</v>
      </c>
      <c r="V640" s="2037">
        <v>0</v>
      </c>
      <c r="W640" s="2037">
        <v>0</v>
      </c>
      <c r="X640" s="2037">
        <v>0</v>
      </c>
      <c r="Y640" s="2037">
        <v>0</v>
      </c>
      <c r="Z640" s="2037">
        <v>0</v>
      </c>
      <c r="AA640" s="2037">
        <v>0</v>
      </c>
      <c r="AB640" s="2037">
        <v>0</v>
      </c>
      <c r="AC640" s="2037">
        <v>0</v>
      </c>
      <c r="AD640" s="99">
        <f t="shared" si="1296"/>
        <v>0</v>
      </c>
      <c r="AE640" s="17">
        <f t="shared" si="1297"/>
        <v>0</v>
      </c>
      <c r="AF640" s="17">
        <f t="shared" si="1298"/>
        <v>0</v>
      </c>
      <c r="AG640" s="17">
        <f t="shared" si="1299"/>
        <v>0</v>
      </c>
      <c r="AH640" s="17">
        <f t="shared" si="1300"/>
        <v>0</v>
      </c>
      <c r="AI640" s="17">
        <f t="shared" si="1301"/>
        <v>0</v>
      </c>
      <c r="AJ640" s="17">
        <f t="shared" si="1302"/>
        <v>0</v>
      </c>
      <c r="AL640" s="17">
        <f ca="1">SUM((INDIRECT(AL$2&amp;(ROW())):INDIRECT(AL$3&amp;(ROW()))))</f>
        <v>0</v>
      </c>
      <c r="AM640" s="17">
        <f ca="1">SUM(INDIRECT(AM$1&amp;AM$2&amp;$C640):INDIRECT(AM$1&amp;AM$3&amp;$C640))</f>
        <v>0</v>
      </c>
      <c r="AN640" s="876">
        <f t="shared" ca="1" si="1280"/>
        <v>0</v>
      </c>
      <c r="AO640" s="927">
        <f t="shared" ca="1" si="1281"/>
        <v>0</v>
      </c>
      <c r="AP640" s="17">
        <f ca="1">SUM(INDIRECT(AP$1&amp;AP$2&amp;$A640):INDIRECT(AP$1&amp;AP$3&amp;$A640))</f>
        <v>0</v>
      </c>
      <c r="AQ640" s="876">
        <f t="shared" ca="1" si="1282"/>
        <v>0</v>
      </c>
      <c r="AR640" s="927">
        <f t="shared" ca="1" si="1283"/>
        <v>0</v>
      </c>
      <c r="AT640" s="17">
        <f ca="1">SUM((INDIRECT(AT$2&amp;(ROW())):INDIRECT(AT$3&amp;(ROW()))))</f>
        <v>0</v>
      </c>
      <c r="AU640" s="17">
        <f ca="1">SUM(INDIRECT(AU$1&amp;AU$2&amp;$C640):INDIRECT(AU$1&amp;AU$3&amp;$C640))</f>
        <v>0</v>
      </c>
      <c r="AV640" s="876">
        <f t="shared" ca="1" si="1284"/>
        <v>0</v>
      </c>
      <c r="AW640" s="927">
        <f t="shared" ca="1" si="1285"/>
        <v>0</v>
      </c>
      <c r="AX640" s="17">
        <f ca="1">SUM(INDIRECT(AX$1&amp;AX$2&amp;$A640):INDIRECT(AX$1&amp;AX$3&amp;$A640))</f>
        <v>0</v>
      </c>
      <c r="AY640" s="876">
        <f t="shared" ca="1" si="1286"/>
        <v>0</v>
      </c>
      <c r="AZ640" s="927">
        <f t="shared" ca="1" si="1287"/>
        <v>0</v>
      </c>
      <c r="BB640" s="17">
        <f ca="1">SUM((INDIRECT(BB$2&amp;(ROW())):INDIRECT(BB$3&amp;(ROW()))))</f>
        <v>0</v>
      </c>
      <c r="BC640" s="17">
        <f ca="1">SUM(INDIRECT(BC$1&amp;BC$2&amp;$C640):INDIRECT(BC$1&amp;BC$3&amp;$C640))</f>
        <v>0</v>
      </c>
      <c r="BD640" s="876">
        <f t="shared" ca="1" si="1288"/>
        <v>0</v>
      </c>
      <c r="BE640" s="927">
        <f t="shared" ca="1" si="1289"/>
        <v>0</v>
      </c>
      <c r="BF640" s="17">
        <f ca="1">SUM(INDIRECT(BF$1&amp;BF$2&amp;$A640):INDIRECT(BF$1&amp;BF$3&amp;$A640))</f>
        <v>0</v>
      </c>
      <c r="BG640" s="876">
        <f t="shared" ca="1" si="1290"/>
        <v>0</v>
      </c>
      <c r="BH640" s="927">
        <f t="shared" ca="1" si="1291"/>
        <v>0</v>
      </c>
    </row>
    <row r="641" spans="1:60" ht="14.5">
      <c r="A641" s="990">
        <f t="shared" si="1228"/>
        <v>576</v>
      </c>
      <c r="B641" s="990">
        <v>1</v>
      </c>
      <c r="C641" s="990">
        <f t="shared" si="1189"/>
        <v>638</v>
      </c>
      <c r="E641" s="1243">
        <v>1</v>
      </c>
      <c r="I641" s="445"/>
      <c r="J641" s="446"/>
      <c r="K641" s="74"/>
      <c r="L641" s="74"/>
      <c r="M641" s="75" t="s">
        <v>306</v>
      </c>
      <c r="N641" s="391"/>
      <c r="O641" s="391"/>
      <c r="P641" s="391"/>
      <c r="Q641" s="1843" t="str">
        <f>CHOOSE(2, "6722000003560", "S/GP (3) Net Sales Direct NH")</f>
        <v>S/GP (3) Net Sales Direct NH</v>
      </c>
      <c r="R641" s="365">
        <f t="shared" ref="R641:AC641" si="1303">SUM(R642:R647)</f>
        <v>5806</v>
      </c>
      <c r="S641" s="365">
        <f t="shared" si="1303"/>
        <v>5743</v>
      </c>
      <c r="T641" s="365">
        <f t="shared" si="1303"/>
        <v>6416</v>
      </c>
      <c r="U641" s="365">
        <f t="shared" si="1303"/>
        <v>7206</v>
      </c>
      <c r="V641" s="365">
        <f t="shared" si="1303"/>
        <v>7848.1489999999994</v>
      </c>
      <c r="W641" s="365">
        <f t="shared" si="1303"/>
        <v>8306</v>
      </c>
      <c r="X641" s="365">
        <f t="shared" si="1303"/>
        <v>6984</v>
      </c>
      <c r="Y641" s="365">
        <f t="shared" si="1303"/>
        <v>7123</v>
      </c>
      <c r="Z641" s="365">
        <f t="shared" si="1303"/>
        <v>7585</v>
      </c>
      <c r="AA641" s="365">
        <f t="shared" si="1303"/>
        <v>7298</v>
      </c>
      <c r="AB641" s="365">
        <f t="shared" si="1303"/>
        <v>8583.2560000000012</v>
      </c>
      <c r="AC641" s="365">
        <f t="shared" si="1303"/>
        <v>8662</v>
      </c>
      <c r="AD641" s="408">
        <f t="shared" ref="AD641:AJ641" si="1304">SUM(AD642:AD647)</f>
        <v>17965</v>
      </c>
      <c r="AE641" s="365">
        <f t="shared" si="1304"/>
        <v>23360.149000000001</v>
      </c>
      <c r="AF641" s="365">
        <f t="shared" si="1304"/>
        <v>21692</v>
      </c>
      <c r="AG641" s="365">
        <f t="shared" si="1304"/>
        <v>24543.256000000001</v>
      </c>
      <c r="AH641" s="365">
        <f t="shared" si="1304"/>
        <v>41325.149000000005</v>
      </c>
      <c r="AI641" s="365">
        <f t="shared" si="1304"/>
        <v>46235.256000000001</v>
      </c>
      <c r="AJ641" s="365">
        <f t="shared" si="1304"/>
        <v>87560.404999999999</v>
      </c>
      <c r="AL641" s="365">
        <f ca="1">SUM((INDIRECT(AL$2&amp;(ROW())):INDIRECT(AL$3&amp;(ROW()))))</f>
        <v>8662</v>
      </c>
      <c r="AM641" s="365">
        <f ca="1">SUM(INDIRECT(AM$1&amp;AM$2&amp;$C641):INDIRECT(AM$1&amp;AM$3&amp;$C641))</f>
        <v>0</v>
      </c>
      <c r="AN641" s="891">
        <f t="shared" ca="1" si="1280"/>
        <v>8662</v>
      </c>
      <c r="AO641" s="952">
        <f t="shared" ca="1" si="1281"/>
        <v>0</v>
      </c>
      <c r="AP641" s="365">
        <f ca="1">SUM(INDIRECT(AP$1&amp;AP$2&amp;$A641):INDIRECT(AP$1&amp;AP$3&amp;$A641))</f>
        <v>5148</v>
      </c>
      <c r="AQ641" s="891">
        <f t="shared" ca="1" si="1282"/>
        <v>3514</v>
      </c>
      <c r="AR641" s="952">
        <f t="shared" ca="1" si="1283"/>
        <v>1.6825951825951826</v>
      </c>
      <c r="AT641" s="365">
        <f ca="1">SUM((INDIRECT(AT$2&amp;(ROW())):INDIRECT(AT$3&amp;(ROW()))))</f>
        <v>24543.256000000001</v>
      </c>
      <c r="AU641" s="365">
        <f ca="1">SUM(INDIRECT(AU$1&amp;AU$2&amp;$C641):INDIRECT(AU$1&amp;AU$3&amp;$C641))</f>
        <v>0</v>
      </c>
      <c r="AV641" s="891">
        <f t="shared" ca="1" si="1284"/>
        <v>24543.256000000001</v>
      </c>
      <c r="AW641" s="952">
        <f t="shared" ca="1" si="1285"/>
        <v>0</v>
      </c>
      <c r="AX641" s="365">
        <f ca="1">SUM(INDIRECT(AX$1&amp;AX$2&amp;$A641):INDIRECT(AX$1&amp;AX$3&amp;$A641))</f>
        <v>17924</v>
      </c>
      <c r="AY641" s="891">
        <f t="shared" ca="1" si="1286"/>
        <v>6619.2560000000012</v>
      </c>
      <c r="AZ641" s="952">
        <f t="shared" ca="1" si="1287"/>
        <v>1.3692956929256863</v>
      </c>
      <c r="BB641" s="365">
        <f ca="1">SUM((INDIRECT(BB$2&amp;(ROW())):INDIRECT(BB$3&amp;(ROW()))))</f>
        <v>87560.404999999999</v>
      </c>
      <c r="BC641" s="365">
        <f ca="1">SUM(INDIRECT(BC$1&amp;BC$2&amp;$C641):INDIRECT(BC$1&amp;BC$3&amp;$C641))</f>
        <v>0</v>
      </c>
      <c r="BD641" s="891">
        <f t="shared" ca="1" si="1288"/>
        <v>87560.404999999999</v>
      </c>
      <c r="BE641" s="952">
        <f t="shared" ca="1" si="1289"/>
        <v>0</v>
      </c>
      <c r="BF641" s="365">
        <f ca="1">SUM(INDIRECT(BF$1&amp;BF$2&amp;$A641):INDIRECT(BF$1&amp;BF$3&amp;$A641))</f>
        <v>53512</v>
      </c>
      <c r="BG641" s="891">
        <f t="shared" ca="1" si="1290"/>
        <v>34048.404999999999</v>
      </c>
      <c r="BH641" s="952">
        <f t="shared" ca="1" si="1291"/>
        <v>1.6362760689191209</v>
      </c>
    </row>
    <row r="642" spans="1:60" ht="14.5">
      <c r="A642" s="990">
        <f t="shared" si="1228"/>
        <v>577</v>
      </c>
      <c r="B642" s="990">
        <v>1</v>
      </c>
      <c r="C642" s="990">
        <f t="shared" ref="C642:C705" si="1305">ROW()-3</f>
        <v>639</v>
      </c>
      <c r="E642" s="1243">
        <v>1</v>
      </c>
      <c r="I642" s="445"/>
      <c r="J642" s="446"/>
      <c r="K642" s="74"/>
      <c r="L642" s="74"/>
      <c r="M642" s="75"/>
      <c r="N642" s="1246" t="s">
        <v>1258</v>
      </c>
      <c r="O642" s="377"/>
      <c r="P642" s="377"/>
      <c r="Q642" s="1845" t="str">
        <f>CHOOSE(2, "6722000003561", "S/GP (3) Net Sales Direct NH KM-1/KM-1e")</f>
        <v>S/GP (3) Net Sales Direct NH KM-1/KM-1e</v>
      </c>
      <c r="R642" s="2042">
        <v>938</v>
      </c>
      <c r="S642" s="2042">
        <v>271</v>
      </c>
      <c r="T642" s="2042">
        <v>1097</v>
      </c>
      <c r="U642" s="2042">
        <v>879</v>
      </c>
      <c r="V642" s="2042">
        <v>259.19</v>
      </c>
      <c r="W642" s="2042">
        <v>401</v>
      </c>
      <c r="X642" s="2042">
        <v>1327</v>
      </c>
      <c r="Y642" s="2042">
        <v>805</v>
      </c>
      <c r="Z642" s="2042">
        <v>407</v>
      </c>
      <c r="AA642" s="2042">
        <v>-1065</v>
      </c>
      <c r="AB642" s="2042">
        <v>1953.2560000000001</v>
      </c>
      <c r="AC642" s="2042">
        <v>-546</v>
      </c>
      <c r="AD642" s="376">
        <f t="shared" ref="AD642:AD647" si="1306">SUM(R642,S642,T642)</f>
        <v>2306</v>
      </c>
      <c r="AE642" s="109">
        <f t="shared" ref="AE642:AE647" si="1307">SUM(U642,V642,W642)</f>
        <v>1539.19</v>
      </c>
      <c r="AF642" s="109">
        <f t="shared" ref="AF642:AF647" si="1308">SUM(X642,Y642,Z642)</f>
        <v>2539</v>
      </c>
      <c r="AG642" s="109">
        <f t="shared" ref="AG642:AG647" si="1309">SUM(AA642,AB642,AC642)</f>
        <v>342.25600000000009</v>
      </c>
      <c r="AH642" s="109">
        <f t="shared" ref="AH642:AH647" si="1310">AD642+AE642</f>
        <v>3845.19</v>
      </c>
      <c r="AI642" s="109">
        <f t="shared" ref="AI642:AI647" si="1311">AG642+AF642</f>
        <v>2881.2560000000003</v>
      </c>
      <c r="AJ642" s="109">
        <f t="shared" ref="AJ642:AJ647" si="1312">AH642+AI642</f>
        <v>6726.4459999999999</v>
      </c>
      <c r="AL642" s="109">
        <f ca="1">SUM((INDIRECT(AL$2&amp;(ROW())):INDIRECT(AL$3&amp;(ROW()))))</f>
        <v>-546</v>
      </c>
      <c r="AM642" s="109">
        <f ca="1">SUM(INDIRECT(AM$1&amp;AM$2&amp;$C642):INDIRECT(AM$1&amp;AM$3&amp;$C642))</f>
        <v>0</v>
      </c>
      <c r="AN642" s="892">
        <f t="shared" ca="1" si="1280"/>
        <v>-546</v>
      </c>
      <c r="AO642" s="953">
        <f t="shared" ca="1" si="1281"/>
        <v>0</v>
      </c>
      <c r="AP642" s="109">
        <f ca="1">SUM(INDIRECT(AP$1&amp;AP$2&amp;$A642):INDIRECT(AP$1&amp;AP$3&amp;$A642))</f>
        <v>522</v>
      </c>
      <c r="AQ642" s="892">
        <f t="shared" ca="1" si="1282"/>
        <v>-1068</v>
      </c>
      <c r="AR642" s="953">
        <f t="shared" ca="1" si="1283"/>
        <v>-1.0459770114942528</v>
      </c>
      <c r="AT642" s="109">
        <f ca="1">SUM((INDIRECT(AT$2&amp;(ROW())):INDIRECT(AT$3&amp;(ROW()))))</f>
        <v>342.25600000000009</v>
      </c>
      <c r="AU642" s="109">
        <f ca="1">SUM(INDIRECT(AU$1&amp;AU$2&amp;$C642):INDIRECT(AU$1&amp;AU$3&amp;$C642))</f>
        <v>0</v>
      </c>
      <c r="AV642" s="892">
        <f t="shared" ca="1" si="1284"/>
        <v>342.25600000000009</v>
      </c>
      <c r="AW642" s="953">
        <f t="shared" ca="1" si="1285"/>
        <v>0</v>
      </c>
      <c r="AX642" s="109">
        <f ca="1">SUM(INDIRECT(AX$1&amp;AX$2&amp;$A642):INDIRECT(AX$1&amp;AX$3&amp;$A642))</f>
        <v>2583</v>
      </c>
      <c r="AY642" s="892">
        <f t="shared" ca="1" si="1286"/>
        <v>-2240.7439999999997</v>
      </c>
      <c r="AZ642" s="953">
        <f t="shared" ca="1" si="1287"/>
        <v>0.13250329074719322</v>
      </c>
      <c r="BB642" s="109">
        <f ca="1">SUM((INDIRECT(BB$2&amp;(ROW())):INDIRECT(BB$3&amp;(ROW()))))</f>
        <v>6726.4460000000008</v>
      </c>
      <c r="BC642" s="109">
        <f ca="1">SUM(INDIRECT(BC$1&amp;BC$2&amp;$C642):INDIRECT(BC$1&amp;BC$3&amp;$C642))</f>
        <v>0</v>
      </c>
      <c r="BD642" s="892">
        <f t="shared" ca="1" si="1288"/>
        <v>6726.4460000000008</v>
      </c>
      <c r="BE642" s="953">
        <f t="shared" ca="1" si="1289"/>
        <v>0</v>
      </c>
      <c r="BF642" s="109">
        <f ca="1">SUM(INDIRECT(BF$1&amp;BF$2&amp;$A642):INDIRECT(BF$1&amp;BF$3&amp;$A642))</f>
        <v>4368</v>
      </c>
      <c r="BG642" s="892">
        <f t="shared" ca="1" si="1290"/>
        <v>2358.4460000000008</v>
      </c>
      <c r="BH642" s="953">
        <f t="shared" ca="1" si="1291"/>
        <v>1.5399372710622712</v>
      </c>
    </row>
    <row r="643" spans="1:60" ht="14.5">
      <c r="A643" s="990">
        <f t="shared" si="1228"/>
        <v>578</v>
      </c>
      <c r="B643" s="990">
        <v>1</v>
      </c>
      <c r="C643" s="990">
        <f t="shared" si="1305"/>
        <v>640</v>
      </c>
      <c r="E643" s="1243">
        <v>1</v>
      </c>
      <c r="I643" s="445"/>
      <c r="J643" s="446"/>
      <c r="K643" s="74"/>
      <c r="L643" s="74"/>
      <c r="M643" s="75"/>
      <c r="N643" s="75" t="s">
        <v>209</v>
      </c>
      <c r="O643" s="75"/>
      <c r="P643" s="75"/>
      <c r="Q643" s="1845" t="str">
        <f>CHOOSE(2, "6722000003562", "S/GP (3) Net Sales Direct NH Label Printer")</f>
        <v>S/GP (3) Net Sales Direct NH Label Printer</v>
      </c>
      <c r="R643" s="2036">
        <v>2340</v>
      </c>
      <c r="S643" s="2036">
        <v>2481</v>
      </c>
      <c r="T643" s="2036">
        <v>2137</v>
      </c>
      <c r="U643" s="2036">
        <v>2083</v>
      </c>
      <c r="V643" s="2036">
        <v>2426.0450000000001</v>
      </c>
      <c r="W643" s="2036">
        <v>1741</v>
      </c>
      <c r="X643" s="2036">
        <v>2546</v>
      </c>
      <c r="Y643" s="2036">
        <v>2350</v>
      </c>
      <c r="Z643" s="2036">
        <v>2756</v>
      </c>
      <c r="AA643" s="2036">
        <v>3950</v>
      </c>
      <c r="AB643" s="2036">
        <v>1537</v>
      </c>
      <c r="AC643" s="2036">
        <v>5110</v>
      </c>
      <c r="AD643" s="100">
        <f t="shared" si="1306"/>
        <v>6958</v>
      </c>
      <c r="AE643" s="19">
        <f t="shared" si="1307"/>
        <v>6250.0450000000001</v>
      </c>
      <c r="AF643" s="19">
        <f t="shared" si="1308"/>
        <v>7652</v>
      </c>
      <c r="AG643" s="19">
        <f t="shared" si="1309"/>
        <v>10597</v>
      </c>
      <c r="AH643" s="19">
        <f t="shared" si="1310"/>
        <v>13208.045</v>
      </c>
      <c r="AI643" s="19">
        <f t="shared" si="1311"/>
        <v>18249</v>
      </c>
      <c r="AJ643" s="19">
        <f t="shared" si="1312"/>
        <v>31457.044999999998</v>
      </c>
      <c r="AL643" s="19">
        <f ca="1">SUM((INDIRECT(AL$2&amp;(ROW())):INDIRECT(AL$3&amp;(ROW()))))</f>
        <v>5110</v>
      </c>
      <c r="AM643" s="19">
        <f ca="1">SUM(INDIRECT(AM$1&amp;AM$2&amp;$C643):INDIRECT(AM$1&amp;AM$3&amp;$C643))</f>
        <v>0</v>
      </c>
      <c r="AN643" s="875">
        <f t="shared" ca="1" si="1280"/>
        <v>5110</v>
      </c>
      <c r="AO643" s="926">
        <f t="shared" ca="1" si="1281"/>
        <v>0</v>
      </c>
      <c r="AP643" s="19">
        <f ca="1">SUM(INDIRECT(AP$1&amp;AP$2&amp;$A643):INDIRECT(AP$1&amp;AP$3&amp;$A643))</f>
        <v>2293</v>
      </c>
      <c r="AQ643" s="875">
        <f t="shared" ca="1" si="1282"/>
        <v>2817</v>
      </c>
      <c r="AR643" s="926">
        <f t="shared" ca="1" si="1283"/>
        <v>2.228521587440035</v>
      </c>
      <c r="AT643" s="19">
        <f ca="1">SUM((INDIRECT(AT$2&amp;(ROW())):INDIRECT(AT$3&amp;(ROW()))))</f>
        <v>10597</v>
      </c>
      <c r="AU643" s="19">
        <f ca="1">SUM(INDIRECT(AU$1&amp;AU$2&amp;$C643):INDIRECT(AU$1&amp;AU$3&amp;$C643))</f>
        <v>0</v>
      </c>
      <c r="AV643" s="875">
        <f t="shared" ca="1" si="1284"/>
        <v>10597</v>
      </c>
      <c r="AW643" s="926">
        <f t="shared" ca="1" si="1285"/>
        <v>0</v>
      </c>
      <c r="AX643" s="19">
        <f ca="1">SUM(INDIRECT(AX$1&amp;AX$2&amp;$A643):INDIRECT(AX$1&amp;AX$3&amp;$A643))</f>
        <v>7548</v>
      </c>
      <c r="AY643" s="875">
        <f t="shared" ca="1" si="1286"/>
        <v>3049</v>
      </c>
      <c r="AZ643" s="926">
        <f t="shared" ca="1" si="1287"/>
        <v>1.4039480657127716</v>
      </c>
      <c r="BB643" s="19">
        <f ca="1">SUM((INDIRECT(BB$2&amp;(ROW())):INDIRECT(BB$3&amp;(ROW()))))</f>
        <v>31457.044999999998</v>
      </c>
      <c r="BC643" s="19">
        <f ca="1">SUM(INDIRECT(BC$1&amp;BC$2&amp;$C643):INDIRECT(BC$1&amp;BC$3&amp;$C643))</f>
        <v>0</v>
      </c>
      <c r="BD643" s="875">
        <f t="shared" ca="1" si="1288"/>
        <v>31457.044999999998</v>
      </c>
      <c r="BE643" s="926">
        <f t="shared" ca="1" si="1289"/>
        <v>0</v>
      </c>
      <c r="BF643" s="19">
        <f ca="1">SUM(INDIRECT(BF$1&amp;BF$2&amp;$A643):INDIRECT(BF$1&amp;BF$3&amp;$A643))</f>
        <v>23213</v>
      </c>
      <c r="BG643" s="875">
        <f t="shared" ca="1" si="1290"/>
        <v>8244.0449999999983</v>
      </c>
      <c r="BH643" s="926">
        <f t="shared" ca="1" si="1291"/>
        <v>1.3551477620298971</v>
      </c>
    </row>
    <row r="644" spans="1:60" ht="14.5">
      <c r="A644" s="990">
        <f t="shared" si="1228"/>
        <v>579</v>
      </c>
      <c r="B644" s="990">
        <v>1</v>
      </c>
      <c r="C644" s="990">
        <f t="shared" si="1305"/>
        <v>641</v>
      </c>
      <c r="E644" s="1243">
        <v>1</v>
      </c>
      <c r="I644" s="445"/>
      <c r="J644" s="446"/>
      <c r="K644" s="74"/>
      <c r="L644" s="74"/>
      <c r="M644" s="75"/>
      <c r="N644" s="75" t="s">
        <v>300</v>
      </c>
      <c r="O644" s="75"/>
      <c r="P644" s="75"/>
      <c r="Q644" s="1845" t="str">
        <f>CHOOSE(2, "6722000003563", "S/GP (3) Net Sales Direct NH MGI")</f>
        <v>S/GP (3) Net Sales Direct NH MGI</v>
      </c>
      <c r="R644" s="2036">
        <v>2528</v>
      </c>
      <c r="S644" s="2036">
        <v>2991</v>
      </c>
      <c r="T644" s="2036">
        <v>3182</v>
      </c>
      <c r="U644" s="2036">
        <v>4244</v>
      </c>
      <c r="V644" s="2036">
        <v>5162.9139999999998</v>
      </c>
      <c r="W644" s="2036">
        <v>6164</v>
      </c>
      <c r="X644" s="2036">
        <v>3111</v>
      </c>
      <c r="Y644" s="2036">
        <v>3968</v>
      </c>
      <c r="Z644" s="2036">
        <v>4422</v>
      </c>
      <c r="AA644" s="2036">
        <v>4413</v>
      </c>
      <c r="AB644" s="2036">
        <v>5093</v>
      </c>
      <c r="AC644" s="2036">
        <v>4098</v>
      </c>
      <c r="AD644" s="100">
        <f t="shared" si="1306"/>
        <v>8701</v>
      </c>
      <c r="AE644" s="19">
        <f t="shared" si="1307"/>
        <v>15570.914000000001</v>
      </c>
      <c r="AF644" s="19">
        <f t="shared" si="1308"/>
        <v>11501</v>
      </c>
      <c r="AG644" s="19">
        <f t="shared" si="1309"/>
        <v>13604</v>
      </c>
      <c r="AH644" s="19">
        <f t="shared" si="1310"/>
        <v>24271.914000000001</v>
      </c>
      <c r="AI644" s="19">
        <f t="shared" si="1311"/>
        <v>25105</v>
      </c>
      <c r="AJ644" s="19">
        <f t="shared" si="1312"/>
        <v>49376.914000000004</v>
      </c>
      <c r="AL644" s="19">
        <f ca="1">SUM((INDIRECT(AL$2&amp;(ROW())):INDIRECT(AL$3&amp;(ROW()))))</f>
        <v>4098</v>
      </c>
      <c r="AM644" s="19">
        <f ca="1">SUM(INDIRECT(AM$1&amp;AM$2&amp;$C644):INDIRECT(AM$1&amp;AM$3&amp;$C644))</f>
        <v>0</v>
      </c>
      <c r="AN644" s="875">
        <f t="shared" ca="1" si="1280"/>
        <v>4098</v>
      </c>
      <c r="AO644" s="926">
        <f t="shared" ca="1" si="1281"/>
        <v>0</v>
      </c>
      <c r="AP644" s="19">
        <f ca="1">SUM(INDIRECT(AP$1&amp;AP$2&amp;$A644):INDIRECT(AP$1&amp;AP$3&amp;$A644))</f>
        <v>2333</v>
      </c>
      <c r="AQ644" s="875">
        <f t="shared" ca="1" si="1282"/>
        <v>1765</v>
      </c>
      <c r="AR644" s="926">
        <f t="shared" ca="1" si="1283"/>
        <v>1.7565366480925846</v>
      </c>
      <c r="AT644" s="19">
        <f ca="1">SUM((INDIRECT(AT$2&amp;(ROW())):INDIRECT(AT$3&amp;(ROW()))))</f>
        <v>13604</v>
      </c>
      <c r="AU644" s="19">
        <f ca="1">SUM(INDIRECT(AU$1&amp;AU$2&amp;$C644):INDIRECT(AU$1&amp;AU$3&amp;$C644))</f>
        <v>0</v>
      </c>
      <c r="AV644" s="875">
        <f t="shared" ca="1" si="1284"/>
        <v>13604</v>
      </c>
      <c r="AW644" s="926">
        <f t="shared" ca="1" si="1285"/>
        <v>0</v>
      </c>
      <c r="AX644" s="19">
        <f ca="1">SUM(INDIRECT(AX$1&amp;AX$2&amp;$A644):INDIRECT(AX$1&amp;AX$3&amp;$A644))</f>
        <v>7793</v>
      </c>
      <c r="AY644" s="875">
        <f t="shared" ca="1" si="1286"/>
        <v>5811</v>
      </c>
      <c r="AZ644" s="926">
        <f t="shared" ca="1" si="1287"/>
        <v>1.7456691902989863</v>
      </c>
      <c r="BB644" s="19">
        <f ca="1">SUM((INDIRECT(BB$2&amp;(ROW())):INDIRECT(BB$3&amp;(ROW()))))</f>
        <v>49376.914000000004</v>
      </c>
      <c r="BC644" s="19">
        <f ca="1">SUM(INDIRECT(BC$1&amp;BC$2&amp;$C644):INDIRECT(BC$1&amp;BC$3&amp;$C644))</f>
        <v>0</v>
      </c>
      <c r="BD644" s="875">
        <f t="shared" ca="1" si="1288"/>
        <v>49376.914000000004</v>
      </c>
      <c r="BE644" s="926">
        <f t="shared" ca="1" si="1289"/>
        <v>0</v>
      </c>
      <c r="BF644" s="19">
        <f ca="1">SUM(INDIRECT(BF$1&amp;BF$2&amp;$A644):INDIRECT(BF$1&amp;BF$3&amp;$A644))</f>
        <v>25931</v>
      </c>
      <c r="BG644" s="875">
        <f t="shared" ca="1" si="1290"/>
        <v>23445.914000000004</v>
      </c>
      <c r="BH644" s="926">
        <f t="shared" ca="1" si="1291"/>
        <v>1.9041654390497862</v>
      </c>
    </row>
    <row r="645" spans="1:60" ht="14.5">
      <c r="A645" s="990">
        <f t="shared" si="1228"/>
        <v>580</v>
      </c>
      <c r="B645" s="990">
        <v>1</v>
      </c>
      <c r="C645" s="990">
        <f t="shared" si="1305"/>
        <v>642</v>
      </c>
      <c r="E645" s="1243">
        <v>1</v>
      </c>
      <c r="I645" s="445"/>
      <c r="J645" s="446"/>
      <c r="K645" s="74"/>
      <c r="L645" s="74"/>
      <c r="M645" s="75"/>
      <c r="N645" s="75" t="s">
        <v>210</v>
      </c>
      <c r="O645" s="75"/>
      <c r="P645" s="75"/>
      <c r="Q645" s="1845" t="str">
        <f>CHOOSE(2, "6722000003564", "S/GP (3) Net Sales Direct NH EFI/LF")</f>
        <v>S/GP (3) Net Sales Direct NH EFI/LF</v>
      </c>
      <c r="R645" s="2036">
        <v>0</v>
      </c>
      <c r="S645" s="2036">
        <v>0</v>
      </c>
      <c r="T645" s="2036">
        <v>0</v>
      </c>
      <c r="U645" s="2036">
        <v>0</v>
      </c>
      <c r="V645" s="2036">
        <v>0</v>
      </c>
      <c r="W645" s="2036">
        <v>0</v>
      </c>
      <c r="X645" s="2036">
        <v>0</v>
      </c>
      <c r="Y645" s="2036">
        <v>0</v>
      </c>
      <c r="Z645" s="2036">
        <v>0</v>
      </c>
      <c r="AA645" s="2036">
        <v>0</v>
      </c>
      <c r="AB645" s="2036">
        <v>0</v>
      </c>
      <c r="AC645" s="2036">
        <v>0</v>
      </c>
      <c r="AD645" s="100">
        <f t="shared" si="1306"/>
        <v>0</v>
      </c>
      <c r="AE645" s="19">
        <f t="shared" si="1307"/>
        <v>0</v>
      </c>
      <c r="AF645" s="19">
        <f t="shared" si="1308"/>
        <v>0</v>
      </c>
      <c r="AG645" s="19">
        <f t="shared" si="1309"/>
        <v>0</v>
      </c>
      <c r="AH645" s="19">
        <f t="shared" si="1310"/>
        <v>0</v>
      </c>
      <c r="AI645" s="19">
        <f t="shared" si="1311"/>
        <v>0</v>
      </c>
      <c r="AJ645" s="19">
        <f t="shared" si="1312"/>
        <v>0</v>
      </c>
      <c r="AL645" s="19">
        <f ca="1">SUM((INDIRECT(AL$2&amp;(ROW())):INDIRECT(AL$3&amp;(ROW()))))</f>
        <v>0</v>
      </c>
      <c r="AM645" s="19">
        <f ca="1">SUM(INDIRECT(AM$1&amp;AM$2&amp;$C645):INDIRECT(AM$1&amp;AM$3&amp;$C645))</f>
        <v>0</v>
      </c>
      <c r="AN645" s="875">
        <f t="shared" ca="1" si="1280"/>
        <v>0</v>
      </c>
      <c r="AO645" s="926">
        <f t="shared" ca="1" si="1281"/>
        <v>0</v>
      </c>
      <c r="AP645" s="19">
        <f ca="1">SUM(INDIRECT(AP$1&amp;AP$2&amp;$A645):INDIRECT(AP$1&amp;AP$3&amp;$A645))</f>
        <v>0</v>
      </c>
      <c r="AQ645" s="875">
        <f t="shared" ca="1" si="1282"/>
        <v>0</v>
      </c>
      <c r="AR645" s="926">
        <f t="shared" ca="1" si="1283"/>
        <v>0</v>
      </c>
      <c r="AT645" s="19">
        <f ca="1">SUM((INDIRECT(AT$2&amp;(ROW())):INDIRECT(AT$3&amp;(ROW()))))</f>
        <v>0</v>
      </c>
      <c r="AU645" s="19">
        <f ca="1">SUM(INDIRECT(AU$1&amp;AU$2&amp;$C645):INDIRECT(AU$1&amp;AU$3&amp;$C645))</f>
        <v>0</v>
      </c>
      <c r="AV645" s="875">
        <f t="shared" ca="1" si="1284"/>
        <v>0</v>
      </c>
      <c r="AW645" s="926">
        <f t="shared" ca="1" si="1285"/>
        <v>0</v>
      </c>
      <c r="AX645" s="19">
        <f ca="1">SUM(INDIRECT(AX$1&amp;AX$2&amp;$A645):INDIRECT(AX$1&amp;AX$3&amp;$A645))</f>
        <v>0</v>
      </c>
      <c r="AY645" s="875">
        <f t="shared" ca="1" si="1286"/>
        <v>0</v>
      </c>
      <c r="AZ645" s="926">
        <f t="shared" ca="1" si="1287"/>
        <v>0</v>
      </c>
      <c r="BB645" s="19">
        <f ca="1">SUM((INDIRECT(BB$2&amp;(ROW())):INDIRECT(BB$3&amp;(ROW()))))</f>
        <v>0</v>
      </c>
      <c r="BC645" s="19">
        <f ca="1">SUM(INDIRECT(BC$1&amp;BC$2&amp;$C645):INDIRECT(BC$1&amp;BC$3&amp;$C645))</f>
        <v>0</v>
      </c>
      <c r="BD645" s="875">
        <f t="shared" ca="1" si="1288"/>
        <v>0</v>
      </c>
      <c r="BE645" s="926">
        <f t="shared" ca="1" si="1289"/>
        <v>0</v>
      </c>
      <c r="BF645" s="19">
        <f ca="1">SUM(INDIRECT(BF$1&amp;BF$2&amp;$A645):INDIRECT(BF$1&amp;BF$3&amp;$A645))</f>
        <v>0</v>
      </c>
      <c r="BG645" s="875">
        <f t="shared" ca="1" si="1290"/>
        <v>0</v>
      </c>
      <c r="BH645" s="926">
        <f t="shared" ca="1" si="1291"/>
        <v>0</v>
      </c>
    </row>
    <row r="646" spans="1:60" ht="14.5">
      <c r="A646" s="990">
        <f t="shared" si="1228"/>
        <v>581</v>
      </c>
      <c r="B646" s="990">
        <v>1</v>
      </c>
      <c r="C646" s="990">
        <f t="shared" si="1305"/>
        <v>643</v>
      </c>
      <c r="E646" s="1243">
        <v>1</v>
      </c>
      <c r="I646" s="445"/>
      <c r="J646" s="446"/>
      <c r="K646" s="74"/>
      <c r="L646" s="74"/>
      <c r="M646" s="75"/>
      <c r="N646" s="75" t="s">
        <v>292</v>
      </c>
      <c r="O646" s="75"/>
      <c r="P646" s="75"/>
      <c r="Q646" s="1845" t="str">
        <f>CHOOSE(2, "6722000003565", "S/GP (3) Net Sales Direct NH Textile Printer")</f>
        <v>S/GP (3) Net Sales Direct NH Textile Printer</v>
      </c>
      <c r="R646" s="2036">
        <v>0</v>
      </c>
      <c r="S646" s="2036">
        <v>0</v>
      </c>
      <c r="T646" s="2036">
        <v>0</v>
      </c>
      <c r="U646" s="2036">
        <v>0</v>
      </c>
      <c r="V646" s="2036">
        <v>0</v>
      </c>
      <c r="W646" s="2036">
        <v>0</v>
      </c>
      <c r="X646" s="2036">
        <v>0</v>
      </c>
      <c r="Y646" s="2036">
        <v>0</v>
      </c>
      <c r="Z646" s="2036">
        <v>0</v>
      </c>
      <c r="AA646" s="2036">
        <v>0</v>
      </c>
      <c r="AB646" s="2036">
        <v>0</v>
      </c>
      <c r="AC646" s="2036">
        <v>0</v>
      </c>
      <c r="AD646" s="100">
        <f t="shared" si="1306"/>
        <v>0</v>
      </c>
      <c r="AE646" s="19">
        <f t="shared" si="1307"/>
        <v>0</v>
      </c>
      <c r="AF646" s="19">
        <f t="shared" si="1308"/>
        <v>0</v>
      </c>
      <c r="AG646" s="19">
        <f t="shared" si="1309"/>
        <v>0</v>
      </c>
      <c r="AH646" s="19">
        <f t="shared" si="1310"/>
        <v>0</v>
      </c>
      <c r="AI646" s="19">
        <f t="shared" si="1311"/>
        <v>0</v>
      </c>
      <c r="AJ646" s="19">
        <f t="shared" si="1312"/>
        <v>0</v>
      </c>
      <c r="AL646" s="19">
        <f ca="1">SUM((INDIRECT(AL$2&amp;(ROW())):INDIRECT(AL$3&amp;(ROW()))))</f>
        <v>0</v>
      </c>
      <c r="AM646" s="19">
        <f ca="1">SUM(INDIRECT(AM$1&amp;AM$2&amp;$C646):INDIRECT(AM$1&amp;AM$3&amp;$C646))</f>
        <v>0</v>
      </c>
      <c r="AN646" s="875">
        <f t="shared" ca="1" si="1280"/>
        <v>0</v>
      </c>
      <c r="AO646" s="926">
        <f t="shared" ca="1" si="1281"/>
        <v>0</v>
      </c>
      <c r="AP646" s="19">
        <f ca="1">SUM(INDIRECT(AP$1&amp;AP$2&amp;$A646):INDIRECT(AP$1&amp;AP$3&amp;$A646))</f>
        <v>0</v>
      </c>
      <c r="AQ646" s="875">
        <f t="shared" ca="1" si="1282"/>
        <v>0</v>
      </c>
      <c r="AR646" s="926">
        <f t="shared" ca="1" si="1283"/>
        <v>0</v>
      </c>
      <c r="AT646" s="19">
        <f ca="1">SUM((INDIRECT(AT$2&amp;(ROW())):INDIRECT(AT$3&amp;(ROW()))))</f>
        <v>0</v>
      </c>
      <c r="AU646" s="19">
        <f ca="1">SUM(INDIRECT(AU$1&amp;AU$2&amp;$C646):INDIRECT(AU$1&amp;AU$3&amp;$C646))</f>
        <v>0</v>
      </c>
      <c r="AV646" s="875">
        <f t="shared" ca="1" si="1284"/>
        <v>0</v>
      </c>
      <c r="AW646" s="926">
        <f t="shared" ca="1" si="1285"/>
        <v>0</v>
      </c>
      <c r="AX646" s="19">
        <f ca="1">SUM(INDIRECT(AX$1&amp;AX$2&amp;$A646):INDIRECT(AX$1&amp;AX$3&amp;$A646))</f>
        <v>0</v>
      </c>
      <c r="AY646" s="875">
        <f t="shared" ca="1" si="1286"/>
        <v>0</v>
      </c>
      <c r="AZ646" s="926">
        <f t="shared" ca="1" si="1287"/>
        <v>0</v>
      </c>
      <c r="BB646" s="19">
        <f ca="1">SUM((INDIRECT(BB$2&amp;(ROW())):INDIRECT(BB$3&amp;(ROW()))))</f>
        <v>0</v>
      </c>
      <c r="BC646" s="19">
        <f ca="1">SUM(INDIRECT(BC$1&amp;BC$2&amp;$C646):INDIRECT(BC$1&amp;BC$3&amp;$C646))</f>
        <v>0</v>
      </c>
      <c r="BD646" s="875">
        <f t="shared" ca="1" si="1288"/>
        <v>0</v>
      </c>
      <c r="BE646" s="926">
        <f t="shared" ca="1" si="1289"/>
        <v>0</v>
      </c>
      <c r="BF646" s="19">
        <f ca="1">SUM(INDIRECT(BF$1&amp;BF$2&amp;$A646):INDIRECT(BF$1&amp;BF$3&amp;$A646))</f>
        <v>0</v>
      </c>
      <c r="BG646" s="875">
        <f t="shared" ca="1" si="1290"/>
        <v>0</v>
      </c>
      <c r="BH646" s="926">
        <f t="shared" ca="1" si="1291"/>
        <v>0</v>
      </c>
    </row>
    <row r="647" spans="1:60" ht="14.5">
      <c r="A647" s="990">
        <f t="shared" si="1228"/>
        <v>582</v>
      </c>
      <c r="B647" s="990">
        <v>1</v>
      </c>
      <c r="C647" s="990">
        <f t="shared" si="1305"/>
        <v>644</v>
      </c>
      <c r="E647" s="1243">
        <v>1</v>
      </c>
      <c r="I647" s="445"/>
      <c r="J647" s="446"/>
      <c r="K647" s="73"/>
      <c r="L647" s="73"/>
      <c r="M647" s="75"/>
      <c r="N647" s="276" t="s">
        <v>131</v>
      </c>
      <c r="O647" s="276"/>
      <c r="P647" s="276"/>
      <c r="Q647" s="1845" t="str">
        <f>CHOOSE(2, "6722000003566", "S/GP (3) Net Sales Direct NH Others")</f>
        <v>S/GP (3) Net Sales Direct NH Others</v>
      </c>
      <c r="R647" s="2037">
        <v>0</v>
      </c>
      <c r="S647" s="2037">
        <v>0</v>
      </c>
      <c r="T647" s="2037">
        <v>0</v>
      </c>
      <c r="U647" s="2037">
        <v>0</v>
      </c>
      <c r="V647" s="2037">
        <v>0</v>
      </c>
      <c r="W647" s="2037">
        <v>0</v>
      </c>
      <c r="X647" s="2037">
        <v>0</v>
      </c>
      <c r="Y647" s="2037">
        <v>0</v>
      </c>
      <c r="Z647" s="2037">
        <v>0</v>
      </c>
      <c r="AA647" s="2037">
        <v>0</v>
      </c>
      <c r="AB647" s="2037">
        <v>0</v>
      </c>
      <c r="AC647" s="2037">
        <v>0</v>
      </c>
      <c r="AD647" s="99">
        <f t="shared" si="1306"/>
        <v>0</v>
      </c>
      <c r="AE647" s="17">
        <f t="shared" si="1307"/>
        <v>0</v>
      </c>
      <c r="AF647" s="17">
        <f t="shared" si="1308"/>
        <v>0</v>
      </c>
      <c r="AG647" s="17">
        <f t="shared" si="1309"/>
        <v>0</v>
      </c>
      <c r="AH647" s="17">
        <f t="shared" si="1310"/>
        <v>0</v>
      </c>
      <c r="AI647" s="17">
        <f t="shared" si="1311"/>
        <v>0</v>
      </c>
      <c r="AJ647" s="17">
        <f t="shared" si="1312"/>
        <v>0</v>
      </c>
      <c r="AL647" s="17">
        <f ca="1">SUM((INDIRECT(AL$2&amp;(ROW())):INDIRECT(AL$3&amp;(ROW()))))</f>
        <v>0</v>
      </c>
      <c r="AM647" s="17">
        <f ca="1">SUM(INDIRECT(AM$1&amp;AM$2&amp;$C647):INDIRECT(AM$1&amp;AM$3&amp;$C647))</f>
        <v>0</v>
      </c>
      <c r="AN647" s="876">
        <f t="shared" ca="1" si="1280"/>
        <v>0</v>
      </c>
      <c r="AO647" s="927">
        <f t="shared" ca="1" si="1281"/>
        <v>0</v>
      </c>
      <c r="AP647" s="17">
        <f ca="1">SUM(INDIRECT(AP$1&amp;AP$2&amp;$A647):INDIRECT(AP$1&amp;AP$3&amp;$A647))</f>
        <v>0</v>
      </c>
      <c r="AQ647" s="876">
        <f t="shared" ca="1" si="1282"/>
        <v>0</v>
      </c>
      <c r="AR647" s="927">
        <f t="shared" ca="1" si="1283"/>
        <v>0</v>
      </c>
      <c r="AT647" s="17">
        <f ca="1">SUM((INDIRECT(AT$2&amp;(ROW())):INDIRECT(AT$3&amp;(ROW()))))</f>
        <v>0</v>
      </c>
      <c r="AU647" s="17">
        <f ca="1">SUM(INDIRECT(AU$1&amp;AU$2&amp;$C647):INDIRECT(AU$1&amp;AU$3&amp;$C647))</f>
        <v>0</v>
      </c>
      <c r="AV647" s="876">
        <f t="shared" ca="1" si="1284"/>
        <v>0</v>
      </c>
      <c r="AW647" s="927">
        <f t="shared" ca="1" si="1285"/>
        <v>0</v>
      </c>
      <c r="AX647" s="17">
        <f ca="1">SUM(INDIRECT(AX$1&amp;AX$2&amp;$A647):INDIRECT(AX$1&amp;AX$3&amp;$A647))</f>
        <v>0</v>
      </c>
      <c r="AY647" s="876">
        <f t="shared" ca="1" si="1286"/>
        <v>0</v>
      </c>
      <c r="AZ647" s="927">
        <f t="shared" ca="1" si="1287"/>
        <v>0</v>
      </c>
      <c r="BB647" s="17">
        <f ca="1">SUM((INDIRECT(BB$2&amp;(ROW())):INDIRECT(BB$3&amp;(ROW()))))</f>
        <v>0</v>
      </c>
      <c r="BC647" s="17">
        <f ca="1">SUM(INDIRECT(BC$1&amp;BC$2&amp;$C647):INDIRECT(BC$1&amp;BC$3&amp;$C647))</f>
        <v>0</v>
      </c>
      <c r="BD647" s="876">
        <f t="shared" ca="1" si="1288"/>
        <v>0</v>
      </c>
      <c r="BE647" s="927">
        <f t="shared" ca="1" si="1289"/>
        <v>0</v>
      </c>
      <c r="BF647" s="17">
        <f ca="1">SUM(INDIRECT(BF$1&amp;BF$2&amp;$A647):INDIRECT(BF$1&amp;BF$3&amp;$A647))</f>
        <v>0</v>
      </c>
      <c r="BG647" s="876">
        <f t="shared" ca="1" si="1290"/>
        <v>0</v>
      </c>
      <c r="BH647" s="927">
        <f t="shared" ca="1" si="1291"/>
        <v>0</v>
      </c>
    </row>
    <row r="648" spans="1:60" ht="14.5">
      <c r="A648" s="990">
        <f t="shared" si="1228"/>
        <v>583</v>
      </c>
      <c r="B648" s="990">
        <v>1</v>
      </c>
      <c r="C648" s="990">
        <f t="shared" si="1305"/>
        <v>645</v>
      </c>
      <c r="E648" s="1243">
        <v>1</v>
      </c>
      <c r="I648" s="445"/>
      <c r="J648" s="446"/>
      <c r="K648" s="69" t="s">
        <v>221</v>
      </c>
      <c r="L648" s="69"/>
      <c r="M648" s="392"/>
      <c r="N648" s="392"/>
      <c r="O648" s="392"/>
      <c r="P648" s="610"/>
      <c r="Q648" s="1867" t="str">
        <f>CHOOSE(2, "6722000003567", "S/GP (3) Net Sales Indirect")</f>
        <v>S/GP (3) Net Sales Indirect</v>
      </c>
      <c r="R648" s="2056">
        <f t="shared" ref="R648:AC648" si="1313">R649+R656</f>
        <v>0</v>
      </c>
      <c r="S648" s="2056">
        <f t="shared" si="1313"/>
        <v>0</v>
      </c>
      <c r="T648" s="2056">
        <f t="shared" si="1313"/>
        <v>0</v>
      </c>
      <c r="U648" s="2056">
        <f t="shared" si="1313"/>
        <v>0</v>
      </c>
      <c r="V648" s="2056">
        <f t="shared" si="1313"/>
        <v>0</v>
      </c>
      <c r="W648" s="2056">
        <f t="shared" si="1313"/>
        <v>0</v>
      </c>
      <c r="X648" s="2056">
        <f t="shared" si="1313"/>
        <v>0</v>
      </c>
      <c r="Y648" s="2056">
        <f t="shared" si="1313"/>
        <v>0</v>
      </c>
      <c r="Z648" s="2056">
        <f t="shared" si="1313"/>
        <v>0</v>
      </c>
      <c r="AA648" s="2056">
        <f t="shared" si="1313"/>
        <v>0</v>
      </c>
      <c r="AB648" s="2056">
        <f t="shared" si="1313"/>
        <v>0</v>
      </c>
      <c r="AC648" s="2056">
        <f t="shared" si="1313"/>
        <v>0</v>
      </c>
      <c r="AD648" s="611">
        <f t="shared" ref="AD648:AJ648" si="1314">AD649+AD656</f>
        <v>0</v>
      </c>
      <c r="AE648" s="393">
        <f t="shared" si="1314"/>
        <v>0</v>
      </c>
      <c r="AF648" s="393">
        <f t="shared" si="1314"/>
        <v>0</v>
      </c>
      <c r="AG648" s="393">
        <f t="shared" si="1314"/>
        <v>0</v>
      </c>
      <c r="AH648" s="393">
        <f t="shared" si="1314"/>
        <v>0</v>
      </c>
      <c r="AI648" s="393">
        <f t="shared" si="1314"/>
        <v>0</v>
      </c>
      <c r="AJ648" s="393">
        <f t="shared" si="1314"/>
        <v>0</v>
      </c>
      <c r="AL648" s="2056">
        <f ca="1">SUM((INDIRECT(AL$2&amp;(ROW())):INDIRECT(AL$3&amp;(ROW()))))</f>
        <v>0</v>
      </c>
      <c r="AM648" s="2056">
        <f ca="1">SUM(INDIRECT(AM$1&amp;AM$2&amp;$C648):INDIRECT(AM$1&amp;AM$3&amp;$C648))</f>
        <v>0</v>
      </c>
      <c r="AN648" s="2540">
        <f t="shared" ca="1" si="1280"/>
        <v>0</v>
      </c>
      <c r="AO648" s="2541">
        <f t="shared" ca="1" si="1281"/>
        <v>0</v>
      </c>
      <c r="AP648" s="2056">
        <f ca="1">SUM(INDIRECT(AP$1&amp;AP$2&amp;$A648):INDIRECT(AP$1&amp;AP$3&amp;$A648))</f>
        <v>0</v>
      </c>
      <c r="AQ648" s="2540">
        <f t="shared" ca="1" si="1282"/>
        <v>0</v>
      </c>
      <c r="AR648" s="2541">
        <f t="shared" ca="1" si="1283"/>
        <v>0</v>
      </c>
      <c r="AT648" s="2056">
        <f ca="1">SUM((INDIRECT(AT$2&amp;(ROW())):INDIRECT(AT$3&amp;(ROW()))))</f>
        <v>0</v>
      </c>
      <c r="AU648" s="2056">
        <f ca="1">SUM(INDIRECT(AU$1&amp;AU$2&amp;$C648):INDIRECT(AU$1&amp;AU$3&amp;$C648))</f>
        <v>0</v>
      </c>
      <c r="AV648" s="2540">
        <f t="shared" ca="1" si="1284"/>
        <v>0</v>
      </c>
      <c r="AW648" s="2541">
        <f t="shared" ca="1" si="1285"/>
        <v>0</v>
      </c>
      <c r="AX648" s="2056">
        <f ca="1">SUM(INDIRECT(AX$1&amp;AX$2&amp;$A648):INDIRECT(AX$1&amp;AX$3&amp;$A648))</f>
        <v>0</v>
      </c>
      <c r="AY648" s="2540">
        <f t="shared" ca="1" si="1286"/>
        <v>0</v>
      </c>
      <c r="AZ648" s="2541">
        <f t="shared" ca="1" si="1287"/>
        <v>0</v>
      </c>
      <c r="BB648" s="2056">
        <f ca="1">SUM((INDIRECT(BB$2&amp;(ROW())):INDIRECT(BB$3&amp;(ROW()))))</f>
        <v>0</v>
      </c>
      <c r="BC648" s="2056">
        <f ca="1">SUM(INDIRECT(BC$1&amp;BC$2&amp;$C648):INDIRECT(BC$1&amp;BC$3&amp;$C648))</f>
        <v>0</v>
      </c>
      <c r="BD648" s="2540">
        <f t="shared" ca="1" si="1288"/>
        <v>0</v>
      </c>
      <c r="BE648" s="2541">
        <f t="shared" ca="1" si="1289"/>
        <v>0</v>
      </c>
      <c r="BF648" s="2056">
        <f ca="1">SUM(INDIRECT(BF$1&amp;BF$2&amp;$A648):INDIRECT(BF$1&amp;BF$3&amp;$A648))</f>
        <v>0</v>
      </c>
      <c r="BG648" s="2540">
        <f t="shared" ca="1" si="1290"/>
        <v>0</v>
      </c>
      <c r="BH648" s="2541">
        <f t="shared" ca="1" si="1291"/>
        <v>0</v>
      </c>
    </row>
    <row r="649" spans="1:60" ht="14.5">
      <c r="A649" s="990">
        <f t="shared" si="1228"/>
        <v>584</v>
      </c>
      <c r="B649" s="990">
        <v>1</v>
      </c>
      <c r="C649" s="990">
        <f t="shared" si="1305"/>
        <v>646</v>
      </c>
      <c r="E649" s="1243">
        <v>1</v>
      </c>
      <c r="I649" s="445"/>
      <c r="J649" s="446"/>
      <c r="K649" s="69"/>
      <c r="L649" s="69"/>
      <c r="M649" s="75" t="s">
        <v>304</v>
      </c>
      <c r="N649" s="391"/>
      <c r="O649" s="391"/>
      <c r="P649" s="391"/>
      <c r="Q649" s="1843" t="str">
        <f>CHOOSE(2, "6722000003568", "S/GP (3) Net Sales Indirect HW &amp; Solution")</f>
        <v>S/GP (3) Net Sales Indirect HW &amp; Solution</v>
      </c>
      <c r="R649" s="365">
        <f t="shared" ref="R649:AC649" si="1315">SUM(R650:R655)</f>
        <v>0</v>
      </c>
      <c r="S649" s="365">
        <f t="shared" si="1315"/>
        <v>0</v>
      </c>
      <c r="T649" s="365">
        <f t="shared" si="1315"/>
        <v>0</v>
      </c>
      <c r="U649" s="365">
        <f t="shared" si="1315"/>
        <v>0</v>
      </c>
      <c r="V649" s="365">
        <f t="shared" si="1315"/>
        <v>0</v>
      </c>
      <c r="W649" s="365">
        <f t="shared" si="1315"/>
        <v>0</v>
      </c>
      <c r="X649" s="365">
        <f t="shared" si="1315"/>
        <v>0</v>
      </c>
      <c r="Y649" s="365">
        <f t="shared" si="1315"/>
        <v>0</v>
      </c>
      <c r="Z649" s="365">
        <f t="shared" si="1315"/>
        <v>0</v>
      </c>
      <c r="AA649" s="365">
        <f t="shared" si="1315"/>
        <v>0</v>
      </c>
      <c r="AB649" s="365">
        <f t="shared" si="1315"/>
        <v>0</v>
      </c>
      <c r="AC649" s="365">
        <f t="shared" si="1315"/>
        <v>0</v>
      </c>
      <c r="AD649" s="408">
        <f t="shared" ref="AD649:AJ649" si="1316">SUM(AD650:AD655)</f>
        <v>0</v>
      </c>
      <c r="AE649" s="365">
        <f t="shared" si="1316"/>
        <v>0</v>
      </c>
      <c r="AF649" s="365">
        <f t="shared" si="1316"/>
        <v>0</v>
      </c>
      <c r="AG649" s="365">
        <f t="shared" si="1316"/>
        <v>0</v>
      </c>
      <c r="AH649" s="365">
        <f t="shared" si="1316"/>
        <v>0</v>
      </c>
      <c r="AI649" s="365">
        <f t="shared" si="1316"/>
        <v>0</v>
      </c>
      <c r="AJ649" s="365">
        <f t="shared" si="1316"/>
        <v>0</v>
      </c>
      <c r="AL649" s="365">
        <f ca="1">SUM((INDIRECT(AL$2&amp;(ROW())):INDIRECT(AL$3&amp;(ROW()))))</f>
        <v>0</v>
      </c>
      <c r="AM649" s="365">
        <f ca="1">SUM(INDIRECT(AM$1&amp;AM$2&amp;$C649):INDIRECT(AM$1&amp;AM$3&amp;$C649))</f>
        <v>0</v>
      </c>
      <c r="AN649" s="891">
        <f t="shared" ca="1" si="1280"/>
        <v>0</v>
      </c>
      <c r="AO649" s="952">
        <f t="shared" ca="1" si="1281"/>
        <v>0</v>
      </c>
      <c r="AP649" s="365">
        <f ca="1">SUM(INDIRECT(AP$1&amp;AP$2&amp;$A649):INDIRECT(AP$1&amp;AP$3&amp;$A649))</f>
        <v>0</v>
      </c>
      <c r="AQ649" s="891">
        <f t="shared" ca="1" si="1282"/>
        <v>0</v>
      </c>
      <c r="AR649" s="952">
        <f t="shared" ca="1" si="1283"/>
        <v>0</v>
      </c>
      <c r="AT649" s="365">
        <f ca="1">SUM((INDIRECT(AT$2&amp;(ROW())):INDIRECT(AT$3&amp;(ROW()))))</f>
        <v>0</v>
      </c>
      <c r="AU649" s="365">
        <f ca="1">SUM(INDIRECT(AU$1&amp;AU$2&amp;$C649):INDIRECT(AU$1&amp;AU$3&amp;$C649))</f>
        <v>0</v>
      </c>
      <c r="AV649" s="891">
        <f t="shared" ca="1" si="1284"/>
        <v>0</v>
      </c>
      <c r="AW649" s="952">
        <f t="shared" ca="1" si="1285"/>
        <v>0</v>
      </c>
      <c r="AX649" s="365">
        <f ca="1">SUM(INDIRECT(AX$1&amp;AX$2&amp;$A649):INDIRECT(AX$1&amp;AX$3&amp;$A649))</f>
        <v>0</v>
      </c>
      <c r="AY649" s="891">
        <f t="shared" ca="1" si="1286"/>
        <v>0</v>
      </c>
      <c r="AZ649" s="952">
        <f t="shared" ca="1" si="1287"/>
        <v>0</v>
      </c>
      <c r="BB649" s="365">
        <f ca="1">SUM((INDIRECT(BB$2&amp;(ROW())):INDIRECT(BB$3&amp;(ROW()))))</f>
        <v>0</v>
      </c>
      <c r="BC649" s="365">
        <f ca="1">SUM(INDIRECT(BC$1&amp;BC$2&amp;$C649):INDIRECT(BC$1&amp;BC$3&amp;$C649))</f>
        <v>0</v>
      </c>
      <c r="BD649" s="891">
        <f t="shared" ca="1" si="1288"/>
        <v>0</v>
      </c>
      <c r="BE649" s="952">
        <f t="shared" ca="1" si="1289"/>
        <v>0</v>
      </c>
      <c r="BF649" s="365">
        <f ca="1">SUM(INDIRECT(BF$1&amp;BF$2&amp;$A649):INDIRECT(BF$1&amp;BF$3&amp;$A649))</f>
        <v>0</v>
      </c>
      <c r="BG649" s="891">
        <f t="shared" ca="1" si="1290"/>
        <v>0</v>
      </c>
      <c r="BH649" s="952">
        <f t="shared" ca="1" si="1291"/>
        <v>0</v>
      </c>
    </row>
    <row r="650" spans="1:60" ht="14.5">
      <c r="A650" s="990">
        <f t="shared" si="1228"/>
        <v>585</v>
      </c>
      <c r="B650" s="990">
        <v>1</v>
      </c>
      <c r="C650" s="990">
        <f t="shared" si="1305"/>
        <v>647</v>
      </c>
      <c r="E650" s="1243">
        <v>1</v>
      </c>
      <c r="I650" s="445"/>
      <c r="J650" s="446"/>
      <c r="K650" s="69"/>
      <c r="L650" s="69"/>
      <c r="M650" s="75"/>
      <c r="N650" s="1246" t="s">
        <v>1258</v>
      </c>
      <c r="O650" s="377"/>
      <c r="P650" s="377"/>
      <c r="Q650" s="1845" t="str">
        <f>CHOOSE(2, "6722000003569", "S/GP (3) Net Sales Indirect HW &amp; Solution KM-1/KM-1e")</f>
        <v>S/GP (3) Net Sales Indirect HW &amp; Solution KM-1/KM-1e</v>
      </c>
      <c r="R650" s="2042">
        <v>0</v>
      </c>
      <c r="S650" s="2042">
        <v>0</v>
      </c>
      <c r="T650" s="2042">
        <v>0</v>
      </c>
      <c r="U650" s="2042">
        <v>0</v>
      </c>
      <c r="V650" s="2042">
        <v>0</v>
      </c>
      <c r="W650" s="2042">
        <v>0</v>
      </c>
      <c r="X650" s="2042">
        <v>0</v>
      </c>
      <c r="Y650" s="2042">
        <v>0</v>
      </c>
      <c r="Z650" s="2042">
        <v>0</v>
      </c>
      <c r="AA650" s="2042">
        <v>0</v>
      </c>
      <c r="AB650" s="2042">
        <v>0</v>
      </c>
      <c r="AC650" s="2042">
        <v>0</v>
      </c>
      <c r="AD650" s="376">
        <f t="shared" ref="AD650:AD655" si="1317">SUM(R650,S650,T650)</f>
        <v>0</v>
      </c>
      <c r="AE650" s="109">
        <f t="shared" ref="AE650:AE655" si="1318">SUM(U650,V650,W650)</f>
        <v>0</v>
      </c>
      <c r="AF650" s="109">
        <f t="shared" ref="AF650:AF655" si="1319">SUM(X650,Y650,Z650)</f>
        <v>0</v>
      </c>
      <c r="AG650" s="109">
        <f t="shared" ref="AG650:AG655" si="1320">SUM(AA650,AB650,AC650)</f>
        <v>0</v>
      </c>
      <c r="AH650" s="109">
        <f t="shared" ref="AH650:AH655" si="1321">AD650+AE650</f>
        <v>0</v>
      </c>
      <c r="AI650" s="109">
        <f t="shared" ref="AI650:AI655" si="1322">AG650+AF650</f>
        <v>0</v>
      </c>
      <c r="AJ650" s="109">
        <f t="shared" ref="AJ650:AJ655" si="1323">AH650+AI650</f>
        <v>0</v>
      </c>
      <c r="AL650" s="109">
        <f ca="1">SUM((INDIRECT(AL$2&amp;(ROW())):INDIRECT(AL$3&amp;(ROW()))))</f>
        <v>0</v>
      </c>
      <c r="AM650" s="109">
        <f ca="1">SUM(INDIRECT(AM$1&amp;AM$2&amp;$C650):INDIRECT(AM$1&amp;AM$3&amp;$C650))</f>
        <v>0</v>
      </c>
      <c r="AN650" s="892">
        <f t="shared" ca="1" si="1280"/>
        <v>0</v>
      </c>
      <c r="AO650" s="953">
        <f t="shared" ca="1" si="1281"/>
        <v>0</v>
      </c>
      <c r="AP650" s="109">
        <f ca="1">SUM(INDIRECT(AP$1&amp;AP$2&amp;$A650):INDIRECT(AP$1&amp;AP$3&amp;$A650))</f>
        <v>0</v>
      </c>
      <c r="AQ650" s="892">
        <f t="shared" ca="1" si="1282"/>
        <v>0</v>
      </c>
      <c r="AR650" s="953">
        <f t="shared" ca="1" si="1283"/>
        <v>0</v>
      </c>
      <c r="AT650" s="109">
        <f ca="1">SUM((INDIRECT(AT$2&amp;(ROW())):INDIRECT(AT$3&amp;(ROW()))))</f>
        <v>0</v>
      </c>
      <c r="AU650" s="109">
        <f ca="1">SUM(INDIRECT(AU$1&amp;AU$2&amp;$C650):INDIRECT(AU$1&amp;AU$3&amp;$C650))</f>
        <v>0</v>
      </c>
      <c r="AV650" s="892">
        <f t="shared" ca="1" si="1284"/>
        <v>0</v>
      </c>
      <c r="AW650" s="953">
        <f t="shared" ca="1" si="1285"/>
        <v>0</v>
      </c>
      <c r="AX650" s="109">
        <f ca="1">SUM(INDIRECT(AX$1&amp;AX$2&amp;$A650):INDIRECT(AX$1&amp;AX$3&amp;$A650))</f>
        <v>0</v>
      </c>
      <c r="AY650" s="892">
        <f t="shared" ca="1" si="1286"/>
        <v>0</v>
      </c>
      <c r="AZ650" s="953">
        <f t="shared" ca="1" si="1287"/>
        <v>0</v>
      </c>
      <c r="BB650" s="109">
        <f ca="1">SUM((INDIRECT(BB$2&amp;(ROW())):INDIRECT(BB$3&amp;(ROW()))))</f>
        <v>0</v>
      </c>
      <c r="BC650" s="109">
        <f ca="1">SUM(INDIRECT(BC$1&amp;BC$2&amp;$C650):INDIRECT(BC$1&amp;BC$3&amp;$C650))</f>
        <v>0</v>
      </c>
      <c r="BD650" s="892">
        <f t="shared" ca="1" si="1288"/>
        <v>0</v>
      </c>
      <c r="BE650" s="953">
        <f t="shared" ca="1" si="1289"/>
        <v>0</v>
      </c>
      <c r="BF650" s="109">
        <f ca="1">SUM(INDIRECT(BF$1&amp;BF$2&amp;$A650):INDIRECT(BF$1&amp;BF$3&amp;$A650))</f>
        <v>0</v>
      </c>
      <c r="BG650" s="892">
        <f t="shared" ca="1" si="1290"/>
        <v>0</v>
      </c>
      <c r="BH650" s="953">
        <f t="shared" ca="1" si="1291"/>
        <v>0</v>
      </c>
    </row>
    <row r="651" spans="1:60" ht="14.5">
      <c r="A651" s="990">
        <f t="shared" si="1228"/>
        <v>586</v>
      </c>
      <c r="B651" s="990">
        <v>1</v>
      </c>
      <c r="C651" s="990">
        <f t="shared" si="1305"/>
        <v>648</v>
      </c>
      <c r="E651" s="1243">
        <v>1</v>
      </c>
      <c r="I651" s="445"/>
      <c r="J651" s="446"/>
      <c r="K651" s="69"/>
      <c r="L651" s="69"/>
      <c r="M651" s="75"/>
      <c r="N651" s="75" t="s">
        <v>209</v>
      </c>
      <c r="O651" s="75"/>
      <c r="P651" s="75"/>
      <c r="Q651" s="1845" t="str">
        <f>CHOOSE(2, "6722000003570", "S/GP (3) Net Sales Indirect HW &amp; Solution Label Printer")</f>
        <v>S/GP (3) Net Sales Indirect HW &amp; Solution Label Printer</v>
      </c>
      <c r="R651" s="2036">
        <v>0</v>
      </c>
      <c r="S651" s="2036">
        <v>0</v>
      </c>
      <c r="T651" s="2036">
        <v>0</v>
      </c>
      <c r="U651" s="2036">
        <v>0</v>
      </c>
      <c r="V651" s="2036">
        <v>0</v>
      </c>
      <c r="W651" s="2036">
        <v>0</v>
      </c>
      <c r="X651" s="2036">
        <v>0</v>
      </c>
      <c r="Y651" s="2036">
        <v>0</v>
      </c>
      <c r="Z651" s="2036">
        <v>0</v>
      </c>
      <c r="AA651" s="2036">
        <v>0</v>
      </c>
      <c r="AB651" s="2036">
        <v>0</v>
      </c>
      <c r="AC651" s="2036">
        <v>0</v>
      </c>
      <c r="AD651" s="100">
        <f t="shared" si="1317"/>
        <v>0</v>
      </c>
      <c r="AE651" s="19">
        <f t="shared" si="1318"/>
        <v>0</v>
      </c>
      <c r="AF651" s="19">
        <f t="shared" si="1319"/>
        <v>0</v>
      </c>
      <c r="AG651" s="19">
        <f t="shared" si="1320"/>
        <v>0</v>
      </c>
      <c r="AH651" s="19">
        <f t="shared" si="1321"/>
        <v>0</v>
      </c>
      <c r="AI651" s="19">
        <f t="shared" si="1322"/>
        <v>0</v>
      </c>
      <c r="AJ651" s="19">
        <f t="shared" si="1323"/>
        <v>0</v>
      </c>
      <c r="AL651" s="19">
        <f ca="1">SUM((INDIRECT(AL$2&amp;(ROW())):INDIRECT(AL$3&amp;(ROW()))))</f>
        <v>0</v>
      </c>
      <c r="AM651" s="19">
        <f ca="1">SUM(INDIRECT(AM$1&amp;AM$2&amp;$C651):INDIRECT(AM$1&amp;AM$3&amp;$C651))</f>
        <v>0</v>
      </c>
      <c r="AN651" s="875">
        <f t="shared" ca="1" si="1280"/>
        <v>0</v>
      </c>
      <c r="AO651" s="926">
        <f t="shared" ca="1" si="1281"/>
        <v>0</v>
      </c>
      <c r="AP651" s="19">
        <f ca="1">SUM(INDIRECT(AP$1&amp;AP$2&amp;$A651):INDIRECT(AP$1&amp;AP$3&amp;$A651))</f>
        <v>0</v>
      </c>
      <c r="AQ651" s="875">
        <f t="shared" ca="1" si="1282"/>
        <v>0</v>
      </c>
      <c r="AR651" s="926">
        <f t="shared" ca="1" si="1283"/>
        <v>0</v>
      </c>
      <c r="AT651" s="19">
        <f ca="1">SUM((INDIRECT(AT$2&amp;(ROW())):INDIRECT(AT$3&amp;(ROW()))))</f>
        <v>0</v>
      </c>
      <c r="AU651" s="19">
        <f ca="1">SUM(INDIRECT(AU$1&amp;AU$2&amp;$C651):INDIRECT(AU$1&amp;AU$3&amp;$C651))</f>
        <v>0</v>
      </c>
      <c r="AV651" s="875">
        <f t="shared" ca="1" si="1284"/>
        <v>0</v>
      </c>
      <c r="AW651" s="926">
        <f t="shared" ca="1" si="1285"/>
        <v>0</v>
      </c>
      <c r="AX651" s="19">
        <f ca="1">SUM(INDIRECT(AX$1&amp;AX$2&amp;$A651):INDIRECT(AX$1&amp;AX$3&amp;$A651))</f>
        <v>0</v>
      </c>
      <c r="AY651" s="875">
        <f t="shared" ca="1" si="1286"/>
        <v>0</v>
      </c>
      <c r="AZ651" s="926">
        <f t="shared" ca="1" si="1287"/>
        <v>0</v>
      </c>
      <c r="BB651" s="19">
        <f ca="1">SUM((INDIRECT(BB$2&amp;(ROW())):INDIRECT(BB$3&amp;(ROW()))))</f>
        <v>0</v>
      </c>
      <c r="BC651" s="19">
        <f ca="1">SUM(INDIRECT(BC$1&amp;BC$2&amp;$C651):INDIRECT(BC$1&amp;BC$3&amp;$C651))</f>
        <v>0</v>
      </c>
      <c r="BD651" s="875">
        <f t="shared" ca="1" si="1288"/>
        <v>0</v>
      </c>
      <c r="BE651" s="926">
        <f t="shared" ca="1" si="1289"/>
        <v>0</v>
      </c>
      <c r="BF651" s="19">
        <f ca="1">SUM(INDIRECT(BF$1&amp;BF$2&amp;$A651):INDIRECT(BF$1&amp;BF$3&amp;$A651))</f>
        <v>0</v>
      </c>
      <c r="BG651" s="875">
        <f t="shared" ca="1" si="1290"/>
        <v>0</v>
      </c>
      <c r="BH651" s="926">
        <f t="shared" ca="1" si="1291"/>
        <v>0</v>
      </c>
    </row>
    <row r="652" spans="1:60" ht="14.5">
      <c r="A652" s="990">
        <f t="shared" si="1228"/>
        <v>587</v>
      </c>
      <c r="B652" s="990">
        <v>1</v>
      </c>
      <c r="C652" s="990">
        <f t="shared" si="1305"/>
        <v>649</v>
      </c>
      <c r="E652" s="1243">
        <v>1</v>
      </c>
      <c r="I652" s="445"/>
      <c r="J652" s="446"/>
      <c r="K652" s="69"/>
      <c r="L652" s="69"/>
      <c r="M652" s="75"/>
      <c r="N652" s="75" t="s">
        <v>300</v>
      </c>
      <c r="O652" s="75"/>
      <c r="P652" s="75"/>
      <c r="Q652" s="1845" t="str">
        <f>CHOOSE(2, "6722000003571", "S/GP (3) Net Sales Indirect HW &amp; Solution MGI")</f>
        <v>S/GP (3) Net Sales Indirect HW &amp; Solution MGI</v>
      </c>
      <c r="R652" s="2036">
        <v>0</v>
      </c>
      <c r="S652" s="2036">
        <v>0</v>
      </c>
      <c r="T652" s="2036">
        <v>0</v>
      </c>
      <c r="U652" s="2036">
        <v>0</v>
      </c>
      <c r="V652" s="2036">
        <v>0</v>
      </c>
      <c r="W652" s="2036">
        <v>0</v>
      </c>
      <c r="X652" s="2036">
        <v>0</v>
      </c>
      <c r="Y652" s="2036">
        <v>0</v>
      </c>
      <c r="Z652" s="2036">
        <v>0</v>
      </c>
      <c r="AA652" s="2036">
        <v>0</v>
      </c>
      <c r="AB652" s="2036">
        <v>0</v>
      </c>
      <c r="AC652" s="2036">
        <v>0</v>
      </c>
      <c r="AD652" s="100">
        <f t="shared" si="1317"/>
        <v>0</v>
      </c>
      <c r="AE652" s="19">
        <f t="shared" si="1318"/>
        <v>0</v>
      </c>
      <c r="AF652" s="19">
        <f t="shared" si="1319"/>
        <v>0</v>
      </c>
      <c r="AG652" s="19">
        <f t="shared" si="1320"/>
        <v>0</v>
      </c>
      <c r="AH652" s="19">
        <f t="shared" si="1321"/>
        <v>0</v>
      </c>
      <c r="AI652" s="19">
        <f t="shared" si="1322"/>
        <v>0</v>
      </c>
      <c r="AJ652" s="19">
        <f t="shared" si="1323"/>
        <v>0</v>
      </c>
      <c r="AL652" s="19">
        <f ca="1">SUM((INDIRECT(AL$2&amp;(ROW())):INDIRECT(AL$3&amp;(ROW()))))</f>
        <v>0</v>
      </c>
      <c r="AM652" s="19">
        <f ca="1">SUM(INDIRECT(AM$1&amp;AM$2&amp;$C652):INDIRECT(AM$1&amp;AM$3&amp;$C652))</f>
        <v>0</v>
      </c>
      <c r="AN652" s="875">
        <f t="shared" ca="1" si="1280"/>
        <v>0</v>
      </c>
      <c r="AO652" s="926">
        <f t="shared" ca="1" si="1281"/>
        <v>0</v>
      </c>
      <c r="AP652" s="19">
        <f ca="1">SUM(INDIRECT(AP$1&amp;AP$2&amp;$A652):INDIRECT(AP$1&amp;AP$3&amp;$A652))</f>
        <v>0</v>
      </c>
      <c r="AQ652" s="875">
        <f t="shared" ca="1" si="1282"/>
        <v>0</v>
      </c>
      <c r="AR652" s="926">
        <f t="shared" ca="1" si="1283"/>
        <v>0</v>
      </c>
      <c r="AT652" s="19">
        <f ca="1">SUM((INDIRECT(AT$2&amp;(ROW())):INDIRECT(AT$3&amp;(ROW()))))</f>
        <v>0</v>
      </c>
      <c r="AU652" s="19">
        <f ca="1">SUM(INDIRECT(AU$1&amp;AU$2&amp;$C652):INDIRECT(AU$1&amp;AU$3&amp;$C652))</f>
        <v>0</v>
      </c>
      <c r="AV652" s="875">
        <f t="shared" ca="1" si="1284"/>
        <v>0</v>
      </c>
      <c r="AW652" s="926">
        <f t="shared" ca="1" si="1285"/>
        <v>0</v>
      </c>
      <c r="AX652" s="19">
        <f ca="1">SUM(INDIRECT(AX$1&amp;AX$2&amp;$A652):INDIRECT(AX$1&amp;AX$3&amp;$A652))</f>
        <v>0</v>
      </c>
      <c r="AY652" s="875">
        <f t="shared" ca="1" si="1286"/>
        <v>0</v>
      </c>
      <c r="AZ652" s="926">
        <f t="shared" ca="1" si="1287"/>
        <v>0</v>
      </c>
      <c r="BB652" s="19">
        <f ca="1">SUM((INDIRECT(BB$2&amp;(ROW())):INDIRECT(BB$3&amp;(ROW()))))</f>
        <v>0</v>
      </c>
      <c r="BC652" s="19">
        <f ca="1">SUM(INDIRECT(BC$1&amp;BC$2&amp;$C652):INDIRECT(BC$1&amp;BC$3&amp;$C652))</f>
        <v>0</v>
      </c>
      <c r="BD652" s="875">
        <f t="shared" ca="1" si="1288"/>
        <v>0</v>
      </c>
      <c r="BE652" s="926">
        <f t="shared" ca="1" si="1289"/>
        <v>0</v>
      </c>
      <c r="BF652" s="19">
        <f ca="1">SUM(INDIRECT(BF$1&amp;BF$2&amp;$A652):INDIRECT(BF$1&amp;BF$3&amp;$A652))</f>
        <v>0</v>
      </c>
      <c r="BG652" s="875">
        <f t="shared" ca="1" si="1290"/>
        <v>0</v>
      </c>
      <c r="BH652" s="926">
        <f t="shared" ca="1" si="1291"/>
        <v>0</v>
      </c>
    </row>
    <row r="653" spans="1:60" ht="14.5">
      <c r="A653" s="990">
        <f t="shared" si="1228"/>
        <v>588</v>
      </c>
      <c r="B653" s="990">
        <v>1</v>
      </c>
      <c r="C653" s="990">
        <f t="shared" si="1305"/>
        <v>650</v>
      </c>
      <c r="E653" s="1243">
        <v>1</v>
      </c>
      <c r="I653" s="445"/>
      <c r="J653" s="446"/>
      <c r="K653" s="69"/>
      <c r="L653" s="69"/>
      <c r="M653" s="75"/>
      <c r="N653" s="75" t="s">
        <v>301</v>
      </c>
      <c r="O653" s="75"/>
      <c r="P653" s="75"/>
      <c r="Q653" s="1845" t="str">
        <f>CHOOSE(2, "6722000003572", "S/GP (3) Net Sales Indirect HW &amp; Solution EFI/LF")</f>
        <v>S/GP (3) Net Sales Indirect HW &amp; Solution EFI/LF</v>
      </c>
      <c r="R653" s="2036">
        <v>0</v>
      </c>
      <c r="S653" s="2036">
        <v>0</v>
      </c>
      <c r="T653" s="2036">
        <v>0</v>
      </c>
      <c r="U653" s="2036">
        <v>0</v>
      </c>
      <c r="V653" s="2036">
        <v>0</v>
      </c>
      <c r="W653" s="2036">
        <v>0</v>
      </c>
      <c r="X653" s="2036">
        <v>0</v>
      </c>
      <c r="Y653" s="2036">
        <v>0</v>
      </c>
      <c r="Z653" s="2036">
        <v>0</v>
      </c>
      <c r="AA653" s="2036">
        <v>0</v>
      </c>
      <c r="AB653" s="2036">
        <v>0</v>
      </c>
      <c r="AC653" s="2036">
        <v>0</v>
      </c>
      <c r="AD653" s="100">
        <f t="shared" si="1317"/>
        <v>0</v>
      </c>
      <c r="AE653" s="19">
        <f t="shared" si="1318"/>
        <v>0</v>
      </c>
      <c r="AF653" s="19">
        <f t="shared" si="1319"/>
        <v>0</v>
      </c>
      <c r="AG653" s="19">
        <f t="shared" si="1320"/>
        <v>0</v>
      </c>
      <c r="AH653" s="19">
        <f t="shared" si="1321"/>
        <v>0</v>
      </c>
      <c r="AI653" s="19">
        <f t="shared" si="1322"/>
        <v>0</v>
      </c>
      <c r="AJ653" s="19">
        <f t="shared" si="1323"/>
        <v>0</v>
      </c>
      <c r="AL653" s="19">
        <f ca="1">SUM((INDIRECT(AL$2&amp;(ROW())):INDIRECT(AL$3&amp;(ROW()))))</f>
        <v>0</v>
      </c>
      <c r="AM653" s="19">
        <f ca="1">SUM(INDIRECT(AM$1&amp;AM$2&amp;$C653):INDIRECT(AM$1&amp;AM$3&amp;$C653))</f>
        <v>0</v>
      </c>
      <c r="AN653" s="875">
        <f t="shared" ca="1" si="1280"/>
        <v>0</v>
      </c>
      <c r="AO653" s="926">
        <f t="shared" ca="1" si="1281"/>
        <v>0</v>
      </c>
      <c r="AP653" s="19">
        <f ca="1">SUM(INDIRECT(AP$1&amp;AP$2&amp;$A653):INDIRECT(AP$1&amp;AP$3&amp;$A653))</f>
        <v>0</v>
      </c>
      <c r="AQ653" s="875">
        <f t="shared" ca="1" si="1282"/>
        <v>0</v>
      </c>
      <c r="AR653" s="926">
        <f t="shared" ca="1" si="1283"/>
        <v>0</v>
      </c>
      <c r="AT653" s="19">
        <f ca="1">SUM((INDIRECT(AT$2&amp;(ROW())):INDIRECT(AT$3&amp;(ROW()))))</f>
        <v>0</v>
      </c>
      <c r="AU653" s="19">
        <f ca="1">SUM(INDIRECT(AU$1&amp;AU$2&amp;$C653):INDIRECT(AU$1&amp;AU$3&amp;$C653))</f>
        <v>0</v>
      </c>
      <c r="AV653" s="875">
        <f t="shared" ca="1" si="1284"/>
        <v>0</v>
      </c>
      <c r="AW653" s="926">
        <f t="shared" ca="1" si="1285"/>
        <v>0</v>
      </c>
      <c r="AX653" s="19">
        <f ca="1">SUM(INDIRECT(AX$1&amp;AX$2&amp;$A653):INDIRECT(AX$1&amp;AX$3&amp;$A653))</f>
        <v>0</v>
      </c>
      <c r="AY653" s="875">
        <f t="shared" ca="1" si="1286"/>
        <v>0</v>
      </c>
      <c r="AZ653" s="926">
        <f t="shared" ca="1" si="1287"/>
        <v>0</v>
      </c>
      <c r="BB653" s="19">
        <f ca="1">SUM((INDIRECT(BB$2&amp;(ROW())):INDIRECT(BB$3&amp;(ROW()))))</f>
        <v>0</v>
      </c>
      <c r="BC653" s="19">
        <f ca="1">SUM(INDIRECT(BC$1&amp;BC$2&amp;$C653):INDIRECT(BC$1&amp;BC$3&amp;$C653))</f>
        <v>0</v>
      </c>
      <c r="BD653" s="875">
        <f t="shared" ca="1" si="1288"/>
        <v>0</v>
      </c>
      <c r="BE653" s="926">
        <f t="shared" ca="1" si="1289"/>
        <v>0</v>
      </c>
      <c r="BF653" s="19">
        <f ca="1">SUM(INDIRECT(BF$1&amp;BF$2&amp;$A653):INDIRECT(BF$1&amp;BF$3&amp;$A653))</f>
        <v>0</v>
      </c>
      <c r="BG653" s="875">
        <f t="shared" ca="1" si="1290"/>
        <v>0</v>
      </c>
      <c r="BH653" s="926">
        <f t="shared" ca="1" si="1291"/>
        <v>0</v>
      </c>
    </row>
    <row r="654" spans="1:60" ht="14.5">
      <c r="A654" s="990">
        <f t="shared" si="1228"/>
        <v>589</v>
      </c>
      <c r="B654" s="990">
        <v>1</v>
      </c>
      <c r="C654" s="990">
        <f t="shared" si="1305"/>
        <v>651</v>
      </c>
      <c r="E654" s="1243">
        <v>1</v>
      </c>
      <c r="I654" s="445"/>
      <c r="J654" s="446"/>
      <c r="K654" s="69"/>
      <c r="L654" s="69"/>
      <c r="M654" s="75"/>
      <c r="N654" s="75" t="s">
        <v>292</v>
      </c>
      <c r="O654" s="75"/>
      <c r="P654" s="75"/>
      <c r="Q654" s="1845" t="str">
        <f>CHOOSE(2, "6722000003573", "S/GP (3) Net Sales Indirect HW &amp; Solution Textile Printer")</f>
        <v>S/GP (3) Net Sales Indirect HW &amp; Solution Textile Printer</v>
      </c>
      <c r="R654" s="2036">
        <v>0</v>
      </c>
      <c r="S654" s="2036">
        <v>0</v>
      </c>
      <c r="T654" s="2036">
        <v>0</v>
      </c>
      <c r="U654" s="2036">
        <v>0</v>
      </c>
      <c r="V654" s="2036">
        <v>0</v>
      </c>
      <c r="W654" s="2036">
        <v>0</v>
      </c>
      <c r="X654" s="2036">
        <v>0</v>
      </c>
      <c r="Y654" s="2036">
        <v>0</v>
      </c>
      <c r="Z654" s="2036">
        <v>0</v>
      </c>
      <c r="AA654" s="2036">
        <v>0</v>
      </c>
      <c r="AB654" s="2036">
        <v>0</v>
      </c>
      <c r="AC654" s="2036">
        <v>0</v>
      </c>
      <c r="AD654" s="100">
        <f t="shared" si="1317"/>
        <v>0</v>
      </c>
      <c r="AE654" s="19">
        <f t="shared" si="1318"/>
        <v>0</v>
      </c>
      <c r="AF654" s="19">
        <f t="shared" si="1319"/>
        <v>0</v>
      </c>
      <c r="AG654" s="19">
        <f t="shared" si="1320"/>
        <v>0</v>
      </c>
      <c r="AH654" s="19">
        <f t="shared" si="1321"/>
        <v>0</v>
      </c>
      <c r="AI654" s="19">
        <f t="shared" si="1322"/>
        <v>0</v>
      </c>
      <c r="AJ654" s="19">
        <f t="shared" si="1323"/>
        <v>0</v>
      </c>
      <c r="AL654" s="19">
        <f ca="1">SUM((INDIRECT(AL$2&amp;(ROW())):INDIRECT(AL$3&amp;(ROW()))))</f>
        <v>0</v>
      </c>
      <c r="AM654" s="19">
        <f ca="1">SUM(INDIRECT(AM$1&amp;AM$2&amp;$C654):INDIRECT(AM$1&amp;AM$3&amp;$C654))</f>
        <v>0</v>
      </c>
      <c r="AN654" s="875">
        <f t="shared" ca="1" si="1280"/>
        <v>0</v>
      </c>
      <c r="AO654" s="926">
        <f t="shared" ca="1" si="1281"/>
        <v>0</v>
      </c>
      <c r="AP654" s="19">
        <f ca="1">SUM(INDIRECT(AP$1&amp;AP$2&amp;$A654):INDIRECT(AP$1&amp;AP$3&amp;$A654))</f>
        <v>0</v>
      </c>
      <c r="AQ654" s="875">
        <f t="shared" ca="1" si="1282"/>
        <v>0</v>
      </c>
      <c r="AR654" s="926">
        <f t="shared" ca="1" si="1283"/>
        <v>0</v>
      </c>
      <c r="AT654" s="19">
        <f ca="1">SUM((INDIRECT(AT$2&amp;(ROW())):INDIRECT(AT$3&amp;(ROW()))))</f>
        <v>0</v>
      </c>
      <c r="AU654" s="19">
        <f ca="1">SUM(INDIRECT(AU$1&amp;AU$2&amp;$C654):INDIRECT(AU$1&amp;AU$3&amp;$C654))</f>
        <v>0</v>
      </c>
      <c r="AV654" s="875">
        <f t="shared" ca="1" si="1284"/>
        <v>0</v>
      </c>
      <c r="AW654" s="926">
        <f t="shared" ca="1" si="1285"/>
        <v>0</v>
      </c>
      <c r="AX654" s="19">
        <f ca="1">SUM(INDIRECT(AX$1&amp;AX$2&amp;$A654):INDIRECT(AX$1&amp;AX$3&amp;$A654))</f>
        <v>0</v>
      </c>
      <c r="AY654" s="875">
        <f t="shared" ca="1" si="1286"/>
        <v>0</v>
      </c>
      <c r="AZ654" s="926">
        <f t="shared" ca="1" si="1287"/>
        <v>0</v>
      </c>
      <c r="BB654" s="19">
        <f ca="1">SUM((INDIRECT(BB$2&amp;(ROW())):INDIRECT(BB$3&amp;(ROW()))))</f>
        <v>0</v>
      </c>
      <c r="BC654" s="19">
        <f ca="1">SUM(INDIRECT(BC$1&amp;BC$2&amp;$C654):INDIRECT(BC$1&amp;BC$3&amp;$C654))</f>
        <v>0</v>
      </c>
      <c r="BD654" s="875">
        <f t="shared" ca="1" si="1288"/>
        <v>0</v>
      </c>
      <c r="BE654" s="926">
        <f t="shared" ca="1" si="1289"/>
        <v>0</v>
      </c>
      <c r="BF654" s="19">
        <f ca="1">SUM(INDIRECT(BF$1&amp;BF$2&amp;$A654):INDIRECT(BF$1&amp;BF$3&amp;$A654))</f>
        <v>0</v>
      </c>
      <c r="BG654" s="875">
        <f t="shared" ca="1" si="1290"/>
        <v>0</v>
      </c>
      <c r="BH654" s="926">
        <f t="shared" ca="1" si="1291"/>
        <v>0</v>
      </c>
    </row>
    <row r="655" spans="1:60" ht="14.5">
      <c r="A655" s="990">
        <f t="shared" si="1228"/>
        <v>590</v>
      </c>
      <c r="B655" s="990">
        <v>1</v>
      </c>
      <c r="C655" s="990">
        <f t="shared" si="1305"/>
        <v>652</v>
      </c>
      <c r="E655" s="1243">
        <v>1</v>
      </c>
      <c r="I655" s="445"/>
      <c r="J655" s="446"/>
      <c r="K655" s="69"/>
      <c r="L655" s="69"/>
      <c r="M655" s="75"/>
      <c r="N655" s="276" t="s">
        <v>131</v>
      </c>
      <c r="O655" s="276"/>
      <c r="P655" s="276"/>
      <c r="Q655" s="1845" t="str">
        <f>CHOOSE(2, "6722000003574", "S/GP (3) Net Sales Indirect HW &amp; Solution Others")</f>
        <v>S/GP (3) Net Sales Indirect HW &amp; Solution Others</v>
      </c>
      <c r="R655" s="2037">
        <v>0</v>
      </c>
      <c r="S655" s="2037">
        <v>0</v>
      </c>
      <c r="T655" s="2037">
        <v>0</v>
      </c>
      <c r="U655" s="2037">
        <v>0</v>
      </c>
      <c r="V655" s="2037">
        <v>0</v>
      </c>
      <c r="W655" s="2037">
        <v>0</v>
      </c>
      <c r="X655" s="2037">
        <v>0</v>
      </c>
      <c r="Y655" s="2037">
        <v>0</v>
      </c>
      <c r="Z655" s="2037">
        <v>0</v>
      </c>
      <c r="AA655" s="2037">
        <v>0</v>
      </c>
      <c r="AB655" s="2037">
        <v>0</v>
      </c>
      <c r="AC655" s="2037">
        <v>0</v>
      </c>
      <c r="AD655" s="99">
        <f t="shared" si="1317"/>
        <v>0</v>
      </c>
      <c r="AE655" s="17">
        <f t="shared" si="1318"/>
        <v>0</v>
      </c>
      <c r="AF655" s="17">
        <f t="shared" si="1319"/>
        <v>0</v>
      </c>
      <c r="AG655" s="17">
        <f t="shared" si="1320"/>
        <v>0</v>
      </c>
      <c r="AH655" s="17">
        <f t="shared" si="1321"/>
        <v>0</v>
      </c>
      <c r="AI655" s="17">
        <f t="shared" si="1322"/>
        <v>0</v>
      </c>
      <c r="AJ655" s="17">
        <f t="shared" si="1323"/>
        <v>0</v>
      </c>
      <c r="AL655" s="17">
        <f ca="1">SUM((INDIRECT(AL$2&amp;(ROW())):INDIRECT(AL$3&amp;(ROW()))))</f>
        <v>0</v>
      </c>
      <c r="AM655" s="17">
        <f ca="1">SUM(INDIRECT(AM$1&amp;AM$2&amp;$C655):INDIRECT(AM$1&amp;AM$3&amp;$C655))</f>
        <v>0</v>
      </c>
      <c r="AN655" s="876">
        <f t="shared" ca="1" si="1280"/>
        <v>0</v>
      </c>
      <c r="AO655" s="927">
        <f t="shared" ca="1" si="1281"/>
        <v>0</v>
      </c>
      <c r="AP655" s="17">
        <f ca="1">SUM(INDIRECT(AP$1&amp;AP$2&amp;$A655):INDIRECT(AP$1&amp;AP$3&amp;$A655))</f>
        <v>0</v>
      </c>
      <c r="AQ655" s="876">
        <f t="shared" ca="1" si="1282"/>
        <v>0</v>
      </c>
      <c r="AR655" s="927">
        <f t="shared" ca="1" si="1283"/>
        <v>0</v>
      </c>
      <c r="AT655" s="17">
        <f ca="1">SUM((INDIRECT(AT$2&amp;(ROW())):INDIRECT(AT$3&amp;(ROW()))))</f>
        <v>0</v>
      </c>
      <c r="AU655" s="17">
        <f ca="1">SUM(INDIRECT(AU$1&amp;AU$2&amp;$C655):INDIRECT(AU$1&amp;AU$3&amp;$C655))</f>
        <v>0</v>
      </c>
      <c r="AV655" s="876">
        <f t="shared" ca="1" si="1284"/>
        <v>0</v>
      </c>
      <c r="AW655" s="927">
        <f t="shared" ca="1" si="1285"/>
        <v>0</v>
      </c>
      <c r="AX655" s="17">
        <f ca="1">SUM(INDIRECT(AX$1&amp;AX$2&amp;$A655):INDIRECT(AX$1&amp;AX$3&amp;$A655))</f>
        <v>0</v>
      </c>
      <c r="AY655" s="876">
        <f t="shared" ca="1" si="1286"/>
        <v>0</v>
      </c>
      <c r="AZ655" s="927">
        <f t="shared" ca="1" si="1287"/>
        <v>0</v>
      </c>
      <c r="BB655" s="17">
        <f ca="1">SUM((INDIRECT(BB$2&amp;(ROW())):INDIRECT(BB$3&amp;(ROW()))))</f>
        <v>0</v>
      </c>
      <c r="BC655" s="17">
        <f ca="1">SUM(INDIRECT(BC$1&amp;BC$2&amp;$C655):INDIRECT(BC$1&amp;BC$3&amp;$C655))</f>
        <v>0</v>
      </c>
      <c r="BD655" s="876">
        <f t="shared" ca="1" si="1288"/>
        <v>0</v>
      </c>
      <c r="BE655" s="927">
        <f t="shared" ca="1" si="1289"/>
        <v>0</v>
      </c>
      <c r="BF655" s="17">
        <f ca="1">SUM(INDIRECT(BF$1&amp;BF$2&amp;$A655):INDIRECT(BF$1&amp;BF$3&amp;$A655))</f>
        <v>0</v>
      </c>
      <c r="BG655" s="876">
        <f t="shared" ca="1" si="1290"/>
        <v>0</v>
      </c>
      <c r="BH655" s="927">
        <f t="shared" ca="1" si="1291"/>
        <v>0</v>
      </c>
    </row>
    <row r="656" spans="1:60" ht="14.5">
      <c r="A656" s="990">
        <f t="shared" si="1228"/>
        <v>591</v>
      </c>
      <c r="B656" s="990">
        <v>1</v>
      </c>
      <c r="C656" s="990">
        <f t="shared" si="1305"/>
        <v>653</v>
      </c>
      <c r="E656" s="1243">
        <v>1</v>
      </c>
      <c r="I656" s="445"/>
      <c r="J656" s="446"/>
      <c r="K656" s="69"/>
      <c r="L656" s="69"/>
      <c r="M656" s="286" t="s">
        <v>306</v>
      </c>
      <c r="N656" s="391"/>
      <c r="O656" s="391"/>
      <c r="P656" s="391"/>
      <c r="Q656" s="1843" t="str">
        <f>CHOOSE(2, "6722000003575", "S/GP (3) Net Sales Indirect NH")</f>
        <v>S/GP (3) Net Sales Indirect NH</v>
      </c>
      <c r="R656" s="365">
        <f t="shared" ref="R656:AC656" si="1324">SUM(R657:R662)</f>
        <v>0</v>
      </c>
      <c r="S656" s="365">
        <f t="shared" si="1324"/>
        <v>0</v>
      </c>
      <c r="T656" s="365">
        <f t="shared" si="1324"/>
        <v>0</v>
      </c>
      <c r="U656" s="365">
        <f t="shared" si="1324"/>
        <v>0</v>
      </c>
      <c r="V656" s="365">
        <f t="shared" si="1324"/>
        <v>0</v>
      </c>
      <c r="W656" s="365">
        <f t="shared" si="1324"/>
        <v>0</v>
      </c>
      <c r="X656" s="365">
        <f t="shared" si="1324"/>
        <v>0</v>
      </c>
      <c r="Y656" s="365">
        <f t="shared" si="1324"/>
        <v>0</v>
      </c>
      <c r="Z656" s="365">
        <f t="shared" si="1324"/>
        <v>0</v>
      </c>
      <c r="AA656" s="365">
        <f t="shared" si="1324"/>
        <v>0</v>
      </c>
      <c r="AB656" s="365">
        <f t="shared" si="1324"/>
        <v>0</v>
      </c>
      <c r="AC656" s="365">
        <f t="shared" si="1324"/>
        <v>0</v>
      </c>
      <c r="AD656" s="408">
        <f t="shared" ref="AD656:AJ656" si="1325">SUM(AD657:AD662)</f>
        <v>0</v>
      </c>
      <c r="AE656" s="365">
        <f t="shared" si="1325"/>
        <v>0</v>
      </c>
      <c r="AF656" s="365">
        <f t="shared" si="1325"/>
        <v>0</v>
      </c>
      <c r="AG656" s="365">
        <f t="shared" si="1325"/>
        <v>0</v>
      </c>
      <c r="AH656" s="365">
        <f t="shared" si="1325"/>
        <v>0</v>
      </c>
      <c r="AI656" s="365">
        <f t="shared" si="1325"/>
        <v>0</v>
      </c>
      <c r="AJ656" s="365">
        <f t="shared" si="1325"/>
        <v>0</v>
      </c>
      <c r="AL656" s="365">
        <f ca="1">SUM((INDIRECT(AL$2&amp;(ROW())):INDIRECT(AL$3&amp;(ROW()))))</f>
        <v>0</v>
      </c>
      <c r="AM656" s="365">
        <f ca="1">SUM(INDIRECT(AM$1&amp;AM$2&amp;$C656):INDIRECT(AM$1&amp;AM$3&amp;$C656))</f>
        <v>0</v>
      </c>
      <c r="AN656" s="891">
        <f t="shared" ca="1" si="1280"/>
        <v>0</v>
      </c>
      <c r="AO656" s="952">
        <f t="shared" ca="1" si="1281"/>
        <v>0</v>
      </c>
      <c r="AP656" s="365">
        <f ca="1">SUM(INDIRECT(AP$1&amp;AP$2&amp;$A656):INDIRECT(AP$1&amp;AP$3&amp;$A656))</f>
        <v>0</v>
      </c>
      <c r="AQ656" s="891">
        <f t="shared" ca="1" si="1282"/>
        <v>0</v>
      </c>
      <c r="AR656" s="952">
        <f t="shared" ca="1" si="1283"/>
        <v>0</v>
      </c>
      <c r="AT656" s="365">
        <f ca="1">SUM((INDIRECT(AT$2&amp;(ROW())):INDIRECT(AT$3&amp;(ROW()))))</f>
        <v>0</v>
      </c>
      <c r="AU656" s="365">
        <f ca="1">SUM(INDIRECT(AU$1&amp;AU$2&amp;$C656):INDIRECT(AU$1&amp;AU$3&amp;$C656))</f>
        <v>0</v>
      </c>
      <c r="AV656" s="891">
        <f t="shared" ca="1" si="1284"/>
        <v>0</v>
      </c>
      <c r="AW656" s="952">
        <f t="shared" ca="1" si="1285"/>
        <v>0</v>
      </c>
      <c r="AX656" s="365">
        <f ca="1">SUM(INDIRECT(AX$1&amp;AX$2&amp;$A656):INDIRECT(AX$1&amp;AX$3&amp;$A656))</f>
        <v>0</v>
      </c>
      <c r="AY656" s="891">
        <f t="shared" ca="1" si="1286"/>
        <v>0</v>
      </c>
      <c r="AZ656" s="952">
        <f t="shared" ca="1" si="1287"/>
        <v>0</v>
      </c>
      <c r="BB656" s="365">
        <f ca="1">SUM((INDIRECT(BB$2&amp;(ROW())):INDIRECT(BB$3&amp;(ROW()))))</f>
        <v>0</v>
      </c>
      <c r="BC656" s="365">
        <f ca="1">SUM(INDIRECT(BC$1&amp;BC$2&amp;$C656):INDIRECT(BC$1&amp;BC$3&amp;$C656))</f>
        <v>0</v>
      </c>
      <c r="BD656" s="891">
        <f t="shared" ca="1" si="1288"/>
        <v>0</v>
      </c>
      <c r="BE656" s="952">
        <f t="shared" ca="1" si="1289"/>
        <v>0</v>
      </c>
      <c r="BF656" s="365">
        <f ca="1">SUM(INDIRECT(BF$1&amp;BF$2&amp;$A656):INDIRECT(BF$1&amp;BF$3&amp;$A656))</f>
        <v>0</v>
      </c>
      <c r="BG656" s="891">
        <f t="shared" ca="1" si="1290"/>
        <v>0</v>
      </c>
      <c r="BH656" s="952">
        <f t="shared" ca="1" si="1291"/>
        <v>0</v>
      </c>
    </row>
    <row r="657" spans="1:60" ht="14.5">
      <c r="A657" s="990">
        <f t="shared" si="1228"/>
        <v>592</v>
      </c>
      <c r="B657" s="990">
        <v>1</v>
      </c>
      <c r="C657" s="990">
        <f t="shared" si="1305"/>
        <v>654</v>
      </c>
      <c r="E657" s="1243">
        <v>1</v>
      </c>
      <c r="I657" s="445"/>
      <c r="J657" s="446"/>
      <c r="K657" s="69"/>
      <c r="L657" s="69"/>
      <c r="M657" s="75"/>
      <c r="N657" s="1246" t="s">
        <v>1258</v>
      </c>
      <c r="O657" s="377"/>
      <c r="P657" s="377"/>
      <c r="Q657" s="1845" t="str">
        <f>CHOOSE(2, "6722000003576", "S/GP (3) Net Sales Indirect NH KM-1/KM-1e")</f>
        <v>S/GP (3) Net Sales Indirect NH KM-1/KM-1e</v>
      </c>
      <c r="R657" s="2042">
        <v>0</v>
      </c>
      <c r="S657" s="2042">
        <v>0</v>
      </c>
      <c r="T657" s="2042">
        <v>0</v>
      </c>
      <c r="U657" s="2042">
        <v>0</v>
      </c>
      <c r="V657" s="2042">
        <v>0</v>
      </c>
      <c r="W657" s="2042">
        <v>0</v>
      </c>
      <c r="X657" s="2042">
        <v>0</v>
      </c>
      <c r="Y657" s="2042">
        <v>0</v>
      </c>
      <c r="Z657" s="2042">
        <v>0</v>
      </c>
      <c r="AA657" s="2042">
        <v>0</v>
      </c>
      <c r="AB657" s="2042">
        <v>0</v>
      </c>
      <c r="AC657" s="2042">
        <v>0</v>
      </c>
      <c r="AD657" s="376">
        <f t="shared" ref="AD657:AD662" si="1326">SUM(R657,S657,T657)</f>
        <v>0</v>
      </c>
      <c r="AE657" s="109">
        <f t="shared" ref="AE657:AE662" si="1327">SUM(U657,V657,W657)</f>
        <v>0</v>
      </c>
      <c r="AF657" s="109">
        <f t="shared" ref="AF657:AF662" si="1328">SUM(X657,Y657,Z657)</f>
        <v>0</v>
      </c>
      <c r="AG657" s="109">
        <f t="shared" ref="AG657:AG662" si="1329">SUM(AA657,AB657,AC657)</f>
        <v>0</v>
      </c>
      <c r="AH657" s="109">
        <f t="shared" ref="AH657:AH662" si="1330">AD657+AE657</f>
        <v>0</v>
      </c>
      <c r="AI657" s="109">
        <f t="shared" ref="AI657:AI662" si="1331">AG657+AF657</f>
        <v>0</v>
      </c>
      <c r="AJ657" s="109">
        <f t="shared" ref="AJ657:AJ662" si="1332">AH657+AI657</f>
        <v>0</v>
      </c>
      <c r="AL657" s="109">
        <f ca="1">SUM((INDIRECT(AL$2&amp;(ROW())):INDIRECT(AL$3&amp;(ROW()))))</f>
        <v>0</v>
      </c>
      <c r="AM657" s="109">
        <f ca="1">SUM(INDIRECT(AM$1&amp;AM$2&amp;$C657):INDIRECT(AM$1&amp;AM$3&amp;$C657))</f>
        <v>0</v>
      </c>
      <c r="AN657" s="892">
        <f t="shared" ca="1" si="1280"/>
        <v>0</v>
      </c>
      <c r="AO657" s="953">
        <f t="shared" ca="1" si="1281"/>
        <v>0</v>
      </c>
      <c r="AP657" s="109">
        <f ca="1">SUM(INDIRECT(AP$1&amp;AP$2&amp;$A657):INDIRECT(AP$1&amp;AP$3&amp;$A657))</f>
        <v>0</v>
      </c>
      <c r="AQ657" s="892">
        <f t="shared" ca="1" si="1282"/>
        <v>0</v>
      </c>
      <c r="AR657" s="953">
        <f t="shared" ca="1" si="1283"/>
        <v>0</v>
      </c>
      <c r="AT657" s="109">
        <f ca="1">SUM((INDIRECT(AT$2&amp;(ROW())):INDIRECT(AT$3&amp;(ROW()))))</f>
        <v>0</v>
      </c>
      <c r="AU657" s="109">
        <f ca="1">SUM(INDIRECT(AU$1&amp;AU$2&amp;$C657):INDIRECT(AU$1&amp;AU$3&amp;$C657))</f>
        <v>0</v>
      </c>
      <c r="AV657" s="892">
        <f t="shared" ca="1" si="1284"/>
        <v>0</v>
      </c>
      <c r="AW657" s="953">
        <f t="shared" ca="1" si="1285"/>
        <v>0</v>
      </c>
      <c r="AX657" s="109">
        <f ca="1">SUM(INDIRECT(AX$1&amp;AX$2&amp;$A657):INDIRECT(AX$1&amp;AX$3&amp;$A657))</f>
        <v>0</v>
      </c>
      <c r="AY657" s="892">
        <f t="shared" ca="1" si="1286"/>
        <v>0</v>
      </c>
      <c r="AZ657" s="953">
        <f t="shared" ca="1" si="1287"/>
        <v>0</v>
      </c>
      <c r="BB657" s="109">
        <f ca="1">SUM((INDIRECT(BB$2&amp;(ROW())):INDIRECT(BB$3&amp;(ROW()))))</f>
        <v>0</v>
      </c>
      <c r="BC657" s="109">
        <f ca="1">SUM(INDIRECT(BC$1&amp;BC$2&amp;$C657):INDIRECT(BC$1&amp;BC$3&amp;$C657))</f>
        <v>0</v>
      </c>
      <c r="BD657" s="892">
        <f t="shared" ca="1" si="1288"/>
        <v>0</v>
      </c>
      <c r="BE657" s="953">
        <f t="shared" ca="1" si="1289"/>
        <v>0</v>
      </c>
      <c r="BF657" s="109">
        <f ca="1">SUM(INDIRECT(BF$1&amp;BF$2&amp;$A657):INDIRECT(BF$1&amp;BF$3&amp;$A657))</f>
        <v>0</v>
      </c>
      <c r="BG657" s="892">
        <f t="shared" ca="1" si="1290"/>
        <v>0</v>
      </c>
      <c r="BH657" s="953">
        <f t="shared" ca="1" si="1291"/>
        <v>0</v>
      </c>
    </row>
    <row r="658" spans="1:60" ht="14.5">
      <c r="A658" s="990">
        <f t="shared" si="1228"/>
        <v>593</v>
      </c>
      <c r="B658" s="990">
        <v>1</v>
      </c>
      <c r="C658" s="990">
        <f t="shared" si="1305"/>
        <v>655</v>
      </c>
      <c r="E658" s="1243">
        <v>1</v>
      </c>
      <c r="I658" s="445"/>
      <c r="J658" s="446"/>
      <c r="K658" s="69"/>
      <c r="L658" s="69"/>
      <c r="M658" s="75"/>
      <c r="N658" s="75" t="s">
        <v>209</v>
      </c>
      <c r="O658" s="75"/>
      <c r="P658" s="75"/>
      <c r="Q658" s="1845" t="str">
        <f>CHOOSE(2, "6722000003577", "S/GP (3) Net Sales Indirect NH Label Printer")</f>
        <v>S/GP (3) Net Sales Indirect NH Label Printer</v>
      </c>
      <c r="R658" s="2036">
        <v>0</v>
      </c>
      <c r="S658" s="2036">
        <v>0</v>
      </c>
      <c r="T658" s="2036">
        <v>0</v>
      </c>
      <c r="U658" s="2036">
        <v>0</v>
      </c>
      <c r="V658" s="2036">
        <v>0</v>
      </c>
      <c r="W658" s="2036">
        <v>0</v>
      </c>
      <c r="X658" s="2036">
        <v>0</v>
      </c>
      <c r="Y658" s="2036">
        <v>0</v>
      </c>
      <c r="Z658" s="2036">
        <v>0</v>
      </c>
      <c r="AA658" s="2036">
        <v>0</v>
      </c>
      <c r="AB658" s="2036">
        <v>0</v>
      </c>
      <c r="AC658" s="2036">
        <v>0</v>
      </c>
      <c r="AD658" s="100">
        <f t="shared" si="1326"/>
        <v>0</v>
      </c>
      <c r="AE658" s="19">
        <f t="shared" si="1327"/>
        <v>0</v>
      </c>
      <c r="AF658" s="19">
        <f t="shared" si="1328"/>
        <v>0</v>
      </c>
      <c r="AG658" s="19">
        <f t="shared" si="1329"/>
        <v>0</v>
      </c>
      <c r="AH658" s="19">
        <f t="shared" si="1330"/>
        <v>0</v>
      </c>
      <c r="AI658" s="19">
        <f t="shared" si="1331"/>
        <v>0</v>
      </c>
      <c r="AJ658" s="19">
        <f t="shared" si="1332"/>
        <v>0</v>
      </c>
      <c r="AL658" s="19">
        <f ca="1">SUM((INDIRECT(AL$2&amp;(ROW())):INDIRECT(AL$3&amp;(ROW()))))</f>
        <v>0</v>
      </c>
      <c r="AM658" s="19">
        <f ca="1">SUM(INDIRECT(AM$1&amp;AM$2&amp;$C658):INDIRECT(AM$1&amp;AM$3&amp;$C658))</f>
        <v>0</v>
      </c>
      <c r="AN658" s="875">
        <f t="shared" ca="1" si="1280"/>
        <v>0</v>
      </c>
      <c r="AO658" s="926">
        <f t="shared" ca="1" si="1281"/>
        <v>0</v>
      </c>
      <c r="AP658" s="19">
        <f ca="1">SUM(INDIRECT(AP$1&amp;AP$2&amp;$A658):INDIRECT(AP$1&amp;AP$3&amp;$A658))</f>
        <v>0</v>
      </c>
      <c r="AQ658" s="875">
        <f t="shared" ca="1" si="1282"/>
        <v>0</v>
      </c>
      <c r="AR658" s="926">
        <f t="shared" ca="1" si="1283"/>
        <v>0</v>
      </c>
      <c r="AT658" s="19">
        <f ca="1">SUM((INDIRECT(AT$2&amp;(ROW())):INDIRECT(AT$3&amp;(ROW()))))</f>
        <v>0</v>
      </c>
      <c r="AU658" s="19">
        <f ca="1">SUM(INDIRECT(AU$1&amp;AU$2&amp;$C658):INDIRECT(AU$1&amp;AU$3&amp;$C658))</f>
        <v>0</v>
      </c>
      <c r="AV658" s="875">
        <f t="shared" ca="1" si="1284"/>
        <v>0</v>
      </c>
      <c r="AW658" s="926">
        <f t="shared" ca="1" si="1285"/>
        <v>0</v>
      </c>
      <c r="AX658" s="19">
        <f ca="1">SUM(INDIRECT(AX$1&amp;AX$2&amp;$A658):INDIRECT(AX$1&amp;AX$3&amp;$A658))</f>
        <v>0</v>
      </c>
      <c r="AY658" s="875">
        <f t="shared" ca="1" si="1286"/>
        <v>0</v>
      </c>
      <c r="AZ658" s="926">
        <f t="shared" ca="1" si="1287"/>
        <v>0</v>
      </c>
      <c r="BB658" s="19">
        <f ca="1">SUM((INDIRECT(BB$2&amp;(ROW())):INDIRECT(BB$3&amp;(ROW()))))</f>
        <v>0</v>
      </c>
      <c r="BC658" s="19">
        <f ca="1">SUM(INDIRECT(BC$1&amp;BC$2&amp;$C658):INDIRECT(BC$1&amp;BC$3&amp;$C658))</f>
        <v>0</v>
      </c>
      <c r="BD658" s="875">
        <f t="shared" ca="1" si="1288"/>
        <v>0</v>
      </c>
      <c r="BE658" s="926">
        <f t="shared" ca="1" si="1289"/>
        <v>0</v>
      </c>
      <c r="BF658" s="19">
        <f ca="1">SUM(INDIRECT(BF$1&amp;BF$2&amp;$A658):INDIRECT(BF$1&amp;BF$3&amp;$A658))</f>
        <v>0</v>
      </c>
      <c r="BG658" s="875">
        <f t="shared" ca="1" si="1290"/>
        <v>0</v>
      </c>
      <c r="BH658" s="926">
        <f t="shared" ca="1" si="1291"/>
        <v>0</v>
      </c>
    </row>
    <row r="659" spans="1:60" ht="14.5">
      <c r="A659" s="990">
        <f t="shared" si="1228"/>
        <v>594</v>
      </c>
      <c r="B659" s="990">
        <v>1</v>
      </c>
      <c r="C659" s="990">
        <f t="shared" si="1305"/>
        <v>656</v>
      </c>
      <c r="E659" s="1243">
        <v>1</v>
      </c>
      <c r="I659" s="445"/>
      <c r="J659" s="446"/>
      <c r="K659" s="69"/>
      <c r="L659" s="69"/>
      <c r="M659" s="75"/>
      <c r="N659" s="75" t="s">
        <v>300</v>
      </c>
      <c r="O659" s="75"/>
      <c r="P659" s="75"/>
      <c r="Q659" s="1845" t="str">
        <f>CHOOSE(2, "6722000003578", "S/GP (3) Net Sales Indirect NH MGI")</f>
        <v>S/GP (3) Net Sales Indirect NH MGI</v>
      </c>
      <c r="R659" s="2036">
        <v>0</v>
      </c>
      <c r="S659" s="2036">
        <v>0</v>
      </c>
      <c r="T659" s="2036">
        <v>0</v>
      </c>
      <c r="U659" s="2036">
        <v>0</v>
      </c>
      <c r="V659" s="2036">
        <v>0</v>
      </c>
      <c r="W659" s="2036">
        <v>0</v>
      </c>
      <c r="X659" s="2036">
        <v>0</v>
      </c>
      <c r="Y659" s="2036">
        <v>0</v>
      </c>
      <c r="Z659" s="2036">
        <v>0</v>
      </c>
      <c r="AA659" s="2036">
        <v>0</v>
      </c>
      <c r="AB659" s="2036">
        <v>0</v>
      </c>
      <c r="AC659" s="2036">
        <v>0</v>
      </c>
      <c r="AD659" s="100">
        <f t="shared" si="1326"/>
        <v>0</v>
      </c>
      <c r="AE659" s="19">
        <f t="shared" si="1327"/>
        <v>0</v>
      </c>
      <c r="AF659" s="19">
        <f t="shared" si="1328"/>
        <v>0</v>
      </c>
      <c r="AG659" s="19">
        <f t="shared" si="1329"/>
        <v>0</v>
      </c>
      <c r="AH659" s="19">
        <f t="shared" si="1330"/>
        <v>0</v>
      </c>
      <c r="AI659" s="19">
        <f t="shared" si="1331"/>
        <v>0</v>
      </c>
      <c r="AJ659" s="19">
        <f t="shared" si="1332"/>
        <v>0</v>
      </c>
      <c r="AL659" s="19">
        <f ca="1">SUM((INDIRECT(AL$2&amp;(ROW())):INDIRECT(AL$3&amp;(ROW()))))</f>
        <v>0</v>
      </c>
      <c r="AM659" s="19">
        <f ca="1">SUM(INDIRECT(AM$1&amp;AM$2&amp;$C659):INDIRECT(AM$1&amp;AM$3&amp;$C659))</f>
        <v>0</v>
      </c>
      <c r="AN659" s="875">
        <f t="shared" ca="1" si="1280"/>
        <v>0</v>
      </c>
      <c r="AO659" s="926">
        <f t="shared" ca="1" si="1281"/>
        <v>0</v>
      </c>
      <c r="AP659" s="19">
        <f ca="1">SUM(INDIRECT(AP$1&amp;AP$2&amp;$A659):INDIRECT(AP$1&amp;AP$3&amp;$A659))</f>
        <v>0</v>
      </c>
      <c r="AQ659" s="875">
        <f t="shared" ca="1" si="1282"/>
        <v>0</v>
      </c>
      <c r="AR659" s="926">
        <f t="shared" ca="1" si="1283"/>
        <v>0</v>
      </c>
      <c r="AT659" s="19">
        <f ca="1">SUM((INDIRECT(AT$2&amp;(ROW())):INDIRECT(AT$3&amp;(ROW()))))</f>
        <v>0</v>
      </c>
      <c r="AU659" s="19">
        <f ca="1">SUM(INDIRECT(AU$1&amp;AU$2&amp;$C659):INDIRECT(AU$1&amp;AU$3&amp;$C659))</f>
        <v>0</v>
      </c>
      <c r="AV659" s="875">
        <f t="shared" ca="1" si="1284"/>
        <v>0</v>
      </c>
      <c r="AW659" s="926">
        <f t="shared" ca="1" si="1285"/>
        <v>0</v>
      </c>
      <c r="AX659" s="19">
        <f ca="1">SUM(INDIRECT(AX$1&amp;AX$2&amp;$A659):INDIRECT(AX$1&amp;AX$3&amp;$A659))</f>
        <v>0</v>
      </c>
      <c r="AY659" s="875">
        <f t="shared" ca="1" si="1286"/>
        <v>0</v>
      </c>
      <c r="AZ659" s="926">
        <f t="shared" ca="1" si="1287"/>
        <v>0</v>
      </c>
      <c r="BB659" s="19">
        <f ca="1">SUM((INDIRECT(BB$2&amp;(ROW())):INDIRECT(BB$3&amp;(ROW()))))</f>
        <v>0</v>
      </c>
      <c r="BC659" s="19">
        <f ca="1">SUM(INDIRECT(BC$1&amp;BC$2&amp;$C659):INDIRECT(BC$1&amp;BC$3&amp;$C659))</f>
        <v>0</v>
      </c>
      <c r="BD659" s="875">
        <f t="shared" ca="1" si="1288"/>
        <v>0</v>
      </c>
      <c r="BE659" s="926">
        <f t="shared" ca="1" si="1289"/>
        <v>0</v>
      </c>
      <c r="BF659" s="19">
        <f ca="1">SUM(INDIRECT(BF$1&amp;BF$2&amp;$A659):INDIRECT(BF$1&amp;BF$3&amp;$A659))</f>
        <v>0</v>
      </c>
      <c r="BG659" s="875">
        <f t="shared" ca="1" si="1290"/>
        <v>0</v>
      </c>
      <c r="BH659" s="926">
        <f t="shared" ca="1" si="1291"/>
        <v>0</v>
      </c>
    </row>
    <row r="660" spans="1:60" ht="14.5">
      <c r="A660" s="990">
        <f t="shared" si="1228"/>
        <v>595</v>
      </c>
      <c r="B660" s="990">
        <v>1</v>
      </c>
      <c r="C660" s="990">
        <f t="shared" si="1305"/>
        <v>657</v>
      </c>
      <c r="E660" s="1243">
        <v>1</v>
      </c>
      <c r="I660" s="445"/>
      <c r="J660" s="446"/>
      <c r="K660" s="69"/>
      <c r="L660" s="69"/>
      <c r="M660" s="75"/>
      <c r="N660" s="75" t="s">
        <v>301</v>
      </c>
      <c r="O660" s="75"/>
      <c r="P660" s="75"/>
      <c r="Q660" s="1845" t="str">
        <f>CHOOSE(2, "6722000003579", "S/GP (3) Net Sales Indirect NH EFI/LF")</f>
        <v>S/GP (3) Net Sales Indirect NH EFI/LF</v>
      </c>
      <c r="R660" s="2036">
        <v>0</v>
      </c>
      <c r="S660" s="2036">
        <v>0</v>
      </c>
      <c r="T660" s="2036">
        <v>0</v>
      </c>
      <c r="U660" s="2036">
        <v>0</v>
      </c>
      <c r="V660" s="2036">
        <v>0</v>
      </c>
      <c r="W660" s="2036">
        <v>0</v>
      </c>
      <c r="X660" s="2036">
        <v>0</v>
      </c>
      <c r="Y660" s="2036">
        <v>0</v>
      </c>
      <c r="Z660" s="2036">
        <v>0</v>
      </c>
      <c r="AA660" s="2036">
        <v>0</v>
      </c>
      <c r="AB660" s="2036">
        <v>0</v>
      </c>
      <c r="AC660" s="2036">
        <v>0</v>
      </c>
      <c r="AD660" s="100">
        <f t="shared" si="1326"/>
        <v>0</v>
      </c>
      <c r="AE660" s="19">
        <f t="shared" si="1327"/>
        <v>0</v>
      </c>
      <c r="AF660" s="19">
        <f t="shared" si="1328"/>
        <v>0</v>
      </c>
      <c r="AG660" s="19">
        <f t="shared" si="1329"/>
        <v>0</v>
      </c>
      <c r="AH660" s="19">
        <f t="shared" si="1330"/>
        <v>0</v>
      </c>
      <c r="AI660" s="19">
        <f t="shared" si="1331"/>
        <v>0</v>
      </c>
      <c r="AJ660" s="19">
        <f t="shared" si="1332"/>
        <v>0</v>
      </c>
      <c r="AL660" s="19">
        <f ca="1">SUM((INDIRECT(AL$2&amp;(ROW())):INDIRECT(AL$3&amp;(ROW()))))</f>
        <v>0</v>
      </c>
      <c r="AM660" s="19">
        <f ca="1">SUM(INDIRECT(AM$1&amp;AM$2&amp;$C660):INDIRECT(AM$1&amp;AM$3&amp;$C660))</f>
        <v>0</v>
      </c>
      <c r="AN660" s="875">
        <f t="shared" ca="1" si="1280"/>
        <v>0</v>
      </c>
      <c r="AO660" s="926">
        <f t="shared" ca="1" si="1281"/>
        <v>0</v>
      </c>
      <c r="AP660" s="19">
        <f ca="1">SUM(INDIRECT(AP$1&amp;AP$2&amp;$A660):INDIRECT(AP$1&amp;AP$3&amp;$A660))</f>
        <v>0</v>
      </c>
      <c r="AQ660" s="875">
        <f t="shared" ca="1" si="1282"/>
        <v>0</v>
      </c>
      <c r="AR660" s="926">
        <f t="shared" ca="1" si="1283"/>
        <v>0</v>
      </c>
      <c r="AT660" s="19">
        <f ca="1">SUM((INDIRECT(AT$2&amp;(ROW())):INDIRECT(AT$3&amp;(ROW()))))</f>
        <v>0</v>
      </c>
      <c r="AU660" s="19">
        <f ca="1">SUM(INDIRECT(AU$1&amp;AU$2&amp;$C660):INDIRECT(AU$1&amp;AU$3&amp;$C660))</f>
        <v>0</v>
      </c>
      <c r="AV660" s="875">
        <f t="shared" ca="1" si="1284"/>
        <v>0</v>
      </c>
      <c r="AW660" s="926">
        <f t="shared" ca="1" si="1285"/>
        <v>0</v>
      </c>
      <c r="AX660" s="19">
        <f ca="1">SUM(INDIRECT(AX$1&amp;AX$2&amp;$A660):INDIRECT(AX$1&amp;AX$3&amp;$A660))</f>
        <v>0</v>
      </c>
      <c r="AY660" s="875">
        <f t="shared" ca="1" si="1286"/>
        <v>0</v>
      </c>
      <c r="AZ660" s="926">
        <f t="shared" ca="1" si="1287"/>
        <v>0</v>
      </c>
      <c r="BB660" s="19">
        <f ca="1">SUM((INDIRECT(BB$2&amp;(ROW())):INDIRECT(BB$3&amp;(ROW()))))</f>
        <v>0</v>
      </c>
      <c r="BC660" s="19">
        <f ca="1">SUM(INDIRECT(BC$1&amp;BC$2&amp;$C660):INDIRECT(BC$1&amp;BC$3&amp;$C660))</f>
        <v>0</v>
      </c>
      <c r="BD660" s="875">
        <f t="shared" ca="1" si="1288"/>
        <v>0</v>
      </c>
      <c r="BE660" s="926">
        <f t="shared" ca="1" si="1289"/>
        <v>0</v>
      </c>
      <c r="BF660" s="19">
        <f ca="1">SUM(INDIRECT(BF$1&amp;BF$2&amp;$A660):INDIRECT(BF$1&amp;BF$3&amp;$A660))</f>
        <v>0</v>
      </c>
      <c r="BG660" s="875">
        <f t="shared" ca="1" si="1290"/>
        <v>0</v>
      </c>
      <c r="BH660" s="926">
        <f t="shared" ca="1" si="1291"/>
        <v>0</v>
      </c>
    </row>
    <row r="661" spans="1:60" ht="14.5">
      <c r="A661" s="990">
        <f t="shared" si="1228"/>
        <v>596</v>
      </c>
      <c r="B661" s="990">
        <v>1</v>
      </c>
      <c r="C661" s="990">
        <f t="shared" si="1305"/>
        <v>658</v>
      </c>
      <c r="E661" s="1243">
        <v>1</v>
      </c>
      <c r="I661" s="445"/>
      <c r="J661" s="446"/>
      <c r="K661" s="69"/>
      <c r="L661" s="69"/>
      <c r="M661" s="75"/>
      <c r="N661" s="75" t="s">
        <v>292</v>
      </c>
      <c r="O661" s="75"/>
      <c r="P661" s="75"/>
      <c r="Q661" s="1845" t="str">
        <f>CHOOSE(2, "6722000003580", "S/GP (3) Net Sales Indirect NH Textile Printer")</f>
        <v>S/GP (3) Net Sales Indirect NH Textile Printer</v>
      </c>
      <c r="R661" s="2036">
        <v>0</v>
      </c>
      <c r="S661" s="2036">
        <v>0</v>
      </c>
      <c r="T661" s="2036">
        <v>0</v>
      </c>
      <c r="U661" s="2036">
        <v>0</v>
      </c>
      <c r="V661" s="2036">
        <v>0</v>
      </c>
      <c r="W661" s="2036">
        <v>0</v>
      </c>
      <c r="X661" s="2036">
        <v>0</v>
      </c>
      <c r="Y661" s="2036">
        <v>0</v>
      </c>
      <c r="Z661" s="2036">
        <v>0</v>
      </c>
      <c r="AA661" s="2036">
        <v>0</v>
      </c>
      <c r="AB661" s="2036">
        <v>0</v>
      </c>
      <c r="AC661" s="2036">
        <v>0</v>
      </c>
      <c r="AD661" s="100">
        <f t="shared" si="1326"/>
        <v>0</v>
      </c>
      <c r="AE661" s="19">
        <f t="shared" si="1327"/>
        <v>0</v>
      </c>
      <c r="AF661" s="19">
        <f t="shared" si="1328"/>
        <v>0</v>
      </c>
      <c r="AG661" s="19">
        <f t="shared" si="1329"/>
        <v>0</v>
      </c>
      <c r="AH661" s="19">
        <f t="shared" si="1330"/>
        <v>0</v>
      </c>
      <c r="AI661" s="19">
        <f t="shared" si="1331"/>
        <v>0</v>
      </c>
      <c r="AJ661" s="19">
        <f t="shared" si="1332"/>
        <v>0</v>
      </c>
      <c r="AL661" s="19">
        <f ca="1">SUM((INDIRECT(AL$2&amp;(ROW())):INDIRECT(AL$3&amp;(ROW()))))</f>
        <v>0</v>
      </c>
      <c r="AM661" s="19">
        <f ca="1">SUM(INDIRECT(AM$1&amp;AM$2&amp;$C661):INDIRECT(AM$1&amp;AM$3&amp;$C661))</f>
        <v>0</v>
      </c>
      <c r="AN661" s="875">
        <f t="shared" ca="1" si="1280"/>
        <v>0</v>
      </c>
      <c r="AO661" s="926">
        <f t="shared" ca="1" si="1281"/>
        <v>0</v>
      </c>
      <c r="AP661" s="19">
        <f ca="1">SUM(INDIRECT(AP$1&amp;AP$2&amp;$A661):INDIRECT(AP$1&amp;AP$3&amp;$A661))</f>
        <v>0</v>
      </c>
      <c r="AQ661" s="875">
        <f t="shared" ca="1" si="1282"/>
        <v>0</v>
      </c>
      <c r="AR661" s="926">
        <f t="shared" ca="1" si="1283"/>
        <v>0</v>
      </c>
      <c r="AT661" s="19">
        <f ca="1">SUM((INDIRECT(AT$2&amp;(ROW())):INDIRECT(AT$3&amp;(ROW()))))</f>
        <v>0</v>
      </c>
      <c r="AU661" s="19">
        <f ca="1">SUM(INDIRECT(AU$1&amp;AU$2&amp;$C661):INDIRECT(AU$1&amp;AU$3&amp;$C661))</f>
        <v>0</v>
      </c>
      <c r="AV661" s="875">
        <f t="shared" ca="1" si="1284"/>
        <v>0</v>
      </c>
      <c r="AW661" s="926">
        <f t="shared" ca="1" si="1285"/>
        <v>0</v>
      </c>
      <c r="AX661" s="19">
        <f ca="1">SUM(INDIRECT(AX$1&amp;AX$2&amp;$A661):INDIRECT(AX$1&amp;AX$3&amp;$A661))</f>
        <v>0</v>
      </c>
      <c r="AY661" s="875">
        <f t="shared" ca="1" si="1286"/>
        <v>0</v>
      </c>
      <c r="AZ661" s="926">
        <f t="shared" ca="1" si="1287"/>
        <v>0</v>
      </c>
      <c r="BB661" s="19">
        <f ca="1">SUM((INDIRECT(BB$2&amp;(ROW())):INDIRECT(BB$3&amp;(ROW()))))</f>
        <v>0</v>
      </c>
      <c r="BC661" s="19">
        <f ca="1">SUM(INDIRECT(BC$1&amp;BC$2&amp;$C661):INDIRECT(BC$1&amp;BC$3&amp;$C661))</f>
        <v>0</v>
      </c>
      <c r="BD661" s="875">
        <f t="shared" ca="1" si="1288"/>
        <v>0</v>
      </c>
      <c r="BE661" s="926">
        <f t="shared" ca="1" si="1289"/>
        <v>0</v>
      </c>
      <c r="BF661" s="19">
        <f ca="1">SUM(INDIRECT(BF$1&amp;BF$2&amp;$A661):INDIRECT(BF$1&amp;BF$3&amp;$A661))</f>
        <v>0</v>
      </c>
      <c r="BG661" s="875">
        <f t="shared" ca="1" si="1290"/>
        <v>0</v>
      </c>
      <c r="BH661" s="926">
        <f t="shared" ca="1" si="1291"/>
        <v>0</v>
      </c>
    </row>
    <row r="662" spans="1:60" ht="14.5">
      <c r="A662" s="990">
        <f t="shared" ref="A662:A725" si="1333">A661+1</f>
        <v>597</v>
      </c>
      <c r="B662" s="990">
        <v>1</v>
      </c>
      <c r="C662" s="990">
        <f t="shared" si="1305"/>
        <v>659</v>
      </c>
      <c r="E662" s="1243">
        <v>1</v>
      </c>
      <c r="I662" s="445"/>
      <c r="J662" s="446"/>
      <c r="K662" s="69"/>
      <c r="L662" s="69"/>
      <c r="M662" s="75"/>
      <c r="N662" s="276" t="s">
        <v>131</v>
      </c>
      <c r="O662" s="276"/>
      <c r="P662" s="276"/>
      <c r="Q662" s="1845" t="str">
        <f>CHOOSE(2, "6722000003581", "S/GP (3) Net Sales Indirect NH Others")</f>
        <v>S/GP (3) Net Sales Indirect NH Others</v>
      </c>
      <c r="R662" s="2037">
        <v>0</v>
      </c>
      <c r="S662" s="2037">
        <v>0</v>
      </c>
      <c r="T662" s="2037">
        <v>0</v>
      </c>
      <c r="U662" s="2037">
        <v>0</v>
      </c>
      <c r="V662" s="2037">
        <v>0</v>
      </c>
      <c r="W662" s="2037">
        <v>0</v>
      </c>
      <c r="X662" s="2037">
        <v>0</v>
      </c>
      <c r="Y662" s="2037">
        <v>0</v>
      </c>
      <c r="Z662" s="2037">
        <v>0</v>
      </c>
      <c r="AA662" s="2037">
        <v>0</v>
      </c>
      <c r="AB662" s="2037">
        <v>0</v>
      </c>
      <c r="AC662" s="2037">
        <v>0</v>
      </c>
      <c r="AD662" s="99">
        <f t="shared" si="1326"/>
        <v>0</v>
      </c>
      <c r="AE662" s="17">
        <f t="shared" si="1327"/>
        <v>0</v>
      </c>
      <c r="AF662" s="17">
        <f t="shared" si="1328"/>
        <v>0</v>
      </c>
      <c r="AG662" s="17">
        <f t="shared" si="1329"/>
        <v>0</v>
      </c>
      <c r="AH662" s="17">
        <f t="shared" si="1330"/>
        <v>0</v>
      </c>
      <c r="AI662" s="17">
        <f t="shared" si="1331"/>
        <v>0</v>
      </c>
      <c r="AJ662" s="17">
        <f t="shared" si="1332"/>
        <v>0</v>
      </c>
      <c r="AL662" s="17">
        <f ca="1">SUM((INDIRECT(AL$2&amp;(ROW())):INDIRECT(AL$3&amp;(ROW()))))</f>
        <v>0</v>
      </c>
      <c r="AM662" s="17">
        <f ca="1">SUM(INDIRECT(AM$1&amp;AM$2&amp;$C662):INDIRECT(AM$1&amp;AM$3&amp;$C662))</f>
        <v>0</v>
      </c>
      <c r="AN662" s="876">
        <f t="shared" ca="1" si="1280"/>
        <v>0</v>
      </c>
      <c r="AO662" s="927">
        <f t="shared" ca="1" si="1281"/>
        <v>0</v>
      </c>
      <c r="AP662" s="17">
        <f ca="1">SUM(INDIRECT(AP$1&amp;AP$2&amp;$A662):INDIRECT(AP$1&amp;AP$3&amp;$A662))</f>
        <v>0</v>
      </c>
      <c r="AQ662" s="876">
        <f t="shared" ca="1" si="1282"/>
        <v>0</v>
      </c>
      <c r="AR662" s="927">
        <f t="shared" ca="1" si="1283"/>
        <v>0</v>
      </c>
      <c r="AT662" s="17">
        <f ca="1">SUM((INDIRECT(AT$2&amp;(ROW())):INDIRECT(AT$3&amp;(ROW()))))</f>
        <v>0</v>
      </c>
      <c r="AU662" s="17">
        <f ca="1">SUM(INDIRECT(AU$1&amp;AU$2&amp;$C662):INDIRECT(AU$1&amp;AU$3&amp;$C662))</f>
        <v>0</v>
      </c>
      <c r="AV662" s="876">
        <f t="shared" ca="1" si="1284"/>
        <v>0</v>
      </c>
      <c r="AW662" s="927">
        <f t="shared" ca="1" si="1285"/>
        <v>0</v>
      </c>
      <c r="AX662" s="17">
        <f ca="1">SUM(INDIRECT(AX$1&amp;AX$2&amp;$A662):INDIRECT(AX$1&amp;AX$3&amp;$A662))</f>
        <v>0</v>
      </c>
      <c r="AY662" s="876">
        <f t="shared" ca="1" si="1286"/>
        <v>0</v>
      </c>
      <c r="AZ662" s="927">
        <f t="shared" ca="1" si="1287"/>
        <v>0</v>
      </c>
      <c r="BB662" s="17">
        <f ca="1">SUM((INDIRECT(BB$2&amp;(ROW())):INDIRECT(BB$3&amp;(ROW()))))</f>
        <v>0</v>
      </c>
      <c r="BC662" s="17">
        <f ca="1">SUM(INDIRECT(BC$1&amp;BC$2&amp;$C662):INDIRECT(BC$1&amp;BC$3&amp;$C662))</f>
        <v>0</v>
      </c>
      <c r="BD662" s="876">
        <f t="shared" ca="1" si="1288"/>
        <v>0</v>
      </c>
      <c r="BE662" s="927">
        <f t="shared" ca="1" si="1289"/>
        <v>0</v>
      </c>
      <c r="BF662" s="17">
        <f ca="1">SUM(INDIRECT(BF$1&amp;BF$2&amp;$A662):INDIRECT(BF$1&amp;BF$3&amp;$A662))</f>
        <v>0</v>
      </c>
      <c r="BG662" s="876">
        <f t="shared" ca="1" si="1290"/>
        <v>0</v>
      </c>
      <c r="BH662" s="927">
        <f t="shared" ca="1" si="1291"/>
        <v>0</v>
      </c>
    </row>
    <row r="663" spans="1:60" ht="14.5">
      <c r="A663" s="990">
        <f t="shared" si="1333"/>
        <v>598</v>
      </c>
      <c r="B663" s="990">
        <v>1</v>
      </c>
      <c r="C663" s="990">
        <f t="shared" si="1305"/>
        <v>660</v>
      </c>
      <c r="E663" s="1243">
        <v>1</v>
      </c>
      <c r="I663" s="443" t="s">
        <v>224</v>
      </c>
      <c r="J663" s="444"/>
      <c r="K663" s="449"/>
      <c r="L663" s="449"/>
      <c r="M663" s="450"/>
      <c r="N663" s="450"/>
      <c r="O663" s="450"/>
      <c r="P663" s="604"/>
      <c r="Q663" s="1860" t="str">
        <f>CHOOSE(2, "6722000003582", "S/GP (3) Gross Profit")</f>
        <v>S/GP (3) Gross Profit</v>
      </c>
      <c r="R663" s="2074">
        <f t="shared" ref="R663:AC663" si="1334">R664+R708</f>
        <v>1055</v>
      </c>
      <c r="S663" s="2074">
        <f t="shared" si="1334"/>
        <v>-2772</v>
      </c>
      <c r="T663" s="2074">
        <f t="shared" si="1334"/>
        <v>8754</v>
      </c>
      <c r="U663" s="2074">
        <f t="shared" si="1334"/>
        <v>1694</v>
      </c>
      <c r="V663" s="2074">
        <f t="shared" si="1334"/>
        <v>3560.1597017955833</v>
      </c>
      <c r="W663" s="2074">
        <f t="shared" si="1334"/>
        <v>2264.3970114766835</v>
      </c>
      <c r="X663" s="2074">
        <f t="shared" si="1334"/>
        <v>2885</v>
      </c>
      <c r="Y663" s="2074">
        <f t="shared" si="1334"/>
        <v>2492</v>
      </c>
      <c r="Z663" s="2074">
        <f t="shared" si="1334"/>
        <v>-8828</v>
      </c>
      <c r="AA663" s="2074">
        <f t="shared" si="1334"/>
        <v>6520</v>
      </c>
      <c r="AB663" s="2074">
        <f t="shared" si="1334"/>
        <v>636.03926000000001</v>
      </c>
      <c r="AC663" s="2074">
        <f t="shared" si="1334"/>
        <v>7486</v>
      </c>
      <c r="AD663" s="1547">
        <f t="shared" ref="AD663:AJ663" si="1335">AD664+AD708</f>
        <v>7037</v>
      </c>
      <c r="AE663" s="451">
        <f t="shared" si="1335"/>
        <v>7518.5567132722663</v>
      </c>
      <c r="AF663" s="451">
        <f t="shared" si="1335"/>
        <v>-3451</v>
      </c>
      <c r="AG663" s="451">
        <f t="shared" si="1335"/>
        <v>14642.03926</v>
      </c>
      <c r="AH663" s="451">
        <f t="shared" si="1335"/>
        <v>14555.556713272264</v>
      </c>
      <c r="AI663" s="451">
        <f t="shared" si="1335"/>
        <v>11191.03926</v>
      </c>
      <c r="AJ663" s="451">
        <f t="shared" si="1335"/>
        <v>25746.595973272262</v>
      </c>
      <c r="AL663" s="2074">
        <f ca="1">SUM((INDIRECT(AL$2&amp;(ROW())):INDIRECT(AL$3&amp;(ROW()))))</f>
        <v>7486</v>
      </c>
      <c r="AM663" s="2074">
        <f ca="1">SUM(INDIRECT(AM$1&amp;AM$2&amp;$C663):INDIRECT(AM$1&amp;AM$3&amp;$C663))</f>
        <v>0</v>
      </c>
      <c r="AN663" s="2542">
        <f t="shared" ca="1" si="1280"/>
        <v>7486</v>
      </c>
      <c r="AO663" s="2543">
        <f t="shared" ca="1" si="1281"/>
        <v>0</v>
      </c>
      <c r="AP663" s="2074">
        <f ca="1">SUM(INDIRECT(AP$1&amp;AP$2&amp;$A663):INDIRECT(AP$1&amp;AP$3&amp;$A663))</f>
        <v>1804</v>
      </c>
      <c r="AQ663" s="2542">
        <f t="shared" ca="1" si="1282"/>
        <v>5682</v>
      </c>
      <c r="AR663" s="2543">
        <f t="shared" ca="1" si="1283"/>
        <v>4.1496674057649665</v>
      </c>
      <c r="AT663" s="2074">
        <f ca="1">SUM((INDIRECT(AT$2&amp;(ROW())):INDIRECT(AT$3&amp;(ROW()))))</f>
        <v>14642.03926</v>
      </c>
      <c r="AU663" s="2074">
        <f ca="1">SUM(INDIRECT(AU$1&amp;AU$2&amp;$C663):INDIRECT(AU$1&amp;AU$3&amp;$C663))</f>
        <v>0</v>
      </c>
      <c r="AV663" s="2542">
        <f t="shared" ca="1" si="1284"/>
        <v>14642.03926</v>
      </c>
      <c r="AW663" s="2543">
        <f t="shared" ca="1" si="1285"/>
        <v>0</v>
      </c>
      <c r="AX663" s="2074">
        <f ca="1">SUM(INDIRECT(AX$1&amp;AX$2&amp;$A663):INDIRECT(AX$1&amp;AX$3&amp;$A663))</f>
        <v>26690</v>
      </c>
      <c r="AY663" s="2542">
        <f t="shared" ca="1" si="1286"/>
        <v>-12047.96074</v>
      </c>
      <c r="AZ663" s="2543">
        <f t="shared" ca="1" si="1287"/>
        <v>0.54859645035593851</v>
      </c>
      <c r="BB663" s="2074">
        <f ca="1">SUM((INDIRECT(BB$2&amp;(ROW())):INDIRECT(BB$3&amp;(ROW()))))</f>
        <v>25746.595973272266</v>
      </c>
      <c r="BC663" s="2074">
        <f ca="1">SUM(INDIRECT(BC$1&amp;BC$2&amp;$C663):INDIRECT(BC$1&amp;BC$3&amp;$C663))</f>
        <v>0</v>
      </c>
      <c r="BD663" s="2542">
        <f t="shared" ca="1" si="1288"/>
        <v>25746.595973272266</v>
      </c>
      <c r="BE663" s="2543">
        <f t="shared" ca="1" si="1289"/>
        <v>0</v>
      </c>
      <c r="BF663" s="2074">
        <f ca="1">SUM(INDIRECT(BF$1&amp;BF$2&amp;$A663):INDIRECT(BF$1&amp;BF$3&amp;$A663))</f>
        <v>33843</v>
      </c>
      <c r="BG663" s="2542">
        <f t="shared" ca="1" si="1290"/>
        <v>-8096.4040267277342</v>
      </c>
      <c r="BH663" s="2543">
        <f t="shared" ca="1" si="1291"/>
        <v>0.76076577056621064</v>
      </c>
    </row>
    <row r="664" spans="1:60" ht="14.5">
      <c r="A664" s="990">
        <f t="shared" si="1333"/>
        <v>599</v>
      </c>
      <c r="B664" s="990">
        <v>1</v>
      </c>
      <c r="C664" s="990">
        <f t="shared" si="1305"/>
        <v>661</v>
      </c>
      <c r="E664" s="1243">
        <v>1</v>
      </c>
      <c r="I664" s="445"/>
      <c r="J664" s="446"/>
      <c r="K664" s="74" t="s">
        <v>212</v>
      </c>
      <c r="L664" s="74"/>
      <c r="M664" s="357"/>
      <c r="N664" s="357"/>
      <c r="O664" s="357"/>
      <c r="P664" s="357"/>
      <c r="Q664" s="1878" t="str">
        <f>CHOOSE(2, "6722000003583", "S/GP (3) Gross Profit Direct")</f>
        <v>S/GP (3) Gross Profit Direct</v>
      </c>
      <c r="R664" s="359">
        <f>R665+R672</f>
        <v>1055</v>
      </c>
      <c r="S664" s="359">
        <f t="shared" ref="S664:AC664" si="1336">S665+S672</f>
        <v>-2772</v>
      </c>
      <c r="T664" s="359">
        <f t="shared" si="1336"/>
        <v>8754</v>
      </c>
      <c r="U664" s="359">
        <f t="shared" si="1336"/>
        <v>1694</v>
      </c>
      <c r="V664" s="359">
        <f t="shared" si="1336"/>
        <v>3560.1597017955833</v>
      </c>
      <c r="W664" s="359">
        <f t="shared" si="1336"/>
        <v>2264.3970114766835</v>
      </c>
      <c r="X664" s="359">
        <f t="shared" si="1336"/>
        <v>2885</v>
      </c>
      <c r="Y664" s="359">
        <f t="shared" si="1336"/>
        <v>2492</v>
      </c>
      <c r="Z664" s="359">
        <f t="shared" si="1336"/>
        <v>-8828</v>
      </c>
      <c r="AA664" s="359">
        <f t="shared" si="1336"/>
        <v>6520</v>
      </c>
      <c r="AB664" s="359">
        <f t="shared" si="1336"/>
        <v>636.03926000000001</v>
      </c>
      <c r="AC664" s="359">
        <f t="shared" si="1336"/>
        <v>7486</v>
      </c>
      <c r="AD664" s="407">
        <f t="shared" ref="AD664:AJ664" si="1337">AD665+AD672</f>
        <v>7037</v>
      </c>
      <c r="AE664" s="359">
        <f t="shared" si="1337"/>
        <v>7518.5567132722663</v>
      </c>
      <c r="AF664" s="359">
        <f t="shared" si="1337"/>
        <v>-3451</v>
      </c>
      <c r="AG664" s="359">
        <f t="shared" si="1337"/>
        <v>14642.03926</v>
      </c>
      <c r="AH664" s="359">
        <f t="shared" si="1337"/>
        <v>14555.556713272264</v>
      </c>
      <c r="AI664" s="359">
        <f t="shared" si="1337"/>
        <v>11191.03926</v>
      </c>
      <c r="AJ664" s="359">
        <f t="shared" si="1337"/>
        <v>25746.595973272262</v>
      </c>
      <c r="AL664" s="359">
        <f ca="1">SUM((INDIRECT(AL$2&amp;(ROW())):INDIRECT(AL$3&amp;(ROW()))))</f>
        <v>7486</v>
      </c>
      <c r="AM664" s="359">
        <f ca="1">SUM(INDIRECT(AM$1&amp;AM$2&amp;$C664):INDIRECT(AM$1&amp;AM$3&amp;$C664))</f>
        <v>0</v>
      </c>
      <c r="AN664" s="900">
        <f t="shared" ref="AN664:AN695" ca="1" si="1338">AL664-AM664</f>
        <v>7486</v>
      </c>
      <c r="AO664" s="961">
        <f t="shared" ref="AO664:AO695" ca="1" si="1339">IFERROR(AL664/AM664,0)</f>
        <v>0</v>
      </c>
      <c r="AP664" s="359">
        <f ca="1">SUM(INDIRECT(AP$1&amp;AP$2&amp;$A664):INDIRECT(AP$1&amp;AP$3&amp;$A664))</f>
        <v>1804</v>
      </c>
      <c r="AQ664" s="900">
        <f t="shared" ref="AQ664:AQ695" ca="1" si="1340">AL664-AP664</f>
        <v>5682</v>
      </c>
      <c r="AR664" s="961">
        <f t="shared" ref="AR664:AR695" ca="1" si="1341">IFERROR(AL664/AP664,0)</f>
        <v>4.1496674057649665</v>
      </c>
      <c r="AT664" s="359">
        <f ca="1">SUM((INDIRECT(AT$2&amp;(ROW())):INDIRECT(AT$3&amp;(ROW()))))</f>
        <v>14642.03926</v>
      </c>
      <c r="AU664" s="359">
        <f ca="1">SUM(INDIRECT(AU$1&amp;AU$2&amp;$C664):INDIRECT(AU$1&amp;AU$3&amp;$C664))</f>
        <v>0</v>
      </c>
      <c r="AV664" s="900">
        <f t="shared" ref="AV664:AV695" ca="1" si="1342">AT664-AU664</f>
        <v>14642.03926</v>
      </c>
      <c r="AW664" s="961">
        <f t="shared" ref="AW664:AW695" ca="1" si="1343">IFERROR(AT664/AU664,0)</f>
        <v>0</v>
      </c>
      <c r="AX664" s="359">
        <f ca="1">SUM(INDIRECT(AX$1&amp;AX$2&amp;$A664):INDIRECT(AX$1&amp;AX$3&amp;$A664))</f>
        <v>26690</v>
      </c>
      <c r="AY664" s="900">
        <f t="shared" ref="AY664:AY695" ca="1" si="1344">AT664-AX664</f>
        <v>-12047.96074</v>
      </c>
      <c r="AZ664" s="961">
        <f t="shared" ref="AZ664:AZ695" ca="1" si="1345">IFERROR(AT664/AX664,0)</f>
        <v>0.54859645035593851</v>
      </c>
      <c r="BB664" s="359">
        <f ca="1">SUM((INDIRECT(BB$2&amp;(ROW())):INDIRECT(BB$3&amp;(ROW()))))</f>
        <v>25746.595973272266</v>
      </c>
      <c r="BC664" s="359">
        <f ca="1">SUM(INDIRECT(BC$1&amp;BC$2&amp;$C664):INDIRECT(BC$1&amp;BC$3&amp;$C664))</f>
        <v>0</v>
      </c>
      <c r="BD664" s="900">
        <f t="shared" ref="BD664:BD695" ca="1" si="1346">BB664-BC664</f>
        <v>25746.595973272266</v>
      </c>
      <c r="BE664" s="961">
        <f t="shared" ref="BE664:BE695" ca="1" si="1347">IFERROR(BB664/BC664,0)</f>
        <v>0</v>
      </c>
      <c r="BF664" s="359">
        <f ca="1">SUM(INDIRECT(BF$1&amp;BF$2&amp;$A664):INDIRECT(BF$1&amp;BF$3&amp;$A664))</f>
        <v>33843</v>
      </c>
      <c r="BG664" s="900">
        <f t="shared" ref="BG664:BG695" ca="1" si="1348">BB664-BF664</f>
        <v>-8096.4040267277342</v>
      </c>
      <c r="BH664" s="961">
        <f t="shared" ref="BH664:BH695" ca="1" si="1349">IFERROR(BB664/BF664,0)</f>
        <v>0.76076577056621064</v>
      </c>
    </row>
    <row r="665" spans="1:60" ht="14.5">
      <c r="A665" s="990">
        <f t="shared" si="1333"/>
        <v>600</v>
      </c>
      <c r="B665" s="990">
        <v>1</v>
      </c>
      <c r="C665" s="990">
        <f t="shared" si="1305"/>
        <v>662</v>
      </c>
      <c r="E665" s="1243">
        <v>1</v>
      </c>
      <c r="I665" s="445"/>
      <c r="J665" s="446"/>
      <c r="K665" s="74"/>
      <c r="L665" s="74"/>
      <c r="M665" s="75" t="s">
        <v>304</v>
      </c>
      <c r="N665" s="391"/>
      <c r="O665" s="391"/>
      <c r="P665" s="391"/>
      <c r="Q665" s="1843" t="str">
        <f>CHOOSE(2, "6722000003584", "S/GP (3) Gross Profit Direct HW &amp; Solution")</f>
        <v>S/GP (3) Gross Profit Direct HW &amp; Solution</v>
      </c>
      <c r="R665" s="365">
        <f t="shared" ref="R665:AC665" si="1350">SUM(R666:R671)</f>
        <v>466</v>
      </c>
      <c r="S665" s="365">
        <f t="shared" si="1350"/>
        <v>-5163</v>
      </c>
      <c r="T665" s="365">
        <f t="shared" si="1350"/>
        <v>7811</v>
      </c>
      <c r="U665" s="365">
        <f t="shared" si="1350"/>
        <v>208</v>
      </c>
      <c r="V665" s="365">
        <f t="shared" si="1350"/>
        <v>1519.330102126642</v>
      </c>
      <c r="W665" s="365">
        <f t="shared" si="1350"/>
        <v>1637</v>
      </c>
      <c r="X665" s="365">
        <f t="shared" si="1350"/>
        <v>152</v>
      </c>
      <c r="Y665" s="365">
        <f t="shared" si="1350"/>
        <v>1090</v>
      </c>
      <c r="Z665" s="365">
        <f t="shared" si="1350"/>
        <v>-10398</v>
      </c>
      <c r="AA665" s="365">
        <f t="shared" si="1350"/>
        <v>5836</v>
      </c>
      <c r="AB665" s="365">
        <f t="shared" si="1350"/>
        <v>-208</v>
      </c>
      <c r="AC665" s="365">
        <f t="shared" si="1350"/>
        <v>16384</v>
      </c>
      <c r="AD665" s="408">
        <f t="shared" ref="AD665:AJ665" si="1351">SUM(AD666:AD671)</f>
        <v>3114</v>
      </c>
      <c r="AE665" s="365">
        <f t="shared" si="1351"/>
        <v>3364.330102126642</v>
      </c>
      <c r="AF665" s="365">
        <f t="shared" si="1351"/>
        <v>-9156</v>
      </c>
      <c r="AG665" s="365">
        <f t="shared" si="1351"/>
        <v>22012</v>
      </c>
      <c r="AH665" s="365">
        <f t="shared" si="1351"/>
        <v>6478.3301021266416</v>
      </c>
      <c r="AI665" s="365">
        <f t="shared" si="1351"/>
        <v>12856</v>
      </c>
      <c r="AJ665" s="365">
        <f t="shared" si="1351"/>
        <v>19334.330102126642</v>
      </c>
      <c r="AL665" s="365">
        <f ca="1">SUM((INDIRECT(AL$2&amp;(ROW())):INDIRECT(AL$3&amp;(ROW()))))</f>
        <v>16384</v>
      </c>
      <c r="AM665" s="365">
        <f ca="1">SUM(INDIRECT(AM$1&amp;AM$2&amp;$C665):INDIRECT(AM$1&amp;AM$3&amp;$C665))</f>
        <v>0</v>
      </c>
      <c r="AN665" s="891">
        <f t="shared" ca="1" si="1338"/>
        <v>16384</v>
      </c>
      <c r="AO665" s="952">
        <f t="shared" ca="1" si="1339"/>
        <v>0</v>
      </c>
      <c r="AP665" s="365">
        <f ca="1">SUM(INDIRECT(AP$1&amp;AP$2&amp;$A665):INDIRECT(AP$1&amp;AP$3&amp;$A665))</f>
        <v>1733</v>
      </c>
      <c r="AQ665" s="891">
        <f t="shared" ca="1" si="1340"/>
        <v>14651</v>
      </c>
      <c r="AR665" s="952">
        <f t="shared" ca="1" si="1341"/>
        <v>9.4541257934218113</v>
      </c>
      <c r="AT665" s="365">
        <f ca="1">SUM((INDIRECT(AT$2&amp;(ROW())):INDIRECT(AT$3&amp;(ROW()))))</f>
        <v>22012</v>
      </c>
      <c r="AU665" s="365">
        <f ca="1">SUM(INDIRECT(AU$1&amp;AU$2&amp;$C665):INDIRECT(AU$1&amp;AU$3&amp;$C665))</f>
        <v>0</v>
      </c>
      <c r="AV665" s="891">
        <f t="shared" ca="1" si="1342"/>
        <v>22012</v>
      </c>
      <c r="AW665" s="952">
        <f t="shared" ca="1" si="1343"/>
        <v>0</v>
      </c>
      <c r="AX665" s="365">
        <f ca="1">SUM(INDIRECT(AX$1&amp;AX$2&amp;$A665):INDIRECT(AX$1&amp;AX$3&amp;$A665))</f>
        <v>24190</v>
      </c>
      <c r="AY665" s="891">
        <f t="shared" ca="1" si="1344"/>
        <v>-2178</v>
      </c>
      <c r="AZ665" s="952">
        <f t="shared" ca="1" si="1345"/>
        <v>0.90996279454319962</v>
      </c>
      <c r="BB665" s="365">
        <f ca="1">SUM((INDIRECT(BB$2&amp;(ROW())):INDIRECT(BB$3&amp;(ROW()))))</f>
        <v>19334.330102126642</v>
      </c>
      <c r="BC665" s="365">
        <f ca="1">SUM(INDIRECT(BC$1&amp;BC$2&amp;$C665):INDIRECT(BC$1&amp;BC$3&amp;$C665))</f>
        <v>0</v>
      </c>
      <c r="BD665" s="891">
        <f t="shared" ca="1" si="1346"/>
        <v>19334.330102126642</v>
      </c>
      <c r="BE665" s="952">
        <f t="shared" ca="1" si="1347"/>
        <v>0</v>
      </c>
      <c r="BF665" s="365">
        <f ca="1">SUM(INDIRECT(BF$1&amp;BF$2&amp;$A665):INDIRECT(BF$1&amp;BF$3&amp;$A665))</f>
        <v>30502</v>
      </c>
      <c r="BG665" s="891">
        <f t="shared" ca="1" si="1348"/>
        <v>-11167.669897873358</v>
      </c>
      <c r="BH665" s="952">
        <f t="shared" ca="1" si="1349"/>
        <v>0.63387089706008271</v>
      </c>
    </row>
    <row r="666" spans="1:60" ht="14.5">
      <c r="A666" s="990">
        <f t="shared" si="1333"/>
        <v>601</v>
      </c>
      <c r="B666" s="990">
        <v>1</v>
      </c>
      <c r="C666" s="990">
        <f t="shared" si="1305"/>
        <v>663</v>
      </c>
      <c r="E666" s="1243">
        <v>1</v>
      </c>
      <c r="I666" s="445"/>
      <c r="J666" s="446"/>
      <c r="K666" s="74"/>
      <c r="L666" s="74"/>
      <c r="M666" s="75"/>
      <c r="N666" s="1246" t="s">
        <v>1258</v>
      </c>
      <c r="O666" s="377"/>
      <c r="P666" s="377"/>
      <c r="Q666" s="1845" t="str">
        <f>CHOOSE(2, "6722000003585", "S/GP (3) Gross Profit Direct HW &amp; Solution KM-1/KM-1e")</f>
        <v>S/GP (3) Gross Profit Direct HW &amp; Solution KM-1/KM-1e</v>
      </c>
      <c r="R666" s="2042">
        <v>0</v>
      </c>
      <c r="S666" s="2042">
        <v>0</v>
      </c>
      <c r="T666" s="2042">
        <v>0</v>
      </c>
      <c r="U666" s="2042">
        <v>0</v>
      </c>
      <c r="V666" s="2042">
        <v>0</v>
      </c>
      <c r="W666" s="2042">
        <v>0</v>
      </c>
      <c r="X666" s="2042">
        <v>0</v>
      </c>
      <c r="Y666" s="2042">
        <v>0</v>
      </c>
      <c r="Z666" s="2042">
        <v>0</v>
      </c>
      <c r="AA666" s="2042">
        <v>0</v>
      </c>
      <c r="AB666" s="2042">
        <v>0</v>
      </c>
      <c r="AC666" s="2042">
        <v>-2368</v>
      </c>
      <c r="AD666" s="376">
        <f t="shared" ref="AD666:AD671" si="1352">SUM(R666,S666,T666)</f>
        <v>0</v>
      </c>
      <c r="AE666" s="109">
        <f t="shared" ref="AE666:AE671" si="1353">SUM(U666,V666,W666)</f>
        <v>0</v>
      </c>
      <c r="AF666" s="109">
        <f t="shared" ref="AF666:AF671" si="1354">SUM(X666,Y666,Z666)</f>
        <v>0</v>
      </c>
      <c r="AG666" s="109">
        <f t="shared" ref="AG666:AG671" si="1355">SUM(AA666,AB666,AC666)</f>
        <v>-2368</v>
      </c>
      <c r="AH666" s="109">
        <f t="shared" ref="AH666:AH671" si="1356">AD666+AE666</f>
        <v>0</v>
      </c>
      <c r="AI666" s="109">
        <f t="shared" ref="AI666:AI671" si="1357">AG666+AF666</f>
        <v>-2368</v>
      </c>
      <c r="AJ666" s="109">
        <f t="shared" ref="AJ666:AJ671" si="1358">AH666+AI666</f>
        <v>-2368</v>
      </c>
      <c r="AL666" s="109">
        <f ca="1">SUM((INDIRECT(AL$2&amp;(ROW())):INDIRECT(AL$3&amp;(ROW()))))</f>
        <v>-2368</v>
      </c>
      <c r="AM666" s="109">
        <f ca="1">SUM(INDIRECT(AM$1&amp;AM$2&amp;$C666):INDIRECT(AM$1&amp;AM$3&amp;$C666))</f>
        <v>0</v>
      </c>
      <c r="AN666" s="892">
        <f t="shared" ca="1" si="1338"/>
        <v>-2368</v>
      </c>
      <c r="AO666" s="953">
        <f t="shared" ca="1" si="1339"/>
        <v>0</v>
      </c>
      <c r="AP666" s="109">
        <f ca="1">SUM(INDIRECT(AP$1&amp;AP$2&amp;$A666):INDIRECT(AP$1&amp;AP$3&amp;$A666))</f>
        <v>267</v>
      </c>
      <c r="AQ666" s="892">
        <f t="shared" ca="1" si="1340"/>
        <v>-2635</v>
      </c>
      <c r="AR666" s="953">
        <f t="shared" ca="1" si="1341"/>
        <v>-8.868913857677903</v>
      </c>
      <c r="AT666" s="109">
        <f ca="1">SUM((INDIRECT(AT$2&amp;(ROW())):INDIRECT(AT$3&amp;(ROW()))))</f>
        <v>-2368</v>
      </c>
      <c r="AU666" s="109">
        <f ca="1">SUM(INDIRECT(AU$1&amp;AU$2&amp;$C666):INDIRECT(AU$1&amp;AU$3&amp;$C666))</f>
        <v>0</v>
      </c>
      <c r="AV666" s="892">
        <f t="shared" ca="1" si="1342"/>
        <v>-2368</v>
      </c>
      <c r="AW666" s="953">
        <f t="shared" ca="1" si="1343"/>
        <v>0</v>
      </c>
      <c r="AX666" s="109">
        <f ca="1">SUM(INDIRECT(AX$1&amp;AX$2&amp;$A666):INDIRECT(AX$1&amp;AX$3&amp;$A666))</f>
        <v>-1509</v>
      </c>
      <c r="AY666" s="892">
        <f t="shared" ca="1" si="1344"/>
        <v>-859</v>
      </c>
      <c r="AZ666" s="953">
        <f t="shared" ca="1" si="1345"/>
        <v>1.5692511597084162</v>
      </c>
      <c r="BB666" s="109">
        <f ca="1">SUM((INDIRECT(BB$2&amp;(ROW())):INDIRECT(BB$3&amp;(ROW()))))</f>
        <v>-2368</v>
      </c>
      <c r="BC666" s="109">
        <f ca="1">SUM(INDIRECT(BC$1&amp;BC$2&amp;$C666):INDIRECT(BC$1&amp;BC$3&amp;$C666))</f>
        <v>0</v>
      </c>
      <c r="BD666" s="892">
        <f t="shared" ca="1" si="1346"/>
        <v>-2368</v>
      </c>
      <c r="BE666" s="953">
        <f t="shared" ca="1" si="1347"/>
        <v>0</v>
      </c>
      <c r="BF666" s="109">
        <f ca="1">SUM(INDIRECT(BF$1&amp;BF$2&amp;$A666):INDIRECT(BF$1&amp;BF$3&amp;$A666))</f>
        <v>-1638</v>
      </c>
      <c r="BG666" s="892">
        <f t="shared" ca="1" si="1348"/>
        <v>-730</v>
      </c>
      <c r="BH666" s="953">
        <f t="shared" ca="1" si="1349"/>
        <v>1.4456654456654456</v>
      </c>
    </row>
    <row r="667" spans="1:60" ht="14.5">
      <c r="A667" s="990">
        <f t="shared" si="1333"/>
        <v>602</v>
      </c>
      <c r="B667" s="990">
        <v>1</v>
      </c>
      <c r="C667" s="990">
        <f t="shared" si="1305"/>
        <v>664</v>
      </c>
      <c r="E667" s="1243">
        <v>1</v>
      </c>
      <c r="I667" s="445"/>
      <c r="J667" s="446"/>
      <c r="K667" s="74"/>
      <c r="L667" s="74"/>
      <c r="M667" s="75"/>
      <c r="N667" s="75" t="s">
        <v>209</v>
      </c>
      <c r="O667" s="75"/>
      <c r="P667" s="75"/>
      <c r="Q667" s="1845" t="str">
        <f>CHOOSE(2, "6722000003586", "S/GP (3) Gross Profit Direct HW &amp; Solution Label Printer")</f>
        <v>S/GP (3) Gross Profit Direct HW &amp; Solution Label Printer</v>
      </c>
      <c r="R667" s="2036">
        <v>0</v>
      </c>
      <c r="S667" s="2036">
        <v>0</v>
      </c>
      <c r="T667" s="2036">
        <v>5473</v>
      </c>
      <c r="U667" s="2036">
        <v>0</v>
      </c>
      <c r="V667" s="2036">
        <v>0</v>
      </c>
      <c r="W667" s="2036">
        <v>0</v>
      </c>
      <c r="X667" s="2036">
        <v>0</v>
      </c>
      <c r="Y667" s="2042">
        <v>0</v>
      </c>
      <c r="Z667" s="2036">
        <v>-10000</v>
      </c>
      <c r="AA667" s="2036">
        <v>5081</v>
      </c>
      <c r="AB667" s="2036">
        <v>0</v>
      </c>
      <c r="AC667" s="2036">
        <v>14670</v>
      </c>
      <c r="AD667" s="100">
        <f t="shared" si="1352"/>
        <v>5473</v>
      </c>
      <c r="AE667" s="19">
        <f t="shared" si="1353"/>
        <v>0</v>
      </c>
      <c r="AF667" s="19">
        <f t="shared" si="1354"/>
        <v>-10000</v>
      </c>
      <c r="AG667" s="19">
        <f t="shared" si="1355"/>
        <v>19751</v>
      </c>
      <c r="AH667" s="19">
        <f t="shared" si="1356"/>
        <v>5473</v>
      </c>
      <c r="AI667" s="19">
        <f t="shared" si="1357"/>
        <v>9751</v>
      </c>
      <c r="AJ667" s="19">
        <f t="shared" si="1358"/>
        <v>15224</v>
      </c>
      <c r="AL667" s="19">
        <f ca="1">SUM((INDIRECT(AL$2&amp;(ROW())):INDIRECT(AL$3&amp;(ROW()))))</f>
        <v>14670</v>
      </c>
      <c r="AM667" s="19">
        <f ca="1">SUM(INDIRECT(AM$1&amp;AM$2&amp;$C667):INDIRECT(AM$1&amp;AM$3&amp;$C667))</f>
        <v>0</v>
      </c>
      <c r="AN667" s="875">
        <f t="shared" ca="1" si="1338"/>
        <v>14670</v>
      </c>
      <c r="AO667" s="926">
        <f t="shared" ca="1" si="1339"/>
        <v>0</v>
      </c>
      <c r="AP667" s="19">
        <f ca="1">SUM(INDIRECT(AP$1&amp;AP$2&amp;$A667):INDIRECT(AP$1&amp;AP$3&amp;$A667))</f>
        <v>1057</v>
      </c>
      <c r="AQ667" s="875">
        <f t="shared" ca="1" si="1340"/>
        <v>13613</v>
      </c>
      <c r="AR667" s="926">
        <f t="shared" ca="1" si="1341"/>
        <v>13.878902554399243</v>
      </c>
      <c r="AT667" s="19">
        <f ca="1">SUM((INDIRECT(AT$2&amp;(ROW())):INDIRECT(AT$3&amp;(ROW()))))</f>
        <v>19751</v>
      </c>
      <c r="AU667" s="19">
        <f ca="1">SUM(INDIRECT(AU$1&amp;AU$2&amp;$C667):INDIRECT(AU$1&amp;AU$3&amp;$C667))</f>
        <v>0</v>
      </c>
      <c r="AV667" s="875">
        <f t="shared" ca="1" si="1342"/>
        <v>19751</v>
      </c>
      <c r="AW667" s="926">
        <f t="shared" ca="1" si="1343"/>
        <v>0</v>
      </c>
      <c r="AX667" s="19">
        <f ca="1">SUM(INDIRECT(AX$1&amp;AX$2&amp;$A667):INDIRECT(AX$1&amp;AX$3&amp;$A667))</f>
        <v>6621</v>
      </c>
      <c r="AY667" s="875">
        <f t="shared" ca="1" si="1344"/>
        <v>13130</v>
      </c>
      <c r="AZ667" s="926">
        <f t="shared" ca="1" si="1345"/>
        <v>2.9830841262649148</v>
      </c>
      <c r="BB667" s="19">
        <f ca="1">SUM((INDIRECT(BB$2&amp;(ROW())):INDIRECT(BB$3&amp;(ROW()))))</f>
        <v>15224</v>
      </c>
      <c r="BC667" s="19">
        <f ca="1">SUM(INDIRECT(BC$1&amp;BC$2&amp;$C667):INDIRECT(BC$1&amp;BC$3&amp;$C667))</f>
        <v>0</v>
      </c>
      <c r="BD667" s="875">
        <f t="shared" ca="1" si="1346"/>
        <v>15224</v>
      </c>
      <c r="BE667" s="926">
        <f t="shared" ca="1" si="1347"/>
        <v>0</v>
      </c>
      <c r="BF667" s="19">
        <f ca="1">SUM(INDIRECT(BF$1&amp;BF$2&amp;$A667):INDIRECT(BF$1&amp;BF$3&amp;$A667))</f>
        <v>16909</v>
      </c>
      <c r="BG667" s="875">
        <f t="shared" ca="1" si="1348"/>
        <v>-1685</v>
      </c>
      <c r="BH667" s="926">
        <f t="shared" ca="1" si="1349"/>
        <v>0.90034892660713228</v>
      </c>
    </row>
    <row r="668" spans="1:60" ht="14.5">
      <c r="A668" s="990">
        <f t="shared" si="1333"/>
        <v>603</v>
      </c>
      <c r="B668" s="990">
        <v>1</v>
      </c>
      <c r="C668" s="990">
        <f t="shared" si="1305"/>
        <v>665</v>
      </c>
      <c r="E668" s="1243">
        <v>1</v>
      </c>
      <c r="I668" s="445"/>
      <c r="J668" s="446"/>
      <c r="K668" s="74"/>
      <c r="L668" s="74"/>
      <c r="M668" s="75"/>
      <c r="N668" s="75" t="s">
        <v>300</v>
      </c>
      <c r="O668" s="75"/>
      <c r="P668" s="75"/>
      <c r="Q668" s="1845" t="str">
        <f>CHOOSE(2, "6722000003587", "S/GP (3) Gross Profit Direct HW &amp; Solution MGI")</f>
        <v>S/GP (3) Gross Profit Direct HW &amp; Solution MGI</v>
      </c>
      <c r="R668" s="2036">
        <v>466</v>
      </c>
      <c r="S668" s="2036">
        <v>-5163</v>
      </c>
      <c r="T668" s="2036">
        <v>2338</v>
      </c>
      <c r="U668" s="2036">
        <v>208</v>
      </c>
      <c r="V668" s="2036">
        <v>1519.330102126642</v>
      </c>
      <c r="W668" s="2036">
        <v>1637</v>
      </c>
      <c r="X668" s="2036">
        <v>152</v>
      </c>
      <c r="Y668" s="2036">
        <v>1090</v>
      </c>
      <c r="Z668" s="2036">
        <v>-398</v>
      </c>
      <c r="AA668" s="2036">
        <v>755</v>
      </c>
      <c r="AB668" s="2036">
        <v>-208</v>
      </c>
      <c r="AC668" s="2036">
        <v>4082</v>
      </c>
      <c r="AD668" s="100">
        <f t="shared" si="1352"/>
        <v>-2359</v>
      </c>
      <c r="AE668" s="19">
        <f t="shared" si="1353"/>
        <v>3364.330102126642</v>
      </c>
      <c r="AF668" s="19">
        <f t="shared" si="1354"/>
        <v>844</v>
      </c>
      <c r="AG668" s="19">
        <f t="shared" si="1355"/>
        <v>4629</v>
      </c>
      <c r="AH668" s="19">
        <f t="shared" si="1356"/>
        <v>1005.330102126642</v>
      </c>
      <c r="AI668" s="19">
        <f t="shared" si="1357"/>
        <v>5473</v>
      </c>
      <c r="AJ668" s="19">
        <f t="shared" si="1358"/>
        <v>6478.3301021266416</v>
      </c>
      <c r="AL668" s="19">
        <f ca="1">SUM((INDIRECT(AL$2&amp;(ROW())):INDIRECT(AL$3&amp;(ROW()))))</f>
        <v>4082</v>
      </c>
      <c r="AM668" s="19">
        <f ca="1">SUM(INDIRECT(AM$1&amp;AM$2&amp;$C668):INDIRECT(AM$1&amp;AM$3&amp;$C668))</f>
        <v>0</v>
      </c>
      <c r="AN668" s="875">
        <f t="shared" ca="1" si="1338"/>
        <v>4082</v>
      </c>
      <c r="AO668" s="926">
        <f t="shared" ca="1" si="1339"/>
        <v>0</v>
      </c>
      <c r="AP668" s="19">
        <f ca="1">SUM(INDIRECT(AP$1&amp;AP$2&amp;$A668):INDIRECT(AP$1&amp;AP$3&amp;$A668))</f>
        <v>409</v>
      </c>
      <c r="AQ668" s="875">
        <f t="shared" ca="1" si="1340"/>
        <v>3673</v>
      </c>
      <c r="AR668" s="926">
        <f t="shared" ca="1" si="1341"/>
        <v>9.9804400977995105</v>
      </c>
      <c r="AT668" s="19">
        <f ca="1">SUM((INDIRECT(AT$2&amp;(ROW())):INDIRECT(AT$3&amp;(ROW()))))</f>
        <v>4629</v>
      </c>
      <c r="AU668" s="19">
        <f ca="1">SUM(INDIRECT(AU$1&amp;AU$2&amp;$C668):INDIRECT(AU$1&amp;AU$3&amp;$C668))</f>
        <v>0</v>
      </c>
      <c r="AV668" s="875">
        <f t="shared" ca="1" si="1342"/>
        <v>4629</v>
      </c>
      <c r="AW668" s="926">
        <f t="shared" ca="1" si="1343"/>
        <v>0</v>
      </c>
      <c r="AX668" s="19">
        <f ca="1">SUM(INDIRECT(AX$1&amp;AX$2&amp;$A668):INDIRECT(AX$1&amp;AX$3&amp;$A668))</f>
        <v>19078</v>
      </c>
      <c r="AY668" s="875">
        <f t="shared" ca="1" si="1344"/>
        <v>-14449</v>
      </c>
      <c r="AZ668" s="926">
        <f t="shared" ca="1" si="1345"/>
        <v>0.24263549638326867</v>
      </c>
      <c r="BB668" s="19">
        <f ca="1">SUM((INDIRECT(BB$2&amp;(ROW())):INDIRECT(BB$3&amp;(ROW()))))</f>
        <v>6478.3301021266416</v>
      </c>
      <c r="BC668" s="19">
        <f ca="1">SUM(INDIRECT(BC$1&amp;BC$2&amp;$C668):INDIRECT(BC$1&amp;BC$3&amp;$C668))</f>
        <v>0</v>
      </c>
      <c r="BD668" s="875">
        <f t="shared" ca="1" si="1346"/>
        <v>6478.3301021266416</v>
      </c>
      <c r="BE668" s="926">
        <f t="shared" ca="1" si="1347"/>
        <v>0</v>
      </c>
      <c r="BF668" s="19">
        <f ca="1">SUM(INDIRECT(BF$1&amp;BF$2&amp;$A668):INDIRECT(BF$1&amp;BF$3&amp;$A668))</f>
        <v>15231</v>
      </c>
      <c r="BG668" s="875">
        <f t="shared" ca="1" si="1348"/>
        <v>-8752.6698978733584</v>
      </c>
      <c r="BH668" s="926">
        <f t="shared" ca="1" si="1349"/>
        <v>0.42533846117304458</v>
      </c>
    </row>
    <row r="669" spans="1:60" ht="14.5">
      <c r="A669" s="990">
        <f t="shared" si="1333"/>
        <v>604</v>
      </c>
      <c r="B669" s="990">
        <v>1</v>
      </c>
      <c r="C669" s="990">
        <f t="shared" si="1305"/>
        <v>666</v>
      </c>
      <c r="E669" s="1243">
        <v>1</v>
      </c>
      <c r="I669" s="445"/>
      <c r="J669" s="446"/>
      <c r="K669" s="74"/>
      <c r="L669" s="74"/>
      <c r="M669" s="75"/>
      <c r="N669" s="75" t="s">
        <v>301</v>
      </c>
      <c r="O669" s="75"/>
      <c r="P669" s="75"/>
      <c r="Q669" s="1845" t="str">
        <f>CHOOSE(2, "6722000003588", "S/GP (3) Gross Profit Direct HW &amp; Solution EFI/LF")</f>
        <v>S/GP (3) Gross Profit Direct HW &amp; Solution EFI/LF</v>
      </c>
      <c r="R669" s="2036">
        <v>0</v>
      </c>
      <c r="S669" s="2036">
        <v>0</v>
      </c>
      <c r="T669" s="2036">
        <v>0</v>
      </c>
      <c r="U669" s="2036">
        <v>0</v>
      </c>
      <c r="V669" s="2036">
        <v>0</v>
      </c>
      <c r="W669" s="2036">
        <v>0</v>
      </c>
      <c r="X669" s="2036">
        <v>0</v>
      </c>
      <c r="Y669" s="2036">
        <v>0</v>
      </c>
      <c r="Z669" s="2036">
        <v>0</v>
      </c>
      <c r="AA669" s="2036">
        <v>0</v>
      </c>
      <c r="AB669" s="2036">
        <v>0</v>
      </c>
      <c r="AC669" s="2036">
        <v>0</v>
      </c>
      <c r="AD669" s="100">
        <f t="shared" si="1352"/>
        <v>0</v>
      </c>
      <c r="AE669" s="19">
        <f t="shared" si="1353"/>
        <v>0</v>
      </c>
      <c r="AF669" s="19">
        <f t="shared" si="1354"/>
        <v>0</v>
      </c>
      <c r="AG669" s="19">
        <f t="shared" si="1355"/>
        <v>0</v>
      </c>
      <c r="AH669" s="19">
        <f t="shared" si="1356"/>
        <v>0</v>
      </c>
      <c r="AI669" s="19">
        <f t="shared" si="1357"/>
        <v>0</v>
      </c>
      <c r="AJ669" s="19">
        <f t="shared" si="1358"/>
        <v>0</v>
      </c>
      <c r="AL669" s="19">
        <f ca="1">SUM((INDIRECT(AL$2&amp;(ROW())):INDIRECT(AL$3&amp;(ROW()))))</f>
        <v>0</v>
      </c>
      <c r="AM669" s="19">
        <f ca="1">SUM(INDIRECT(AM$1&amp;AM$2&amp;$C669):INDIRECT(AM$1&amp;AM$3&amp;$C669))</f>
        <v>0</v>
      </c>
      <c r="AN669" s="875">
        <f t="shared" ca="1" si="1338"/>
        <v>0</v>
      </c>
      <c r="AO669" s="926">
        <f t="shared" ca="1" si="1339"/>
        <v>0</v>
      </c>
      <c r="AP669" s="19">
        <f ca="1">SUM(INDIRECT(AP$1&amp;AP$2&amp;$A669):INDIRECT(AP$1&amp;AP$3&amp;$A669))</f>
        <v>0</v>
      </c>
      <c r="AQ669" s="875">
        <f t="shared" ca="1" si="1340"/>
        <v>0</v>
      </c>
      <c r="AR669" s="926">
        <f t="shared" ca="1" si="1341"/>
        <v>0</v>
      </c>
      <c r="AT669" s="19">
        <f ca="1">SUM((INDIRECT(AT$2&amp;(ROW())):INDIRECT(AT$3&amp;(ROW()))))</f>
        <v>0</v>
      </c>
      <c r="AU669" s="19">
        <f ca="1">SUM(INDIRECT(AU$1&amp;AU$2&amp;$C669):INDIRECT(AU$1&amp;AU$3&amp;$C669))</f>
        <v>0</v>
      </c>
      <c r="AV669" s="875">
        <f t="shared" ca="1" si="1342"/>
        <v>0</v>
      </c>
      <c r="AW669" s="926">
        <f t="shared" ca="1" si="1343"/>
        <v>0</v>
      </c>
      <c r="AX669" s="19">
        <f ca="1">SUM(INDIRECT(AX$1&amp;AX$2&amp;$A669):INDIRECT(AX$1&amp;AX$3&amp;$A669))</f>
        <v>0</v>
      </c>
      <c r="AY669" s="875">
        <f t="shared" ca="1" si="1344"/>
        <v>0</v>
      </c>
      <c r="AZ669" s="926">
        <f t="shared" ca="1" si="1345"/>
        <v>0</v>
      </c>
      <c r="BB669" s="19">
        <f ca="1">SUM((INDIRECT(BB$2&amp;(ROW())):INDIRECT(BB$3&amp;(ROW()))))</f>
        <v>0</v>
      </c>
      <c r="BC669" s="19">
        <f ca="1">SUM(INDIRECT(BC$1&amp;BC$2&amp;$C669):INDIRECT(BC$1&amp;BC$3&amp;$C669))</f>
        <v>0</v>
      </c>
      <c r="BD669" s="875">
        <f t="shared" ca="1" si="1346"/>
        <v>0</v>
      </c>
      <c r="BE669" s="926">
        <f t="shared" ca="1" si="1347"/>
        <v>0</v>
      </c>
      <c r="BF669" s="19">
        <f ca="1">SUM(INDIRECT(BF$1&amp;BF$2&amp;$A669):INDIRECT(BF$1&amp;BF$3&amp;$A669))</f>
        <v>0</v>
      </c>
      <c r="BG669" s="875">
        <f t="shared" ca="1" si="1348"/>
        <v>0</v>
      </c>
      <c r="BH669" s="926">
        <f t="shared" ca="1" si="1349"/>
        <v>0</v>
      </c>
    </row>
    <row r="670" spans="1:60" ht="14.5">
      <c r="A670" s="990">
        <f t="shared" si="1333"/>
        <v>605</v>
      </c>
      <c r="B670" s="990">
        <v>1</v>
      </c>
      <c r="C670" s="990">
        <f t="shared" si="1305"/>
        <v>667</v>
      </c>
      <c r="E670" s="1243">
        <v>1</v>
      </c>
      <c r="I670" s="445"/>
      <c r="J670" s="446"/>
      <c r="K670" s="74"/>
      <c r="L670" s="74"/>
      <c r="M670" s="75"/>
      <c r="N670" s="75" t="s">
        <v>292</v>
      </c>
      <c r="O670" s="75"/>
      <c r="P670" s="75"/>
      <c r="Q670" s="1845" t="str">
        <f>CHOOSE(2, "6722000003589", "S/GP (3) Gross Profit Direct HW &amp; Solution Textile Printer")</f>
        <v>S/GP (3) Gross Profit Direct HW &amp; Solution Textile Printer</v>
      </c>
      <c r="R670" s="2036">
        <v>0</v>
      </c>
      <c r="S670" s="2036">
        <v>0</v>
      </c>
      <c r="T670" s="2036">
        <v>0</v>
      </c>
      <c r="U670" s="2036">
        <v>0</v>
      </c>
      <c r="V670" s="2036">
        <v>0</v>
      </c>
      <c r="W670" s="2036">
        <v>0</v>
      </c>
      <c r="X670" s="2036">
        <v>0</v>
      </c>
      <c r="Y670" s="2036">
        <v>0</v>
      </c>
      <c r="Z670" s="2036">
        <v>0</v>
      </c>
      <c r="AA670" s="2036">
        <v>0</v>
      </c>
      <c r="AB670" s="2036">
        <v>0</v>
      </c>
      <c r="AC670" s="2036">
        <v>0</v>
      </c>
      <c r="AD670" s="100">
        <f t="shared" si="1352"/>
        <v>0</v>
      </c>
      <c r="AE670" s="19">
        <f t="shared" si="1353"/>
        <v>0</v>
      </c>
      <c r="AF670" s="19">
        <f t="shared" si="1354"/>
        <v>0</v>
      </c>
      <c r="AG670" s="19">
        <f t="shared" si="1355"/>
        <v>0</v>
      </c>
      <c r="AH670" s="19">
        <f t="shared" si="1356"/>
        <v>0</v>
      </c>
      <c r="AI670" s="19">
        <f t="shared" si="1357"/>
        <v>0</v>
      </c>
      <c r="AJ670" s="19">
        <f t="shared" si="1358"/>
        <v>0</v>
      </c>
      <c r="AL670" s="19">
        <f ca="1">SUM((INDIRECT(AL$2&amp;(ROW())):INDIRECT(AL$3&amp;(ROW()))))</f>
        <v>0</v>
      </c>
      <c r="AM670" s="19">
        <f ca="1">SUM(INDIRECT(AM$1&amp;AM$2&amp;$C670):INDIRECT(AM$1&amp;AM$3&amp;$C670))</f>
        <v>0</v>
      </c>
      <c r="AN670" s="875">
        <f t="shared" ca="1" si="1338"/>
        <v>0</v>
      </c>
      <c r="AO670" s="926">
        <f t="shared" ca="1" si="1339"/>
        <v>0</v>
      </c>
      <c r="AP670" s="19">
        <f ca="1">SUM(INDIRECT(AP$1&amp;AP$2&amp;$A670):INDIRECT(AP$1&amp;AP$3&amp;$A670))</f>
        <v>0</v>
      </c>
      <c r="AQ670" s="875">
        <f t="shared" ca="1" si="1340"/>
        <v>0</v>
      </c>
      <c r="AR670" s="926">
        <f t="shared" ca="1" si="1341"/>
        <v>0</v>
      </c>
      <c r="AT670" s="19">
        <f ca="1">SUM((INDIRECT(AT$2&amp;(ROW())):INDIRECT(AT$3&amp;(ROW()))))</f>
        <v>0</v>
      </c>
      <c r="AU670" s="19">
        <f ca="1">SUM(INDIRECT(AU$1&amp;AU$2&amp;$C670):INDIRECT(AU$1&amp;AU$3&amp;$C670))</f>
        <v>0</v>
      </c>
      <c r="AV670" s="875">
        <f t="shared" ca="1" si="1342"/>
        <v>0</v>
      </c>
      <c r="AW670" s="926">
        <f t="shared" ca="1" si="1343"/>
        <v>0</v>
      </c>
      <c r="AX670" s="19">
        <f ca="1">SUM(INDIRECT(AX$1&amp;AX$2&amp;$A670):INDIRECT(AX$1&amp;AX$3&amp;$A670))</f>
        <v>0</v>
      </c>
      <c r="AY670" s="875">
        <f t="shared" ca="1" si="1344"/>
        <v>0</v>
      </c>
      <c r="AZ670" s="926">
        <f t="shared" ca="1" si="1345"/>
        <v>0</v>
      </c>
      <c r="BB670" s="19">
        <f ca="1">SUM((INDIRECT(BB$2&amp;(ROW())):INDIRECT(BB$3&amp;(ROW()))))</f>
        <v>0</v>
      </c>
      <c r="BC670" s="19">
        <f ca="1">SUM(INDIRECT(BC$1&amp;BC$2&amp;$C670):INDIRECT(BC$1&amp;BC$3&amp;$C670))</f>
        <v>0</v>
      </c>
      <c r="BD670" s="875">
        <f t="shared" ca="1" si="1346"/>
        <v>0</v>
      </c>
      <c r="BE670" s="926">
        <f t="shared" ca="1" si="1347"/>
        <v>0</v>
      </c>
      <c r="BF670" s="19">
        <f ca="1">SUM(INDIRECT(BF$1&amp;BF$2&amp;$A670):INDIRECT(BF$1&amp;BF$3&amp;$A670))</f>
        <v>0</v>
      </c>
      <c r="BG670" s="875">
        <f t="shared" ca="1" si="1348"/>
        <v>0</v>
      </c>
      <c r="BH670" s="926">
        <f t="shared" ca="1" si="1349"/>
        <v>0</v>
      </c>
    </row>
    <row r="671" spans="1:60" ht="14.5">
      <c r="A671" s="990">
        <f t="shared" si="1333"/>
        <v>606</v>
      </c>
      <c r="B671" s="990">
        <v>1</v>
      </c>
      <c r="C671" s="990">
        <f t="shared" si="1305"/>
        <v>668</v>
      </c>
      <c r="E671" s="1243">
        <v>1</v>
      </c>
      <c r="I671" s="445"/>
      <c r="J671" s="446"/>
      <c r="K671" s="74"/>
      <c r="L671" s="74"/>
      <c r="M671" s="75"/>
      <c r="N671" s="276" t="s">
        <v>131</v>
      </c>
      <c r="O671" s="276"/>
      <c r="P671" s="276"/>
      <c r="Q671" s="1845" t="str">
        <f>CHOOSE(2, "6722000003590", "S/GP (3) Gross Profit Direct HW &amp; Solution Others")</f>
        <v>S/GP (3) Gross Profit Direct HW &amp; Solution Others</v>
      </c>
      <c r="R671" s="2037">
        <v>0</v>
      </c>
      <c r="S671" s="2037">
        <v>0</v>
      </c>
      <c r="T671" s="2037">
        <v>0</v>
      </c>
      <c r="U671" s="2037">
        <v>0</v>
      </c>
      <c r="V671" s="2037">
        <v>0</v>
      </c>
      <c r="W671" s="2037">
        <v>0</v>
      </c>
      <c r="X671" s="2037">
        <v>0</v>
      </c>
      <c r="Y671" s="2037">
        <v>0</v>
      </c>
      <c r="Z671" s="2037">
        <v>0</v>
      </c>
      <c r="AA671" s="2037">
        <v>0</v>
      </c>
      <c r="AB671" s="2037">
        <v>0</v>
      </c>
      <c r="AC671" s="2037">
        <v>0</v>
      </c>
      <c r="AD671" s="99">
        <f t="shared" si="1352"/>
        <v>0</v>
      </c>
      <c r="AE671" s="17">
        <f t="shared" si="1353"/>
        <v>0</v>
      </c>
      <c r="AF671" s="17">
        <f t="shared" si="1354"/>
        <v>0</v>
      </c>
      <c r="AG671" s="17">
        <f t="shared" si="1355"/>
        <v>0</v>
      </c>
      <c r="AH671" s="17">
        <f t="shared" si="1356"/>
        <v>0</v>
      </c>
      <c r="AI671" s="17">
        <f t="shared" si="1357"/>
        <v>0</v>
      </c>
      <c r="AJ671" s="17">
        <f t="shared" si="1358"/>
        <v>0</v>
      </c>
      <c r="AL671" s="17">
        <f ca="1">SUM((INDIRECT(AL$2&amp;(ROW())):INDIRECT(AL$3&amp;(ROW()))))</f>
        <v>0</v>
      </c>
      <c r="AM671" s="17">
        <f ca="1">SUM(INDIRECT(AM$1&amp;AM$2&amp;$C671):INDIRECT(AM$1&amp;AM$3&amp;$C671))</f>
        <v>0</v>
      </c>
      <c r="AN671" s="876">
        <f t="shared" ca="1" si="1338"/>
        <v>0</v>
      </c>
      <c r="AO671" s="927">
        <f t="shared" ca="1" si="1339"/>
        <v>0</v>
      </c>
      <c r="AP671" s="17">
        <f ca="1">SUM(INDIRECT(AP$1&amp;AP$2&amp;$A671):INDIRECT(AP$1&amp;AP$3&amp;$A671))</f>
        <v>0</v>
      </c>
      <c r="AQ671" s="876">
        <f t="shared" ca="1" si="1340"/>
        <v>0</v>
      </c>
      <c r="AR671" s="927">
        <f t="shared" ca="1" si="1341"/>
        <v>0</v>
      </c>
      <c r="AT671" s="17">
        <f ca="1">SUM((INDIRECT(AT$2&amp;(ROW())):INDIRECT(AT$3&amp;(ROW()))))</f>
        <v>0</v>
      </c>
      <c r="AU671" s="17">
        <f ca="1">SUM(INDIRECT(AU$1&amp;AU$2&amp;$C671):INDIRECT(AU$1&amp;AU$3&amp;$C671))</f>
        <v>0</v>
      </c>
      <c r="AV671" s="876">
        <f t="shared" ca="1" si="1342"/>
        <v>0</v>
      </c>
      <c r="AW671" s="927">
        <f t="shared" ca="1" si="1343"/>
        <v>0</v>
      </c>
      <c r="AX671" s="17">
        <f ca="1">SUM(INDIRECT(AX$1&amp;AX$2&amp;$A671):INDIRECT(AX$1&amp;AX$3&amp;$A671))</f>
        <v>0</v>
      </c>
      <c r="AY671" s="876">
        <f t="shared" ca="1" si="1344"/>
        <v>0</v>
      </c>
      <c r="AZ671" s="927">
        <f t="shared" ca="1" si="1345"/>
        <v>0</v>
      </c>
      <c r="BB671" s="17">
        <f ca="1">SUM((INDIRECT(BB$2&amp;(ROW())):INDIRECT(BB$3&amp;(ROW()))))</f>
        <v>0</v>
      </c>
      <c r="BC671" s="17">
        <f ca="1">SUM(INDIRECT(BC$1&amp;BC$2&amp;$C671):INDIRECT(BC$1&amp;BC$3&amp;$C671))</f>
        <v>0</v>
      </c>
      <c r="BD671" s="876">
        <f t="shared" ca="1" si="1346"/>
        <v>0</v>
      </c>
      <c r="BE671" s="927">
        <f t="shared" ca="1" si="1347"/>
        <v>0</v>
      </c>
      <c r="BF671" s="17">
        <f ca="1">SUM(INDIRECT(BF$1&amp;BF$2&amp;$A671):INDIRECT(BF$1&amp;BF$3&amp;$A671))</f>
        <v>0</v>
      </c>
      <c r="BG671" s="876">
        <f t="shared" ca="1" si="1348"/>
        <v>0</v>
      </c>
      <c r="BH671" s="927">
        <f t="shared" ca="1" si="1349"/>
        <v>0</v>
      </c>
    </row>
    <row r="672" spans="1:60" ht="14.5">
      <c r="A672" s="990">
        <f t="shared" si="1333"/>
        <v>607</v>
      </c>
      <c r="B672" s="990">
        <v>1</v>
      </c>
      <c r="C672" s="990">
        <f t="shared" si="1305"/>
        <v>669</v>
      </c>
      <c r="E672" s="1243">
        <v>1</v>
      </c>
      <c r="I672" s="445"/>
      <c r="J672" s="446"/>
      <c r="K672" s="74"/>
      <c r="L672" s="74"/>
      <c r="M672" s="286" t="s">
        <v>306</v>
      </c>
      <c r="N672" s="306"/>
      <c r="O672" s="306"/>
      <c r="P672" s="306"/>
      <c r="Q672" s="1843" t="str">
        <f>CHOOSE(2, "6722000003591", "S/GP (3) Gross Profit Direct NH")</f>
        <v>S/GP (3) Gross Profit Direct NH</v>
      </c>
      <c r="R672" s="2058">
        <f>R673+R679+R685+R691+R697+R703+R706+R707</f>
        <v>589</v>
      </c>
      <c r="S672" s="2058">
        <f t="shared" ref="S672:AC672" si="1359">S673+S679+S685+S691+S697+S703+S706+S707</f>
        <v>2391</v>
      </c>
      <c r="T672" s="2058">
        <f t="shared" si="1359"/>
        <v>943</v>
      </c>
      <c r="U672" s="2058">
        <f t="shared" si="1359"/>
        <v>1486</v>
      </c>
      <c r="V672" s="2058">
        <f t="shared" si="1359"/>
        <v>2040.8295996689412</v>
      </c>
      <c r="W672" s="2058">
        <f t="shared" si="1359"/>
        <v>627.3970114766837</v>
      </c>
      <c r="X672" s="2058">
        <f t="shared" si="1359"/>
        <v>2733</v>
      </c>
      <c r="Y672" s="2058">
        <f t="shared" si="1359"/>
        <v>1402</v>
      </c>
      <c r="Z672" s="2058">
        <f t="shared" si="1359"/>
        <v>1570</v>
      </c>
      <c r="AA672" s="2058">
        <f t="shared" si="1359"/>
        <v>684</v>
      </c>
      <c r="AB672" s="2058">
        <f t="shared" si="1359"/>
        <v>844.03926000000001</v>
      </c>
      <c r="AC672" s="2058">
        <f t="shared" si="1359"/>
        <v>-8898</v>
      </c>
      <c r="AD672" s="1516">
        <f t="shared" ref="AD672:AJ672" si="1360">AD673+AD679+AD685+AD691+AD697+AD703+AD706+AD707</f>
        <v>3923</v>
      </c>
      <c r="AE672" s="397">
        <f t="shared" si="1360"/>
        <v>4154.2266111456247</v>
      </c>
      <c r="AF672" s="397">
        <f t="shared" si="1360"/>
        <v>5705</v>
      </c>
      <c r="AG672" s="397">
        <f t="shared" si="1360"/>
        <v>-7369.9607400000004</v>
      </c>
      <c r="AH672" s="397">
        <f t="shared" si="1360"/>
        <v>8077.2266111456229</v>
      </c>
      <c r="AI672" s="397">
        <f t="shared" si="1360"/>
        <v>-1664.9607400000004</v>
      </c>
      <c r="AJ672" s="397">
        <f t="shared" si="1360"/>
        <v>6412.2658711456224</v>
      </c>
      <c r="AL672" s="2058">
        <f ca="1">SUM((INDIRECT(AL$2&amp;(ROW())):INDIRECT(AL$3&amp;(ROW()))))</f>
        <v>-8898</v>
      </c>
      <c r="AM672" s="2058">
        <f ca="1">SUM(INDIRECT(AM$1&amp;AM$2&amp;$C672):INDIRECT(AM$1&amp;AM$3&amp;$C672))</f>
        <v>0</v>
      </c>
      <c r="AN672" s="2473">
        <f t="shared" ca="1" si="1338"/>
        <v>-8898</v>
      </c>
      <c r="AO672" s="2474">
        <f t="shared" ca="1" si="1339"/>
        <v>0</v>
      </c>
      <c r="AP672" s="2058">
        <f ca="1">SUM(INDIRECT(AP$1&amp;AP$2&amp;$A672):INDIRECT(AP$1&amp;AP$3&amp;$A672))</f>
        <v>71</v>
      </c>
      <c r="AQ672" s="2473">
        <f t="shared" ca="1" si="1340"/>
        <v>-8969</v>
      </c>
      <c r="AR672" s="2474">
        <f t="shared" ca="1" si="1341"/>
        <v>-125.32394366197182</v>
      </c>
      <c r="AT672" s="2058">
        <f ca="1">SUM((INDIRECT(AT$2&amp;(ROW())):INDIRECT(AT$3&amp;(ROW()))))</f>
        <v>-7369.9607400000004</v>
      </c>
      <c r="AU672" s="2058">
        <f ca="1">SUM(INDIRECT(AU$1&amp;AU$2&amp;$C672):INDIRECT(AU$1&amp;AU$3&amp;$C672))</f>
        <v>0</v>
      </c>
      <c r="AV672" s="2473">
        <f t="shared" ca="1" si="1342"/>
        <v>-7369.9607400000004</v>
      </c>
      <c r="AW672" s="2474">
        <f t="shared" ca="1" si="1343"/>
        <v>0</v>
      </c>
      <c r="AX672" s="2058">
        <f ca="1">SUM(INDIRECT(AX$1&amp;AX$2&amp;$A672):INDIRECT(AX$1&amp;AX$3&amp;$A672))</f>
        <v>2500</v>
      </c>
      <c r="AY672" s="2473">
        <f t="shared" ca="1" si="1344"/>
        <v>-9869.9607400000004</v>
      </c>
      <c r="AZ672" s="2474">
        <f t="shared" ca="1" si="1345"/>
        <v>-2.947984296</v>
      </c>
      <c r="BB672" s="2058">
        <f ca="1">SUM((INDIRECT(BB$2&amp;(ROW())):INDIRECT(BB$3&amp;(ROW()))))</f>
        <v>6412.2658711456243</v>
      </c>
      <c r="BC672" s="2058">
        <f ca="1">SUM(INDIRECT(BC$1&amp;BC$2&amp;$C672):INDIRECT(BC$1&amp;BC$3&amp;$C672))</f>
        <v>0</v>
      </c>
      <c r="BD672" s="2473">
        <f t="shared" ca="1" si="1346"/>
        <v>6412.2658711456243</v>
      </c>
      <c r="BE672" s="2474">
        <f t="shared" ca="1" si="1347"/>
        <v>0</v>
      </c>
      <c r="BF672" s="2058">
        <f ca="1">SUM(INDIRECT(BF$1&amp;BF$2&amp;$A672):INDIRECT(BF$1&amp;BF$3&amp;$A672))</f>
        <v>3341</v>
      </c>
      <c r="BG672" s="2473">
        <f t="shared" ca="1" si="1348"/>
        <v>3071.2658711456243</v>
      </c>
      <c r="BH672" s="2474">
        <f t="shared" ca="1" si="1349"/>
        <v>1.9192654508068316</v>
      </c>
    </row>
    <row r="673" spans="1:60" ht="14.5">
      <c r="A673" s="990">
        <f t="shared" si="1333"/>
        <v>608</v>
      </c>
      <c r="B673" s="990">
        <v>1</v>
      </c>
      <c r="C673" s="990">
        <f t="shared" si="1305"/>
        <v>670</v>
      </c>
      <c r="E673" s="1243">
        <v>1</v>
      </c>
      <c r="I673" s="445"/>
      <c r="J673" s="446"/>
      <c r="K673" s="74"/>
      <c r="L673" s="74"/>
      <c r="M673" s="75"/>
      <c r="N673" s="1246" t="s">
        <v>1258</v>
      </c>
      <c r="O673" s="391"/>
      <c r="P673" s="391"/>
      <c r="Q673" s="1843" t="str">
        <f>CHOOSE(2, "6722000003592", "S/GP (3) Gross Profit Direct NH KM-1/KM-1e")</f>
        <v>S/GP (3) Gross Profit Direct NH KM-1/KM-1e</v>
      </c>
      <c r="R673" s="365">
        <f>R674+R675</f>
        <v>-360</v>
      </c>
      <c r="S673" s="365">
        <f t="shared" ref="S673:AC673" si="1361">S674+S675</f>
        <v>-141</v>
      </c>
      <c r="T673" s="365">
        <f t="shared" si="1361"/>
        <v>-107</v>
      </c>
      <c r="U673" s="365">
        <f t="shared" si="1361"/>
        <v>-309</v>
      </c>
      <c r="V673" s="365">
        <f t="shared" si="1361"/>
        <v>-103.81989147115095</v>
      </c>
      <c r="W673" s="365">
        <f t="shared" si="1361"/>
        <v>-1024</v>
      </c>
      <c r="X673" s="365">
        <f t="shared" si="1361"/>
        <v>660</v>
      </c>
      <c r="Y673" s="365">
        <f t="shared" si="1361"/>
        <v>-124</v>
      </c>
      <c r="Z673" s="365">
        <f t="shared" si="1361"/>
        <v>-196</v>
      </c>
      <c r="AA673" s="365">
        <f t="shared" si="1361"/>
        <v>-1615</v>
      </c>
      <c r="AB673" s="365">
        <f t="shared" si="1361"/>
        <v>941.03926000000001</v>
      </c>
      <c r="AC673" s="365">
        <f t="shared" si="1361"/>
        <v>-1114</v>
      </c>
      <c r="AD673" s="408">
        <f t="shared" ref="AD673:AI673" si="1362">AD674+AD675</f>
        <v>-608</v>
      </c>
      <c r="AE673" s="365">
        <f t="shared" si="1362"/>
        <v>-1436.8198914711511</v>
      </c>
      <c r="AF673" s="365">
        <f t="shared" si="1362"/>
        <v>340</v>
      </c>
      <c r="AG673" s="365">
        <f t="shared" si="1362"/>
        <v>-1787.96074</v>
      </c>
      <c r="AH673" s="365">
        <f t="shared" si="1362"/>
        <v>-2044.8198914711509</v>
      </c>
      <c r="AI673" s="365">
        <f t="shared" si="1362"/>
        <v>-1447.96074</v>
      </c>
      <c r="AJ673" s="365">
        <f>AJ674+AJ675</f>
        <v>-3492.7806314711506</v>
      </c>
      <c r="AL673" s="365">
        <f ca="1">SUM((INDIRECT(AL$2&amp;(ROW())):INDIRECT(AL$3&amp;(ROW()))))</f>
        <v>-1114</v>
      </c>
      <c r="AM673" s="365">
        <f ca="1">SUM(INDIRECT(AM$1&amp;AM$2&amp;$C673):INDIRECT(AM$1&amp;AM$3&amp;$C673))</f>
        <v>0</v>
      </c>
      <c r="AN673" s="891">
        <f t="shared" ca="1" si="1338"/>
        <v>-1114</v>
      </c>
      <c r="AO673" s="952">
        <f t="shared" ca="1" si="1339"/>
        <v>0</v>
      </c>
      <c r="AP673" s="365">
        <f ca="1">SUM(INDIRECT(AP$1&amp;AP$2&amp;$A673):INDIRECT(AP$1&amp;AP$3&amp;$A673))</f>
        <v>-510</v>
      </c>
      <c r="AQ673" s="891">
        <f t="shared" ca="1" si="1340"/>
        <v>-604</v>
      </c>
      <c r="AR673" s="952">
        <f t="shared" ca="1" si="1341"/>
        <v>2.1843137254901959</v>
      </c>
      <c r="AT673" s="365">
        <f ca="1">SUM((INDIRECT(AT$2&amp;(ROW())):INDIRECT(AT$3&amp;(ROW()))))</f>
        <v>-1787.96074</v>
      </c>
      <c r="AU673" s="365">
        <f ca="1">SUM(INDIRECT(AU$1&amp;AU$2&amp;$C673):INDIRECT(AU$1&amp;AU$3&amp;$C673))</f>
        <v>0</v>
      </c>
      <c r="AV673" s="891">
        <f t="shared" ca="1" si="1342"/>
        <v>-1787.96074</v>
      </c>
      <c r="AW673" s="952">
        <f t="shared" ca="1" si="1343"/>
        <v>0</v>
      </c>
      <c r="AX673" s="365">
        <f ca="1">SUM(INDIRECT(AX$1&amp;AX$2&amp;$A673):INDIRECT(AX$1&amp;AX$3&amp;$A673))</f>
        <v>-910</v>
      </c>
      <c r="AY673" s="891">
        <f t="shared" ca="1" si="1344"/>
        <v>-877.96073999999999</v>
      </c>
      <c r="AZ673" s="952">
        <f t="shared" ca="1" si="1345"/>
        <v>1.9647920219780219</v>
      </c>
      <c r="BB673" s="365">
        <f ca="1">SUM((INDIRECT(BB$2&amp;(ROW())):INDIRECT(BB$3&amp;(ROW()))))</f>
        <v>-3492.7806314711511</v>
      </c>
      <c r="BC673" s="365">
        <f ca="1">SUM(INDIRECT(BC$1&amp;BC$2&amp;$C673):INDIRECT(BC$1&amp;BC$3&amp;$C673))</f>
        <v>0</v>
      </c>
      <c r="BD673" s="891">
        <f t="shared" ca="1" si="1346"/>
        <v>-3492.7806314711511</v>
      </c>
      <c r="BE673" s="952">
        <f t="shared" ca="1" si="1347"/>
        <v>0</v>
      </c>
      <c r="BF673" s="365">
        <f ca="1">SUM(INDIRECT(BF$1&amp;BF$2&amp;$A673):INDIRECT(BF$1&amp;BF$3&amp;$A673))</f>
        <v>-9020</v>
      </c>
      <c r="BG673" s="891">
        <f t="shared" ca="1" si="1348"/>
        <v>5527.2193685288494</v>
      </c>
      <c r="BH673" s="952">
        <f t="shared" ca="1" si="1349"/>
        <v>0.38722623408771079</v>
      </c>
    </row>
    <row r="674" spans="1:60" ht="14.5">
      <c r="A674" s="990">
        <f t="shared" si="1333"/>
        <v>609</v>
      </c>
      <c r="B674" s="990">
        <v>1</v>
      </c>
      <c r="C674" s="990">
        <f t="shared" si="1305"/>
        <v>671</v>
      </c>
      <c r="E674" s="1243">
        <v>1</v>
      </c>
      <c r="I674" s="445"/>
      <c r="J674" s="446"/>
      <c r="K674" s="74"/>
      <c r="L674" s="74"/>
      <c r="M674" s="75"/>
      <c r="N674" s="75"/>
      <c r="O674" s="1246" t="s">
        <v>1258</v>
      </c>
      <c r="P674" s="394"/>
      <c r="Q674" s="1845" t="str">
        <f>CHOOSE(2, "6722000003593", "S/GP (3) Gross Profit Direct NH KM-1/KM-1e KM-1/KM-1e")</f>
        <v>S/GP (3) Gross Profit Direct NH KM-1/KM-1e KM-1/KM-1e</v>
      </c>
      <c r="R674" s="2057">
        <v>-201</v>
      </c>
      <c r="S674" s="2057">
        <v>35</v>
      </c>
      <c r="T674" s="2057">
        <v>126</v>
      </c>
      <c r="U674" s="2057">
        <v>-77</v>
      </c>
      <c r="V674" s="2057">
        <v>51.853029999999997</v>
      </c>
      <c r="W674" s="2057">
        <v>-848</v>
      </c>
      <c r="X674" s="2057">
        <v>850</v>
      </c>
      <c r="Y674" s="2057">
        <v>53</v>
      </c>
      <c r="Z674" s="2057">
        <v>28</v>
      </c>
      <c r="AA674" s="2057">
        <v>-1431</v>
      </c>
      <c r="AB674" s="2057">
        <v>1117.03926</v>
      </c>
      <c r="AC674" s="2057">
        <v>-975</v>
      </c>
      <c r="AD674" s="1545">
        <f>SUM(R674,S674,T674)</f>
        <v>-40</v>
      </c>
      <c r="AE674" s="64">
        <f t="shared" ref="AE674" si="1363">SUM(U674,V674,W674)</f>
        <v>-873.14697000000001</v>
      </c>
      <c r="AF674" s="64">
        <f t="shared" ref="AF674" si="1364">SUM(X674,Y674,Z674)</f>
        <v>931</v>
      </c>
      <c r="AG674" s="64">
        <f t="shared" ref="AG674" si="1365">SUM(AA674,AB674,AC674)</f>
        <v>-1288.96074</v>
      </c>
      <c r="AH674" s="64">
        <f>AD674+AE674</f>
        <v>-913.14697000000001</v>
      </c>
      <c r="AI674" s="64">
        <f>AG674+AF674</f>
        <v>-357.96073999999999</v>
      </c>
      <c r="AJ674" s="64">
        <f>AH674+AI674</f>
        <v>-1271.10771</v>
      </c>
      <c r="AL674" s="64">
        <f ca="1">SUM((INDIRECT(AL$2&amp;(ROW())):INDIRECT(AL$3&amp;(ROW()))))</f>
        <v>-975</v>
      </c>
      <c r="AM674" s="64">
        <f ca="1">SUM(INDIRECT(AM$1&amp;AM$2&amp;$C674):INDIRECT(AM$1&amp;AM$3&amp;$C674))</f>
        <v>0</v>
      </c>
      <c r="AN674" s="902">
        <f t="shared" ca="1" si="1338"/>
        <v>-975</v>
      </c>
      <c r="AO674" s="963">
        <f t="shared" ca="1" si="1339"/>
        <v>0</v>
      </c>
      <c r="AP674" s="64">
        <f ca="1">SUM(INDIRECT(AP$1&amp;AP$2&amp;$A674):INDIRECT(AP$1&amp;AP$3&amp;$A674))</f>
        <v>-346</v>
      </c>
      <c r="AQ674" s="902">
        <f t="shared" ca="1" si="1340"/>
        <v>-629</v>
      </c>
      <c r="AR674" s="963">
        <f t="shared" ca="1" si="1341"/>
        <v>2.8179190751445087</v>
      </c>
      <c r="AT674" s="64">
        <f ca="1">SUM((INDIRECT(AT$2&amp;(ROW())):INDIRECT(AT$3&amp;(ROW()))))</f>
        <v>-1288.96074</v>
      </c>
      <c r="AU674" s="64">
        <f ca="1">SUM(INDIRECT(AU$1&amp;AU$2&amp;$C674):INDIRECT(AU$1&amp;AU$3&amp;$C674))</f>
        <v>0</v>
      </c>
      <c r="AV674" s="902">
        <f t="shared" ca="1" si="1342"/>
        <v>-1288.96074</v>
      </c>
      <c r="AW674" s="963">
        <f t="shared" ca="1" si="1343"/>
        <v>0</v>
      </c>
      <c r="AX674" s="64">
        <f ca="1">SUM(INDIRECT(AX$1&amp;AX$2&amp;$A674):INDIRECT(AX$1&amp;AX$3&amp;$A674))</f>
        <v>-435</v>
      </c>
      <c r="AY674" s="902">
        <f t="shared" ca="1" si="1344"/>
        <v>-853.96073999999999</v>
      </c>
      <c r="AZ674" s="963">
        <f t="shared" ca="1" si="1345"/>
        <v>2.9631281379310344</v>
      </c>
      <c r="BB674" s="64">
        <f ca="1">SUM((INDIRECT(BB$2&amp;(ROW())):INDIRECT(BB$3&amp;(ROW()))))</f>
        <v>-1271.10771</v>
      </c>
      <c r="BC674" s="64">
        <f ca="1">SUM(INDIRECT(BC$1&amp;BC$2&amp;$C674):INDIRECT(BC$1&amp;BC$3&amp;$C674))</f>
        <v>0</v>
      </c>
      <c r="BD674" s="902">
        <f t="shared" ca="1" si="1346"/>
        <v>-1271.10771</v>
      </c>
      <c r="BE674" s="963">
        <f t="shared" ca="1" si="1347"/>
        <v>0</v>
      </c>
      <c r="BF674" s="64">
        <f ca="1">SUM(INDIRECT(BF$1&amp;BF$2&amp;$A674):INDIRECT(BF$1&amp;BF$3&amp;$A674))</f>
        <v>-7079</v>
      </c>
      <c r="BG674" s="902">
        <f t="shared" ca="1" si="1348"/>
        <v>5807.8922899999998</v>
      </c>
      <c r="BH674" s="963">
        <f t="shared" ca="1" si="1349"/>
        <v>0.17956034891933889</v>
      </c>
    </row>
    <row r="675" spans="1:60" s="75" customFormat="1" ht="14.5">
      <c r="A675" s="990">
        <f t="shared" si="1333"/>
        <v>610</v>
      </c>
      <c r="B675" s="990">
        <v>1</v>
      </c>
      <c r="C675" s="990">
        <f t="shared" si="1305"/>
        <v>672</v>
      </c>
      <c r="E675" s="1243">
        <v>1</v>
      </c>
      <c r="F675" s="10"/>
      <c r="G675" s="10"/>
      <c r="H675" s="24"/>
      <c r="I675" s="445"/>
      <c r="J675" s="446"/>
      <c r="K675" s="74"/>
      <c r="L675" s="74"/>
      <c r="O675" s="395" t="s">
        <v>225</v>
      </c>
      <c r="P675" s="395"/>
      <c r="Q675" s="1848" t="str">
        <f>CHOOSE(2, "6722000003594", "S/GP (3) Gross Profit Direct NH KM-1/KM-1e FSC (-)")</f>
        <v>S/GP (3) Gross Profit Direct NH KM-1/KM-1e FSC (-)</v>
      </c>
      <c r="R675" s="385">
        <f t="shared" ref="R675:AC675" si="1366">SUM(R676:R678)</f>
        <v>-159</v>
      </c>
      <c r="S675" s="385">
        <f t="shared" si="1366"/>
        <v>-176</v>
      </c>
      <c r="T675" s="385">
        <f t="shared" si="1366"/>
        <v>-233</v>
      </c>
      <c r="U675" s="385">
        <f t="shared" si="1366"/>
        <v>-232</v>
      </c>
      <c r="V675" s="385">
        <f t="shared" si="1366"/>
        <v>-155.67292147115094</v>
      </c>
      <c r="W675" s="385">
        <f t="shared" si="1366"/>
        <v>-176</v>
      </c>
      <c r="X675" s="385">
        <f t="shared" si="1366"/>
        <v>-190</v>
      </c>
      <c r="Y675" s="385">
        <f t="shared" si="1366"/>
        <v>-177</v>
      </c>
      <c r="Z675" s="385">
        <f t="shared" si="1366"/>
        <v>-224</v>
      </c>
      <c r="AA675" s="385">
        <f t="shared" si="1366"/>
        <v>-184</v>
      </c>
      <c r="AB675" s="385">
        <f t="shared" si="1366"/>
        <v>-176</v>
      </c>
      <c r="AC675" s="385">
        <f t="shared" si="1366"/>
        <v>-139</v>
      </c>
      <c r="AD675" s="1540">
        <f>SUM(R675:T675)</f>
        <v>-568</v>
      </c>
      <c r="AE675" s="385">
        <f>SUM(U675:W675)</f>
        <v>-563.67292147115097</v>
      </c>
      <c r="AF675" s="385">
        <f>SUM(X675:Z675)</f>
        <v>-591</v>
      </c>
      <c r="AG675" s="385">
        <f>SUM(AA675:AC675)</f>
        <v>-499</v>
      </c>
      <c r="AH675" s="385">
        <f>AD675+AE675</f>
        <v>-1131.6729214711509</v>
      </c>
      <c r="AI675" s="385">
        <f>AG675+AF675</f>
        <v>-1090</v>
      </c>
      <c r="AJ675" s="385">
        <f>AH675+AI675</f>
        <v>-2221.6729214711509</v>
      </c>
      <c r="AL675" s="385">
        <f ca="1">SUM((INDIRECT(AL$2&amp;(ROW())):INDIRECT(AL$3&amp;(ROW()))))</f>
        <v>-139</v>
      </c>
      <c r="AM675" s="385">
        <f ca="1">SUM(INDIRECT(AM$1&amp;AM$2&amp;$C675):INDIRECT(AM$1&amp;AM$3&amp;$C675))</f>
        <v>0</v>
      </c>
      <c r="AN675" s="897">
        <f t="shared" ca="1" si="1338"/>
        <v>-139</v>
      </c>
      <c r="AO675" s="958">
        <f t="shared" ca="1" si="1339"/>
        <v>0</v>
      </c>
      <c r="AP675" s="385">
        <f ca="1">SUM(INDIRECT(AP$1&amp;AP$2&amp;$A675):INDIRECT(AP$1&amp;AP$3&amp;$A675))</f>
        <v>-164</v>
      </c>
      <c r="AQ675" s="897">
        <f t="shared" ca="1" si="1340"/>
        <v>25</v>
      </c>
      <c r="AR675" s="958">
        <f t="shared" ca="1" si="1341"/>
        <v>0.84756097560975607</v>
      </c>
      <c r="AT675" s="385">
        <f ca="1">SUM((INDIRECT(AT$2&amp;(ROW())):INDIRECT(AT$3&amp;(ROW()))))</f>
        <v>-499</v>
      </c>
      <c r="AU675" s="385">
        <f ca="1">SUM(INDIRECT(AU$1&amp;AU$2&amp;$C675):INDIRECT(AU$1&amp;AU$3&amp;$C675))</f>
        <v>0</v>
      </c>
      <c r="AV675" s="897">
        <f t="shared" ca="1" si="1342"/>
        <v>-499</v>
      </c>
      <c r="AW675" s="958">
        <f t="shared" ca="1" si="1343"/>
        <v>0</v>
      </c>
      <c r="AX675" s="385">
        <f ca="1">SUM(INDIRECT(AX$1&amp;AX$2&amp;$A675):INDIRECT(AX$1&amp;AX$3&amp;$A675))</f>
        <v>-475</v>
      </c>
      <c r="AY675" s="897">
        <f t="shared" ca="1" si="1344"/>
        <v>-24</v>
      </c>
      <c r="AZ675" s="958">
        <f t="shared" ca="1" si="1345"/>
        <v>1.0505263157894738</v>
      </c>
      <c r="BB675" s="385">
        <f ca="1">SUM((INDIRECT(BB$2&amp;(ROW())):INDIRECT(BB$3&amp;(ROW()))))</f>
        <v>-2221.6729214711509</v>
      </c>
      <c r="BC675" s="385">
        <f ca="1">SUM(INDIRECT(BC$1&amp;BC$2&amp;$C675):INDIRECT(BC$1&amp;BC$3&amp;$C675))</f>
        <v>0</v>
      </c>
      <c r="BD675" s="897">
        <f t="shared" ca="1" si="1346"/>
        <v>-2221.6729214711509</v>
      </c>
      <c r="BE675" s="958">
        <f t="shared" ca="1" si="1347"/>
        <v>0</v>
      </c>
      <c r="BF675" s="385">
        <f ca="1">SUM(INDIRECT(BF$1&amp;BF$2&amp;$A675):INDIRECT(BF$1&amp;BF$3&amp;$A675))</f>
        <v>-1941</v>
      </c>
      <c r="BG675" s="897">
        <f t="shared" ca="1" si="1348"/>
        <v>-280.67292147115086</v>
      </c>
      <c r="BH675" s="958">
        <f t="shared" ca="1" si="1349"/>
        <v>1.1446022264148124</v>
      </c>
    </row>
    <row r="676" spans="1:60" s="75" customFormat="1" ht="14.5">
      <c r="A676" s="990">
        <f t="shared" si="1333"/>
        <v>611</v>
      </c>
      <c r="B676" s="990">
        <v>1</v>
      </c>
      <c r="C676" s="990">
        <f t="shared" si="1305"/>
        <v>673</v>
      </c>
      <c r="E676" s="1243">
        <v>1</v>
      </c>
      <c r="F676" s="10"/>
      <c r="G676" s="10"/>
      <c r="H676" s="24"/>
      <c r="I676" s="445"/>
      <c r="J676" s="446"/>
      <c r="K676" s="74"/>
      <c r="L676" s="74"/>
      <c r="O676" s="396"/>
      <c r="P676" s="371" t="s">
        <v>378</v>
      </c>
      <c r="Q676" s="1845" t="str">
        <f>CHOOSE(2, "6722000003595", "S/GP (3) Gross Profit Direct NH KM-1/KM-1e FSC (-) PC")</f>
        <v>S/GP (3) Gross Profit Direct NH KM-1/KM-1e FSC (-) PC</v>
      </c>
      <c r="R676" s="2042">
        <v>-159</v>
      </c>
      <c r="S676" s="2042">
        <v>-158</v>
      </c>
      <c r="T676" s="2042">
        <v>-214</v>
      </c>
      <c r="U676" s="2042">
        <v>-213</v>
      </c>
      <c r="V676" s="2042">
        <v>-130.67292147115094</v>
      </c>
      <c r="W676" s="2042">
        <v>-166</v>
      </c>
      <c r="X676" s="2042">
        <v>-163</v>
      </c>
      <c r="Y676" s="2042">
        <v>-159</v>
      </c>
      <c r="Z676" s="2042">
        <v>-206</v>
      </c>
      <c r="AA676" s="2042">
        <v>-159</v>
      </c>
      <c r="AB676" s="2042">
        <v>-159</v>
      </c>
      <c r="AC676" s="2042">
        <v>-121</v>
      </c>
      <c r="AD676" s="1537">
        <f>SUM(R676,S676,T676)</f>
        <v>-531</v>
      </c>
      <c r="AE676" s="108">
        <f t="shared" ref="AE676:AE678" si="1367">SUM(U676,V676,W676)</f>
        <v>-509.67292147115097</v>
      </c>
      <c r="AF676" s="108">
        <f t="shared" ref="AF676:AF678" si="1368">SUM(X676,Y676,Z676)</f>
        <v>-528</v>
      </c>
      <c r="AG676" s="108">
        <f t="shared" ref="AG676:AG678" si="1369">SUM(AA676,AB676,AC676)</f>
        <v>-439</v>
      </c>
      <c r="AH676" s="108">
        <f>AD676+AE676</f>
        <v>-1040.6729214711509</v>
      </c>
      <c r="AI676" s="108">
        <f>AG676+AF676</f>
        <v>-967</v>
      </c>
      <c r="AJ676" s="108">
        <f>AH676+AI676</f>
        <v>-2007.6729214711509</v>
      </c>
      <c r="AL676" s="108">
        <f ca="1">SUM((INDIRECT(AL$2&amp;(ROW())):INDIRECT(AL$3&amp;(ROW()))))</f>
        <v>-121</v>
      </c>
      <c r="AM676" s="108">
        <f ca="1">SUM(INDIRECT(AM$1&amp;AM$2&amp;$C676):INDIRECT(AM$1&amp;AM$3&amp;$C676))</f>
        <v>0</v>
      </c>
      <c r="AN676" s="893">
        <f t="shared" ca="1" si="1338"/>
        <v>-121</v>
      </c>
      <c r="AO676" s="954">
        <f t="shared" ca="1" si="1339"/>
        <v>0</v>
      </c>
      <c r="AP676" s="108">
        <f ca="1">SUM(INDIRECT(AP$1&amp;AP$2&amp;$A676):INDIRECT(AP$1&amp;AP$3&amp;$A676))</f>
        <v>-138</v>
      </c>
      <c r="AQ676" s="893">
        <f t="shared" ca="1" si="1340"/>
        <v>17</v>
      </c>
      <c r="AR676" s="954">
        <f t="shared" ca="1" si="1341"/>
        <v>0.87681159420289856</v>
      </c>
      <c r="AT676" s="108">
        <f ca="1">SUM((INDIRECT(AT$2&amp;(ROW())):INDIRECT(AT$3&amp;(ROW()))))</f>
        <v>-439</v>
      </c>
      <c r="AU676" s="108">
        <f ca="1">SUM(INDIRECT(AU$1&amp;AU$2&amp;$C676):INDIRECT(AU$1&amp;AU$3&amp;$C676))</f>
        <v>0</v>
      </c>
      <c r="AV676" s="893">
        <f t="shared" ca="1" si="1342"/>
        <v>-439</v>
      </c>
      <c r="AW676" s="954">
        <f t="shared" ca="1" si="1343"/>
        <v>0</v>
      </c>
      <c r="AX676" s="108">
        <f ca="1">SUM(INDIRECT(AX$1&amp;AX$2&amp;$A676):INDIRECT(AX$1&amp;AX$3&amp;$A676))</f>
        <v>-414</v>
      </c>
      <c r="AY676" s="893">
        <f t="shared" ca="1" si="1344"/>
        <v>-25</v>
      </c>
      <c r="AZ676" s="954">
        <f t="shared" ca="1" si="1345"/>
        <v>1.0603864734299517</v>
      </c>
      <c r="BB676" s="108">
        <f ca="1">SUM((INDIRECT(BB$2&amp;(ROW())):INDIRECT(BB$3&amp;(ROW()))))</f>
        <v>-2007.6729214711509</v>
      </c>
      <c r="BC676" s="108">
        <f ca="1">SUM(INDIRECT(BC$1&amp;BC$2&amp;$C676):INDIRECT(BC$1&amp;BC$3&amp;$C676))</f>
        <v>0</v>
      </c>
      <c r="BD676" s="893">
        <f t="shared" ca="1" si="1346"/>
        <v>-2007.6729214711509</v>
      </c>
      <c r="BE676" s="954">
        <f t="shared" ca="1" si="1347"/>
        <v>0</v>
      </c>
      <c r="BF676" s="108">
        <f ca="1">SUM(INDIRECT(BF$1&amp;BF$2&amp;$A676):INDIRECT(BF$1&amp;BF$3&amp;$A676))</f>
        <v>-1796</v>
      </c>
      <c r="BG676" s="893">
        <f t="shared" ca="1" si="1348"/>
        <v>-211.67292147115086</v>
      </c>
      <c r="BH676" s="954">
        <f t="shared" ca="1" si="1349"/>
        <v>1.1178579740930683</v>
      </c>
    </row>
    <row r="677" spans="1:60" s="75" customFormat="1" ht="14.5">
      <c r="A677" s="990">
        <f t="shared" si="1333"/>
        <v>612</v>
      </c>
      <c r="B677" s="990">
        <v>1</v>
      </c>
      <c r="C677" s="990">
        <f t="shared" si="1305"/>
        <v>674</v>
      </c>
      <c r="E677" s="1243">
        <v>1</v>
      </c>
      <c r="F677" s="10"/>
      <c r="G677" s="10"/>
      <c r="H677" s="24"/>
      <c r="I677" s="445"/>
      <c r="J677" s="446"/>
      <c r="K677" s="74"/>
      <c r="L677" s="74"/>
      <c r="O677" s="301"/>
      <c r="P677" s="299" t="s">
        <v>379</v>
      </c>
      <c r="Q677" s="1845" t="str">
        <f>CHOOSE(2, "6722000003596", "S/GP (3) Gross Profit Direct NH KM-1/KM-1e FSC (-) TE")</f>
        <v>S/GP (3) Gross Profit Direct NH KM-1/KM-1e FSC (-) TE</v>
      </c>
      <c r="R677" s="2036">
        <v>0</v>
      </c>
      <c r="S677" s="2036">
        <v>-18</v>
      </c>
      <c r="T677" s="2036">
        <v>-19</v>
      </c>
      <c r="U677" s="2036">
        <v>-19</v>
      </c>
      <c r="V677" s="2036">
        <v>-25</v>
      </c>
      <c r="W677" s="2036">
        <v>-10</v>
      </c>
      <c r="X677" s="2036">
        <v>-27</v>
      </c>
      <c r="Y677" s="2036">
        <v>-18</v>
      </c>
      <c r="Z677" s="2036">
        <v>-18</v>
      </c>
      <c r="AA677" s="2036">
        <v>-25</v>
      </c>
      <c r="AB677" s="2036">
        <v>-17</v>
      </c>
      <c r="AC677" s="2036">
        <v>-18</v>
      </c>
      <c r="AD677" s="1380">
        <f>SUM(R677,S677,T677)</f>
        <v>-37</v>
      </c>
      <c r="AE677" s="107">
        <f t="shared" si="1367"/>
        <v>-54</v>
      </c>
      <c r="AF677" s="107">
        <f t="shared" si="1368"/>
        <v>-63</v>
      </c>
      <c r="AG677" s="107">
        <f t="shared" si="1369"/>
        <v>-60</v>
      </c>
      <c r="AH677" s="107">
        <f>AD677+AE677</f>
        <v>-91</v>
      </c>
      <c r="AI677" s="107">
        <f>AG677+AF677</f>
        <v>-123</v>
      </c>
      <c r="AJ677" s="107">
        <f>AH677+AI677</f>
        <v>-214</v>
      </c>
      <c r="AL677" s="107">
        <f ca="1">SUM((INDIRECT(AL$2&amp;(ROW())):INDIRECT(AL$3&amp;(ROW()))))</f>
        <v>-18</v>
      </c>
      <c r="AM677" s="107">
        <f ca="1">SUM(INDIRECT(AM$1&amp;AM$2&amp;$C677):INDIRECT(AM$1&amp;AM$3&amp;$C677))</f>
        <v>0</v>
      </c>
      <c r="AN677" s="898">
        <f t="shared" ca="1" si="1338"/>
        <v>-18</v>
      </c>
      <c r="AO677" s="959">
        <f t="shared" ca="1" si="1339"/>
        <v>0</v>
      </c>
      <c r="AP677" s="107">
        <f ca="1">SUM(INDIRECT(AP$1&amp;AP$2&amp;$A677):INDIRECT(AP$1&amp;AP$3&amp;$A677))</f>
        <v>-26</v>
      </c>
      <c r="AQ677" s="898">
        <f t="shared" ca="1" si="1340"/>
        <v>8</v>
      </c>
      <c r="AR677" s="959">
        <f t="shared" ca="1" si="1341"/>
        <v>0.69230769230769229</v>
      </c>
      <c r="AT677" s="107">
        <f ca="1">SUM((INDIRECT(AT$2&amp;(ROW())):INDIRECT(AT$3&amp;(ROW()))))</f>
        <v>-60</v>
      </c>
      <c r="AU677" s="107">
        <f ca="1">SUM(INDIRECT(AU$1&amp;AU$2&amp;$C677):INDIRECT(AU$1&amp;AU$3&amp;$C677))</f>
        <v>0</v>
      </c>
      <c r="AV677" s="898">
        <f t="shared" ca="1" si="1342"/>
        <v>-60</v>
      </c>
      <c r="AW677" s="959">
        <f t="shared" ca="1" si="1343"/>
        <v>0</v>
      </c>
      <c r="AX677" s="107">
        <f ca="1">SUM(INDIRECT(AX$1&amp;AX$2&amp;$A677):INDIRECT(AX$1&amp;AX$3&amp;$A677))</f>
        <v>-61</v>
      </c>
      <c r="AY677" s="898">
        <f t="shared" ca="1" si="1344"/>
        <v>1</v>
      </c>
      <c r="AZ677" s="959">
        <f t="shared" ca="1" si="1345"/>
        <v>0.98360655737704916</v>
      </c>
      <c r="BB677" s="107">
        <f ca="1">SUM((INDIRECT(BB$2&amp;(ROW())):INDIRECT(BB$3&amp;(ROW()))))</f>
        <v>-214</v>
      </c>
      <c r="BC677" s="107">
        <f ca="1">SUM(INDIRECT(BC$1&amp;BC$2&amp;$C677):INDIRECT(BC$1&amp;BC$3&amp;$C677))</f>
        <v>0</v>
      </c>
      <c r="BD677" s="898">
        <f t="shared" ca="1" si="1346"/>
        <v>-214</v>
      </c>
      <c r="BE677" s="959">
        <f t="shared" ca="1" si="1347"/>
        <v>0</v>
      </c>
      <c r="BF677" s="107">
        <f ca="1">SUM(INDIRECT(BF$1&amp;BF$2&amp;$A677):INDIRECT(BF$1&amp;BF$3&amp;$A677))</f>
        <v>-145</v>
      </c>
      <c r="BG677" s="898">
        <f t="shared" ca="1" si="1348"/>
        <v>-69</v>
      </c>
      <c r="BH677" s="959">
        <f t="shared" ca="1" si="1349"/>
        <v>1.4758620689655173</v>
      </c>
    </row>
    <row r="678" spans="1:60" s="75" customFormat="1" ht="14.5">
      <c r="A678" s="990">
        <f t="shared" si="1333"/>
        <v>613</v>
      </c>
      <c r="B678" s="990">
        <v>1</v>
      </c>
      <c r="C678" s="990">
        <f t="shared" si="1305"/>
        <v>675</v>
      </c>
      <c r="E678" s="1243">
        <v>1</v>
      </c>
      <c r="F678" s="10"/>
      <c r="G678" s="10"/>
      <c r="H678" s="24"/>
      <c r="I678" s="445"/>
      <c r="J678" s="446"/>
      <c r="K678" s="74"/>
      <c r="L678" s="74"/>
      <c r="N678" s="276"/>
      <c r="O678" s="302"/>
      <c r="P678" s="298" t="s">
        <v>386</v>
      </c>
      <c r="Q678" s="1845" t="str">
        <f>CHOOSE(2, "6722000003597", "S/GP (3) Gross Profit Direct NH KM-1/KM-1e FSC (-) OFC")</f>
        <v>S/GP (3) Gross Profit Direct NH KM-1/KM-1e FSC (-) OFC</v>
      </c>
      <c r="R678" s="2037">
        <v>0</v>
      </c>
      <c r="S678" s="2037">
        <v>0</v>
      </c>
      <c r="T678" s="2037">
        <v>0</v>
      </c>
      <c r="U678" s="2037">
        <v>0</v>
      </c>
      <c r="V678" s="2037">
        <v>0</v>
      </c>
      <c r="W678" s="2037">
        <v>0</v>
      </c>
      <c r="X678" s="2037">
        <v>0</v>
      </c>
      <c r="Y678" s="2037">
        <v>0</v>
      </c>
      <c r="Z678" s="2037">
        <v>0</v>
      </c>
      <c r="AA678" s="2037">
        <v>0</v>
      </c>
      <c r="AB678" s="2037">
        <v>0</v>
      </c>
      <c r="AC678" s="2037">
        <v>0</v>
      </c>
      <c r="AD678" s="1380">
        <f>SUM(R678,S678,T678)</f>
        <v>0</v>
      </c>
      <c r="AE678" s="107">
        <f t="shared" si="1367"/>
        <v>0</v>
      </c>
      <c r="AF678" s="107">
        <f t="shared" si="1368"/>
        <v>0</v>
      </c>
      <c r="AG678" s="107">
        <f t="shared" si="1369"/>
        <v>0</v>
      </c>
      <c r="AH678" s="107">
        <f>AD678+AE678</f>
        <v>0</v>
      </c>
      <c r="AI678" s="107">
        <f>AG678+AF678</f>
        <v>0</v>
      </c>
      <c r="AJ678" s="107">
        <f>AH678+AI678</f>
        <v>0</v>
      </c>
      <c r="AL678" s="107">
        <f ca="1">SUM((INDIRECT(AL$2&amp;(ROW())):INDIRECT(AL$3&amp;(ROW()))))</f>
        <v>0</v>
      </c>
      <c r="AM678" s="107">
        <f ca="1">SUM(INDIRECT(AM$1&amp;AM$2&amp;$C678):INDIRECT(AM$1&amp;AM$3&amp;$C678))</f>
        <v>0</v>
      </c>
      <c r="AN678" s="898">
        <f t="shared" ca="1" si="1338"/>
        <v>0</v>
      </c>
      <c r="AO678" s="959">
        <f t="shared" ca="1" si="1339"/>
        <v>0</v>
      </c>
      <c r="AP678" s="107">
        <f ca="1">SUM(INDIRECT(AP$1&amp;AP$2&amp;$A678):INDIRECT(AP$1&amp;AP$3&amp;$A678))</f>
        <v>0</v>
      </c>
      <c r="AQ678" s="898">
        <f t="shared" ca="1" si="1340"/>
        <v>0</v>
      </c>
      <c r="AR678" s="959">
        <f t="shared" ca="1" si="1341"/>
        <v>0</v>
      </c>
      <c r="AT678" s="107">
        <f ca="1">SUM((INDIRECT(AT$2&amp;(ROW())):INDIRECT(AT$3&amp;(ROW()))))</f>
        <v>0</v>
      </c>
      <c r="AU678" s="107">
        <f ca="1">SUM(INDIRECT(AU$1&amp;AU$2&amp;$C678):INDIRECT(AU$1&amp;AU$3&amp;$C678))</f>
        <v>0</v>
      </c>
      <c r="AV678" s="898">
        <f t="shared" ca="1" si="1342"/>
        <v>0</v>
      </c>
      <c r="AW678" s="959">
        <f t="shared" ca="1" si="1343"/>
        <v>0</v>
      </c>
      <c r="AX678" s="107">
        <f ca="1">SUM(INDIRECT(AX$1&amp;AX$2&amp;$A678):INDIRECT(AX$1&amp;AX$3&amp;$A678))</f>
        <v>0</v>
      </c>
      <c r="AY678" s="898">
        <f t="shared" ca="1" si="1344"/>
        <v>0</v>
      </c>
      <c r="AZ678" s="959">
        <f t="shared" ca="1" si="1345"/>
        <v>0</v>
      </c>
      <c r="BB678" s="107">
        <f ca="1">SUM((INDIRECT(BB$2&amp;(ROW())):INDIRECT(BB$3&amp;(ROW()))))</f>
        <v>0</v>
      </c>
      <c r="BC678" s="107">
        <f ca="1">SUM(INDIRECT(BC$1&amp;BC$2&amp;$C678):INDIRECT(BC$1&amp;BC$3&amp;$C678))</f>
        <v>0</v>
      </c>
      <c r="BD678" s="898">
        <f t="shared" ca="1" si="1346"/>
        <v>0</v>
      </c>
      <c r="BE678" s="959">
        <f t="shared" ca="1" si="1347"/>
        <v>0</v>
      </c>
      <c r="BF678" s="107">
        <f ca="1">SUM(INDIRECT(BF$1&amp;BF$2&amp;$A678):INDIRECT(BF$1&amp;BF$3&amp;$A678))</f>
        <v>0</v>
      </c>
      <c r="BG678" s="898">
        <f t="shared" ca="1" si="1348"/>
        <v>0</v>
      </c>
      <c r="BH678" s="959">
        <f t="shared" ca="1" si="1349"/>
        <v>0</v>
      </c>
    </row>
    <row r="679" spans="1:60" ht="14.5">
      <c r="A679" s="990">
        <f t="shared" si="1333"/>
        <v>614</v>
      </c>
      <c r="B679" s="990">
        <v>1</v>
      </c>
      <c r="C679" s="990">
        <f t="shared" si="1305"/>
        <v>676</v>
      </c>
      <c r="E679" s="1243">
        <v>1</v>
      </c>
      <c r="I679" s="445"/>
      <c r="J679" s="446"/>
      <c r="K679" s="74"/>
      <c r="L679" s="74"/>
      <c r="M679" s="75"/>
      <c r="N679" s="75" t="s">
        <v>363</v>
      </c>
      <c r="O679" s="391"/>
      <c r="P679" s="391"/>
      <c r="Q679" s="1843" t="str">
        <f>CHOOSE(2, "6722000003598", "S/GP (3) Gross Profit Direct NH Label Printer")</f>
        <v>S/GP (3) Gross Profit Direct NH Label Printer</v>
      </c>
      <c r="R679" s="64">
        <f t="shared" ref="R679:AC679" si="1370">R680+R681</f>
        <v>1806</v>
      </c>
      <c r="S679" s="64">
        <f t="shared" si="1370"/>
        <v>1954</v>
      </c>
      <c r="T679" s="64">
        <f t="shared" si="1370"/>
        <v>1661</v>
      </c>
      <c r="U679" s="64">
        <f t="shared" si="1370"/>
        <v>1573</v>
      </c>
      <c r="V679" s="64">
        <f t="shared" si="1370"/>
        <v>1904.8495114766838</v>
      </c>
      <c r="W679" s="64">
        <f t="shared" si="1370"/>
        <v>1131.3970114766837</v>
      </c>
      <c r="X679" s="64">
        <f t="shared" si="1370"/>
        <v>2047</v>
      </c>
      <c r="Y679" s="64">
        <f t="shared" si="1370"/>
        <v>1641</v>
      </c>
      <c r="Z679" s="64">
        <f t="shared" si="1370"/>
        <v>2056</v>
      </c>
      <c r="AA679" s="64">
        <f t="shared" si="1370"/>
        <v>2975</v>
      </c>
      <c r="AB679" s="64">
        <f t="shared" si="1370"/>
        <v>523</v>
      </c>
      <c r="AC679" s="64">
        <f t="shared" si="1370"/>
        <v>2934</v>
      </c>
      <c r="AD679" s="1545">
        <f t="shared" ref="AD679:AJ679" si="1371">AD680+AD681</f>
        <v>5421</v>
      </c>
      <c r="AE679" s="64">
        <f t="shared" si="1371"/>
        <v>4609.2465229533682</v>
      </c>
      <c r="AF679" s="64">
        <f t="shared" si="1371"/>
        <v>5744</v>
      </c>
      <c r="AG679" s="64">
        <f t="shared" si="1371"/>
        <v>6432</v>
      </c>
      <c r="AH679" s="64">
        <f t="shared" si="1371"/>
        <v>10030.246522953366</v>
      </c>
      <c r="AI679" s="64">
        <f t="shared" si="1371"/>
        <v>12176</v>
      </c>
      <c r="AJ679" s="64">
        <f t="shared" si="1371"/>
        <v>22206.246522953366</v>
      </c>
      <c r="AL679" s="64">
        <f ca="1">SUM((INDIRECT(AL$2&amp;(ROW())):INDIRECT(AL$3&amp;(ROW()))))</f>
        <v>2934</v>
      </c>
      <c r="AM679" s="64">
        <f ca="1">SUM(INDIRECT(AM$1&amp;AM$2&amp;$C679):INDIRECT(AM$1&amp;AM$3&amp;$C679))</f>
        <v>0</v>
      </c>
      <c r="AN679" s="902">
        <f t="shared" ca="1" si="1338"/>
        <v>2934</v>
      </c>
      <c r="AO679" s="963">
        <f t="shared" ca="1" si="1339"/>
        <v>0</v>
      </c>
      <c r="AP679" s="64">
        <f ca="1">SUM(INDIRECT(AP$1&amp;AP$2&amp;$A679):INDIRECT(AP$1&amp;AP$3&amp;$A679))</f>
        <v>1614</v>
      </c>
      <c r="AQ679" s="902">
        <f t="shared" ca="1" si="1340"/>
        <v>1320</v>
      </c>
      <c r="AR679" s="963">
        <f t="shared" ca="1" si="1341"/>
        <v>1.8178438661710037</v>
      </c>
      <c r="AT679" s="64">
        <f ca="1">SUM((INDIRECT(AT$2&amp;(ROW())):INDIRECT(AT$3&amp;(ROW()))))</f>
        <v>6432</v>
      </c>
      <c r="AU679" s="64">
        <f ca="1">SUM(INDIRECT(AU$1&amp;AU$2&amp;$C679):INDIRECT(AU$1&amp;AU$3&amp;$C679))</f>
        <v>0</v>
      </c>
      <c r="AV679" s="902">
        <f t="shared" ca="1" si="1342"/>
        <v>6432</v>
      </c>
      <c r="AW679" s="963">
        <f t="shared" ca="1" si="1343"/>
        <v>0</v>
      </c>
      <c r="AX679" s="64">
        <f ca="1">SUM(INDIRECT(AX$1&amp;AX$2&amp;$A679):INDIRECT(AX$1&amp;AX$3&amp;$A679))</f>
        <v>5620</v>
      </c>
      <c r="AY679" s="902">
        <f t="shared" ca="1" si="1344"/>
        <v>812</v>
      </c>
      <c r="AZ679" s="963">
        <f t="shared" ca="1" si="1345"/>
        <v>1.1444839857651246</v>
      </c>
      <c r="BB679" s="64">
        <f ca="1">SUM((INDIRECT(BB$2&amp;(ROW())):INDIRECT(BB$3&amp;(ROW()))))</f>
        <v>22206.24652295337</v>
      </c>
      <c r="BC679" s="64">
        <f ca="1">SUM(INDIRECT(BC$1&amp;BC$2&amp;$C679):INDIRECT(BC$1&amp;BC$3&amp;$C679))</f>
        <v>0</v>
      </c>
      <c r="BD679" s="902">
        <f t="shared" ca="1" si="1346"/>
        <v>22206.24652295337</v>
      </c>
      <c r="BE679" s="963">
        <f t="shared" ca="1" si="1347"/>
        <v>0</v>
      </c>
      <c r="BF679" s="64">
        <f ca="1">SUM(INDIRECT(BF$1&amp;BF$2&amp;$A679):INDIRECT(BF$1&amp;BF$3&amp;$A679))</f>
        <v>17668</v>
      </c>
      <c r="BG679" s="902">
        <f t="shared" ca="1" si="1348"/>
        <v>4538.24652295337</v>
      </c>
      <c r="BH679" s="963">
        <f t="shared" ca="1" si="1349"/>
        <v>1.256862492809224</v>
      </c>
    </row>
    <row r="680" spans="1:60" ht="14.5">
      <c r="A680" s="990">
        <f t="shared" si="1333"/>
        <v>615</v>
      </c>
      <c r="B680" s="990">
        <v>1</v>
      </c>
      <c r="C680" s="990">
        <f t="shared" si="1305"/>
        <v>677</v>
      </c>
      <c r="E680" s="1243">
        <v>1</v>
      </c>
      <c r="I680" s="445"/>
      <c r="J680" s="446"/>
      <c r="K680" s="74"/>
      <c r="L680" s="74"/>
      <c r="M680" s="75"/>
      <c r="N680" s="75"/>
      <c r="O680" s="394" t="s">
        <v>380</v>
      </c>
      <c r="P680" s="394"/>
      <c r="Q680" s="1845" t="str">
        <f>CHOOSE(2, "6722000003599", "S/GP (3) Gross Profit Direct NH Label Printer Label Printer")</f>
        <v>S/GP (3) Gross Profit Direct NH Label Printer Label Printer</v>
      </c>
      <c r="R680" s="2057">
        <v>1860</v>
      </c>
      <c r="S680" s="2057">
        <v>2010</v>
      </c>
      <c r="T680" s="2057">
        <v>1729</v>
      </c>
      <c r="U680" s="2057">
        <v>1651</v>
      </c>
      <c r="V680" s="2057">
        <v>1986.4525000000001</v>
      </c>
      <c r="W680" s="2057">
        <v>1204</v>
      </c>
      <c r="X680" s="2057">
        <v>2130</v>
      </c>
      <c r="Y680" s="2057">
        <v>1695</v>
      </c>
      <c r="Z680" s="2057">
        <v>2139</v>
      </c>
      <c r="AA680" s="2057">
        <v>3028</v>
      </c>
      <c r="AB680" s="2057">
        <v>576</v>
      </c>
      <c r="AC680" s="2057">
        <v>3027</v>
      </c>
      <c r="AD680" s="1545">
        <f>SUM(R680,S680,T680)</f>
        <v>5599</v>
      </c>
      <c r="AE680" s="64">
        <f t="shared" ref="AE680" si="1372">SUM(U680,V680,W680)</f>
        <v>4841.4525000000003</v>
      </c>
      <c r="AF680" s="64">
        <f t="shared" ref="AF680" si="1373">SUM(X680,Y680,Z680)</f>
        <v>5964</v>
      </c>
      <c r="AG680" s="64">
        <f t="shared" ref="AG680" si="1374">SUM(AA680,AB680,AC680)</f>
        <v>6631</v>
      </c>
      <c r="AH680" s="64">
        <f>AD680+AE680</f>
        <v>10440.452499999999</v>
      </c>
      <c r="AI680" s="64">
        <f>AG680+AF680</f>
        <v>12595</v>
      </c>
      <c r="AJ680" s="64">
        <f>AH680+AI680</f>
        <v>23035.452499999999</v>
      </c>
      <c r="AL680" s="64">
        <f ca="1">SUM((INDIRECT(AL$2&amp;(ROW())):INDIRECT(AL$3&amp;(ROW()))))</f>
        <v>3027</v>
      </c>
      <c r="AM680" s="64">
        <f ca="1">SUM(INDIRECT(AM$1&amp;AM$2&amp;$C680):INDIRECT(AM$1&amp;AM$3&amp;$C680))</f>
        <v>0</v>
      </c>
      <c r="AN680" s="902">
        <f t="shared" ca="1" si="1338"/>
        <v>3027</v>
      </c>
      <c r="AO680" s="963">
        <f t="shared" ca="1" si="1339"/>
        <v>0</v>
      </c>
      <c r="AP680" s="64">
        <f ca="1">SUM(INDIRECT(AP$1&amp;AP$2&amp;$A680):INDIRECT(AP$1&amp;AP$3&amp;$A680))</f>
        <v>1694</v>
      </c>
      <c r="AQ680" s="902">
        <f t="shared" ca="1" si="1340"/>
        <v>1333</v>
      </c>
      <c r="AR680" s="963">
        <f t="shared" ca="1" si="1341"/>
        <v>1.7868949232585596</v>
      </c>
      <c r="AT680" s="64">
        <f ca="1">SUM((INDIRECT(AT$2&amp;(ROW())):INDIRECT(AT$3&amp;(ROW()))))</f>
        <v>6631</v>
      </c>
      <c r="AU680" s="64">
        <f ca="1">SUM(INDIRECT(AU$1&amp;AU$2&amp;$C680):INDIRECT(AU$1&amp;AU$3&amp;$C680))</f>
        <v>0</v>
      </c>
      <c r="AV680" s="902">
        <f t="shared" ca="1" si="1342"/>
        <v>6631</v>
      </c>
      <c r="AW680" s="963">
        <f t="shared" ca="1" si="1343"/>
        <v>0</v>
      </c>
      <c r="AX680" s="64">
        <f ca="1">SUM(INDIRECT(AX$1&amp;AX$2&amp;$A680):INDIRECT(AX$1&amp;AX$3&amp;$A680))</f>
        <v>5817</v>
      </c>
      <c r="AY680" s="902">
        <f t="shared" ca="1" si="1344"/>
        <v>814</v>
      </c>
      <c r="AZ680" s="963">
        <f t="shared" ca="1" si="1345"/>
        <v>1.139934674230703</v>
      </c>
      <c r="BB680" s="64">
        <f ca="1">SUM((INDIRECT(BB$2&amp;(ROW())):INDIRECT(BB$3&amp;(ROW()))))</f>
        <v>23035.452499999999</v>
      </c>
      <c r="BC680" s="64">
        <f ca="1">SUM(INDIRECT(BC$1&amp;BC$2&amp;$C680):INDIRECT(BC$1&amp;BC$3&amp;$C680))</f>
        <v>0</v>
      </c>
      <c r="BD680" s="902">
        <f t="shared" ca="1" si="1346"/>
        <v>23035.452499999999</v>
      </c>
      <c r="BE680" s="963">
        <f t="shared" ca="1" si="1347"/>
        <v>0</v>
      </c>
      <c r="BF680" s="64">
        <f ca="1">SUM(INDIRECT(BF$1&amp;BF$2&amp;$A680):INDIRECT(BF$1&amp;BF$3&amp;$A680))</f>
        <v>18358</v>
      </c>
      <c r="BG680" s="902">
        <f t="shared" ca="1" si="1348"/>
        <v>4677.4524999999994</v>
      </c>
      <c r="BH680" s="963">
        <f t="shared" ca="1" si="1349"/>
        <v>1.2547909630678722</v>
      </c>
    </row>
    <row r="681" spans="1:60" s="75" customFormat="1" ht="14.5">
      <c r="A681" s="990">
        <f t="shared" si="1333"/>
        <v>616</v>
      </c>
      <c r="B681" s="990">
        <v>1</v>
      </c>
      <c r="C681" s="990">
        <f t="shared" si="1305"/>
        <v>678</v>
      </c>
      <c r="E681" s="1243">
        <v>1</v>
      </c>
      <c r="F681" s="10"/>
      <c r="G681" s="10"/>
      <c r="H681" s="24"/>
      <c r="I681" s="445"/>
      <c r="J681" s="446"/>
      <c r="K681" s="74"/>
      <c r="L681" s="74"/>
      <c r="O681" s="395" t="s">
        <v>364</v>
      </c>
      <c r="P681" s="395"/>
      <c r="Q681" s="1848" t="str">
        <f>CHOOSE(2, "6722000003600", "S/GP (3) Gross Profit Direct NH Label Printer FSC (-)")</f>
        <v>S/GP (3) Gross Profit Direct NH Label Printer FSC (-)</v>
      </c>
      <c r="R681" s="385">
        <f t="shared" ref="R681:AC681" si="1375">SUM(R682:R684)</f>
        <v>-54</v>
      </c>
      <c r="S681" s="385">
        <f t="shared" si="1375"/>
        <v>-56</v>
      </c>
      <c r="T681" s="385">
        <f t="shared" si="1375"/>
        <v>-68</v>
      </c>
      <c r="U681" s="385">
        <f t="shared" si="1375"/>
        <v>-78</v>
      </c>
      <c r="V681" s="385">
        <f t="shared" si="1375"/>
        <v>-81.602988523316242</v>
      </c>
      <c r="W681" s="385">
        <f t="shared" si="1375"/>
        <v>-72.602988523316242</v>
      </c>
      <c r="X681" s="385">
        <f t="shared" si="1375"/>
        <v>-83</v>
      </c>
      <c r="Y681" s="385">
        <f t="shared" si="1375"/>
        <v>-54</v>
      </c>
      <c r="Z681" s="385">
        <f t="shared" si="1375"/>
        <v>-83</v>
      </c>
      <c r="AA681" s="385">
        <f t="shared" si="1375"/>
        <v>-53</v>
      </c>
      <c r="AB681" s="385">
        <f t="shared" si="1375"/>
        <v>-53</v>
      </c>
      <c r="AC681" s="385">
        <f t="shared" si="1375"/>
        <v>-93</v>
      </c>
      <c r="AD681" s="1540">
        <f>SUM(R681:T681)</f>
        <v>-178</v>
      </c>
      <c r="AE681" s="385">
        <f>SUM(U681:W681)</f>
        <v>-232.20597704663248</v>
      </c>
      <c r="AF681" s="385">
        <f>SUM(X681:Z681)</f>
        <v>-220</v>
      </c>
      <c r="AG681" s="385">
        <f>SUM(AA681:AC681)</f>
        <v>-199</v>
      </c>
      <c r="AH681" s="385">
        <f>AD681+AE681</f>
        <v>-410.20597704663248</v>
      </c>
      <c r="AI681" s="385">
        <f>AG681+AF681</f>
        <v>-419</v>
      </c>
      <c r="AJ681" s="385">
        <f>AH681+AI681</f>
        <v>-829.20597704663248</v>
      </c>
      <c r="AL681" s="385">
        <f ca="1">SUM((INDIRECT(AL$2&amp;(ROW())):INDIRECT(AL$3&amp;(ROW()))))</f>
        <v>-93</v>
      </c>
      <c r="AM681" s="385">
        <f ca="1">SUM(INDIRECT(AM$1&amp;AM$2&amp;$C681):INDIRECT(AM$1&amp;AM$3&amp;$C681))</f>
        <v>0</v>
      </c>
      <c r="AN681" s="897">
        <f t="shared" ca="1" si="1338"/>
        <v>-93</v>
      </c>
      <c r="AO681" s="958">
        <f t="shared" ca="1" si="1339"/>
        <v>0</v>
      </c>
      <c r="AP681" s="385">
        <f ca="1">SUM(INDIRECT(AP$1&amp;AP$2&amp;$A681):INDIRECT(AP$1&amp;AP$3&amp;$A681))</f>
        <v>-80</v>
      </c>
      <c r="AQ681" s="897">
        <f t="shared" ca="1" si="1340"/>
        <v>-13</v>
      </c>
      <c r="AR681" s="958">
        <f t="shared" ca="1" si="1341"/>
        <v>1.1625000000000001</v>
      </c>
      <c r="AT681" s="385">
        <f ca="1">SUM((INDIRECT(AT$2&amp;(ROW())):INDIRECT(AT$3&amp;(ROW()))))</f>
        <v>-199</v>
      </c>
      <c r="AU681" s="385">
        <f ca="1">SUM(INDIRECT(AU$1&amp;AU$2&amp;$C681):INDIRECT(AU$1&amp;AU$3&amp;$C681))</f>
        <v>0</v>
      </c>
      <c r="AV681" s="897">
        <f t="shared" ca="1" si="1342"/>
        <v>-199</v>
      </c>
      <c r="AW681" s="958">
        <f t="shared" ca="1" si="1343"/>
        <v>0</v>
      </c>
      <c r="AX681" s="385">
        <f ca="1">SUM(INDIRECT(AX$1&amp;AX$2&amp;$A681):INDIRECT(AX$1&amp;AX$3&amp;$A681))</f>
        <v>-197</v>
      </c>
      <c r="AY681" s="897">
        <f t="shared" ca="1" si="1344"/>
        <v>-2</v>
      </c>
      <c r="AZ681" s="958">
        <f t="shared" ca="1" si="1345"/>
        <v>1.0101522842639594</v>
      </c>
      <c r="BB681" s="385">
        <f ca="1">SUM((INDIRECT(BB$2&amp;(ROW())):INDIRECT(BB$3&amp;(ROW()))))</f>
        <v>-829.20597704663248</v>
      </c>
      <c r="BC681" s="385">
        <f ca="1">SUM(INDIRECT(BC$1&amp;BC$2&amp;$C681):INDIRECT(BC$1&amp;BC$3&amp;$C681))</f>
        <v>0</v>
      </c>
      <c r="BD681" s="897">
        <f t="shared" ca="1" si="1346"/>
        <v>-829.20597704663248</v>
      </c>
      <c r="BE681" s="958">
        <f t="shared" ca="1" si="1347"/>
        <v>0</v>
      </c>
      <c r="BF681" s="385">
        <f ca="1">SUM(INDIRECT(BF$1&amp;BF$2&amp;$A681):INDIRECT(BF$1&amp;BF$3&amp;$A681))</f>
        <v>-690</v>
      </c>
      <c r="BG681" s="897">
        <f t="shared" ca="1" si="1348"/>
        <v>-139.20597704663248</v>
      </c>
      <c r="BH681" s="958">
        <f t="shared" ca="1" si="1349"/>
        <v>1.2017477928212066</v>
      </c>
    </row>
    <row r="682" spans="1:60" s="75" customFormat="1" ht="14.5">
      <c r="A682" s="990">
        <f t="shared" si="1333"/>
        <v>617</v>
      </c>
      <c r="B682" s="990">
        <v>1</v>
      </c>
      <c r="C682" s="990">
        <f t="shared" si="1305"/>
        <v>679</v>
      </c>
      <c r="E682" s="1243">
        <v>1</v>
      </c>
      <c r="F682" s="10"/>
      <c r="G682" s="10"/>
      <c r="H682" s="24"/>
      <c r="I682" s="445"/>
      <c r="J682" s="446"/>
      <c r="K682" s="74"/>
      <c r="L682" s="74"/>
      <c r="O682" s="396"/>
      <c r="P682" s="371" t="s">
        <v>378</v>
      </c>
      <c r="Q682" s="1845" t="str">
        <f>CHOOSE(2, "6722000003601", "S/GP (3) Gross Profit Direct NH Label Printer FSC (-) PC")</f>
        <v>S/GP (3) Gross Profit Direct NH Label Printer FSC (-) PC</v>
      </c>
      <c r="R682" s="2042">
        <v>-54</v>
      </c>
      <c r="S682" s="2042">
        <v>-54</v>
      </c>
      <c r="T682" s="2042">
        <v>-54</v>
      </c>
      <c r="U682" s="2042">
        <v>-61</v>
      </c>
      <c r="V682" s="2042">
        <v>-55.602988523316242</v>
      </c>
      <c r="W682" s="2042">
        <v>-55.602988523316242</v>
      </c>
      <c r="X682" s="2042">
        <v>-54</v>
      </c>
      <c r="Y682" s="2042">
        <v>-54</v>
      </c>
      <c r="Z682" s="2042">
        <v>-53</v>
      </c>
      <c r="AA682" s="2042">
        <v>-53</v>
      </c>
      <c r="AB682" s="2042">
        <v>-53</v>
      </c>
      <c r="AC682" s="2042">
        <v>-40</v>
      </c>
      <c r="AD682" s="1537">
        <f>SUM(R682,S682,T682)</f>
        <v>-162</v>
      </c>
      <c r="AE682" s="108">
        <f t="shared" ref="AE682:AE684" si="1376">SUM(U682,V682,W682)</f>
        <v>-172.20597704663248</v>
      </c>
      <c r="AF682" s="108">
        <f t="shared" ref="AF682:AF684" si="1377">SUM(X682,Y682,Z682)</f>
        <v>-161</v>
      </c>
      <c r="AG682" s="108">
        <f t="shared" ref="AG682:AG684" si="1378">SUM(AA682,AB682,AC682)</f>
        <v>-146</v>
      </c>
      <c r="AH682" s="108">
        <f>AD682+AE682</f>
        <v>-334.20597704663248</v>
      </c>
      <c r="AI682" s="108">
        <f>AG682+AF682</f>
        <v>-307</v>
      </c>
      <c r="AJ682" s="108">
        <f>AH682+AI682</f>
        <v>-641.20597704663248</v>
      </c>
      <c r="AL682" s="108">
        <f ca="1">SUM((INDIRECT(AL$2&amp;(ROW())):INDIRECT(AL$3&amp;(ROW()))))</f>
        <v>-40</v>
      </c>
      <c r="AM682" s="108">
        <f ca="1">SUM(INDIRECT(AM$1&amp;AM$2&amp;$C682):INDIRECT(AM$1&amp;AM$3&amp;$C682))</f>
        <v>0</v>
      </c>
      <c r="AN682" s="893">
        <f t="shared" ca="1" si="1338"/>
        <v>-40</v>
      </c>
      <c r="AO682" s="954">
        <f t="shared" ca="1" si="1339"/>
        <v>0</v>
      </c>
      <c r="AP682" s="108">
        <f ca="1">SUM(INDIRECT(AP$1&amp;AP$2&amp;$A682):INDIRECT(AP$1&amp;AP$3&amp;$A682))</f>
        <v>-47</v>
      </c>
      <c r="AQ682" s="893">
        <f t="shared" ca="1" si="1340"/>
        <v>7</v>
      </c>
      <c r="AR682" s="954">
        <f t="shared" ca="1" si="1341"/>
        <v>0.85106382978723405</v>
      </c>
      <c r="AT682" s="108">
        <f ca="1">SUM((INDIRECT(AT$2&amp;(ROW())):INDIRECT(AT$3&amp;(ROW()))))</f>
        <v>-146</v>
      </c>
      <c r="AU682" s="108">
        <f ca="1">SUM(INDIRECT(AU$1&amp;AU$2&amp;$C682):INDIRECT(AU$1&amp;AU$3&amp;$C682))</f>
        <v>0</v>
      </c>
      <c r="AV682" s="893">
        <f t="shared" ca="1" si="1342"/>
        <v>-146</v>
      </c>
      <c r="AW682" s="954">
        <f t="shared" ca="1" si="1343"/>
        <v>0</v>
      </c>
      <c r="AX682" s="108">
        <f ca="1">SUM(INDIRECT(AX$1&amp;AX$2&amp;$A682):INDIRECT(AX$1&amp;AX$3&amp;$A682))</f>
        <v>-141</v>
      </c>
      <c r="AY682" s="893">
        <f t="shared" ca="1" si="1344"/>
        <v>-5</v>
      </c>
      <c r="AZ682" s="954">
        <f t="shared" ca="1" si="1345"/>
        <v>1.0354609929078014</v>
      </c>
      <c r="BB682" s="108">
        <f ca="1">SUM((INDIRECT(BB$2&amp;(ROW())):INDIRECT(BB$3&amp;(ROW()))))</f>
        <v>-641.20597704663248</v>
      </c>
      <c r="BC682" s="108">
        <f ca="1">SUM(INDIRECT(BC$1&amp;BC$2&amp;$C682):INDIRECT(BC$1&amp;BC$3&amp;$C682))</f>
        <v>0</v>
      </c>
      <c r="BD682" s="893">
        <f t="shared" ca="1" si="1346"/>
        <v>-641.20597704663248</v>
      </c>
      <c r="BE682" s="954">
        <f t="shared" ca="1" si="1347"/>
        <v>0</v>
      </c>
      <c r="BF682" s="108">
        <f ca="1">SUM(INDIRECT(BF$1&amp;BF$2&amp;$A682):INDIRECT(BF$1&amp;BF$3&amp;$A682))</f>
        <v>-561</v>
      </c>
      <c r="BG682" s="893">
        <f t="shared" ca="1" si="1348"/>
        <v>-80.205977046632484</v>
      </c>
      <c r="BH682" s="954">
        <f t="shared" ca="1" si="1349"/>
        <v>1.1429696560546034</v>
      </c>
    </row>
    <row r="683" spans="1:60" s="75" customFormat="1" ht="14.5">
      <c r="A683" s="990">
        <f t="shared" si="1333"/>
        <v>618</v>
      </c>
      <c r="B683" s="990">
        <v>1</v>
      </c>
      <c r="C683" s="990">
        <f t="shared" si="1305"/>
        <v>680</v>
      </c>
      <c r="E683" s="1243">
        <v>1</v>
      </c>
      <c r="F683" s="10"/>
      <c r="G683" s="10"/>
      <c r="H683" s="24"/>
      <c r="I683" s="445"/>
      <c r="J683" s="446"/>
      <c r="K683" s="74"/>
      <c r="L683" s="74"/>
      <c r="O683" s="301"/>
      <c r="P683" s="299" t="s">
        <v>379</v>
      </c>
      <c r="Q683" s="1845" t="str">
        <f>CHOOSE(2, "6722000003602", "S/GP (3) Gross Profit Direct NH Label Printer FSC (-) TE")</f>
        <v>S/GP (3) Gross Profit Direct NH Label Printer FSC (-) TE</v>
      </c>
      <c r="R683" s="2036">
        <v>0</v>
      </c>
      <c r="S683" s="2036">
        <v>-2</v>
      </c>
      <c r="T683" s="2036">
        <v>-14</v>
      </c>
      <c r="U683" s="2036">
        <v>-17</v>
      </c>
      <c r="V683" s="2036">
        <v>-26</v>
      </c>
      <c r="W683" s="2036">
        <v>-17</v>
      </c>
      <c r="X683" s="2036">
        <v>-29</v>
      </c>
      <c r="Y683" s="2036">
        <v>0</v>
      </c>
      <c r="Z683" s="2036">
        <v>-30</v>
      </c>
      <c r="AA683" s="2036">
        <v>0</v>
      </c>
      <c r="AB683" s="2036">
        <v>0</v>
      </c>
      <c r="AC683" s="2036">
        <v>-53</v>
      </c>
      <c r="AD683" s="1380">
        <f>SUM(R683,S683,T683)</f>
        <v>-16</v>
      </c>
      <c r="AE683" s="107">
        <f t="shared" si="1376"/>
        <v>-60</v>
      </c>
      <c r="AF683" s="107">
        <f t="shared" si="1377"/>
        <v>-59</v>
      </c>
      <c r="AG683" s="107">
        <f t="shared" si="1378"/>
        <v>-53</v>
      </c>
      <c r="AH683" s="107">
        <f>AD683+AE683</f>
        <v>-76</v>
      </c>
      <c r="AI683" s="107">
        <f>AG683+AF683</f>
        <v>-112</v>
      </c>
      <c r="AJ683" s="107">
        <f>AH683+AI683</f>
        <v>-188</v>
      </c>
      <c r="AL683" s="107">
        <f ca="1">SUM((INDIRECT(AL$2&amp;(ROW())):INDIRECT(AL$3&amp;(ROW()))))</f>
        <v>-53</v>
      </c>
      <c r="AM683" s="107">
        <f ca="1">SUM(INDIRECT(AM$1&amp;AM$2&amp;$C683):INDIRECT(AM$1&amp;AM$3&amp;$C683))</f>
        <v>0</v>
      </c>
      <c r="AN683" s="898">
        <f t="shared" ca="1" si="1338"/>
        <v>-53</v>
      </c>
      <c r="AO683" s="959">
        <f t="shared" ca="1" si="1339"/>
        <v>0</v>
      </c>
      <c r="AP683" s="107">
        <f ca="1">SUM(INDIRECT(AP$1&amp;AP$2&amp;$A683):INDIRECT(AP$1&amp;AP$3&amp;$A683))</f>
        <v>-33</v>
      </c>
      <c r="AQ683" s="898">
        <f t="shared" ca="1" si="1340"/>
        <v>-20</v>
      </c>
      <c r="AR683" s="959">
        <f t="shared" ca="1" si="1341"/>
        <v>1.606060606060606</v>
      </c>
      <c r="AT683" s="107">
        <f ca="1">SUM((INDIRECT(AT$2&amp;(ROW())):INDIRECT(AT$3&amp;(ROW()))))</f>
        <v>-53</v>
      </c>
      <c r="AU683" s="107">
        <f ca="1">SUM(INDIRECT(AU$1&amp;AU$2&amp;$C683):INDIRECT(AU$1&amp;AU$3&amp;$C683))</f>
        <v>0</v>
      </c>
      <c r="AV683" s="898">
        <f t="shared" ca="1" si="1342"/>
        <v>-53</v>
      </c>
      <c r="AW683" s="959">
        <f t="shared" ca="1" si="1343"/>
        <v>0</v>
      </c>
      <c r="AX683" s="107">
        <f ca="1">SUM(INDIRECT(AX$1&amp;AX$2&amp;$A683):INDIRECT(AX$1&amp;AX$3&amp;$A683))</f>
        <v>-56</v>
      </c>
      <c r="AY683" s="898">
        <f t="shared" ca="1" si="1344"/>
        <v>3</v>
      </c>
      <c r="AZ683" s="959">
        <f t="shared" ca="1" si="1345"/>
        <v>0.9464285714285714</v>
      </c>
      <c r="BB683" s="107">
        <f ca="1">SUM((INDIRECT(BB$2&amp;(ROW())):INDIRECT(BB$3&amp;(ROW()))))</f>
        <v>-188</v>
      </c>
      <c r="BC683" s="107">
        <f ca="1">SUM(INDIRECT(BC$1&amp;BC$2&amp;$C683):INDIRECT(BC$1&amp;BC$3&amp;$C683))</f>
        <v>0</v>
      </c>
      <c r="BD683" s="898">
        <f t="shared" ca="1" si="1346"/>
        <v>-188</v>
      </c>
      <c r="BE683" s="959">
        <f t="shared" ca="1" si="1347"/>
        <v>0</v>
      </c>
      <c r="BF683" s="107">
        <f ca="1">SUM(INDIRECT(BF$1&amp;BF$2&amp;$A683):INDIRECT(BF$1&amp;BF$3&amp;$A683))</f>
        <v>-129</v>
      </c>
      <c r="BG683" s="898">
        <f t="shared" ca="1" si="1348"/>
        <v>-59</v>
      </c>
      <c r="BH683" s="959">
        <f t="shared" ca="1" si="1349"/>
        <v>1.4573643410852712</v>
      </c>
    </row>
    <row r="684" spans="1:60" s="75" customFormat="1" ht="14.5">
      <c r="A684" s="990">
        <f t="shared" si="1333"/>
        <v>619</v>
      </c>
      <c r="B684" s="990">
        <v>1</v>
      </c>
      <c r="C684" s="990">
        <f t="shared" si="1305"/>
        <v>681</v>
      </c>
      <c r="E684" s="1243">
        <v>1</v>
      </c>
      <c r="F684" s="10"/>
      <c r="G684" s="10"/>
      <c r="H684" s="24"/>
      <c r="I684" s="445"/>
      <c r="J684" s="446"/>
      <c r="K684" s="74"/>
      <c r="L684" s="74"/>
      <c r="N684" s="276"/>
      <c r="O684" s="302"/>
      <c r="P684" s="298" t="s">
        <v>386</v>
      </c>
      <c r="Q684" s="1845" t="str">
        <f>CHOOSE(2, "6722000003603", "S/GP (3) Gross Profit Direct NH Label Printer FSC (-) OFC")</f>
        <v>S/GP (3) Gross Profit Direct NH Label Printer FSC (-) OFC</v>
      </c>
      <c r="R684" s="2037">
        <v>0</v>
      </c>
      <c r="S684" s="2037">
        <v>0</v>
      </c>
      <c r="T684" s="2037">
        <v>0</v>
      </c>
      <c r="U684" s="2037">
        <v>0</v>
      </c>
      <c r="V684" s="2037">
        <v>0</v>
      </c>
      <c r="W684" s="2037">
        <v>0</v>
      </c>
      <c r="X684" s="2037">
        <v>0</v>
      </c>
      <c r="Y684" s="2037">
        <v>0</v>
      </c>
      <c r="Z684" s="2037">
        <v>0</v>
      </c>
      <c r="AA684" s="2037">
        <v>0</v>
      </c>
      <c r="AB684" s="2037">
        <v>0</v>
      </c>
      <c r="AC684" s="2037">
        <v>0</v>
      </c>
      <c r="AD684" s="1380">
        <f>SUM(R684,S684,T684)</f>
        <v>0</v>
      </c>
      <c r="AE684" s="107">
        <f t="shared" si="1376"/>
        <v>0</v>
      </c>
      <c r="AF684" s="107">
        <f t="shared" si="1377"/>
        <v>0</v>
      </c>
      <c r="AG684" s="107">
        <f t="shared" si="1378"/>
        <v>0</v>
      </c>
      <c r="AH684" s="107">
        <f>AD684+AE684</f>
        <v>0</v>
      </c>
      <c r="AI684" s="107">
        <f>AG684+AF684</f>
        <v>0</v>
      </c>
      <c r="AJ684" s="107">
        <f>AH684+AI684</f>
        <v>0</v>
      </c>
      <c r="AL684" s="107">
        <f ca="1">SUM((INDIRECT(AL$2&amp;(ROW())):INDIRECT(AL$3&amp;(ROW()))))</f>
        <v>0</v>
      </c>
      <c r="AM684" s="107">
        <f ca="1">SUM(INDIRECT(AM$1&amp;AM$2&amp;$C684):INDIRECT(AM$1&amp;AM$3&amp;$C684))</f>
        <v>0</v>
      </c>
      <c r="AN684" s="898">
        <f t="shared" ca="1" si="1338"/>
        <v>0</v>
      </c>
      <c r="AO684" s="959">
        <f t="shared" ca="1" si="1339"/>
        <v>0</v>
      </c>
      <c r="AP684" s="107">
        <f ca="1">SUM(INDIRECT(AP$1&amp;AP$2&amp;$A684):INDIRECT(AP$1&amp;AP$3&amp;$A684))</f>
        <v>0</v>
      </c>
      <c r="AQ684" s="898">
        <f t="shared" ca="1" si="1340"/>
        <v>0</v>
      </c>
      <c r="AR684" s="959">
        <f t="shared" ca="1" si="1341"/>
        <v>0</v>
      </c>
      <c r="AT684" s="107">
        <f ca="1">SUM((INDIRECT(AT$2&amp;(ROW())):INDIRECT(AT$3&amp;(ROW()))))</f>
        <v>0</v>
      </c>
      <c r="AU684" s="107">
        <f ca="1">SUM(INDIRECT(AU$1&amp;AU$2&amp;$C684):INDIRECT(AU$1&amp;AU$3&amp;$C684))</f>
        <v>0</v>
      </c>
      <c r="AV684" s="898">
        <f t="shared" ca="1" si="1342"/>
        <v>0</v>
      </c>
      <c r="AW684" s="959">
        <f t="shared" ca="1" si="1343"/>
        <v>0</v>
      </c>
      <c r="AX684" s="107">
        <f ca="1">SUM(INDIRECT(AX$1&amp;AX$2&amp;$A684):INDIRECT(AX$1&amp;AX$3&amp;$A684))</f>
        <v>0</v>
      </c>
      <c r="AY684" s="898">
        <f t="shared" ca="1" si="1344"/>
        <v>0</v>
      </c>
      <c r="AZ684" s="959">
        <f t="shared" ca="1" si="1345"/>
        <v>0</v>
      </c>
      <c r="BB684" s="107">
        <f ca="1">SUM((INDIRECT(BB$2&amp;(ROW())):INDIRECT(BB$3&amp;(ROW()))))</f>
        <v>0</v>
      </c>
      <c r="BC684" s="107">
        <f ca="1">SUM(INDIRECT(BC$1&amp;BC$2&amp;$C684):INDIRECT(BC$1&amp;BC$3&amp;$C684))</f>
        <v>0</v>
      </c>
      <c r="BD684" s="898">
        <f t="shared" ca="1" si="1346"/>
        <v>0</v>
      </c>
      <c r="BE684" s="959">
        <f t="shared" ca="1" si="1347"/>
        <v>0</v>
      </c>
      <c r="BF684" s="107">
        <f ca="1">SUM(INDIRECT(BF$1&amp;BF$2&amp;$A684):INDIRECT(BF$1&amp;BF$3&amp;$A684))</f>
        <v>0</v>
      </c>
      <c r="BG684" s="898">
        <f t="shared" ca="1" si="1348"/>
        <v>0</v>
      </c>
      <c r="BH684" s="959">
        <f t="shared" ca="1" si="1349"/>
        <v>0</v>
      </c>
    </row>
    <row r="685" spans="1:60" ht="14.5">
      <c r="A685" s="990">
        <f t="shared" si="1333"/>
        <v>620</v>
      </c>
      <c r="B685" s="990">
        <v>1</v>
      </c>
      <c r="C685" s="990">
        <f t="shared" si="1305"/>
        <v>682</v>
      </c>
      <c r="E685" s="1243">
        <v>1</v>
      </c>
      <c r="I685" s="445"/>
      <c r="J685" s="446"/>
      <c r="K685" s="74"/>
      <c r="L685" s="74"/>
      <c r="M685" s="75"/>
      <c r="N685" s="75" t="s">
        <v>300</v>
      </c>
      <c r="O685" s="391"/>
      <c r="P685" s="391"/>
      <c r="Q685" s="1843" t="str">
        <f>CHOOSE(2, "6722000003604", "S/GP (3) Gross Profit Direct NH MGI")</f>
        <v>S/GP (3) Gross Profit Direct NH MGI</v>
      </c>
      <c r="R685" s="64">
        <f t="shared" ref="R685:AC685" si="1379">R686+R687</f>
        <v>-857</v>
      </c>
      <c r="S685" s="64">
        <f t="shared" si="1379"/>
        <v>578</v>
      </c>
      <c r="T685" s="64">
        <f t="shared" si="1379"/>
        <v>-611</v>
      </c>
      <c r="U685" s="64">
        <f t="shared" si="1379"/>
        <v>222</v>
      </c>
      <c r="V685" s="64">
        <f t="shared" si="1379"/>
        <v>239.79997966340829</v>
      </c>
      <c r="W685" s="64">
        <f t="shared" si="1379"/>
        <v>520</v>
      </c>
      <c r="X685" s="64">
        <f t="shared" si="1379"/>
        <v>26</v>
      </c>
      <c r="Y685" s="64">
        <f t="shared" si="1379"/>
        <v>-115</v>
      </c>
      <c r="Z685" s="64">
        <f t="shared" si="1379"/>
        <v>-290</v>
      </c>
      <c r="AA685" s="64">
        <f t="shared" si="1379"/>
        <v>-676</v>
      </c>
      <c r="AB685" s="64">
        <f t="shared" si="1379"/>
        <v>-620</v>
      </c>
      <c r="AC685" s="64">
        <f t="shared" si="1379"/>
        <v>-10718</v>
      </c>
      <c r="AD685" s="1545">
        <f t="shared" ref="AD685:AJ685" si="1380">AD686+AD687</f>
        <v>-890</v>
      </c>
      <c r="AE685" s="64">
        <f t="shared" si="1380"/>
        <v>981.79997966340807</v>
      </c>
      <c r="AF685" s="64">
        <f t="shared" si="1380"/>
        <v>-379</v>
      </c>
      <c r="AG685" s="64">
        <f t="shared" si="1380"/>
        <v>-12014</v>
      </c>
      <c r="AH685" s="64">
        <f t="shared" si="1380"/>
        <v>91.799979663407612</v>
      </c>
      <c r="AI685" s="64">
        <f t="shared" si="1380"/>
        <v>-12393</v>
      </c>
      <c r="AJ685" s="64">
        <f t="shared" si="1380"/>
        <v>-12301.200020336591</v>
      </c>
      <c r="AL685" s="64">
        <f ca="1">SUM((INDIRECT(AL$2&amp;(ROW())):INDIRECT(AL$3&amp;(ROW()))))</f>
        <v>-10718</v>
      </c>
      <c r="AM685" s="64">
        <f ca="1">SUM(INDIRECT(AM$1&amp;AM$2&amp;$C685):INDIRECT(AM$1&amp;AM$3&amp;$C685))</f>
        <v>0</v>
      </c>
      <c r="AN685" s="902">
        <f t="shared" ca="1" si="1338"/>
        <v>-10718</v>
      </c>
      <c r="AO685" s="963">
        <f t="shared" ca="1" si="1339"/>
        <v>0</v>
      </c>
      <c r="AP685" s="64">
        <f ca="1">SUM(INDIRECT(AP$1&amp;AP$2&amp;$A685):INDIRECT(AP$1&amp;AP$3&amp;$A685))</f>
        <v>-1033</v>
      </c>
      <c r="AQ685" s="902">
        <f t="shared" ca="1" si="1340"/>
        <v>-9685</v>
      </c>
      <c r="AR685" s="963">
        <f t="shared" ca="1" si="1341"/>
        <v>10.375605033881897</v>
      </c>
      <c r="AT685" s="64">
        <f ca="1">SUM((INDIRECT(AT$2&amp;(ROW())):INDIRECT(AT$3&amp;(ROW()))))</f>
        <v>-12014</v>
      </c>
      <c r="AU685" s="64">
        <f ca="1">SUM(INDIRECT(AU$1&amp;AU$2&amp;$C685):INDIRECT(AU$1&amp;AU$3&amp;$C685))</f>
        <v>0</v>
      </c>
      <c r="AV685" s="902">
        <f t="shared" ca="1" si="1342"/>
        <v>-12014</v>
      </c>
      <c r="AW685" s="963">
        <f t="shared" ca="1" si="1343"/>
        <v>0</v>
      </c>
      <c r="AX685" s="64">
        <f ca="1">SUM(INDIRECT(AX$1&amp;AX$2&amp;$A685):INDIRECT(AX$1&amp;AX$3&amp;$A685))</f>
        <v>-2210</v>
      </c>
      <c r="AY685" s="902">
        <f t="shared" ca="1" si="1344"/>
        <v>-9804</v>
      </c>
      <c r="AZ685" s="963">
        <f t="shared" ca="1" si="1345"/>
        <v>5.4361990950226247</v>
      </c>
      <c r="BB685" s="64">
        <f ca="1">SUM((INDIRECT(BB$2&amp;(ROW())):INDIRECT(BB$3&amp;(ROW()))))</f>
        <v>-12301.200020336591</v>
      </c>
      <c r="BC685" s="64">
        <f ca="1">SUM(INDIRECT(BC$1&amp;BC$2&amp;$C685):INDIRECT(BC$1&amp;BC$3&amp;$C685))</f>
        <v>0</v>
      </c>
      <c r="BD685" s="902">
        <f t="shared" ca="1" si="1346"/>
        <v>-12301.200020336591</v>
      </c>
      <c r="BE685" s="963">
        <f t="shared" ca="1" si="1347"/>
        <v>0</v>
      </c>
      <c r="BF685" s="64">
        <f ca="1">SUM(INDIRECT(BF$1&amp;BF$2&amp;$A685):INDIRECT(BF$1&amp;BF$3&amp;$A685))</f>
        <v>-5307</v>
      </c>
      <c r="BG685" s="902">
        <f t="shared" ca="1" si="1348"/>
        <v>-6994.2000203365915</v>
      </c>
      <c r="BH685" s="963">
        <f t="shared" ca="1" si="1349"/>
        <v>2.3179197324922916</v>
      </c>
    </row>
    <row r="686" spans="1:60" ht="14.5">
      <c r="A686" s="990">
        <f t="shared" si="1333"/>
        <v>621</v>
      </c>
      <c r="B686" s="990">
        <v>1</v>
      </c>
      <c r="C686" s="990">
        <f t="shared" si="1305"/>
        <v>683</v>
      </c>
      <c r="E686" s="1243">
        <v>1</v>
      </c>
      <c r="I686" s="445"/>
      <c r="J686" s="446"/>
      <c r="K686" s="74"/>
      <c r="L686" s="74"/>
      <c r="M686" s="75"/>
      <c r="N686" s="75"/>
      <c r="O686" s="394" t="s">
        <v>381</v>
      </c>
      <c r="P686" s="394"/>
      <c r="Q686" s="1845" t="str">
        <f>CHOOSE(2, "6722000003605", "S/GP (3) Gross Profit Direct NH MGI MGI")</f>
        <v>S/GP (3) Gross Profit Direct NH MGI MGI</v>
      </c>
      <c r="R686" s="2057">
        <v>-197</v>
      </c>
      <c r="S686" s="2057">
        <v>1407</v>
      </c>
      <c r="T686" s="2057">
        <v>197</v>
      </c>
      <c r="U686" s="2057">
        <v>1039</v>
      </c>
      <c r="V686" s="2057">
        <v>1009.7617950258523</v>
      </c>
      <c r="W686" s="2057">
        <v>1292</v>
      </c>
      <c r="X686" s="2057">
        <v>806</v>
      </c>
      <c r="Y686" s="2057">
        <v>594</v>
      </c>
      <c r="Z686" s="2057">
        <v>508</v>
      </c>
      <c r="AA686" s="2057">
        <v>76</v>
      </c>
      <c r="AB686" s="2057">
        <v>106</v>
      </c>
      <c r="AC686" s="2057">
        <v>-9956</v>
      </c>
      <c r="AD686" s="1545">
        <f>SUM(R686,S686,T686)</f>
        <v>1407</v>
      </c>
      <c r="AE686" s="64">
        <f t="shared" ref="AE686" si="1381">SUM(U686,V686,W686)</f>
        <v>3340.7617950258523</v>
      </c>
      <c r="AF686" s="64">
        <f t="shared" ref="AF686" si="1382">SUM(X686,Y686,Z686)</f>
        <v>1908</v>
      </c>
      <c r="AG686" s="64">
        <f t="shared" ref="AG686" si="1383">SUM(AA686,AB686,AC686)</f>
        <v>-9774</v>
      </c>
      <c r="AH686" s="64">
        <f>AD686+AE686</f>
        <v>4747.7617950258518</v>
      </c>
      <c r="AI686" s="64">
        <f>AG686+AF686</f>
        <v>-7866</v>
      </c>
      <c r="AJ686" s="64">
        <f>AH686+AI686</f>
        <v>-3118.2382049741482</v>
      </c>
      <c r="AL686" s="64">
        <f ca="1">SUM((INDIRECT(AL$2&amp;(ROW())):INDIRECT(AL$3&amp;(ROW()))))</f>
        <v>-9956</v>
      </c>
      <c r="AM686" s="64">
        <f ca="1">SUM(INDIRECT(AM$1&amp;AM$2&amp;$C686):INDIRECT(AM$1&amp;AM$3&amp;$C686))</f>
        <v>0</v>
      </c>
      <c r="AN686" s="902">
        <f t="shared" ca="1" si="1338"/>
        <v>-9956</v>
      </c>
      <c r="AO686" s="963">
        <f t="shared" ca="1" si="1339"/>
        <v>0</v>
      </c>
      <c r="AP686" s="64">
        <f ca="1">SUM(INDIRECT(AP$1&amp;AP$2&amp;$A686):INDIRECT(AP$1&amp;AP$3&amp;$A686))</f>
        <v>-348</v>
      </c>
      <c r="AQ686" s="902">
        <f t="shared" ca="1" si="1340"/>
        <v>-9608</v>
      </c>
      <c r="AR686" s="963">
        <f t="shared" ca="1" si="1341"/>
        <v>28.609195402298852</v>
      </c>
      <c r="AT686" s="64">
        <f ca="1">SUM((INDIRECT(AT$2&amp;(ROW())):INDIRECT(AT$3&amp;(ROW()))))</f>
        <v>-9774</v>
      </c>
      <c r="AU686" s="64">
        <f ca="1">SUM(INDIRECT(AU$1&amp;AU$2&amp;$C686):INDIRECT(AU$1&amp;AU$3&amp;$C686))</f>
        <v>0</v>
      </c>
      <c r="AV686" s="902">
        <f t="shared" ca="1" si="1342"/>
        <v>-9774</v>
      </c>
      <c r="AW686" s="963">
        <f t="shared" ca="1" si="1343"/>
        <v>0</v>
      </c>
      <c r="AX686" s="64">
        <f ca="1">SUM(INDIRECT(AX$1&amp;AX$2&amp;$A686):INDIRECT(AX$1&amp;AX$3&amp;$A686))</f>
        <v>-338</v>
      </c>
      <c r="AY686" s="902">
        <f t="shared" ca="1" si="1344"/>
        <v>-9436</v>
      </c>
      <c r="AZ686" s="963">
        <f t="shared" ca="1" si="1345"/>
        <v>28.917159763313609</v>
      </c>
      <c r="BB686" s="64">
        <f ca="1">SUM((INDIRECT(BB$2&amp;(ROW())):INDIRECT(BB$3&amp;(ROW()))))</f>
        <v>-3118.2382049741482</v>
      </c>
      <c r="BC686" s="64">
        <f ca="1">SUM(INDIRECT(BC$1&amp;BC$2&amp;$C686):INDIRECT(BC$1&amp;BC$3&amp;$C686))</f>
        <v>0</v>
      </c>
      <c r="BD686" s="902">
        <f t="shared" ca="1" si="1346"/>
        <v>-3118.2382049741482</v>
      </c>
      <c r="BE686" s="963">
        <f t="shared" ca="1" si="1347"/>
        <v>0</v>
      </c>
      <c r="BF686" s="64">
        <f ca="1">SUM(INDIRECT(BF$1&amp;BF$2&amp;$A686):INDIRECT(BF$1&amp;BF$3&amp;$A686))</f>
        <v>2174</v>
      </c>
      <c r="BG686" s="902">
        <f t="shared" ca="1" si="1348"/>
        <v>-5292.2382049741482</v>
      </c>
      <c r="BH686" s="963">
        <f t="shared" ca="1" si="1349"/>
        <v>-1.4343322010000681</v>
      </c>
    </row>
    <row r="687" spans="1:60" s="75" customFormat="1" ht="14.5">
      <c r="A687" s="990">
        <f t="shared" si="1333"/>
        <v>622</v>
      </c>
      <c r="B687" s="990">
        <v>1</v>
      </c>
      <c r="C687" s="990">
        <f t="shared" si="1305"/>
        <v>684</v>
      </c>
      <c r="E687" s="1243">
        <v>1</v>
      </c>
      <c r="F687" s="10"/>
      <c r="G687" s="10"/>
      <c r="H687" s="24"/>
      <c r="I687" s="445"/>
      <c r="J687" s="446"/>
      <c r="K687" s="74"/>
      <c r="L687" s="74"/>
      <c r="O687" s="395" t="s">
        <v>225</v>
      </c>
      <c r="P687" s="395"/>
      <c r="Q687" s="1848" t="str">
        <f>CHOOSE(2, "6722000003606", "S/GP (3) Gross Profit Direct NH MGI FSC (-)")</f>
        <v>S/GP (3) Gross Profit Direct NH MGI FSC (-)</v>
      </c>
      <c r="R687" s="385">
        <f t="shared" ref="R687:AC687" si="1384">SUM(R688:R690)</f>
        <v>-660</v>
      </c>
      <c r="S687" s="385">
        <f t="shared" si="1384"/>
        <v>-829</v>
      </c>
      <c r="T687" s="385">
        <f t="shared" si="1384"/>
        <v>-808</v>
      </c>
      <c r="U687" s="385">
        <f t="shared" si="1384"/>
        <v>-817</v>
      </c>
      <c r="V687" s="385">
        <f t="shared" si="1384"/>
        <v>-769.96181536244399</v>
      </c>
      <c r="W687" s="385">
        <f t="shared" si="1384"/>
        <v>-772</v>
      </c>
      <c r="X687" s="385">
        <f t="shared" si="1384"/>
        <v>-780</v>
      </c>
      <c r="Y687" s="385">
        <f t="shared" si="1384"/>
        <v>-709</v>
      </c>
      <c r="Z687" s="385">
        <f t="shared" si="1384"/>
        <v>-798</v>
      </c>
      <c r="AA687" s="385">
        <f t="shared" si="1384"/>
        <v>-752</v>
      </c>
      <c r="AB687" s="385">
        <f t="shared" si="1384"/>
        <v>-726</v>
      </c>
      <c r="AC687" s="385">
        <f t="shared" si="1384"/>
        <v>-762</v>
      </c>
      <c r="AD687" s="1540">
        <f>SUM(R687:T687)</f>
        <v>-2297</v>
      </c>
      <c r="AE687" s="385">
        <f>SUM(U687:W687)</f>
        <v>-2358.9618153624442</v>
      </c>
      <c r="AF687" s="385">
        <f>SUM(X687:Z687)</f>
        <v>-2287</v>
      </c>
      <c r="AG687" s="385">
        <f>SUM(AA687:AC687)</f>
        <v>-2240</v>
      </c>
      <c r="AH687" s="385">
        <f>AD687+AE687</f>
        <v>-4655.9618153624442</v>
      </c>
      <c r="AI687" s="385">
        <f>AG687+AF687</f>
        <v>-4527</v>
      </c>
      <c r="AJ687" s="385">
        <f>AH687+AI687</f>
        <v>-9182.9618153624433</v>
      </c>
      <c r="AL687" s="385">
        <f ca="1">SUM((INDIRECT(AL$2&amp;(ROW())):INDIRECT(AL$3&amp;(ROW()))))</f>
        <v>-762</v>
      </c>
      <c r="AM687" s="385">
        <f ca="1">SUM(INDIRECT(AM$1&amp;AM$2&amp;$C687):INDIRECT(AM$1&amp;AM$3&amp;$C687))</f>
        <v>0</v>
      </c>
      <c r="AN687" s="897">
        <f t="shared" ca="1" si="1338"/>
        <v>-762</v>
      </c>
      <c r="AO687" s="958">
        <f t="shared" ca="1" si="1339"/>
        <v>0</v>
      </c>
      <c r="AP687" s="385">
        <f ca="1">SUM(INDIRECT(AP$1&amp;AP$2&amp;$A687):INDIRECT(AP$1&amp;AP$3&amp;$A687))</f>
        <v>-685</v>
      </c>
      <c r="AQ687" s="897">
        <f t="shared" ca="1" si="1340"/>
        <v>-77</v>
      </c>
      <c r="AR687" s="958">
        <f t="shared" ca="1" si="1341"/>
        <v>1.1124087591240877</v>
      </c>
      <c r="AT687" s="385">
        <f ca="1">SUM((INDIRECT(AT$2&amp;(ROW())):INDIRECT(AT$3&amp;(ROW()))))</f>
        <v>-2240</v>
      </c>
      <c r="AU687" s="385">
        <f ca="1">SUM(INDIRECT(AU$1&amp;AU$2&amp;$C687):INDIRECT(AU$1&amp;AU$3&amp;$C687))</f>
        <v>0</v>
      </c>
      <c r="AV687" s="897">
        <f t="shared" ca="1" si="1342"/>
        <v>-2240</v>
      </c>
      <c r="AW687" s="958">
        <f t="shared" ca="1" si="1343"/>
        <v>0</v>
      </c>
      <c r="AX687" s="385">
        <f ca="1">SUM(INDIRECT(AX$1&amp;AX$2&amp;$A687):INDIRECT(AX$1&amp;AX$3&amp;$A687))</f>
        <v>-1872</v>
      </c>
      <c r="AY687" s="897">
        <f t="shared" ca="1" si="1344"/>
        <v>-368</v>
      </c>
      <c r="AZ687" s="958">
        <f t="shared" ca="1" si="1345"/>
        <v>1.1965811965811965</v>
      </c>
      <c r="BB687" s="385">
        <f ca="1">SUM((INDIRECT(BB$2&amp;(ROW())):INDIRECT(BB$3&amp;(ROW()))))</f>
        <v>-9182.9618153624433</v>
      </c>
      <c r="BC687" s="385">
        <f ca="1">SUM(INDIRECT(BC$1&amp;BC$2&amp;$C687):INDIRECT(BC$1&amp;BC$3&amp;$C687))</f>
        <v>0</v>
      </c>
      <c r="BD687" s="897">
        <f t="shared" ca="1" si="1346"/>
        <v>-9182.9618153624433</v>
      </c>
      <c r="BE687" s="958">
        <f t="shared" ca="1" si="1347"/>
        <v>0</v>
      </c>
      <c r="BF687" s="385">
        <f ca="1">SUM(INDIRECT(BF$1&amp;BF$2&amp;$A687):INDIRECT(BF$1&amp;BF$3&amp;$A687))</f>
        <v>-7481</v>
      </c>
      <c r="BG687" s="897">
        <f t="shared" ca="1" si="1348"/>
        <v>-1701.9618153624433</v>
      </c>
      <c r="BH687" s="958">
        <f t="shared" ca="1" si="1349"/>
        <v>1.2275045870020644</v>
      </c>
    </row>
    <row r="688" spans="1:60" s="75" customFormat="1" ht="14.5">
      <c r="A688" s="990">
        <f t="shared" si="1333"/>
        <v>623</v>
      </c>
      <c r="B688" s="990">
        <v>1</v>
      </c>
      <c r="C688" s="990">
        <f t="shared" si="1305"/>
        <v>685</v>
      </c>
      <c r="E688" s="1243">
        <v>1</v>
      </c>
      <c r="F688" s="10"/>
      <c r="G688" s="10"/>
      <c r="H688" s="24"/>
      <c r="I688" s="445"/>
      <c r="J688" s="446"/>
      <c r="K688" s="74"/>
      <c r="L688" s="74"/>
      <c r="O688" s="396"/>
      <c r="P688" s="371" t="s">
        <v>378</v>
      </c>
      <c r="Q688" s="1845" t="str">
        <f>CHOOSE(2, "6722000003607", "S/GP (3) Gross Profit Direct NH MGI FSC (-) PC")</f>
        <v>S/GP (3) Gross Profit Direct NH MGI FSC (-) PC</v>
      </c>
      <c r="R688" s="2042">
        <v>-660</v>
      </c>
      <c r="S688" s="2042">
        <v>-786</v>
      </c>
      <c r="T688" s="2042">
        <v>-713</v>
      </c>
      <c r="U688" s="2042">
        <v>-710</v>
      </c>
      <c r="V688" s="2042">
        <v>-692.32981536244404</v>
      </c>
      <c r="W688" s="2042">
        <v>-695</v>
      </c>
      <c r="X688" s="2042">
        <v>-646</v>
      </c>
      <c r="Y688" s="2042">
        <v>-675</v>
      </c>
      <c r="Z688" s="2042">
        <v>-716</v>
      </c>
      <c r="AA688" s="2042">
        <v>-665</v>
      </c>
      <c r="AB688" s="2042">
        <v>-660</v>
      </c>
      <c r="AC688" s="2042">
        <v>-537</v>
      </c>
      <c r="AD688" s="1537">
        <f>SUM(R688,S688,T688)</f>
        <v>-2159</v>
      </c>
      <c r="AE688" s="108">
        <f t="shared" ref="AE688:AE690" si="1385">SUM(U688,V688,W688)</f>
        <v>-2097.3298153624442</v>
      </c>
      <c r="AF688" s="108">
        <f t="shared" ref="AF688:AF690" si="1386">SUM(X688,Y688,Z688)</f>
        <v>-2037</v>
      </c>
      <c r="AG688" s="108">
        <f t="shared" ref="AG688:AG690" si="1387">SUM(AA688,AB688,AC688)</f>
        <v>-1862</v>
      </c>
      <c r="AH688" s="108">
        <f>AD688+AE688</f>
        <v>-4256.3298153624437</v>
      </c>
      <c r="AI688" s="108">
        <f>AG688+AF688</f>
        <v>-3899</v>
      </c>
      <c r="AJ688" s="108">
        <f>AH688+AI688</f>
        <v>-8155.3298153624437</v>
      </c>
      <c r="AL688" s="108">
        <f ca="1">SUM((INDIRECT(AL$2&amp;(ROW())):INDIRECT(AL$3&amp;(ROW()))))</f>
        <v>-537</v>
      </c>
      <c r="AM688" s="108">
        <f ca="1">SUM(INDIRECT(AM$1&amp;AM$2&amp;$C688):INDIRECT(AM$1&amp;AM$3&amp;$C688))</f>
        <v>0</v>
      </c>
      <c r="AN688" s="893">
        <f t="shared" ca="1" si="1338"/>
        <v>-537</v>
      </c>
      <c r="AO688" s="954">
        <f t="shared" ca="1" si="1339"/>
        <v>0</v>
      </c>
      <c r="AP688" s="108">
        <f ca="1">SUM(INDIRECT(AP$1&amp;AP$2&amp;$A688):INDIRECT(AP$1&amp;AP$3&amp;$A688))</f>
        <v>-523</v>
      </c>
      <c r="AQ688" s="893">
        <f t="shared" ca="1" si="1340"/>
        <v>-14</v>
      </c>
      <c r="AR688" s="954">
        <f t="shared" ca="1" si="1341"/>
        <v>1.0267686424474187</v>
      </c>
      <c r="AT688" s="108">
        <f ca="1">SUM((INDIRECT(AT$2&amp;(ROW())):INDIRECT(AT$3&amp;(ROW()))))</f>
        <v>-1862</v>
      </c>
      <c r="AU688" s="108">
        <f ca="1">SUM(INDIRECT(AU$1&amp;AU$2&amp;$C688):INDIRECT(AU$1&amp;AU$3&amp;$C688))</f>
        <v>0</v>
      </c>
      <c r="AV688" s="893">
        <f t="shared" ca="1" si="1342"/>
        <v>-1862</v>
      </c>
      <c r="AW688" s="954">
        <f t="shared" ca="1" si="1343"/>
        <v>0</v>
      </c>
      <c r="AX688" s="108">
        <f ca="1">SUM(INDIRECT(AX$1&amp;AX$2&amp;$A688):INDIRECT(AX$1&amp;AX$3&amp;$A688))</f>
        <v>-1568</v>
      </c>
      <c r="AY688" s="893">
        <f t="shared" ca="1" si="1344"/>
        <v>-294</v>
      </c>
      <c r="AZ688" s="954">
        <f t="shared" ca="1" si="1345"/>
        <v>1.1875</v>
      </c>
      <c r="BB688" s="108">
        <f ca="1">SUM((INDIRECT(BB$2&amp;(ROW())):INDIRECT(BB$3&amp;(ROW()))))</f>
        <v>-8155.3298153624437</v>
      </c>
      <c r="BC688" s="108">
        <f ca="1">SUM(INDIRECT(BC$1&amp;BC$2&amp;$C688):INDIRECT(BC$1&amp;BC$3&amp;$C688))</f>
        <v>0</v>
      </c>
      <c r="BD688" s="893">
        <f t="shared" ca="1" si="1346"/>
        <v>-8155.3298153624437</v>
      </c>
      <c r="BE688" s="954">
        <f t="shared" ca="1" si="1347"/>
        <v>0</v>
      </c>
      <c r="BF688" s="108">
        <f ca="1">SUM(INDIRECT(BF$1&amp;BF$2&amp;$A688):INDIRECT(BF$1&amp;BF$3&amp;$A688))</f>
        <v>-6901</v>
      </c>
      <c r="BG688" s="893">
        <f t="shared" ca="1" si="1348"/>
        <v>-1254.3298153624437</v>
      </c>
      <c r="BH688" s="954">
        <f t="shared" ca="1" si="1349"/>
        <v>1.1817605876485211</v>
      </c>
    </row>
    <row r="689" spans="1:60" s="75" customFormat="1" ht="14.5">
      <c r="A689" s="990">
        <f t="shared" si="1333"/>
        <v>624</v>
      </c>
      <c r="B689" s="990">
        <v>1</v>
      </c>
      <c r="C689" s="990">
        <f t="shared" si="1305"/>
        <v>686</v>
      </c>
      <c r="E689" s="1243">
        <v>1</v>
      </c>
      <c r="F689" s="10"/>
      <c r="G689" s="10"/>
      <c r="H689" s="24"/>
      <c r="I689" s="445"/>
      <c r="J689" s="446"/>
      <c r="K689" s="74"/>
      <c r="L689" s="74"/>
      <c r="O689" s="301"/>
      <c r="P689" s="299" t="s">
        <v>379</v>
      </c>
      <c r="Q689" s="1845" t="str">
        <f>CHOOSE(2, "6722000003608", "S/GP (3) Gross Profit Direct NH MGI FSC (-) TE")</f>
        <v>S/GP (3) Gross Profit Direct NH MGI FSC (-) TE</v>
      </c>
      <c r="R689" s="2036">
        <v>0</v>
      </c>
      <c r="S689" s="2036">
        <v>-43</v>
      </c>
      <c r="T689" s="2036">
        <v>-95</v>
      </c>
      <c r="U689" s="2036">
        <v>-107</v>
      </c>
      <c r="V689" s="2036">
        <v>-77.632000000000005</v>
      </c>
      <c r="W689" s="2036">
        <v>-77</v>
      </c>
      <c r="X689" s="2036">
        <v>-134</v>
      </c>
      <c r="Y689" s="2036">
        <v>-34</v>
      </c>
      <c r="Z689" s="2036">
        <v>-82</v>
      </c>
      <c r="AA689" s="2036">
        <v>-87</v>
      </c>
      <c r="AB689" s="2036">
        <v>-66</v>
      </c>
      <c r="AC689" s="2036">
        <v>-225</v>
      </c>
      <c r="AD689" s="1380">
        <f>SUM(R689,S689,T689)</f>
        <v>-138</v>
      </c>
      <c r="AE689" s="107">
        <f t="shared" si="1385"/>
        <v>-261.63200000000001</v>
      </c>
      <c r="AF689" s="107">
        <f t="shared" si="1386"/>
        <v>-250</v>
      </c>
      <c r="AG689" s="107">
        <f t="shared" si="1387"/>
        <v>-378</v>
      </c>
      <c r="AH689" s="107">
        <f>AD689+AE689</f>
        <v>-399.63200000000001</v>
      </c>
      <c r="AI689" s="107">
        <f>AG689+AF689</f>
        <v>-628</v>
      </c>
      <c r="AJ689" s="107">
        <f>AH689+AI689</f>
        <v>-1027.6320000000001</v>
      </c>
      <c r="AL689" s="107">
        <f ca="1">SUM((INDIRECT(AL$2&amp;(ROW())):INDIRECT(AL$3&amp;(ROW()))))</f>
        <v>-225</v>
      </c>
      <c r="AM689" s="107">
        <f ca="1">SUM(INDIRECT(AM$1&amp;AM$2&amp;$C689):INDIRECT(AM$1&amp;AM$3&amp;$C689))</f>
        <v>0</v>
      </c>
      <c r="AN689" s="898">
        <f t="shared" ca="1" si="1338"/>
        <v>-225</v>
      </c>
      <c r="AO689" s="959">
        <f t="shared" ca="1" si="1339"/>
        <v>0</v>
      </c>
      <c r="AP689" s="107">
        <f ca="1">SUM(INDIRECT(AP$1&amp;AP$2&amp;$A689):INDIRECT(AP$1&amp;AP$3&amp;$A689))</f>
        <v>-162</v>
      </c>
      <c r="AQ689" s="898">
        <f t="shared" ca="1" si="1340"/>
        <v>-63</v>
      </c>
      <c r="AR689" s="959">
        <f t="shared" ca="1" si="1341"/>
        <v>1.3888888888888888</v>
      </c>
      <c r="AT689" s="107">
        <f ca="1">SUM((INDIRECT(AT$2&amp;(ROW())):INDIRECT(AT$3&amp;(ROW()))))</f>
        <v>-378</v>
      </c>
      <c r="AU689" s="107">
        <f ca="1">SUM(INDIRECT(AU$1&amp;AU$2&amp;$C689):INDIRECT(AU$1&amp;AU$3&amp;$C689))</f>
        <v>0</v>
      </c>
      <c r="AV689" s="898">
        <f t="shared" ca="1" si="1342"/>
        <v>-378</v>
      </c>
      <c r="AW689" s="959">
        <f t="shared" ca="1" si="1343"/>
        <v>0</v>
      </c>
      <c r="AX689" s="107">
        <f ca="1">SUM(INDIRECT(AX$1&amp;AX$2&amp;$A689):INDIRECT(AX$1&amp;AX$3&amp;$A689))</f>
        <v>-304</v>
      </c>
      <c r="AY689" s="898">
        <f t="shared" ca="1" si="1344"/>
        <v>-74</v>
      </c>
      <c r="AZ689" s="959">
        <f t="shared" ca="1" si="1345"/>
        <v>1.243421052631579</v>
      </c>
      <c r="BB689" s="107">
        <f ca="1">SUM((INDIRECT(BB$2&amp;(ROW())):INDIRECT(BB$3&amp;(ROW()))))</f>
        <v>-1027.6320000000001</v>
      </c>
      <c r="BC689" s="107">
        <f ca="1">SUM(INDIRECT(BC$1&amp;BC$2&amp;$C689):INDIRECT(BC$1&amp;BC$3&amp;$C689))</f>
        <v>0</v>
      </c>
      <c r="BD689" s="898">
        <f t="shared" ca="1" si="1346"/>
        <v>-1027.6320000000001</v>
      </c>
      <c r="BE689" s="959">
        <f t="shared" ca="1" si="1347"/>
        <v>0</v>
      </c>
      <c r="BF689" s="107">
        <f ca="1">SUM(INDIRECT(BF$1&amp;BF$2&amp;$A689):INDIRECT(BF$1&amp;BF$3&amp;$A689))</f>
        <v>-580</v>
      </c>
      <c r="BG689" s="898">
        <f t="shared" ca="1" si="1348"/>
        <v>-447.63200000000006</v>
      </c>
      <c r="BH689" s="959">
        <f t="shared" ca="1" si="1349"/>
        <v>1.7717793103448276</v>
      </c>
    </row>
    <row r="690" spans="1:60" s="75" customFormat="1" ht="14.5">
      <c r="A690" s="990">
        <f t="shared" si="1333"/>
        <v>625</v>
      </c>
      <c r="B690" s="990">
        <v>1</v>
      </c>
      <c r="C690" s="990">
        <f t="shared" si="1305"/>
        <v>687</v>
      </c>
      <c r="E690" s="1243">
        <v>1</v>
      </c>
      <c r="F690" s="10"/>
      <c r="G690" s="10"/>
      <c r="H690" s="24"/>
      <c r="I690" s="445"/>
      <c r="J690" s="446"/>
      <c r="K690" s="74"/>
      <c r="L690" s="74"/>
      <c r="N690" s="276"/>
      <c r="O690" s="302"/>
      <c r="P690" s="298" t="s">
        <v>386</v>
      </c>
      <c r="Q690" s="1845" t="str">
        <f>CHOOSE(2, "6722000003609", "S/GP (3) Gross Profit Direct NH MGI FSC (-) OFC")</f>
        <v>S/GP (3) Gross Profit Direct NH MGI FSC (-) OFC</v>
      </c>
      <c r="R690" s="2037">
        <v>0</v>
      </c>
      <c r="S690" s="2037">
        <v>0</v>
      </c>
      <c r="T690" s="2037">
        <v>0</v>
      </c>
      <c r="U690" s="2037">
        <v>0</v>
      </c>
      <c r="V690" s="2037">
        <v>0</v>
      </c>
      <c r="W690" s="2037">
        <v>0</v>
      </c>
      <c r="X690" s="2037">
        <v>0</v>
      </c>
      <c r="Y690" s="2037">
        <v>0</v>
      </c>
      <c r="Z690" s="2037">
        <v>0</v>
      </c>
      <c r="AA690" s="2037">
        <v>0</v>
      </c>
      <c r="AB690" s="2037">
        <v>0</v>
      </c>
      <c r="AC690" s="2037">
        <v>0</v>
      </c>
      <c r="AD690" s="1380">
        <f>SUM(R690,S690,T690)</f>
        <v>0</v>
      </c>
      <c r="AE690" s="107">
        <f t="shared" si="1385"/>
        <v>0</v>
      </c>
      <c r="AF690" s="107">
        <f t="shared" si="1386"/>
        <v>0</v>
      </c>
      <c r="AG690" s="107">
        <f t="shared" si="1387"/>
        <v>0</v>
      </c>
      <c r="AH690" s="107">
        <f>AD690+AE690</f>
        <v>0</v>
      </c>
      <c r="AI690" s="107">
        <f>AG690+AF690</f>
        <v>0</v>
      </c>
      <c r="AJ690" s="107">
        <f>AH690+AI690</f>
        <v>0</v>
      </c>
      <c r="AL690" s="107">
        <f ca="1">SUM((INDIRECT(AL$2&amp;(ROW())):INDIRECT(AL$3&amp;(ROW()))))</f>
        <v>0</v>
      </c>
      <c r="AM690" s="107">
        <f ca="1">SUM(INDIRECT(AM$1&amp;AM$2&amp;$C690):INDIRECT(AM$1&amp;AM$3&amp;$C690))</f>
        <v>0</v>
      </c>
      <c r="AN690" s="898">
        <f t="shared" ca="1" si="1338"/>
        <v>0</v>
      </c>
      <c r="AO690" s="959">
        <f t="shared" ca="1" si="1339"/>
        <v>0</v>
      </c>
      <c r="AP690" s="107">
        <f ca="1">SUM(INDIRECT(AP$1&amp;AP$2&amp;$A690):INDIRECT(AP$1&amp;AP$3&amp;$A690))</f>
        <v>0</v>
      </c>
      <c r="AQ690" s="898">
        <f t="shared" ca="1" si="1340"/>
        <v>0</v>
      </c>
      <c r="AR690" s="959">
        <f t="shared" ca="1" si="1341"/>
        <v>0</v>
      </c>
      <c r="AT690" s="107">
        <f ca="1">SUM((INDIRECT(AT$2&amp;(ROW())):INDIRECT(AT$3&amp;(ROW()))))</f>
        <v>0</v>
      </c>
      <c r="AU690" s="107">
        <f ca="1">SUM(INDIRECT(AU$1&amp;AU$2&amp;$C690):INDIRECT(AU$1&amp;AU$3&amp;$C690))</f>
        <v>0</v>
      </c>
      <c r="AV690" s="898">
        <f t="shared" ca="1" si="1342"/>
        <v>0</v>
      </c>
      <c r="AW690" s="959">
        <f t="shared" ca="1" si="1343"/>
        <v>0</v>
      </c>
      <c r="AX690" s="107">
        <f ca="1">SUM(INDIRECT(AX$1&amp;AX$2&amp;$A690):INDIRECT(AX$1&amp;AX$3&amp;$A690))</f>
        <v>0</v>
      </c>
      <c r="AY690" s="898">
        <f t="shared" ca="1" si="1344"/>
        <v>0</v>
      </c>
      <c r="AZ690" s="959">
        <f t="shared" ca="1" si="1345"/>
        <v>0</v>
      </c>
      <c r="BB690" s="107">
        <f ca="1">SUM((INDIRECT(BB$2&amp;(ROW())):INDIRECT(BB$3&amp;(ROW()))))</f>
        <v>0</v>
      </c>
      <c r="BC690" s="107">
        <f ca="1">SUM(INDIRECT(BC$1&amp;BC$2&amp;$C690):INDIRECT(BC$1&amp;BC$3&amp;$C690))</f>
        <v>0</v>
      </c>
      <c r="BD690" s="898">
        <f t="shared" ca="1" si="1346"/>
        <v>0</v>
      </c>
      <c r="BE690" s="959">
        <f t="shared" ca="1" si="1347"/>
        <v>0</v>
      </c>
      <c r="BF690" s="107">
        <f ca="1">SUM(INDIRECT(BF$1&amp;BF$2&amp;$A690):INDIRECT(BF$1&amp;BF$3&amp;$A690))</f>
        <v>0</v>
      </c>
      <c r="BG690" s="898">
        <f t="shared" ca="1" si="1348"/>
        <v>0</v>
      </c>
      <c r="BH690" s="959">
        <f t="shared" ca="1" si="1349"/>
        <v>0</v>
      </c>
    </row>
    <row r="691" spans="1:60" ht="14.5">
      <c r="A691" s="990">
        <f t="shared" si="1333"/>
        <v>626</v>
      </c>
      <c r="B691" s="990">
        <v>1</v>
      </c>
      <c r="C691" s="990">
        <f t="shared" si="1305"/>
        <v>688</v>
      </c>
      <c r="E691" s="1243">
        <v>1</v>
      </c>
      <c r="I691" s="445"/>
      <c r="J691" s="446"/>
      <c r="K691" s="74"/>
      <c r="L691" s="74"/>
      <c r="M691" s="75"/>
      <c r="N691" s="75" t="s">
        <v>210</v>
      </c>
      <c r="O691" s="391"/>
      <c r="P691" s="391"/>
      <c r="Q691" s="1843" t="str">
        <f>CHOOSE(2, "6722000003610", "S/GP (3) Gross Profit Direct NH EFI/LF")</f>
        <v>S/GP (3) Gross Profit Direct NH EFI/LF</v>
      </c>
      <c r="R691" s="64">
        <f t="shared" ref="R691:AC691" si="1388">R692+R693</f>
        <v>0</v>
      </c>
      <c r="S691" s="64">
        <f t="shared" si="1388"/>
        <v>0</v>
      </c>
      <c r="T691" s="64">
        <f t="shared" si="1388"/>
        <v>0</v>
      </c>
      <c r="U691" s="64">
        <f t="shared" si="1388"/>
        <v>0</v>
      </c>
      <c r="V691" s="64">
        <f t="shared" si="1388"/>
        <v>0</v>
      </c>
      <c r="W691" s="64">
        <f t="shared" si="1388"/>
        <v>0</v>
      </c>
      <c r="X691" s="64">
        <f t="shared" si="1388"/>
        <v>0</v>
      </c>
      <c r="Y691" s="64">
        <f t="shared" si="1388"/>
        <v>0</v>
      </c>
      <c r="Z691" s="64">
        <f t="shared" si="1388"/>
        <v>0</v>
      </c>
      <c r="AA691" s="64">
        <f t="shared" si="1388"/>
        <v>0</v>
      </c>
      <c r="AB691" s="64">
        <f t="shared" si="1388"/>
        <v>0</v>
      </c>
      <c r="AC691" s="64">
        <f t="shared" si="1388"/>
        <v>0</v>
      </c>
      <c r="AD691" s="1545">
        <f t="shared" ref="AD691:AJ691" si="1389">AD692+AD693</f>
        <v>0</v>
      </c>
      <c r="AE691" s="64">
        <f t="shared" si="1389"/>
        <v>0</v>
      </c>
      <c r="AF691" s="64">
        <f t="shared" si="1389"/>
        <v>0</v>
      </c>
      <c r="AG691" s="64">
        <f t="shared" si="1389"/>
        <v>0</v>
      </c>
      <c r="AH691" s="64">
        <f t="shared" si="1389"/>
        <v>0</v>
      </c>
      <c r="AI691" s="64">
        <f t="shared" si="1389"/>
        <v>0</v>
      </c>
      <c r="AJ691" s="64">
        <f t="shared" si="1389"/>
        <v>0</v>
      </c>
      <c r="AL691" s="64">
        <f ca="1">SUM((INDIRECT(AL$2&amp;(ROW())):INDIRECT(AL$3&amp;(ROW()))))</f>
        <v>0</v>
      </c>
      <c r="AM691" s="64">
        <f ca="1">SUM(INDIRECT(AM$1&amp;AM$2&amp;$C691):INDIRECT(AM$1&amp;AM$3&amp;$C691))</f>
        <v>0</v>
      </c>
      <c r="AN691" s="902">
        <f t="shared" ca="1" si="1338"/>
        <v>0</v>
      </c>
      <c r="AO691" s="963">
        <f t="shared" ca="1" si="1339"/>
        <v>0</v>
      </c>
      <c r="AP691" s="64">
        <f ca="1">SUM(INDIRECT(AP$1&amp;AP$2&amp;$A691):INDIRECT(AP$1&amp;AP$3&amp;$A691))</f>
        <v>0</v>
      </c>
      <c r="AQ691" s="902">
        <f t="shared" ca="1" si="1340"/>
        <v>0</v>
      </c>
      <c r="AR691" s="963">
        <f t="shared" ca="1" si="1341"/>
        <v>0</v>
      </c>
      <c r="AT691" s="64">
        <f ca="1">SUM((INDIRECT(AT$2&amp;(ROW())):INDIRECT(AT$3&amp;(ROW()))))</f>
        <v>0</v>
      </c>
      <c r="AU691" s="64">
        <f ca="1">SUM(INDIRECT(AU$1&amp;AU$2&amp;$C691):INDIRECT(AU$1&amp;AU$3&amp;$C691))</f>
        <v>0</v>
      </c>
      <c r="AV691" s="902">
        <f t="shared" ca="1" si="1342"/>
        <v>0</v>
      </c>
      <c r="AW691" s="963">
        <f t="shared" ca="1" si="1343"/>
        <v>0</v>
      </c>
      <c r="AX691" s="64">
        <f ca="1">SUM(INDIRECT(AX$1&amp;AX$2&amp;$A691):INDIRECT(AX$1&amp;AX$3&amp;$A691))</f>
        <v>0</v>
      </c>
      <c r="AY691" s="902">
        <f t="shared" ca="1" si="1344"/>
        <v>0</v>
      </c>
      <c r="AZ691" s="963">
        <f t="shared" ca="1" si="1345"/>
        <v>0</v>
      </c>
      <c r="BB691" s="64">
        <f ca="1">SUM((INDIRECT(BB$2&amp;(ROW())):INDIRECT(BB$3&amp;(ROW()))))</f>
        <v>0</v>
      </c>
      <c r="BC691" s="64">
        <f ca="1">SUM(INDIRECT(BC$1&amp;BC$2&amp;$C691):INDIRECT(BC$1&amp;BC$3&amp;$C691))</f>
        <v>0</v>
      </c>
      <c r="BD691" s="902">
        <f t="shared" ca="1" si="1346"/>
        <v>0</v>
      </c>
      <c r="BE691" s="963">
        <f t="shared" ca="1" si="1347"/>
        <v>0</v>
      </c>
      <c r="BF691" s="64">
        <f ca="1">SUM(INDIRECT(BF$1&amp;BF$2&amp;$A691):INDIRECT(BF$1&amp;BF$3&amp;$A691))</f>
        <v>0</v>
      </c>
      <c r="BG691" s="902">
        <f t="shared" ca="1" si="1348"/>
        <v>0</v>
      </c>
      <c r="BH691" s="963">
        <f t="shared" ca="1" si="1349"/>
        <v>0</v>
      </c>
    </row>
    <row r="692" spans="1:60" ht="14.5">
      <c r="A692" s="990">
        <f t="shared" si="1333"/>
        <v>627</v>
      </c>
      <c r="B692" s="990">
        <v>1</v>
      </c>
      <c r="C692" s="990">
        <f t="shared" si="1305"/>
        <v>689</v>
      </c>
      <c r="E692" s="1243">
        <v>1</v>
      </c>
      <c r="I692" s="445"/>
      <c r="J692" s="446"/>
      <c r="K692" s="74"/>
      <c r="L692" s="74"/>
      <c r="M692" s="75"/>
      <c r="N692" s="75"/>
      <c r="O692" s="394" t="s">
        <v>382</v>
      </c>
      <c r="P692" s="394"/>
      <c r="Q692" s="1845" t="str">
        <f>CHOOSE(2, "6722000003611", "S/GP (3) Gross Profit Direct NH EFI/LF EFI/LF")</f>
        <v>S/GP (3) Gross Profit Direct NH EFI/LF EFI/LF</v>
      </c>
      <c r="R692" s="2057">
        <v>0</v>
      </c>
      <c r="S692" s="2057">
        <v>0</v>
      </c>
      <c r="T692" s="2057">
        <v>0</v>
      </c>
      <c r="U692" s="2057">
        <v>0</v>
      </c>
      <c r="V692" s="2057">
        <v>0</v>
      </c>
      <c r="W692" s="2057">
        <v>0</v>
      </c>
      <c r="X692" s="2057">
        <v>0</v>
      </c>
      <c r="Y692" s="2057">
        <v>0</v>
      </c>
      <c r="Z692" s="2057">
        <v>0</v>
      </c>
      <c r="AA692" s="2057">
        <v>0</v>
      </c>
      <c r="AB692" s="2057">
        <v>0</v>
      </c>
      <c r="AC692" s="2057">
        <v>0</v>
      </c>
      <c r="AD692" s="1545">
        <f>SUM(R692,S692,T692)</f>
        <v>0</v>
      </c>
      <c r="AE692" s="64">
        <f t="shared" ref="AE692" si="1390">SUM(U692,V692,W692)</f>
        <v>0</v>
      </c>
      <c r="AF692" s="64">
        <f t="shared" ref="AF692" si="1391">SUM(X692,Y692,Z692)</f>
        <v>0</v>
      </c>
      <c r="AG692" s="64">
        <f t="shared" ref="AG692" si="1392">SUM(AA692,AB692,AC692)</f>
        <v>0</v>
      </c>
      <c r="AH692" s="64">
        <f>AD692+AE692</f>
        <v>0</v>
      </c>
      <c r="AI692" s="64">
        <f>AG692+AF692</f>
        <v>0</v>
      </c>
      <c r="AJ692" s="64">
        <f>AH692+AI692</f>
        <v>0</v>
      </c>
      <c r="AL692" s="64">
        <f ca="1">SUM((INDIRECT(AL$2&amp;(ROW())):INDIRECT(AL$3&amp;(ROW()))))</f>
        <v>0</v>
      </c>
      <c r="AM692" s="64">
        <f ca="1">SUM(INDIRECT(AM$1&amp;AM$2&amp;$C692):INDIRECT(AM$1&amp;AM$3&amp;$C692))</f>
        <v>0</v>
      </c>
      <c r="AN692" s="902">
        <f t="shared" ca="1" si="1338"/>
        <v>0</v>
      </c>
      <c r="AO692" s="963">
        <f t="shared" ca="1" si="1339"/>
        <v>0</v>
      </c>
      <c r="AP692" s="64">
        <f ca="1">SUM(INDIRECT(AP$1&amp;AP$2&amp;$A692):INDIRECT(AP$1&amp;AP$3&amp;$A692))</f>
        <v>0</v>
      </c>
      <c r="AQ692" s="902">
        <f t="shared" ca="1" si="1340"/>
        <v>0</v>
      </c>
      <c r="AR692" s="963">
        <f t="shared" ca="1" si="1341"/>
        <v>0</v>
      </c>
      <c r="AT692" s="64">
        <f ca="1">SUM((INDIRECT(AT$2&amp;(ROW())):INDIRECT(AT$3&amp;(ROW()))))</f>
        <v>0</v>
      </c>
      <c r="AU692" s="64">
        <f ca="1">SUM(INDIRECT(AU$1&amp;AU$2&amp;$C692):INDIRECT(AU$1&amp;AU$3&amp;$C692))</f>
        <v>0</v>
      </c>
      <c r="AV692" s="902">
        <f t="shared" ca="1" si="1342"/>
        <v>0</v>
      </c>
      <c r="AW692" s="963">
        <f t="shared" ca="1" si="1343"/>
        <v>0</v>
      </c>
      <c r="AX692" s="64">
        <f ca="1">SUM(INDIRECT(AX$1&amp;AX$2&amp;$A692):INDIRECT(AX$1&amp;AX$3&amp;$A692))</f>
        <v>0</v>
      </c>
      <c r="AY692" s="902">
        <f t="shared" ca="1" si="1344"/>
        <v>0</v>
      </c>
      <c r="AZ692" s="963">
        <f t="shared" ca="1" si="1345"/>
        <v>0</v>
      </c>
      <c r="BB692" s="64">
        <f ca="1">SUM((INDIRECT(BB$2&amp;(ROW())):INDIRECT(BB$3&amp;(ROW()))))</f>
        <v>0</v>
      </c>
      <c r="BC692" s="64">
        <f ca="1">SUM(INDIRECT(BC$1&amp;BC$2&amp;$C692):INDIRECT(BC$1&amp;BC$3&amp;$C692))</f>
        <v>0</v>
      </c>
      <c r="BD692" s="902">
        <f t="shared" ca="1" si="1346"/>
        <v>0</v>
      </c>
      <c r="BE692" s="963">
        <f t="shared" ca="1" si="1347"/>
        <v>0</v>
      </c>
      <c r="BF692" s="64">
        <f ca="1">SUM(INDIRECT(BF$1&amp;BF$2&amp;$A692):INDIRECT(BF$1&amp;BF$3&amp;$A692))</f>
        <v>0</v>
      </c>
      <c r="BG692" s="902">
        <f t="shared" ca="1" si="1348"/>
        <v>0</v>
      </c>
      <c r="BH692" s="963">
        <f t="shared" ca="1" si="1349"/>
        <v>0</v>
      </c>
    </row>
    <row r="693" spans="1:60" s="75" customFormat="1" ht="14.5">
      <c r="A693" s="990">
        <f t="shared" si="1333"/>
        <v>628</v>
      </c>
      <c r="B693" s="990">
        <v>1</v>
      </c>
      <c r="C693" s="990">
        <f t="shared" si="1305"/>
        <v>690</v>
      </c>
      <c r="E693" s="1243">
        <v>1</v>
      </c>
      <c r="F693" s="10"/>
      <c r="G693" s="10"/>
      <c r="H693" s="24"/>
      <c r="I693" s="445"/>
      <c r="J693" s="446"/>
      <c r="K693" s="74"/>
      <c r="L693" s="74"/>
      <c r="O693" s="395" t="s">
        <v>225</v>
      </c>
      <c r="P693" s="395"/>
      <c r="Q693" s="1848" t="str">
        <f>CHOOSE(2, "6722000003612", "S/GP (3) Gross Profit Direct NH EFI/LF FSC (-)")</f>
        <v>S/GP (3) Gross Profit Direct NH EFI/LF FSC (-)</v>
      </c>
      <c r="R693" s="385">
        <f t="shared" ref="R693:AC693" si="1393">SUM(R694:R696)</f>
        <v>0</v>
      </c>
      <c r="S693" s="385">
        <f t="shared" si="1393"/>
        <v>0</v>
      </c>
      <c r="T693" s="385">
        <f t="shared" si="1393"/>
        <v>0</v>
      </c>
      <c r="U693" s="385">
        <f t="shared" si="1393"/>
        <v>0</v>
      </c>
      <c r="V693" s="385">
        <f t="shared" si="1393"/>
        <v>0</v>
      </c>
      <c r="W693" s="385">
        <f t="shared" si="1393"/>
        <v>0</v>
      </c>
      <c r="X693" s="385">
        <f t="shared" si="1393"/>
        <v>0</v>
      </c>
      <c r="Y693" s="385">
        <f t="shared" si="1393"/>
        <v>0</v>
      </c>
      <c r="Z693" s="385">
        <f t="shared" si="1393"/>
        <v>0</v>
      </c>
      <c r="AA693" s="385">
        <f t="shared" si="1393"/>
        <v>0</v>
      </c>
      <c r="AB693" s="385">
        <f t="shared" si="1393"/>
        <v>0</v>
      </c>
      <c r="AC693" s="385">
        <f t="shared" si="1393"/>
        <v>0</v>
      </c>
      <c r="AD693" s="1540">
        <f>SUM(R693:T693)</f>
        <v>0</v>
      </c>
      <c r="AE693" s="385">
        <f>SUM(U693:W693)</f>
        <v>0</v>
      </c>
      <c r="AF693" s="385">
        <f>SUM(X693:Z693)</f>
        <v>0</v>
      </c>
      <c r="AG693" s="385">
        <f>SUM(AA693:AC693)</f>
        <v>0</v>
      </c>
      <c r="AH693" s="385">
        <f>AD693+AE693</f>
        <v>0</v>
      </c>
      <c r="AI693" s="385">
        <f>AG693+AF693</f>
        <v>0</v>
      </c>
      <c r="AJ693" s="385">
        <f>AH693+AI693</f>
        <v>0</v>
      </c>
      <c r="AL693" s="385">
        <f ca="1">SUM((INDIRECT(AL$2&amp;(ROW())):INDIRECT(AL$3&amp;(ROW()))))</f>
        <v>0</v>
      </c>
      <c r="AM693" s="385">
        <f ca="1">SUM(INDIRECT(AM$1&amp;AM$2&amp;$C693):INDIRECT(AM$1&amp;AM$3&amp;$C693))</f>
        <v>0</v>
      </c>
      <c r="AN693" s="897">
        <f t="shared" ca="1" si="1338"/>
        <v>0</v>
      </c>
      <c r="AO693" s="958">
        <f t="shared" ca="1" si="1339"/>
        <v>0</v>
      </c>
      <c r="AP693" s="385">
        <f ca="1">SUM(INDIRECT(AP$1&amp;AP$2&amp;$A693):INDIRECT(AP$1&amp;AP$3&amp;$A693))</f>
        <v>0</v>
      </c>
      <c r="AQ693" s="897">
        <f t="shared" ca="1" si="1340"/>
        <v>0</v>
      </c>
      <c r="AR693" s="958">
        <f t="shared" ca="1" si="1341"/>
        <v>0</v>
      </c>
      <c r="AT693" s="385">
        <f ca="1">SUM((INDIRECT(AT$2&amp;(ROW())):INDIRECT(AT$3&amp;(ROW()))))</f>
        <v>0</v>
      </c>
      <c r="AU693" s="385">
        <f ca="1">SUM(INDIRECT(AU$1&amp;AU$2&amp;$C693):INDIRECT(AU$1&amp;AU$3&amp;$C693))</f>
        <v>0</v>
      </c>
      <c r="AV693" s="897">
        <f t="shared" ca="1" si="1342"/>
        <v>0</v>
      </c>
      <c r="AW693" s="958">
        <f t="shared" ca="1" si="1343"/>
        <v>0</v>
      </c>
      <c r="AX693" s="385">
        <f ca="1">SUM(INDIRECT(AX$1&amp;AX$2&amp;$A693):INDIRECT(AX$1&amp;AX$3&amp;$A693))</f>
        <v>0</v>
      </c>
      <c r="AY693" s="897">
        <f t="shared" ca="1" si="1344"/>
        <v>0</v>
      </c>
      <c r="AZ693" s="958">
        <f t="shared" ca="1" si="1345"/>
        <v>0</v>
      </c>
      <c r="BB693" s="385">
        <f ca="1">SUM((INDIRECT(BB$2&amp;(ROW())):INDIRECT(BB$3&amp;(ROW()))))</f>
        <v>0</v>
      </c>
      <c r="BC693" s="385">
        <f ca="1">SUM(INDIRECT(BC$1&amp;BC$2&amp;$C693):INDIRECT(BC$1&amp;BC$3&amp;$C693))</f>
        <v>0</v>
      </c>
      <c r="BD693" s="897">
        <f t="shared" ca="1" si="1346"/>
        <v>0</v>
      </c>
      <c r="BE693" s="958">
        <f t="shared" ca="1" si="1347"/>
        <v>0</v>
      </c>
      <c r="BF693" s="385">
        <f ca="1">SUM(INDIRECT(BF$1&amp;BF$2&amp;$A693):INDIRECT(BF$1&amp;BF$3&amp;$A693))</f>
        <v>0</v>
      </c>
      <c r="BG693" s="897">
        <f t="shared" ca="1" si="1348"/>
        <v>0</v>
      </c>
      <c r="BH693" s="958">
        <f t="shared" ca="1" si="1349"/>
        <v>0</v>
      </c>
    </row>
    <row r="694" spans="1:60" s="75" customFormat="1" ht="14.5">
      <c r="A694" s="990">
        <f t="shared" si="1333"/>
        <v>629</v>
      </c>
      <c r="B694" s="990">
        <v>1</v>
      </c>
      <c r="C694" s="990">
        <f t="shared" si="1305"/>
        <v>691</v>
      </c>
      <c r="E694" s="1243">
        <v>1</v>
      </c>
      <c r="F694" s="10"/>
      <c r="G694" s="10"/>
      <c r="H694" s="24"/>
      <c r="I694" s="445"/>
      <c r="J694" s="446"/>
      <c r="K694" s="74"/>
      <c r="L694" s="74"/>
      <c r="O694" s="396"/>
      <c r="P694" s="371" t="s">
        <v>378</v>
      </c>
      <c r="Q694" s="1845" t="str">
        <f>CHOOSE(2, "6722000003613", "S/GP (3) Gross Profit Direct NH EFI/LF FSC (-) PC")</f>
        <v>S/GP (3) Gross Profit Direct NH EFI/LF FSC (-) PC</v>
      </c>
      <c r="R694" s="2042">
        <v>0</v>
      </c>
      <c r="S694" s="2042">
        <v>0</v>
      </c>
      <c r="T694" s="2042">
        <v>0</v>
      </c>
      <c r="U694" s="2042">
        <v>0</v>
      </c>
      <c r="V694" s="2042">
        <v>0</v>
      </c>
      <c r="W694" s="2042">
        <v>0</v>
      </c>
      <c r="X694" s="2042">
        <v>0</v>
      </c>
      <c r="Y694" s="2042">
        <v>0</v>
      </c>
      <c r="Z694" s="2042">
        <v>0</v>
      </c>
      <c r="AA694" s="2042">
        <v>0</v>
      </c>
      <c r="AB694" s="2042">
        <v>0</v>
      </c>
      <c r="AC694" s="2042">
        <v>0</v>
      </c>
      <c r="AD694" s="1537">
        <f>SUM(R694,S694,T694)</f>
        <v>0</v>
      </c>
      <c r="AE694" s="108">
        <f t="shared" ref="AE694:AE696" si="1394">SUM(U694,V694,W694)</f>
        <v>0</v>
      </c>
      <c r="AF694" s="108">
        <f t="shared" ref="AF694:AF696" si="1395">SUM(X694,Y694,Z694)</f>
        <v>0</v>
      </c>
      <c r="AG694" s="108">
        <f t="shared" ref="AG694:AG696" si="1396">SUM(AA694,AB694,AC694)</f>
        <v>0</v>
      </c>
      <c r="AH694" s="108">
        <f>AD694+AE694</f>
        <v>0</v>
      </c>
      <c r="AI694" s="108">
        <f>AG694+AF694</f>
        <v>0</v>
      </c>
      <c r="AJ694" s="108">
        <f>AH694+AI694</f>
        <v>0</v>
      </c>
      <c r="AL694" s="108">
        <f ca="1">SUM((INDIRECT(AL$2&amp;(ROW())):INDIRECT(AL$3&amp;(ROW()))))</f>
        <v>0</v>
      </c>
      <c r="AM694" s="108">
        <f ca="1">SUM(INDIRECT(AM$1&amp;AM$2&amp;$C694):INDIRECT(AM$1&amp;AM$3&amp;$C694))</f>
        <v>0</v>
      </c>
      <c r="AN694" s="893">
        <f t="shared" ca="1" si="1338"/>
        <v>0</v>
      </c>
      <c r="AO694" s="954">
        <f t="shared" ca="1" si="1339"/>
        <v>0</v>
      </c>
      <c r="AP694" s="108">
        <f ca="1">SUM(INDIRECT(AP$1&amp;AP$2&amp;$A694):INDIRECT(AP$1&amp;AP$3&amp;$A694))</f>
        <v>0</v>
      </c>
      <c r="AQ694" s="893">
        <f t="shared" ca="1" si="1340"/>
        <v>0</v>
      </c>
      <c r="AR694" s="954">
        <f t="shared" ca="1" si="1341"/>
        <v>0</v>
      </c>
      <c r="AT694" s="108">
        <f ca="1">SUM((INDIRECT(AT$2&amp;(ROW())):INDIRECT(AT$3&amp;(ROW()))))</f>
        <v>0</v>
      </c>
      <c r="AU694" s="108">
        <f ca="1">SUM(INDIRECT(AU$1&amp;AU$2&amp;$C694):INDIRECT(AU$1&amp;AU$3&amp;$C694))</f>
        <v>0</v>
      </c>
      <c r="AV694" s="893">
        <f t="shared" ca="1" si="1342"/>
        <v>0</v>
      </c>
      <c r="AW694" s="954">
        <f t="shared" ca="1" si="1343"/>
        <v>0</v>
      </c>
      <c r="AX694" s="108">
        <f ca="1">SUM(INDIRECT(AX$1&amp;AX$2&amp;$A694):INDIRECT(AX$1&amp;AX$3&amp;$A694))</f>
        <v>0</v>
      </c>
      <c r="AY694" s="893">
        <f t="shared" ca="1" si="1344"/>
        <v>0</v>
      </c>
      <c r="AZ694" s="954">
        <f t="shared" ca="1" si="1345"/>
        <v>0</v>
      </c>
      <c r="BB694" s="108">
        <f ca="1">SUM((INDIRECT(BB$2&amp;(ROW())):INDIRECT(BB$3&amp;(ROW()))))</f>
        <v>0</v>
      </c>
      <c r="BC694" s="108">
        <f ca="1">SUM(INDIRECT(BC$1&amp;BC$2&amp;$C694):INDIRECT(BC$1&amp;BC$3&amp;$C694))</f>
        <v>0</v>
      </c>
      <c r="BD694" s="893">
        <f t="shared" ca="1" si="1346"/>
        <v>0</v>
      </c>
      <c r="BE694" s="954">
        <f t="shared" ca="1" si="1347"/>
        <v>0</v>
      </c>
      <c r="BF694" s="108">
        <f ca="1">SUM(INDIRECT(BF$1&amp;BF$2&amp;$A694):INDIRECT(BF$1&amp;BF$3&amp;$A694))</f>
        <v>0</v>
      </c>
      <c r="BG694" s="893">
        <f t="shared" ca="1" si="1348"/>
        <v>0</v>
      </c>
      <c r="BH694" s="954">
        <f t="shared" ca="1" si="1349"/>
        <v>0</v>
      </c>
    </row>
    <row r="695" spans="1:60" s="75" customFormat="1" ht="14.5">
      <c r="A695" s="990">
        <f t="shared" si="1333"/>
        <v>630</v>
      </c>
      <c r="B695" s="990">
        <v>1</v>
      </c>
      <c r="C695" s="990">
        <f t="shared" si="1305"/>
        <v>692</v>
      </c>
      <c r="E695" s="1243">
        <v>1</v>
      </c>
      <c r="F695" s="10"/>
      <c r="G695" s="10"/>
      <c r="H695" s="24"/>
      <c r="I695" s="445"/>
      <c r="J695" s="446"/>
      <c r="K695" s="74"/>
      <c r="L695" s="74"/>
      <c r="O695" s="301"/>
      <c r="P695" s="299" t="s">
        <v>379</v>
      </c>
      <c r="Q695" s="1845" t="str">
        <f>CHOOSE(2, "6722000003614", "S/GP (3) Gross Profit Direct NH EFI/LF FSC (-) TE")</f>
        <v>S/GP (3) Gross Profit Direct NH EFI/LF FSC (-) TE</v>
      </c>
      <c r="R695" s="2036">
        <v>0</v>
      </c>
      <c r="S695" s="2036">
        <v>0</v>
      </c>
      <c r="T695" s="2036">
        <v>0</v>
      </c>
      <c r="U695" s="2036">
        <v>0</v>
      </c>
      <c r="V695" s="2036">
        <v>0</v>
      </c>
      <c r="W695" s="2036">
        <v>0</v>
      </c>
      <c r="X695" s="2036">
        <v>0</v>
      </c>
      <c r="Y695" s="2036">
        <v>0</v>
      </c>
      <c r="Z695" s="2036">
        <v>0</v>
      </c>
      <c r="AA695" s="2036">
        <v>0</v>
      </c>
      <c r="AB695" s="2036">
        <v>0</v>
      </c>
      <c r="AC695" s="2036">
        <v>0</v>
      </c>
      <c r="AD695" s="1380">
        <f>SUM(R695,S695,T695)</f>
        <v>0</v>
      </c>
      <c r="AE695" s="107">
        <f t="shared" si="1394"/>
        <v>0</v>
      </c>
      <c r="AF695" s="107">
        <f t="shared" si="1395"/>
        <v>0</v>
      </c>
      <c r="AG695" s="107">
        <f t="shared" si="1396"/>
        <v>0</v>
      </c>
      <c r="AH695" s="107">
        <f>AD695+AE695</f>
        <v>0</v>
      </c>
      <c r="AI695" s="107">
        <f>AG695+AF695</f>
        <v>0</v>
      </c>
      <c r="AJ695" s="107">
        <f>AH695+AI695</f>
        <v>0</v>
      </c>
      <c r="AL695" s="107">
        <f ca="1">SUM((INDIRECT(AL$2&amp;(ROW())):INDIRECT(AL$3&amp;(ROW()))))</f>
        <v>0</v>
      </c>
      <c r="AM695" s="107">
        <f ca="1">SUM(INDIRECT(AM$1&amp;AM$2&amp;$C695):INDIRECT(AM$1&amp;AM$3&amp;$C695))</f>
        <v>0</v>
      </c>
      <c r="AN695" s="898">
        <f t="shared" ca="1" si="1338"/>
        <v>0</v>
      </c>
      <c r="AO695" s="959">
        <f t="shared" ca="1" si="1339"/>
        <v>0</v>
      </c>
      <c r="AP695" s="107">
        <f ca="1">SUM(INDIRECT(AP$1&amp;AP$2&amp;$A695):INDIRECT(AP$1&amp;AP$3&amp;$A695))</f>
        <v>0</v>
      </c>
      <c r="AQ695" s="898">
        <f t="shared" ca="1" si="1340"/>
        <v>0</v>
      </c>
      <c r="AR695" s="959">
        <f t="shared" ca="1" si="1341"/>
        <v>0</v>
      </c>
      <c r="AT695" s="107">
        <f ca="1">SUM((INDIRECT(AT$2&amp;(ROW())):INDIRECT(AT$3&amp;(ROW()))))</f>
        <v>0</v>
      </c>
      <c r="AU695" s="107">
        <f ca="1">SUM(INDIRECT(AU$1&amp;AU$2&amp;$C695):INDIRECT(AU$1&amp;AU$3&amp;$C695))</f>
        <v>0</v>
      </c>
      <c r="AV695" s="898">
        <f t="shared" ca="1" si="1342"/>
        <v>0</v>
      </c>
      <c r="AW695" s="959">
        <f t="shared" ca="1" si="1343"/>
        <v>0</v>
      </c>
      <c r="AX695" s="107">
        <f ca="1">SUM(INDIRECT(AX$1&amp;AX$2&amp;$A695):INDIRECT(AX$1&amp;AX$3&amp;$A695))</f>
        <v>0</v>
      </c>
      <c r="AY695" s="898">
        <f t="shared" ca="1" si="1344"/>
        <v>0</v>
      </c>
      <c r="AZ695" s="959">
        <f t="shared" ca="1" si="1345"/>
        <v>0</v>
      </c>
      <c r="BB695" s="107">
        <f ca="1">SUM((INDIRECT(BB$2&amp;(ROW())):INDIRECT(BB$3&amp;(ROW()))))</f>
        <v>0</v>
      </c>
      <c r="BC695" s="107">
        <f ca="1">SUM(INDIRECT(BC$1&amp;BC$2&amp;$C695):INDIRECT(BC$1&amp;BC$3&amp;$C695))</f>
        <v>0</v>
      </c>
      <c r="BD695" s="898">
        <f t="shared" ca="1" si="1346"/>
        <v>0</v>
      </c>
      <c r="BE695" s="959">
        <f t="shared" ca="1" si="1347"/>
        <v>0</v>
      </c>
      <c r="BF695" s="107">
        <f ca="1">SUM(INDIRECT(BF$1&amp;BF$2&amp;$A695):INDIRECT(BF$1&amp;BF$3&amp;$A695))</f>
        <v>0</v>
      </c>
      <c r="BG695" s="898">
        <f t="shared" ca="1" si="1348"/>
        <v>0</v>
      </c>
      <c r="BH695" s="959">
        <f t="shared" ca="1" si="1349"/>
        <v>0</v>
      </c>
    </row>
    <row r="696" spans="1:60" s="75" customFormat="1" ht="14.5">
      <c r="A696" s="990">
        <f t="shared" si="1333"/>
        <v>631</v>
      </c>
      <c r="B696" s="990">
        <v>1</v>
      </c>
      <c r="C696" s="990">
        <f t="shared" si="1305"/>
        <v>693</v>
      </c>
      <c r="E696" s="1243">
        <v>1</v>
      </c>
      <c r="F696" s="10"/>
      <c r="G696" s="10"/>
      <c r="H696" s="24"/>
      <c r="I696" s="445"/>
      <c r="J696" s="446"/>
      <c r="K696" s="74"/>
      <c r="L696" s="74"/>
      <c r="N696" s="276"/>
      <c r="O696" s="302"/>
      <c r="P696" s="298" t="s">
        <v>386</v>
      </c>
      <c r="Q696" s="1845" t="str">
        <f>CHOOSE(2, "6722000003615", "S/GP (3) Gross Profit Direct NH EFI/LF FSC (-) OFC")</f>
        <v>S/GP (3) Gross Profit Direct NH EFI/LF FSC (-) OFC</v>
      </c>
      <c r="R696" s="2037">
        <v>0</v>
      </c>
      <c r="S696" s="2037">
        <v>0</v>
      </c>
      <c r="T696" s="2037">
        <v>0</v>
      </c>
      <c r="U696" s="2037">
        <v>0</v>
      </c>
      <c r="V696" s="2037">
        <v>0</v>
      </c>
      <c r="W696" s="2037">
        <v>0</v>
      </c>
      <c r="X696" s="2037">
        <v>0</v>
      </c>
      <c r="Y696" s="2037">
        <v>0</v>
      </c>
      <c r="Z696" s="2037">
        <v>0</v>
      </c>
      <c r="AA696" s="2037">
        <v>0</v>
      </c>
      <c r="AB696" s="2037">
        <v>0</v>
      </c>
      <c r="AC696" s="2037">
        <v>0</v>
      </c>
      <c r="AD696" s="1380">
        <f>SUM(R696,S696,T696)</f>
        <v>0</v>
      </c>
      <c r="AE696" s="107">
        <f t="shared" si="1394"/>
        <v>0</v>
      </c>
      <c r="AF696" s="107">
        <f t="shared" si="1395"/>
        <v>0</v>
      </c>
      <c r="AG696" s="107">
        <f t="shared" si="1396"/>
        <v>0</v>
      </c>
      <c r="AH696" s="107">
        <f>AD696+AE696</f>
        <v>0</v>
      </c>
      <c r="AI696" s="107">
        <f>AG696+AF696</f>
        <v>0</v>
      </c>
      <c r="AJ696" s="107">
        <f>AH696+AI696</f>
        <v>0</v>
      </c>
      <c r="AL696" s="107">
        <f ca="1">SUM((INDIRECT(AL$2&amp;(ROW())):INDIRECT(AL$3&amp;(ROW()))))</f>
        <v>0</v>
      </c>
      <c r="AM696" s="107">
        <f ca="1">SUM(INDIRECT(AM$1&amp;AM$2&amp;$C696):INDIRECT(AM$1&amp;AM$3&amp;$C696))</f>
        <v>0</v>
      </c>
      <c r="AN696" s="898">
        <f t="shared" ref="AN696:AN727" ca="1" si="1397">AL696-AM696</f>
        <v>0</v>
      </c>
      <c r="AO696" s="959">
        <f t="shared" ref="AO696:AO727" ca="1" si="1398">IFERROR(AL696/AM696,0)</f>
        <v>0</v>
      </c>
      <c r="AP696" s="107">
        <f ca="1">SUM(INDIRECT(AP$1&amp;AP$2&amp;$A696):INDIRECT(AP$1&amp;AP$3&amp;$A696))</f>
        <v>0</v>
      </c>
      <c r="AQ696" s="898">
        <f t="shared" ref="AQ696:AQ727" ca="1" si="1399">AL696-AP696</f>
        <v>0</v>
      </c>
      <c r="AR696" s="959">
        <f t="shared" ref="AR696:AR727" ca="1" si="1400">IFERROR(AL696/AP696,0)</f>
        <v>0</v>
      </c>
      <c r="AT696" s="107">
        <f ca="1">SUM((INDIRECT(AT$2&amp;(ROW())):INDIRECT(AT$3&amp;(ROW()))))</f>
        <v>0</v>
      </c>
      <c r="AU696" s="107">
        <f ca="1">SUM(INDIRECT(AU$1&amp;AU$2&amp;$C696):INDIRECT(AU$1&amp;AU$3&amp;$C696))</f>
        <v>0</v>
      </c>
      <c r="AV696" s="898">
        <f t="shared" ref="AV696:AV727" ca="1" si="1401">AT696-AU696</f>
        <v>0</v>
      </c>
      <c r="AW696" s="959">
        <f t="shared" ref="AW696:AW727" ca="1" si="1402">IFERROR(AT696/AU696,0)</f>
        <v>0</v>
      </c>
      <c r="AX696" s="107">
        <f ca="1">SUM(INDIRECT(AX$1&amp;AX$2&amp;$A696):INDIRECT(AX$1&amp;AX$3&amp;$A696))</f>
        <v>0</v>
      </c>
      <c r="AY696" s="898">
        <f t="shared" ref="AY696:AY727" ca="1" si="1403">AT696-AX696</f>
        <v>0</v>
      </c>
      <c r="AZ696" s="959">
        <f t="shared" ref="AZ696:AZ727" ca="1" si="1404">IFERROR(AT696/AX696,0)</f>
        <v>0</v>
      </c>
      <c r="BB696" s="107">
        <f ca="1">SUM((INDIRECT(BB$2&amp;(ROW())):INDIRECT(BB$3&amp;(ROW()))))</f>
        <v>0</v>
      </c>
      <c r="BC696" s="107">
        <f ca="1">SUM(INDIRECT(BC$1&amp;BC$2&amp;$C696):INDIRECT(BC$1&amp;BC$3&amp;$C696))</f>
        <v>0</v>
      </c>
      <c r="BD696" s="898">
        <f t="shared" ref="BD696:BD727" ca="1" si="1405">BB696-BC696</f>
        <v>0</v>
      </c>
      <c r="BE696" s="959">
        <f t="shared" ref="BE696:BE727" ca="1" si="1406">IFERROR(BB696/BC696,0)</f>
        <v>0</v>
      </c>
      <c r="BF696" s="107">
        <f ca="1">SUM(INDIRECT(BF$1&amp;BF$2&amp;$A696):INDIRECT(BF$1&amp;BF$3&amp;$A696))</f>
        <v>0</v>
      </c>
      <c r="BG696" s="898">
        <f t="shared" ref="BG696:BG727" ca="1" si="1407">BB696-BF696</f>
        <v>0</v>
      </c>
      <c r="BH696" s="959">
        <f t="shared" ref="BH696:BH727" ca="1" si="1408">IFERROR(BB696/BF696,0)</f>
        <v>0</v>
      </c>
    </row>
    <row r="697" spans="1:60" ht="14.5">
      <c r="A697" s="990">
        <f t="shared" si="1333"/>
        <v>632</v>
      </c>
      <c r="B697" s="990">
        <v>1</v>
      </c>
      <c r="C697" s="990">
        <f t="shared" si="1305"/>
        <v>694</v>
      </c>
      <c r="E697" s="1243">
        <v>1</v>
      </c>
      <c r="I697" s="445"/>
      <c r="J697" s="446"/>
      <c r="K697" s="74"/>
      <c r="L697" s="74"/>
      <c r="M697" s="75"/>
      <c r="N697" s="75" t="s">
        <v>365</v>
      </c>
      <c r="O697" s="391"/>
      <c r="P697" s="391"/>
      <c r="Q697" s="1843" t="str">
        <f>CHOOSE(2, "6722000003616", "S/GP (3) Gross Profit Direct NH Textile Printer")</f>
        <v>S/GP (3) Gross Profit Direct NH Textile Printer</v>
      </c>
      <c r="R697" s="64">
        <f t="shared" ref="R697:AC697" si="1409">R698+R699</f>
        <v>0</v>
      </c>
      <c r="S697" s="64">
        <f t="shared" si="1409"/>
        <v>0</v>
      </c>
      <c r="T697" s="64">
        <f t="shared" si="1409"/>
        <v>0</v>
      </c>
      <c r="U697" s="64">
        <f t="shared" si="1409"/>
        <v>0</v>
      </c>
      <c r="V697" s="64">
        <f t="shared" si="1409"/>
        <v>0</v>
      </c>
      <c r="W697" s="64">
        <f t="shared" si="1409"/>
        <v>0</v>
      </c>
      <c r="X697" s="64">
        <f t="shared" si="1409"/>
        <v>0</v>
      </c>
      <c r="Y697" s="64">
        <f t="shared" si="1409"/>
        <v>0</v>
      </c>
      <c r="Z697" s="64">
        <f t="shared" si="1409"/>
        <v>0</v>
      </c>
      <c r="AA697" s="64">
        <f t="shared" si="1409"/>
        <v>0</v>
      </c>
      <c r="AB697" s="64">
        <f t="shared" si="1409"/>
        <v>0</v>
      </c>
      <c r="AC697" s="64">
        <f t="shared" si="1409"/>
        <v>0</v>
      </c>
      <c r="AD697" s="1545">
        <f t="shared" ref="AD697:AJ697" si="1410">AD698+AD699</f>
        <v>0</v>
      </c>
      <c r="AE697" s="64">
        <f t="shared" si="1410"/>
        <v>0</v>
      </c>
      <c r="AF697" s="64">
        <f t="shared" si="1410"/>
        <v>0</v>
      </c>
      <c r="AG697" s="64">
        <f t="shared" si="1410"/>
        <v>0</v>
      </c>
      <c r="AH697" s="64">
        <f t="shared" si="1410"/>
        <v>0</v>
      </c>
      <c r="AI697" s="64">
        <f t="shared" si="1410"/>
        <v>0</v>
      </c>
      <c r="AJ697" s="64">
        <f t="shared" si="1410"/>
        <v>0</v>
      </c>
      <c r="AL697" s="64">
        <f ca="1">SUM((INDIRECT(AL$2&amp;(ROW())):INDIRECT(AL$3&amp;(ROW()))))</f>
        <v>0</v>
      </c>
      <c r="AM697" s="64">
        <f ca="1">SUM(INDIRECT(AM$1&amp;AM$2&amp;$C697):INDIRECT(AM$1&amp;AM$3&amp;$C697))</f>
        <v>0</v>
      </c>
      <c r="AN697" s="902">
        <f t="shared" ca="1" si="1397"/>
        <v>0</v>
      </c>
      <c r="AO697" s="963">
        <f t="shared" ca="1" si="1398"/>
        <v>0</v>
      </c>
      <c r="AP697" s="64">
        <f ca="1">SUM(INDIRECT(AP$1&amp;AP$2&amp;$A697):INDIRECT(AP$1&amp;AP$3&amp;$A697))</f>
        <v>0</v>
      </c>
      <c r="AQ697" s="902">
        <f t="shared" ca="1" si="1399"/>
        <v>0</v>
      </c>
      <c r="AR697" s="963">
        <f t="shared" ca="1" si="1400"/>
        <v>0</v>
      </c>
      <c r="AT697" s="64">
        <f ca="1">SUM((INDIRECT(AT$2&amp;(ROW())):INDIRECT(AT$3&amp;(ROW()))))</f>
        <v>0</v>
      </c>
      <c r="AU697" s="64">
        <f ca="1">SUM(INDIRECT(AU$1&amp;AU$2&amp;$C697):INDIRECT(AU$1&amp;AU$3&amp;$C697))</f>
        <v>0</v>
      </c>
      <c r="AV697" s="902">
        <f t="shared" ca="1" si="1401"/>
        <v>0</v>
      </c>
      <c r="AW697" s="963">
        <f t="shared" ca="1" si="1402"/>
        <v>0</v>
      </c>
      <c r="AX697" s="64">
        <f ca="1">SUM(INDIRECT(AX$1&amp;AX$2&amp;$A697):INDIRECT(AX$1&amp;AX$3&amp;$A697))</f>
        <v>0</v>
      </c>
      <c r="AY697" s="902">
        <f t="shared" ca="1" si="1403"/>
        <v>0</v>
      </c>
      <c r="AZ697" s="963">
        <f t="shared" ca="1" si="1404"/>
        <v>0</v>
      </c>
      <c r="BB697" s="64">
        <f ca="1">SUM((INDIRECT(BB$2&amp;(ROW())):INDIRECT(BB$3&amp;(ROW()))))</f>
        <v>0</v>
      </c>
      <c r="BC697" s="64">
        <f ca="1">SUM(INDIRECT(BC$1&amp;BC$2&amp;$C697):INDIRECT(BC$1&amp;BC$3&amp;$C697))</f>
        <v>0</v>
      </c>
      <c r="BD697" s="902">
        <f t="shared" ca="1" si="1405"/>
        <v>0</v>
      </c>
      <c r="BE697" s="963">
        <f t="shared" ca="1" si="1406"/>
        <v>0</v>
      </c>
      <c r="BF697" s="64">
        <f ca="1">SUM(INDIRECT(BF$1&amp;BF$2&amp;$A697):INDIRECT(BF$1&amp;BF$3&amp;$A697))</f>
        <v>0</v>
      </c>
      <c r="BG697" s="902">
        <f t="shared" ca="1" si="1407"/>
        <v>0</v>
      </c>
      <c r="BH697" s="963">
        <f t="shared" ca="1" si="1408"/>
        <v>0</v>
      </c>
    </row>
    <row r="698" spans="1:60" ht="14.5">
      <c r="A698" s="990">
        <f t="shared" si="1333"/>
        <v>633</v>
      </c>
      <c r="B698" s="990">
        <v>1</v>
      </c>
      <c r="C698" s="990">
        <f t="shared" si="1305"/>
        <v>695</v>
      </c>
      <c r="E698" s="1243">
        <v>1</v>
      </c>
      <c r="I698" s="445"/>
      <c r="J698" s="446"/>
      <c r="K698" s="74"/>
      <c r="L698" s="74"/>
      <c r="M698" s="75"/>
      <c r="N698" s="75"/>
      <c r="O698" s="394" t="s">
        <v>383</v>
      </c>
      <c r="P698" s="394"/>
      <c r="Q698" s="1845" t="str">
        <f>CHOOSE(2, "6722000003617", "S/GP (3) Gross Profit Direct NH Textile Printer TP")</f>
        <v>S/GP (3) Gross Profit Direct NH Textile Printer TP</v>
      </c>
      <c r="R698" s="2057">
        <v>0</v>
      </c>
      <c r="S698" s="2057">
        <v>0</v>
      </c>
      <c r="T698" s="2057">
        <v>0</v>
      </c>
      <c r="U698" s="2057">
        <v>0</v>
      </c>
      <c r="V698" s="2057">
        <v>0</v>
      </c>
      <c r="W698" s="2057">
        <v>0</v>
      </c>
      <c r="X698" s="2057">
        <v>0</v>
      </c>
      <c r="Y698" s="2057">
        <v>0</v>
      </c>
      <c r="Z698" s="2057">
        <v>0</v>
      </c>
      <c r="AA698" s="2057">
        <v>0</v>
      </c>
      <c r="AB698" s="2057">
        <v>0</v>
      </c>
      <c r="AC698" s="2057">
        <v>0</v>
      </c>
      <c r="AD698" s="1545">
        <f>SUM(R698,S698,T698)</f>
        <v>0</v>
      </c>
      <c r="AE698" s="64">
        <f t="shared" ref="AE698" si="1411">SUM(U698,V698,W698)</f>
        <v>0</v>
      </c>
      <c r="AF698" s="64">
        <f t="shared" ref="AF698" si="1412">SUM(X698,Y698,Z698)</f>
        <v>0</v>
      </c>
      <c r="AG698" s="64">
        <f t="shared" ref="AG698" si="1413">SUM(AA698,AB698,AC698)</f>
        <v>0</v>
      </c>
      <c r="AH698" s="64">
        <f t="shared" ref="AH698:AH707" si="1414">AD698+AE698</f>
        <v>0</v>
      </c>
      <c r="AI698" s="64">
        <f t="shared" ref="AI698:AI707" si="1415">AG698+AF698</f>
        <v>0</v>
      </c>
      <c r="AJ698" s="64">
        <f t="shared" ref="AJ698:AJ707" si="1416">AH698+AI698</f>
        <v>0</v>
      </c>
      <c r="AL698" s="64">
        <f ca="1">SUM((INDIRECT(AL$2&amp;(ROW())):INDIRECT(AL$3&amp;(ROW()))))</f>
        <v>0</v>
      </c>
      <c r="AM698" s="64">
        <f ca="1">SUM(INDIRECT(AM$1&amp;AM$2&amp;$C698):INDIRECT(AM$1&amp;AM$3&amp;$C698))</f>
        <v>0</v>
      </c>
      <c r="AN698" s="902">
        <f t="shared" ca="1" si="1397"/>
        <v>0</v>
      </c>
      <c r="AO698" s="963">
        <f t="shared" ca="1" si="1398"/>
        <v>0</v>
      </c>
      <c r="AP698" s="64">
        <f ca="1">SUM(INDIRECT(AP$1&amp;AP$2&amp;$A698):INDIRECT(AP$1&amp;AP$3&amp;$A698))</f>
        <v>0</v>
      </c>
      <c r="AQ698" s="902">
        <f t="shared" ca="1" si="1399"/>
        <v>0</v>
      </c>
      <c r="AR698" s="963">
        <f t="shared" ca="1" si="1400"/>
        <v>0</v>
      </c>
      <c r="AT698" s="64">
        <f ca="1">SUM((INDIRECT(AT$2&amp;(ROW())):INDIRECT(AT$3&amp;(ROW()))))</f>
        <v>0</v>
      </c>
      <c r="AU698" s="64">
        <f ca="1">SUM(INDIRECT(AU$1&amp;AU$2&amp;$C698):INDIRECT(AU$1&amp;AU$3&amp;$C698))</f>
        <v>0</v>
      </c>
      <c r="AV698" s="902">
        <f t="shared" ca="1" si="1401"/>
        <v>0</v>
      </c>
      <c r="AW698" s="963">
        <f t="shared" ca="1" si="1402"/>
        <v>0</v>
      </c>
      <c r="AX698" s="64">
        <f ca="1">SUM(INDIRECT(AX$1&amp;AX$2&amp;$A698):INDIRECT(AX$1&amp;AX$3&amp;$A698))</f>
        <v>0</v>
      </c>
      <c r="AY698" s="902">
        <f t="shared" ca="1" si="1403"/>
        <v>0</v>
      </c>
      <c r="AZ698" s="963">
        <f t="shared" ca="1" si="1404"/>
        <v>0</v>
      </c>
      <c r="BB698" s="64">
        <f ca="1">SUM((INDIRECT(BB$2&amp;(ROW())):INDIRECT(BB$3&amp;(ROW()))))</f>
        <v>0</v>
      </c>
      <c r="BC698" s="64">
        <f ca="1">SUM(INDIRECT(BC$1&amp;BC$2&amp;$C698):INDIRECT(BC$1&amp;BC$3&amp;$C698))</f>
        <v>0</v>
      </c>
      <c r="BD698" s="902">
        <f t="shared" ca="1" si="1405"/>
        <v>0</v>
      </c>
      <c r="BE698" s="963">
        <f t="shared" ca="1" si="1406"/>
        <v>0</v>
      </c>
      <c r="BF698" s="64">
        <f ca="1">SUM(INDIRECT(BF$1&amp;BF$2&amp;$A698):INDIRECT(BF$1&amp;BF$3&amp;$A698))</f>
        <v>0</v>
      </c>
      <c r="BG698" s="902">
        <f t="shared" ca="1" si="1407"/>
        <v>0</v>
      </c>
      <c r="BH698" s="963">
        <f t="shared" ca="1" si="1408"/>
        <v>0</v>
      </c>
    </row>
    <row r="699" spans="1:60" s="75" customFormat="1" ht="14.5">
      <c r="A699" s="990">
        <f t="shared" si="1333"/>
        <v>634</v>
      </c>
      <c r="B699" s="990">
        <v>1</v>
      </c>
      <c r="C699" s="990">
        <f t="shared" si="1305"/>
        <v>696</v>
      </c>
      <c r="E699" s="1243">
        <v>1</v>
      </c>
      <c r="F699" s="10"/>
      <c r="G699" s="10"/>
      <c r="H699" s="24"/>
      <c r="I699" s="445"/>
      <c r="J699" s="446"/>
      <c r="K699" s="74"/>
      <c r="L699" s="74"/>
      <c r="O699" s="395" t="s">
        <v>366</v>
      </c>
      <c r="P699" s="395"/>
      <c r="Q699" s="1848" t="str">
        <f>CHOOSE(2, "6722000003618", "S/GP (3) Gross Profit Direct NH Textile Printer FSC (-)")</f>
        <v>S/GP (3) Gross Profit Direct NH Textile Printer FSC (-)</v>
      </c>
      <c r="R699" s="385">
        <f t="shared" ref="R699:AC699" si="1417">SUM(R700:R702)</f>
        <v>0</v>
      </c>
      <c r="S699" s="385">
        <f t="shared" si="1417"/>
        <v>0</v>
      </c>
      <c r="T699" s="385">
        <f t="shared" si="1417"/>
        <v>0</v>
      </c>
      <c r="U699" s="385">
        <f t="shared" si="1417"/>
        <v>0</v>
      </c>
      <c r="V699" s="385">
        <f t="shared" si="1417"/>
        <v>0</v>
      </c>
      <c r="W699" s="385">
        <f t="shared" si="1417"/>
        <v>0</v>
      </c>
      <c r="X699" s="385">
        <f t="shared" si="1417"/>
        <v>0</v>
      </c>
      <c r="Y699" s="385">
        <f t="shared" si="1417"/>
        <v>0</v>
      </c>
      <c r="Z699" s="385">
        <f t="shared" si="1417"/>
        <v>0</v>
      </c>
      <c r="AA699" s="385">
        <f t="shared" si="1417"/>
        <v>0</v>
      </c>
      <c r="AB699" s="385">
        <f t="shared" si="1417"/>
        <v>0</v>
      </c>
      <c r="AC699" s="385">
        <f t="shared" si="1417"/>
        <v>0</v>
      </c>
      <c r="AD699" s="1540">
        <f>SUM(R699:T699)</f>
        <v>0</v>
      </c>
      <c r="AE699" s="385">
        <f t="shared" ref="AE699:AE703" si="1418">SUM(U699:W699)</f>
        <v>0</v>
      </c>
      <c r="AF699" s="385">
        <f t="shared" ref="AF699:AF703" si="1419">SUM(X699:Z699)</f>
        <v>0</v>
      </c>
      <c r="AG699" s="385">
        <f t="shared" ref="AG699:AG703" si="1420">SUM(AA699:AC699)</f>
        <v>0</v>
      </c>
      <c r="AH699" s="385">
        <f t="shared" si="1414"/>
        <v>0</v>
      </c>
      <c r="AI699" s="385">
        <f t="shared" si="1415"/>
        <v>0</v>
      </c>
      <c r="AJ699" s="385">
        <f t="shared" si="1416"/>
        <v>0</v>
      </c>
      <c r="AL699" s="385">
        <f ca="1">SUM((INDIRECT(AL$2&amp;(ROW())):INDIRECT(AL$3&amp;(ROW()))))</f>
        <v>0</v>
      </c>
      <c r="AM699" s="385">
        <f ca="1">SUM(INDIRECT(AM$1&amp;AM$2&amp;$C699):INDIRECT(AM$1&amp;AM$3&amp;$C699))</f>
        <v>0</v>
      </c>
      <c r="AN699" s="897">
        <f t="shared" ca="1" si="1397"/>
        <v>0</v>
      </c>
      <c r="AO699" s="958">
        <f t="shared" ca="1" si="1398"/>
        <v>0</v>
      </c>
      <c r="AP699" s="385">
        <f ca="1">SUM(INDIRECT(AP$1&amp;AP$2&amp;$A699):INDIRECT(AP$1&amp;AP$3&amp;$A699))</f>
        <v>0</v>
      </c>
      <c r="AQ699" s="897">
        <f t="shared" ca="1" si="1399"/>
        <v>0</v>
      </c>
      <c r="AR699" s="958">
        <f t="shared" ca="1" si="1400"/>
        <v>0</v>
      </c>
      <c r="AT699" s="385">
        <f ca="1">SUM((INDIRECT(AT$2&amp;(ROW())):INDIRECT(AT$3&amp;(ROW()))))</f>
        <v>0</v>
      </c>
      <c r="AU699" s="385">
        <f ca="1">SUM(INDIRECT(AU$1&amp;AU$2&amp;$C699):INDIRECT(AU$1&amp;AU$3&amp;$C699))</f>
        <v>0</v>
      </c>
      <c r="AV699" s="897">
        <f t="shared" ca="1" si="1401"/>
        <v>0</v>
      </c>
      <c r="AW699" s="958">
        <f t="shared" ca="1" si="1402"/>
        <v>0</v>
      </c>
      <c r="AX699" s="385">
        <f ca="1">SUM(INDIRECT(AX$1&amp;AX$2&amp;$A699):INDIRECT(AX$1&amp;AX$3&amp;$A699))</f>
        <v>0</v>
      </c>
      <c r="AY699" s="897">
        <f t="shared" ca="1" si="1403"/>
        <v>0</v>
      </c>
      <c r="AZ699" s="958">
        <f t="shared" ca="1" si="1404"/>
        <v>0</v>
      </c>
      <c r="BB699" s="385">
        <f ca="1">SUM((INDIRECT(BB$2&amp;(ROW())):INDIRECT(BB$3&amp;(ROW()))))</f>
        <v>0</v>
      </c>
      <c r="BC699" s="385">
        <f ca="1">SUM(INDIRECT(BC$1&amp;BC$2&amp;$C699):INDIRECT(BC$1&amp;BC$3&amp;$C699))</f>
        <v>0</v>
      </c>
      <c r="BD699" s="897">
        <f t="shared" ca="1" si="1405"/>
        <v>0</v>
      </c>
      <c r="BE699" s="958">
        <f t="shared" ca="1" si="1406"/>
        <v>0</v>
      </c>
      <c r="BF699" s="385">
        <f ca="1">SUM(INDIRECT(BF$1&amp;BF$2&amp;$A699):INDIRECT(BF$1&amp;BF$3&amp;$A699))</f>
        <v>0</v>
      </c>
      <c r="BG699" s="897">
        <f t="shared" ca="1" si="1407"/>
        <v>0</v>
      </c>
      <c r="BH699" s="958">
        <f t="shared" ca="1" si="1408"/>
        <v>0</v>
      </c>
    </row>
    <row r="700" spans="1:60" s="75" customFormat="1" ht="14.5">
      <c r="A700" s="990">
        <f t="shared" si="1333"/>
        <v>635</v>
      </c>
      <c r="B700" s="990">
        <v>1</v>
      </c>
      <c r="C700" s="990">
        <f t="shared" si="1305"/>
        <v>697</v>
      </c>
      <c r="E700" s="1243">
        <v>1</v>
      </c>
      <c r="F700" s="10"/>
      <c r="G700" s="10"/>
      <c r="H700" s="24"/>
      <c r="I700" s="445"/>
      <c r="J700" s="446"/>
      <c r="K700" s="74"/>
      <c r="L700" s="74"/>
      <c r="O700" s="396"/>
      <c r="P700" s="371" t="s">
        <v>378</v>
      </c>
      <c r="Q700" s="1845" t="str">
        <f>CHOOSE(2, "6722000003619", "S/GP (3) Gross Profit Direct NH Textile Printer FSC (-) PC")</f>
        <v>S/GP (3) Gross Profit Direct NH Textile Printer FSC (-) PC</v>
      </c>
      <c r="R700" s="2042">
        <v>0</v>
      </c>
      <c r="S700" s="2042">
        <v>0</v>
      </c>
      <c r="T700" s="2042">
        <v>0</v>
      </c>
      <c r="U700" s="2042">
        <v>0</v>
      </c>
      <c r="V700" s="2042">
        <v>0</v>
      </c>
      <c r="W700" s="2042">
        <v>0</v>
      </c>
      <c r="X700" s="2042">
        <v>0</v>
      </c>
      <c r="Y700" s="2042">
        <v>0</v>
      </c>
      <c r="Z700" s="2042">
        <v>0</v>
      </c>
      <c r="AA700" s="2042">
        <v>0</v>
      </c>
      <c r="AB700" s="2042">
        <v>0</v>
      </c>
      <c r="AC700" s="2042">
        <v>0</v>
      </c>
      <c r="AD700" s="1537">
        <f>SUM(R700,S700,T700)</f>
        <v>0</v>
      </c>
      <c r="AE700" s="108">
        <f t="shared" ref="AE700:AE702" si="1421">SUM(U700,V700,W700)</f>
        <v>0</v>
      </c>
      <c r="AF700" s="108">
        <f t="shared" ref="AF700:AF702" si="1422">SUM(X700,Y700,Z700)</f>
        <v>0</v>
      </c>
      <c r="AG700" s="108">
        <f t="shared" ref="AG700:AG702" si="1423">SUM(AA700,AB700,AC700)</f>
        <v>0</v>
      </c>
      <c r="AH700" s="108">
        <f t="shared" si="1414"/>
        <v>0</v>
      </c>
      <c r="AI700" s="108">
        <f t="shared" si="1415"/>
        <v>0</v>
      </c>
      <c r="AJ700" s="108">
        <f t="shared" si="1416"/>
        <v>0</v>
      </c>
      <c r="AL700" s="108">
        <f ca="1">SUM((INDIRECT(AL$2&amp;(ROW())):INDIRECT(AL$3&amp;(ROW()))))</f>
        <v>0</v>
      </c>
      <c r="AM700" s="108">
        <f ca="1">SUM(INDIRECT(AM$1&amp;AM$2&amp;$C700):INDIRECT(AM$1&amp;AM$3&amp;$C700))</f>
        <v>0</v>
      </c>
      <c r="AN700" s="893">
        <f t="shared" ca="1" si="1397"/>
        <v>0</v>
      </c>
      <c r="AO700" s="954">
        <f t="shared" ca="1" si="1398"/>
        <v>0</v>
      </c>
      <c r="AP700" s="108">
        <f ca="1">SUM(INDIRECT(AP$1&amp;AP$2&amp;$A700):INDIRECT(AP$1&amp;AP$3&amp;$A700))</f>
        <v>0</v>
      </c>
      <c r="AQ700" s="893">
        <f t="shared" ca="1" si="1399"/>
        <v>0</v>
      </c>
      <c r="AR700" s="954">
        <f t="shared" ca="1" si="1400"/>
        <v>0</v>
      </c>
      <c r="AT700" s="108">
        <f ca="1">SUM((INDIRECT(AT$2&amp;(ROW())):INDIRECT(AT$3&amp;(ROW()))))</f>
        <v>0</v>
      </c>
      <c r="AU700" s="108">
        <f ca="1">SUM(INDIRECT(AU$1&amp;AU$2&amp;$C700):INDIRECT(AU$1&amp;AU$3&amp;$C700))</f>
        <v>0</v>
      </c>
      <c r="AV700" s="893">
        <f t="shared" ca="1" si="1401"/>
        <v>0</v>
      </c>
      <c r="AW700" s="954">
        <f t="shared" ca="1" si="1402"/>
        <v>0</v>
      </c>
      <c r="AX700" s="108">
        <f ca="1">SUM(INDIRECT(AX$1&amp;AX$2&amp;$A700):INDIRECT(AX$1&amp;AX$3&amp;$A700))</f>
        <v>0</v>
      </c>
      <c r="AY700" s="893">
        <f t="shared" ca="1" si="1403"/>
        <v>0</v>
      </c>
      <c r="AZ700" s="954">
        <f t="shared" ca="1" si="1404"/>
        <v>0</v>
      </c>
      <c r="BB700" s="108">
        <f ca="1">SUM((INDIRECT(BB$2&amp;(ROW())):INDIRECT(BB$3&amp;(ROW()))))</f>
        <v>0</v>
      </c>
      <c r="BC700" s="108">
        <f ca="1">SUM(INDIRECT(BC$1&amp;BC$2&amp;$C700):INDIRECT(BC$1&amp;BC$3&amp;$C700))</f>
        <v>0</v>
      </c>
      <c r="BD700" s="893">
        <f t="shared" ca="1" si="1405"/>
        <v>0</v>
      </c>
      <c r="BE700" s="954">
        <f t="shared" ca="1" si="1406"/>
        <v>0</v>
      </c>
      <c r="BF700" s="108">
        <f ca="1">SUM(INDIRECT(BF$1&amp;BF$2&amp;$A700):INDIRECT(BF$1&amp;BF$3&amp;$A700))</f>
        <v>0</v>
      </c>
      <c r="BG700" s="893">
        <f t="shared" ca="1" si="1407"/>
        <v>0</v>
      </c>
      <c r="BH700" s="954">
        <f t="shared" ca="1" si="1408"/>
        <v>0</v>
      </c>
    </row>
    <row r="701" spans="1:60" s="75" customFormat="1" ht="14.5">
      <c r="A701" s="990">
        <f t="shared" si="1333"/>
        <v>636</v>
      </c>
      <c r="B701" s="990">
        <v>1</v>
      </c>
      <c r="C701" s="990">
        <f t="shared" si="1305"/>
        <v>698</v>
      </c>
      <c r="E701" s="1243">
        <v>1</v>
      </c>
      <c r="F701" s="10"/>
      <c r="G701" s="10"/>
      <c r="H701" s="24"/>
      <c r="I701" s="445"/>
      <c r="J701" s="446"/>
      <c r="K701" s="74"/>
      <c r="L701" s="74"/>
      <c r="O701" s="301"/>
      <c r="P701" s="299" t="s">
        <v>379</v>
      </c>
      <c r="Q701" s="1845" t="str">
        <f>CHOOSE(2, "6722000003620", "S/GP (3) Gross Profit Direct NH Textile Printer FSC (-) TE")</f>
        <v>S/GP (3) Gross Profit Direct NH Textile Printer FSC (-) TE</v>
      </c>
      <c r="R701" s="2036">
        <v>0</v>
      </c>
      <c r="S701" s="2036">
        <v>0</v>
      </c>
      <c r="T701" s="2036">
        <v>0</v>
      </c>
      <c r="U701" s="2036">
        <v>0</v>
      </c>
      <c r="V701" s="2036">
        <v>0</v>
      </c>
      <c r="W701" s="2036">
        <v>0</v>
      </c>
      <c r="X701" s="2036">
        <v>0</v>
      </c>
      <c r="Y701" s="2036">
        <v>0</v>
      </c>
      <c r="Z701" s="2036">
        <v>0</v>
      </c>
      <c r="AA701" s="2036">
        <v>0</v>
      </c>
      <c r="AB701" s="2036">
        <v>0</v>
      </c>
      <c r="AC701" s="2036">
        <v>0</v>
      </c>
      <c r="AD701" s="1380">
        <f>SUM(R701,S701,T701)</f>
        <v>0</v>
      </c>
      <c r="AE701" s="107">
        <f t="shared" si="1421"/>
        <v>0</v>
      </c>
      <c r="AF701" s="107">
        <f t="shared" si="1422"/>
        <v>0</v>
      </c>
      <c r="AG701" s="107">
        <f t="shared" si="1423"/>
        <v>0</v>
      </c>
      <c r="AH701" s="107">
        <f t="shared" si="1414"/>
        <v>0</v>
      </c>
      <c r="AI701" s="107">
        <f t="shared" si="1415"/>
        <v>0</v>
      </c>
      <c r="AJ701" s="107">
        <f t="shared" si="1416"/>
        <v>0</v>
      </c>
      <c r="AL701" s="107">
        <f ca="1">SUM((INDIRECT(AL$2&amp;(ROW())):INDIRECT(AL$3&amp;(ROW()))))</f>
        <v>0</v>
      </c>
      <c r="AM701" s="107">
        <f ca="1">SUM(INDIRECT(AM$1&amp;AM$2&amp;$C701):INDIRECT(AM$1&amp;AM$3&amp;$C701))</f>
        <v>0</v>
      </c>
      <c r="AN701" s="898">
        <f t="shared" ca="1" si="1397"/>
        <v>0</v>
      </c>
      <c r="AO701" s="959">
        <f t="shared" ca="1" si="1398"/>
        <v>0</v>
      </c>
      <c r="AP701" s="107">
        <f ca="1">SUM(INDIRECT(AP$1&amp;AP$2&amp;$A701):INDIRECT(AP$1&amp;AP$3&amp;$A701))</f>
        <v>0</v>
      </c>
      <c r="AQ701" s="898">
        <f t="shared" ca="1" si="1399"/>
        <v>0</v>
      </c>
      <c r="AR701" s="959">
        <f t="shared" ca="1" si="1400"/>
        <v>0</v>
      </c>
      <c r="AT701" s="107">
        <f ca="1">SUM((INDIRECT(AT$2&amp;(ROW())):INDIRECT(AT$3&amp;(ROW()))))</f>
        <v>0</v>
      </c>
      <c r="AU701" s="107">
        <f ca="1">SUM(INDIRECT(AU$1&amp;AU$2&amp;$C701):INDIRECT(AU$1&amp;AU$3&amp;$C701))</f>
        <v>0</v>
      </c>
      <c r="AV701" s="898">
        <f t="shared" ca="1" si="1401"/>
        <v>0</v>
      </c>
      <c r="AW701" s="959">
        <f t="shared" ca="1" si="1402"/>
        <v>0</v>
      </c>
      <c r="AX701" s="107">
        <f ca="1">SUM(INDIRECT(AX$1&amp;AX$2&amp;$A701):INDIRECT(AX$1&amp;AX$3&amp;$A701))</f>
        <v>0</v>
      </c>
      <c r="AY701" s="898">
        <f t="shared" ca="1" si="1403"/>
        <v>0</v>
      </c>
      <c r="AZ701" s="959">
        <f t="shared" ca="1" si="1404"/>
        <v>0</v>
      </c>
      <c r="BB701" s="107">
        <f ca="1">SUM((INDIRECT(BB$2&amp;(ROW())):INDIRECT(BB$3&amp;(ROW()))))</f>
        <v>0</v>
      </c>
      <c r="BC701" s="107">
        <f ca="1">SUM(INDIRECT(BC$1&amp;BC$2&amp;$C701):INDIRECT(BC$1&amp;BC$3&amp;$C701))</f>
        <v>0</v>
      </c>
      <c r="BD701" s="898">
        <f t="shared" ca="1" si="1405"/>
        <v>0</v>
      </c>
      <c r="BE701" s="959">
        <f t="shared" ca="1" si="1406"/>
        <v>0</v>
      </c>
      <c r="BF701" s="107">
        <f ca="1">SUM(INDIRECT(BF$1&amp;BF$2&amp;$A701):INDIRECT(BF$1&amp;BF$3&amp;$A701))</f>
        <v>0</v>
      </c>
      <c r="BG701" s="898">
        <f t="shared" ca="1" si="1407"/>
        <v>0</v>
      </c>
      <c r="BH701" s="959">
        <f t="shared" ca="1" si="1408"/>
        <v>0</v>
      </c>
    </row>
    <row r="702" spans="1:60" s="75" customFormat="1" ht="14.5">
      <c r="A702" s="990">
        <f t="shared" si="1333"/>
        <v>637</v>
      </c>
      <c r="B702" s="990">
        <v>1</v>
      </c>
      <c r="C702" s="990">
        <f t="shared" si="1305"/>
        <v>699</v>
      </c>
      <c r="E702" s="1243">
        <v>1</v>
      </c>
      <c r="F702" s="10"/>
      <c r="G702" s="10"/>
      <c r="H702" s="24"/>
      <c r="I702" s="445"/>
      <c r="J702" s="446"/>
      <c r="K702" s="74"/>
      <c r="L702" s="74"/>
      <c r="N702" s="276"/>
      <c r="O702" s="302"/>
      <c r="P702" s="298" t="s">
        <v>386</v>
      </c>
      <c r="Q702" s="1845" t="str">
        <f>CHOOSE(2, "6722000003621", "S/GP (3) Gross Profit Direct NH Textile Printer FSC (-) OFC")</f>
        <v>S/GP (3) Gross Profit Direct NH Textile Printer FSC (-) OFC</v>
      </c>
      <c r="R702" s="2037">
        <v>0</v>
      </c>
      <c r="S702" s="2037">
        <v>0</v>
      </c>
      <c r="T702" s="2037">
        <v>0</v>
      </c>
      <c r="U702" s="2037">
        <v>0</v>
      </c>
      <c r="V702" s="2037">
        <v>0</v>
      </c>
      <c r="W702" s="2037">
        <v>0</v>
      </c>
      <c r="X702" s="2037">
        <v>0</v>
      </c>
      <c r="Y702" s="2037">
        <v>0</v>
      </c>
      <c r="Z702" s="2037">
        <v>0</v>
      </c>
      <c r="AA702" s="2037">
        <v>0</v>
      </c>
      <c r="AB702" s="2037">
        <v>0</v>
      </c>
      <c r="AC702" s="2037">
        <v>0</v>
      </c>
      <c r="AD702" s="1380">
        <f>SUM(R702,S702,T702)</f>
        <v>0</v>
      </c>
      <c r="AE702" s="107">
        <f t="shared" si="1421"/>
        <v>0</v>
      </c>
      <c r="AF702" s="107">
        <f t="shared" si="1422"/>
        <v>0</v>
      </c>
      <c r="AG702" s="107">
        <f t="shared" si="1423"/>
        <v>0</v>
      </c>
      <c r="AH702" s="107">
        <f t="shared" si="1414"/>
        <v>0</v>
      </c>
      <c r="AI702" s="107">
        <f t="shared" si="1415"/>
        <v>0</v>
      </c>
      <c r="AJ702" s="107">
        <f t="shared" si="1416"/>
        <v>0</v>
      </c>
      <c r="AL702" s="107">
        <f ca="1">SUM((INDIRECT(AL$2&amp;(ROW())):INDIRECT(AL$3&amp;(ROW()))))</f>
        <v>0</v>
      </c>
      <c r="AM702" s="107">
        <f ca="1">SUM(INDIRECT(AM$1&amp;AM$2&amp;$C702):INDIRECT(AM$1&amp;AM$3&amp;$C702))</f>
        <v>0</v>
      </c>
      <c r="AN702" s="898">
        <f t="shared" ca="1" si="1397"/>
        <v>0</v>
      </c>
      <c r="AO702" s="959">
        <f t="shared" ca="1" si="1398"/>
        <v>0</v>
      </c>
      <c r="AP702" s="107">
        <f ca="1">SUM(INDIRECT(AP$1&amp;AP$2&amp;$A702):INDIRECT(AP$1&amp;AP$3&amp;$A702))</f>
        <v>0</v>
      </c>
      <c r="AQ702" s="898">
        <f t="shared" ca="1" si="1399"/>
        <v>0</v>
      </c>
      <c r="AR702" s="959">
        <f t="shared" ca="1" si="1400"/>
        <v>0</v>
      </c>
      <c r="AT702" s="107">
        <f ca="1">SUM((INDIRECT(AT$2&amp;(ROW())):INDIRECT(AT$3&amp;(ROW()))))</f>
        <v>0</v>
      </c>
      <c r="AU702" s="107">
        <f ca="1">SUM(INDIRECT(AU$1&amp;AU$2&amp;$C702):INDIRECT(AU$1&amp;AU$3&amp;$C702))</f>
        <v>0</v>
      </c>
      <c r="AV702" s="898">
        <f t="shared" ca="1" si="1401"/>
        <v>0</v>
      </c>
      <c r="AW702" s="959">
        <f t="shared" ca="1" si="1402"/>
        <v>0</v>
      </c>
      <c r="AX702" s="107">
        <f ca="1">SUM(INDIRECT(AX$1&amp;AX$2&amp;$A702):INDIRECT(AX$1&amp;AX$3&amp;$A702))</f>
        <v>0</v>
      </c>
      <c r="AY702" s="898">
        <f t="shared" ca="1" si="1403"/>
        <v>0</v>
      </c>
      <c r="AZ702" s="959">
        <f t="shared" ca="1" si="1404"/>
        <v>0</v>
      </c>
      <c r="BB702" s="107">
        <f ca="1">SUM((INDIRECT(BB$2&amp;(ROW())):INDIRECT(BB$3&amp;(ROW()))))</f>
        <v>0</v>
      </c>
      <c r="BC702" s="107">
        <f ca="1">SUM(INDIRECT(BC$1&amp;BC$2&amp;$C702):INDIRECT(BC$1&amp;BC$3&amp;$C702))</f>
        <v>0</v>
      </c>
      <c r="BD702" s="898">
        <f t="shared" ca="1" si="1405"/>
        <v>0</v>
      </c>
      <c r="BE702" s="959">
        <f t="shared" ca="1" si="1406"/>
        <v>0</v>
      </c>
      <c r="BF702" s="107">
        <f ca="1">SUM(INDIRECT(BF$1&amp;BF$2&amp;$A702):INDIRECT(BF$1&amp;BF$3&amp;$A702))</f>
        <v>0</v>
      </c>
      <c r="BG702" s="898">
        <f t="shared" ca="1" si="1407"/>
        <v>0</v>
      </c>
      <c r="BH702" s="959">
        <f t="shared" ca="1" si="1408"/>
        <v>0</v>
      </c>
    </row>
    <row r="703" spans="1:60" s="75" customFormat="1" ht="14.5">
      <c r="A703" s="990">
        <f t="shared" si="1333"/>
        <v>638</v>
      </c>
      <c r="B703" s="990">
        <v>1</v>
      </c>
      <c r="C703" s="990">
        <f t="shared" si="1305"/>
        <v>700</v>
      </c>
      <c r="E703" s="1243">
        <v>1</v>
      </c>
      <c r="F703" s="10"/>
      <c r="G703" s="10"/>
      <c r="H703" s="24"/>
      <c r="I703" s="445"/>
      <c r="J703" s="446"/>
      <c r="K703" s="74"/>
      <c r="L703" s="74"/>
      <c r="N703" s="317" t="s">
        <v>474</v>
      </c>
      <c r="O703" s="373"/>
      <c r="P703" s="373"/>
      <c r="Q703" s="1848" t="str">
        <f>CHOOSE(2, "6722000003622", "S/GP (3) Gross Profit Direct NH &lt;Direct&gt; SDC (-)")</f>
        <v>S/GP (3) Gross Profit Direct NH &lt;Direct&gt; SDC (-)</v>
      </c>
      <c r="R703" s="381">
        <f>SUM(R704:R705)</f>
        <v>0</v>
      </c>
      <c r="S703" s="381">
        <f t="shared" ref="S703:AC703" si="1424">SUM(S704:S705)</f>
        <v>0</v>
      </c>
      <c r="T703" s="381">
        <f t="shared" si="1424"/>
        <v>0</v>
      </c>
      <c r="U703" s="381">
        <f t="shared" si="1424"/>
        <v>0</v>
      </c>
      <c r="V703" s="381">
        <f t="shared" si="1424"/>
        <v>0</v>
      </c>
      <c r="W703" s="381">
        <f t="shared" si="1424"/>
        <v>0</v>
      </c>
      <c r="X703" s="381">
        <f t="shared" si="1424"/>
        <v>0</v>
      </c>
      <c r="Y703" s="381">
        <f t="shared" si="1424"/>
        <v>0</v>
      </c>
      <c r="Z703" s="381">
        <f t="shared" si="1424"/>
        <v>0</v>
      </c>
      <c r="AA703" s="381">
        <f t="shared" si="1424"/>
        <v>0</v>
      </c>
      <c r="AB703" s="381">
        <f t="shared" si="1424"/>
        <v>0</v>
      </c>
      <c r="AC703" s="381">
        <f t="shared" si="1424"/>
        <v>0</v>
      </c>
      <c r="AD703" s="1539">
        <f>SUM(R703:T703)</f>
        <v>0</v>
      </c>
      <c r="AE703" s="381">
        <f t="shared" si="1418"/>
        <v>0</v>
      </c>
      <c r="AF703" s="381">
        <f t="shared" si="1419"/>
        <v>0</v>
      </c>
      <c r="AG703" s="381">
        <f t="shared" si="1420"/>
        <v>0</v>
      </c>
      <c r="AH703" s="381">
        <f t="shared" si="1414"/>
        <v>0</v>
      </c>
      <c r="AI703" s="381">
        <f t="shared" si="1415"/>
        <v>0</v>
      </c>
      <c r="AJ703" s="381">
        <f t="shared" si="1416"/>
        <v>0</v>
      </c>
      <c r="AL703" s="381">
        <f ca="1">SUM((INDIRECT(AL$2&amp;(ROW())):INDIRECT(AL$3&amp;(ROW()))))</f>
        <v>0</v>
      </c>
      <c r="AM703" s="381">
        <f ca="1">SUM(INDIRECT(AM$1&amp;AM$2&amp;$C703):INDIRECT(AM$1&amp;AM$3&amp;$C703))</f>
        <v>0</v>
      </c>
      <c r="AN703" s="896">
        <f t="shared" ca="1" si="1397"/>
        <v>0</v>
      </c>
      <c r="AO703" s="957">
        <f t="shared" ca="1" si="1398"/>
        <v>0</v>
      </c>
      <c r="AP703" s="381">
        <f ca="1">SUM(INDIRECT(AP$1&amp;AP$2&amp;$A703):INDIRECT(AP$1&amp;AP$3&amp;$A703))</f>
        <v>0</v>
      </c>
      <c r="AQ703" s="896">
        <f t="shared" ca="1" si="1399"/>
        <v>0</v>
      </c>
      <c r="AR703" s="957">
        <f t="shared" ca="1" si="1400"/>
        <v>0</v>
      </c>
      <c r="AT703" s="381">
        <f ca="1">SUM((INDIRECT(AT$2&amp;(ROW())):INDIRECT(AT$3&amp;(ROW()))))</f>
        <v>0</v>
      </c>
      <c r="AU703" s="381">
        <f ca="1">SUM(INDIRECT(AU$1&amp;AU$2&amp;$C703):INDIRECT(AU$1&amp;AU$3&amp;$C703))</f>
        <v>0</v>
      </c>
      <c r="AV703" s="896">
        <f t="shared" ca="1" si="1401"/>
        <v>0</v>
      </c>
      <c r="AW703" s="957">
        <f t="shared" ca="1" si="1402"/>
        <v>0</v>
      </c>
      <c r="AX703" s="381">
        <f ca="1">SUM(INDIRECT(AX$1&amp;AX$2&amp;$A703):INDIRECT(AX$1&amp;AX$3&amp;$A703))</f>
        <v>0</v>
      </c>
      <c r="AY703" s="896">
        <f t="shared" ca="1" si="1403"/>
        <v>0</v>
      </c>
      <c r="AZ703" s="957">
        <f t="shared" ca="1" si="1404"/>
        <v>0</v>
      </c>
      <c r="BB703" s="381">
        <f ca="1">SUM((INDIRECT(BB$2&amp;(ROW())):INDIRECT(BB$3&amp;(ROW()))))</f>
        <v>0</v>
      </c>
      <c r="BC703" s="381">
        <f ca="1">SUM(INDIRECT(BC$1&amp;BC$2&amp;$C703):INDIRECT(BC$1&amp;BC$3&amp;$C703))</f>
        <v>0</v>
      </c>
      <c r="BD703" s="896">
        <f t="shared" ca="1" si="1405"/>
        <v>0</v>
      </c>
      <c r="BE703" s="957">
        <f t="shared" ca="1" si="1406"/>
        <v>0</v>
      </c>
      <c r="BF703" s="381">
        <f ca="1">SUM(INDIRECT(BF$1&amp;BF$2&amp;$A703):INDIRECT(BF$1&amp;BF$3&amp;$A703))</f>
        <v>0</v>
      </c>
      <c r="BG703" s="896">
        <f t="shared" ca="1" si="1407"/>
        <v>0</v>
      </c>
      <c r="BH703" s="957">
        <f t="shared" ca="1" si="1408"/>
        <v>0</v>
      </c>
    </row>
    <row r="704" spans="1:60" s="75" customFormat="1" ht="14.5">
      <c r="A704" s="990">
        <f t="shared" si="1333"/>
        <v>639</v>
      </c>
      <c r="B704" s="990">
        <v>1</v>
      </c>
      <c r="C704" s="990">
        <f t="shared" si="1305"/>
        <v>701</v>
      </c>
      <c r="E704" s="1243">
        <v>1</v>
      </c>
      <c r="F704" s="10"/>
      <c r="G704" s="10"/>
      <c r="H704" s="24"/>
      <c r="I704" s="445"/>
      <c r="J704" s="446"/>
      <c r="K704" s="74"/>
      <c r="L704" s="74"/>
      <c r="N704" s="301"/>
      <c r="O704" s="396"/>
      <c r="P704" s="396" t="s">
        <v>391</v>
      </c>
      <c r="Q704" s="1845" t="str">
        <f>CHOOSE(2, "6722000003623", "S/GP (3) Gross Profit Direct NH &lt;Direct&gt; SDC (-) PC")</f>
        <v>S/GP (3) Gross Profit Direct NH &lt;Direct&gt; SDC (-) PC</v>
      </c>
      <c r="R704" s="2042">
        <v>0</v>
      </c>
      <c r="S704" s="2042">
        <v>0</v>
      </c>
      <c r="T704" s="2042">
        <v>0</v>
      </c>
      <c r="U704" s="2042">
        <v>0</v>
      </c>
      <c r="V704" s="2042">
        <v>0</v>
      </c>
      <c r="W704" s="2042">
        <v>0</v>
      </c>
      <c r="X704" s="2042">
        <v>0</v>
      </c>
      <c r="Y704" s="2042">
        <v>0</v>
      </c>
      <c r="Z704" s="2042">
        <v>0</v>
      </c>
      <c r="AA704" s="2042">
        <v>0</v>
      </c>
      <c r="AB704" s="2042">
        <v>0</v>
      </c>
      <c r="AC704" s="2042">
        <v>0</v>
      </c>
      <c r="AD704" s="1537">
        <f>SUM(R704,S704,T704)</f>
        <v>0</v>
      </c>
      <c r="AE704" s="108">
        <f t="shared" ref="AE704:AE707" si="1425">SUM(U704,V704,W704)</f>
        <v>0</v>
      </c>
      <c r="AF704" s="108">
        <f t="shared" ref="AF704:AF707" si="1426">SUM(X704,Y704,Z704)</f>
        <v>0</v>
      </c>
      <c r="AG704" s="108">
        <f t="shared" ref="AG704:AG707" si="1427">SUM(AA704,AB704,AC704)</f>
        <v>0</v>
      </c>
      <c r="AH704" s="108">
        <f t="shared" si="1414"/>
        <v>0</v>
      </c>
      <c r="AI704" s="108">
        <f t="shared" si="1415"/>
        <v>0</v>
      </c>
      <c r="AJ704" s="108">
        <f t="shared" si="1416"/>
        <v>0</v>
      </c>
      <c r="AL704" s="108">
        <f ca="1">SUM((INDIRECT(AL$2&amp;(ROW())):INDIRECT(AL$3&amp;(ROW()))))</f>
        <v>0</v>
      </c>
      <c r="AM704" s="108">
        <f ca="1">SUM(INDIRECT(AM$1&amp;AM$2&amp;$C704):INDIRECT(AM$1&amp;AM$3&amp;$C704))</f>
        <v>0</v>
      </c>
      <c r="AN704" s="893">
        <f t="shared" ca="1" si="1397"/>
        <v>0</v>
      </c>
      <c r="AO704" s="954">
        <f t="shared" ca="1" si="1398"/>
        <v>0</v>
      </c>
      <c r="AP704" s="108">
        <f ca="1">SUM(INDIRECT(AP$1&amp;AP$2&amp;$A704):INDIRECT(AP$1&amp;AP$3&amp;$A704))</f>
        <v>0</v>
      </c>
      <c r="AQ704" s="893">
        <f t="shared" ca="1" si="1399"/>
        <v>0</v>
      </c>
      <c r="AR704" s="954">
        <f t="shared" ca="1" si="1400"/>
        <v>0</v>
      </c>
      <c r="AT704" s="108">
        <f ca="1">SUM((INDIRECT(AT$2&amp;(ROW())):INDIRECT(AT$3&amp;(ROW()))))</f>
        <v>0</v>
      </c>
      <c r="AU704" s="108">
        <f ca="1">SUM(INDIRECT(AU$1&amp;AU$2&amp;$C704):INDIRECT(AU$1&amp;AU$3&amp;$C704))</f>
        <v>0</v>
      </c>
      <c r="AV704" s="893">
        <f t="shared" ca="1" si="1401"/>
        <v>0</v>
      </c>
      <c r="AW704" s="954">
        <f t="shared" ca="1" si="1402"/>
        <v>0</v>
      </c>
      <c r="AX704" s="108">
        <f ca="1">SUM(INDIRECT(AX$1&amp;AX$2&amp;$A704):INDIRECT(AX$1&amp;AX$3&amp;$A704))</f>
        <v>0</v>
      </c>
      <c r="AY704" s="893">
        <f t="shared" ca="1" si="1403"/>
        <v>0</v>
      </c>
      <c r="AZ704" s="954">
        <f t="shared" ca="1" si="1404"/>
        <v>0</v>
      </c>
      <c r="BB704" s="108">
        <f ca="1">SUM((INDIRECT(BB$2&amp;(ROW())):INDIRECT(BB$3&amp;(ROW()))))</f>
        <v>0</v>
      </c>
      <c r="BC704" s="108">
        <f ca="1">SUM(INDIRECT(BC$1&amp;BC$2&amp;$C704):INDIRECT(BC$1&amp;BC$3&amp;$C704))</f>
        <v>0</v>
      </c>
      <c r="BD704" s="893">
        <f t="shared" ca="1" si="1405"/>
        <v>0</v>
      </c>
      <c r="BE704" s="954">
        <f t="shared" ca="1" si="1406"/>
        <v>0</v>
      </c>
      <c r="BF704" s="108">
        <f ca="1">SUM(INDIRECT(BF$1&amp;BF$2&amp;$A704):INDIRECT(BF$1&amp;BF$3&amp;$A704))</f>
        <v>0</v>
      </c>
      <c r="BG704" s="893">
        <f t="shared" ca="1" si="1407"/>
        <v>0</v>
      </c>
      <c r="BH704" s="954">
        <f t="shared" ca="1" si="1408"/>
        <v>0</v>
      </c>
    </row>
    <row r="705" spans="1:60" s="75" customFormat="1" ht="14.5">
      <c r="A705" s="990">
        <f t="shared" si="1333"/>
        <v>640</v>
      </c>
      <c r="B705" s="990">
        <v>1</v>
      </c>
      <c r="C705" s="990">
        <f t="shared" si="1305"/>
        <v>702</v>
      </c>
      <c r="E705" s="1243">
        <v>1</v>
      </c>
      <c r="F705" s="10"/>
      <c r="G705" s="10"/>
      <c r="H705" s="24"/>
      <c r="I705" s="445"/>
      <c r="J705" s="446"/>
      <c r="K705" s="74"/>
      <c r="L705" s="74"/>
      <c r="N705" s="302"/>
      <c r="O705" s="302"/>
      <c r="P705" s="302" t="s">
        <v>393</v>
      </c>
      <c r="Q705" s="1845" t="str">
        <f>CHOOSE(2, "6722000003624", "S/GP (3) Gross Profit Direct NH &lt;Direct&gt; SDC (-) OFC")</f>
        <v>S/GP (3) Gross Profit Direct NH &lt;Direct&gt; SDC (-) OFC</v>
      </c>
      <c r="R705" s="2037">
        <v>0</v>
      </c>
      <c r="S705" s="2037">
        <v>0</v>
      </c>
      <c r="T705" s="2037">
        <v>0</v>
      </c>
      <c r="U705" s="2037">
        <v>0</v>
      </c>
      <c r="V705" s="2037">
        <v>0</v>
      </c>
      <c r="W705" s="2037">
        <v>0</v>
      </c>
      <c r="X705" s="2037">
        <v>0</v>
      </c>
      <c r="Y705" s="2037">
        <v>0</v>
      </c>
      <c r="Z705" s="2037">
        <v>0</v>
      </c>
      <c r="AA705" s="2037">
        <v>0</v>
      </c>
      <c r="AB705" s="2037">
        <v>0</v>
      </c>
      <c r="AC705" s="2037">
        <v>0</v>
      </c>
      <c r="AD705" s="1380">
        <f>SUM(R705,S705,T705)</f>
        <v>0</v>
      </c>
      <c r="AE705" s="107">
        <f t="shared" si="1425"/>
        <v>0</v>
      </c>
      <c r="AF705" s="107">
        <f t="shared" si="1426"/>
        <v>0</v>
      </c>
      <c r="AG705" s="107">
        <f t="shared" si="1427"/>
        <v>0</v>
      </c>
      <c r="AH705" s="107">
        <f t="shared" si="1414"/>
        <v>0</v>
      </c>
      <c r="AI705" s="107">
        <f t="shared" si="1415"/>
        <v>0</v>
      </c>
      <c r="AJ705" s="107">
        <f t="shared" si="1416"/>
        <v>0</v>
      </c>
      <c r="AL705" s="107">
        <f ca="1">SUM((INDIRECT(AL$2&amp;(ROW())):INDIRECT(AL$3&amp;(ROW()))))</f>
        <v>0</v>
      </c>
      <c r="AM705" s="107">
        <f ca="1">SUM(INDIRECT(AM$1&amp;AM$2&amp;$C705):INDIRECT(AM$1&amp;AM$3&amp;$C705))</f>
        <v>0</v>
      </c>
      <c r="AN705" s="898">
        <f t="shared" ca="1" si="1397"/>
        <v>0</v>
      </c>
      <c r="AO705" s="959">
        <f t="shared" ca="1" si="1398"/>
        <v>0</v>
      </c>
      <c r="AP705" s="107">
        <f ca="1">SUM(INDIRECT(AP$1&amp;AP$2&amp;$A705):INDIRECT(AP$1&amp;AP$3&amp;$A705))</f>
        <v>0</v>
      </c>
      <c r="AQ705" s="898">
        <f t="shared" ca="1" si="1399"/>
        <v>0</v>
      </c>
      <c r="AR705" s="959">
        <f t="shared" ca="1" si="1400"/>
        <v>0</v>
      </c>
      <c r="AT705" s="107">
        <f ca="1">SUM((INDIRECT(AT$2&amp;(ROW())):INDIRECT(AT$3&amp;(ROW()))))</f>
        <v>0</v>
      </c>
      <c r="AU705" s="107">
        <f ca="1">SUM(INDIRECT(AU$1&amp;AU$2&amp;$C705):INDIRECT(AU$1&amp;AU$3&amp;$C705))</f>
        <v>0</v>
      </c>
      <c r="AV705" s="898">
        <f t="shared" ca="1" si="1401"/>
        <v>0</v>
      </c>
      <c r="AW705" s="959">
        <f t="shared" ca="1" si="1402"/>
        <v>0</v>
      </c>
      <c r="AX705" s="107">
        <f ca="1">SUM(INDIRECT(AX$1&amp;AX$2&amp;$A705):INDIRECT(AX$1&amp;AX$3&amp;$A705))</f>
        <v>0</v>
      </c>
      <c r="AY705" s="898">
        <f t="shared" ca="1" si="1403"/>
        <v>0</v>
      </c>
      <c r="AZ705" s="959">
        <f t="shared" ca="1" si="1404"/>
        <v>0</v>
      </c>
      <c r="BB705" s="107">
        <f ca="1">SUM((INDIRECT(BB$2&amp;(ROW())):INDIRECT(BB$3&amp;(ROW()))))</f>
        <v>0</v>
      </c>
      <c r="BC705" s="107">
        <f ca="1">SUM(INDIRECT(BC$1&amp;BC$2&amp;$C705):INDIRECT(BC$1&amp;BC$3&amp;$C705))</f>
        <v>0</v>
      </c>
      <c r="BD705" s="898">
        <f t="shared" ca="1" si="1405"/>
        <v>0</v>
      </c>
      <c r="BE705" s="959">
        <f t="shared" ca="1" si="1406"/>
        <v>0</v>
      </c>
      <c r="BF705" s="107">
        <f ca="1">SUM(INDIRECT(BF$1&amp;BF$2&amp;$A705):INDIRECT(BF$1&amp;BF$3&amp;$A705))</f>
        <v>0</v>
      </c>
      <c r="BG705" s="898">
        <f t="shared" ca="1" si="1407"/>
        <v>0</v>
      </c>
      <c r="BH705" s="959">
        <f t="shared" ca="1" si="1408"/>
        <v>0</v>
      </c>
    </row>
    <row r="706" spans="1:60" s="75" customFormat="1" ht="14.5">
      <c r="A706" s="990">
        <f t="shared" si="1333"/>
        <v>641</v>
      </c>
      <c r="B706" s="990">
        <v>1</v>
      </c>
      <c r="C706" s="990">
        <f t="shared" ref="C706:C769" si="1428">ROW()-3</f>
        <v>703</v>
      </c>
      <c r="E706" s="1243">
        <v>1</v>
      </c>
      <c r="F706" s="10"/>
      <c r="G706" s="10"/>
      <c r="H706" s="24"/>
      <c r="I706" s="445"/>
      <c r="J706" s="446"/>
      <c r="K706" s="74"/>
      <c r="L706" s="74"/>
      <c r="N706" s="301" t="s">
        <v>538</v>
      </c>
      <c r="O706" s="301"/>
      <c r="P706" s="302"/>
      <c r="Q706" s="1845" t="str">
        <f>CHOOSE(2, "6722000003625", "S/GP (3) Gross Profit Direct NH &lt;Direct&gt; D &amp; A (-)")</f>
        <v>S/GP (3) Gross Profit Direct NH &lt;Direct&gt; D &amp; A (-)</v>
      </c>
      <c r="R706" s="2037">
        <v>0</v>
      </c>
      <c r="S706" s="2037">
        <v>0</v>
      </c>
      <c r="T706" s="2037">
        <v>0</v>
      </c>
      <c r="U706" s="2037">
        <v>0</v>
      </c>
      <c r="V706" s="2037">
        <v>0</v>
      </c>
      <c r="W706" s="2037">
        <v>0</v>
      </c>
      <c r="X706" s="2037">
        <v>0</v>
      </c>
      <c r="Y706" s="2037">
        <v>0</v>
      </c>
      <c r="Z706" s="2037">
        <v>0</v>
      </c>
      <c r="AA706" s="2037">
        <v>0</v>
      </c>
      <c r="AB706" s="2037">
        <v>0</v>
      </c>
      <c r="AC706" s="2037">
        <v>0</v>
      </c>
      <c r="AD706" s="1380">
        <f>SUM(R706,S706,T706)</f>
        <v>0</v>
      </c>
      <c r="AE706" s="107">
        <f t="shared" si="1425"/>
        <v>0</v>
      </c>
      <c r="AF706" s="107">
        <f t="shared" si="1426"/>
        <v>0</v>
      </c>
      <c r="AG706" s="107">
        <f t="shared" si="1427"/>
        <v>0</v>
      </c>
      <c r="AH706" s="107">
        <f>AD706+AE706</f>
        <v>0</v>
      </c>
      <c r="AI706" s="107">
        <f>AG706+AF706</f>
        <v>0</v>
      </c>
      <c r="AJ706" s="107">
        <f>AH706+AI706</f>
        <v>0</v>
      </c>
      <c r="AL706" s="107">
        <f ca="1">SUM((INDIRECT(AL$2&amp;(ROW())):INDIRECT(AL$3&amp;(ROW()))))</f>
        <v>0</v>
      </c>
      <c r="AM706" s="107">
        <f ca="1">SUM(INDIRECT(AM$1&amp;AM$2&amp;$C706):INDIRECT(AM$1&amp;AM$3&amp;$C706))</f>
        <v>0</v>
      </c>
      <c r="AN706" s="898">
        <f t="shared" ca="1" si="1397"/>
        <v>0</v>
      </c>
      <c r="AO706" s="959">
        <f t="shared" ca="1" si="1398"/>
        <v>0</v>
      </c>
      <c r="AP706" s="107">
        <f ca="1">SUM(INDIRECT(AP$1&amp;AP$2&amp;$A706):INDIRECT(AP$1&amp;AP$3&amp;$A706))</f>
        <v>0</v>
      </c>
      <c r="AQ706" s="898">
        <f t="shared" ca="1" si="1399"/>
        <v>0</v>
      </c>
      <c r="AR706" s="959">
        <f t="shared" ca="1" si="1400"/>
        <v>0</v>
      </c>
      <c r="AT706" s="107">
        <f ca="1">SUM((INDIRECT(AT$2&amp;(ROW())):INDIRECT(AT$3&amp;(ROW()))))</f>
        <v>0</v>
      </c>
      <c r="AU706" s="107">
        <f ca="1">SUM(INDIRECT(AU$1&amp;AU$2&amp;$C706):INDIRECT(AU$1&amp;AU$3&amp;$C706))</f>
        <v>0</v>
      </c>
      <c r="AV706" s="898">
        <f t="shared" ca="1" si="1401"/>
        <v>0</v>
      </c>
      <c r="AW706" s="959">
        <f t="shared" ca="1" si="1402"/>
        <v>0</v>
      </c>
      <c r="AX706" s="107">
        <f ca="1">SUM(INDIRECT(AX$1&amp;AX$2&amp;$A706):INDIRECT(AX$1&amp;AX$3&amp;$A706))</f>
        <v>0</v>
      </c>
      <c r="AY706" s="898">
        <f t="shared" ca="1" si="1403"/>
        <v>0</v>
      </c>
      <c r="AZ706" s="959">
        <f t="shared" ca="1" si="1404"/>
        <v>0</v>
      </c>
      <c r="BB706" s="107">
        <f ca="1">SUM((INDIRECT(BB$2&amp;(ROW())):INDIRECT(BB$3&amp;(ROW()))))</f>
        <v>0</v>
      </c>
      <c r="BC706" s="107">
        <f ca="1">SUM(INDIRECT(BC$1&amp;BC$2&amp;$C706):INDIRECT(BC$1&amp;BC$3&amp;$C706))</f>
        <v>0</v>
      </c>
      <c r="BD706" s="898">
        <f t="shared" ca="1" si="1405"/>
        <v>0</v>
      </c>
      <c r="BE706" s="959">
        <f t="shared" ca="1" si="1406"/>
        <v>0</v>
      </c>
      <c r="BF706" s="107">
        <f ca="1">SUM(INDIRECT(BF$1&amp;BF$2&amp;$A706):INDIRECT(BF$1&amp;BF$3&amp;$A706))</f>
        <v>0</v>
      </c>
      <c r="BG706" s="898">
        <f t="shared" ca="1" si="1407"/>
        <v>0</v>
      </c>
      <c r="BH706" s="959">
        <f t="shared" ca="1" si="1408"/>
        <v>0</v>
      </c>
    </row>
    <row r="707" spans="1:60" ht="14.5">
      <c r="A707" s="990">
        <f t="shared" si="1333"/>
        <v>642</v>
      </c>
      <c r="B707" s="990">
        <v>1</v>
      </c>
      <c r="C707" s="990">
        <f t="shared" si="1428"/>
        <v>704</v>
      </c>
      <c r="E707" s="1243">
        <v>1</v>
      </c>
      <c r="I707" s="445"/>
      <c r="J707" s="446"/>
      <c r="K707" s="73"/>
      <c r="L707" s="73"/>
      <c r="M707" s="276"/>
      <c r="N707" s="23" t="s">
        <v>205</v>
      </c>
      <c r="O707" s="23"/>
      <c r="P707" s="306"/>
      <c r="Q707" s="1845" t="str">
        <f>CHOOSE(2, "6722000003626", "S/GP (3) Gross Profit Direct NH Others")</f>
        <v>S/GP (3) Gross Profit Direct NH Others</v>
      </c>
      <c r="R707" s="2088">
        <v>0</v>
      </c>
      <c r="S707" s="2088">
        <v>0</v>
      </c>
      <c r="T707" s="2088">
        <v>0</v>
      </c>
      <c r="U707" s="2088">
        <v>0</v>
      </c>
      <c r="V707" s="2088">
        <v>0</v>
      </c>
      <c r="W707" s="2088">
        <v>0</v>
      </c>
      <c r="X707" s="2088">
        <v>0</v>
      </c>
      <c r="Y707" s="2088">
        <v>0</v>
      </c>
      <c r="Z707" s="2088">
        <v>0</v>
      </c>
      <c r="AA707" s="2088">
        <v>0</v>
      </c>
      <c r="AB707" s="2088">
        <v>0</v>
      </c>
      <c r="AC707" s="2088">
        <v>0</v>
      </c>
      <c r="AD707" s="1516">
        <f>SUM(R707,S707,T707)</f>
        <v>0</v>
      </c>
      <c r="AE707" s="20">
        <f t="shared" si="1425"/>
        <v>0</v>
      </c>
      <c r="AF707" s="20">
        <f t="shared" si="1426"/>
        <v>0</v>
      </c>
      <c r="AG707" s="20">
        <f t="shared" si="1427"/>
        <v>0</v>
      </c>
      <c r="AH707" s="20">
        <f t="shared" si="1414"/>
        <v>0</v>
      </c>
      <c r="AI707" s="20">
        <f t="shared" si="1415"/>
        <v>0</v>
      </c>
      <c r="AJ707" s="20">
        <f t="shared" si="1416"/>
        <v>0</v>
      </c>
      <c r="AL707" s="2058">
        <f ca="1">SUM((INDIRECT(AL$2&amp;(ROW())):INDIRECT(AL$3&amp;(ROW()))))</f>
        <v>0</v>
      </c>
      <c r="AM707" s="2058">
        <f ca="1">SUM(INDIRECT(AM$1&amp;AM$2&amp;$C707):INDIRECT(AM$1&amp;AM$3&amp;$C707))</f>
        <v>0</v>
      </c>
      <c r="AN707" s="2473">
        <f t="shared" ca="1" si="1397"/>
        <v>0</v>
      </c>
      <c r="AO707" s="2474">
        <f t="shared" ca="1" si="1398"/>
        <v>0</v>
      </c>
      <c r="AP707" s="2058">
        <f ca="1">SUM(INDIRECT(AP$1&amp;AP$2&amp;$A707):INDIRECT(AP$1&amp;AP$3&amp;$A707))</f>
        <v>0</v>
      </c>
      <c r="AQ707" s="2473">
        <f t="shared" ca="1" si="1399"/>
        <v>0</v>
      </c>
      <c r="AR707" s="2474">
        <f t="shared" ca="1" si="1400"/>
        <v>0</v>
      </c>
      <c r="AT707" s="2058">
        <f ca="1">SUM((INDIRECT(AT$2&amp;(ROW())):INDIRECT(AT$3&amp;(ROW()))))</f>
        <v>0</v>
      </c>
      <c r="AU707" s="2058">
        <f ca="1">SUM(INDIRECT(AU$1&amp;AU$2&amp;$C707):INDIRECT(AU$1&amp;AU$3&amp;$C707))</f>
        <v>0</v>
      </c>
      <c r="AV707" s="2473">
        <f t="shared" ca="1" si="1401"/>
        <v>0</v>
      </c>
      <c r="AW707" s="2474">
        <f t="shared" ca="1" si="1402"/>
        <v>0</v>
      </c>
      <c r="AX707" s="2058">
        <f ca="1">SUM(INDIRECT(AX$1&amp;AX$2&amp;$A707):INDIRECT(AX$1&amp;AX$3&amp;$A707))</f>
        <v>0</v>
      </c>
      <c r="AY707" s="2473">
        <f t="shared" ca="1" si="1403"/>
        <v>0</v>
      </c>
      <c r="AZ707" s="2474">
        <f t="shared" ca="1" si="1404"/>
        <v>0</v>
      </c>
      <c r="BB707" s="2058">
        <f ca="1">SUM((INDIRECT(BB$2&amp;(ROW())):INDIRECT(BB$3&amp;(ROW()))))</f>
        <v>0</v>
      </c>
      <c r="BC707" s="2058">
        <f ca="1">SUM(INDIRECT(BC$1&amp;BC$2&amp;$C707):INDIRECT(BC$1&amp;BC$3&amp;$C707))</f>
        <v>0</v>
      </c>
      <c r="BD707" s="2473">
        <f t="shared" ca="1" si="1405"/>
        <v>0</v>
      </c>
      <c r="BE707" s="2474">
        <f t="shared" ca="1" si="1406"/>
        <v>0</v>
      </c>
      <c r="BF707" s="2058">
        <f ca="1">SUM(INDIRECT(BF$1&amp;BF$2&amp;$A707):INDIRECT(BF$1&amp;BF$3&amp;$A707))</f>
        <v>0</v>
      </c>
      <c r="BG707" s="2473">
        <f t="shared" ca="1" si="1407"/>
        <v>0</v>
      </c>
      <c r="BH707" s="2474">
        <f t="shared" ca="1" si="1408"/>
        <v>0</v>
      </c>
    </row>
    <row r="708" spans="1:60" ht="14.5">
      <c r="A708" s="990">
        <f t="shared" si="1333"/>
        <v>643</v>
      </c>
      <c r="B708" s="990">
        <v>1</v>
      </c>
      <c r="C708" s="990">
        <f t="shared" si="1428"/>
        <v>705</v>
      </c>
      <c r="E708" s="1243">
        <v>1</v>
      </c>
      <c r="I708" s="445"/>
      <c r="J708" s="446"/>
      <c r="K708" s="69" t="s">
        <v>221</v>
      </c>
      <c r="L708" s="69"/>
      <c r="M708" s="392"/>
      <c r="N708" s="392"/>
      <c r="O708" s="392"/>
      <c r="P708" s="610"/>
      <c r="Q708" s="1867" t="str">
        <f>CHOOSE(2, "6722000003627", "S/GP (3) Gross Profit Indirect")</f>
        <v>S/GP (3) Gross Profit Indirect</v>
      </c>
      <c r="R708" s="2056">
        <f t="shared" ref="R708:AC708" si="1429">R709+R716</f>
        <v>0</v>
      </c>
      <c r="S708" s="2056">
        <f t="shared" si="1429"/>
        <v>0</v>
      </c>
      <c r="T708" s="2056">
        <f t="shared" si="1429"/>
        <v>0</v>
      </c>
      <c r="U708" s="2056">
        <f t="shared" si="1429"/>
        <v>0</v>
      </c>
      <c r="V708" s="2056">
        <f t="shared" si="1429"/>
        <v>0</v>
      </c>
      <c r="W708" s="2056">
        <f t="shared" si="1429"/>
        <v>0</v>
      </c>
      <c r="X708" s="2056">
        <f t="shared" si="1429"/>
        <v>0</v>
      </c>
      <c r="Y708" s="2056">
        <f t="shared" si="1429"/>
        <v>0</v>
      </c>
      <c r="Z708" s="2056">
        <f t="shared" si="1429"/>
        <v>0</v>
      </c>
      <c r="AA708" s="2056">
        <f t="shared" si="1429"/>
        <v>0</v>
      </c>
      <c r="AB708" s="2056">
        <f t="shared" si="1429"/>
        <v>0</v>
      </c>
      <c r="AC708" s="2056">
        <f t="shared" si="1429"/>
        <v>0</v>
      </c>
      <c r="AD708" s="611">
        <f t="shared" ref="AD708:AJ708" si="1430">AD709+AD716</f>
        <v>0</v>
      </c>
      <c r="AE708" s="393">
        <f t="shared" si="1430"/>
        <v>0</v>
      </c>
      <c r="AF708" s="393">
        <f t="shared" si="1430"/>
        <v>0</v>
      </c>
      <c r="AG708" s="393">
        <f t="shared" si="1430"/>
        <v>0</v>
      </c>
      <c r="AH708" s="393">
        <f t="shared" si="1430"/>
        <v>0</v>
      </c>
      <c r="AI708" s="393">
        <f t="shared" si="1430"/>
        <v>0</v>
      </c>
      <c r="AJ708" s="393">
        <f t="shared" si="1430"/>
        <v>0</v>
      </c>
      <c r="AL708" s="2056">
        <f ca="1">SUM((INDIRECT(AL$2&amp;(ROW())):INDIRECT(AL$3&amp;(ROW()))))</f>
        <v>0</v>
      </c>
      <c r="AM708" s="2056">
        <f ca="1">SUM(INDIRECT(AM$1&amp;AM$2&amp;$C708):INDIRECT(AM$1&amp;AM$3&amp;$C708))</f>
        <v>0</v>
      </c>
      <c r="AN708" s="2540">
        <f t="shared" ca="1" si="1397"/>
        <v>0</v>
      </c>
      <c r="AO708" s="2541">
        <f t="shared" ca="1" si="1398"/>
        <v>0</v>
      </c>
      <c r="AP708" s="2056">
        <f ca="1">SUM(INDIRECT(AP$1&amp;AP$2&amp;$A708):INDIRECT(AP$1&amp;AP$3&amp;$A708))</f>
        <v>0</v>
      </c>
      <c r="AQ708" s="2540">
        <f t="shared" ca="1" si="1399"/>
        <v>0</v>
      </c>
      <c r="AR708" s="2541">
        <f t="shared" ca="1" si="1400"/>
        <v>0</v>
      </c>
      <c r="AT708" s="2056">
        <f ca="1">SUM((INDIRECT(AT$2&amp;(ROW())):INDIRECT(AT$3&amp;(ROW()))))</f>
        <v>0</v>
      </c>
      <c r="AU708" s="2056">
        <f ca="1">SUM(INDIRECT(AU$1&amp;AU$2&amp;$C708):INDIRECT(AU$1&amp;AU$3&amp;$C708))</f>
        <v>0</v>
      </c>
      <c r="AV708" s="2540">
        <f t="shared" ca="1" si="1401"/>
        <v>0</v>
      </c>
      <c r="AW708" s="2541">
        <f t="shared" ca="1" si="1402"/>
        <v>0</v>
      </c>
      <c r="AX708" s="2056">
        <f ca="1">SUM(INDIRECT(AX$1&amp;AX$2&amp;$A708):INDIRECT(AX$1&amp;AX$3&amp;$A708))</f>
        <v>0</v>
      </c>
      <c r="AY708" s="2540">
        <f t="shared" ca="1" si="1403"/>
        <v>0</v>
      </c>
      <c r="AZ708" s="2541">
        <f t="shared" ca="1" si="1404"/>
        <v>0</v>
      </c>
      <c r="BB708" s="2056">
        <f ca="1">SUM((INDIRECT(BB$2&amp;(ROW())):INDIRECT(BB$3&amp;(ROW()))))</f>
        <v>0</v>
      </c>
      <c r="BC708" s="2056">
        <f ca="1">SUM(INDIRECT(BC$1&amp;BC$2&amp;$C708):INDIRECT(BC$1&amp;BC$3&amp;$C708))</f>
        <v>0</v>
      </c>
      <c r="BD708" s="2540">
        <f t="shared" ca="1" si="1405"/>
        <v>0</v>
      </c>
      <c r="BE708" s="2541">
        <f t="shared" ca="1" si="1406"/>
        <v>0</v>
      </c>
      <c r="BF708" s="2056">
        <f ca="1">SUM(INDIRECT(BF$1&amp;BF$2&amp;$A708):INDIRECT(BF$1&amp;BF$3&amp;$A708))</f>
        <v>0</v>
      </c>
      <c r="BG708" s="2540">
        <f t="shared" ca="1" si="1407"/>
        <v>0</v>
      </c>
      <c r="BH708" s="2541">
        <f t="shared" ca="1" si="1408"/>
        <v>0</v>
      </c>
    </row>
    <row r="709" spans="1:60" ht="14.5">
      <c r="A709" s="990">
        <f t="shared" si="1333"/>
        <v>644</v>
      </c>
      <c r="B709" s="990">
        <v>1</v>
      </c>
      <c r="C709" s="990">
        <f t="shared" si="1428"/>
        <v>706</v>
      </c>
      <c r="E709" s="1243">
        <v>1</v>
      </c>
      <c r="I709" s="445"/>
      <c r="J709" s="446"/>
      <c r="K709" s="74"/>
      <c r="L709" s="74"/>
      <c r="M709" s="75" t="s">
        <v>304</v>
      </c>
      <c r="N709" s="391"/>
      <c r="O709" s="391"/>
      <c r="P709" s="391"/>
      <c r="Q709" s="1843" t="str">
        <f>CHOOSE(2, "6722000003628", "S/GP (3) Gross Profit Indirect HW &amp; Solution")</f>
        <v>S/GP (3) Gross Profit Indirect HW &amp; Solution</v>
      </c>
      <c r="R709" s="365">
        <f t="shared" ref="R709:AC709" si="1431">SUM(R710:R715)</f>
        <v>0</v>
      </c>
      <c r="S709" s="365">
        <f t="shared" si="1431"/>
        <v>0</v>
      </c>
      <c r="T709" s="365">
        <f t="shared" si="1431"/>
        <v>0</v>
      </c>
      <c r="U709" s="365">
        <f t="shared" si="1431"/>
        <v>0</v>
      </c>
      <c r="V709" s="365">
        <f t="shared" si="1431"/>
        <v>0</v>
      </c>
      <c r="W709" s="365">
        <f t="shared" si="1431"/>
        <v>0</v>
      </c>
      <c r="X709" s="365">
        <f t="shared" si="1431"/>
        <v>0</v>
      </c>
      <c r="Y709" s="365">
        <f t="shared" si="1431"/>
        <v>0</v>
      </c>
      <c r="Z709" s="365">
        <f t="shared" si="1431"/>
        <v>0</v>
      </c>
      <c r="AA709" s="365">
        <f t="shared" si="1431"/>
        <v>0</v>
      </c>
      <c r="AB709" s="365">
        <f t="shared" si="1431"/>
        <v>0</v>
      </c>
      <c r="AC709" s="365">
        <f t="shared" si="1431"/>
        <v>0</v>
      </c>
      <c r="AD709" s="408">
        <f t="shared" ref="AD709:AJ709" si="1432">SUM(AD710:AD715)</f>
        <v>0</v>
      </c>
      <c r="AE709" s="365">
        <f t="shared" si="1432"/>
        <v>0</v>
      </c>
      <c r="AF709" s="365">
        <f t="shared" si="1432"/>
        <v>0</v>
      </c>
      <c r="AG709" s="365">
        <f t="shared" si="1432"/>
        <v>0</v>
      </c>
      <c r="AH709" s="365">
        <f t="shared" si="1432"/>
        <v>0</v>
      </c>
      <c r="AI709" s="365">
        <f t="shared" si="1432"/>
        <v>0</v>
      </c>
      <c r="AJ709" s="365">
        <f t="shared" si="1432"/>
        <v>0</v>
      </c>
      <c r="AL709" s="365">
        <f ca="1">SUM((INDIRECT(AL$2&amp;(ROW())):INDIRECT(AL$3&amp;(ROW()))))</f>
        <v>0</v>
      </c>
      <c r="AM709" s="365">
        <f ca="1">SUM(INDIRECT(AM$1&amp;AM$2&amp;$C709):INDIRECT(AM$1&amp;AM$3&amp;$C709))</f>
        <v>0</v>
      </c>
      <c r="AN709" s="891">
        <f t="shared" ca="1" si="1397"/>
        <v>0</v>
      </c>
      <c r="AO709" s="952">
        <f t="shared" ca="1" si="1398"/>
        <v>0</v>
      </c>
      <c r="AP709" s="365">
        <f ca="1">SUM(INDIRECT(AP$1&amp;AP$2&amp;$A709):INDIRECT(AP$1&amp;AP$3&amp;$A709))</f>
        <v>0</v>
      </c>
      <c r="AQ709" s="891">
        <f t="shared" ca="1" si="1399"/>
        <v>0</v>
      </c>
      <c r="AR709" s="952">
        <f t="shared" ca="1" si="1400"/>
        <v>0</v>
      </c>
      <c r="AT709" s="365">
        <f ca="1">SUM((INDIRECT(AT$2&amp;(ROW())):INDIRECT(AT$3&amp;(ROW()))))</f>
        <v>0</v>
      </c>
      <c r="AU709" s="365">
        <f ca="1">SUM(INDIRECT(AU$1&amp;AU$2&amp;$C709):INDIRECT(AU$1&amp;AU$3&amp;$C709))</f>
        <v>0</v>
      </c>
      <c r="AV709" s="891">
        <f t="shared" ca="1" si="1401"/>
        <v>0</v>
      </c>
      <c r="AW709" s="952">
        <f t="shared" ca="1" si="1402"/>
        <v>0</v>
      </c>
      <c r="AX709" s="365">
        <f ca="1">SUM(INDIRECT(AX$1&amp;AX$2&amp;$A709):INDIRECT(AX$1&amp;AX$3&amp;$A709))</f>
        <v>0</v>
      </c>
      <c r="AY709" s="891">
        <f t="shared" ca="1" si="1403"/>
        <v>0</v>
      </c>
      <c r="AZ709" s="952">
        <f t="shared" ca="1" si="1404"/>
        <v>0</v>
      </c>
      <c r="BB709" s="365">
        <f ca="1">SUM((INDIRECT(BB$2&amp;(ROW())):INDIRECT(BB$3&amp;(ROW()))))</f>
        <v>0</v>
      </c>
      <c r="BC709" s="365">
        <f ca="1">SUM(INDIRECT(BC$1&amp;BC$2&amp;$C709):INDIRECT(BC$1&amp;BC$3&amp;$C709))</f>
        <v>0</v>
      </c>
      <c r="BD709" s="891">
        <f t="shared" ca="1" si="1405"/>
        <v>0</v>
      </c>
      <c r="BE709" s="952">
        <f t="shared" ca="1" si="1406"/>
        <v>0</v>
      </c>
      <c r="BF709" s="365">
        <f ca="1">SUM(INDIRECT(BF$1&amp;BF$2&amp;$A709):INDIRECT(BF$1&amp;BF$3&amp;$A709))</f>
        <v>0</v>
      </c>
      <c r="BG709" s="891">
        <f t="shared" ca="1" si="1407"/>
        <v>0</v>
      </c>
      <c r="BH709" s="952">
        <f t="shared" ca="1" si="1408"/>
        <v>0</v>
      </c>
    </row>
    <row r="710" spans="1:60" ht="14.5">
      <c r="A710" s="990">
        <f t="shared" si="1333"/>
        <v>645</v>
      </c>
      <c r="B710" s="990">
        <v>1</v>
      </c>
      <c r="C710" s="990">
        <f t="shared" si="1428"/>
        <v>707</v>
      </c>
      <c r="E710" s="1243">
        <v>1</v>
      </c>
      <c r="I710" s="445"/>
      <c r="J710" s="446"/>
      <c r="K710" s="74"/>
      <c r="L710" s="74"/>
      <c r="M710" s="75"/>
      <c r="N710" s="1246" t="s">
        <v>1164</v>
      </c>
      <c r="O710" s="377"/>
      <c r="P710" s="377"/>
      <c r="Q710" s="1845" t="str">
        <f>CHOOSE(2, "6722000003629", "S/GP (3) Gross Profit Indirect HW &amp; Solution KM-1/KM-1e")</f>
        <v>S/GP (3) Gross Profit Indirect HW &amp; Solution KM-1/KM-1e</v>
      </c>
      <c r="R710" s="2042">
        <v>0</v>
      </c>
      <c r="S710" s="2042">
        <v>0</v>
      </c>
      <c r="T710" s="2042">
        <v>0</v>
      </c>
      <c r="U710" s="2042">
        <v>0</v>
      </c>
      <c r="V710" s="2042">
        <v>0</v>
      </c>
      <c r="W710" s="2042">
        <v>0</v>
      </c>
      <c r="X710" s="2042">
        <v>0</v>
      </c>
      <c r="Y710" s="2042">
        <v>0</v>
      </c>
      <c r="Z710" s="2042">
        <v>0</v>
      </c>
      <c r="AA710" s="2042">
        <v>0</v>
      </c>
      <c r="AB710" s="2042">
        <v>0</v>
      </c>
      <c r="AC710" s="2042">
        <v>0</v>
      </c>
      <c r="AD710" s="376">
        <f t="shared" ref="AD710:AD715" si="1433">SUM(R710,S710,T710)</f>
        <v>0</v>
      </c>
      <c r="AE710" s="109">
        <f t="shared" ref="AE710:AE715" si="1434">SUM(U710,V710,W710)</f>
        <v>0</v>
      </c>
      <c r="AF710" s="109">
        <f t="shared" ref="AF710:AF715" si="1435">SUM(X710,Y710,Z710)</f>
        <v>0</v>
      </c>
      <c r="AG710" s="109">
        <f t="shared" ref="AG710:AG715" si="1436">SUM(AA710,AB710,AC710)</f>
        <v>0</v>
      </c>
      <c r="AH710" s="109">
        <f t="shared" ref="AH710:AH715" si="1437">AD710+AE710</f>
        <v>0</v>
      </c>
      <c r="AI710" s="109">
        <f t="shared" ref="AI710:AI715" si="1438">AG710+AF710</f>
        <v>0</v>
      </c>
      <c r="AJ710" s="109">
        <f t="shared" ref="AJ710:AJ715" si="1439">AH710+AI710</f>
        <v>0</v>
      </c>
      <c r="AL710" s="109">
        <f ca="1">SUM((INDIRECT(AL$2&amp;(ROW())):INDIRECT(AL$3&amp;(ROW()))))</f>
        <v>0</v>
      </c>
      <c r="AM710" s="109">
        <f ca="1">SUM(INDIRECT(AM$1&amp;AM$2&amp;$C710):INDIRECT(AM$1&amp;AM$3&amp;$C710))</f>
        <v>0</v>
      </c>
      <c r="AN710" s="892">
        <f t="shared" ca="1" si="1397"/>
        <v>0</v>
      </c>
      <c r="AO710" s="953">
        <f t="shared" ca="1" si="1398"/>
        <v>0</v>
      </c>
      <c r="AP710" s="109">
        <f ca="1">SUM(INDIRECT(AP$1&amp;AP$2&amp;$A710):INDIRECT(AP$1&amp;AP$3&amp;$A710))</f>
        <v>0</v>
      </c>
      <c r="AQ710" s="892">
        <f t="shared" ca="1" si="1399"/>
        <v>0</v>
      </c>
      <c r="AR710" s="953">
        <f t="shared" ca="1" si="1400"/>
        <v>0</v>
      </c>
      <c r="AT710" s="109">
        <f ca="1">SUM((INDIRECT(AT$2&amp;(ROW())):INDIRECT(AT$3&amp;(ROW()))))</f>
        <v>0</v>
      </c>
      <c r="AU710" s="109">
        <f ca="1">SUM(INDIRECT(AU$1&amp;AU$2&amp;$C710):INDIRECT(AU$1&amp;AU$3&amp;$C710))</f>
        <v>0</v>
      </c>
      <c r="AV710" s="892">
        <f t="shared" ca="1" si="1401"/>
        <v>0</v>
      </c>
      <c r="AW710" s="953">
        <f t="shared" ca="1" si="1402"/>
        <v>0</v>
      </c>
      <c r="AX710" s="109">
        <f ca="1">SUM(INDIRECT(AX$1&amp;AX$2&amp;$A710):INDIRECT(AX$1&amp;AX$3&amp;$A710))</f>
        <v>0</v>
      </c>
      <c r="AY710" s="892">
        <f t="shared" ca="1" si="1403"/>
        <v>0</v>
      </c>
      <c r="AZ710" s="953">
        <f t="shared" ca="1" si="1404"/>
        <v>0</v>
      </c>
      <c r="BB710" s="109">
        <f ca="1">SUM((INDIRECT(BB$2&amp;(ROW())):INDIRECT(BB$3&amp;(ROW()))))</f>
        <v>0</v>
      </c>
      <c r="BC710" s="109">
        <f ca="1">SUM(INDIRECT(BC$1&amp;BC$2&amp;$C710):INDIRECT(BC$1&amp;BC$3&amp;$C710))</f>
        <v>0</v>
      </c>
      <c r="BD710" s="892">
        <f t="shared" ca="1" si="1405"/>
        <v>0</v>
      </c>
      <c r="BE710" s="953">
        <f t="shared" ca="1" si="1406"/>
        <v>0</v>
      </c>
      <c r="BF710" s="109">
        <f ca="1">SUM(INDIRECT(BF$1&amp;BF$2&amp;$A710):INDIRECT(BF$1&amp;BF$3&amp;$A710))</f>
        <v>0</v>
      </c>
      <c r="BG710" s="892">
        <f t="shared" ca="1" si="1407"/>
        <v>0</v>
      </c>
      <c r="BH710" s="953">
        <f t="shared" ca="1" si="1408"/>
        <v>0</v>
      </c>
    </row>
    <row r="711" spans="1:60" ht="14.5">
      <c r="A711" s="990">
        <f t="shared" si="1333"/>
        <v>646</v>
      </c>
      <c r="B711" s="990">
        <v>1</v>
      </c>
      <c r="C711" s="990">
        <f t="shared" si="1428"/>
        <v>708</v>
      </c>
      <c r="E711" s="1243">
        <v>1</v>
      </c>
      <c r="I711" s="445"/>
      <c r="J711" s="446"/>
      <c r="K711" s="74"/>
      <c r="L711" s="74"/>
      <c r="M711" s="75"/>
      <c r="N711" s="75" t="s">
        <v>209</v>
      </c>
      <c r="O711" s="75"/>
      <c r="P711" s="75"/>
      <c r="Q711" s="1845" t="str">
        <f>CHOOSE(2, "6722000003630", "S/GP (3) Gross Profit Indirect HW &amp; Solution Label Printer")</f>
        <v>S/GP (3) Gross Profit Indirect HW &amp; Solution Label Printer</v>
      </c>
      <c r="R711" s="2036">
        <v>0</v>
      </c>
      <c r="S711" s="2036">
        <v>0</v>
      </c>
      <c r="T711" s="2036">
        <v>0</v>
      </c>
      <c r="U711" s="2036">
        <v>0</v>
      </c>
      <c r="V711" s="2036">
        <v>0</v>
      </c>
      <c r="W711" s="2036">
        <v>0</v>
      </c>
      <c r="X711" s="2036">
        <v>0</v>
      </c>
      <c r="Y711" s="2036">
        <v>0</v>
      </c>
      <c r="Z711" s="2036">
        <v>0</v>
      </c>
      <c r="AA711" s="2036">
        <v>0</v>
      </c>
      <c r="AB711" s="2036">
        <v>0</v>
      </c>
      <c r="AC711" s="2036">
        <v>0</v>
      </c>
      <c r="AD711" s="100">
        <f t="shared" si="1433"/>
        <v>0</v>
      </c>
      <c r="AE711" s="19">
        <f t="shared" si="1434"/>
        <v>0</v>
      </c>
      <c r="AF711" s="19">
        <f t="shared" si="1435"/>
        <v>0</v>
      </c>
      <c r="AG711" s="19">
        <f t="shared" si="1436"/>
        <v>0</v>
      </c>
      <c r="AH711" s="19">
        <f t="shared" si="1437"/>
        <v>0</v>
      </c>
      <c r="AI711" s="19">
        <f t="shared" si="1438"/>
        <v>0</v>
      </c>
      <c r="AJ711" s="19">
        <f t="shared" si="1439"/>
        <v>0</v>
      </c>
      <c r="AL711" s="19">
        <f ca="1">SUM((INDIRECT(AL$2&amp;(ROW())):INDIRECT(AL$3&amp;(ROW()))))</f>
        <v>0</v>
      </c>
      <c r="AM711" s="19">
        <f ca="1">SUM(INDIRECT(AM$1&amp;AM$2&amp;$C711):INDIRECT(AM$1&amp;AM$3&amp;$C711))</f>
        <v>0</v>
      </c>
      <c r="AN711" s="875">
        <f t="shared" ca="1" si="1397"/>
        <v>0</v>
      </c>
      <c r="AO711" s="926">
        <f t="shared" ca="1" si="1398"/>
        <v>0</v>
      </c>
      <c r="AP711" s="19">
        <f ca="1">SUM(INDIRECT(AP$1&amp;AP$2&amp;$A711):INDIRECT(AP$1&amp;AP$3&amp;$A711))</f>
        <v>0</v>
      </c>
      <c r="AQ711" s="875">
        <f t="shared" ca="1" si="1399"/>
        <v>0</v>
      </c>
      <c r="AR711" s="926">
        <f t="shared" ca="1" si="1400"/>
        <v>0</v>
      </c>
      <c r="AT711" s="19">
        <f ca="1">SUM((INDIRECT(AT$2&amp;(ROW())):INDIRECT(AT$3&amp;(ROW()))))</f>
        <v>0</v>
      </c>
      <c r="AU711" s="19">
        <f ca="1">SUM(INDIRECT(AU$1&amp;AU$2&amp;$C711):INDIRECT(AU$1&amp;AU$3&amp;$C711))</f>
        <v>0</v>
      </c>
      <c r="AV711" s="875">
        <f t="shared" ca="1" si="1401"/>
        <v>0</v>
      </c>
      <c r="AW711" s="926">
        <f t="shared" ca="1" si="1402"/>
        <v>0</v>
      </c>
      <c r="AX711" s="19">
        <f ca="1">SUM(INDIRECT(AX$1&amp;AX$2&amp;$A711):INDIRECT(AX$1&amp;AX$3&amp;$A711))</f>
        <v>0</v>
      </c>
      <c r="AY711" s="875">
        <f t="shared" ca="1" si="1403"/>
        <v>0</v>
      </c>
      <c r="AZ711" s="926">
        <f t="shared" ca="1" si="1404"/>
        <v>0</v>
      </c>
      <c r="BB711" s="19">
        <f ca="1">SUM((INDIRECT(BB$2&amp;(ROW())):INDIRECT(BB$3&amp;(ROW()))))</f>
        <v>0</v>
      </c>
      <c r="BC711" s="19">
        <f ca="1">SUM(INDIRECT(BC$1&amp;BC$2&amp;$C711):INDIRECT(BC$1&amp;BC$3&amp;$C711))</f>
        <v>0</v>
      </c>
      <c r="BD711" s="875">
        <f t="shared" ca="1" si="1405"/>
        <v>0</v>
      </c>
      <c r="BE711" s="926">
        <f t="shared" ca="1" si="1406"/>
        <v>0</v>
      </c>
      <c r="BF711" s="19">
        <f ca="1">SUM(INDIRECT(BF$1&amp;BF$2&amp;$A711):INDIRECT(BF$1&amp;BF$3&amp;$A711))</f>
        <v>0</v>
      </c>
      <c r="BG711" s="875">
        <f t="shared" ca="1" si="1407"/>
        <v>0</v>
      </c>
      <c r="BH711" s="926">
        <f t="shared" ca="1" si="1408"/>
        <v>0</v>
      </c>
    </row>
    <row r="712" spans="1:60" ht="14.5">
      <c r="A712" s="990">
        <f t="shared" si="1333"/>
        <v>647</v>
      </c>
      <c r="B712" s="990">
        <v>1</v>
      </c>
      <c r="C712" s="990">
        <f t="shared" si="1428"/>
        <v>709</v>
      </c>
      <c r="E712" s="1243">
        <v>1</v>
      </c>
      <c r="I712" s="445"/>
      <c r="J712" s="446"/>
      <c r="K712" s="74"/>
      <c r="L712" s="74"/>
      <c r="M712" s="75"/>
      <c r="N712" s="75" t="s">
        <v>300</v>
      </c>
      <c r="O712" s="75"/>
      <c r="P712" s="75"/>
      <c r="Q712" s="1845" t="str">
        <f>CHOOSE(2, "6722000003631", "S/GP (3) Gross Profit Indirect HW &amp; Solution MGI")</f>
        <v>S/GP (3) Gross Profit Indirect HW &amp; Solution MGI</v>
      </c>
      <c r="R712" s="2036">
        <v>0</v>
      </c>
      <c r="S712" s="2036">
        <v>0</v>
      </c>
      <c r="T712" s="2036">
        <v>0</v>
      </c>
      <c r="U712" s="2036">
        <v>0</v>
      </c>
      <c r="V712" s="2036">
        <v>0</v>
      </c>
      <c r="W712" s="2036">
        <v>0</v>
      </c>
      <c r="X712" s="2036">
        <v>0</v>
      </c>
      <c r="Y712" s="2036">
        <v>0</v>
      </c>
      <c r="Z712" s="2036">
        <v>0</v>
      </c>
      <c r="AA712" s="2036">
        <v>0</v>
      </c>
      <c r="AB712" s="2036">
        <v>0</v>
      </c>
      <c r="AC712" s="2036">
        <v>0</v>
      </c>
      <c r="AD712" s="100">
        <f t="shared" si="1433"/>
        <v>0</v>
      </c>
      <c r="AE712" s="19">
        <f t="shared" si="1434"/>
        <v>0</v>
      </c>
      <c r="AF712" s="19">
        <f t="shared" si="1435"/>
        <v>0</v>
      </c>
      <c r="AG712" s="19">
        <f t="shared" si="1436"/>
        <v>0</v>
      </c>
      <c r="AH712" s="19">
        <f t="shared" si="1437"/>
        <v>0</v>
      </c>
      <c r="AI712" s="19">
        <f t="shared" si="1438"/>
        <v>0</v>
      </c>
      <c r="AJ712" s="19">
        <f t="shared" si="1439"/>
        <v>0</v>
      </c>
      <c r="AL712" s="19">
        <f ca="1">SUM((INDIRECT(AL$2&amp;(ROW())):INDIRECT(AL$3&amp;(ROW()))))</f>
        <v>0</v>
      </c>
      <c r="AM712" s="19">
        <f ca="1">SUM(INDIRECT(AM$1&amp;AM$2&amp;$C712):INDIRECT(AM$1&amp;AM$3&amp;$C712))</f>
        <v>0</v>
      </c>
      <c r="AN712" s="875">
        <f t="shared" ca="1" si="1397"/>
        <v>0</v>
      </c>
      <c r="AO712" s="926">
        <f t="shared" ca="1" si="1398"/>
        <v>0</v>
      </c>
      <c r="AP712" s="19">
        <f ca="1">SUM(INDIRECT(AP$1&amp;AP$2&amp;$A712):INDIRECT(AP$1&amp;AP$3&amp;$A712))</f>
        <v>0</v>
      </c>
      <c r="AQ712" s="875">
        <f t="shared" ca="1" si="1399"/>
        <v>0</v>
      </c>
      <c r="AR712" s="926">
        <f t="shared" ca="1" si="1400"/>
        <v>0</v>
      </c>
      <c r="AT712" s="19">
        <f ca="1">SUM((INDIRECT(AT$2&amp;(ROW())):INDIRECT(AT$3&amp;(ROW()))))</f>
        <v>0</v>
      </c>
      <c r="AU712" s="19">
        <f ca="1">SUM(INDIRECT(AU$1&amp;AU$2&amp;$C712):INDIRECT(AU$1&amp;AU$3&amp;$C712))</f>
        <v>0</v>
      </c>
      <c r="AV712" s="875">
        <f t="shared" ca="1" si="1401"/>
        <v>0</v>
      </c>
      <c r="AW712" s="926">
        <f t="shared" ca="1" si="1402"/>
        <v>0</v>
      </c>
      <c r="AX712" s="19">
        <f ca="1">SUM(INDIRECT(AX$1&amp;AX$2&amp;$A712):INDIRECT(AX$1&amp;AX$3&amp;$A712))</f>
        <v>0</v>
      </c>
      <c r="AY712" s="875">
        <f t="shared" ca="1" si="1403"/>
        <v>0</v>
      </c>
      <c r="AZ712" s="926">
        <f t="shared" ca="1" si="1404"/>
        <v>0</v>
      </c>
      <c r="BB712" s="19">
        <f ca="1">SUM((INDIRECT(BB$2&amp;(ROW())):INDIRECT(BB$3&amp;(ROW()))))</f>
        <v>0</v>
      </c>
      <c r="BC712" s="19">
        <f ca="1">SUM(INDIRECT(BC$1&amp;BC$2&amp;$C712):INDIRECT(BC$1&amp;BC$3&amp;$C712))</f>
        <v>0</v>
      </c>
      <c r="BD712" s="875">
        <f t="shared" ca="1" si="1405"/>
        <v>0</v>
      </c>
      <c r="BE712" s="926">
        <f t="shared" ca="1" si="1406"/>
        <v>0</v>
      </c>
      <c r="BF712" s="19">
        <f ca="1">SUM(INDIRECT(BF$1&amp;BF$2&amp;$A712):INDIRECT(BF$1&amp;BF$3&amp;$A712))</f>
        <v>0</v>
      </c>
      <c r="BG712" s="875">
        <f t="shared" ca="1" si="1407"/>
        <v>0</v>
      </c>
      <c r="BH712" s="926">
        <f t="shared" ca="1" si="1408"/>
        <v>0</v>
      </c>
    </row>
    <row r="713" spans="1:60" ht="14.5">
      <c r="A713" s="990">
        <f t="shared" si="1333"/>
        <v>648</v>
      </c>
      <c r="B713" s="990">
        <v>1</v>
      </c>
      <c r="C713" s="990">
        <f t="shared" si="1428"/>
        <v>710</v>
      </c>
      <c r="E713" s="1243">
        <v>1</v>
      </c>
      <c r="I713" s="445"/>
      <c r="J713" s="446"/>
      <c r="K713" s="74"/>
      <c r="L713" s="74"/>
      <c r="M713" s="75"/>
      <c r="N713" s="75" t="s">
        <v>301</v>
      </c>
      <c r="O713" s="75"/>
      <c r="P713" s="75"/>
      <c r="Q713" s="1845" t="str">
        <f>CHOOSE(2, "6722000003632", "S/GP (3) Gross Profit Indirect HW &amp; Solution EFI/LF")</f>
        <v>S/GP (3) Gross Profit Indirect HW &amp; Solution EFI/LF</v>
      </c>
      <c r="R713" s="2036">
        <v>0</v>
      </c>
      <c r="S713" s="2036">
        <v>0</v>
      </c>
      <c r="T713" s="2036">
        <v>0</v>
      </c>
      <c r="U713" s="2036">
        <v>0</v>
      </c>
      <c r="V713" s="2036">
        <v>0</v>
      </c>
      <c r="W713" s="2036">
        <v>0</v>
      </c>
      <c r="X713" s="2036">
        <v>0</v>
      </c>
      <c r="Y713" s="2036">
        <v>0</v>
      </c>
      <c r="Z713" s="2036">
        <v>0</v>
      </c>
      <c r="AA713" s="2036">
        <v>0</v>
      </c>
      <c r="AB713" s="2036">
        <v>0</v>
      </c>
      <c r="AC713" s="2036">
        <v>0</v>
      </c>
      <c r="AD713" s="100">
        <f t="shared" si="1433"/>
        <v>0</v>
      </c>
      <c r="AE713" s="19">
        <f t="shared" si="1434"/>
        <v>0</v>
      </c>
      <c r="AF713" s="19">
        <f t="shared" si="1435"/>
        <v>0</v>
      </c>
      <c r="AG713" s="19">
        <f t="shared" si="1436"/>
        <v>0</v>
      </c>
      <c r="AH713" s="19">
        <f t="shared" si="1437"/>
        <v>0</v>
      </c>
      <c r="AI713" s="19">
        <f t="shared" si="1438"/>
        <v>0</v>
      </c>
      <c r="AJ713" s="19">
        <f t="shared" si="1439"/>
        <v>0</v>
      </c>
      <c r="AL713" s="19">
        <f ca="1">SUM((INDIRECT(AL$2&amp;(ROW())):INDIRECT(AL$3&amp;(ROW()))))</f>
        <v>0</v>
      </c>
      <c r="AM713" s="19">
        <f ca="1">SUM(INDIRECT(AM$1&amp;AM$2&amp;$C713):INDIRECT(AM$1&amp;AM$3&amp;$C713))</f>
        <v>0</v>
      </c>
      <c r="AN713" s="875">
        <f t="shared" ca="1" si="1397"/>
        <v>0</v>
      </c>
      <c r="AO713" s="926">
        <f t="shared" ca="1" si="1398"/>
        <v>0</v>
      </c>
      <c r="AP713" s="19">
        <f ca="1">SUM(INDIRECT(AP$1&amp;AP$2&amp;$A713):INDIRECT(AP$1&amp;AP$3&amp;$A713))</f>
        <v>0</v>
      </c>
      <c r="AQ713" s="875">
        <f t="shared" ca="1" si="1399"/>
        <v>0</v>
      </c>
      <c r="AR713" s="926">
        <f t="shared" ca="1" si="1400"/>
        <v>0</v>
      </c>
      <c r="AT713" s="19">
        <f ca="1">SUM((INDIRECT(AT$2&amp;(ROW())):INDIRECT(AT$3&amp;(ROW()))))</f>
        <v>0</v>
      </c>
      <c r="AU713" s="19">
        <f ca="1">SUM(INDIRECT(AU$1&amp;AU$2&amp;$C713):INDIRECT(AU$1&amp;AU$3&amp;$C713))</f>
        <v>0</v>
      </c>
      <c r="AV713" s="875">
        <f t="shared" ca="1" si="1401"/>
        <v>0</v>
      </c>
      <c r="AW713" s="926">
        <f t="shared" ca="1" si="1402"/>
        <v>0</v>
      </c>
      <c r="AX713" s="19">
        <f ca="1">SUM(INDIRECT(AX$1&amp;AX$2&amp;$A713):INDIRECT(AX$1&amp;AX$3&amp;$A713))</f>
        <v>0</v>
      </c>
      <c r="AY713" s="875">
        <f t="shared" ca="1" si="1403"/>
        <v>0</v>
      </c>
      <c r="AZ713" s="926">
        <f t="shared" ca="1" si="1404"/>
        <v>0</v>
      </c>
      <c r="BB713" s="19">
        <f ca="1">SUM((INDIRECT(BB$2&amp;(ROW())):INDIRECT(BB$3&amp;(ROW()))))</f>
        <v>0</v>
      </c>
      <c r="BC713" s="19">
        <f ca="1">SUM(INDIRECT(BC$1&amp;BC$2&amp;$C713):INDIRECT(BC$1&amp;BC$3&amp;$C713))</f>
        <v>0</v>
      </c>
      <c r="BD713" s="875">
        <f t="shared" ca="1" si="1405"/>
        <v>0</v>
      </c>
      <c r="BE713" s="926">
        <f t="shared" ca="1" si="1406"/>
        <v>0</v>
      </c>
      <c r="BF713" s="19">
        <f ca="1">SUM(INDIRECT(BF$1&amp;BF$2&amp;$A713):INDIRECT(BF$1&amp;BF$3&amp;$A713))</f>
        <v>0</v>
      </c>
      <c r="BG713" s="875">
        <f t="shared" ca="1" si="1407"/>
        <v>0</v>
      </c>
      <c r="BH713" s="926">
        <f t="shared" ca="1" si="1408"/>
        <v>0</v>
      </c>
    </row>
    <row r="714" spans="1:60" ht="14.5">
      <c r="A714" s="990">
        <f t="shared" si="1333"/>
        <v>649</v>
      </c>
      <c r="B714" s="990">
        <v>1</v>
      </c>
      <c r="C714" s="990">
        <f t="shared" si="1428"/>
        <v>711</v>
      </c>
      <c r="E714" s="1243">
        <v>1</v>
      </c>
      <c r="I714" s="445"/>
      <c r="J714" s="446"/>
      <c r="K714" s="74"/>
      <c r="L714" s="74"/>
      <c r="M714" s="75"/>
      <c r="N714" s="75" t="s">
        <v>292</v>
      </c>
      <c r="O714" s="75"/>
      <c r="P714" s="75"/>
      <c r="Q714" s="1845" t="str">
        <f>CHOOSE(2, "6722000003633", "S/GP (3) Gross Profit Indirect HW &amp; Solution Textile Printer")</f>
        <v>S/GP (3) Gross Profit Indirect HW &amp; Solution Textile Printer</v>
      </c>
      <c r="R714" s="2036">
        <v>0</v>
      </c>
      <c r="S714" s="2036">
        <v>0</v>
      </c>
      <c r="T714" s="2036">
        <v>0</v>
      </c>
      <c r="U714" s="2036">
        <v>0</v>
      </c>
      <c r="V714" s="2036">
        <v>0</v>
      </c>
      <c r="W714" s="2036">
        <v>0</v>
      </c>
      <c r="X714" s="2036">
        <v>0</v>
      </c>
      <c r="Y714" s="2036">
        <v>0</v>
      </c>
      <c r="Z714" s="2036">
        <v>0</v>
      </c>
      <c r="AA714" s="2036">
        <v>0</v>
      </c>
      <c r="AB714" s="2036">
        <v>0</v>
      </c>
      <c r="AC714" s="2036">
        <v>0</v>
      </c>
      <c r="AD714" s="100">
        <f t="shared" si="1433"/>
        <v>0</v>
      </c>
      <c r="AE714" s="19">
        <f t="shared" si="1434"/>
        <v>0</v>
      </c>
      <c r="AF714" s="19">
        <f t="shared" si="1435"/>
        <v>0</v>
      </c>
      <c r="AG714" s="19">
        <f t="shared" si="1436"/>
        <v>0</v>
      </c>
      <c r="AH714" s="19">
        <f t="shared" si="1437"/>
        <v>0</v>
      </c>
      <c r="AI714" s="19">
        <f t="shared" si="1438"/>
        <v>0</v>
      </c>
      <c r="AJ714" s="19">
        <f t="shared" si="1439"/>
        <v>0</v>
      </c>
      <c r="AL714" s="19">
        <f ca="1">SUM((INDIRECT(AL$2&amp;(ROW())):INDIRECT(AL$3&amp;(ROW()))))</f>
        <v>0</v>
      </c>
      <c r="AM714" s="19">
        <f ca="1">SUM(INDIRECT(AM$1&amp;AM$2&amp;$C714):INDIRECT(AM$1&amp;AM$3&amp;$C714))</f>
        <v>0</v>
      </c>
      <c r="AN714" s="875">
        <f t="shared" ca="1" si="1397"/>
        <v>0</v>
      </c>
      <c r="AO714" s="926">
        <f t="shared" ca="1" si="1398"/>
        <v>0</v>
      </c>
      <c r="AP714" s="19">
        <f ca="1">SUM(INDIRECT(AP$1&amp;AP$2&amp;$A714):INDIRECT(AP$1&amp;AP$3&amp;$A714))</f>
        <v>0</v>
      </c>
      <c r="AQ714" s="875">
        <f t="shared" ca="1" si="1399"/>
        <v>0</v>
      </c>
      <c r="AR714" s="926">
        <f t="shared" ca="1" si="1400"/>
        <v>0</v>
      </c>
      <c r="AT714" s="19">
        <f ca="1">SUM((INDIRECT(AT$2&amp;(ROW())):INDIRECT(AT$3&amp;(ROW()))))</f>
        <v>0</v>
      </c>
      <c r="AU714" s="19">
        <f ca="1">SUM(INDIRECT(AU$1&amp;AU$2&amp;$C714):INDIRECT(AU$1&amp;AU$3&amp;$C714))</f>
        <v>0</v>
      </c>
      <c r="AV714" s="875">
        <f t="shared" ca="1" si="1401"/>
        <v>0</v>
      </c>
      <c r="AW714" s="926">
        <f t="shared" ca="1" si="1402"/>
        <v>0</v>
      </c>
      <c r="AX714" s="19">
        <f ca="1">SUM(INDIRECT(AX$1&amp;AX$2&amp;$A714):INDIRECT(AX$1&amp;AX$3&amp;$A714))</f>
        <v>0</v>
      </c>
      <c r="AY714" s="875">
        <f t="shared" ca="1" si="1403"/>
        <v>0</v>
      </c>
      <c r="AZ714" s="926">
        <f t="shared" ca="1" si="1404"/>
        <v>0</v>
      </c>
      <c r="BB714" s="19">
        <f ca="1">SUM((INDIRECT(BB$2&amp;(ROW())):INDIRECT(BB$3&amp;(ROW()))))</f>
        <v>0</v>
      </c>
      <c r="BC714" s="19">
        <f ca="1">SUM(INDIRECT(BC$1&amp;BC$2&amp;$C714):INDIRECT(BC$1&amp;BC$3&amp;$C714))</f>
        <v>0</v>
      </c>
      <c r="BD714" s="875">
        <f t="shared" ca="1" si="1405"/>
        <v>0</v>
      </c>
      <c r="BE714" s="926">
        <f t="shared" ca="1" si="1406"/>
        <v>0</v>
      </c>
      <c r="BF714" s="19">
        <f ca="1">SUM(INDIRECT(BF$1&amp;BF$2&amp;$A714):INDIRECT(BF$1&amp;BF$3&amp;$A714))</f>
        <v>0</v>
      </c>
      <c r="BG714" s="875">
        <f t="shared" ca="1" si="1407"/>
        <v>0</v>
      </c>
      <c r="BH714" s="926">
        <f t="shared" ca="1" si="1408"/>
        <v>0</v>
      </c>
    </row>
    <row r="715" spans="1:60" ht="14.5">
      <c r="A715" s="990">
        <f t="shared" si="1333"/>
        <v>650</v>
      </c>
      <c r="B715" s="990">
        <v>1</v>
      </c>
      <c r="C715" s="990">
        <f t="shared" si="1428"/>
        <v>712</v>
      </c>
      <c r="E715" s="1243">
        <v>1</v>
      </c>
      <c r="I715" s="445"/>
      <c r="J715" s="446"/>
      <c r="K715" s="74"/>
      <c r="L715" s="74"/>
      <c r="M715" s="75"/>
      <c r="N715" s="276" t="s">
        <v>131</v>
      </c>
      <c r="O715" s="276"/>
      <c r="P715" s="276"/>
      <c r="Q715" s="1845" t="str">
        <f>CHOOSE(2, "6722000003634", "S/GP (3) Gross Profit Indirect HW &amp; Solution Others")</f>
        <v>S/GP (3) Gross Profit Indirect HW &amp; Solution Others</v>
      </c>
      <c r="R715" s="2037">
        <v>0</v>
      </c>
      <c r="S715" s="2037">
        <v>0</v>
      </c>
      <c r="T715" s="2037">
        <v>0</v>
      </c>
      <c r="U715" s="2037">
        <v>0</v>
      </c>
      <c r="V715" s="2037">
        <v>0</v>
      </c>
      <c r="W715" s="2037">
        <v>0</v>
      </c>
      <c r="X715" s="2037">
        <v>0</v>
      </c>
      <c r="Y715" s="2037">
        <v>0</v>
      </c>
      <c r="Z715" s="2037">
        <v>0</v>
      </c>
      <c r="AA715" s="2037">
        <v>0</v>
      </c>
      <c r="AB715" s="2037">
        <v>0</v>
      </c>
      <c r="AC715" s="2037">
        <v>0</v>
      </c>
      <c r="AD715" s="99">
        <f t="shared" si="1433"/>
        <v>0</v>
      </c>
      <c r="AE715" s="17">
        <f t="shared" si="1434"/>
        <v>0</v>
      </c>
      <c r="AF715" s="17">
        <f t="shared" si="1435"/>
        <v>0</v>
      </c>
      <c r="AG715" s="17">
        <f t="shared" si="1436"/>
        <v>0</v>
      </c>
      <c r="AH715" s="17">
        <f t="shared" si="1437"/>
        <v>0</v>
      </c>
      <c r="AI715" s="17">
        <f t="shared" si="1438"/>
        <v>0</v>
      </c>
      <c r="AJ715" s="17">
        <f t="shared" si="1439"/>
        <v>0</v>
      </c>
      <c r="AL715" s="17">
        <f ca="1">SUM((INDIRECT(AL$2&amp;(ROW())):INDIRECT(AL$3&amp;(ROW()))))</f>
        <v>0</v>
      </c>
      <c r="AM715" s="17">
        <f ca="1">SUM(INDIRECT(AM$1&amp;AM$2&amp;$C715):INDIRECT(AM$1&amp;AM$3&amp;$C715))</f>
        <v>0</v>
      </c>
      <c r="AN715" s="876">
        <f t="shared" ca="1" si="1397"/>
        <v>0</v>
      </c>
      <c r="AO715" s="927">
        <f t="shared" ca="1" si="1398"/>
        <v>0</v>
      </c>
      <c r="AP715" s="17">
        <f ca="1">SUM(INDIRECT(AP$1&amp;AP$2&amp;$A715):INDIRECT(AP$1&amp;AP$3&amp;$A715))</f>
        <v>0</v>
      </c>
      <c r="AQ715" s="876">
        <f t="shared" ca="1" si="1399"/>
        <v>0</v>
      </c>
      <c r="AR715" s="927">
        <f t="shared" ca="1" si="1400"/>
        <v>0</v>
      </c>
      <c r="AT715" s="17">
        <f ca="1">SUM((INDIRECT(AT$2&amp;(ROW())):INDIRECT(AT$3&amp;(ROW()))))</f>
        <v>0</v>
      </c>
      <c r="AU715" s="17">
        <f ca="1">SUM(INDIRECT(AU$1&amp;AU$2&amp;$C715):INDIRECT(AU$1&amp;AU$3&amp;$C715))</f>
        <v>0</v>
      </c>
      <c r="AV715" s="876">
        <f t="shared" ca="1" si="1401"/>
        <v>0</v>
      </c>
      <c r="AW715" s="927">
        <f t="shared" ca="1" si="1402"/>
        <v>0</v>
      </c>
      <c r="AX715" s="17">
        <f ca="1">SUM(INDIRECT(AX$1&amp;AX$2&amp;$A715):INDIRECT(AX$1&amp;AX$3&amp;$A715))</f>
        <v>0</v>
      </c>
      <c r="AY715" s="876">
        <f t="shared" ca="1" si="1403"/>
        <v>0</v>
      </c>
      <c r="AZ715" s="927">
        <f t="shared" ca="1" si="1404"/>
        <v>0</v>
      </c>
      <c r="BB715" s="17">
        <f ca="1">SUM((INDIRECT(BB$2&amp;(ROW())):INDIRECT(BB$3&amp;(ROW()))))</f>
        <v>0</v>
      </c>
      <c r="BC715" s="17">
        <f ca="1">SUM(INDIRECT(BC$1&amp;BC$2&amp;$C715):INDIRECT(BC$1&amp;BC$3&amp;$C715))</f>
        <v>0</v>
      </c>
      <c r="BD715" s="876">
        <f t="shared" ca="1" si="1405"/>
        <v>0</v>
      </c>
      <c r="BE715" s="927">
        <f t="shared" ca="1" si="1406"/>
        <v>0</v>
      </c>
      <c r="BF715" s="17">
        <f ca="1">SUM(INDIRECT(BF$1&amp;BF$2&amp;$A715):INDIRECT(BF$1&amp;BF$3&amp;$A715))</f>
        <v>0</v>
      </c>
      <c r="BG715" s="876">
        <f t="shared" ca="1" si="1407"/>
        <v>0</v>
      </c>
      <c r="BH715" s="927">
        <f t="shared" ca="1" si="1408"/>
        <v>0</v>
      </c>
    </row>
    <row r="716" spans="1:60" ht="14.5">
      <c r="A716" s="990">
        <f t="shared" si="1333"/>
        <v>651</v>
      </c>
      <c r="B716" s="990">
        <v>1</v>
      </c>
      <c r="C716" s="990">
        <f t="shared" si="1428"/>
        <v>713</v>
      </c>
      <c r="E716" s="1243">
        <v>1</v>
      </c>
      <c r="I716" s="445"/>
      <c r="J716" s="446"/>
      <c r="K716" s="74"/>
      <c r="L716" s="74"/>
      <c r="M716" s="286" t="s">
        <v>306</v>
      </c>
      <c r="N716" s="286"/>
      <c r="O716" s="286"/>
      <c r="P716" s="1198"/>
      <c r="Q716" s="1843" t="str">
        <f>CHOOSE(2, "6722000003635", "S/GP (3) Gross Profit Indirect NH")</f>
        <v>S/GP (3) Gross Profit Indirect NH</v>
      </c>
      <c r="R716" s="2081">
        <f t="shared" ref="R716:AC716" si="1440">R717+R723+R729+R735+R741+R747+R750+R751</f>
        <v>0</v>
      </c>
      <c r="S716" s="2081">
        <f t="shared" si="1440"/>
        <v>0</v>
      </c>
      <c r="T716" s="2081">
        <f t="shared" si="1440"/>
        <v>0</v>
      </c>
      <c r="U716" s="2081">
        <f t="shared" si="1440"/>
        <v>0</v>
      </c>
      <c r="V716" s="2081">
        <f t="shared" si="1440"/>
        <v>0</v>
      </c>
      <c r="W716" s="2081">
        <f t="shared" si="1440"/>
        <v>0</v>
      </c>
      <c r="X716" s="2081">
        <f t="shared" si="1440"/>
        <v>0</v>
      </c>
      <c r="Y716" s="2081">
        <f t="shared" si="1440"/>
        <v>0</v>
      </c>
      <c r="Z716" s="2081">
        <f t="shared" si="1440"/>
        <v>0</v>
      </c>
      <c r="AA716" s="2081">
        <f t="shared" si="1440"/>
        <v>0</v>
      </c>
      <c r="AB716" s="2081">
        <f t="shared" si="1440"/>
        <v>0</v>
      </c>
      <c r="AC716" s="2081">
        <f t="shared" si="1440"/>
        <v>0</v>
      </c>
      <c r="AD716" s="1517">
        <f t="shared" ref="AD716:AJ716" si="1441">AD717+AD723+AD729+AD735+AD741+AD747+AD750+AD751</f>
        <v>0</v>
      </c>
      <c r="AE716" s="65">
        <f t="shared" si="1441"/>
        <v>0</v>
      </c>
      <c r="AF716" s="65">
        <f t="shared" si="1441"/>
        <v>0</v>
      </c>
      <c r="AG716" s="65">
        <f t="shared" si="1441"/>
        <v>0</v>
      </c>
      <c r="AH716" s="65">
        <f t="shared" si="1441"/>
        <v>0</v>
      </c>
      <c r="AI716" s="65">
        <f t="shared" si="1441"/>
        <v>0</v>
      </c>
      <c r="AJ716" s="65">
        <f t="shared" si="1441"/>
        <v>0</v>
      </c>
      <c r="AL716" s="2081">
        <f ca="1">SUM((INDIRECT(AL$2&amp;(ROW())):INDIRECT(AL$3&amp;(ROW()))))</f>
        <v>0</v>
      </c>
      <c r="AM716" s="2081">
        <f ca="1">SUM(INDIRECT(AM$1&amp;AM$2&amp;$C716):INDIRECT(AM$1&amp;AM$3&amp;$C716))</f>
        <v>0</v>
      </c>
      <c r="AN716" s="2475">
        <f t="shared" ca="1" si="1397"/>
        <v>0</v>
      </c>
      <c r="AO716" s="2476">
        <f t="shared" ca="1" si="1398"/>
        <v>0</v>
      </c>
      <c r="AP716" s="2081">
        <f ca="1">SUM(INDIRECT(AP$1&amp;AP$2&amp;$A716):INDIRECT(AP$1&amp;AP$3&amp;$A716))</f>
        <v>0</v>
      </c>
      <c r="AQ716" s="2475">
        <f t="shared" ca="1" si="1399"/>
        <v>0</v>
      </c>
      <c r="AR716" s="2476">
        <f t="shared" ca="1" si="1400"/>
        <v>0</v>
      </c>
      <c r="AT716" s="2081">
        <f ca="1">SUM((INDIRECT(AT$2&amp;(ROW())):INDIRECT(AT$3&amp;(ROW()))))</f>
        <v>0</v>
      </c>
      <c r="AU716" s="2081">
        <f ca="1">SUM(INDIRECT(AU$1&amp;AU$2&amp;$C716):INDIRECT(AU$1&amp;AU$3&amp;$C716))</f>
        <v>0</v>
      </c>
      <c r="AV716" s="2475">
        <f t="shared" ca="1" si="1401"/>
        <v>0</v>
      </c>
      <c r="AW716" s="2476">
        <f t="shared" ca="1" si="1402"/>
        <v>0</v>
      </c>
      <c r="AX716" s="2081">
        <f ca="1">SUM(INDIRECT(AX$1&amp;AX$2&amp;$A716):INDIRECT(AX$1&amp;AX$3&amp;$A716))</f>
        <v>0</v>
      </c>
      <c r="AY716" s="2475">
        <f t="shared" ca="1" si="1403"/>
        <v>0</v>
      </c>
      <c r="AZ716" s="2476">
        <f t="shared" ca="1" si="1404"/>
        <v>0</v>
      </c>
      <c r="BB716" s="2081">
        <f ca="1">SUM((INDIRECT(BB$2&amp;(ROW())):INDIRECT(BB$3&amp;(ROW()))))</f>
        <v>0</v>
      </c>
      <c r="BC716" s="2081">
        <f ca="1">SUM(INDIRECT(BC$1&amp;BC$2&amp;$C716):INDIRECT(BC$1&amp;BC$3&amp;$C716))</f>
        <v>0</v>
      </c>
      <c r="BD716" s="2475">
        <f t="shared" ca="1" si="1405"/>
        <v>0</v>
      </c>
      <c r="BE716" s="2476">
        <f t="shared" ca="1" si="1406"/>
        <v>0</v>
      </c>
      <c r="BF716" s="2081">
        <f ca="1">SUM(INDIRECT(BF$1&amp;BF$2&amp;$A716):INDIRECT(BF$1&amp;BF$3&amp;$A716))</f>
        <v>0</v>
      </c>
      <c r="BG716" s="2475">
        <f t="shared" ca="1" si="1407"/>
        <v>0</v>
      </c>
      <c r="BH716" s="2476">
        <f t="shared" ca="1" si="1408"/>
        <v>0</v>
      </c>
    </row>
    <row r="717" spans="1:60" ht="14.5">
      <c r="A717" s="990">
        <f t="shared" si="1333"/>
        <v>652</v>
      </c>
      <c r="B717" s="990">
        <v>1</v>
      </c>
      <c r="C717" s="990">
        <f t="shared" si="1428"/>
        <v>714</v>
      </c>
      <c r="E717" s="1243">
        <v>1</v>
      </c>
      <c r="I717" s="445"/>
      <c r="J717" s="446"/>
      <c r="K717" s="74"/>
      <c r="L717" s="74"/>
      <c r="M717" s="75"/>
      <c r="N717" s="1246" t="s">
        <v>1258</v>
      </c>
      <c r="O717" s="391"/>
      <c r="P717" s="391"/>
      <c r="Q717" s="1843" t="str">
        <f>CHOOSE(2, "6722000003636", "S/GP (3) Gross Profit Indirect NH KM-1/KM-1e")</f>
        <v>S/GP (3) Gross Profit Indirect NH KM-1/KM-1e</v>
      </c>
      <c r="R717" s="365">
        <f t="shared" ref="R717:AC717" si="1442">R718+R719</f>
        <v>0</v>
      </c>
      <c r="S717" s="365">
        <f t="shared" si="1442"/>
        <v>0</v>
      </c>
      <c r="T717" s="365">
        <f t="shared" si="1442"/>
        <v>0</v>
      </c>
      <c r="U717" s="365">
        <f t="shared" si="1442"/>
        <v>0</v>
      </c>
      <c r="V717" s="365">
        <f t="shared" si="1442"/>
        <v>0</v>
      </c>
      <c r="W717" s="365">
        <f t="shared" si="1442"/>
        <v>0</v>
      </c>
      <c r="X717" s="365">
        <f t="shared" si="1442"/>
        <v>0</v>
      </c>
      <c r="Y717" s="365">
        <f t="shared" si="1442"/>
        <v>0</v>
      </c>
      <c r="Z717" s="365">
        <f t="shared" si="1442"/>
        <v>0</v>
      </c>
      <c r="AA717" s="365">
        <f t="shared" si="1442"/>
        <v>0</v>
      </c>
      <c r="AB717" s="365">
        <f t="shared" si="1442"/>
        <v>0</v>
      </c>
      <c r="AC717" s="365">
        <f t="shared" si="1442"/>
        <v>0</v>
      </c>
      <c r="AD717" s="408">
        <f t="shared" ref="AD717:AJ717" si="1443">AD718+AD719</f>
        <v>0</v>
      </c>
      <c r="AE717" s="365">
        <f t="shared" si="1443"/>
        <v>0</v>
      </c>
      <c r="AF717" s="365">
        <f t="shared" si="1443"/>
        <v>0</v>
      </c>
      <c r="AG717" s="365">
        <f t="shared" si="1443"/>
        <v>0</v>
      </c>
      <c r="AH717" s="365">
        <f t="shared" si="1443"/>
        <v>0</v>
      </c>
      <c r="AI717" s="365">
        <f t="shared" si="1443"/>
        <v>0</v>
      </c>
      <c r="AJ717" s="365">
        <f t="shared" si="1443"/>
        <v>0</v>
      </c>
      <c r="AL717" s="365">
        <f ca="1">SUM((INDIRECT(AL$2&amp;(ROW())):INDIRECT(AL$3&amp;(ROW()))))</f>
        <v>0</v>
      </c>
      <c r="AM717" s="365">
        <f ca="1">SUM(INDIRECT(AM$1&amp;AM$2&amp;$C717):INDIRECT(AM$1&amp;AM$3&amp;$C717))</f>
        <v>0</v>
      </c>
      <c r="AN717" s="891">
        <f t="shared" ca="1" si="1397"/>
        <v>0</v>
      </c>
      <c r="AO717" s="952">
        <f t="shared" ca="1" si="1398"/>
        <v>0</v>
      </c>
      <c r="AP717" s="365">
        <f ca="1">SUM(INDIRECT(AP$1&amp;AP$2&amp;$A717):INDIRECT(AP$1&amp;AP$3&amp;$A717))</f>
        <v>0</v>
      </c>
      <c r="AQ717" s="891">
        <f t="shared" ca="1" si="1399"/>
        <v>0</v>
      </c>
      <c r="AR717" s="952">
        <f t="shared" ca="1" si="1400"/>
        <v>0</v>
      </c>
      <c r="AT717" s="365">
        <f ca="1">SUM((INDIRECT(AT$2&amp;(ROW())):INDIRECT(AT$3&amp;(ROW()))))</f>
        <v>0</v>
      </c>
      <c r="AU717" s="365">
        <f ca="1">SUM(INDIRECT(AU$1&amp;AU$2&amp;$C717):INDIRECT(AU$1&amp;AU$3&amp;$C717))</f>
        <v>0</v>
      </c>
      <c r="AV717" s="891">
        <f t="shared" ca="1" si="1401"/>
        <v>0</v>
      </c>
      <c r="AW717" s="952">
        <f t="shared" ca="1" si="1402"/>
        <v>0</v>
      </c>
      <c r="AX717" s="365">
        <f ca="1">SUM(INDIRECT(AX$1&amp;AX$2&amp;$A717):INDIRECT(AX$1&amp;AX$3&amp;$A717))</f>
        <v>0</v>
      </c>
      <c r="AY717" s="891">
        <f t="shared" ca="1" si="1403"/>
        <v>0</v>
      </c>
      <c r="AZ717" s="952">
        <f t="shared" ca="1" si="1404"/>
        <v>0</v>
      </c>
      <c r="BB717" s="365">
        <f ca="1">SUM((INDIRECT(BB$2&amp;(ROW())):INDIRECT(BB$3&amp;(ROW()))))</f>
        <v>0</v>
      </c>
      <c r="BC717" s="365">
        <f ca="1">SUM(INDIRECT(BC$1&amp;BC$2&amp;$C717):INDIRECT(BC$1&amp;BC$3&amp;$C717))</f>
        <v>0</v>
      </c>
      <c r="BD717" s="891">
        <f t="shared" ca="1" si="1405"/>
        <v>0</v>
      </c>
      <c r="BE717" s="952">
        <f t="shared" ca="1" si="1406"/>
        <v>0</v>
      </c>
      <c r="BF717" s="365">
        <f ca="1">SUM(INDIRECT(BF$1&amp;BF$2&amp;$A717):INDIRECT(BF$1&amp;BF$3&amp;$A717))</f>
        <v>0</v>
      </c>
      <c r="BG717" s="891">
        <f t="shared" ca="1" si="1407"/>
        <v>0</v>
      </c>
      <c r="BH717" s="952">
        <f t="shared" ca="1" si="1408"/>
        <v>0</v>
      </c>
    </row>
    <row r="718" spans="1:60" ht="14.5">
      <c r="A718" s="990">
        <f t="shared" si="1333"/>
        <v>653</v>
      </c>
      <c r="B718" s="990">
        <v>1</v>
      </c>
      <c r="C718" s="990">
        <f t="shared" si="1428"/>
        <v>715</v>
      </c>
      <c r="E718" s="1243">
        <v>1</v>
      </c>
      <c r="I718" s="445"/>
      <c r="J718" s="446"/>
      <c r="K718" s="74"/>
      <c r="L718" s="74"/>
      <c r="M718" s="75"/>
      <c r="N718" s="75"/>
      <c r="O718" s="1246" t="s">
        <v>1258</v>
      </c>
      <c r="P718" s="394"/>
      <c r="Q718" s="1845" t="str">
        <f>CHOOSE(2, "6722000003637", "S/GP (3) Gross Profit Indirect NH KM-1/KM-1e KM-1/KM-1e")</f>
        <v>S/GP (3) Gross Profit Indirect NH KM-1/KM-1e KM-1/KM-1e</v>
      </c>
      <c r="R718" s="2057">
        <v>0</v>
      </c>
      <c r="S718" s="2057">
        <v>0</v>
      </c>
      <c r="T718" s="2057">
        <v>0</v>
      </c>
      <c r="U718" s="2057">
        <v>0</v>
      </c>
      <c r="V718" s="2057">
        <v>0</v>
      </c>
      <c r="W718" s="2057">
        <v>0</v>
      </c>
      <c r="X718" s="2057">
        <v>0</v>
      </c>
      <c r="Y718" s="2057">
        <v>0</v>
      </c>
      <c r="Z718" s="2057">
        <v>0</v>
      </c>
      <c r="AA718" s="2057">
        <v>0</v>
      </c>
      <c r="AB718" s="2057">
        <v>0</v>
      </c>
      <c r="AC718" s="2057">
        <v>0</v>
      </c>
      <c r="AD718" s="1545">
        <f>SUM(R718,S718,T718)</f>
        <v>0</v>
      </c>
      <c r="AE718" s="64">
        <f t="shared" ref="AE718" si="1444">SUM(U718,V718,W718)</f>
        <v>0</v>
      </c>
      <c r="AF718" s="64">
        <f t="shared" ref="AF718" si="1445">SUM(X718,Y718,Z718)</f>
        <v>0</v>
      </c>
      <c r="AG718" s="64">
        <f t="shared" ref="AG718" si="1446">SUM(AA718,AB718,AC718)</f>
        <v>0</v>
      </c>
      <c r="AH718" s="64">
        <f>AD718+AE718</f>
        <v>0</v>
      </c>
      <c r="AI718" s="64">
        <f>AG718+AF718</f>
        <v>0</v>
      </c>
      <c r="AJ718" s="64">
        <f>AH718+AI718</f>
        <v>0</v>
      </c>
      <c r="AL718" s="64">
        <f ca="1">SUM((INDIRECT(AL$2&amp;(ROW())):INDIRECT(AL$3&amp;(ROW()))))</f>
        <v>0</v>
      </c>
      <c r="AM718" s="64">
        <f ca="1">SUM(INDIRECT(AM$1&amp;AM$2&amp;$C718):INDIRECT(AM$1&amp;AM$3&amp;$C718))</f>
        <v>0</v>
      </c>
      <c r="AN718" s="902">
        <f t="shared" ca="1" si="1397"/>
        <v>0</v>
      </c>
      <c r="AO718" s="963">
        <f t="shared" ca="1" si="1398"/>
        <v>0</v>
      </c>
      <c r="AP718" s="64">
        <f ca="1">SUM(INDIRECT(AP$1&amp;AP$2&amp;$A718):INDIRECT(AP$1&amp;AP$3&amp;$A718))</f>
        <v>0</v>
      </c>
      <c r="AQ718" s="902">
        <f t="shared" ca="1" si="1399"/>
        <v>0</v>
      </c>
      <c r="AR718" s="963">
        <f t="shared" ca="1" si="1400"/>
        <v>0</v>
      </c>
      <c r="AT718" s="64">
        <f ca="1">SUM((INDIRECT(AT$2&amp;(ROW())):INDIRECT(AT$3&amp;(ROW()))))</f>
        <v>0</v>
      </c>
      <c r="AU718" s="64">
        <f ca="1">SUM(INDIRECT(AU$1&amp;AU$2&amp;$C718):INDIRECT(AU$1&amp;AU$3&amp;$C718))</f>
        <v>0</v>
      </c>
      <c r="AV718" s="902">
        <f t="shared" ca="1" si="1401"/>
        <v>0</v>
      </c>
      <c r="AW718" s="963">
        <f t="shared" ca="1" si="1402"/>
        <v>0</v>
      </c>
      <c r="AX718" s="64">
        <f ca="1">SUM(INDIRECT(AX$1&amp;AX$2&amp;$A718):INDIRECT(AX$1&amp;AX$3&amp;$A718))</f>
        <v>0</v>
      </c>
      <c r="AY718" s="902">
        <f t="shared" ca="1" si="1403"/>
        <v>0</v>
      </c>
      <c r="AZ718" s="963">
        <f t="shared" ca="1" si="1404"/>
        <v>0</v>
      </c>
      <c r="BB718" s="64">
        <f ca="1">SUM((INDIRECT(BB$2&amp;(ROW())):INDIRECT(BB$3&amp;(ROW()))))</f>
        <v>0</v>
      </c>
      <c r="BC718" s="64">
        <f ca="1">SUM(INDIRECT(BC$1&amp;BC$2&amp;$C718):INDIRECT(BC$1&amp;BC$3&amp;$C718))</f>
        <v>0</v>
      </c>
      <c r="BD718" s="902">
        <f t="shared" ca="1" si="1405"/>
        <v>0</v>
      </c>
      <c r="BE718" s="963">
        <f t="shared" ca="1" si="1406"/>
        <v>0</v>
      </c>
      <c r="BF718" s="64">
        <f ca="1">SUM(INDIRECT(BF$1&amp;BF$2&amp;$A718):INDIRECT(BF$1&amp;BF$3&amp;$A718))</f>
        <v>0</v>
      </c>
      <c r="BG718" s="902">
        <f t="shared" ca="1" si="1407"/>
        <v>0</v>
      </c>
      <c r="BH718" s="963">
        <f t="shared" ca="1" si="1408"/>
        <v>0</v>
      </c>
    </row>
    <row r="719" spans="1:60" s="75" customFormat="1" ht="14.5">
      <c r="A719" s="990">
        <f t="shared" si="1333"/>
        <v>654</v>
      </c>
      <c r="B719" s="990">
        <v>1</v>
      </c>
      <c r="C719" s="990">
        <f t="shared" si="1428"/>
        <v>716</v>
      </c>
      <c r="E719" s="1243">
        <v>1</v>
      </c>
      <c r="F719" s="10"/>
      <c r="G719" s="10"/>
      <c r="H719" s="24"/>
      <c r="I719" s="445"/>
      <c r="J719" s="446"/>
      <c r="K719" s="74"/>
      <c r="L719" s="74"/>
      <c r="O719" s="395" t="s">
        <v>367</v>
      </c>
      <c r="P719" s="395"/>
      <c r="Q719" s="1848" t="str">
        <f>CHOOSE(2, "6722000003638", "S/GP (3) Gross Profit Indirect NH KM-1/KM-1e FSC (-)")</f>
        <v>S/GP (3) Gross Profit Indirect NH KM-1/KM-1e FSC (-)</v>
      </c>
      <c r="R719" s="385">
        <f t="shared" ref="R719:AC719" si="1447">SUM(R720:R722)</f>
        <v>0</v>
      </c>
      <c r="S719" s="385">
        <f t="shared" si="1447"/>
        <v>0</v>
      </c>
      <c r="T719" s="385">
        <f t="shared" si="1447"/>
        <v>0</v>
      </c>
      <c r="U719" s="385">
        <f t="shared" si="1447"/>
        <v>0</v>
      </c>
      <c r="V719" s="385">
        <f t="shared" si="1447"/>
        <v>0</v>
      </c>
      <c r="W719" s="385">
        <f t="shared" si="1447"/>
        <v>0</v>
      </c>
      <c r="X719" s="385">
        <f t="shared" si="1447"/>
        <v>0</v>
      </c>
      <c r="Y719" s="385">
        <f t="shared" si="1447"/>
        <v>0</v>
      </c>
      <c r="Z719" s="385">
        <f t="shared" si="1447"/>
        <v>0</v>
      </c>
      <c r="AA719" s="385">
        <f t="shared" si="1447"/>
        <v>0</v>
      </c>
      <c r="AB719" s="385">
        <f t="shared" si="1447"/>
        <v>0</v>
      </c>
      <c r="AC719" s="385">
        <f t="shared" si="1447"/>
        <v>0</v>
      </c>
      <c r="AD719" s="1540">
        <f>SUM(R719:T719)</f>
        <v>0</v>
      </c>
      <c r="AE719" s="385">
        <f>SUM(U719:W719)</f>
        <v>0</v>
      </c>
      <c r="AF719" s="385">
        <f>SUM(X719:Z719)</f>
        <v>0</v>
      </c>
      <c r="AG719" s="385">
        <f>SUM(AA719:AC719)</f>
        <v>0</v>
      </c>
      <c r="AH719" s="385">
        <f>AD719+AE719</f>
        <v>0</v>
      </c>
      <c r="AI719" s="385">
        <f>AG719+AF719</f>
        <v>0</v>
      </c>
      <c r="AJ719" s="385">
        <f>AH719+AI719</f>
        <v>0</v>
      </c>
      <c r="AL719" s="385">
        <f ca="1">SUM((INDIRECT(AL$2&amp;(ROW())):INDIRECT(AL$3&amp;(ROW()))))</f>
        <v>0</v>
      </c>
      <c r="AM719" s="385">
        <f ca="1">SUM(INDIRECT(AM$1&amp;AM$2&amp;$C719):INDIRECT(AM$1&amp;AM$3&amp;$C719))</f>
        <v>0</v>
      </c>
      <c r="AN719" s="897">
        <f t="shared" ca="1" si="1397"/>
        <v>0</v>
      </c>
      <c r="AO719" s="958">
        <f t="shared" ca="1" si="1398"/>
        <v>0</v>
      </c>
      <c r="AP719" s="385">
        <f ca="1">SUM(INDIRECT(AP$1&amp;AP$2&amp;$A719):INDIRECT(AP$1&amp;AP$3&amp;$A719))</f>
        <v>0</v>
      </c>
      <c r="AQ719" s="897">
        <f t="shared" ca="1" si="1399"/>
        <v>0</v>
      </c>
      <c r="AR719" s="958">
        <f t="shared" ca="1" si="1400"/>
        <v>0</v>
      </c>
      <c r="AT719" s="385">
        <f ca="1">SUM((INDIRECT(AT$2&amp;(ROW())):INDIRECT(AT$3&amp;(ROW()))))</f>
        <v>0</v>
      </c>
      <c r="AU719" s="385">
        <f ca="1">SUM(INDIRECT(AU$1&amp;AU$2&amp;$C719):INDIRECT(AU$1&amp;AU$3&amp;$C719))</f>
        <v>0</v>
      </c>
      <c r="AV719" s="897">
        <f t="shared" ca="1" si="1401"/>
        <v>0</v>
      </c>
      <c r="AW719" s="958">
        <f t="shared" ca="1" si="1402"/>
        <v>0</v>
      </c>
      <c r="AX719" s="385">
        <f ca="1">SUM(INDIRECT(AX$1&amp;AX$2&amp;$A719):INDIRECT(AX$1&amp;AX$3&amp;$A719))</f>
        <v>0</v>
      </c>
      <c r="AY719" s="897">
        <f t="shared" ca="1" si="1403"/>
        <v>0</v>
      </c>
      <c r="AZ719" s="958">
        <f t="shared" ca="1" si="1404"/>
        <v>0</v>
      </c>
      <c r="BB719" s="385">
        <f ca="1">SUM((INDIRECT(BB$2&amp;(ROW())):INDIRECT(BB$3&amp;(ROW()))))</f>
        <v>0</v>
      </c>
      <c r="BC719" s="385">
        <f ca="1">SUM(INDIRECT(BC$1&amp;BC$2&amp;$C719):INDIRECT(BC$1&amp;BC$3&amp;$C719))</f>
        <v>0</v>
      </c>
      <c r="BD719" s="897">
        <f t="shared" ca="1" si="1405"/>
        <v>0</v>
      </c>
      <c r="BE719" s="958">
        <f t="shared" ca="1" si="1406"/>
        <v>0</v>
      </c>
      <c r="BF719" s="385">
        <f ca="1">SUM(INDIRECT(BF$1&amp;BF$2&amp;$A719):INDIRECT(BF$1&amp;BF$3&amp;$A719))</f>
        <v>0</v>
      </c>
      <c r="BG719" s="897">
        <f t="shared" ca="1" si="1407"/>
        <v>0</v>
      </c>
      <c r="BH719" s="958">
        <f t="shared" ca="1" si="1408"/>
        <v>0</v>
      </c>
    </row>
    <row r="720" spans="1:60" s="75" customFormat="1" ht="14.5">
      <c r="A720" s="990">
        <f t="shared" si="1333"/>
        <v>655</v>
      </c>
      <c r="B720" s="990">
        <v>1</v>
      </c>
      <c r="C720" s="990">
        <f t="shared" si="1428"/>
        <v>717</v>
      </c>
      <c r="E720" s="1243">
        <v>1</v>
      </c>
      <c r="F720" s="10"/>
      <c r="G720" s="10"/>
      <c r="H720" s="24"/>
      <c r="I720" s="445"/>
      <c r="J720" s="446"/>
      <c r="K720" s="74"/>
      <c r="L720" s="74"/>
      <c r="O720" s="396"/>
      <c r="P720" s="371" t="s">
        <v>378</v>
      </c>
      <c r="Q720" s="1845" t="str">
        <f>CHOOSE(2, "6722000003639", "S/GP (3) Gross Profit Indirect NH KM-1/KM-1e FSC (-) PC")</f>
        <v>S/GP (3) Gross Profit Indirect NH KM-1/KM-1e FSC (-) PC</v>
      </c>
      <c r="R720" s="2042">
        <v>0</v>
      </c>
      <c r="S720" s="2042">
        <v>0</v>
      </c>
      <c r="T720" s="2042">
        <v>0</v>
      </c>
      <c r="U720" s="2042">
        <v>0</v>
      </c>
      <c r="V720" s="2042">
        <v>0</v>
      </c>
      <c r="W720" s="2042">
        <v>0</v>
      </c>
      <c r="X720" s="2042">
        <v>0</v>
      </c>
      <c r="Y720" s="2042">
        <v>0</v>
      </c>
      <c r="Z720" s="2042">
        <v>0</v>
      </c>
      <c r="AA720" s="2042">
        <v>0</v>
      </c>
      <c r="AB720" s="2042">
        <v>0</v>
      </c>
      <c r="AC720" s="2042">
        <v>0</v>
      </c>
      <c r="AD720" s="1537">
        <f>SUM(R720,S720,T720)</f>
        <v>0</v>
      </c>
      <c r="AE720" s="108">
        <f t="shared" ref="AE720:AE722" si="1448">SUM(U720,V720,W720)</f>
        <v>0</v>
      </c>
      <c r="AF720" s="108">
        <f t="shared" ref="AF720:AF722" si="1449">SUM(X720,Y720,Z720)</f>
        <v>0</v>
      </c>
      <c r="AG720" s="108">
        <f t="shared" ref="AG720:AG722" si="1450">SUM(AA720,AB720,AC720)</f>
        <v>0</v>
      </c>
      <c r="AH720" s="108">
        <f>AD720+AE720</f>
        <v>0</v>
      </c>
      <c r="AI720" s="108">
        <f>AG720+AF720</f>
        <v>0</v>
      </c>
      <c r="AJ720" s="108">
        <f>AH720+AI720</f>
        <v>0</v>
      </c>
      <c r="AL720" s="108">
        <f ca="1">SUM((INDIRECT(AL$2&amp;(ROW())):INDIRECT(AL$3&amp;(ROW()))))</f>
        <v>0</v>
      </c>
      <c r="AM720" s="108">
        <f ca="1">SUM(INDIRECT(AM$1&amp;AM$2&amp;$C720):INDIRECT(AM$1&amp;AM$3&amp;$C720))</f>
        <v>0</v>
      </c>
      <c r="AN720" s="893">
        <f t="shared" ca="1" si="1397"/>
        <v>0</v>
      </c>
      <c r="AO720" s="954">
        <f t="shared" ca="1" si="1398"/>
        <v>0</v>
      </c>
      <c r="AP720" s="108">
        <f ca="1">SUM(INDIRECT(AP$1&amp;AP$2&amp;$A720):INDIRECT(AP$1&amp;AP$3&amp;$A720))</f>
        <v>0</v>
      </c>
      <c r="AQ720" s="893">
        <f t="shared" ca="1" si="1399"/>
        <v>0</v>
      </c>
      <c r="AR720" s="954">
        <f t="shared" ca="1" si="1400"/>
        <v>0</v>
      </c>
      <c r="AT720" s="108">
        <f ca="1">SUM((INDIRECT(AT$2&amp;(ROW())):INDIRECT(AT$3&amp;(ROW()))))</f>
        <v>0</v>
      </c>
      <c r="AU720" s="108">
        <f ca="1">SUM(INDIRECT(AU$1&amp;AU$2&amp;$C720):INDIRECT(AU$1&amp;AU$3&amp;$C720))</f>
        <v>0</v>
      </c>
      <c r="AV720" s="893">
        <f t="shared" ca="1" si="1401"/>
        <v>0</v>
      </c>
      <c r="AW720" s="954">
        <f t="shared" ca="1" si="1402"/>
        <v>0</v>
      </c>
      <c r="AX720" s="108">
        <f ca="1">SUM(INDIRECT(AX$1&amp;AX$2&amp;$A720):INDIRECT(AX$1&amp;AX$3&amp;$A720))</f>
        <v>0</v>
      </c>
      <c r="AY720" s="893">
        <f t="shared" ca="1" si="1403"/>
        <v>0</v>
      </c>
      <c r="AZ720" s="954">
        <f t="shared" ca="1" si="1404"/>
        <v>0</v>
      </c>
      <c r="BB720" s="108">
        <f ca="1">SUM((INDIRECT(BB$2&amp;(ROW())):INDIRECT(BB$3&amp;(ROW()))))</f>
        <v>0</v>
      </c>
      <c r="BC720" s="108">
        <f ca="1">SUM(INDIRECT(BC$1&amp;BC$2&amp;$C720):INDIRECT(BC$1&amp;BC$3&amp;$C720))</f>
        <v>0</v>
      </c>
      <c r="BD720" s="893">
        <f t="shared" ca="1" si="1405"/>
        <v>0</v>
      </c>
      <c r="BE720" s="954">
        <f t="shared" ca="1" si="1406"/>
        <v>0</v>
      </c>
      <c r="BF720" s="108">
        <f ca="1">SUM(INDIRECT(BF$1&amp;BF$2&amp;$A720):INDIRECT(BF$1&amp;BF$3&amp;$A720))</f>
        <v>0</v>
      </c>
      <c r="BG720" s="893">
        <f t="shared" ca="1" si="1407"/>
        <v>0</v>
      </c>
      <c r="BH720" s="954">
        <f t="shared" ca="1" si="1408"/>
        <v>0</v>
      </c>
    </row>
    <row r="721" spans="1:60" s="75" customFormat="1" ht="14.5">
      <c r="A721" s="990">
        <f t="shared" si="1333"/>
        <v>656</v>
      </c>
      <c r="B721" s="990">
        <v>1</v>
      </c>
      <c r="C721" s="990">
        <f t="shared" si="1428"/>
        <v>718</v>
      </c>
      <c r="E721" s="1243">
        <v>1</v>
      </c>
      <c r="F721" s="10"/>
      <c r="G721" s="10"/>
      <c r="H721" s="24"/>
      <c r="I721" s="445"/>
      <c r="J721" s="446"/>
      <c r="K721" s="74"/>
      <c r="L721" s="74"/>
      <c r="O721" s="301"/>
      <c r="P721" s="299" t="s">
        <v>379</v>
      </c>
      <c r="Q721" s="1845" t="str">
        <f>CHOOSE(2, "6722000003640", "S/GP (3) Gross Profit Indirect NH KM-1/KM-1e FSC (-) TE")</f>
        <v>S/GP (3) Gross Profit Indirect NH KM-1/KM-1e FSC (-) TE</v>
      </c>
      <c r="R721" s="2036">
        <v>0</v>
      </c>
      <c r="S721" s="2036">
        <v>0</v>
      </c>
      <c r="T721" s="2036">
        <v>0</v>
      </c>
      <c r="U721" s="2036">
        <v>0</v>
      </c>
      <c r="V721" s="2036">
        <v>0</v>
      </c>
      <c r="W721" s="2036">
        <v>0</v>
      </c>
      <c r="X721" s="2036">
        <v>0</v>
      </c>
      <c r="Y721" s="2036">
        <v>0</v>
      </c>
      <c r="Z721" s="2036">
        <v>0</v>
      </c>
      <c r="AA721" s="2036">
        <v>0</v>
      </c>
      <c r="AB721" s="2036">
        <v>0</v>
      </c>
      <c r="AC721" s="2036">
        <v>0</v>
      </c>
      <c r="AD721" s="1380">
        <f>SUM(R721,S721,T721)</f>
        <v>0</v>
      </c>
      <c r="AE721" s="107">
        <f t="shared" si="1448"/>
        <v>0</v>
      </c>
      <c r="AF721" s="107">
        <f t="shared" si="1449"/>
        <v>0</v>
      </c>
      <c r="AG721" s="107">
        <f t="shared" si="1450"/>
        <v>0</v>
      </c>
      <c r="AH721" s="107">
        <f>AD721+AE721</f>
        <v>0</v>
      </c>
      <c r="AI721" s="107">
        <f>AG721+AF721</f>
        <v>0</v>
      </c>
      <c r="AJ721" s="107">
        <f>AH721+AI721</f>
        <v>0</v>
      </c>
      <c r="AL721" s="107">
        <f ca="1">SUM((INDIRECT(AL$2&amp;(ROW())):INDIRECT(AL$3&amp;(ROW()))))</f>
        <v>0</v>
      </c>
      <c r="AM721" s="107">
        <f ca="1">SUM(INDIRECT(AM$1&amp;AM$2&amp;$C721):INDIRECT(AM$1&amp;AM$3&amp;$C721))</f>
        <v>0</v>
      </c>
      <c r="AN721" s="898">
        <f t="shared" ca="1" si="1397"/>
        <v>0</v>
      </c>
      <c r="AO721" s="959">
        <f t="shared" ca="1" si="1398"/>
        <v>0</v>
      </c>
      <c r="AP721" s="107">
        <f ca="1">SUM(INDIRECT(AP$1&amp;AP$2&amp;$A721):INDIRECT(AP$1&amp;AP$3&amp;$A721))</f>
        <v>0</v>
      </c>
      <c r="AQ721" s="898">
        <f t="shared" ca="1" si="1399"/>
        <v>0</v>
      </c>
      <c r="AR721" s="959">
        <f t="shared" ca="1" si="1400"/>
        <v>0</v>
      </c>
      <c r="AT721" s="107">
        <f ca="1">SUM((INDIRECT(AT$2&amp;(ROW())):INDIRECT(AT$3&amp;(ROW()))))</f>
        <v>0</v>
      </c>
      <c r="AU721" s="107">
        <f ca="1">SUM(INDIRECT(AU$1&amp;AU$2&amp;$C721):INDIRECT(AU$1&amp;AU$3&amp;$C721))</f>
        <v>0</v>
      </c>
      <c r="AV721" s="898">
        <f t="shared" ca="1" si="1401"/>
        <v>0</v>
      </c>
      <c r="AW721" s="959">
        <f t="shared" ca="1" si="1402"/>
        <v>0</v>
      </c>
      <c r="AX721" s="107">
        <f ca="1">SUM(INDIRECT(AX$1&amp;AX$2&amp;$A721):INDIRECT(AX$1&amp;AX$3&amp;$A721))</f>
        <v>0</v>
      </c>
      <c r="AY721" s="898">
        <f t="shared" ca="1" si="1403"/>
        <v>0</v>
      </c>
      <c r="AZ721" s="959">
        <f t="shared" ca="1" si="1404"/>
        <v>0</v>
      </c>
      <c r="BB721" s="107">
        <f ca="1">SUM((INDIRECT(BB$2&amp;(ROW())):INDIRECT(BB$3&amp;(ROW()))))</f>
        <v>0</v>
      </c>
      <c r="BC721" s="107">
        <f ca="1">SUM(INDIRECT(BC$1&amp;BC$2&amp;$C721):INDIRECT(BC$1&amp;BC$3&amp;$C721))</f>
        <v>0</v>
      </c>
      <c r="BD721" s="898">
        <f t="shared" ca="1" si="1405"/>
        <v>0</v>
      </c>
      <c r="BE721" s="959">
        <f t="shared" ca="1" si="1406"/>
        <v>0</v>
      </c>
      <c r="BF721" s="107">
        <f ca="1">SUM(INDIRECT(BF$1&amp;BF$2&amp;$A721):INDIRECT(BF$1&amp;BF$3&amp;$A721))</f>
        <v>0</v>
      </c>
      <c r="BG721" s="898">
        <f t="shared" ca="1" si="1407"/>
        <v>0</v>
      </c>
      <c r="BH721" s="959">
        <f t="shared" ca="1" si="1408"/>
        <v>0</v>
      </c>
    </row>
    <row r="722" spans="1:60" s="75" customFormat="1" ht="14.5">
      <c r="A722" s="990">
        <f t="shared" si="1333"/>
        <v>657</v>
      </c>
      <c r="B722" s="990">
        <v>1</v>
      </c>
      <c r="C722" s="990">
        <f t="shared" si="1428"/>
        <v>719</v>
      </c>
      <c r="E722" s="1243">
        <v>1</v>
      </c>
      <c r="F722" s="10"/>
      <c r="G722" s="10"/>
      <c r="H722" s="24"/>
      <c r="I722" s="445"/>
      <c r="J722" s="446"/>
      <c r="K722" s="74"/>
      <c r="L722" s="74"/>
      <c r="N722" s="276"/>
      <c r="O722" s="302"/>
      <c r="P722" s="298" t="s">
        <v>386</v>
      </c>
      <c r="Q722" s="1845" t="str">
        <f>CHOOSE(2, "6722000003641", "S/GP (3) Gross Profit Indirect NH KM-1/KM-1e FSC (-) OFC")</f>
        <v>S/GP (3) Gross Profit Indirect NH KM-1/KM-1e FSC (-) OFC</v>
      </c>
      <c r="R722" s="2037">
        <v>0</v>
      </c>
      <c r="S722" s="2037">
        <v>0</v>
      </c>
      <c r="T722" s="2037">
        <v>0</v>
      </c>
      <c r="U722" s="2037">
        <v>0</v>
      </c>
      <c r="V722" s="2037">
        <v>0</v>
      </c>
      <c r="W722" s="2037">
        <v>0</v>
      </c>
      <c r="X722" s="2037">
        <v>0</v>
      </c>
      <c r="Y722" s="2037">
        <v>0</v>
      </c>
      <c r="Z722" s="2037">
        <v>0</v>
      </c>
      <c r="AA722" s="2037">
        <v>0</v>
      </c>
      <c r="AB722" s="2037">
        <v>0</v>
      </c>
      <c r="AC722" s="2037">
        <v>0</v>
      </c>
      <c r="AD722" s="1380">
        <f>SUM(R722,S722,T722)</f>
        <v>0</v>
      </c>
      <c r="AE722" s="107">
        <f t="shared" si="1448"/>
        <v>0</v>
      </c>
      <c r="AF722" s="107">
        <f t="shared" si="1449"/>
        <v>0</v>
      </c>
      <c r="AG722" s="107">
        <f t="shared" si="1450"/>
        <v>0</v>
      </c>
      <c r="AH722" s="107">
        <f>AD722+AE722</f>
        <v>0</v>
      </c>
      <c r="AI722" s="107">
        <f>AG722+AF722</f>
        <v>0</v>
      </c>
      <c r="AJ722" s="107">
        <f>AH722+AI722</f>
        <v>0</v>
      </c>
      <c r="AL722" s="107">
        <f ca="1">SUM((INDIRECT(AL$2&amp;(ROW())):INDIRECT(AL$3&amp;(ROW()))))</f>
        <v>0</v>
      </c>
      <c r="AM722" s="107">
        <f ca="1">SUM(INDIRECT(AM$1&amp;AM$2&amp;$C722):INDIRECT(AM$1&amp;AM$3&amp;$C722))</f>
        <v>0</v>
      </c>
      <c r="AN722" s="898">
        <f t="shared" ca="1" si="1397"/>
        <v>0</v>
      </c>
      <c r="AO722" s="959">
        <f t="shared" ca="1" si="1398"/>
        <v>0</v>
      </c>
      <c r="AP722" s="107">
        <f ca="1">SUM(INDIRECT(AP$1&amp;AP$2&amp;$A722):INDIRECT(AP$1&amp;AP$3&amp;$A722))</f>
        <v>0</v>
      </c>
      <c r="AQ722" s="898">
        <f t="shared" ca="1" si="1399"/>
        <v>0</v>
      </c>
      <c r="AR722" s="959">
        <f t="shared" ca="1" si="1400"/>
        <v>0</v>
      </c>
      <c r="AT722" s="107">
        <f ca="1">SUM((INDIRECT(AT$2&amp;(ROW())):INDIRECT(AT$3&amp;(ROW()))))</f>
        <v>0</v>
      </c>
      <c r="AU722" s="107">
        <f ca="1">SUM(INDIRECT(AU$1&amp;AU$2&amp;$C722):INDIRECT(AU$1&amp;AU$3&amp;$C722))</f>
        <v>0</v>
      </c>
      <c r="AV722" s="898">
        <f t="shared" ca="1" si="1401"/>
        <v>0</v>
      </c>
      <c r="AW722" s="959">
        <f t="shared" ca="1" si="1402"/>
        <v>0</v>
      </c>
      <c r="AX722" s="107">
        <f ca="1">SUM(INDIRECT(AX$1&amp;AX$2&amp;$A722):INDIRECT(AX$1&amp;AX$3&amp;$A722))</f>
        <v>0</v>
      </c>
      <c r="AY722" s="898">
        <f t="shared" ca="1" si="1403"/>
        <v>0</v>
      </c>
      <c r="AZ722" s="959">
        <f t="shared" ca="1" si="1404"/>
        <v>0</v>
      </c>
      <c r="BB722" s="107">
        <f ca="1">SUM((INDIRECT(BB$2&amp;(ROW())):INDIRECT(BB$3&amp;(ROW()))))</f>
        <v>0</v>
      </c>
      <c r="BC722" s="107">
        <f ca="1">SUM(INDIRECT(BC$1&amp;BC$2&amp;$C722):INDIRECT(BC$1&amp;BC$3&amp;$C722))</f>
        <v>0</v>
      </c>
      <c r="BD722" s="898">
        <f t="shared" ca="1" si="1405"/>
        <v>0</v>
      </c>
      <c r="BE722" s="959">
        <f t="shared" ca="1" si="1406"/>
        <v>0</v>
      </c>
      <c r="BF722" s="107">
        <f ca="1">SUM(INDIRECT(BF$1&amp;BF$2&amp;$A722):INDIRECT(BF$1&amp;BF$3&amp;$A722))</f>
        <v>0</v>
      </c>
      <c r="BG722" s="898">
        <f t="shared" ca="1" si="1407"/>
        <v>0</v>
      </c>
      <c r="BH722" s="959">
        <f t="shared" ca="1" si="1408"/>
        <v>0</v>
      </c>
    </row>
    <row r="723" spans="1:60" ht="14.5">
      <c r="A723" s="990">
        <f t="shared" si="1333"/>
        <v>658</v>
      </c>
      <c r="B723" s="990">
        <v>1</v>
      </c>
      <c r="C723" s="990">
        <f t="shared" si="1428"/>
        <v>720</v>
      </c>
      <c r="E723" s="1243">
        <v>1</v>
      </c>
      <c r="I723" s="445"/>
      <c r="J723" s="446"/>
      <c r="K723" s="74"/>
      <c r="L723" s="74"/>
      <c r="M723" s="75"/>
      <c r="N723" s="75" t="s">
        <v>368</v>
      </c>
      <c r="O723" s="391"/>
      <c r="P723" s="391"/>
      <c r="Q723" s="1843" t="str">
        <f>CHOOSE(2, "6722000003642", "S/GP (3) Gross Profit Indirect NH Label Printer")</f>
        <v>S/GP (3) Gross Profit Indirect NH Label Printer</v>
      </c>
      <c r="R723" s="64">
        <f t="shared" ref="R723:AC723" si="1451">R724+R725</f>
        <v>0</v>
      </c>
      <c r="S723" s="64">
        <f t="shared" si="1451"/>
        <v>0</v>
      </c>
      <c r="T723" s="64">
        <f t="shared" si="1451"/>
        <v>0</v>
      </c>
      <c r="U723" s="64">
        <f t="shared" si="1451"/>
        <v>0</v>
      </c>
      <c r="V723" s="64">
        <f t="shared" si="1451"/>
        <v>0</v>
      </c>
      <c r="W723" s="64">
        <f t="shared" si="1451"/>
        <v>0</v>
      </c>
      <c r="X723" s="64">
        <f t="shared" si="1451"/>
        <v>0</v>
      </c>
      <c r="Y723" s="64">
        <f t="shared" si="1451"/>
        <v>0</v>
      </c>
      <c r="Z723" s="64">
        <f t="shared" si="1451"/>
        <v>0</v>
      </c>
      <c r="AA723" s="64">
        <f t="shared" si="1451"/>
        <v>0</v>
      </c>
      <c r="AB723" s="64">
        <f t="shared" si="1451"/>
        <v>0</v>
      </c>
      <c r="AC723" s="64">
        <f t="shared" si="1451"/>
        <v>0</v>
      </c>
      <c r="AD723" s="1545">
        <f t="shared" ref="AD723:AJ723" si="1452">AD724+AD725</f>
        <v>0</v>
      </c>
      <c r="AE723" s="64">
        <f t="shared" si="1452"/>
        <v>0</v>
      </c>
      <c r="AF723" s="64">
        <f t="shared" si="1452"/>
        <v>0</v>
      </c>
      <c r="AG723" s="64">
        <f t="shared" si="1452"/>
        <v>0</v>
      </c>
      <c r="AH723" s="64">
        <f t="shared" si="1452"/>
        <v>0</v>
      </c>
      <c r="AI723" s="64">
        <f t="shared" si="1452"/>
        <v>0</v>
      </c>
      <c r="AJ723" s="64">
        <f t="shared" si="1452"/>
        <v>0</v>
      </c>
      <c r="AL723" s="64">
        <f ca="1">SUM((INDIRECT(AL$2&amp;(ROW())):INDIRECT(AL$3&amp;(ROW()))))</f>
        <v>0</v>
      </c>
      <c r="AM723" s="64">
        <f ca="1">SUM(INDIRECT(AM$1&amp;AM$2&amp;$C723):INDIRECT(AM$1&amp;AM$3&amp;$C723))</f>
        <v>0</v>
      </c>
      <c r="AN723" s="902">
        <f t="shared" ca="1" si="1397"/>
        <v>0</v>
      </c>
      <c r="AO723" s="963">
        <f t="shared" ca="1" si="1398"/>
        <v>0</v>
      </c>
      <c r="AP723" s="64">
        <f ca="1">SUM(INDIRECT(AP$1&amp;AP$2&amp;$A723):INDIRECT(AP$1&amp;AP$3&amp;$A723))</f>
        <v>0</v>
      </c>
      <c r="AQ723" s="902">
        <f t="shared" ca="1" si="1399"/>
        <v>0</v>
      </c>
      <c r="AR723" s="963">
        <f t="shared" ca="1" si="1400"/>
        <v>0</v>
      </c>
      <c r="AT723" s="64">
        <f ca="1">SUM((INDIRECT(AT$2&amp;(ROW())):INDIRECT(AT$3&amp;(ROW()))))</f>
        <v>0</v>
      </c>
      <c r="AU723" s="64">
        <f ca="1">SUM(INDIRECT(AU$1&amp;AU$2&amp;$C723):INDIRECT(AU$1&amp;AU$3&amp;$C723))</f>
        <v>0</v>
      </c>
      <c r="AV723" s="902">
        <f t="shared" ca="1" si="1401"/>
        <v>0</v>
      </c>
      <c r="AW723" s="963">
        <f t="shared" ca="1" si="1402"/>
        <v>0</v>
      </c>
      <c r="AX723" s="64">
        <f ca="1">SUM(INDIRECT(AX$1&amp;AX$2&amp;$A723):INDIRECT(AX$1&amp;AX$3&amp;$A723))</f>
        <v>0</v>
      </c>
      <c r="AY723" s="902">
        <f t="shared" ca="1" si="1403"/>
        <v>0</v>
      </c>
      <c r="AZ723" s="963">
        <f t="shared" ca="1" si="1404"/>
        <v>0</v>
      </c>
      <c r="BB723" s="64">
        <f ca="1">SUM((INDIRECT(BB$2&amp;(ROW())):INDIRECT(BB$3&amp;(ROW()))))</f>
        <v>0</v>
      </c>
      <c r="BC723" s="64">
        <f ca="1">SUM(INDIRECT(BC$1&amp;BC$2&amp;$C723):INDIRECT(BC$1&amp;BC$3&amp;$C723))</f>
        <v>0</v>
      </c>
      <c r="BD723" s="902">
        <f t="shared" ca="1" si="1405"/>
        <v>0</v>
      </c>
      <c r="BE723" s="963">
        <f t="shared" ca="1" si="1406"/>
        <v>0</v>
      </c>
      <c r="BF723" s="64">
        <f ca="1">SUM(INDIRECT(BF$1&amp;BF$2&amp;$A723):INDIRECT(BF$1&amp;BF$3&amp;$A723))</f>
        <v>0</v>
      </c>
      <c r="BG723" s="902">
        <f t="shared" ca="1" si="1407"/>
        <v>0</v>
      </c>
      <c r="BH723" s="963">
        <f t="shared" ca="1" si="1408"/>
        <v>0</v>
      </c>
    </row>
    <row r="724" spans="1:60" ht="14.5">
      <c r="A724" s="990">
        <f t="shared" si="1333"/>
        <v>659</v>
      </c>
      <c r="B724" s="990">
        <v>1</v>
      </c>
      <c r="C724" s="990">
        <f t="shared" si="1428"/>
        <v>721</v>
      </c>
      <c r="E724" s="1243">
        <v>1</v>
      </c>
      <c r="I724" s="445"/>
      <c r="J724" s="446"/>
      <c r="K724" s="74"/>
      <c r="L724" s="74"/>
      <c r="M724" s="75"/>
      <c r="N724" s="75"/>
      <c r="O724" s="394" t="s">
        <v>384</v>
      </c>
      <c r="P724" s="394"/>
      <c r="Q724" s="1845" t="str">
        <f>CHOOSE(2, "6722000003643", "S/GP (3) Gross Profit Indirect NH Label Printer LP")</f>
        <v>S/GP (3) Gross Profit Indirect NH Label Printer LP</v>
      </c>
      <c r="R724" s="2057">
        <v>0</v>
      </c>
      <c r="S724" s="2057">
        <v>0</v>
      </c>
      <c r="T724" s="2057">
        <v>0</v>
      </c>
      <c r="U724" s="2057">
        <v>0</v>
      </c>
      <c r="V724" s="2057">
        <v>0</v>
      </c>
      <c r="W724" s="2057">
        <v>0</v>
      </c>
      <c r="X724" s="2057">
        <v>0</v>
      </c>
      <c r="Y724" s="2057">
        <v>0</v>
      </c>
      <c r="Z724" s="2057">
        <v>0</v>
      </c>
      <c r="AA724" s="2057">
        <v>0</v>
      </c>
      <c r="AB724" s="2057">
        <v>0</v>
      </c>
      <c r="AC724" s="2057">
        <v>0</v>
      </c>
      <c r="AD724" s="1545">
        <f>SUM(R724,S724,T724)</f>
        <v>0</v>
      </c>
      <c r="AE724" s="64">
        <f t="shared" ref="AE724" si="1453">SUM(U724,V724,W724)</f>
        <v>0</v>
      </c>
      <c r="AF724" s="64">
        <f t="shared" ref="AF724" si="1454">SUM(X724,Y724,Z724)</f>
        <v>0</v>
      </c>
      <c r="AG724" s="64">
        <f t="shared" ref="AG724" si="1455">SUM(AA724,AB724,AC724)</f>
        <v>0</v>
      </c>
      <c r="AH724" s="64">
        <f>AD724+AE724</f>
        <v>0</v>
      </c>
      <c r="AI724" s="64">
        <f>AG724+AF724</f>
        <v>0</v>
      </c>
      <c r="AJ724" s="64">
        <f>AH724+AI724</f>
        <v>0</v>
      </c>
      <c r="AL724" s="64">
        <f ca="1">SUM((INDIRECT(AL$2&amp;(ROW())):INDIRECT(AL$3&amp;(ROW()))))</f>
        <v>0</v>
      </c>
      <c r="AM724" s="64">
        <f ca="1">SUM(INDIRECT(AM$1&amp;AM$2&amp;$C724):INDIRECT(AM$1&amp;AM$3&amp;$C724))</f>
        <v>0</v>
      </c>
      <c r="AN724" s="902">
        <f t="shared" ca="1" si="1397"/>
        <v>0</v>
      </c>
      <c r="AO724" s="963">
        <f t="shared" ca="1" si="1398"/>
        <v>0</v>
      </c>
      <c r="AP724" s="64">
        <f ca="1">SUM(INDIRECT(AP$1&amp;AP$2&amp;$A724):INDIRECT(AP$1&amp;AP$3&amp;$A724))</f>
        <v>0</v>
      </c>
      <c r="AQ724" s="902">
        <f t="shared" ca="1" si="1399"/>
        <v>0</v>
      </c>
      <c r="AR724" s="963">
        <f t="shared" ca="1" si="1400"/>
        <v>0</v>
      </c>
      <c r="AT724" s="64">
        <f ca="1">SUM((INDIRECT(AT$2&amp;(ROW())):INDIRECT(AT$3&amp;(ROW()))))</f>
        <v>0</v>
      </c>
      <c r="AU724" s="64">
        <f ca="1">SUM(INDIRECT(AU$1&amp;AU$2&amp;$C724):INDIRECT(AU$1&amp;AU$3&amp;$C724))</f>
        <v>0</v>
      </c>
      <c r="AV724" s="902">
        <f t="shared" ca="1" si="1401"/>
        <v>0</v>
      </c>
      <c r="AW724" s="963">
        <f t="shared" ca="1" si="1402"/>
        <v>0</v>
      </c>
      <c r="AX724" s="64">
        <f ca="1">SUM(INDIRECT(AX$1&amp;AX$2&amp;$A724):INDIRECT(AX$1&amp;AX$3&amp;$A724))</f>
        <v>0</v>
      </c>
      <c r="AY724" s="902">
        <f t="shared" ca="1" si="1403"/>
        <v>0</v>
      </c>
      <c r="AZ724" s="963">
        <f t="shared" ca="1" si="1404"/>
        <v>0</v>
      </c>
      <c r="BB724" s="64">
        <f ca="1">SUM((INDIRECT(BB$2&amp;(ROW())):INDIRECT(BB$3&amp;(ROW()))))</f>
        <v>0</v>
      </c>
      <c r="BC724" s="64">
        <f ca="1">SUM(INDIRECT(BC$1&amp;BC$2&amp;$C724):INDIRECT(BC$1&amp;BC$3&amp;$C724))</f>
        <v>0</v>
      </c>
      <c r="BD724" s="902">
        <f t="shared" ca="1" si="1405"/>
        <v>0</v>
      </c>
      <c r="BE724" s="963">
        <f t="shared" ca="1" si="1406"/>
        <v>0</v>
      </c>
      <c r="BF724" s="64">
        <f ca="1">SUM(INDIRECT(BF$1&amp;BF$2&amp;$A724):INDIRECT(BF$1&amp;BF$3&amp;$A724))</f>
        <v>0</v>
      </c>
      <c r="BG724" s="902">
        <f t="shared" ca="1" si="1407"/>
        <v>0</v>
      </c>
      <c r="BH724" s="963">
        <f t="shared" ca="1" si="1408"/>
        <v>0</v>
      </c>
    </row>
    <row r="725" spans="1:60" s="75" customFormat="1" ht="14.5">
      <c r="A725" s="990">
        <f t="shared" si="1333"/>
        <v>660</v>
      </c>
      <c r="B725" s="990">
        <v>1</v>
      </c>
      <c r="C725" s="990">
        <f t="shared" si="1428"/>
        <v>722</v>
      </c>
      <c r="E725" s="1243">
        <v>1</v>
      </c>
      <c r="F725" s="10"/>
      <c r="G725" s="10"/>
      <c r="H725" s="24"/>
      <c r="I725" s="445"/>
      <c r="J725" s="446"/>
      <c r="K725" s="74"/>
      <c r="L725" s="74"/>
      <c r="O725" s="395" t="s">
        <v>367</v>
      </c>
      <c r="P725" s="395"/>
      <c r="Q725" s="1848" t="str">
        <f>CHOOSE(2, "6722000003644", "S/GP (3) Gross Profit Indirect NH Label Printer FSC (-)")</f>
        <v>S/GP (3) Gross Profit Indirect NH Label Printer FSC (-)</v>
      </c>
      <c r="R725" s="385">
        <f t="shared" ref="R725:AC725" si="1456">SUM(R726:R728)</f>
        <v>0</v>
      </c>
      <c r="S725" s="385">
        <f t="shared" si="1456"/>
        <v>0</v>
      </c>
      <c r="T725" s="385">
        <f t="shared" si="1456"/>
        <v>0</v>
      </c>
      <c r="U725" s="385">
        <f t="shared" si="1456"/>
        <v>0</v>
      </c>
      <c r="V725" s="385">
        <f t="shared" si="1456"/>
        <v>0</v>
      </c>
      <c r="W725" s="385">
        <f t="shared" si="1456"/>
        <v>0</v>
      </c>
      <c r="X725" s="385">
        <f t="shared" si="1456"/>
        <v>0</v>
      </c>
      <c r="Y725" s="385">
        <f t="shared" si="1456"/>
        <v>0</v>
      </c>
      <c r="Z725" s="385">
        <f t="shared" si="1456"/>
        <v>0</v>
      </c>
      <c r="AA725" s="385">
        <f t="shared" si="1456"/>
        <v>0</v>
      </c>
      <c r="AB725" s="385">
        <f t="shared" si="1456"/>
        <v>0</v>
      </c>
      <c r="AC725" s="385">
        <f t="shared" si="1456"/>
        <v>0</v>
      </c>
      <c r="AD725" s="1540">
        <f>SUM(R725:T725)</f>
        <v>0</v>
      </c>
      <c r="AE725" s="385">
        <f>SUM(U725:W725)</f>
        <v>0</v>
      </c>
      <c r="AF725" s="385">
        <f>SUM(X725:Z725)</f>
        <v>0</v>
      </c>
      <c r="AG725" s="385">
        <f>SUM(AA725:AC725)</f>
        <v>0</v>
      </c>
      <c r="AH725" s="385">
        <f>AD725+AE725</f>
        <v>0</v>
      </c>
      <c r="AI725" s="385">
        <f>AG725+AF725</f>
        <v>0</v>
      </c>
      <c r="AJ725" s="385">
        <f>AH725+AI725</f>
        <v>0</v>
      </c>
      <c r="AL725" s="385">
        <f ca="1">SUM((INDIRECT(AL$2&amp;(ROW())):INDIRECT(AL$3&amp;(ROW()))))</f>
        <v>0</v>
      </c>
      <c r="AM725" s="385">
        <f ca="1">SUM(INDIRECT(AM$1&amp;AM$2&amp;$C725):INDIRECT(AM$1&amp;AM$3&amp;$C725))</f>
        <v>0</v>
      </c>
      <c r="AN725" s="897">
        <f t="shared" ca="1" si="1397"/>
        <v>0</v>
      </c>
      <c r="AO725" s="958">
        <f t="shared" ca="1" si="1398"/>
        <v>0</v>
      </c>
      <c r="AP725" s="385">
        <f ca="1">SUM(INDIRECT(AP$1&amp;AP$2&amp;$A725):INDIRECT(AP$1&amp;AP$3&amp;$A725))</f>
        <v>0</v>
      </c>
      <c r="AQ725" s="897">
        <f t="shared" ca="1" si="1399"/>
        <v>0</v>
      </c>
      <c r="AR725" s="958">
        <f t="shared" ca="1" si="1400"/>
        <v>0</v>
      </c>
      <c r="AT725" s="385">
        <f ca="1">SUM((INDIRECT(AT$2&amp;(ROW())):INDIRECT(AT$3&amp;(ROW()))))</f>
        <v>0</v>
      </c>
      <c r="AU725" s="385">
        <f ca="1">SUM(INDIRECT(AU$1&amp;AU$2&amp;$C725):INDIRECT(AU$1&amp;AU$3&amp;$C725))</f>
        <v>0</v>
      </c>
      <c r="AV725" s="897">
        <f t="shared" ca="1" si="1401"/>
        <v>0</v>
      </c>
      <c r="AW725" s="958">
        <f t="shared" ca="1" si="1402"/>
        <v>0</v>
      </c>
      <c r="AX725" s="385">
        <f ca="1">SUM(INDIRECT(AX$1&amp;AX$2&amp;$A725):INDIRECT(AX$1&amp;AX$3&amp;$A725))</f>
        <v>0</v>
      </c>
      <c r="AY725" s="897">
        <f t="shared" ca="1" si="1403"/>
        <v>0</v>
      </c>
      <c r="AZ725" s="958">
        <f t="shared" ca="1" si="1404"/>
        <v>0</v>
      </c>
      <c r="BB725" s="385">
        <f ca="1">SUM((INDIRECT(BB$2&amp;(ROW())):INDIRECT(BB$3&amp;(ROW()))))</f>
        <v>0</v>
      </c>
      <c r="BC725" s="385">
        <f ca="1">SUM(INDIRECT(BC$1&amp;BC$2&amp;$C725):INDIRECT(BC$1&amp;BC$3&amp;$C725))</f>
        <v>0</v>
      </c>
      <c r="BD725" s="897">
        <f t="shared" ca="1" si="1405"/>
        <v>0</v>
      </c>
      <c r="BE725" s="958">
        <f t="shared" ca="1" si="1406"/>
        <v>0</v>
      </c>
      <c r="BF725" s="385">
        <f ca="1">SUM(INDIRECT(BF$1&amp;BF$2&amp;$A725):INDIRECT(BF$1&amp;BF$3&amp;$A725))</f>
        <v>0</v>
      </c>
      <c r="BG725" s="897">
        <f t="shared" ca="1" si="1407"/>
        <v>0</v>
      </c>
      <c r="BH725" s="958">
        <f t="shared" ca="1" si="1408"/>
        <v>0</v>
      </c>
    </row>
    <row r="726" spans="1:60" s="75" customFormat="1" ht="14.5">
      <c r="A726" s="990">
        <f t="shared" ref="A726:A775" si="1457">A725+1</f>
        <v>661</v>
      </c>
      <c r="B726" s="990">
        <v>1</v>
      </c>
      <c r="C726" s="990">
        <f t="shared" si="1428"/>
        <v>723</v>
      </c>
      <c r="E726" s="1243">
        <v>1</v>
      </c>
      <c r="F726" s="10"/>
      <c r="G726" s="10"/>
      <c r="H726" s="24"/>
      <c r="I726" s="445"/>
      <c r="J726" s="446"/>
      <c r="K726" s="74"/>
      <c r="L726" s="74"/>
      <c r="O726" s="396"/>
      <c r="P726" s="371" t="s">
        <v>378</v>
      </c>
      <c r="Q726" s="1845" t="str">
        <f>CHOOSE(2, "6722000003645", "S/GP (3) Gross Profit Indirect NH Label Printer FSC (-) PC")</f>
        <v>S/GP (3) Gross Profit Indirect NH Label Printer FSC (-) PC</v>
      </c>
      <c r="R726" s="2042">
        <v>0</v>
      </c>
      <c r="S726" s="2042">
        <v>0</v>
      </c>
      <c r="T726" s="2042">
        <v>0</v>
      </c>
      <c r="U726" s="2042">
        <v>0</v>
      </c>
      <c r="V726" s="2042">
        <v>0</v>
      </c>
      <c r="W726" s="2042">
        <v>0</v>
      </c>
      <c r="X726" s="2042">
        <v>0</v>
      </c>
      <c r="Y726" s="2042">
        <v>0</v>
      </c>
      <c r="Z726" s="2042">
        <v>0</v>
      </c>
      <c r="AA726" s="2042">
        <v>0</v>
      </c>
      <c r="AB726" s="2042">
        <v>0</v>
      </c>
      <c r="AC726" s="2042">
        <v>0</v>
      </c>
      <c r="AD726" s="1537">
        <f>SUM(R726,S726,T726)</f>
        <v>0</v>
      </c>
      <c r="AE726" s="108">
        <f t="shared" ref="AE726:AE728" si="1458">SUM(U726,V726,W726)</f>
        <v>0</v>
      </c>
      <c r="AF726" s="108">
        <f t="shared" ref="AF726:AF728" si="1459">SUM(X726,Y726,Z726)</f>
        <v>0</v>
      </c>
      <c r="AG726" s="108">
        <f t="shared" ref="AG726:AG728" si="1460">SUM(AA726,AB726,AC726)</f>
        <v>0</v>
      </c>
      <c r="AH726" s="108">
        <f>AD726+AE726</f>
        <v>0</v>
      </c>
      <c r="AI726" s="108">
        <f>AG726+AF726</f>
        <v>0</v>
      </c>
      <c r="AJ726" s="108">
        <f>AH726+AI726</f>
        <v>0</v>
      </c>
      <c r="AL726" s="108">
        <f ca="1">SUM((INDIRECT(AL$2&amp;(ROW())):INDIRECT(AL$3&amp;(ROW()))))</f>
        <v>0</v>
      </c>
      <c r="AM726" s="108">
        <f ca="1">SUM(INDIRECT(AM$1&amp;AM$2&amp;$C726):INDIRECT(AM$1&amp;AM$3&amp;$C726))</f>
        <v>0</v>
      </c>
      <c r="AN726" s="893">
        <f t="shared" ca="1" si="1397"/>
        <v>0</v>
      </c>
      <c r="AO726" s="954">
        <f t="shared" ca="1" si="1398"/>
        <v>0</v>
      </c>
      <c r="AP726" s="108">
        <f ca="1">SUM(INDIRECT(AP$1&amp;AP$2&amp;$A726):INDIRECT(AP$1&amp;AP$3&amp;$A726))</f>
        <v>0</v>
      </c>
      <c r="AQ726" s="893">
        <f t="shared" ca="1" si="1399"/>
        <v>0</v>
      </c>
      <c r="AR726" s="954">
        <f t="shared" ca="1" si="1400"/>
        <v>0</v>
      </c>
      <c r="AT726" s="108">
        <f ca="1">SUM((INDIRECT(AT$2&amp;(ROW())):INDIRECT(AT$3&amp;(ROW()))))</f>
        <v>0</v>
      </c>
      <c r="AU726" s="108">
        <f ca="1">SUM(INDIRECT(AU$1&amp;AU$2&amp;$C726):INDIRECT(AU$1&amp;AU$3&amp;$C726))</f>
        <v>0</v>
      </c>
      <c r="AV726" s="893">
        <f t="shared" ca="1" si="1401"/>
        <v>0</v>
      </c>
      <c r="AW726" s="954">
        <f t="shared" ca="1" si="1402"/>
        <v>0</v>
      </c>
      <c r="AX726" s="108">
        <f ca="1">SUM(INDIRECT(AX$1&amp;AX$2&amp;$A726):INDIRECT(AX$1&amp;AX$3&amp;$A726))</f>
        <v>0</v>
      </c>
      <c r="AY726" s="893">
        <f t="shared" ca="1" si="1403"/>
        <v>0</v>
      </c>
      <c r="AZ726" s="954">
        <f t="shared" ca="1" si="1404"/>
        <v>0</v>
      </c>
      <c r="BB726" s="108">
        <f ca="1">SUM((INDIRECT(BB$2&amp;(ROW())):INDIRECT(BB$3&amp;(ROW()))))</f>
        <v>0</v>
      </c>
      <c r="BC726" s="108">
        <f ca="1">SUM(INDIRECT(BC$1&amp;BC$2&amp;$C726):INDIRECT(BC$1&amp;BC$3&amp;$C726))</f>
        <v>0</v>
      </c>
      <c r="BD726" s="893">
        <f t="shared" ca="1" si="1405"/>
        <v>0</v>
      </c>
      <c r="BE726" s="954">
        <f t="shared" ca="1" si="1406"/>
        <v>0</v>
      </c>
      <c r="BF726" s="108">
        <f ca="1">SUM(INDIRECT(BF$1&amp;BF$2&amp;$A726):INDIRECT(BF$1&amp;BF$3&amp;$A726))</f>
        <v>0</v>
      </c>
      <c r="BG726" s="893">
        <f t="shared" ca="1" si="1407"/>
        <v>0</v>
      </c>
      <c r="BH726" s="954">
        <f t="shared" ca="1" si="1408"/>
        <v>0</v>
      </c>
    </row>
    <row r="727" spans="1:60" s="75" customFormat="1" ht="14.5">
      <c r="A727" s="990">
        <f t="shared" si="1457"/>
        <v>662</v>
      </c>
      <c r="B727" s="990">
        <v>1</v>
      </c>
      <c r="C727" s="990">
        <f t="shared" si="1428"/>
        <v>724</v>
      </c>
      <c r="E727" s="1243">
        <v>1</v>
      </c>
      <c r="F727" s="10"/>
      <c r="G727" s="10"/>
      <c r="H727" s="24"/>
      <c r="I727" s="445"/>
      <c r="J727" s="446"/>
      <c r="K727" s="74"/>
      <c r="L727" s="74"/>
      <c r="O727" s="301"/>
      <c r="P727" s="299" t="s">
        <v>379</v>
      </c>
      <c r="Q727" s="1845" t="str">
        <f>CHOOSE(2, "6722000003646", "S/GP (3) Gross Profit Indirect NH Label Printer FSC (-) TE")</f>
        <v>S/GP (3) Gross Profit Indirect NH Label Printer FSC (-) TE</v>
      </c>
      <c r="R727" s="2036">
        <v>0</v>
      </c>
      <c r="S727" s="2036">
        <v>0</v>
      </c>
      <c r="T727" s="2036">
        <v>0</v>
      </c>
      <c r="U727" s="2036">
        <v>0</v>
      </c>
      <c r="V727" s="2036">
        <v>0</v>
      </c>
      <c r="W727" s="2036">
        <v>0</v>
      </c>
      <c r="X727" s="2036">
        <v>0</v>
      </c>
      <c r="Y727" s="2036">
        <v>0</v>
      </c>
      <c r="Z727" s="2036">
        <v>0</v>
      </c>
      <c r="AA727" s="2036">
        <v>0</v>
      </c>
      <c r="AB727" s="2036">
        <v>0</v>
      </c>
      <c r="AC727" s="2036">
        <v>0</v>
      </c>
      <c r="AD727" s="1380">
        <f>SUM(R727,S727,T727)</f>
        <v>0</v>
      </c>
      <c r="AE727" s="107">
        <f t="shared" si="1458"/>
        <v>0</v>
      </c>
      <c r="AF727" s="107">
        <f t="shared" si="1459"/>
        <v>0</v>
      </c>
      <c r="AG727" s="107">
        <f t="shared" si="1460"/>
        <v>0</v>
      </c>
      <c r="AH727" s="107">
        <f>AD727+AE727</f>
        <v>0</v>
      </c>
      <c r="AI727" s="107">
        <f>AG727+AF727</f>
        <v>0</v>
      </c>
      <c r="AJ727" s="107">
        <f>AH727+AI727</f>
        <v>0</v>
      </c>
      <c r="AL727" s="107">
        <f ca="1">SUM((INDIRECT(AL$2&amp;(ROW())):INDIRECT(AL$3&amp;(ROW()))))</f>
        <v>0</v>
      </c>
      <c r="AM727" s="107">
        <f ca="1">SUM(INDIRECT(AM$1&amp;AM$2&amp;$C727):INDIRECT(AM$1&amp;AM$3&amp;$C727))</f>
        <v>0</v>
      </c>
      <c r="AN727" s="898">
        <f t="shared" ca="1" si="1397"/>
        <v>0</v>
      </c>
      <c r="AO727" s="959">
        <f t="shared" ca="1" si="1398"/>
        <v>0</v>
      </c>
      <c r="AP727" s="107">
        <f ca="1">SUM(INDIRECT(AP$1&amp;AP$2&amp;$A727):INDIRECT(AP$1&amp;AP$3&amp;$A727))</f>
        <v>0</v>
      </c>
      <c r="AQ727" s="898">
        <f t="shared" ca="1" si="1399"/>
        <v>0</v>
      </c>
      <c r="AR727" s="959">
        <f t="shared" ca="1" si="1400"/>
        <v>0</v>
      </c>
      <c r="AT727" s="107">
        <f ca="1">SUM((INDIRECT(AT$2&amp;(ROW())):INDIRECT(AT$3&amp;(ROW()))))</f>
        <v>0</v>
      </c>
      <c r="AU727" s="107">
        <f ca="1">SUM(INDIRECT(AU$1&amp;AU$2&amp;$C727):INDIRECT(AU$1&amp;AU$3&amp;$C727))</f>
        <v>0</v>
      </c>
      <c r="AV727" s="898">
        <f t="shared" ca="1" si="1401"/>
        <v>0</v>
      </c>
      <c r="AW727" s="959">
        <f t="shared" ca="1" si="1402"/>
        <v>0</v>
      </c>
      <c r="AX727" s="107">
        <f ca="1">SUM(INDIRECT(AX$1&amp;AX$2&amp;$A727):INDIRECT(AX$1&amp;AX$3&amp;$A727))</f>
        <v>0</v>
      </c>
      <c r="AY727" s="898">
        <f t="shared" ca="1" si="1403"/>
        <v>0</v>
      </c>
      <c r="AZ727" s="959">
        <f t="shared" ca="1" si="1404"/>
        <v>0</v>
      </c>
      <c r="BB727" s="107">
        <f ca="1">SUM((INDIRECT(BB$2&amp;(ROW())):INDIRECT(BB$3&amp;(ROW()))))</f>
        <v>0</v>
      </c>
      <c r="BC727" s="107">
        <f ca="1">SUM(INDIRECT(BC$1&amp;BC$2&amp;$C727):INDIRECT(BC$1&amp;BC$3&amp;$C727))</f>
        <v>0</v>
      </c>
      <c r="BD727" s="898">
        <f t="shared" ca="1" si="1405"/>
        <v>0</v>
      </c>
      <c r="BE727" s="959">
        <f t="shared" ca="1" si="1406"/>
        <v>0</v>
      </c>
      <c r="BF727" s="107">
        <f ca="1">SUM(INDIRECT(BF$1&amp;BF$2&amp;$A727):INDIRECT(BF$1&amp;BF$3&amp;$A727))</f>
        <v>0</v>
      </c>
      <c r="BG727" s="898">
        <f t="shared" ca="1" si="1407"/>
        <v>0</v>
      </c>
      <c r="BH727" s="959">
        <f t="shared" ca="1" si="1408"/>
        <v>0</v>
      </c>
    </row>
    <row r="728" spans="1:60" s="75" customFormat="1" ht="14.5">
      <c r="A728" s="990">
        <f t="shared" si="1457"/>
        <v>663</v>
      </c>
      <c r="B728" s="990">
        <v>1</v>
      </c>
      <c r="C728" s="990">
        <f t="shared" si="1428"/>
        <v>725</v>
      </c>
      <c r="E728" s="1243">
        <v>1</v>
      </c>
      <c r="F728" s="10"/>
      <c r="G728" s="10"/>
      <c r="H728" s="24"/>
      <c r="I728" s="445"/>
      <c r="J728" s="446"/>
      <c r="K728" s="74"/>
      <c r="L728" s="74"/>
      <c r="N728" s="276"/>
      <c r="O728" s="302"/>
      <c r="P728" s="298" t="s">
        <v>386</v>
      </c>
      <c r="Q728" s="1845" t="str">
        <f>CHOOSE(2, "6722000003647", "S/GP (3) Gross Profit Indirect NH Label Printer FSC (-) OFC")</f>
        <v>S/GP (3) Gross Profit Indirect NH Label Printer FSC (-) OFC</v>
      </c>
      <c r="R728" s="2037">
        <v>0</v>
      </c>
      <c r="S728" s="2037">
        <v>0</v>
      </c>
      <c r="T728" s="2037">
        <v>0</v>
      </c>
      <c r="U728" s="2037">
        <v>0</v>
      </c>
      <c r="V728" s="2037">
        <v>0</v>
      </c>
      <c r="W728" s="2037">
        <v>0</v>
      </c>
      <c r="X728" s="2037">
        <v>0</v>
      </c>
      <c r="Y728" s="2037">
        <v>0</v>
      </c>
      <c r="Z728" s="2037">
        <v>0</v>
      </c>
      <c r="AA728" s="2037">
        <v>0</v>
      </c>
      <c r="AB728" s="2037">
        <v>0</v>
      </c>
      <c r="AC728" s="2037">
        <v>0</v>
      </c>
      <c r="AD728" s="1380">
        <f>SUM(R728,S728,T728)</f>
        <v>0</v>
      </c>
      <c r="AE728" s="107">
        <f t="shared" si="1458"/>
        <v>0</v>
      </c>
      <c r="AF728" s="107">
        <f t="shared" si="1459"/>
        <v>0</v>
      </c>
      <c r="AG728" s="107">
        <f t="shared" si="1460"/>
        <v>0</v>
      </c>
      <c r="AH728" s="107">
        <f>AD728+AE728</f>
        <v>0</v>
      </c>
      <c r="AI728" s="107">
        <f>AG728+AF728</f>
        <v>0</v>
      </c>
      <c r="AJ728" s="107">
        <f>AH728+AI728</f>
        <v>0</v>
      </c>
      <c r="AL728" s="107">
        <f ca="1">SUM((INDIRECT(AL$2&amp;(ROW())):INDIRECT(AL$3&amp;(ROW()))))</f>
        <v>0</v>
      </c>
      <c r="AM728" s="107">
        <f ca="1">SUM(INDIRECT(AM$1&amp;AM$2&amp;$C728):INDIRECT(AM$1&amp;AM$3&amp;$C728))</f>
        <v>0</v>
      </c>
      <c r="AN728" s="898">
        <f t="shared" ref="AN728:AN751" ca="1" si="1461">AL728-AM728</f>
        <v>0</v>
      </c>
      <c r="AO728" s="959">
        <f t="shared" ref="AO728:AO751" ca="1" si="1462">IFERROR(AL728/AM728,0)</f>
        <v>0</v>
      </c>
      <c r="AP728" s="107">
        <f ca="1">SUM(INDIRECT(AP$1&amp;AP$2&amp;$A728):INDIRECT(AP$1&amp;AP$3&amp;$A728))</f>
        <v>0</v>
      </c>
      <c r="AQ728" s="898">
        <f t="shared" ref="AQ728:AQ751" ca="1" si="1463">AL728-AP728</f>
        <v>0</v>
      </c>
      <c r="AR728" s="959">
        <f t="shared" ref="AR728:AR751" ca="1" si="1464">IFERROR(AL728/AP728,0)</f>
        <v>0</v>
      </c>
      <c r="AT728" s="107">
        <f ca="1">SUM((INDIRECT(AT$2&amp;(ROW())):INDIRECT(AT$3&amp;(ROW()))))</f>
        <v>0</v>
      </c>
      <c r="AU728" s="107">
        <f ca="1">SUM(INDIRECT(AU$1&amp;AU$2&amp;$C728):INDIRECT(AU$1&amp;AU$3&amp;$C728))</f>
        <v>0</v>
      </c>
      <c r="AV728" s="898">
        <f t="shared" ref="AV728:AV751" ca="1" si="1465">AT728-AU728</f>
        <v>0</v>
      </c>
      <c r="AW728" s="959">
        <f t="shared" ref="AW728:AW751" ca="1" si="1466">IFERROR(AT728/AU728,0)</f>
        <v>0</v>
      </c>
      <c r="AX728" s="107">
        <f ca="1">SUM(INDIRECT(AX$1&amp;AX$2&amp;$A728):INDIRECT(AX$1&amp;AX$3&amp;$A728))</f>
        <v>0</v>
      </c>
      <c r="AY728" s="898">
        <f t="shared" ref="AY728:AY751" ca="1" si="1467">AT728-AX728</f>
        <v>0</v>
      </c>
      <c r="AZ728" s="959">
        <f t="shared" ref="AZ728:AZ751" ca="1" si="1468">IFERROR(AT728/AX728,0)</f>
        <v>0</v>
      </c>
      <c r="BB728" s="107">
        <f ca="1">SUM((INDIRECT(BB$2&amp;(ROW())):INDIRECT(BB$3&amp;(ROW()))))</f>
        <v>0</v>
      </c>
      <c r="BC728" s="107">
        <f ca="1">SUM(INDIRECT(BC$1&amp;BC$2&amp;$C728):INDIRECT(BC$1&amp;BC$3&amp;$C728))</f>
        <v>0</v>
      </c>
      <c r="BD728" s="898">
        <f t="shared" ref="BD728:BD751" ca="1" si="1469">BB728-BC728</f>
        <v>0</v>
      </c>
      <c r="BE728" s="959">
        <f t="shared" ref="BE728:BE751" ca="1" si="1470">IFERROR(BB728/BC728,0)</f>
        <v>0</v>
      </c>
      <c r="BF728" s="107">
        <f ca="1">SUM(INDIRECT(BF$1&amp;BF$2&amp;$A728):INDIRECT(BF$1&amp;BF$3&amp;$A728))</f>
        <v>0</v>
      </c>
      <c r="BG728" s="898">
        <f t="shared" ref="BG728:BG751" ca="1" si="1471">BB728-BF728</f>
        <v>0</v>
      </c>
      <c r="BH728" s="959">
        <f t="shared" ref="BH728:BH751" ca="1" si="1472">IFERROR(BB728/BF728,0)</f>
        <v>0</v>
      </c>
    </row>
    <row r="729" spans="1:60" ht="14.5">
      <c r="A729" s="990">
        <f t="shared" si="1457"/>
        <v>664</v>
      </c>
      <c r="B729" s="990">
        <v>1</v>
      </c>
      <c r="C729" s="990">
        <f t="shared" si="1428"/>
        <v>726</v>
      </c>
      <c r="E729" s="1243">
        <v>1</v>
      </c>
      <c r="I729" s="445"/>
      <c r="J729" s="446"/>
      <c r="K729" s="74"/>
      <c r="L729" s="74"/>
      <c r="M729" s="75"/>
      <c r="N729" s="75" t="s">
        <v>369</v>
      </c>
      <c r="O729" s="391"/>
      <c r="P729" s="391"/>
      <c r="Q729" s="1843" t="str">
        <f>CHOOSE(2, "6722000003648", "S/GP (3) Gross Profit Indirect NH MGI")</f>
        <v>S/GP (3) Gross Profit Indirect NH MGI</v>
      </c>
      <c r="R729" s="64">
        <f t="shared" ref="R729:AC729" si="1473">R730+R731</f>
        <v>0</v>
      </c>
      <c r="S729" s="64">
        <f t="shared" si="1473"/>
        <v>0</v>
      </c>
      <c r="T729" s="64">
        <f t="shared" si="1473"/>
        <v>0</v>
      </c>
      <c r="U729" s="64">
        <f t="shared" si="1473"/>
        <v>0</v>
      </c>
      <c r="V729" s="64">
        <f t="shared" si="1473"/>
        <v>0</v>
      </c>
      <c r="W729" s="64">
        <f t="shared" si="1473"/>
        <v>0</v>
      </c>
      <c r="X729" s="64">
        <f t="shared" si="1473"/>
        <v>0</v>
      </c>
      <c r="Y729" s="64">
        <f t="shared" si="1473"/>
        <v>0</v>
      </c>
      <c r="Z729" s="64">
        <f t="shared" si="1473"/>
        <v>0</v>
      </c>
      <c r="AA729" s="64">
        <f t="shared" si="1473"/>
        <v>0</v>
      </c>
      <c r="AB729" s="64">
        <f t="shared" si="1473"/>
        <v>0</v>
      </c>
      <c r="AC729" s="64">
        <f t="shared" si="1473"/>
        <v>0</v>
      </c>
      <c r="AD729" s="1545">
        <f t="shared" ref="AD729:AJ729" si="1474">AD730+AD731</f>
        <v>0</v>
      </c>
      <c r="AE729" s="64">
        <f t="shared" si="1474"/>
        <v>0</v>
      </c>
      <c r="AF729" s="64">
        <f t="shared" si="1474"/>
        <v>0</v>
      </c>
      <c r="AG729" s="64">
        <f t="shared" si="1474"/>
        <v>0</v>
      </c>
      <c r="AH729" s="64">
        <f t="shared" si="1474"/>
        <v>0</v>
      </c>
      <c r="AI729" s="64">
        <f t="shared" si="1474"/>
        <v>0</v>
      </c>
      <c r="AJ729" s="64">
        <f t="shared" si="1474"/>
        <v>0</v>
      </c>
      <c r="AL729" s="64">
        <f ca="1">SUM((INDIRECT(AL$2&amp;(ROW())):INDIRECT(AL$3&amp;(ROW()))))</f>
        <v>0</v>
      </c>
      <c r="AM729" s="64">
        <f ca="1">SUM(INDIRECT(AM$1&amp;AM$2&amp;$C729):INDIRECT(AM$1&amp;AM$3&amp;$C729))</f>
        <v>0</v>
      </c>
      <c r="AN729" s="902">
        <f t="shared" ca="1" si="1461"/>
        <v>0</v>
      </c>
      <c r="AO729" s="963">
        <f t="shared" ca="1" si="1462"/>
        <v>0</v>
      </c>
      <c r="AP729" s="64">
        <f ca="1">SUM(INDIRECT(AP$1&amp;AP$2&amp;$A729):INDIRECT(AP$1&amp;AP$3&amp;$A729))</f>
        <v>0</v>
      </c>
      <c r="AQ729" s="902">
        <f t="shared" ca="1" si="1463"/>
        <v>0</v>
      </c>
      <c r="AR729" s="963">
        <f t="shared" ca="1" si="1464"/>
        <v>0</v>
      </c>
      <c r="AT729" s="64">
        <f ca="1">SUM((INDIRECT(AT$2&amp;(ROW())):INDIRECT(AT$3&amp;(ROW()))))</f>
        <v>0</v>
      </c>
      <c r="AU729" s="64">
        <f ca="1">SUM(INDIRECT(AU$1&amp;AU$2&amp;$C729):INDIRECT(AU$1&amp;AU$3&amp;$C729))</f>
        <v>0</v>
      </c>
      <c r="AV729" s="902">
        <f t="shared" ca="1" si="1465"/>
        <v>0</v>
      </c>
      <c r="AW729" s="963">
        <f t="shared" ca="1" si="1466"/>
        <v>0</v>
      </c>
      <c r="AX729" s="64">
        <f ca="1">SUM(INDIRECT(AX$1&amp;AX$2&amp;$A729):INDIRECT(AX$1&amp;AX$3&amp;$A729))</f>
        <v>0</v>
      </c>
      <c r="AY729" s="902">
        <f t="shared" ca="1" si="1467"/>
        <v>0</v>
      </c>
      <c r="AZ729" s="963">
        <f t="shared" ca="1" si="1468"/>
        <v>0</v>
      </c>
      <c r="BB729" s="64">
        <f ca="1">SUM((INDIRECT(BB$2&amp;(ROW())):INDIRECT(BB$3&amp;(ROW()))))</f>
        <v>0</v>
      </c>
      <c r="BC729" s="64">
        <f ca="1">SUM(INDIRECT(BC$1&amp;BC$2&amp;$C729):INDIRECT(BC$1&amp;BC$3&amp;$C729))</f>
        <v>0</v>
      </c>
      <c r="BD729" s="902">
        <f t="shared" ca="1" si="1469"/>
        <v>0</v>
      </c>
      <c r="BE729" s="963">
        <f t="shared" ca="1" si="1470"/>
        <v>0</v>
      </c>
      <c r="BF729" s="64">
        <f ca="1">SUM(INDIRECT(BF$1&amp;BF$2&amp;$A729):INDIRECT(BF$1&amp;BF$3&amp;$A729))</f>
        <v>0</v>
      </c>
      <c r="BG729" s="902">
        <f t="shared" ca="1" si="1471"/>
        <v>0</v>
      </c>
      <c r="BH729" s="963">
        <f t="shared" ca="1" si="1472"/>
        <v>0</v>
      </c>
    </row>
    <row r="730" spans="1:60" ht="14.5">
      <c r="A730" s="990">
        <f t="shared" si="1457"/>
        <v>665</v>
      </c>
      <c r="B730" s="990">
        <v>1</v>
      </c>
      <c r="C730" s="990">
        <f t="shared" si="1428"/>
        <v>727</v>
      </c>
      <c r="E730" s="1243">
        <v>1</v>
      </c>
      <c r="I730" s="445"/>
      <c r="J730" s="446"/>
      <c r="K730" s="74"/>
      <c r="L730" s="74"/>
      <c r="M730" s="75"/>
      <c r="N730" s="75"/>
      <c r="O730" s="394" t="s">
        <v>381</v>
      </c>
      <c r="P730" s="394"/>
      <c r="Q730" s="1845" t="str">
        <f>CHOOSE(2, "6722000003649", "S/GP (3) Gross Profit Indirect NH MGI MGI")</f>
        <v>S/GP (3) Gross Profit Indirect NH MGI MGI</v>
      </c>
      <c r="R730" s="2057">
        <v>0</v>
      </c>
      <c r="S730" s="2057">
        <v>0</v>
      </c>
      <c r="T730" s="2057">
        <v>0</v>
      </c>
      <c r="U730" s="2057">
        <v>0</v>
      </c>
      <c r="V730" s="2057">
        <v>0</v>
      </c>
      <c r="W730" s="2057">
        <v>0</v>
      </c>
      <c r="X730" s="2057">
        <v>0</v>
      </c>
      <c r="Y730" s="2057">
        <v>0</v>
      </c>
      <c r="Z730" s="2057">
        <v>0</v>
      </c>
      <c r="AA730" s="2057">
        <v>0</v>
      </c>
      <c r="AB730" s="2057">
        <v>0</v>
      </c>
      <c r="AC730" s="2057">
        <v>0</v>
      </c>
      <c r="AD730" s="1545">
        <f>SUM(R730,S730,T730)</f>
        <v>0</v>
      </c>
      <c r="AE730" s="64">
        <f t="shared" ref="AE730" si="1475">SUM(U730,V730,W730)</f>
        <v>0</v>
      </c>
      <c r="AF730" s="64">
        <f t="shared" ref="AF730" si="1476">SUM(X730,Y730,Z730)</f>
        <v>0</v>
      </c>
      <c r="AG730" s="64">
        <f t="shared" ref="AG730" si="1477">SUM(AA730,AB730,AC730)</f>
        <v>0</v>
      </c>
      <c r="AH730" s="64">
        <f>AD730+AE730</f>
        <v>0</v>
      </c>
      <c r="AI730" s="64">
        <f>AG730+AF730</f>
        <v>0</v>
      </c>
      <c r="AJ730" s="64">
        <f>AH730+AI730</f>
        <v>0</v>
      </c>
      <c r="AL730" s="64">
        <f ca="1">SUM((INDIRECT(AL$2&amp;(ROW())):INDIRECT(AL$3&amp;(ROW()))))</f>
        <v>0</v>
      </c>
      <c r="AM730" s="64">
        <f ca="1">SUM(INDIRECT(AM$1&amp;AM$2&amp;$C730):INDIRECT(AM$1&amp;AM$3&amp;$C730))</f>
        <v>0</v>
      </c>
      <c r="AN730" s="902">
        <f t="shared" ca="1" si="1461"/>
        <v>0</v>
      </c>
      <c r="AO730" s="963">
        <f t="shared" ca="1" si="1462"/>
        <v>0</v>
      </c>
      <c r="AP730" s="64">
        <f ca="1">SUM(INDIRECT(AP$1&amp;AP$2&amp;$A730):INDIRECT(AP$1&amp;AP$3&amp;$A730))</f>
        <v>0</v>
      </c>
      <c r="AQ730" s="902">
        <f t="shared" ca="1" si="1463"/>
        <v>0</v>
      </c>
      <c r="AR730" s="963">
        <f t="shared" ca="1" si="1464"/>
        <v>0</v>
      </c>
      <c r="AT730" s="64">
        <f ca="1">SUM((INDIRECT(AT$2&amp;(ROW())):INDIRECT(AT$3&amp;(ROW()))))</f>
        <v>0</v>
      </c>
      <c r="AU730" s="64">
        <f ca="1">SUM(INDIRECT(AU$1&amp;AU$2&amp;$C730):INDIRECT(AU$1&amp;AU$3&amp;$C730))</f>
        <v>0</v>
      </c>
      <c r="AV730" s="902">
        <f t="shared" ca="1" si="1465"/>
        <v>0</v>
      </c>
      <c r="AW730" s="963">
        <f t="shared" ca="1" si="1466"/>
        <v>0</v>
      </c>
      <c r="AX730" s="64">
        <f ca="1">SUM(INDIRECT(AX$1&amp;AX$2&amp;$A730):INDIRECT(AX$1&amp;AX$3&amp;$A730))</f>
        <v>0</v>
      </c>
      <c r="AY730" s="902">
        <f t="shared" ca="1" si="1467"/>
        <v>0</v>
      </c>
      <c r="AZ730" s="963">
        <f t="shared" ca="1" si="1468"/>
        <v>0</v>
      </c>
      <c r="BB730" s="64">
        <f ca="1">SUM((INDIRECT(BB$2&amp;(ROW())):INDIRECT(BB$3&amp;(ROW()))))</f>
        <v>0</v>
      </c>
      <c r="BC730" s="64">
        <f ca="1">SUM(INDIRECT(BC$1&amp;BC$2&amp;$C730):INDIRECT(BC$1&amp;BC$3&amp;$C730))</f>
        <v>0</v>
      </c>
      <c r="BD730" s="902">
        <f t="shared" ca="1" si="1469"/>
        <v>0</v>
      </c>
      <c r="BE730" s="963">
        <f t="shared" ca="1" si="1470"/>
        <v>0</v>
      </c>
      <c r="BF730" s="64">
        <f ca="1">SUM(INDIRECT(BF$1&amp;BF$2&amp;$A730):INDIRECT(BF$1&amp;BF$3&amp;$A730))</f>
        <v>0</v>
      </c>
      <c r="BG730" s="902">
        <f t="shared" ca="1" si="1471"/>
        <v>0</v>
      </c>
      <c r="BH730" s="963">
        <f t="shared" ca="1" si="1472"/>
        <v>0</v>
      </c>
    </row>
    <row r="731" spans="1:60" s="75" customFormat="1" ht="14.5">
      <c r="A731" s="990">
        <f t="shared" si="1457"/>
        <v>666</v>
      </c>
      <c r="B731" s="990">
        <v>1</v>
      </c>
      <c r="C731" s="990">
        <f t="shared" si="1428"/>
        <v>728</v>
      </c>
      <c r="E731" s="1243">
        <v>1</v>
      </c>
      <c r="F731" s="10"/>
      <c r="G731" s="10"/>
      <c r="H731" s="24"/>
      <c r="I731" s="445"/>
      <c r="J731" s="446"/>
      <c r="K731" s="74"/>
      <c r="L731" s="74"/>
      <c r="O731" s="395" t="s">
        <v>367</v>
      </c>
      <c r="P731" s="395"/>
      <c r="Q731" s="1848" t="str">
        <f>CHOOSE(2, "6722000003650", "S/GP (3) Gross Profit Indirect NH MGI FSC (-)")</f>
        <v>S/GP (3) Gross Profit Indirect NH MGI FSC (-)</v>
      </c>
      <c r="R731" s="385">
        <f t="shared" ref="R731:AC731" si="1478">SUM(R732:R734)</f>
        <v>0</v>
      </c>
      <c r="S731" s="385">
        <f t="shared" si="1478"/>
        <v>0</v>
      </c>
      <c r="T731" s="385">
        <f t="shared" si="1478"/>
        <v>0</v>
      </c>
      <c r="U731" s="385">
        <f t="shared" si="1478"/>
        <v>0</v>
      </c>
      <c r="V731" s="385">
        <f t="shared" si="1478"/>
        <v>0</v>
      </c>
      <c r="W731" s="385">
        <f t="shared" si="1478"/>
        <v>0</v>
      </c>
      <c r="X731" s="385">
        <f t="shared" si="1478"/>
        <v>0</v>
      </c>
      <c r="Y731" s="385">
        <f t="shared" si="1478"/>
        <v>0</v>
      </c>
      <c r="Z731" s="385">
        <f t="shared" si="1478"/>
        <v>0</v>
      </c>
      <c r="AA731" s="385">
        <f t="shared" si="1478"/>
        <v>0</v>
      </c>
      <c r="AB731" s="385">
        <f t="shared" si="1478"/>
        <v>0</v>
      </c>
      <c r="AC731" s="385">
        <f t="shared" si="1478"/>
        <v>0</v>
      </c>
      <c r="AD731" s="1540">
        <f>SUM(R731:T731)</f>
        <v>0</v>
      </c>
      <c r="AE731" s="385">
        <f>SUM(U731:W731)</f>
        <v>0</v>
      </c>
      <c r="AF731" s="385">
        <f>SUM(X731:Z731)</f>
        <v>0</v>
      </c>
      <c r="AG731" s="385">
        <f>SUM(AA731:AC731)</f>
        <v>0</v>
      </c>
      <c r="AH731" s="385">
        <f>AD731+AE731</f>
        <v>0</v>
      </c>
      <c r="AI731" s="385">
        <f>AG731+AF731</f>
        <v>0</v>
      </c>
      <c r="AJ731" s="385">
        <f>AH731+AI731</f>
        <v>0</v>
      </c>
      <c r="AL731" s="385">
        <f ca="1">SUM((INDIRECT(AL$2&amp;(ROW())):INDIRECT(AL$3&amp;(ROW()))))</f>
        <v>0</v>
      </c>
      <c r="AM731" s="385">
        <f ca="1">SUM(INDIRECT(AM$1&amp;AM$2&amp;$C731):INDIRECT(AM$1&amp;AM$3&amp;$C731))</f>
        <v>0</v>
      </c>
      <c r="AN731" s="897">
        <f t="shared" ca="1" si="1461"/>
        <v>0</v>
      </c>
      <c r="AO731" s="958">
        <f t="shared" ca="1" si="1462"/>
        <v>0</v>
      </c>
      <c r="AP731" s="385">
        <f ca="1">SUM(INDIRECT(AP$1&amp;AP$2&amp;$A731):INDIRECT(AP$1&amp;AP$3&amp;$A731))</f>
        <v>0</v>
      </c>
      <c r="AQ731" s="897">
        <f t="shared" ca="1" si="1463"/>
        <v>0</v>
      </c>
      <c r="AR731" s="958">
        <f t="shared" ca="1" si="1464"/>
        <v>0</v>
      </c>
      <c r="AT731" s="385">
        <f ca="1">SUM((INDIRECT(AT$2&amp;(ROW())):INDIRECT(AT$3&amp;(ROW()))))</f>
        <v>0</v>
      </c>
      <c r="AU731" s="385">
        <f ca="1">SUM(INDIRECT(AU$1&amp;AU$2&amp;$C731):INDIRECT(AU$1&amp;AU$3&amp;$C731))</f>
        <v>0</v>
      </c>
      <c r="AV731" s="897">
        <f t="shared" ca="1" si="1465"/>
        <v>0</v>
      </c>
      <c r="AW731" s="958">
        <f t="shared" ca="1" si="1466"/>
        <v>0</v>
      </c>
      <c r="AX731" s="385">
        <f ca="1">SUM(INDIRECT(AX$1&amp;AX$2&amp;$A731):INDIRECT(AX$1&amp;AX$3&amp;$A731))</f>
        <v>0</v>
      </c>
      <c r="AY731" s="897">
        <f t="shared" ca="1" si="1467"/>
        <v>0</v>
      </c>
      <c r="AZ731" s="958">
        <f t="shared" ca="1" si="1468"/>
        <v>0</v>
      </c>
      <c r="BB731" s="385">
        <f ca="1">SUM((INDIRECT(BB$2&amp;(ROW())):INDIRECT(BB$3&amp;(ROW()))))</f>
        <v>0</v>
      </c>
      <c r="BC731" s="385">
        <f ca="1">SUM(INDIRECT(BC$1&amp;BC$2&amp;$C731):INDIRECT(BC$1&amp;BC$3&amp;$C731))</f>
        <v>0</v>
      </c>
      <c r="BD731" s="897">
        <f t="shared" ca="1" si="1469"/>
        <v>0</v>
      </c>
      <c r="BE731" s="958">
        <f t="shared" ca="1" si="1470"/>
        <v>0</v>
      </c>
      <c r="BF731" s="385">
        <f ca="1">SUM(INDIRECT(BF$1&amp;BF$2&amp;$A731):INDIRECT(BF$1&amp;BF$3&amp;$A731))</f>
        <v>0</v>
      </c>
      <c r="BG731" s="897">
        <f t="shared" ca="1" si="1471"/>
        <v>0</v>
      </c>
      <c r="BH731" s="958">
        <f t="shared" ca="1" si="1472"/>
        <v>0</v>
      </c>
    </row>
    <row r="732" spans="1:60" s="75" customFormat="1" ht="14.5">
      <c r="A732" s="990">
        <f t="shared" si="1457"/>
        <v>667</v>
      </c>
      <c r="B732" s="990">
        <v>1</v>
      </c>
      <c r="C732" s="990">
        <f t="shared" si="1428"/>
        <v>729</v>
      </c>
      <c r="E732" s="1243">
        <v>1</v>
      </c>
      <c r="F732" s="10"/>
      <c r="G732" s="10"/>
      <c r="H732" s="24"/>
      <c r="I732" s="445"/>
      <c r="J732" s="446"/>
      <c r="K732" s="74"/>
      <c r="L732" s="74"/>
      <c r="O732" s="396"/>
      <c r="P732" s="371" t="s">
        <v>378</v>
      </c>
      <c r="Q732" s="1845" t="str">
        <f>CHOOSE(2, "6722000003651", "S/GP (3) Gross Profit Indirect NH MGI FSC (-) PC")</f>
        <v>S/GP (3) Gross Profit Indirect NH MGI FSC (-) PC</v>
      </c>
      <c r="R732" s="2042">
        <v>0</v>
      </c>
      <c r="S732" s="2042">
        <v>0</v>
      </c>
      <c r="T732" s="2042">
        <v>0</v>
      </c>
      <c r="U732" s="2042">
        <v>0</v>
      </c>
      <c r="V732" s="2042">
        <v>0</v>
      </c>
      <c r="W732" s="2042">
        <v>0</v>
      </c>
      <c r="X732" s="2042">
        <v>0</v>
      </c>
      <c r="Y732" s="2042">
        <v>0</v>
      </c>
      <c r="Z732" s="2042">
        <v>0</v>
      </c>
      <c r="AA732" s="2042">
        <v>0</v>
      </c>
      <c r="AB732" s="2042">
        <v>0</v>
      </c>
      <c r="AC732" s="2042">
        <v>0</v>
      </c>
      <c r="AD732" s="1537">
        <f>SUM(R732,S732,T732)</f>
        <v>0</v>
      </c>
      <c r="AE732" s="108">
        <f t="shared" ref="AE732:AE734" si="1479">SUM(U732,V732,W732)</f>
        <v>0</v>
      </c>
      <c r="AF732" s="108">
        <f t="shared" ref="AF732:AF734" si="1480">SUM(X732,Y732,Z732)</f>
        <v>0</v>
      </c>
      <c r="AG732" s="108">
        <f t="shared" ref="AG732:AG734" si="1481">SUM(AA732,AB732,AC732)</f>
        <v>0</v>
      </c>
      <c r="AH732" s="108">
        <f>AD732+AE732</f>
        <v>0</v>
      </c>
      <c r="AI732" s="108">
        <f>AG732+AF732</f>
        <v>0</v>
      </c>
      <c r="AJ732" s="108">
        <f>AH732+AI732</f>
        <v>0</v>
      </c>
      <c r="AL732" s="108">
        <f ca="1">SUM((INDIRECT(AL$2&amp;(ROW())):INDIRECT(AL$3&amp;(ROW()))))</f>
        <v>0</v>
      </c>
      <c r="AM732" s="108">
        <f ca="1">SUM(INDIRECT(AM$1&amp;AM$2&amp;$C732):INDIRECT(AM$1&amp;AM$3&amp;$C732))</f>
        <v>0</v>
      </c>
      <c r="AN732" s="893">
        <f t="shared" ca="1" si="1461"/>
        <v>0</v>
      </c>
      <c r="AO732" s="954">
        <f t="shared" ca="1" si="1462"/>
        <v>0</v>
      </c>
      <c r="AP732" s="108">
        <f ca="1">SUM(INDIRECT(AP$1&amp;AP$2&amp;$A732):INDIRECT(AP$1&amp;AP$3&amp;$A732))</f>
        <v>0</v>
      </c>
      <c r="AQ732" s="893">
        <f t="shared" ca="1" si="1463"/>
        <v>0</v>
      </c>
      <c r="AR732" s="954">
        <f t="shared" ca="1" si="1464"/>
        <v>0</v>
      </c>
      <c r="AT732" s="108">
        <f ca="1">SUM((INDIRECT(AT$2&amp;(ROW())):INDIRECT(AT$3&amp;(ROW()))))</f>
        <v>0</v>
      </c>
      <c r="AU732" s="108">
        <f ca="1">SUM(INDIRECT(AU$1&amp;AU$2&amp;$C732):INDIRECT(AU$1&amp;AU$3&amp;$C732))</f>
        <v>0</v>
      </c>
      <c r="AV732" s="893">
        <f t="shared" ca="1" si="1465"/>
        <v>0</v>
      </c>
      <c r="AW732" s="954">
        <f t="shared" ca="1" si="1466"/>
        <v>0</v>
      </c>
      <c r="AX732" s="108">
        <f ca="1">SUM(INDIRECT(AX$1&amp;AX$2&amp;$A732):INDIRECT(AX$1&amp;AX$3&amp;$A732))</f>
        <v>0</v>
      </c>
      <c r="AY732" s="893">
        <f t="shared" ca="1" si="1467"/>
        <v>0</v>
      </c>
      <c r="AZ732" s="954">
        <f t="shared" ca="1" si="1468"/>
        <v>0</v>
      </c>
      <c r="BB732" s="108">
        <f ca="1">SUM((INDIRECT(BB$2&amp;(ROW())):INDIRECT(BB$3&amp;(ROW()))))</f>
        <v>0</v>
      </c>
      <c r="BC732" s="108">
        <f ca="1">SUM(INDIRECT(BC$1&amp;BC$2&amp;$C732):INDIRECT(BC$1&amp;BC$3&amp;$C732))</f>
        <v>0</v>
      </c>
      <c r="BD732" s="893">
        <f t="shared" ca="1" si="1469"/>
        <v>0</v>
      </c>
      <c r="BE732" s="954">
        <f t="shared" ca="1" si="1470"/>
        <v>0</v>
      </c>
      <c r="BF732" s="108">
        <f ca="1">SUM(INDIRECT(BF$1&amp;BF$2&amp;$A732):INDIRECT(BF$1&amp;BF$3&amp;$A732))</f>
        <v>0</v>
      </c>
      <c r="BG732" s="893">
        <f t="shared" ca="1" si="1471"/>
        <v>0</v>
      </c>
      <c r="BH732" s="954">
        <f t="shared" ca="1" si="1472"/>
        <v>0</v>
      </c>
    </row>
    <row r="733" spans="1:60" s="75" customFormat="1" ht="14.5">
      <c r="A733" s="990">
        <f t="shared" si="1457"/>
        <v>668</v>
      </c>
      <c r="B733" s="990">
        <v>1</v>
      </c>
      <c r="C733" s="990">
        <f t="shared" si="1428"/>
        <v>730</v>
      </c>
      <c r="E733" s="1243">
        <v>1</v>
      </c>
      <c r="F733" s="10"/>
      <c r="G733" s="10"/>
      <c r="H733" s="24"/>
      <c r="I733" s="445"/>
      <c r="J733" s="446"/>
      <c r="K733" s="74"/>
      <c r="L733" s="74"/>
      <c r="O733" s="301"/>
      <c r="P733" s="299" t="s">
        <v>379</v>
      </c>
      <c r="Q733" s="1845" t="str">
        <f>CHOOSE(2, "6722000003652", "S/GP (3) Gross Profit Indirect NH MGI FSC (-) TE")</f>
        <v>S/GP (3) Gross Profit Indirect NH MGI FSC (-) TE</v>
      </c>
      <c r="R733" s="2036">
        <v>0</v>
      </c>
      <c r="S733" s="2036">
        <v>0</v>
      </c>
      <c r="T733" s="2036">
        <v>0</v>
      </c>
      <c r="U733" s="2036">
        <v>0</v>
      </c>
      <c r="V733" s="2036">
        <v>0</v>
      </c>
      <c r="W733" s="2036">
        <v>0</v>
      </c>
      <c r="X733" s="2036">
        <v>0</v>
      </c>
      <c r="Y733" s="2036">
        <v>0</v>
      </c>
      <c r="Z733" s="2036">
        <v>0</v>
      </c>
      <c r="AA733" s="2036">
        <v>0</v>
      </c>
      <c r="AB733" s="2036">
        <v>0</v>
      </c>
      <c r="AC733" s="2036">
        <v>0</v>
      </c>
      <c r="AD733" s="1380">
        <f>SUM(R733,S733,T733)</f>
        <v>0</v>
      </c>
      <c r="AE733" s="107">
        <f t="shared" si="1479"/>
        <v>0</v>
      </c>
      <c r="AF733" s="107">
        <f t="shared" si="1480"/>
        <v>0</v>
      </c>
      <c r="AG733" s="107">
        <f t="shared" si="1481"/>
        <v>0</v>
      </c>
      <c r="AH733" s="107">
        <f>AD733+AE733</f>
        <v>0</v>
      </c>
      <c r="AI733" s="107">
        <f>AG733+AF733</f>
        <v>0</v>
      </c>
      <c r="AJ733" s="107">
        <f>AH733+AI733</f>
        <v>0</v>
      </c>
      <c r="AL733" s="107">
        <f ca="1">SUM((INDIRECT(AL$2&amp;(ROW())):INDIRECT(AL$3&amp;(ROW()))))</f>
        <v>0</v>
      </c>
      <c r="AM733" s="107">
        <f ca="1">SUM(INDIRECT(AM$1&amp;AM$2&amp;$C733):INDIRECT(AM$1&amp;AM$3&amp;$C733))</f>
        <v>0</v>
      </c>
      <c r="AN733" s="898">
        <f t="shared" ca="1" si="1461"/>
        <v>0</v>
      </c>
      <c r="AO733" s="959">
        <f t="shared" ca="1" si="1462"/>
        <v>0</v>
      </c>
      <c r="AP733" s="107">
        <f ca="1">SUM(INDIRECT(AP$1&amp;AP$2&amp;$A733):INDIRECT(AP$1&amp;AP$3&amp;$A733))</f>
        <v>0</v>
      </c>
      <c r="AQ733" s="898">
        <f t="shared" ca="1" si="1463"/>
        <v>0</v>
      </c>
      <c r="AR733" s="959">
        <f t="shared" ca="1" si="1464"/>
        <v>0</v>
      </c>
      <c r="AT733" s="107">
        <f ca="1">SUM((INDIRECT(AT$2&amp;(ROW())):INDIRECT(AT$3&amp;(ROW()))))</f>
        <v>0</v>
      </c>
      <c r="AU733" s="107">
        <f ca="1">SUM(INDIRECT(AU$1&amp;AU$2&amp;$C733):INDIRECT(AU$1&amp;AU$3&amp;$C733))</f>
        <v>0</v>
      </c>
      <c r="AV733" s="898">
        <f t="shared" ca="1" si="1465"/>
        <v>0</v>
      </c>
      <c r="AW733" s="959">
        <f t="shared" ca="1" si="1466"/>
        <v>0</v>
      </c>
      <c r="AX733" s="107">
        <f ca="1">SUM(INDIRECT(AX$1&amp;AX$2&amp;$A733):INDIRECT(AX$1&amp;AX$3&amp;$A733))</f>
        <v>0</v>
      </c>
      <c r="AY733" s="898">
        <f t="shared" ca="1" si="1467"/>
        <v>0</v>
      </c>
      <c r="AZ733" s="959">
        <f t="shared" ca="1" si="1468"/>
        <v>0</v>
      </c>
      <c r="BB733" s="107">
        <f ca="1">SUM((INDIRECT(BB$2&amp;(ROW())):INDIRECT(BB$3&amp;(ROW()))))</f>
        <v>0</v>
      </c>
      <c r="BC733" s="107">
        <f ca="1">SUM(INDIRECT(BC$1&amp;BC$2&amp;$C733):INDIRECT(BC$1&amp;BC$3&amp;$C733))</f>
        <v>0</v>
      </c>
      <c r="BD733" s="898">
        <f t="shared" ca="1" si="1469"/>
        <v>0</v>
      </c>
      <c r="BE733" s="959">
        <f t="shared" ca="1" si="1470"/>
        <v>0</v>
      </c>
      <c r="BF733" s="107">
        <f ca="1">SUM(INDIRECT(BF$1&amp;BF$2&amp;$A733):INDIRECT(BF$1&amp;BF$3&amp;$A733))</f>
        <v>0</v>
      </c>
      <c r="BG733" s="898">
        <f t="shared" ca="1" si="1471"/>
        <v>0</v>
      </c>
      <c r="BH733" s="959">
        <f t="shared" ca="1" si="1472"/>
        <v>0</v>
      </c>
    </row>
    <row r="734" spans="1:60" s="75" customFormat="1" ht="14.5">
      <c r="A734" s="990">
        <f t="shared" si="1457"/>
        <v>669</v>
      </c>
      <c r="B734" s="990">
        <v>1</v>
      </c>
      <c r="C734" s="990">
        <f t="shared" si="1428"/>
        <v>731</v>
      </c>
      <c r="E734" s="1243">
        <v>1</v>
      </c>
      <c r="F734" s="10"/>
      <c r="G734" s="10"/>
      <c r="H734" s="24"/>
      <c r="I734" s="445"/>
      <c r="J734" s="446"/>
      <c r="K734" s="74"/>
      <c r="L734" s="74"/>
      <c r="N734" s="276"/>
      <c r="O734" s="302"/>
      <c r="P734" s="298" t="s">
        <v>386</v>
      </c>
      <c r="Q734" s="1845" t="str">
        <f>CHOOSE(2, "6722000003653", "S/GP (3) Gross Profit Indirect NH MGI FSC (-) OFC")</f>
        <v>S/GP (3) Gross Profit Indirect NH MGI FSC (-) OFC</v>
      </c>
      <c r="R734" s="2037">
        <v>0</v>
      </c>
      <c r="S734" s="2037">
        <v>0</v>
      </c>
      <c r="T734" s="2037">
        <v>0</v>
      </c>
      <c r="U734" s="2037">
        <v>0</v>
      </c>
      <c r="V734" s="2037">
        <v>0</v>
      </c>
      <c r="W734" s="2037">
        <v>0</v>
      </c>
      <c r="X734" s="2037">
        <v>0</v>
      </c>
      <c r="Y734" s="2037">
        <v>0</v>
      </c>
      <c r="Z734" s="2037">
        <v>0</v>
      </c>
      <c r="AA734" s="2037">
        <v>0</v>
      </c>
      <c r="AB734" s="2037">
        <v>0</v>
      </c>
      <c r="AC734" s="2037">
        <v>0</v>
      </c>
      <c r="AD734" s="1380">
        <f>SUM(R734,S734,T734)</f>
        <v>0</v>
      </c>
      <c r="AE734" s="107">
        <f t="shared" si="1479"/>
        <v>0</v>
      </c>
      <c r="AF734" s="107">
        <f t="shared" si="1480"/>
        <v>0</v>
      </c>
      <c r="AG734" s="107">
        <f t="shared" si="1481"/>
        <v>0</v>
      </c>
      <c r="AH734" s="107">
        <f>AD734+AE734</f>
        <v>0</v>
      </c>
      <c r="AI734" s="107">
        <f>AG734+AF734</f>
        <v>0</v>
      </c>
      <c r="AJ734" s="107">
        <f>AH734+AI734</f>
        <v>0</v>
      </c>
      <c r="AL734" s="107">
        <f ca="1">SUM((INDIRECT(AL$2&amp;(ROW())):INDIRECT(AL$3&amp;(ROW()))))</f>
        <v>0</v>
      </c>
      <c r="AM734" s="107">
        <f ca="1">SUM(INDIRECT(AM$1&amp;AM$2&amp;$C734):INDIRECT(AM$1&amp;AM$3&amp;$C734))</f>
        <v>0</v>
      </c>
      <c r="AN734" s="898">
        <f t="shared" ca="1" si="1461"/>
        <v>0</v>
      </c>
      <c r="AO734" s="959">
        <f t="shared" ca="1" si="1462"/>
        <v>0</v>
      </c>
      <c r="AP734" s="107">
        <f ca="1">SUM(INDIRECT(AP$1&amp;AP$2&amp;$A734):INDIRECT(AP$1&amp;AP$3&amp;$A734))</f>
        <v>0</v>
      </c>
      <c r="AQ734" s="898">
        <f t="shared" ca="1" si="1463"/>
        <v>0</v>
      </c>
      <c r="AR734" s="959">
        <f t="shared" ca="1" si="1464"/>
        <v>0</v>
      </c>
      <c r="AT734" s="107">
        <f ca="1">SUM((INDIRECT(AT$2&amp;(ROW())):INDIRECT(AT$3&amp;(ROW()))))</f>
        <v>0</v>
      </c>
      <c r="AU734" s="107">
        <f ca="1">SUM(INDIRECT(AU$1&amp;AU$2&amp;$C734):INDIRECT(AU$1&amp;AU$3&amp;$C734))</f>
        <v>0</v>
      </c>
      <c r="AV734" s="898">
        <f t="shared" ca="1" si="1465"/>
        <v>0</v>
      </c>
      <c r="AW734" s="959">
        <f t="shared" ca="1" si="1466"/>
        <v>0</v>
      </c>
      <c r="AX734" s="107">
        <f ca="1">SUM(INDIRECT(AX$1&amp;AX$2&amp;$A734):INDIRECT(AX$1&amp;AX$3&amp;$A734))</f>
        <v>0</v>
      </c>
      <c r="AY734" s="898">
        <f t="shared" ca="1" si="1467"/>
        <v>0</v>
      </c>
      <c r="AZ734" s="959">
        <f t="shared" ca="1" si="1468"/>
        <v>0</v>
      </c>
      <c r="BB734" s="107">
        <f ca="1">SUM((INDIRECT(BB$2&amp;(ROW())):INDIRECT(BB$3&amp;(ROW()))))</f>
        <v>0</v>
      </c>
      <c r="BC734" s="107">
        <f ca="1">SUM(INDIRECT(BC$1&amp;BC$2&amp;$C734):INDIRECT(BC$1&amp;BC$3&amp;$C734))</f>
        <v>0</v>
      </c>
      <c r="BD734" s="898">
        <f t="shared" ca="1" si="1469"/>
        <v>0</v>
      </c>
      <c r="BE734" s="959">
        <f t="shared" ca="1" si="1470"/>
        <v>0</v>
      </c>
      <c r="BF734" s="107">
        <f ca="1">SUM(INDIRECT(BF$1&amp;BF$2&amp;$A734):INDIRECT(BF$1&amp;BF$3&amp;$A734))</f>
        <v>0</v>
      </c>
      <c r="BG734" s="898">
        <f t="shared" ca="1" si="1471"/>
        <v>0</v>
      </c>
      <c r="BH734" s="959">
        <f t="shared" ca="1" si="1472"/>
        <v>0</v>
      </c>
    </row>
    <row r="735" spans="1:60" ht="14.5">
      <c r="A735" s="990">
        <f t="shared" si="1457"/>
        <v>670</v>
      </c>
      <c r="B735" s="990">
        <v>1</v>
      </c>
      <c r="C735" s="990">
        <f t="shared" si="1428"/>
        <v>732</v>
      </c>
      <c r="E735" s="1243">
        <v>1</v>
      </c>
      <c r="I735" s="445"/>
      <c r="J735" s="446"/>
      <c r="K735" s="74"/>
      <c r="L735" s="74"/>
      <c r="M735" s="75"/>
      <c r="N735" s="75" t="s">
        <v>370</v>
      </c>
      <c r="O735" s="391"/>
      <c r="P735" s="391"/>
      <c r="Q735" s="1843" t="str">
        <f>CHOOSE(2, "6722000003654", "S/GP (3) Gross Profit Indirect NH EFI/LF")</f>
        <v>S/GP (3) Gross Profit Indirect NH EFI/LF</v>
      </c>
      <c r="R735" s="64">
        <f t="shared" ref="R735:AC735" si="1482">R736+R737</f>
        <v>0</v>
      </c>
      <c r="S735" s="64">
        <f t="shared" si="1482"/>
        <v>0</v>
      </c>
      <c r="T735" s="64">
        <f t="shared" si="1482"/>
        <v>0</v>
      </c>
      <c r="U735" s="64">
        <f t="shared" si="1482"/>
        <v>0</v>
      </c>
      <c r="V735" s="64">
        <f t="shared" si="1482"/>
        <v>0</v>
      </c>
      <c r="W735" s="64">
        <f t="shared" si="1482"/>
        <v>0</v>
      </c>
      <c r="X735" s="64">
        <f t="shared" si="1482"/>
        <v>0</v>
      </c>
      <c r="Y735" s="64">
        <f t="shared" si="1482"/>
        <v>0</v>
      </c>
      <c r="Z735" s="64">
        <f t="shared" si="1482"/>
        <v>0</v>
      </c>
      <c r="AA735" s="64">
        <f t="shared" si="1482"/>
        <v>0</v>
      </c>
      <c r="AB735" s="64">
        <f t="shared" si="1482"/>
        <v>0</v>
      </c>
      <c r="AC735" s="64">
        <f t="shared" si="1482"/>
        <v>0</v>
      </c>
      <c r="AD735" s="1545">
        <f t="shared" ref="AD735:AJ735" si="1483">AD736+AD737</f>
        <v>0</v>
      </c>
      <c r="AE735" s="64">
        <f t="shared" si="1483"/>
        <v>0</v>
      </c>
      <c r="AF735" s="64">
        <f t="shared" si="1483"/>
        <v>0</v>
      </c>
      <c r="AG735" s="64">
        <f t="shared" si="1483"/>
        <v>0</v>
      </c>
      <c r="AH735" s="64">
        <f t="shared" si="1483"/>
        <v>0</v>
      </c>
      <c r="AI735" s="64">
        <f t="shared" si="1483"/>
        <v>0</v>
      </c>
      <c r="AJ735" s="64">
        <f t="shared" si="1483"/>
        <v>0</v>
      </c>
      <c r="AL735" s="64">
        <f ca="1">SUM((INDIRECT(AL$2&amp;(ROW())):INDIRECT(AL$3&amp;(ROW()))))</f>
        <v>0</v>
      </c>
      <c r="AM735" s="64">
        <f ca="1">SUM(INDIRECT(AM$1&amp;AM$2&amp;$C735):INDIRECT(AM$1&amp;AM$3&amp;$C735))</f>
        <v>0</v>
      </c>
      <c r="AN735" s="902">
        <f t="shared" ca="1" si="1461"/>
        <v>0</v>
      </c>
      <c r="AO735" s="963">
        <f t="shared" ca="1" si="1462"/>
        <v>0</v>
      </c>
      <c r="AP735" s="64">
        <f ca="1">SUM(INDIRECT(AP$1&amp;AP$2&amp;$A735):INDIRECT(AP$1&amp;AP$3&amp;$A735))</f>
        <v>0</v>
      </c>
      <c r="AQ735" s="902">
        <f t="shared" ca="1" si="1463"/>
        <v>0</v>
      </c>
      <c r="AR735" s="963">
        <f t="shared" ca="1" si="1464"/>
        <v>0</v>
      </c>
      <c r="AT735" s="64">
        <f ca="1">SUM((INDIRECT(AT$2&amp;(ROW())):INDIRECT(AT$3&amp;(ROW()))))</f>
        <v>0</v>
      </c>
      <c r="AU735" s="64">
        <f ca="1">SUM(INDIRECT(AU$1&amp;AU$2&amp;$C735):INDIRECT(AU$1&amp;AU$3&amp;$C735))</f>
        <v>0</v>
      </c>
      <c r="AV735" s="902">
        <f t="shared" ca="1" si="1465"/>
        <v>0</v>
      </c>
      <c r="AW735" s="963">
        <f t="shared" ca="1" si="1466"/>
        <v>0</v>
      </c>
      <c r="AX735" s="64">
        <f ca="1">SUM(INDIRECT(AX$1&amp;AX$2&amp;$A735):INDIRECT(AX$1&amp;AX$3&amp;$A735))</f>
        <v>0</v>
      </c>
      <c r="AY735" s="902">
        <f t="shared" ca="1" si="1467"/>
        <v>0</v>
      </c>
      <c r="AZ735" s="963">
        <f t="shared" ca="1" si="1468"/>
        <v>0</v>
      </c>
      <c r="BB735" s="64">
        <f ca="1">SUM((INDIRECT(BB$2&amp;(ROW())):INDIRECT(BB$3&amp;(ROW()))))</f>
        <v>0</v>
      </c>
      <c r="BC735" s="64">
        <f ca="1">SUM(INDIRECT(BC$1&amp;BC$2&amp;$C735):INDIRECT(BC$1&amp;BC$3&amp;$C735))</f>
        <v>0</v>
      </c>
      <c r="BD735" s="902">
        <f t="shared" ca="1" si="1469"/>
        <v>0</v>
      </c>
      <c r="BE735" s="963">
        <f t="shared" ca="1" si="1470"/>
        <v>0</v>
      </c>
      <c r="BF735" s="64">
        <f ca="1">SUM(INDIRECT(BF$1&amp;BF$2&amp;$A735):INDIRECT(BF$1&amp;BF$3&amp;$A735))</f>
        <v>0</v>
      </c>
      <c r="BG735" s="902">
        <f t="shared" ca="1" si="1471"/>
        <v>0</v>
      </c>
      <c r="BH735" s="963">
        <f t="shared" ca="1" si="1472"/>
        <v>0</v>
      </c>
    </row>
    <row r="736" spans="1:60" ht="14.5">
      <c r="A736" s="990">
        <f t="shared" si="1457"/>
        <v>671</v>
      </c>
      <c r="B736" s="990">
        <v>1</v>
      </c>
      <c r="C736" s="990">
        <f t="shared" si="1428"/>
        <v>733</v>
      </c>
      <c r="E736" s="1243">
        <v>1</v>
      </c>
      <c r="I736" s="445"/>
      <c r="J736" s="446"/>
      <c r="K736" s="74"/>
      <c r="L736" s="74"/>
      <c r="M736" s="75"/>
      <c r="N736" s="75"/>
      <c r="O736" s="394" t="s">
        <v>382</v>
      </c>
      <c r="P736" s="394"/>
      <c r="Q736" s="1845" t="str">
        <f>CHOOSE(2, "6722000003655", "S/GP (3) Gross Profit Indirect NH EFI/LF EFI/LF")</f>
        <v>S/GP (3) Gross Profit Indirect NH EFI/LF EFI/LF</v>
      </c>
      <c r="R736" s="2057">
        <v>0</v>
      </c>
      <c r="S736" s="2057">
        <v>0</v>
      </c>
      <c r="T736" s="2057">
        <v>0</v>
      </c>
      <c r="U736" s="2057">
        <v>0</v>
      </c>
      <c r="V736" s="2057">
        <v>0</v>
      </c>
      <c r="W736" s="2057">
        <v>0</v>
      </c>
      <c r="X736" s="2057">
        <v>0</v>
      </c>
      <c r="Y736" s="2057">
        <v>0</v>
      </c>
      <c r="Z736" s="2057">
        <v>0</v>
      </c>
      <c r="AA736" s="2057">
        <v>0</v>
      </c>
      <c r="AB736" s="2057">
        <v>0</v>
      </c>
      <c r="AC736" s="2057">
        <v>0</v>
      </c>
      <c r="AD736" s="1545">
        <f>SUM(R736,S736,T736)</f>
        <v>0</v>
      </c>
      <c r="AE736" s="64">
        <f t="shared" ref="AE736" si="1484">SUM(U736,V736,W736)</f>
        <v>0</v>
      </c>
      <c r="AF736" s="64">
        <f t="shared" ref="AF736" si="1485">SUM(X736,Y736,Z736)</f>
        <v>0</v>
      </c>
      <c r="AG736" s="64">
        <f t="shared" ref="AG736" si="1486">SUM(AA736,AB736,AC736)</f>
        <v>0</v>
      </c>
      <c r="AH736" s="64">
        <f>AD736+AE736</f>
        <v>0</v>
      </c>
      <c r="AI736" s="64">
        <f>AG736+AF736</f>
        <v>0</v>
      </c>
      <c r="AJ736" s="64">
        <f>AH736+AI736</f>
        <v>0</v>
      </c>
      <c r="AL736" s="64">
        <f ca="1">SUM((INDIRECT(AL$2&amp;(ROW())):INDIRECT(AL$3&amp;(ROW()))))</f>
        <v>0</v>
      </c>
      <c r="AM736" s="64">
        <f ca="1">SUM(INDIRECT(AM$1&amp;AM$2&amp;$C736):INDIRECT(AM$1&amp;AM$3&amp;$C736))</f>
        <v>0</v>
      </c>
      <c r="AN736" s="902">
        <f t="shared" ca="1" si="1461"/>
        <v>0</v>
      </c>
      <c r="AO736" s="963">
        <f t="shared" ca="1" si="1462"/>
        <v>0</v>
      </c>
      <c r="AP736" s="64">
        <f ca="1">SUM(INDIRECT(AP$1&amp;AP$2&amp;$A736):INDIRECT(AP$1&amp;AP$3&amp;$A736))</f>
        <v>0</v>
      </c>
      <c r="AQ736" s="902">
        <f t="shared" ca="1" si="1463"/>
        <v>0</v>
      </c>
      <c r="AR736" s="963">
        <f t="shared" ca="1" si="1464"/>
        <v>0</v>
      </c>
      <c r="AT736" s="64">
        <f ca="1">SUM((INDIRECT(AT$2&amp;(ROW())):INDIRECT(AT$3&amp;(ROW()))))</f>
        <v>0</v>
      </c>
      <c r="AU736" s="64">
        <f ca="1">SUM(INDIRECT(AU$1&amp;AU$2&amp;$C736):INDIRECT(AU$1&amp;AU$3&amp;$C736))</f>
        <v>0</v>
      </c>
      <c r="AV736" s="902">
        <f t="shared" ca="1" si="1465"/>
        <v>0</v>
      </c>
      <c r="AW736" s="963">
        <f t="shared" ca="1" si="1466"/>
        <v>0</v>
      </c>
      <c r="AX736" s="64">
        <f ca="1">SUM(INDIRECT(AX$1&amp;AX$2&amp;$A736):INDIRECT(AX$1&amp;AX$3&amp;$A736))</f>
        <v>0</v>
      </c>
      <c r="AY736" s="902">
        <f t="shared" ca="1" si="1467"/>
        <v>0</v>
      </c>
      <c r="AZ736" s="963">
        <f t="shared" ca="1" si="1468"/>
        <v>0</v>
      </c>
      <c r="BB736" s="64">
        <f ca="1">SUM((INDIRECT(BB$2&amp;(ROW())):INDIRECT(BB$3&amp;(ROW()))))</f>
        <v>0</v>
      </c>
      <c r="BC736" s="64">
        <f ca="1">SUM(INDIRECT(BC$1&amp;BC$2&amp;$C736):INDIRECT(BC$1&amp;BC$3&amp;$C736))</f>
        <v>0</v>
      </c>
      <c r="BD736" s="902">
        <f t="shared" ca="1" si="1469"/>
        <v>0</v>
      </c>
      <c r="BE736" s="963">
        <f t="shared" ca="1" si="1470"/>
        <v>0</v>
      </c>
      <c r="BF736" s="64">
        <f ca="1">SUM(INDIRECT(BF$1&amp;BF$2&amp;$A736):INDIRECT(BF$1&amp;BF$3&amp;$A736))</f>
        <v>0</v>
      </c>
      <c r="BG736" s="902">
        <f t="shared" ca="1" si="1471"/>
        <v>0</v>
      </c>
      <c r="BH736" s="963">
        <f t="shared" ca="1" si="1472"/>
        <v>0</v>
      </c>
    </row>
    <row r="737" spans="1:60" s="75" customFormat="1" ht="14.5">
      <c r="A737" s="990">
        <f t="shared" si="1457"/>
        <v>672</v>
      </c>
      <c r="B737" s="990">
        <v>1</v>
      </c>
      <c r="C737" s="990">
        <f t="shared" si="1428"/>
        <v>734</v>
      </c>
      <c r="E737" s="1243">
        <v>1</v>
      </c>
      <c r="F737" s="10"/>
      <c r="G737" s="10"/>
      <c r="H737" s="24"/>
      <c r="I737" s="445"/>
      <c r="J737" s="446"/>
      <c r="K737" s="74"/>
      <c r="L737" s="74"/>
      <c r="O737" s="395" t="s">
        <v>367</v>
      </c>
      <c r="P737" s="395"/>
      <c r="Q737" s="1848" t="str">
        <f>CHOOSE(2, "6722000003656", "S/GP (3) Gross Profit Indirect NH EFI/LF FSC (-)")</f>
        <v>S/GP (3) Gross Profit Indirect NH EFI/LF FSC (-)</v>
      </c>
      <c r="R737" s="385">
        <f t="shared" ref="R737:AC737" si="1487">SUM(R738:R740)</f>
        <v>0</v>
      </c>
      <c r="S737" s="385">
        <f t="shared" si="1487"/>
        <v>0</v>
      </c>
      <c r="T737" s="385">
        <f t="shared" si="1487"/>
        <v>0</v>
      </c>
      <c r="U737" s="385">
        <f t="shared" si="1487"/>
        <v>0</v>
      </c>
      <c r="V737" s="385">
        <f t="shared" si="1487"/>
        <v>0</v>
      </c>
      <c r="W737" s="385">
        <f t="shared" si="1487"/>
        <v>0</v>
      </c>
      <c r="X737" s="385">
        <f t="shared" si="1487"/>
        <v>0</v>
      </c>
      <c r="Y737" s="385">
        <f t="shared" si="1487"/>
        <v>0</v>
      </c>
      <c r="Z737" s="385">
        <f t="shared" si="1487"/>
        <v>0</v>
      </c>
      <c r="AA737" s="385">
        <f t="shared" si="1487"/>
        <v>0</v>
      </c>
      <c r="AB737" s="385">
        <f t="shared" si="1487"/>
        <v>0</v>
      </c>
      <c r="AC737" s="385">
        <f t="shared" si="1487"/>
        <v>0</v>
      </c>
      <c r="AD737" s="1540">
        <f>SUM(R737:T737)</f>
        <v>0</v>
      </c>
      <c r="AE737" s="385">
        <f>SUM(U737:W737)</f>
        <v>0</v>
      </c>
      <c r="AF737" s="385">
        <f>SUM(X737:Z737)</f>
        <v>0</v>
      </c>
      <c r="AG737" s="385">
        <f>SUM(AA737:AC737)</f>
        <v>0</v>
      </c>
      <c r="AH737" s="385">
        <f>AD737+AE737</f>
        <v>0</v>
      </c>
      <c r="AI737" s="385">
        <f>AG737+AF737</f>
        <v>0</v>
      </c>
      <c r="AJ737" s="385">
        <f>AH737+AI737</f>
        <v>0</v>
      </c>
      <c r="AL737" s="385">
        <f ca="1">SUM((INDIRECT(AL$2&amp;(ROW())):INDIRECT(AL$3&amp;(ROW()))))</f>
        <v>0</v>
      </c>
      <c r="AM737" s="385">
        <f ca="1">SUM(INDIRECT(AM$1&amp;AM$2&amp;$C737):INDIRECT(AM$1&amp;AM$3&amp;$C737))</f>
        <v>0</v>
      </c>
      <c r="AN737" s="897">
        <f t="shared" ca="1" si="1461"/>
        <v>0</v>
      </c>
      <c r="AO737" s="958">
        <f t="shared" ca="1" si="1462"/>
        <v>0</v>
      </c>
      <c r="AP737" s="385">
        <f ca="1">SUM(INDIRECT(AP$1&amp;AP$2&amp;$A737):INDIRECT(AP$1&amp;AP$3&amp;$A737))</f>
        <v>0</v>
      </c>
      <c r="AQ737" s="897">
        <f t="shared" ca="1" si="1463"/>
        <v>0</v>
      </c>
      <c r="AR737" s="958">
        <f t="shared" ca="1" si="1464"/>
        <v>0</v>
      </c>
      <c r="AT737" s="385">
        <f ca="1">SUM((INDIRECT(AT$2&amp;(ROW())):INDIRECT(AT$3&amp;(ROW()))))</f>
        <v>0</v>
      </c>
      <c r="AU737" s="385">
        <f ca="1">SUM(INDIRECT(AU$1&amp;AU$2&amp;$C737):INDIRECT(AU$1&amp;AU$3&amp;$C737))</f>
        <v>0</v>
      </c>
      <c r="AV737" s="897">
        <f t="shared" ca="1" si="1465"/>
        <v>0</v>
      </c>
      <c r="AW737" s="958">
        <f t="shared" ca="1" si="1466"/>
        <v>0</v>
      </c>
      <c r="AX737" s="385">
        <f ca="1">SUM(INDIRECT(AX$1&amp;AX$2&amp;$A737):INDIRECT(AX$1&amp;AX$3&amp;$A737))</f>
        <v>0</v>
      </c>
      <c r="AY737" s="897">
        <f t="shared" ca="1" si="1467"/>
        <v>0</v>
      </c>
      <c r="AZ737" s="958">
        <f t="shared" ca="1" si="1468"/>
        <v>0</v>
      </c>
      <c r="BB737" s="385">
        <f ca="1">SUM((INDIRECT(BB$2&amp;(ROW())):INDIRECT(BB$3&amp;(ROW()))))</f>
        <v>0</v>
      </c>
      <c r="BC737" s="385">
        <f ca="1">SUM(INDIRECT(BC$1&amp;BC$2&amp;$C737):INDIRECT(BC$1&amp;BC$3&amp;$C737))</f>
        <v>0</v>
      </c>
      <c r="BD737" s="897">
        <f t="shared" ca="1" si="1469"/>
        <v>0</v>
      </c>
      <c r="BE737" s="958">
        <f t="shared" ca="1" si="1470"/>
        <v>0</v>
      </c>
      <c r="BF737" s="385">
        <f ca="1">SUM(INDIRECT(BF$1&amp;BF$2&amp;$A737):INDIRECT(BF$1&amp;BF$3&amp;$A737))</f>
        <v>0</v>
      </c>
      <c r="BG737" s="897">
        <f t="shared" ca="1" si="1471"/>
        <v>0</v>
      </c>
      <c r="BH737" s="958">
        <f t="shared" ca="1" si="1472"/>
        <v>0</v>
      </c>
    </row>
    <row r="738" spans="1:60" s="75" customFormat="1" ht="14.5">
      <c r="A738" s="990">
        <f t="shared" si="1457"/>
        <v>673</v>
      </c>
      <c r="B738" s="990">
        <v>1</v>
      </c>
      <c r="C738" s="990">
        <f t="shared" si="1428"/>
        <v>735</v>
      </c>
      <c r="E738" s="1243">
        <v>1</v>
      </c>
      <c r="F738" s="10"/>
      <c r="G738" s="10"/>
      <c r="H738" s="24"/>
      <c r="I738" s="445"/>
      <c r="J738" s="446"/>
      <c r="K738" s="74"/>
      <c r="L738" s="74"/>
      <c r="O738" s="396"/>
      <c r="P738" s="371" t="s">
        <v>378</v>
      </c>
      <c r="Q738" s="1845" t="str">
        <f>CHOOSE(2, "6722000003657", "S/GP (3) Gross Profit Indirect NH EFI/LF FSC (-) PC")</f>
        <v>S/GP (3) Gross Profit Indirect NH EFI/LF FSC (-) PC</v>
      </c>
      <c r="R738" s="2042">
        <v>0</v>
      </c>
      <c r="S738" s="2042">
        <v>0</v>
      </c>
      <c r="T738" s="2042">
        <v>0</v>
      </c>
      <c r="U738" s="2042">
        <v>0</v>
      </c>
      <c r="V738" s="2042">
        <v>0</v>
      </c>
      <c r="W738" s="2042">
        <v>0</v>
      </c>
      <c r="X738" s="2042">
        <v>0</v>
      </c>
      <c r="Y738" s="2042">
        <v>0</v>
      </c>
      <c r="Z738" s="2042">
        <v>0</v>
      </c>
      <c r="AA738" s="2042">
        <v>0</v>
      </c>
      <c r="AB738" s="2042">
        <v>0</v>
      </c>
      <c r="AC738" s="2042">
        <v>0</v>
      </c>
      <c r="AD738" s="1537">
        <f>SUM(R738,S738,T738)</f>
        <v>0</v>
      </c>
      <c r="AE738" s="108">
        <f t="shared" ref="AE738:AE740" si="1488">SUM(U738,V738,W738)</f>
        <v>0</v>
      </c>
      <c r="AF738" s="108">
        <f t="shared" ref="AF738:AF740" si="1489">SUM(X738,Y738,Z738)</f>
        <v>0</v>
      </c>
      <c r="AG738" s="108">
        <f t="shared" ref="AG738:AG740" si="1490">SUM(AA738,AB738,AC738)</f>
        <v>0</v>
      </c>
      <c r="AH738" s="108">
        <f>AD738+AE738</f>
        <v>0</v>
      </c>
      <c r="AI738" s="108">
        <f>AG738+AF738</f>
        <v>0</v>
      </c>
      <c r="AJ738" s="108">
        <f>AH738+AI738</f>
        <v>0</v>
      </c>
      <c r="AL738" s="108">
        <f ca="1">SUM((INDIRECT(AL$2&amp;(ROW())):INDIRECT(AL$3&amp;(ROW()))))</f>
        <v>0</v>
      </c>
      <c r="AM738" s="108">
        <f ca="1">SUM(INDIRECT(AM$1&amp;AM$2&amp;$C738):INDIRECT(AM$1&amp;AM$3&amp;$C738))</f>
        <v>0</v>
      </c>
      <c r="AN738" s="893">
        <f t="shared" ca="1" si="1461"/>
        <v>0</v>
      </c>
      <c r="AO738" s="954">
        <f t="shared" ca="1" si="1462"/>
        <v>0</v>
      </c>
      <c r="AP738" s="108">
        <f ca="1">SUM(INDIRECT(AP$1&amp;AP$2&amp;$A738):INDIRECT(AP$1&amp;AP$3&amp;$A738))</f>
        <v>0</v>
      </c>
      <c r="AQ738" s="893">
        <f t="shared" ca="1" si="1463"/>
        <v>0</v>
      </c>
      <c r="AR738" s="954">
        <f t="shared" ca="1" si="1464"/>
        <v>0</v>
      </c>
      <c r="AT738" s="108">
        <f ca="1">SUM((INDIRECT(AT$2&amp;(ROW())):INDIRECT(AT$3&amp;(ROW()))))</f>
        <v>0</v>
      </c>
      <c r="AU738" s="108">
        <f ca="1">SUM(INDIRECT(AU$1&amp;AU$2&amp;$C738):INDIRECT(AU$1&amp;AU$3&amp;$C738))</f>
        <v>0</v>
      </c>
      <c r="AV738" s="893">
        <f t="shared" ca="1" si="1465"/>
        <v>0</v>
      </c>
      <c r="AW738" s="954">
        <f t="shared" ca="1" si="1466"/>
        <v>0</v>
      </c>
      <c r="AX738" s="108">
        <f ca="1">SUM(INDIRECT(AX$1&amp;AX$2&amp;$A738):INDIRECT(AX$1&amp;AX$3&amp;$A738))</f>
        <v>0</v>
      </c>
      <c r="AY738" s="893">
        <f t="shared" ca="1" si="1467"/>
        <v>0</v>
      </c>
      <c r="AZ738" s="954">
        <f t="shared" ca="1" si="1468"/>
        <v>0</v>
      </c>
      <c r="BB738" s="108">
        <f ca="1">SUM((INDIRECT(BB$2&amp;(ROW())):INDIRECT(BB$3&amp;(ROW()))))</f>
        <v>0</v>
      </c>
      <c r="BC738" s="108">
        <f ca="1">SUM(INDIRECT(BC$1&amp;BC$2&amp;$C738):INDIRECT(BC$1&amp;BC$3&amp;$C738))</f>
        <v>0</v>
      </c>
      <c r="BD738" s="893">
        <f t="shared" ca="1" si="1469"/>
        <v>0</v>
      </c>
      <c r="BE738" s="954">
        <f t="shared" ca="1" si="1470"/>
        <v>0</v>
      </c>
      <c r="BF738" s="108">
        <f ca="1">SUM(INDIRECT(BF$1&amp;BF$2&amp;$A738):INDIRECT(BF$1&amp;BF$3&amp;$A738))</f>
        <v>0</v>
      </c>
      <c r="BG738" s="893">
        <f t="shared" ca="1" si="1471"/>
        <v>0</v>
      </c>
      <c r="BH738" s="954">
        <f t="shared" ca="1" si="1472"/>
        <v>0</v>
      </c>
    </row>
    <row r="739" spans="1:60" s="75" customFormat="1" ht="14.5">
      <c r="A739" s="990">
        <f t="shared" si="1457"/>
        <v>674</v>
      </c>
      <c r="B739" s="990">
        <v>1</v>
      </c>
      <c r="C739" s="990">
        <f t="shared" si="1428"/>
        <v>736</v>
      </c>
      <c r="E739" s="1243">
        <v>1</v>
      </c>
      <c r="F739" s="10"/>
      <c r="G739" s="10"/>
      <c r="H739" s="24"/>
      <c r="I739" s="445"/>
      <c r="J739" s="446"/>
      <c r="K739" s="74"/>
      <c r="L739" s="74"/>
      <c r="O739" s="301"/>
      <c r="P739" s="299" t="s">
        <v>379</v>
      </c>
      <c r="Q739" s="1845" t="str">
        <f>CHOOSE(2, "6722000003658", "S/GP (3) Gross Profit Indirect NH EFI/LF FSC (-) TE")</f>
        <v>S/GP (3) Gross Profit Indirect NH EFI/LF FSC (-) TE</v>
      </c>
      <c r="R739" s="2036">
        <v>0</v>
      </c>
      <c r="S739" s="2036">
        <v>0</v>
      </c>
      <c r="T739" s="2036">
        <v>0</v>
      </c>
      <c r="U739" s="2036">
        <v>0</v>
      </c>
      <c r="V739" s="2036">
        <v>0</v>
      </c>
      <c r="W739" s="2036">
        <v>0</v>
      </c>
      <c r="X739" s="2036">
        <v>0</v>
      </c>
      <c r="Y739" s="2036">
        <v>0</v>
      </c>
      <c r="Z739" s="2036">
        <v>0</v>
      </c>
      <c r="AA739" s="2036">
        <v>0</v>
      </c>
      <c r="AB739" s="2036">
        <v>0</v>
      </c>
      <c r="AC739" s="2036">
        <v>0</v>
      </c>
      <c r="AD739" s="1380">
        <f>SUM(R739,S739,T739)</f>
        <v>0</v>
      </c>
      <c r="AE739" s="107">
        <f t="shared" si="1488"/>
        <v>0</v>
      </c>
      <c r="AF739" s="107">
        <f t="shared" si="1489"/>
        <v>0</v>
      </c>
      <c r="AG739" s="107">
        <f t="shared" si="1490"/>
        <v>0</v>
      </c>
      <c r="AH739" s="107">
        <f>AD739+AE739</f>
        <v>0</v>
      </c>
      <c r="AI739" s="107">
        <f>AG739+AF739</f>
        <v>0</v>
      </c>
      <c r="AJ739" s="107">
        <f>AH739+AI739</f>
        <v>0</v>
      </c>
      <c r="AL739" s="107">
        <f ca="1">SUM((INDIRECT(AL$2&amp;(ROW())):INDIRECT(AL$3&amp;(ROW()))))</f>
        <v>0</v>
      </c>
      <c r="AM739" s="107">
        <f ca="1">SUM(INDIRECT(AM$1&amp;AM$2&amp;$C739):INDIRECT(AM$1&amp;AM$3&amp;$C739))</f>
        <v>0</v>
      </c>
      <c r="AN739" s="898">
        <f t="shared" ca="1" si="1461"/>
        <v>0</v>
      </c>
      <c r="AO739" s="959">
        <f t="shared" ca="1" si="1462"/>
        <v>0</v>
      </c>
      <c r="AP739" s="107">
        <f ca="1">SUM(INDIRECT(AP$1&amp;AP$2&amp;$A739):INDIRECT(AP$1&amp;AP$3&amp;$A739))</f>
        <v>0</v>
      </c>
      <c r="AQ739" s="898">
        <f t="shared" ca="1" si="1463"/>
        <v>0</v>
      </c>
      <c r="AR739" s="959">
        <f t="shared" ca="1" si="1464"/>
        <v>0</v>
      </c>
      <c r="AT739" s="107">
        <f ca="1">SUM((INDIRECT(AT$2&amp;(ROW())):INDIRECT(AT$3&amp;(ROW()))))</f>
        <v>0</v>
      </c>
      <c r="AU739" s="107">
        <f ca="1">SUM(INDIRECT(AU$1&amp;AU$2&amp;$C739):INDIRECT(AU$1&amp;AU$3&amp;$C739))</f>
        <v>0</v>
      </c>
      <c r="AV739" s="898">
        <f t="shared" ca="1" si="1465"/>
        <v>0</v>
      </c>
      <c r="AW739" s="959">
        <f t="shared" ca="1" si="1466"/>
        <v>0</v>
      </c>
      <c r="AX739" s="107">
        <f ca="1">SUM(INDIRECT(AX$1&amp;AX$2&amp;$A739):INDIRECT(AX$1&amp;AX$3&amp;$A739))</f>
        <v>0</v>
      </c>
      <c r="AY739" s="898">
        <f t="shared" ca="1" si="1467"/>
        <v>0</v>
      </c>
      <c r="AZ739" s="959">
        <f t="shared" ca="1" si="1468"/>
        <v>0</v>
      </c>
      <c r="BB739" s="107">
        <f ca="1">SUM((INDIRECT(BB$2&amp;(ROW())):INDIRECT(BB$3&amp;(ROW()))))</f>
        <v>0</v>
      </c>
      <c r="BC739" s="107">
        <f ca="1">SUM(INDIRECT(BC$1&amp;BC$2&amp;$C739):INDIRECT(BC$1&amp;BC$3&amp;$C739))</f>
        <v>0</v>
      </c>
      <c r="BD739" s="898">
        <f t="shared" ca="1" si="1469"/>
        <v>0</v>
      </c>
      <c r="BE739" s="959">
        <f t="shared" ca="1" si="1470"/>
        <v>0</v>
      </c>
      <c r="BF739" s="107">
        <f ca="1">SUM(INDIRECT(BF$1&amp;BF$2&amp;$A739):INDIRECT(BF$1&amp;BF$3&amp;$A739))</f>
        <v>0</v>
      </c>
      <c r="BG739" s="898">
        <f t="shared" ca="1" si="1471"/>
        <v>0</v>
      </c>
      <c r="BH739" s="959">
        <f t="shared" ca="1" si="1472"/>
        <v>0</v>
      </c>
    </row>
    <row r="740" spans="1:60" s="75" customFormat="1" ht="14.5">
      <c r="A740" s="990">
        <f t="shared" si="1457"/>
        <v>675</v>
      </c>
      <c r="B740" s="990">
        <v>1</v>
      </c>
      <c r="C740" s="990">
        <f t="shared" si="1428"/>
        <v>737</v>
      </c>
      <c r="E740" s="1243">
        <v>1</v>
      </c>
      <c r="F740" s="10"/>
      <c r="G740" s="10"/>
      <c r="H740" s="24"/>
      <c r="I740" s="445"/>
      <c r="J740" s="446"/>
      <c r="K740" s="74"/>
      <c r="L740" s="74"/>
      <c r="N740" s="276"/>
      <c r="O740" s="302"/>
      <c r="P740" s="298" t="s">
        <v>386</v>
      </c>
      <c r="Q740" s="1845" t="str">
        <f>CHOOSE(2, "6722000003659", "S/GP (3) Gross Profit Indirect NH EFI/LF FSC (-) OFC")</f>
        <v>S/GP (3) Gross Profit Indirect NH EFI/LF FSC (-) OFC</v>
      </c>
      <c r="R740" s="2037">
        <v>0</v>
      </c>
      <c r="S740" s="2037">
        <v>0</v>
      </c>
      <c r="T740" s="2037">
        <v>0</v>
      </c>
      <c r="U740" s="2037">
        <v>0</v>
      </c>
      <c r="V740" s="2037">
        <v>0</v>
      </c>
      <c r="W740" s="2037">
        <v>0</v>
      </c>
      <c r="X740" s="2037">
        <v>0</v>
      </c>
      <c r="Y740" s="2037">
        <v>0</v>
      </c>
      <c r="Z740" s="2037">
        <v>0</v>
      </c>
      <c r="AA740" s="2037">
        <v>0</v>
      </c>
      <c r="AB740" s="2037">
        <v>0</v>
      </c>
      <c r="AC740" s="2037">
        <v>0</v>
      </c>
      <c r="AD740" s="1380">
        <f>SUM(R740,S740,T740)</f>
        <v>0</v>
      </c>
      <c r="AE740" s="107">
        <f t="shared" si="1488"/>
        <v>0</v>
      </c>
      <c r="AF740" s="107">
        <f t="shared" si="1489"/>
        <v>0</v>
      </c>
      <c r="AG740" s="107">
        <f t="shared" si="1490"/>
        <v>0</v>
      </c>
      <c r="AH740" s="107">
        <f>AD740+AE740</f>
        <v>0</v>
      </c>
      <c r="AI740" s="107">
        <f>AG740+AF740</f>
        <v>0</v>
      </c>
      <c r="AJ740" s="107">
        <f>AH740+AI740</f>
        <v>0</v>
      </c>
      <c r="AL740" s="107">
        <f ca="1">SUM((INDIRECT(AL$2&amp;(ROW())):INDIRECT(AL$3&amp;(ROW()))))</f>
        <v>0</v>
      </c>
      <c r="AM740" s="107">
        <f ca="1">SUM(INDIRECT(AM$1&amp;AM$2&amp;$C740):INDIRECT(AM$1&amp;AM$3&amp;$C740))</f>
        <v>0</v>
      </c>
      <c r="AN740" s="898">
        <f t="shared" ca="1" si="1461"/>
        <v>0</v>
      </c>
      <c r="AO740" s="959">
        <f t="shared" ca="1" si="1462"/>
        <v>0</v>
      </c>
      <c r="AP740" s="107">
        <f ca="1">SUM(INDIRECT(AP$1&amp;AP$2&amp;$A740):INDIRECT(AP$1&amp;AP$3&amp;$A740))</f>
        <v>0</v>
      </c>
      <c r="AQ740" s="898">
        <f t="shared" ca="1" si="1463"/>
        <v>0</v>
      </c>
      <c r="AR740" s="959">
        <f t="shared" ca="1" si="1464"/>
        <v>0</v>
      </c>
      <c r="AT740" s="107">
        <f ca="1">SUM((INDIRECT(AT$2&amp;(ROW())):INDIRECT(AT$3&amp;(ROW()))))</f>
        <v>0</v>
      </c>
      <c r="AU740" s="107">
        <f ca="1">SUM(INDIRECT(AU$1&amp;AU$2&amp;$C740):INDIRECT(AU$1&amp;AU$3&amp;$C740))</f>
        <v>0</v>
      </c>
      <c r="AV740" s="898">
        <f t="shared" ca="1" si="1465"/>
        <v>0</v>
      </c>
      <c r="AW740" s="959">
        <f t="shared" ca="1" si="1466"/>
        <v>0</v>
      </c>
      <c r="AX740" s="107">
        <f ca="1">SUM(INDIRECT(AX$1&amp;AX$2&amp;$A740):INDIRECT(AX$1&amp;AX$3&amp;$A740))</f>
        <v>0</v>
      </c>
      <c r="AY740" s="898">
        <f t="shared" ca="1" si="1467"/>
        <v>0</v>
      </c>
      <c r="AZ740" s="959">
        <f t="shared" ca="1" si="1468"/>
        <v>0</v>
      </c>
      <c r="BB740" s="107">
        <f ca="1">SUM((INDIRECT(BB$2&amp;(ROW())):INDIRECT(BB$3&amp;(ROW()))))</f>
        <v>0</v>
      </c>
      <c r="BC740" s="107">
        <f ca="1">SUM(INDIRECT(BC$1&amp;BC$2&amp;$C740):INDIRECT(BC$1&amp;BC$3&amp;$C740))</f>
        <v>0</v>
      </c>
      <c r="BD740" s="898">
        <f t="shared" ca="1" si="1469"/>
        <v>0</v>
      </c>
      <c r="BE740" s="959">
        <f t="shared" ca="1" si="1470"/>
        <v>0</v>
      </c>
      <c r="BF740" s="107">
        <f ca="1">SUM(INDIRECT(BF$1&amp;BF$2&amp;$A740):INDIRECT(BF$1&amp;BF$3&amp;$A740))</f>
        <v>0</v>
      </c>
      <c r="BG740" s="898">
        <f t="shared" ca="1" si="1471"/>
        <v>0</v>
      </c>
      <c r="BH740" s="959">
        <f t="shared" ca="1" si="1472"/>
        <v>0</v>
      </c>
    </row>
    <row r="741" spans="1:60" ht="14.5">
      <c r="A741" s="990">
        <f t="shared" si="1457"/>
        <v>676</v>
      </c>
      <c r="B741" s="990">
        <v>1</v>
      </c>
      <c r="C741" s="990">
        <f t="shared" si="1428"/>
        <v>738</v>
      </c>
      <c r="E741" s="1243">
        <v>1</v>
      </c>
      <c r="I741" s="445"/>
      <c r="J741" s="446"/>
      <c r="K741" s="74"/>
      <c r="L741" s="74"/>
      <c r="M741" s="75"/>
      <c r="N741" s="75" t="s">
        <v>371</v>
      </c>
      <c r="O741" s="391"/>
      <c r="P741" s="391"/>
      <c r="Q741" s="1843" t="str">
        <f>CHOOSE(2, "6722000003660", "S/GP (3) Gross Profit Indirect NH TextilePrinter")</f>
        <v>S/GP (3) Gross Profit Indirect NH TextilePrinter</v>
      </c>
      <c r="R741" s="64">
        <f t="shared" ref="R741:AC741" si="1491">R742+R743</f>
        <v>0</v>
      </c>
      <c r="S741" s="64">
        <f t="shared" si="1491"/>
        <v>0</v>
      </c>
      <c r="T741" s="64">
        <f t="shared" si="1491"/>
        <v>0</v>
      </c>
      <c r="U741" s="64">
        <f t="shared" si="1491"/>
        <v>0</v>
      </c>
      <c r="V741" s="64">
        <f t="shared" si="1491"/>
        <v>0</v>
      </c>
      <c r="W741" s="64">
        <f t="shared" si="1491"/>
        <v>0</v>
      </c>
      <c r="X741" s="64">
        <f t="shared" si="1491"/>
        <v>0</v>
      </c>
      <c r="Y741" s="64">
        <f t="shared" si="1491"/>
        <v>0</v>
      </c>
      <c r="Z741" s="64">
        <f t="shared" si="1491"/>
        <v>0</v>
      </c>
      <c r="AA741" s="64">
        <f t="shared" si="1491"/>
        <v>0</v>
      </c>
      <c r="AB741" s="64">
        <f t="shared" si="1491"/>
        <v>0</v>
      </c>
      <c r="AC741" s="64">
        <f t="shared" si="1491"/>
        <v>0</v>
      </c>
      <c r="AD741" s="1545">
        <f t="shared" ref="AD741:AJ741" si="1492">AD742+AD743</f>
        <v>0</v>
      </c>
      <c r="AE741" s="64">
        <f t="shared" si="1492"/>
        <v>0</v>
      </c>
      <c r="AF741" s="64">
        <f t="shared" si="1492"/>
        <v>0</v>
      </c>
      <c r="AG741" s="64">
        <f t="shared" si="1492"/>
        <v>0</v>
      </c>
      <c r="AH741" s="64">
        <f t="shared" si="1492"/>
        <v>0</v>
      </c>
      <c r="AI741" s="64">
        <f t="shared" si="1492"/>
        <v>0</v>
      </c>
      <c r="AJ741" s="64">
        <f t="shared" si="1492"/>
        <v>0</v>
      </c>
      <c r="AL741" s="64">
        <f ca="1">SUM((INDIRECT(AL$2&amp;(ROW())):INDIRECT(AL$3&amp;(ROW()))))</f>
        <v>0</v>
      </c>
      <c r="AM741" s="64">
        <f ca="1">SUM(INDIRECT(AM$1&amp;AM$2&amp;$C741):INDIRECT(AM$1&amp;AM$3&amp;$C741))</f>
        <v>0</v>
      </c>
      <c r="AN741" s="902">
        <f t="shared" ca="1" si="1461"/>
        <v>0</v>
      </c>
      <c r="AO741" s="963">
        <f t="shared" ca="1" si="1462"/>
        <v>0</v>
      </c>
      <c r="AP741" s="64">
        <f ca="1">SUM(INDIRECT(AP$1&amp;AP$2&amp;$A741):INDIRECT(AP$1&amp;AP$3&amp;$A741))</f>
        <v>0</v>
      </c>
      <c r="AQ741" s="902">
        <f t="shared" ca="1" si="1463"/>
        <v>0</v>
      </c>
      <c r="AR741" s="963">
        <f t="shared" ca="1" si="1464"/>
        <v>0</v>
      </c>
      <c r="AT741" s="64">
        <f ca="1">SUM((INDIRECT(AT$2&amp;(ROW())):INDIRECT(AT$3&amp;(ROW()))))</f>
        <v>0</v>
      </c>
      <c r="AU741" s="64">
        <f ca="1">SUM(INDIRECT(AU$1&amp;AU$2&amp;$C741):INDIRECT(AU$1&amp;AU$3&amp;$C741))</f>
        <v>0</v>
      </c>
      <c r="AV741" s="902">
        <f t="shared" ca="1" si="1465"/>
        <v>0</v>
      </c>
      <c r="AW741" s="963">
        <f t="shared" ca="1" si="1466"/>
        <v>0</v>
      </c>
      <c r="AX741" s="64">
        <f ca="1">SUM(INDIRECT(AX$1&amp;AX$2&amp;$A741):INDIRECT(AX$1&amp;AX$3&amp;$A741))</f>
        <v>0</v>
      </c>
      <c r="AY741" s="902">
        <f t="shared" ca="1" si="1467"/>
        <v>0</v>
      </c>
      <c r="AZ741" s="963">
        <f t="shared" ca="1" si="1468"/>
        <v>0</v>
      </c>
      <c r="BB741" s="64">
        <f ca="1">SUM((INDIRECT(BB$2&amp;(ROW())):INDIRECT(BB$3&amp;(ROW()))))</f>
        <v>0</v>
      </c>
      <c r="BC741" s="64">
        <f ca="1">SUM(INDIRECT(BC$1&amp;BC$2&amp;$C741):INDIRECT(BC$1&amp;BC$3&amp;$C741))</f>
        <v>0</v>
      </c>
      <c r="BD741" s="902">
        <f t="shared" ca="1" si="1469"/>
        <v>0</v>
      </c>
      <c r="BE741" s="963">
        <f t="shared" ca="1" si="1470"/>
        <v>0</v>
      </c>
      <c r="BF741" s="64">
        <f ca="1">SUM(INDIRECT(BF$1&amp;BF$2&amp;$A741):INDIRECT(BF$1&amp;BF$3&amp;$A741))</f>
        <v>0</v>
      </c>
      <c r="BG741" s="902">
        <f t="shared" ca="1" si="1471"/>
        <v>0</v>
      </c>
      <c r="BH741" s="963">
        <f t="shared" ca="1" si="1472"/>
        <v>0</v>
      </c>
    </row>
    <row r="742" spans="1:60" ht="14.5">
      <c r="A742" s="990">
        <f t="shared" si="1457"/>
        <v>677</v>
      </c>
      <c r="B742" s="990">
        <v>1</v>
      </c>
      <c r="C742" s="990">
        <f t="shared" si="1428"/>
        <v>739</v>
      </c>
      <c r="E742" s="1243">
        <v>1</v>
      </c>
      <c r="I742" s="445"/>
      <c r="J742" s="446"/>
      <c r="K742" s="74"/>
      <c r="L742" s="74"/>
      <c r="M742" s="75"/>
      <c r="N742" s="75"/>
      <c r="O742" s="394" t="s">
        <v>385</v>
      </c>
      <c r="P742" s="394"/>
      <c r="Q742" s="1845" t="str">
        <f>CHOOSE(2, "6722000003661", "S/GP (3) Gross Profit Indirect NH TextilePrinter TP")</f>
        <v>S/GP (3) Gross Profit Indirect NH TextilePrinter TP</v>
      </c>
      <c r="R742" s="2057">
        <v>0</v>
      </c>
      <c r="S742" s="2057">
        <v>0</v>
      </c>
      <c r="T742" s="2057">
        <v>0</v>
      </c>
      <c r="U742" s="2057">
        <v>0</v>
      </c>
      <c r="V742" s="2057">
        <v>0</v>
      </c>
      <c r="W742" s="2057">
        <v>0</v>
      </c>
      <c r="X742" s="2057">
        <v>0</v>
      </c>
      <c r="Y742" s="2057">
        <v>0</v>
      </c>
      <c r="Z742" s="2057">
        <v>0</v>
      </c>
      <c r="AA742" s="2057">
        <v>0</v>
      </c>
      <c r="AB742" s="2057">
        <v>0</v>
      </c>
      <c r="AC742" s="2057">
        <v>0</v>
      </c>
      <c r="AD742" s="1545">
        <f>SUM(R742,S742,T742)</f>
        <v>0</v>
      </c>
      <c r="AE742" s="64">
        <f t="shared" ref="AE742" si="1493">SUM(U742,V742,W742)</f>
        <v>0</v>
      </c>
      <c r="AF742" s="64">
        <f t="shared" ref="AF742" si="1494">SUM(X742,Y742,Z742)</f>
        <v>0</v>
      </c>
      <c r="AG742" s="64">
        <f t="shared" ref="AG742" si="1495">SUM(AA742,AB742,AC742)</f>
        <v>0</v>
      </c>
      <c r="AH742" s="64">
        <f t="shared" ref="AH742:AH751" si="1496">AD742+AE742</f>
        <v>0</v>
      </c>
      <c r="AI742" s="64">
        <f t="shared" ref="AI742:AI751" si="1497">AG742+AF742</f>
        <v>0</v>
      </c>
      <c r="AJ742" s="64">
        <f t="shared" ref="AJ742:AJ751" si="1498">AH742+AI742</f>
        <v>0</v>
      </c>
      <c r="AL742" s="64">
        <f ca="1">SUM((INDIRECT(AL$2&amp;(ROW())):INDIRECT(AL$3&amp;(ROW()))))</f>
        <v>0</v>
      </c>
      <c r="AM742" s="64">
        <f ca="1">SUM(INDIRECT(AM$1&amp;AM$2&amp;$C742):INDIRECT(AM$1&amp;AM$3&amp;$C742))</f>
        <v>0</v>
      </c>
      <c r="AN742" s="902">
        <f t="shared" ca="1" si="1461"/>
        <v>0</v>
      </c>
      <c r="AO742" s="963">
        <f t="shared" ca="1" si="1462"/>
        <v>0</v>
      </c>
      <c r="AP742" s="64">
        <f ca="1">SUM(INDIRECT(AP$1&amp;AP$2&amp;$A742):INDIRECT(AP$1&amp;AP$3&amp;$A742))</f>
        <v>0</v>
      </c>
      <c r="AQ742" s="902">
        <f t="shared" ca="1" si="1463"/>
        <v>0</v>
      </c>
      <c r="AR742" s="963">
        <f t="shared" ca="1" si="1464"/>
        <v>0</v>
      </c>
      <c r="AT742" s="64">
        <f ca="1">SUM((INDIRECT(AT$2&amp;(ROW())):INDIRECT(AT$3&amp;(ROW()))))</f>
        <v>0</v>
      </c>
      <c r="AU742" s="64">
        <f ca="1">SUM(INDIRECT(AU$1&amp;AU$2&amp;$C742):INDIRECT(AU$1&amp;AU$3&amp;$C742))</f>
        <v>0</v>
      </c>
      <c r="AV742" s="902">
        <f t="shared" ca="1" si="1465"/>
        <v>0</v>
      </c>
      <c r="AW742" s="963">
        <f t="shared" ca="1" si="1466"/>
        <v>0</v>
      </c>
      <c r="AX742" s="64">
        <f ca="1">SUM(INDIRECT(AX$1&amp;AX$2&amp;$A742):INDIRECT(AX$1&amp;AX$3&amp;$A742))</f>
        <v>0</v>
      </c>
      <c r="AY742" s="902">
        <f t="shared" ca="1" si="1467"/>
        <v>0</v>
      </c>
      <c r="AZ742" s="963">
        <f t="shared" ca="1" si="1468"/>
        <v>0</v>
      </c>
      <c r="BB742" s="64">
        <f ca="1">SUM((INDIRECT(BB$2&amp;(ROW())):INDIRECT(BB$3&amp;(ROW()))))</f>
        <v>0</v>
      </c>
      <c r="BC742" s="64">
        <f ca="1">SUM(INDIRECT(BC$1&amp;BC$2&amp;$C742):INDIRECT(BC$1&amp;BC$3&amp;$C742))</f>
        <v>0</v>
      </c>
      <c r="BD742" s="902">
        <f t="shared" ca="1" si="1469"/>
        <v>0</v>
      </c>
      <c r="BE742" s="963">
        <f t="shared" ca="1" si="1470"/>
        <v>0</v>
      </c>
      <c r="BF742" s="64">
        <f ca="1">SUM(INDIRECT(BF$1&amp;BF$2&amp;$A742):INDIRECT(BF$1&amp;BF$3&amp;$A742))</f>
        <v>0</v>
      </c>
      <c r="BG742" s="902">
        <f t="shared" ca="1" si="1471"/>
        <v>0</v>
      </c>
      <c r="BH742" s="963">
        <f t="shared" ca="1" si="1472"/>
        <v>0</v>
      </c>
    </row>
    <row r="743" spans="1:60" s="75" customFormat="1" ht="14.5">
      <c r="A743" s="990">
        <f t="shared" si="1457"/>
        <v>678</v>
      </c>
      <c r="B743" s="990">
        <v>1</v>
      </c>
      <c r="C743" s="990">
        <f t="shared" si="1428"/>
        <v>740</v>
      </c>
      <c r="E743" s="1243">
        <v>1</v>
      </c>
      <c r="F743" s="10"/>
      <c r="G743" s="10"/>
      <c r="H743" s="24"/>
      <c r="I743" s="445"/>
      <c r="J743" s="446"/>
      <c r="K743" s="74"/>
      <c r="L743" s="74"/>
      <c r="O743" s="395" t="s">
        <v>367</v>
      </c>
      <c r="P743" s="395"/>
      <c r="Q743" s="1848" t="str">
        <f>CHOOSE(2, "6722000003662", "S/GP (3) Gross Profit Indirect NH TextilePrinter FSC (-)")</f>
        <v>S/GP (3) Gross Profit Indirect NH TextilePrinter FSC (-)</v>
      </c>
      <c r="R743" s="385">
        <f t="shared" ref="R743:AC743" si="1499">SUM(R744:R746)</f>
        <v>0</v>
      </c>
      <c r="S743" s="385">
        <f t="shared" si="1499"/>
        <v>0</v>
      </c>
      <c r="T743" s="385">
        <f t="shared" si="1499"/>
        <v>0</v>
      </c>
      <c r="U743" s="385">
        <f t="shared" si="1499"/>
        <v>0</v>
      </c>
      <c r="V743" s="385">
        <f t="shared" si="1499"/>
        <v>0</v>
      </c>
      <c r="W743" s="385">
        <f t="shared" si="1499"/>
        <v>0</v>
      </c>
      <c r="X743" s="385">
        <f t="shared" si="1499"/>
        <v>0</v>
      </c>
      <c r="Y743" s="385">
        <f t="shared" si="1499"/>
        <v>0</v>
      </c>
      <c r="Z743" s="385">
        <f t="shared" si="1499"/>
        <v>0</v>
      </c>
      <c r="AA743" s="385">
        <f t="shared" si="1499"/>
        <v>0</v>
      </c>
      <c r="AB743" s="385">
        <f t="shared" si="1499"/>
        <v>0</v>
      </c>
      <c r="AC743" s="385">
        <f t="shared" si="1499"/>
        <v>0</v>
      </c>
      <c r="AD743" s="1540">
        <f>SUM(R743:T743)</f>
        <v>0</v>
      </c>
      <c r="AE743" s="385">
        <f t="shared" ref="AE743:AE747" si="1500">SUM(U743:W743)</f>
        <v>0</v>
      </c>
      <c r="AF743" s="385">
        <f t="shared" ref="AF743:AF747" si="1501">SUM(X743:Z743)</f>
        <v>0</v>
      </c>
      <c r="AG743" s="385">
        <f t="shared" ref="AG743:AG747" si="1502">SUM(AA743:AC743)</f>
        <v>0</v>
      </c>
      <c r="AH743" s="385">
        <f t="shared" si="1496"/>
        <v>0</v>
      </c>
      <c r="AI743" s="385">
        <f t="shared" si="1497"/>
        <v>0</v>
      </c>
      <c r="AJ743" s="385">
        <f t="shared" si="1498"/>
        <v>0</v>
      </c>
      <c r="AL743" s="385">
        <f ca="1">SUM((INDIRECT(AL$2&amp;(ROW())):INDIRECT(AL$3&amp;(ROW()))))</f>
        <v>0</v>
      </c>
      <c r="AM743" s="385">
        <f ca="1">SUM(INDIRECT(AM$1&amp;AM$2&amp;$C743):INDIRECT(AM$1&amp;AM$3&amp;$C743))</f>
        <v>0</v>
      </c>
      <c r="AN743" s="897">
        <f t="shared" ca="1" si="1461"/>
        <v>0</v>
      </c>
      <c r="AO743" s="958">
        <f t="shared" ca="1" si="1462"/>
        <v>0</v>
      </c>
      <c r="AP743" s="385">
        <f ca="1">SUM(INDIRECT(AP$1&amp;AP$2&amp;$A743):INDIRECT(AP$1&amp;AP$3&amp;$A743))</f>
        <v>0</v>
      </c>
      <c r="AQ743" s="897">
        <f t="shared" ca="1" si="1463"/>
        <v>0</v>
      </c>
      <c r="AR743" s="958">
        <f t="shared" ca="1" si="1464"/>
        <v>0</v>
      </c>
      <c r="AT743" s="385">
        <f ca="1">SUM((INDIRECT(AT$2&amp;(ROW())):INDIRECT(AT$3&amp;(ROW()))))</f>
        <v>0</v>
      </c>
      <c r="AU743" s="385">
        <f ca="1">SUM(INDIRECT(AU$1&amp;AU$2&amp;$C743):INDIRECT(AU$1&amp;AU$3&amp;$C743))</f>
        <v>0</v>
      </c>
      <c r="AV743" s="897">
        <f t="shared" ca="1" si="1465"/>
        <v>0</v>
      </c>
      <c r="AW743" s="958">
        <f t="shared" ca="1" si="1466"/>
        <v>0</v>
      </c>
      <c r="AX743" s="385">
        <f ca="1">SUM(INDIRECT(AX$1&amp;AX$2&amp;$A743):INDIRECT(AX$1&amp;AX$3&amp;$A743))</f>
        <v>0</v>
      </c>
      <c r="AY743" s="897">
        <f t="shared" ca="1" si="1467"/>
        <v>0</v>
      </c>
      <c r="AZ743" s="958">
        <f t="shared" ca="1" si="1468"/>
        <v>0</v>
      </c>
      <c r="BB743" s="385">
        <f ca="1">SUM((INDIRECT(BB$2&amp;(ROW())):INDIRECT(BB$3&amp;(ROW()))))</f>
        <v>0</v>
      </c>
      <c r="BC743" s="385">
        <f ca="1">SUM(INDIRECT(BC$1&amp;BC$2&amp;$C743):INDIRECT(BC$1&amp;BC$3&amp;$C743))</f>
        <v>0</v>
      </c>
      <c r="BD743" s="897">
        <f t="shared" ca="1" si="1469"/>
        <v>0</v>
      </c>
      <c r="BE743" s="958">
        <f t="shared" ca="1" si="1470"/>
        <v>0</v>
      </c>
      <c r="BF743" s="385">
        <f ca="1">SUM(INDIRECT(BF$1&amp;BF$2&amp;$A743):INDIRECT(BF$1&amp;BF$3&amp;$A743))</f>
        <v>0</v>
      </c>
      <c r="BG743" s="897">
        <f t="shared" ca="1" si="1471"/>
        <v>0</v>
      </c>
      <c r="BH743" s="958">
        <f t="shared" ca="1" si="1472"/>
        <v>0</v>
      </c>
    </row>
    <row r="744" spans="1:60" s="75" customFormat="1" ht="14.5">
      <c r="A744" s="990">
        <f t="shared" si="1457"/>
        <v>679</v>
      </c>
      <c r="B744" s="990">
        <v>1</v>
      </c>
      <c r="C744" s="990">
        <f t="shared" si="1428"/>
        <v>741</v>
      </c>
      <c r="E744" s="1243">
        <v>1</v>
      </c>
      <c r="F744" s="10"/>
      <c r="G744" s="10"/>
      <c r="H744" s="24"/>
      <c r="I744" s="445"/>
      <c r="J744" s="446"/>
      <c r="K744" s="74"/>
      <c r="L744" s="74"/>
      <c r="O744" s="396"/>
      <c r="P744" s="371" t="s">
        <v>378</v>
      </c>
      <c r="Q744" s="1845" t="str">
        <f>CHOOSE(2, "6722000003663", "S/GP (3) Gross Profit Indirect NH TextilePrinter FSC (-) PC")</f>
        <v>S/GP (3) Gross Profit Indirect NH TextilePrinter FSC (-) PC</v>
      </c>
      <c r="R744" s="2042">
        <v>0</v>
      </c>
      <c r="S744" s="2042">
        <v>0</v>
      </c>
      <c r="T744" s="2042">
        <v>0</v>
      </c>
      <c r="U744" s="2042">
        <v>0</v>
      </c>
      <c r="V744" s="2042">
        <v>0</v>
      </c>
      <c r="W744" s="2042">
        <v>0</v>
      </c>
      <c r="X744" s="2042">
        <v>0</v>
      </c>
      <c r="Y744" s="2042">
        <v>0</v>
      </c>
      <c r="Z744" s="2042">
        <v>0</v>
      </c>
      <c r="AA744" s="2042">
        <v>0</v>
      </c>
      <c r="AB744" s="2042">
        <v>0</v>
      </c>
      <c r="AC744" s="2042">
        <v>0</v>
      </c>
      <c r="AD744" s="1537">
        <f>SUM(R744,S744,T744)</f>
        <v>0</v>
      </c>
      <c r="AE744" s="108">
        <f t="shared" ref="AE744:AE746" si="1503">SUM(U744,V744,W744)</f>
        <v>0</v>
      </c>
      <c r="AF744" s="108">
        <f t="shared" ref="AF744:AF746" si="1504">SUM(X744,Y744,Z744)</f>
        <v>0</v>
      </c>
      <c r="AG744" s="108">
        <f t="shared" ref="AG744:AG746" si="1505">SUM(AA744,AB744,AC744)</f>
        <v>0</v>
      </c>
      <c r="AH744" s="108">
        <f t="shared" si="1496"/>
        <v>0</v>
      </c>
      <c r="AI744" s="108">
        <f t="shared" si="1497"/>
        <v>0</v>
      </c>
      <c r="AJ744" s="108">
        <f t="shared" si="1498"/>
        <v>0</v>
      </c>
      <c r="AL744" s="108">
        <f ca="1">SUM((INDIRECT(AL$2&amp;(ROW())):INDIRECT(AL$3&amp;(ROW()))))</f>
        <v>0</v>
      </c>
      <c r="AM744" s="108">
        <f ca="1">SUM(INDIRECT(AM$1&amp;AM$2&amp;$C744):INDIRECT(AM$1&amp;AM$3&amp;$C744))</f>
        <v>0</v>
      </c>
      <c r="AN744" s="893">
        <f t="shared" ca="1" si="1461"/>
        <v>0</v>
      </c>
      <c r="AO744" s="954">
        <f t="shared" ca="1" si="1462"/>
        <v>0</v>
      </c>
      <c r="AP744" s="108">
        <f ca="1">SUM(INDIRECT(AP$1&amp;AP$2&amp;$A744):INDIRECT(AP$1&amp;AP$3&amp;$A744))</f>
        <v>0</v>
      </c>
      <c r="AQ744" s="893">
        <f t="shared" ca="1" si="1463"/>
        <v>0</v>
      </c>
      <c r="AR744" s="954">
        <f t="shared" ca="1" si="1464"/>
        <v>0</v>
      </c>
      <c r="AT744" s="108">
        <f ca="1">SUM((INDIRECT(AT$2&amp;(ROW())):INDIRECT(AT$3&amp;(ROW()))))</f>
        <v>0</v>
      </c>
      <c r="AU744" s="108">
        <f ca="1">SUM(INDIRECT(AU$1&amp;AU$2&amp;$C744):INDIRECT(AU$1&amp;AU$3&amp;$C744))</f>
        <v>0</v>
      </c>
      <c r="AV744" s="893">
        <f t="shared" ca="1" si="1465"/>
        <v>0</v>
      </c>
      <c r="AW744" s="954">
        <f t="shared" ca="1" si="1466"/>
        <v>0</v>
      </c>
      <c r="AX744" s="108">
        <f ca="1">SUM(INDIRECT(AX$1&amp;AX$2&amp;$A744):INDIRECT(AX$1&amp;AX$3&amp;$A744))</f>
        <v>0</v>
      </c>
      <c r="AY744" s="893">
        <f t="shared" ca="1" si="1467"/>
        <v>0</v>
      </c>
      <c r="AZ744" s="954">
        <f t="shared" ca="1" si="1468"/>
        <v>0</v>
      </c>
      <c r="BB744" s="108">
        <f ca="1">SUM((INDIRECT(BB$2&amp;(ROW())):INDIRECT(BB$3&amp;(ROW()))))</f>
        <v>0</v>
      </c>
      <c r="BC744" s="108">
        <f ca="1">SUM(INDIRECT(BC$1&amp;BC$2&amp;$C744):INDIRECT(BC$1&amp;BC$3&amp;$C744))</f>
        <v>0</v>
      </c>
      <c r="BD744" s="893">
        <f t="shared" ca="1" si="1469"/>
        <v>0</v>
      </c>
      <c r="BE744" s="954">
        <f t="shared" ca="1" si="1470"/>
        <v>0</v>
      </c>
      <c r="BF744" s="108">
        <f ca="1">SUM(INDIRECT(BF$1&amp;BF$2&amp;$A744):INDIRECT(BF$1&amp;BF$3&amp;$A744))</f>
        <v>0</v>
      </c>
      <c r="BG744" s="893">
        <f t="shared" ca="1" si="1471"/>
        <v>0</v>
      </c>
      <c r="BH744" s="954">
        <f t="shared" ca="1" si="1472"/>
        <v>0</v>
      </c>
    </row>
    <row r="745" spans="1:60" s="75" customFormat="1" ht="14.5">
      <c r="A745" s="990">
        <f t="shared" si="1457"/>
        <v>680</v>
      </c>
      <c r="B745" s="990">
        <v>1</v>
      </c>
      <c r="C745" s="990">
        <f t="shared" si="1428"/>
        <v>742</v>
      </c>
      <c r="E745" s="1243">
        <v>1</v>
      </c>
      <c r="F745" s="10"/>
      <c r="G745" s="10"/>
      <c r="H745" s="24"/>
      <c r="I745" s="445"/>
      <c r="J745" s="446"/>
      <c r="K745" s="74"/>
      <c r="L745" s="74"/>
      <c r="O745" s="301"/>
      <c r="P745" s="299" t="s">
        <v>379</v>
      </c>
      <c r="Q745" s="1845" t="str">
        <f>CHOOSE(2, "6722000003664", "S/GP (3) Gross Profit Indirect NH TextilePrinter FSC (-) TE")</f>
        <v>S/GP (3) Gross Profit Indirect NH TextilePrinter FSC (-) TE</v>
      </c>
      <c r="R745" s="2036">
        <v>0</v>
      </c>
      <c r="S745" s="2036">
        <v>0</v>
      </c>
      <c r="T745" s="2036">
        <v>0</v>
      </c>
      <c r="U745" s="2036">
        <v>0</v>
      </c>
      <c r="V745" s="2036">
        <v>0</v>
      </c>
      <c r="W745" s="2036">
        <v>0</v>
      </c>
      <c r="X745" s="2036">
        <v>0</v>
      </c>
      <c r="Y745" s="2036">
        <v>0</v>
      </c>
      <c r="Z745" s="2036">
        <v>0</v>
      </c>
      <c r="AA745" s="2036">
        <v>0</v>
      </c>
      <c r="AB745" s="2036">
        <v>0</v>
      </c>
      <c r="AC745" s="2036">
        <v>0</v>
      </c>
      <c r="AD745" s="1380">
        <f>SUM(R745,S745,T745)</f>
        <v>0</v>
      </c>
      <c r="AE745" s="107">
        <f t="shared" si="1503"/>
        <v>0</v>
      </c>
      <c r="AF745" s="107">
        <f t="shared" si="1504"/>
        <v>0</v>
      </c>
      <c r="AG745" s="107">
        <f t="shared" si="1505"/>
        <v>0</v>
      </c>
      <c r="AH745" s="107">
        <f t="shared" si="1496"/>
        <v>0</v>
      </c>
      <c r="AI745" s="107">
        <f t="shared" si="1497"/>
        <v>0</v>
      </c>
      <c r="AJ745" s="107">
        <f t="shared" si="1498"/>
        <v>0</v>
      </c>
      <c r="AL745" s="107">
        <f ca="1">SUM((INDIRECT(AL$2&amp;(ROW())):INDIRECT(AL$3&amp;(ROW()))))</f>
        <v>0</v>
      </c>
      <c r="AM745" s="107">
        <f ca="1">SUM(INDIRECT(AM$1&amp;AM$2&amp;$C745):INDIRECT(AM$1&amp;AM$3&amp;$C745))</f>
        <v>0</v>
      </c>
      <c r="AN745" s="898">
        <f t="shared" ca="1" si="1461"/>
        <v>0</v>
      </c>
      <c r="AO745" s="959">
        <f t="shared" ca="1" si="1462"/>
        <v>0</v>
      </c>
      <c r="AP745" s="107">
        <f ca="1">SUM(INDIRECT(AP$1&amp;AP$2&amp;$A745):INDIRECT(AP$1&amp;AP$3&amp;$A745))</f>
        <v>0</v>
      </c>
      <c r="AQ745" s="898">
        <f t="shared" ca="1" si="1463"/>
        <v>0</v>
      </c>
      <c r="AR745" s="959">
        <f t="shared" ca="1" si="1464"/>
        <v>0</v>
      </c>
      <c r="AT745" s="107">
        <f ca="1">SUM((INDIRECT(AT$2&amp;(ROW())):INDIRECT(AT$3&amp;(ROW()))))</f>
        <v>0</v>
      </c>
      <c r="AU745" s="107">
        <f ca="1">SUM(INDIRECT(AU$1&amp;AU$2&amp;$C745):INDIRECT(AU$1&amp;AU$3&amp;$C745))</f>
        <v>0</v>
      </c>
      <c r="AV745" s="898">
        <f t="shared" ca="1" si="1465"/>
        <v>0</v>
      </c>
      <c r="AW745" s="959">
        <f t="shared" ca="1" si="1466"/>
        <v>0</v>
      </c>
      <c r="AX745" s="107">
        <f ca="1">SUM(INDIRECT(AX$1&amp;AX$2&amp;$A745):INDIRECT(AX$1&amp;AX$3&amp;$A745))</f>
        <v>0</v>
      </c>
      <c r="AY745" s="898">
        <f t="shared" ca="1" si="1467"/>
        <v>0</v>
      </c>
      <c r="AZ745" s="959">
        <f t="shared" ca="1" si="1468"/>
        <v>0</v>
      </c>
      <c r="BB745" s="107">
        <f ca="1">SUM((INDIRECT(BB$2&amp;(ROW())):INDIRECT(BB$3&amp;(ROW()))))</f>
        <v>0</v>
      </c>
      <c r="BC745" s="107">
        <f ca="1">SUM(INDIRECT(BC$1&amp;BC$2&amp;$C745):INDIRECT(BC$1&amp;BC$3&amp;$C745))</f>
        <v>0</v>
      </c>
      <c r="BD745" s="898">
        <f t="shared" ca="1" si="1469"/>
        <v>0</v>
      </c>
      <c r="BE745" s="959">
        <f t="shared" ca="1" si="1470"/>
        <v>0</v>
      </c>
      <c r="BF745" s="107">
        <f ca="1">SUM(INDIRECT(BF$1&amp;BF$2&amp;$A745):INDIRECT(BF$1&amp;BF$3&amp;$A745))</f>
        <v>0</v>
      </c>
      <c r="BG745" s="898">
        <f t="shared" ca="1" si="1471"/>
        <v>0</v>
      </c>
      <c r="BH745" s="959">
        <f t="shared" ca="1" si="1472"/>
        <v>0</v>
      </c>
    </row>
    <row r="746" spans="1:60" s="75" customFormat="1" ht="14.5">
      <c r="A746" s="990">
        <f t="shared" si="1457"/>
        <v>681</v>
      </c>
      <c r="B746" s="990">
        <v>1</v>
      </c>
      <c r="C746" s="990">
        <f t="shared" si="1428"/>
        <v>743</v>
      </c>
      <c r="E746" s="1243">
        <v>1</v>
      </c>
      <c r="F746" s="10"/>
      <c r="G746" s="10"/>
      <c r="H746" s="24"/>
      <c r="I746" s="445"/>
      <c r="J746" s="446"/>
      <c r="K746" s="74"/>
      <c r="L746" s="74"/>
      <c r="N746" s="276"/>
      <c r="O746" s="302"/>
      <c r="P746" s="298" t="s">
        <v>386</v>
      </c>
      <c r="Q746" s="1845" t="str">
        <f>CHOOSE(2, "6722000003665", "S/GP (3) Gross Profit Indirect NH TextilePrinter FSC (-) OFC")</f>
        <v>S/GP (3) Gross Profit Indirect NH TextilePrinter FSC (-) OFC</v>
      </c>
      <c r="R746" s="2037">
        <v>0</v>
      </c>
      <c r="S746" s="2037">
        <v>0</v>
      </c>
      <c r="T746" s="2037">
        <v>0</v>
      </c>
      <c r="U746" s="2037">
        <v>0</v>
      </c>
      <c r="V746" s="2037">
        <v>0</v>
      </c>
      <c r="W746" s="2037">
        <v>0</v>
      </c>
      <c r="X746" s="2037">
        <v>0</v>
      </c>
      <c r="Y746" s="2037">
        <v>0</v>
      </c>
      <c r="Z746" s="2037">
        <v>0</v>
      </c>
      <c r="AA746" s="2037">
        <v>0</v>
      </c>
      <c r="AB746" s="2037">
        <v>0</v>
      </c>
      <c r="AC746" s="2037">
        <v>0</v>
      </c>
      <c r="AD746" s="1380">
        <f>SUM(R746,S746,T746)</f>
        <v>0</v>
      </c>
      <c r="AE746" s="107">
        <f t="shared" si="1503"/>
        <v>0</v>
      </c>
      <c r="AF746" s="107">
        <f t="shared" si="1504"/>
        <v>0</v>
      </c>
      <c r="AG746" s="107">
        <f t="shared" si="1505"/>
        <v>0</v>
      </c>
      <c r="AH746" s="107">
        <f t="shared" si="1496"/>
        <v>0</v>
      </c>
      <c r="AI746" s="107">
        <f t="shared" si="1497"/>
        <v>0</v>
      </c>
      <c r="AJ746" s="107">
        <f t="shared" si="1498"/>
        <v>0</v>
      </c>
      <c r="AL746" s="107">
        <f ca="1">SUM((INDIRECT(AL$2&amp;(ROW())):INDIRECT(AL$3&amp;(ROW()))))</f>
        <v>0</v>
      </c>
      <c r="AM746" s="107">
        <f ca="1">SUM(INDIRECT(AM$1&amp;AM$2&amp;$C746):INDIRECT(AM$1&amp;AM$3&amp;$C746))</f>
        <v>0</v>
      </c>
      <c r="AN746" s="898">
        <f t="shared" ca="1" si="1461"/>
        <v>0</v>
      </c>
      <c r="AO746" s="959">
        <f t="shared" ca="1" si="1462"/>
        <v>0</v>
      </c>
      <c r="AP746" s="107">
        <f ca="1">SUM(INDIRECT(AP$1&amp;AP$2&amp;$A746):INDIRECT(AP$1&amp;AP$3&amp;$A746))</f>
        <v>0</v>
      </c>
      <c r="AQ746" s="898">
        <f t="shared" ca="1" si="1463"/>
        <v>0</v>
      </c>
      <c r="AR746" s="959">
        <f t="shared" ca="1" si="1464"/>
        <v>0</v>
      </c>
      <c r="AT746" s="107">
        <f ca="1">SUM((INDIRECT(AT$2&amp;(ROW())):INDIRECT(AT$3&amp;(ROW()))))</f>
        <v>0</v>
      </c>
      <c r="AU746" s="107">
        <f ca="1">SUM(INDIRECT(AU$1&amp;AU$2&amp;$C746):INDIRECT(AU$1&amp;AU$3&amp;$C746))</f>
        <v>0</v>
      </c>
      <c r="AV746" s="898">
        <f t="shared" ca="1" si="1465"/>
        <v>0</v>
      </c>
      <c r="AW746" s="959">
        <f t="shared" ca="1" si="1466"/>
        <v>0</v>
      </c>
      <c r="AX746" s="107">
        <f ca="1">SUM(INDIRECT(AX$1&amp;AX$2&amp;$A746):INDIRECT(AX$1&amp;AX$3&amp;$A746))</f>
        <v>0</v>
      </c>
      <c r="AY746" s="898">
        <f t="shared" ca="1" si="1467"/>
        <v>0</v>
      </c>
      <c r="AZ746" s="959">
        <f t="shared" ca="1" si="1468"/>
        <v>0</v>
      </c>
      <c r="BB746" s="107">
        <f ca="1">SUM((INDIRECT(BB$2&amp;(ROW())):INDIRECT(BB$3&amp;(ROW()))))</f>
        <v>0</v>
      </c>
      <c r="BC746" s="107">
        <f ca="1">SUM(INDIRECT(BC$1&amp;BC$2&amp;$C746):INDIRECT(BC$1&amp;BC$3&amp;$C746))</f>
        <v>0</v>
      </c>
      <c r="BD746" s="898">
        <f t="shared" ca="1" si="1469"/>
        <v>0</v>
      </c>
      <c r="BE746" s="959">
        <f t="shared" ca="1" si="1470"/>
        <v>0</v>
      </c>
      <c r="BF746" s="107">
        <f ca="1">SUM(INDIRECT(BF$1&amp;BF$2&amp;$A746):INDIRECT(BF$1&amp;BF$3&amp;$A746))</f>
        <v>0</v>
      </c>
      <c r="BG746" s="898">
        <f t="shared" ca="1" si="1471"/>
        <v>0</v>
      </c>
      <c r="BH746" s="959">
        <f t="shared" ca="1" si="1472"/>
        <v>0</v>
      </c>
    </row>
    <row r="747" spans="1:60" s="75" customFormat="1" ht="14.5">
      <c r="A747" s="990">
        <f t="shared" si="1457"/>
        <v>682</v>
      </c>
      <c r="B747" s="990">
        <v>1</v>
      </c>
      <c r="C747" s="990">
        <f t="shared" si="1428"/>
        <v>744</v>
      </c>
      <c r="E747" s="1243">
        <v>1</v>
      </c>
      <c r="F747" s="10"/>
      <c r="G747" s="10"/>
      <c r="H747" s="24"/>
      <c r="I747" s="445"/>
      <c r="J747" s="446"/>
      <c r="K747" s="74"/>
      <c r="L747" s="74"/>
      <c r="N747" s="317" t="s">
        <v>475</v>
      </c>
      <c r="O747" s="373"/>
      <c r="P747" s="373"/>
      <c r="Q747" s="1848" t="str">
        <f>CHOOSE(2, "6722000003666", "S/GP (3) Gross Profit Indirect NH &lt;Direct&gt; SDC (-)")</f>
        <v>S/GP (3) Gross Profit Indirect NH &lt;Direct&gt; SDC (-)</v>
      </c>
      <c r="R747" s="381">
        <f>SUM(R748:R749)</f>
        <v>0</v>
      </c>
      <c r="S747" s="381">
        <f t="shared" ref="S747:AC747" si="1506">SUM(S748:S749)</f>
        <v>0</v>
      </c>
      <c r="T747" s="381">
        <f t="shared" si="1506"/>
        <v>0</v>
      </c>
      <c r="U747" s="381">
        <f t="shared" si="1506"/>
        <v>0</v>
      </c>
      <c r="V747" s="381">
        <f t="shared" si="1506"/>
        <v>0</v>
      </c>
      <c r="W747" s="381">
        <f t="shared" si="1506"/>
        <v>0</v>
      </c>
      <c r="X747" s="381">
        <f t="shared" si="1506"/>
        <v>0</v>
      </c>
      <c r="Y747" s="381">
        <f t="shared" si="1506"/>
        <v>0</v>
      </c>
      <c r="Z747" s="381">
        <f t="shared" si="1506"/>
        <v>0</v>
      </c>
      <c r="AA747" s="381">
        <f t="shared" si="1506"/>
        <v>0</v>
      </c>
      <c r="AB747" s="381">
        <f t="shared" si="1506"/>
        <v>0</v>
      </c>
      <c r="AC747" s="381">
        <f t="shared" si="1506"/>
        <v>0</v>
      </c>
      <c r="AD747" s="1539">
        <f>SUM(R747:T747)</f>
        <v>0</v>
      </c>
      <c r="AE747" s="381">
        <f t="shared" si="1500"/>
        <v>0</v>
      </c>
      <c r="AF747" s="381">
        <f t="shared" si="1501"/>
        <v>0</v>
      </c>
      <c r="AG747" s="381">
        <f t="shared" si="1502"/>
        <v>0</v>
      </c>
      <c r="AH747" s="381">
        <f t="shared" si="1496"/>
        <v>0</v>
      </c>
      <c r="AI747" s="381">
        <f t="shared" si="1497"/>
        <v>0</v>
      </c>
      <c r="AJ747" s="381">
        <f t="shared" si="1498"/>
        <v>0</v>
      </c>
      <c r="AL747" s="381">
        <f ca="1">SUM((INDIRECT(AL$2&amp;(ROW())):INDIRECT(AL$3&amp;(ROW()))))</f>
        <v>0</v>
      </c>
      <c r="AM747" s="381">
        <f ca="1">SUM(INDIRECT(AM$1&amp;AM$2&amp;$C747):INDIRECT(AM$1&amp;AM$3&amp;$C747))</f>
        <v>0</v>
      </c>
      <c r="AN747" s="896">
        <f t="shared" ca="1" si="1461"/>
        <v>0</v>
      </c>
      <c r="AO747" s="957">
        <f t="shared" ca="1" si="1462"/>
        <v>0</v>
      </c>
      <c r="AP747" s="381">
        <f ca="1">SUM(INDIRECT(AP$1&amp;AP$2&amp;$A747):INDIRECT(AP$1&amp;AP$3&amp;$A747))</f>
        <v>0</v>
      </c>
      <c r="AQ747" s="896">
        <f t="shared" ca="1" si="1463"/>
        <v>0</v>
      </c>
      <c r="AR747" s="957">
        <f t="shared" ca="1" si="1464"/>
        <v>0</v>
      </c>
      <c r="AT747" s="381">
        <f ca="1">SUM((INDIRECT(AT$2&amp;(ROW())):INDIRECT(AT$3&amp;(ROW()))))</f>
        <v>0</v>
      </c>
      <c r="AU747" s="381">
        <f ca="1">SUM(INDIRECT(AU$1&amp;AU$2&amp;$C747):INDIRECT(AU$1&amp;AU$3&amp;$C747))</f>
        <v>0</v>
      </c>
      <c r="AV747" s="896">
        <f t="shared" ca="1" si="1465"/>
        <v>0</v>
      </c>
      <c r="AW747" s="957">
        <f t="shared" ca="1" si="1466"/>
        <v>0</v>
      </c>
      <c r="AX747" s="381">
        <f ca="1">SUM(INDIRECT(AX$1&amp;AX$2&amp;$A747):INDIRECT(AX$1&amp;AX$3&amp;$A747))</f>
        <v>0</v>
      </c>
      <c r="AY747" s="896">
        <f t="shared" ca="1" si="1467"/>
        <v>0</v>
      </c>
      <c r="AZ747" s="957">
        <f t="shared" ca="1" si="1468"/>
        <v>0</v>
      </c>
      <c r="BB747" s="381">
        <f ca="1">SUM((INDIRECT(BB$2&amp;(ROW())):INDIRECT(BB$3&amp;(ROW()))))</f>
        <v>0</v>
      </c>
      <c r="BC747" s="381">
        <f ca="1">SUM(INDIRECT(BC$1&amp;BC$2&amp;$C747):INDIRECT(BC$1&amp;BC$3&amp;$C747))</f>
        <v>0</v>
      </c>
      <c r="BD747" s="896">
        <f t="shared" ca="1" si="1469"/>
        <v>0</v>
      </c>
      <c r="BE747" s="957">
        <f t="shared" ca="1" si="1470"/>
        <v>0</v>
      </c>
      <c r="BF747" s="381">
        <f ca="1">SUM(INDIRECT(BF$1&amp;BF$2&amp;$A747):INDIRECT(BF$1&amp;BF$3&amp;$A747))</f>
        <v>0</v>
      </c>
      <c r="BG747" s="896">
        <f t="shared" ca="1" si="1471"/>
        <v>0</v>
      </c>
      <c r="BH747" s="957">
        <f t="shared" ca="1" si="1472"/>
        <v>0</v>
      </c>
    </row>
    <row r="748" spans="1:60" s="75" customFormat="1" ht="14.5">
      <c r="A748" s="990">
        <f t="shared" si="1457"/>
        <v>683</v>
      </c>
      <c r="B748" s="990">
        <v>1</v>
      </c>
      <c r="C748" s="990">
        <f t="shared" si="1428"/>
        <v>745</v>
      </c>
      <c r="E748" s="1243">
        <v>1</v>
      </c>
      <c r="F748" s="10"/>
      <c r="G748" s="10"/>
      <c r="H748" s="24"/>
      <c r="I748" s="445"/>
      <c r="J748" s="446"/>
      <c r="K748" s="74"/>
      <c r="L748" s="74"/>
      <c r="N748" s="301"/>
      <c r="O748" s="396"/>
      <c r="P748" s="396" t="s">
        <v>391</v>
      </c>
      <c r="Q748" s="1845" t="str">
        <f>CHOOSE(2, "6722000003667", "S/GP (3) Gross Profit Indirect NH &lt;Direct&gt; SDC (-) PC")</f>
        <v>S/GP (3) Gross Profit Indirect NH &lt;Direct&gt; SDC (-) PC</v>
      </c>
      <c r="R748" s="2042">
        <v>0</v>
      </c>
      <c r="S748" s="2042">
        <v>0</v>
      </c>
      <c r="T748" s="2042">
        <v>0</v>
      </c>
      <c r="U748" s="2042">
        <v>0</v>
      </c>
      <c r="V748" s="2042">
        <v>0</v>
      </c>
      <c r="W748" s="2042">
        <v>0</v>
      </c>
      <c r="X748" s="2042">
        <v>0</v>
      </c>
      <c r="Y748" s="2042">
        <v>0</v>
      </c>
      <c r="Z748" s="2042">
        <v>0</v>
      </c>
      <c r="AA748" s="2042">
        <v>0</v>
      </c>
      <c r="AB748" s="2042">
        <v>0</v>
      </c>
      <c r="AC748" s="2042">
        <v>0</v>
      </c>
      <c r="AD748" s="1537">
        <f>SUM(R748,S748,T748)</f>
        <v>0</v>
      </c>
      <c r="AE748" s="108">
        <f t="shared" ref="AE748:AE751" si="1507">SUM(U748,V748,W748)</f>
        <v>0</v>
      </c>
      <c r="AF748" s="108">
        <f t="shared" ref="AF748:AF751" si="1508">SUM(X748,Y748,Z748)</f>
        <v>0</v>
      </c>
      <c r="AG748" s="108">
        <f t="shared" ref="AG748:AG751" si="1509">SUM(AA748,AB748,AC748)</f>
        <v>0</v>
      </c>
      <c r="AH748" s="108">
        <f t="shared" si="1496"/>
        <v>0</v>
      </c>
      <c r="AI748" s="108">
        <f t="shared" si="1497"/>
        <v>0</v>
      </c>
      <c r="AJ748" s="108">
        <f t="shared" si="1498"/>
        <v>0</v>
      </c>
      <c r="AL748" s="108">
        <f ca="1">SUM((INDIRECT(AL$2&amp;(ROW())):INDIRECT(AL$3&amp;(ROW()))))</f>
        <v>0</v>
      </c>
      <c r="AM748" s="108">
        <f ca="1">SUM(INDIRECT(AM$1&amp;AM$2&amp;$C748):INDIRECT(AM$1&amp;AM$3&amp;$C748))</f>
        <v>0</v>
      </c>
      <c r="AN748" s="893">
        <f t="shared" ca="1" si="1461"/>
        <v>0</v>
      </c>
      <c r="AO748" s="954">
        <f t="shared" ca="1" si="1462"/>
        <v>0</v>
      </c>
      <c r="AP748" s="108">
        <f ca="1">SUM(INDIRECT(AP$1&amp;AP$2&amp;$A748):INDIRECT(AP$1&amp;AP$3&amp;$A748))</f>
        <v>0</v>
      </c>
      <c r="AQ748" s="893">
        <f t="shared" ca="1" si="1463"/>
        <v>0</v>
      </c>
      <c r="AR748" s="954">
        <f t="shared" ca="1" si="1464"/>
        <v>0</v>
      </c>
      <c r="AT748" s="108">
        <f ca="1">SUM((INDIRECT(AT$2&amp;(ROW())):INDIRECT(AT$3&amp;(ROW()))))</f>
        <v>0</v>
      </c>
      <c r="AU748" s="108">
        <f ca="1">SUM(INDIRECT(AU$1&amp;AU$2&amp;$C748):INDIRECT(AU$1&amp;AU$3&amp;$C748))</f>
        <v>0</v>
      </c>
      <c r="AV748" s="893">
        <f t="shared" ca="1" si="1465"/>
        <v>0</v>
      </c>
      <c r="AW748" s="954">
        <f t="shared" ca="1" si="1466"/>
        <v>0</v>
      </c>
      <c r="AX748" s="108">
        <f ca="1">SUM(INDIRECT(AX$1&amp;AX$2&amp;$A748):INDIRECT(AX$1&amp;AX$3&amp;$A748))</f>
        <v>0</v>
      </c>
      <c r="AY748" s="893">
        <f t="shared" ca="1" si="1467"/>
        <v>0</v>
      </c>
      <c r="AZ748" s="954">
        <f t="shared" ca="1" si="1468"/>
        <v>0</v>
      </c>
      <c r="BB748" s="108">
        <f ca="1">SUM((INDIRECT(BB$2&amp;(ROW())):INDIRECT(BB$3&amp;(ROW()))))</f>
        <v>0</v>
      </c>
      <c r="BC748" s="108">
        <f ca="1">SUM(INDIRECT(BC$1&amp;BC$2&amp;$C748):INDIRECT(BC$1&amp;BC$3&amp;$C748))</f>
        <v>0</v>
      </c>
      <c r="BD748" s="893">
        <f t="shared" ca="1" si="1469"/>
        <v>0</v>
      </c>
      <c r="BE748" s="954">
        <f t="shared" ca="1" si="1470"/>
        <v>0</v>
      </c>
      <c r="BF748" s="108">
        <f ca="1">SUM(INDIRECT(BF$1&amp;BF$2&amp;$A748):INDIRECT(BF$1&amp;BF$3&amp;$A748))</f>
        <v>0</v>
      </c>
      <c r="BG748" s="893">
        <f t="shared" ca="1" si="1471"/>
        <v>0</v>
      </c>
      <c r="BH748" s="954">
        <f t="shared" ca="1" si="1472"/>
        <v>0</v>
      </c>
    </row>
    <row r="749" spans="1:60" s="75" customFormat="1" ht="14.5">
      <c r="A749" s="990">
        <f t="shared" si="1457"/>
        <v>684</v>
      </c>
      <c r="B749" s="990">
        <v>1</v>
      </c>
      <c r="C749" s="990">
        <f t="shared" si="1428"/>
        <v>746</v>
      </c>
      <c r="E749" s="1243">
        <v>1</v>
      </c>
      <c r="F749" s="10"/>
      <c r="G749" s="10"/>
      <c r="H749" s="24"/>
      <c r="I749" s="445"/>
      <c r="J749" s="446"/>
      <c r="K749" s="74"/>
      <c r="L749" s="74"/>
      <c r="N749" s="302"/>
      <c r="O749" s="302"/>
      <c r="P749" s="302" t="s">
        <v>393</v>
      </c>
      <c r="Q749" s="1845" t="str">
        <f>CHOOSE(2, "6722000003668", "S/GP (3) Gross Profit Indirect NH &lt;Direct&gt; SDC (-) OFC")</f>
        <v>S/GP (3) Gross Profit Indirect NH &lt;Direct&gt; SDC (-) OFC</v>
      </c>
      <c r="R749" s="2037">
        <v>0</v>
      </c>
      <c r="S749" s="2037">
        <v>0</v>
      </c>
      <c r="T749" s="2037">
        <v>0</v>
      </c>
      <c r="U749" s="2037">
        <v>0</v>
      </c>
      <c r="V749" s="2037">
        <v>0</v>
      </c>
      <c r="W749" s="2037">
        <v>0</v>
      </c>
      <c r="X749" s="2037">
        <v>0</v>
      </c>
      <c r="Y749" s="2037">
        <v>0</v>
      </c>
      <c r="Z749" s="2037">
        <v>0</v>
      </c>
      <c r="AA749" s="2037">
        <v>0</v>
      </c>
      <c r="AB749" s="2037">
        <v>0</v>
      </c>
      <c r="AC749" s="2037">
        <v>0</v>
      </c>
      <c r="AD749" s="1380">
        <f>SUM(R749,S749,T749)</f>
        <v>0</v>
      </c>
      <c r="AE749" s="107">
        <f t="shared" si="1507"/>
        <v>0</v>
      </c>
      <c r="AF749" s="107">
        <f t="shared" si="1508"/>
        <v>0</v>
      </c>
      <c r="AG749" s="107">
        <f t="shared" si="1509"/>
        <v>0</v>
      </c>
      <c r="AH749" s="107">
        <f t="shared" si="1496"/>
        <v>0</v>
      </c>
      <c r="AI749" s="107">
        <f t="shared" si="1497"/>
        <v>0</v>
      </c>
      <c r="AJ749" s="107">
        <f t="shared" si="1498"/>
        <v>0</v>
      </c>
      <c r="AL749" s="107">
        <f ca="1">SUM((INDIRECT(AL$2&amp;(ROW())):INDIRECT(AL$3&amp;(ROW()))))</f>
        <v>0</v>
      </c>
      <c r="AM749" s="107">
        <f ca="1">SUM(INDIRECT(AM$1&amp;AM$2&amp;$C749):INDIRECT(AM$1&amp;AM$3&amp;$C749))</f>
        <v>0</v>
      </c>
      <c r="AN749" s="898">
        <f t="shared" ca="1" si="1461"/>
        <v>0</v>
      </c>
      <c r="AO749" s="959">
        <f t="shared" ca="1" si="1462"/>
        <v>0</v>
      </c>
      <c r="AP749" s="107">
        <f ca="1">SUM(INDIRECT(AP$1&amp;AP$2&amp;$A749):INDIRECT(AP$1&amp;AP$3&amp;$A749))</f>
        <v>0</v>
      </c>
      <c r="AQ749" s="898">
        <f t="shared" ca="1" si="1463"/>
        <v>0</v>
      </c>
      <c r="AR749" s="959">
        <f t="shared" ca="1" si="1464"/>
        <v>0</v>
      </c>
      <c r="AT749" s="107">
        <f ca="1">SUM((INDIRECT(AT$2&amp;(ROW())):INDIRECT(AT$3&amp;(ROW()))))</f>
        <v>0</v>
      </c>
      <c r="AU749" s="107">
        <f ca="1">SUM(INDIRECT(AU$1&amp;AU$2&amp;$C749):INDIRECT(AU$1&amp;AU$3&amp;$C749))</f>
        <v>0</v>
      </c>
      <c r="AV749" s="898">
        <f t="shared" ca="1" si="1465"/>
        <v>0</v>
      </c>
      <c r="AW749" s="959">
        <f t="shared" ca="1" si="1466"/>
        <v>0</v>
      </c>
      <c r="AX749" s="107">
        <f ca="1">SUM(INDIRECT(AX$1&amp;AX$2&amp;$A749):INDIRECT(AX$1&amp;AX$3&amp;$A749))</f>
        <v>0</v>
      </c>
      <c r="AY749" s="898">
        <f t="shared" ca="1" si="1467"/>
        <v>0</v>
      </c>
      <c r="AZ749" s="959">
        <f t="shared" ca="1" si="1468"/>
        <v>0</v>
      </c>
      <c r="BB749" s="107">
        <f ca="1">SUM((INDIRECT(BB$2&amp;(ROW())):INDIRECT(BB$3&amp;(ROW()))))</f>
        <v>0</v>
      </c>
      <c r="BC749" s="107">
        <f ca="1">SUM(INDIRECT(BC$1&amp;BC$2&amp;$C749):INDIRECT(BC$1&amp;BC$3&amp;$C749))</f>
        <v>0</v>
      </c>
      <c r="BD749" s="898">
        <f t="shared" ca="1" si="1469"/>
        <v>0</v>
      </c>
      <c r="BE749" s="959">
        <f t="shared" ca="1" si="1470"/>
        <v>0</v>
      </c>
      <c r="BF749" s="107">
        <f ca="1">SUM(INDIRECT(BF$1&amp;BF$2&amp;$A749):INDIRECT(BF$1&amp;BF$3&amp;$A749))</f>
        <v>0</v>
      </c>
      <c r="BG749" s="898">
        <f t="shared" ca="1" si="1471"/>
        <v>0</v>
      </c>
      <c r="BH749" s="959">
        <f t="shared" ca="1" si="1472"/>
        <v>0</v>
      </c>
    </row>
    <row r="750" spans="1:60" s="75" customFormat="1" ht="14.5">
      <c r="A750" s="990">
        <f t="shared" si="1457"/>
        <v>685</v>
      </c>
      <c r="B750" s="990">
        <v>1</v>
      </c>
      <c r="C750" s="990">
        <f t="shared" si="1428"/>
        <v>747</v>
      </c>
      <c r="E750" s="1243">
        <v>1</v>
      </c>
      <c r="F750" s="10"/>
      <c r="G750" s="10"/>
      <c r="H750" s="24"/>
      <c r="I750" s="445"/>
      <c r="J750" s="446"/>
      <c r="K750" s="74"/>
      <c r="L750" s="74"/>
      <c r="N750" s="301" t="s">
        <v>539</v>
      </c>
      <c r="O750" s="301"/>
      <c r="P750" s="396"/>
      <c r="Q750" s="1845" t="str">
        <f>CHOOSE(2, "6722000003669", "S/GP (3) Gross Profit Indirect NH &lt;Direct&gt; D &amp; A (-)")</f>
        <v>S/GP (3) Gross Profit Indirect NH &lt;Direct&gt; D &amp; A (-)</v>
      </c>
      <c r="R750" s="2042">
        <v>0</v>
      </c>
      <c r="S750" s="2042">
        <v>0</v>
      </c>
      <c r="T750" s="2042">
        <v>0</v>
      </c>
      <c r="U750" s="2042">
        <v>0</v>
      </c>
      <c r="V750" s="2042">
        <v>0</v>
      </c>
      <c r="W750" s="2042">
        <v>0</v>
      </c>
      <c r="X750" s="2042">
        <v>0</v>
      </c>
      <c r="Y750" s="2042">
        <v>0</v>
      </c>
      <c r="Z750" s="2042">
        <v>0</v>
      </c>
      <c r="AA750" s="2042">
        <v>0</v>
      </c>
      <c r="AB750" s="2042">
        <v>0</v>
      </c>
      <c r="AC750" s="2042">
        <v>0</v>
      </c>
      <c r="AD750" s="1537">
        <f>SUM(R750,S750,T750)</f>
        <v>0</v>
      </c>
      <c r="AE750" s="108">
        <f t="shared" si="1507"/>
        <v>0</v>
      </c>
      <c r="AF750" s="108">
        <f t="shared" si="1508"/>
        <v>0</v>
      </c>
      <c r="AG750" s="108">
        <f t="shared" si="1509"/>
        <v>0</v>
      </c>
      <c r="AH750" s="108">
        <f>AD750+AE750</f>
        <v>0</v>
      </c>
      <c r="AI750" s="108">
        <f>AG750+AF750</f>
        <v>0</v>
      </c>
      <c r="AJ750" s="108">
        <f>AH750+AI750</f>
        <v>0</v>
      </c>
      <c r="AL750" s="108">
        <f ca="1">SUM((INDIRECT(AL$2&amp;(ROW())):INDIRECT(AL$3&amp;(ROW()))))</f>
        <v>0</v>
      </c>
      <c r="AM750" s="108">
        <f ca="1">SUM(INDIRECT(AM$1&amp;AM$2&amp;$C750):INDIRECT(AM$1&amp;AM$3&amp;$C750))</f>
        <v>0</v>
      </c>
      <c r="AN750" s="893">
        <f t="shared" ca="1" si="1461"/>
        <v>0</v>
      </c>
      <c r="AO750" s="954">
        <f t="shared" ca="1" si="1462"/>
        <v>0</v>
      </c>
      <c r="AP750" s="108">
        <f ca="1">SUM(INDIRECT(AP$1&amp;AP$2&amp;$A750):INDIRECT(AP$1&amp;AP$3&amp;$A750))</f>
        <v>0</v>
      </c>
      <c r="AQ750" s="893">
        <f t="shared" ca="1" si="1463"/>
        <v>0</v>
      </c>
      <c r="AR750" s="954">
        <f t="shared" ca="1" si="1464"/>
        <v>0</v>
      </c>
      <c r="AT750" s="108">
        <f ca="1">SUM((INDIRECT(AT$2&amp;(ROW())):INDIRECT(AT$3&amp;(ROW()))))</f>
        <v>0</v>
      </c>
      <c r="AU750" s="108">
        <f ca="1">SUM(INDIRECT(AU$1&amp;AU$2&amp;$C750):INDIRECT(AU$1&amp;AU$3&amp;$C750))</f>
        <v>0</v>
      </c>
      <c r="AV750" s="893">
        <f t="shared" ca="1" si="1465"/>
        <v>0</v>
      </c>
      <c r="AW750" s="954">
        <f t="shared" ca="1" si="1466"/>
        <v>0</v>
      </c>
      <c r="AX750" s="108">
        <f ca="1">SUM(INDIRECT(AX$1&amp;AX$2&amp;$A750):INDIRECT(AX$1&amp;AX$3&amp;$A750))</f>
        <v>0</v>
      </c>
      <c r="AY750" s="893">
        <f t="shared" ca="1" si="1467"/>
        <v>0</v>
      </c>
      <c r="AZ750" s="954">
        <f t="shared" ca="1" si="1468"/>
        <v>0</v>
      </c>
      <c r="BB750" s="108">
        <f ca="1">SUM((INDIRECT(BB$2&amp;(ROW())):INDIRECT(BB$3&amp;(ROW()))))</f>
        <v>0</v>
      </c>
      <c r="BC750" s="108">
        <f ca="1">SUM(INDIRECT(BC$1&amp;BC$2&amp;$C750):INDIRECT(BC$1&amp;BC$3&amp;$C750))</f>
        <v>0</v>
      </c>
      <c r="BD750" s="893">
        <f t="shared" ca="1" si="1469"/>
        <v>0</v>
      </c>
      <c r="BE750" s="954">
        <f t="shared" ca="1" si="1470"/>
        <v>0</v>
      </c>
      <c r="BF750" s="108">
        <f ca="1">SUM(INDIRECT(BF$1&amp;BF$2&amp;$A750):INDIRECT(BF$1&amp;BF$3&amp;$A750))</f>
        <v>0</v>
      </c>
      <c r="BG750" s="893">
        <f t="shared" ca="1" si="1471"/>
        <v>0</v>
      </c>
      <c r="BH750" s="954">
        <f t="shared" ca="1" si="1472"/>
        <v>0</v>
      </c>
    </row>
    <row r="751" spans="1:60" ht="14.5">
      <c r="A751" s="990">
        <f t="shared" si="1457"/>
        <v>686</v>
      </c>
      <c r="B751" s="990">
        <v>1</v>
      </c>
      <c r="C751" s="990">
        <f t="shared" si="1428"/>
        <v>748</v>
      </c>
      <c r="E751" s="1243">
        <v>1</v>
      </c>
      <c r="I751" s="447"/>
      <c r="J751" s="448"/>
      <c r="K751" s="73"/>
      <c r="L751" s="73"/>
      <c r="M751" s="276"/>
      <c r="N751" s="23" t="s">
        <v>131</v>
      </c>
      <c r="O751" s="23"/>
      <c r="P751" s="306"/>
      <c r="Q751" s="1845" t="str">
        <f>CHOOSE(2, "6722000003670", "S/GP (3) Gross Profit Indirect NH Others")</f>
        <v>S/GP (3) Gross Profit Indirect NH Others</v>
      </c>
      <c r="R751" s="2088">
        <v>0</v>
      </c>
      <c r="S751" s="2088">
        <v>0</v>
      </c>
      <c r="T751" s="2088">
        <v>0</v>
      </c>
      <c r="U751" s="2088">
        <v>0</v>
      </c>
      <c r="V751" s="2088">
        <v>0</v>
      </c>
      <c r="W751" s="2088">
        <v>0</v>
      </c>
      <c r="X751" s="2088">
        <v>0</v>
      </c>
      <c r="Y751" s="2088">
        <v>0</v>
      </c>
      <c r="Z751" s="2088">
        <v>0</v>
      </c>
      <c r="AA751" s="2088">
        <v>0</v>
      </c>
      <c r="AB751" s="2088">
        <v>0</v>
      </c>
      <c r="AC751" s="2088">
        <v>0</v>
      </c>
      <c r="AD751" s="1516">
        <f>SUM(R751,S751,T751)</f>
        <v>0</v>
      </c>
      <c r="AE751" s="20">
        <f t="shared" si="1507"/>
        <v>0</v>
      </c>
      <c r="AF751" s="20">
        <f t="shared" si="1508"/>
        <v>0</v>
      </c>
      <c r="AG751" s="20">
        <f t="shared" si="1509"/>
        <v>0</v>
      </c>
      <c r="AH751" s="20">
        <f t="shared" si="1496"/>
        <v>0</v>
      </c>
      <c r="AI751" s="20">
        <f t="shared" si="1497"/>
        <v>0</v>
      </c>
      <c r="AJ751" s="20">
        <f t="shared" si="1498"/>
        <v>0</v>
      </c>
      <c r="AL751" s="2058">
        <f ca="1">SUM((INDIRECT(AL$2&amp;(ROW())):INDIRECT(AL$3&amp;(ROW()))))</f>
        <v>0</v>
      </c>
      <c r="AM751" s="2058">
        <f ca="1">SUM(INDIRECT(AM$1&amp;AM$2&amp;$C751):INDIRECT(AM$1&amp;AM$3&amp;$C751))</f>
        <v>0</v>
      </c>
      <c r="AN751" s="2473">
        <f t="shared" ca="1" si="1461"/>
        <v>0</v>
      </c>
      <c r="AO751" s="2474">
        <f t="shared" ca="1" si="1462"/>
        <v>0</v>
      </c>
      <c r="AP751" s="2058">
        <f ca="1">SUM(INDIRECT(AP$1&amp;AP$2&amp;$A751):INDIRECT(AP$1&amp;AP$3&amp;$A751))</f>
        <v>0</v>
      </c>
      <c r="AQ751" s="2473">
        <f t="shared" ca="1" si="1463"/>
        <v>0</v>
      </c>
      <c r="AR751" s="2474">
        <f t="shared" ca="1" si="1464"/>
        <v>0</v>
      </c>
      <c r="AT751" s="2058">
        <f ca="1">SUM((INDIRECT(AT$2&amp;(ROW())):INDIRECT(AT$3&amp;(ROW()))))</f>
        <v>0</v>
      </c>
      <c r="AU751" s="2058">
        <f ca="1">SUM(INDIRECT(AU$1&amp;AU$2&amp;$C751):INDIRECT(AU$1&amp;AU$3&amp;$C751))</f>
        <v>0</v>
      </c>
      <c r="AV751" s="2473">
        <f t="shared" ca="1" si="1465"/>
        <v>0</v>
      </c>
      <c r="AW751" s="2474">
        <f t="shared" ca="1" si="1466"/>
        <v>0</v>
      </c>
      <c r="AX751" s="2058">
        <f ca="1">SUM(INDIRECT(AX$1&amp;AX$2&amp;$A751):INDIRECT(AX$1&amp;AX$3&amp;$A751))</f>
        <v>0</v>
      </c>
      <c r="AY751" s="2473">
        <f t="shared" ca="1" si="1467"/>
        <v>0</v>
      </c>
      <c r="AZ751" s="2474">
        <f t="shared" ca="1" si="1468"/>
        <v>0</v>
      </c>
      <c r="BB751" s="2058">
        <f ca="1">SUM((INDIRECT(BB$2&amp;(ROW())):INDIRECT(BB$3&amp;(ROW()))))</f>
        <v>0</v>
      </c>
      <c r="BC751" s="2058">
        <f ca="1">SUM(INDIRECT(BC$1&amp;BC$2&amp;$C751):INDIRECT(BC$1&amp;BC$3&amp;$C751))</f>
        <v>0</v>
      </c>
      <c r="BD751" s="2473">
        <f t="shared" ca="1" si="1469"/>
        <v>0</v>
      </c>
      <c r="BE751" s="2474">
        <f t="shared" ca="1" si="1470"/>
        <v>0</v>
      </c>
      <c r="BF751" s="2058">
        <f ca="1">SUM(INDIRECT(BF$1&amp;BF$2&amp;$A751):INDIRECT(BF$1&amp;BF$3&amp;$A751))</f>
        <v>0</v>
      </c>
      <c r="BG751" s="2473">
        <f t="shared" ca="1" si="1471"/>
        <v>0</v>
      </c>
      <c r="BH751" s="2474">
        <f t="shared" ca="1" si="1472"/>
        <v>0</v>
      </c>
    </row>
    <row r="752" spans="1:60" s="75" customFormat="1" ht="14.5">
      <c r="A752" s="990">
        <f t="shared" si="1457"/>
        <v>687</v>
      </c>
      <c r="B752" s="990"/>
      <c r="C752" s="990">
        <f t="shared" si="1428"/>
        <v>749</v>
      </c>
      <c r="E752" s="1243">
        <v>1</v>
      </c>
      <c r="F752" s="5"/>
      <c r="G752" s="5"/>
      <c r="H752" s="5"/>
      <c r="I752" s="14"/>
      <c r="J752" s="31"/>
      <c r="K752" s="24"/>
      <c r="L752" s="24"/>
      <c r="M752" s="31"/>
      <c r="N752" s="4"/>
      <c r="O752" s="4"/>
      <c r="P752" s="4"/>
      <c r="Q752" s="1880" t="str">
        <f>CHOOSE(2, "6722000003671", "▷ Blank 22")</f>
        <v>▷ Blank 22</v>
      </c>
      <c r="R752" s="2222"/>
      <c r="S752" s="87"/>
      <c r="T752" s="87"/>
      <c r="U752" s="87"/>
      <c r="V752" s="87"/>
      <c r="W752" s="87"/>
      <c r="X752" s="87"/>
      <c r="Y752" s="87"/>
      <c r="Z752" s="87"/>
      <c r="AA752" s="87"/>
      <c r="AB752" s="87"/>
      <c r="AC752" s="87"/>
      <c r="AD752" s="87"/>
      <c r="AE752" s="87"/>
      <c r="AF752" s="87"/>
      <c r="AG752" s="87"/>
      <c r="AH752" s="87"/>
      <c r="AI752" s="87"/>
      <c r="AJ752" s="87"/>
      <c r="AL752" s="87"/>
      <c r="AM752" s="87"/>
      <c r="AN752" s="87"/>
      <c r="AO752" s="87"/>
      <c r="AP752" s="87"/>
      <c r="AQ752" s="87"/>
      <c r="AR752" s="87"/>
      <c r="AT752" s="87"/>
      <c r="AU752" s="87"/>
      <c r="AV752" s="87"/>
      <c r="AW752" s="87"/>
      <c r="AX752" s="87"/>
      <c r="AY752" s="87"/>
      <c r="AZ752" s="87"/>
      <c r="BB752" s="87"/>
      <c r="BC752" s="87"/>
      <c r="BD752" s="87"/>
      <c r="BE752" s="87"/>
      <c r="BF752" s="87"/>
      <c r="BG752" s="87"/>
      <c r="BH752" s="87"/>
    </row>
    <row r="753" spans="1:60" ht="14.5">
      <c r="A753" s="990">
        <f t="shared" si="1457"/>
        <v>688</v>
      </c>
      <c r="B753" s="990">
        <v>1</v>
      </c>
      <c r="C753" s="990">
        <f t="shared" si="1428"/>
        <v>750</v>
      </c>
      <c r="E753" s="1255">
        <v>1</v>
      </c>
      <c r="F753" s="9"/>
      <c r="G753" s="24"/>
      <c r="H753" s="5" t="s">
        <v>922</v>
      </c>
      <c r="P753" s="291"/>
      <c r="Q753" s="1838" t="str">
        <f>CHOOSE(2, "6722000003672", "S/GP (5) DW-DX")</f>
        <v>S/GP (5) DW-DX</v>
      </c>
      <c r="R753" s="2200"/>
      <c r="AB753" s="1"/>
      <c r="AC753" s="1"/>
      <c r="AD753" s="1"/>
      <c r="AE753" s="1"/>
      <c r="AF753" s="1"/>
      <c r="AG753" s="1"/>
      <c r="AH753" s="1"/>
      <c r="AI753" s="1"/>
      <c r="AJ753" s="1"/>
      <c r="AL753" s="1"/>
      <c r="AM753" s="1"/>
      <c r="AN753" s="1"/>
      <c r="AO753" s="1"/>
      <c r="AP753" s="1"/>
      <c r="AQ753" s="1"/>
      <c r="AR753" s="1"/>
      <c r="AT753" s="1"/>
      <c r="AU753" s="1"/>
      <c r="AV753" s="1"/>
      <c r="AW753" s="1"/>
      <c r="AX753" s="1"/>
      <c r="AY753" s="1"/>
      <c r="AZ753" s="1"/>
      <c r="BB753" s="1"/>
      <c r="BC753" s="1"/>
      <c r="BD753" s="1"/>
      <c r="BE753" s="1"/>
      <c r="BF753" s="1"/>
      <c r="BG753" s="1"/>
      <c r="BH753" s="1"/>
    </row>
    <row r="754" spans="1:60" ht="14.5">
      <c r="A754" s="990">
        <f t="shared" si="1457"/>
        <v>689</v>
      </c>
      <c r="B754" s="990">
        <v>1</v>
      </c>
      <c r="C754" s="990">
        <f t="shared" si="1428"/>
        <v>751</v>
      </c>
      <c r="E754" s="1243">
        <v>1</v>
      </c>
      <c r="I754" s="16" t="s">
        <v>211</v>
      </c>
      <c r="J754" s="102"/>
      <c r="K754" s="405"/>
      <c r="L754" s="405"/>
      <c r="M754" s="405"/>
      <c r="N754" s="405"/>
      <c r="O754" s="405"/>
      <c r="P754" s="580"/>
      <c r="Q754" s="1866" t="str">
        <f>CHOOSE(2, "6722000003673", "S/GP (5) Net Sales")</f>
        <v>S/GP (5) Net Sales</v>
      </c>
      <c r="R754" s="2063">
        <f t="shared" ref="R754:AC754" si="1510">R755+R786</f>
        <v>360</v>
      </c>
      <c r="S754" s="2028">
        <f t="shared" si="1510"/>
        <v>263</v>
      </c>
      <c r="T754" s="2063">
        <f t="shared" si="1510"/>
        <v>439</v>
      </c>
      <c r="U754" s="2063">
        <f t="shared" si="1510"/>
        <v>922</v>
      </c>
      <c r="V754" s="2063">
        <f t="shared" si="1510"/>
        <v>3555</v>
      </c>
      <c r="W754" s="2063">
        <f t="shared" si="1510"/>
        <v>44</v>
      </c>
      <c r="X754" s="2063">
        <f t="shared" si="1510"/>
        <v>708</v>
      </c>
      <c r="Y754" s="2063">
        <f t="shared" si="1510"/>
        <v>500</v>
      </c>
      <c r="Z754" s="2063">
        <f t="shared" si="1510"/>
        <v>0</v>
      </c>
      <c r="AA754" s="2063">
        <f t="shared" si="1510"/>
        <v>554</v>
      </c>
      <c r="AB754" s="2063">
        <f t="shared" si="1510"/>
        <v>843</v>
      </c>
      <c r="AC754" s="2063">
        <f t="shared" si="1510"/>
        <v>281</v>
      </c>
      <c r="AD754" s="678">
        <f t="shared" ref="AD754:AJ754" si="1511">AD755+AD786</f>
        <v>1062</v>
      </c>
      <c r="AE754" s="406">
        <f t="shared" si="1511"/>
        <v>4521</v>
      </c>
      <c r="AF754" s="406">
        <f t="shared" si="1511"/>
        <v>1208</v>
      </c>
      <c r="AG754" s="406">
        <f t="shared" si="1511"/>
        <v>1678</v>
      </c>
      <c r="AH754" s="406">
        <f t="shared" si="1511"/>
        <v>5583</v>
      </c>
      <c r="AI754" s="406">
        <f t="shared" si="1511"/>
        <v>2886</v>
      </c>
      <c r="AJ754" s="101">
        <f t="shared" si="1511"/>
        <v>8469</v>
      </c>
      <c r="AL754" s="2063">
        <f ca="1">SUM((INDIRECT(AL$2&amp;(ROW())):INDIRECT(AL$3&amp;(ROW()))))</f>
        <v>281</v>
      </c>
      <c r="AM754" s="101">
        <f ca="1">SUM(INDIRECT(AM$1&amp;AM$2&amp;$C754):INDIRECT(AM$1&amp;AM$3&amp;$C754))</f>
        <v>0</v>
      </c>
      <c r="AN754" s="2522">
        <f t="shared" ref="AN754:AN785" ca="1" si="1512">AL754-AM754</f>
        <v>281</v>
      </c>
      <c r="AO754" s="1719">
        <f t="shared" ref="AO754:AO785" ca="1" si="1513">IFERROR(AL754/AM754,0)</f>
        <v>0</v>
      </c>
      <c r="AP754" s="2544">
        <f ca="1">AP755+AP786</f>
        <v>62</v>
      </c>
      <c r="AQ754" s="2522">
        <f t="shared" ref="AQ754:AQ785" ca="1" si="1514">AL754-AP754</f>
        <v>219</v>
      </c>
      <c r="AR754" s="1719">
        <f t="shared" ref="AR754:AR785" ca="1" si="1515">IFERROR(AL754/AP754,0)</f>
        <v>4.532258064516129</v>
      </c>
      <c r="AT754" s="2063">
        <f ca="1">SUM((INDIRECT(AT$2&amp;(ROW())):INDIRECT(AT$3&amp;(ROW()))))</f>
        <v>1678</v>
      </c>
      <c r="AU754" s="101">
        <f ca="1">SUM(INDIRECT(AU$1&amp;AU$2&amp;$C754):INDIRECT(AU$1&amp;AU$3&amp;$C754))</f>
        <v>0</v>
      </c>
      <c r="AV754" s="2522">
        <f t="shared" ref="AV754:AV785" ca="1" si="1516">AT754-AU754</f>
        <v>1678</v>
      </c>
      <c r="AW754" s="1719">
        <f t="shared" ref="AW754:AW785" ca="1" si="1517">IFERROR(AT754/AU754,0)</f>
        <v>0</v>
      </c>
      <c r="AX754" s="2544">
        <f ca="1">AX755+AX786</f>
        <v>400</v>
      </c>
      <c r="AY754" s="2522">
        <f t="shared" ref="AY754:AY785" ca="1" si="1518">AT754-AX754</f>
        <v>1278</v>
      </c>
      <c r="AZ754" s="1719">
        <f t="shared" ref="AZ754:AZ785" ca="1" si="1519">IFERROR(AT754/AX754,0)</f>
        <v>4.1950000000000003</v>
      </c>
      <c r="BB754" s="2063">
        <f ca="1">SUM((INDIRECT(BB$2&amp;(ROW())):INDIRECT(BB$3&amp;(ROW()))))</f>
        <v>8469</v>
      </c>
      <c r="BC754" s="101">
        <f ca="1">SUM(INDIRECT(BC$1&amp;BC$2&amp;$C754):INDIRECT(BC$1&amp;BC$3&amp;$C754))</f>
        <v>0</v>
      </c>
      <c r="BD754" s="2522">
        <f t="shared" ref="BD754:BD785" ca="1" si="1520">BB754-BC754</f>
        <v>8469</v>
      </c>
      <c r="BE754" s="1719">
        <f t="shared" ref="BE754:BE785" ca="1" si="1521">IFERROR(BB754/BC754,0)</f>
        <v>0</v>
      </c>
      <c r="BF754" s="2544">
        <f ca="1">BF755+BF786</f>
        <v>3469</v>
      </c>
      <c r="BG754" s="2522">
        <f t="shared" ref="BG754:BG785" ca="1" si="1522">BB754-BF754</f>
        <v>5000</v>
      </c>
      <c r="BH754" s="1719">
        <f t="shared" ref="BH754:BH785" ca="1" si="1523">IFERROR(BB754/BF754,0)</f>
        <v>2.4413375612568462</v>
      </c>
    </row>
    <row r="755" spans="1:60" ht="14.5">
      <c r="A755" s="990">
        <f t="shared" si="1457"/>
        <v>690</v>
      </c>
      <c r="B755" s="990">
        <v>1</v>
      </c>
      <c r="C755" s="990">
        <f t="shared" si="1428"/>
        <v>752</v>
      </c>
      <c r="E755" s="1243">
        <v>1</v>
      </c>
      <c r="I755" s="98"/>
      <c r="J755" s="97"/>
      <c r="K755" s="74" t="s">
        <v>212</v>
      </c>
      <c r="L755" s="74"/>
      <c r="M755" s="565"/>
      <c r="N755" s="357"/>
      <c r="O755" s="357"/>
      <c r="P755" s="357"/>
      <c r="Q755" s="1878" t="str">
        <f>CHOOSE(2, "6722000003674", "S/GP (5) Net Sales Direct")</f>
        <v>S/GP (5) Net Sales Direct</v>
      </c>
      <c r="R755" s="359">
        <f>R761+R756+R766+R771+R776+R781</f>
        <v>360</v>
      </c>
      <c r="S755" s="2064">
        <f t="shared" ref="S755:AC755" si="1524">S761+S756+S766+S771+S776+S781</f>
        <v>263</v>
      </c>
      <c r="T755" s="359">
        <f t="shared" si="1524"/>
        <v>439</v>
      </c>
      <c r="U755" s="359">
        <f t="shared" si="1524"/>
        <v>922</v>
      </c>
      <c r="V755" s="359">
        <f t="shared" si="1524"/>
        <v>3555</v>
      </c>
      <c r="W755" s="359">
        <f t="shared" si="1524"/>
        <v>44</v>
      </c>
      <c r="X755" s="359">
        <f t="shared" si="1524"/>
        <v>708</v>
      </c>
      <c r="Y755" s="359">
        <f t="shared" si="1524"/>
        <v>500</v>
      </c>
      <c r="Z755" s="359">
        <f t="shared" si="1524"/>
        <v>0</v>
      </c>
      <c r="AA755" s="359">
        <f t="shared" si="1524"/>
        <v>554</v>
      </c>
      <c r="AB755" s="359">
        <f t="shared" si="1524"/>
        <v>843</v>
      </c>
      <c r="AC755" s="359">
        <f t="shared" si="1524"/>
        <v>281</v>
      </c>
      <c r="AD755" s="407">
        <f t="shared" ref="AD755:AJ755" si="1525">AD761+AD756+AD766+AD771+AD776+AD781</f>
        <v>1062</v>
      </c>
      <c r="AE755" s="359">
        <f t="shared" si="1525"/>
        <v>4521</v>
      </c>
      <c r="AF755" s="359">
        <f t="shared" si="1525"/>
        <v>1208</v>
      </c>
      <c r="AG755" s="359">
        <f t="shared" si="1525"/>
        <v>1678</v>
      </c>
      <c r="AH755" s="359">
        <f t="shared" si="1525"/>
        <v>5583</v>
      </c>
      <c r="AI755" s="359">
        <f t="shared" si="1525"/>
        <v>2886</v>
      </c>
      <c r="AJ755" s="407">
        <f t="shared" si="1525"/>
        <v>8469</v>
      </c>
      <c r="AL755" s="359">
        <f ca="1">SUM((INDIRECT(AL$2&amp;(ROW())):INDIRECT(AL$3&amp;(ROW()))))</f>
        <v>281</v>
      </c>
      <c r="AM755" s="407">
        <f ca="1">SUM(INDIRECT(AM$1&amp;AM$2&amp;$C755):INDIRECT(AM$1&amp;AM$3&amp;$C755))</f>
        <v>0</v>
      </c>
      <c r="AN755" s="909">
        <f t="shared" ca="1" si="1512"/>
        <v>281</v>
      </c>
      <c r="AO755" s="970">
        <f t="shared" ca="1" si="1513"/>
        <v>0</v>
      </c>
      <c r="AP755" s="2545">
        <f ca="1">AP761+AP756+AP766+AP771+AP776+AP781</f>
        <v>62</v>
      </c>
      <c r="AQ755" s="909">
        <f t="shared" ca="1" si="1514"/>
        <v>219</v>
      </c>
      <c r="AR755" s="970">
        <f t="shared" ca="1" si="1515"/>
        <v>4.532258064516129</v>
      </c>
      <c r="AT755" s="359">
        <f ca="1">SUM((INDIRECT(AT$2&amp;(ROW())):INDIRECT(AT$3&amp;(ROW()))))</f>
        <v>1678</v>
      </c>
      <c r="AU755" s="407">
        <f ca="1">SUM(INDIRECT(AU$1&amp;AU$2&amp;$C755):INDIRECT(AU$1&amp;AU$3&amp;$C755))</f>
        <v>0</v>
      </c>
      <c r="AV755" s="909">
        <f t="shared" ca="1" si="1516"/>
        <v>1678</v>
      </c>
      <c r="AW755" s="970">
        <f t="shared" ca="1" si="1517"/>
        <v>0</v>
      </c>
      <c r="AX755" s="2545">
        <f ca="1">AX761+AX756+AX766+AX771+AX776+AX781</f>
        <v>400</v>
      </c>
      <c r="AY755" s="909">
        <f t="shared" ca="1" si="1518"/>
        <v>1278</v>
      </c>
      <c r="AZ755" s="970">
        <f t="shared" ca="1" si="1519"/>
        <v>4.1950000000000003</v>
      </c>
      <c r="BB755" s="359">
        <f ca="1">SUM((INDIRECT(BB$2&amp;(ROW())):INDIRECT(BB$3&amp;(ROW()))))</f>
        <v>8469</v>
      </c>
      <c r="BC755" s="407">
        <f ca="1">SUM(INDIRECT(BC$1&amp;BC$2&amp;$C755):INDIRECT(BC$1&amp;BC$3&amp;$C755))</f>
        <v>0</v>
      </c>
      <c r="BD755" s="909">
        <f t="shared" ca="1" si="1520"/>
        <v>8469</v>
      </c>
      <c r="BE755" s="970">
        <f t="shared" ca="1" si="1521"/>
        <v>0</v>
      </c>
      <c r="BF755" s="2545">
        <f ca="1">BF761+BF756+BF766+BF771+BF776+BF781</f>
        <v>3199</v>
      </c>
      <c r="BG755" s="909">
        <f t="shared" ca="1" si="1522"/>
        <v>5270</v>
      </c>
      <c r="BH755" s="970">
        <f t="shared" ca="1" si="1523"/>
        <v>2.6473898093154111</v>
      </c>
    </row>
    <row r="756" spans="1:60" ht="14.5">
      <c r="A756" s="1397">
        <v>691</v>
      </c>
      <c r="B756" s="990">
        <v>1</v>
      </c>
      <c r="C756" s="990">
        <f t="shared" si="1428"/>
        <v>753</v>
      </c>
      <c r="E756" s="1243">
        <v>1</v>
      </c>
      <c r="G756" s="24"/>
      <c r="I756" s="98"/>
      <c r="J756" s="97"/>
      <c r="K756" s="74"/>
      <c r="L756" s="74"/>
      <c r="M756" s="9" t="s">
        <v>779</v>
      </c>
      <c r="N756" s="362"/>
      <c r="O756" s="362"/>
      <c r="P756" s="362"/>
      <c r="Q756" s="1843" t="str">
        <f>CHOOSE(2, "6722000003675", "S/GP (5) Net Sales Direct IMS")</f>
        <v>S/GP (5) Net Sales Direct IMS</v>
      </c>
      <c r="R756" s="361">
        <f>SUM(R757:R760)</f>
        <v>0</v>
      </c>
      <c r="S756" s="2054">
        <f t="shared" ref="S756:AC756" si="1526">SUM(S757:S760)</f>
        <v>0</v>
      </c>
      <c r="T756" s="361">
        <f t="shared" si="1526"/>
        <v>0</v>
      </c>
      <c r="U756" s="361">
        <f t="shared" si="1526"/>
        <v>510</v>
      </c>
      <c r="V756" s="361">
        <f t="shared" si="1526"/>
        <v>0</v>
      </c>
      <c r="W756" s="361">
        <f t="shared" si="1526"/>
        <v>0</v>
      </c>
      <c r="X756" s="361">
        <f t="shared" si="1526"/>
        <v>510</v>
      </c>
      <c r="Y756" s="361">
        <f t="shared" si="1526"/>
        <v>0</v>
      </c>
      <c r="Z756" s="361">
        <f t="shared" si="1526"/>
        <v>0</v>
      </c>
      <c r="AA756" s="361">
        <f t="shared" si="1526"/>
        <v>510</v>
      </c>
      <c r="AB756" s="361">
        <f t="shared" si="1526"/>
        <v>0</v>
      </c>
      <c r="AC756" s="361">
        <f t="shared" si="1526"/>
        <v>0</v>
      </c>
      <c r="AD756" s="375">
        <f t="shared" ref="AD756:AJ756" si="1527">SUM(AD757:AD760)</f>
        <v>0</v>
      </c>
      <c r="AE756" s="361">
        <f t="shared" si="1527"/>
        <v>510</v>
      </c>
      <c r="AF756" s="361">
        <f t="shared" si="1527"/>
        <v>510</v>
      </c>
      <c r="AG756" s="361">
        <f t="shared" si="1527"/>
        <v>510</v>
      </c>
      <c r="AH756" s="361">
        <f t="shared" si="1527"/>
        <v>510</v>
      </c>
      <c r="AI756" s="361">
        <f t="shared" si="1527"/>
        <v>1020</v>
      </c>
      <c r="AJ756" s="375">
        <f t="shared" si="1527"/>
        <v>1530</v>
      </c>
      <c r="AL756" s="361">
        <f ca="1">SUM((INDIRECT(AL$2&amp;(ROW())):INDIRECT(AL$3&amp;(ROW()))))</f>
        <v>0</v>
      </c>
      <c r="AM756" s="375">
        <f ca="1">SUM(INDIRECT(AM$1&amp;AM$2&amp;$C756):INDIRECT(AM$1&amp;AM$3&amp;$C756))</f>
        <v>0</v>
      </c>
      <c r="AN756" s="910">
        <f t="shared" ca="1" si="1512"/>
        <v>0</v>
      </c>
      <c r="AO756" s="971">
        <f t="shared" ca="1" si="1513"/>
        <v>0</v>
      </c>
      <c r="AP756" s="375">
        <f ca="1">SUM(INDIRECT(AP$1&amp;AP$2&amp;$A756):INDIRECT(AP$1&amp;AP$3&amp;$A756))+SUM(INDIRECT(AP$1&amp;AP$2&amp;$B756):INDIRECT(AP$1&amp;AP$3&amp;$B756))</f>
        <v>0</v>
      </c>
      <c r="AQ756" s="910">
        <f t="shared" ca="1" si="1514"/>
        <v>0</v>
      </c>
      <c r="AR756" s="971">
        <f t="shared" ca="1" si="1515"/>
        <v>0</v>
      </c>
      <c r="AT756" s="361">
        <f ca="1">SUM((INDIRECT(AT$2&amp;(ROW())):INDIRECT(AT$3&amp;(ROW()))))</f>
        <v>510</v>
      </c>
      <c r="AU756" s="375">
        <f ca="1">SUM(INDIRECT(AU$1&amp;AU$2&amp;$C756):INDIRECT(AU$1&amp;AU$3&amp;$C756))</f>
        <v>0</v>
      </c>
      <c r="AV756" s="910">
        <f t="shared" ca="1" si="1516"/>
        <v>510</v>
      </c>
      <c r="AW756" s="971">
        <f t="shared" ca="1" si="1517"/>
        <v>0</v>
      </c>
      <c r="AX756" s="375">
        <f ca="1">SUM(INDIRECT(AX$1&amp;AX$2&amp;$A756):INDIRECT(AX$1&amp;AX$3&amp;$A756))+SUM(INDIRECT(AX$1&amp;AX$2&amp;$B756):INDIRECT(AX$1&amp;AX$3&amp;$B756))</f>
        <v>0</v>
      </c>
      <c r="AY756" s="910">
        <f t="shared" ca="1" si="1518"/>
        <v>510</v>
      </c>
      <c r="AZ756" s="971">
        <f t="shared" ca="1" si="1519"/>
        <v>0</v>
      </c>
      <c r="BB756" s="361">
        <f ca="1">SUM((INDIRECT(BB$2&amp;(ROW())):INDIRECT(BB$3&amp;(ROW()))))</f>
        <v>1530</v>
      </c>
      <c r="BC756" s="375">
        <f ca="1">SUM(INDIRECT(BC$1&amp;BC$2&amp;$C756):INDIRECT(BC$1&amp;BC$3&amp;$C756))</f>
        <v>0</v>
      </c>
      <c r="BD756" s="910">
        <f t="shared" ca="1" si="1520"/>
        <v>1530</v>
      </c>
      <c r="BE756" s="971">
        <f t="shared" ca="1" si="1521"/>
        <v>0</v>
      </c>
      <c r="BF756" s="375">
        <f ca="1">SUM(INDIRECT(BF$1&amp;BF$2&amp;$A756):INDIRECT(BF$1&amp;BF$3&amp;$A756))+SUM(INDIRECT(BF$1&amp;BF$2&amp;$B756):INDIRECT(BF$1&amp;BF$3&amp;$B756))</f>
        <v>60</v>
      </c>
      <c r="BG756" s="910">
        <f t="shared" ca="1" si="1522"/>
        <v>1470</v>
      </c>
      <c r="BH756" s="971">
        <f t="shared" ca="1" si="1523"/>
        <v>25.5</v>
      </c>
    </row>
    <row r="757" spans="1:60" ht="14.5">
      <c r="A757" s="990">
        <f t="shared" si="1457"/>
        <v>692</v>
      </c>
      <c r="B757" s="990">
        <v>1</v>
      </c>
      <c r="C757" s="990">
        <f t="shared" si="1428"/>
        <v>754</v>
      </c>
      <c r="E757" s="1243">
        <v>1</v>
      </c>
      <c r="G757" s="24"/>
      <c r="I757" s="98"/>
      <c r="J757" s="97"/>
      <c r="K757" s="74"/>
      <c r="L757" s="74"/>
      <c r="N757" s="111" t="s">
        <v>903</v>
      </c>
      <c r="O757" s="111"/>
      <c r="P757" s="111"/>
      <c r="Q757" s="1845" t="str">
        <f>CHOOSE(2, "6722000003676", "S/GP (5) Net Sales Direct IMS OSP")</f>
        <v>S/GP (5) Net Sales Direct IMS OSP</v>
      </c>
      <c r="R757" s="2042">
        <v>0</v>
      </c>
      <c r="S757" s="2055">
        <v>0</v>
      </c>
      <c r="T757" s="2042">
        <v>0</v>
      </c>
      <c r="U757" s="2042">
        <v>0</v>
      </c>
      <c r="V757" s="2042">
        <v>0</v>
      </c>
      <c r="W757" s="2042">
        <v>0</v>
      </c>
      <c r="X757" s="2042">
        <v>0</v>
      </c>
      <c r="Y757" s="2042">
        <v>0</v>
      </c>
      <c r="Z757" s="2042">
        <v>0</v>
      </c>
      <c r="AA757" s="2042">
        <v>0</v>
      </c>
      <c r="AB757" s="2042">
        <v>0</v>
      </c>
      <c r="AC757" s="2042">
        <v>0</v>
      </c>
      <c r="AD757" s="376">
        <f>SUM(R757,S757,T757)</f>
        <v>0</v>
      </c>
      <c r="AE757" s="109">
        <f t="shared" ref="AE757:AE760" si="1528">SUM(U757,V757,W757)</f>
        <v>0</v>
      </c>
      <c r="AF757" s="109">
        <f t="shared" ref="AF757:AF760" si="1529">SUM(X757,Y757,Z757)</f>
        <v>0</v>
      </c>
      <c r="AG757" s="109">
        <f t="shared" ref="AG757:AG760" si="1530">SUM(AA757,AB757,AC757)</f>
        <v>0</v>
      </c>
      <c r="AH757" s="109">
        <f>AD757+AE757</f>
        <v>0</v>
      </c>
      <c r="AI757" s="109">
        <f>AG757+AF757</f>
        <v>0</v>
      </c>
      <c r="AJ757" s="376">
        <f>AH757+AI757</f>
        <v>0</v>
      </c>
      <c r="AL757" s="109">
        <f ca="1">SUM((INDIRECT(AL$2&amp;(ROW())):INDIRECT(AL$3&amp;(ROW()))))</f>
        <v>0</v>
      </c>
      <c r="AM757" s="376">
        <f ca="1">SUM(INDIRECT(AM$1&amp;AM$2&amp;$C757):INDIRECT(AM$1&amp;AM$3&amp;$C757))</f>
        <v>0</v>
      </c>
      <c r="AN757" s="904">
        <f t="shared" ca="1" si="1512"/>
        <v>0</v>
      </c>
      <c r="AO757" s="965">
        <f t="shared" ca="1" si="1513"/>
        <v>0</v>
      </c>
      <c r="AP757" s="376">
        <f ca="1">SUM(INDIRECT(AP$1&amp;AP$2&amp;$A757):INDIRECT(AP$1&amp;AP$3&amp;$A757))+SUM(INDIRECT(AP$1&amp;AP$2&amp;$B757):INDIRECT(AP$1&amp;AP$3&amp;$B757))</f>
        <v>0</v>
      </c>
      <c r="AQ757" s="904">
        <f t="shared" ca="1" si="1514"/>
        <v>0</v>
      </c>
      <c r="AR757" s="965">
        <f t="shared" ca="1" si="1515"/>
        <v>0</v>
      </c>
      <c r="AT757" s="109">
        <f ca="1">SUM((INDIRECT(AT$2&amp;(ROW())):INDIRECT(AT$3&amp;(ROW()))))</f>
        <v>0</v>
      </c>
      <c r="AU757" s="376">
        <f ca="1">SUM(INDIRECT(AU$1&amp;AU$2&amp;$C757):INDIRECT(AU$1&amp;AU$3&amp;$C757))</f>
        <v>0</v>
      </c>
      <c r="AV757" s="904">
        <f t="shared" ca="1" si="1516"/>
        <v>0</v>
      </c>
      <c r="AW757" s="965">
        <f t="shared" ca="1" si="1517"/>
        <v>0</v>
      </c>
      <c r="AX757" s="376">
        <f ca="1">SUM(INDIRECT(AX$1&amp;AX$2&amp;$A757):INDIRECT(AX$1&amp;AX$3&amp;$A757))+SUM(INDIRECT(AX$1&amp;AX$2&amp;$B757):INDIRECT(AX$1&amp;AX$3&amp;$B757))</f>
        <v>0</v>
      </c>
      <c r="AY757" s="904">
        <f t="shared" ca="1" si="1518"/>
        <v>0</v>
      </c>
      <c r="AZ757" s="965">
        <f t="shared" ca="1" si="1519"/>
        <v>0</v>
      </c>
      <c r="BB757" s="109">
        <f ca="1">SUM((INDIRECT(BB$2&amp;(ROW())):INDIRECT(BB$3&amp;(ROW()))))</f>
        <v>0</v>
      </c>
      <c r="BC757" s="376">
        <f ca="1">SUM(INDIRECT(BC$1&amp;BC$2&amp;$C757):INDIRECT(BC$1&amp;BC$3&amp;$C757))</f>
        <v>0</v>
      </c>
      <c r="BD757" s="904">
        <f t="shared" ca="1" si="1520"/>
        <v>0</v>
      </c>
      <c r="BE757" s="965">
        <f t="shared" ca="1" si="1521"/>
        <v>0</v>
      </c>
      <c r="BF757" s="376">
        <f ca="1">SUM(INDIRECT(BF$1&amp;BF$2&amp;$A757):INDIRECT(BF$1&amp;BF$3&amp;$A757))+SUM(INDIRECT(BF$1&amp;BF$2&amp;$B757):INDIRECT(BF$1&amp;BF$3&amp;$B757))</f>
        <v>0</v>
      </c>
      <c r="BG757" s="904">
        <f t="shared" ca="1" si="1522"/>
        <v>0</v>
      </c>
      <c r="BH757" s="965">
        <f t="shared" ca="1" si="1523"/>
        <v>0</v>
      </c>
    </row>
    <row r="758" spans="1:60" ht="14.5">
      <c r="A758" s="990">
        <f t="shared" si="1457"/>
        <v>693</v>
      </c>
      <c r="B758" s="990">
        <v>1</v>
      </c>
      <c r="C758" s="990">
        <f t="shared" si="1428"/>
        <v>755</v>
      </c>
      <c r="E758" s="1243">
        <v>1</v>
      </c>
      <c r="G758" s="24"/>
      <c r="I758" s="98"/>
      <c r="J758" s="97"/>
      <c r="K758" s="74"/>
      <c r="L758" s="74"/>
      <c r="N758" s="9" t="s">
        <v>904</v>
      </c>
      <c r="Q758" s="1845" t="str">
        <f>CHOOSE(2, "6722000003677", "S/GP (5) Net Sales Direct IMS RP")</f>
        <v>S/GP (5) Net Sales Direct IMS RP</v>
      </c>
      <c r="R758" s="2036">
        <v>0</v>
      </c>
      <c r="S758" s="2040">
        <v>0</v>
      </c>
      <c r="T758" s="2036">
        <v>0</v>
      </c>
      <c r="U758" s="2036">
        <v>510</v>
      </c>
      <c r="V758" s="2036">
        <v>0</v>
      </c>
      <c r="W758" s="2036">
        <v>0</v>
      </c>
      <c r="X758" s="2036">
        <v>510</v>
      </c>
      <c r="Y758" s="2036">
        <v>0</v>
      </c>
      <c r="Z758" s="2036">
        <v>0</v>
      </c>
      <c r="AA758" s="2036">
        <v>510</v>
      </c>
      <c r="AB758" s="2036">
        <v>0</v>
      </c>
      <c r="AC758" s="2036">
        <v>0</v>
      </c>
      <c r="AD758" s="100">
        <f>SUM(R758,S758,T758)</f>
        <v>0</v>
      </c>
      <c r="AE758" s="19">
        <f t="shared" si="1528"/>
        <v>510</v>
      </c>
      <c r="AF758" s="19">
        <f t="shared" si="1529"/>
        <v>510</v>
      </c>
      <c r="AG758" s="19">
        <f t="shared" si="1530"/>
        <v>510</v>
      </c>
      <c r="AH758" s="19">
        <f>AD758+AE758</f>
        <v>510</v>
      </c>
      <c r="AI758" s="19">
        <f>AG758+AF758</f>
        <v>1020</v>
      </c>
      <c r="AJ758" s="100">
        <f>AH758+AI758</f>
        <v>1530</v>
      </c>
      <c r="AL758" s="19">
        <f ca="1">SUM((INDIRECT(AL$2&amp;(ROW())):INDIRECT(AL$3&amp;(ROW()))))</f>
        <v>0</v>
      </c>
      <c r="AM758" s="100">
        <f ca="1">SUM(INDIRECT(AM$1&amp;AM$2&amp;$C758):INDIRECT(AM$1&amp;AM$3&amp;$C758))</f>
        <v>0</v>
      </c>
      <c r="AN758" s="906">
        <f t="shared" ca="1" si="1512"/>
        <v>0</v>
      </c>
      <c r="AO758" s="967">
        <f t="shared" ca="1" si="1513"/>
        <v>0</v>
      </c>
      <c r="AP758" s="100">
        <f ca="1">SUM(INDIRECT(AP$1&amp;AP$2&amp;$A758):INDIRECT(AP$1&amp;AP$3&amp;$A758))+SUM(INDIRECT(AP$1&amp;AP$2&amp;$B758):INDIRECT(AP$1&amp;AP$3&amp;$B758))</f>
        <v>0</v>
      </c>
      <c r="AQ758" s="906">
        <f t="shared" ca="1" si="1514"/>
        <v>0</v>
      </c>
      <c r="AR758" s="967">
        <f t="shared" ca="1" si="1515"/>
        <v>0</v>
      </c>
      <c r="AT758" s="19">
        <f ca="1">SUM((INDIRECT(AT$2&amp;(ROW())):INDIRECT(AT$3&amp;(ROW()))))</f>
        <v>510</v>
      </c>
      <c r="AU758" s="100">
        <f ca="1">SUM(INDIRECT(AU$1&amp;AU$2&amp;$C758):INDIRECT(AU$1&amp;AU$3&amp;$C758))</f>
        <v>0</v>
      </c>
      <c r="AV758" s="906">
        <f t="shared" ca="1" si="1516"/>
        <v>510</v>
      </c>
      <c r="AW758" s="967">
        <f t="shared" ca="1" si="1517"/>
        <v>0</v>
      </c>
      <c r="AX758" s="100">
        <f ca="1">SUM(INDIRECT(AX$1&amp;AX$2&amp;$A758):INDIRECT(AX$1&amp;AX$3&amp;$A758))+SUM(INDIRECT(AX$1&amp;AX$2&amp;$B758):INDIRECT(AX$1&amp;AX$3&amp;$B758))</f>
        <v>0</v>
      </c>
      <c r="AY758" s="906">
        <f t="shared" ca="1" si="1518"/>
        <v>510</v>
      </c>
      <c r="AZ758" s="967">
        <f t="shared" ca="1" si="1519"/>
        <v>0</v>
      </c>
      <c r="BB758" s="19">
        <f ca="1">SUM((INDIRECT(BB$2&amp;(ROW())):INDIRECT(BB$3&amp;(ROW()))))</f>
        <v>1530</v>
      </c>
      <c r="BC758" s="100">
        <f ca="1">SUM(INDIRECT(BC$1&amp;BC$2&amp;$C758):INDIRECT(BC$1&amp;BC$3&amp;$C758))</f>
        <v>0</v>
      </c>
      <c r="BD758" s="906">
        <f t="shared" ca="1" si="1520"/>
        <v>1530</v>
      </c>
      <c r="BE758" s="967">
        <f t="shared" ca="1" si="1521"/>
        <v>0</v>
      </c>
      <c r="BF758" s="100">
        <f ca="1">SUM(INDIRECT(BF$1&amp;BF$2&amp;$A758):INDIRECT(BF$1&amp;BF$3&amp;$A758))+SUM(INDIRECT(BF$1&amp;BF$2&amp;$B758):INDIRECT(BF$1&amp;BF$3&amp;$B758))</f>
        <v>60</v>
      </c>
      <c r="BG758" s="906">
        <f t="shared" ca="1" si="1522"/>
        <v>1470</v>
      </c>
      <c r="BH758" s="967">
        <f t="shared" ca="1" si="1523"/>
        <v>25.5</v>
      </c>
    </row>
    <row r="759" spans="1:60" ht="14.5">
      <c r="A759" s="990">
        <f t="shared" si="1457"/>
        <v>694</v>
      </c>
      <c r="B759" s="990">
        <v>1</v>
      </c>
      <c r="C759" s="990">
        <f t="shared" si="1428"/>
        <v>756</v>
      </c>
      <c r="E759" s="1243">
        <v>1</v>
      </c>
      <c r="G759" s="24"/>
      <c r="I759" s="98"/>
      <c r="J759" s="97"/>
      <c r="K759" s="74"/>
      <c r="L759" s="74"/>
      <c r="N759" s="9" t="s">
        <v>905</v>
      </c>
      <c r="Q759" s="1845" t="str">
        <f>CHOOSE(2, "6722000003678", "S/GP (5) Net Sales Direct IMS OSP service")</f>
        <v>S/GP (5) Net Sales Direct IMS OSP service</v>
      </c>
      <c r="R759" s="2036">
        <v>0</v>
      </c>
      <c r="S759" s="2040">
        <v>0</v>
      </c>
      <c r="T759" s="2036">
        <v>0</v>
      </c>
      <c r="U759" s="2036">
        <v>0</v>
      </c>
      <c r="V759" s="2036">
        <v>0</v>
      </c>
      <c r="W759" s="2036">
        <v>0</v>
      </c>
      <c r="X759" s="2036">
        <v>0</v>
      </c>
      <c r="Y759" s="2036">
        <v>0</v>
      </c>
      <c r="Z759" s="2036">
        <v>0</v>
      </c>
      <c r="AA759" s="2036">
        <v>0</v>
      </c>
      <c r="AB759" s="2036">
        <v>0</v>
      </c>
      <c r="AC759" s="2036">
        <v>0</v>
      </c>
      <c r="AD759" s="100">
        <f>SUM(R759,S759,T759)</f>
        <v>0</v>
      </c>
      <c r="AE759" s="19">
        <f t="shared" si="1528"/>
        <v>0</v>
      </c>
      <c r="AF759" s="19">
        <f t="shared" si="1529"/>
        <v>0</v>
      </c>
      <c r="AG759" s="19">
        <f t="shared" si="1530"/>
        <v>0</v>
      </c>
      <c r="AH759" s="19">
        <f>AD759+AE759</f>
        <v>0</v>
      </c>
      <c r="AI759" s="19">
        <f>AG759+AF759</f>
        <v>0</v>
      </c>
      <c r="AJ759" s="100">
        <f>AH759+AI759</f>
        <v>0</v>
      </c>
      <c r="AL759" s="19">
        <f ca="1">SUM((INDIRECT(AL$2&amp;(ROW())):INDIRECT(AL$3&amp;(ROW()))))</f>
        <v>0</v>
      </c>
      <c r="AM759" s="100">
        <f ca="1">SUM(INDIRECT(AM$1&amp;AM$2&amp;$C759):INDIRECT(AM$1&amp;AM$3&amp;$C759))</f>
        <v>0</v>
      </c>
      <c r="AN759" s="906">
        <f t="shared" ca="1" si="1512"/>
        <v>0</v>
      </c>
      <c r="AO759" s="967">
        <f t="shared" ca="1" si="1513"/>
        <v>0</v>
      </c>
      <c r="AP759" s="100">
        <f ca="1">SUM(INDIRECT(AP$1&amp;AP$2&amp;$A759):INDIRECT(AP$1&amp;AP$3&amp;$A759))+SUM(INDIRECT(AP$1&amp;AP$2&amp;$B759):INDIRECT(AP$1&amp;AP$3&amp;$B759))</f>
        <v>0</v>
      </c>
      <c r="AQ759" s="906">
        <f t="shared" ca="1" si="1514"/>
        <v>0</v>
      </c>
      <c r="AR759" s="967">
        <f t="shared" ca="1" si="1515"/>
        <v>0</v>
      </c>
      <c r="AT759" s="19">
        <f ca="1">SUM((INDIRECT(AT$2&amp;(ROW())):INDIRECT(AT$3&amp;(ROW()))))</f>
        <v>0</v>
      </c>
      <c r="AU759" s="100">
        <f ca="1">SUM(INDIRECT(AU$1&amp;AU$2&amp;$C759):INDIRECT(AU$1&amp;AU$3&amp;$C759))</f>
        <v>0</v>
      </c>
      <c r="AV759" s="906">
        <f t="shared" ca="1" si="1516"/>
        <v>0</v>
      </c>
      <c r="AW759" s="967">
        <f t="shared" ca="1" si="1517"/>
        <v>0</v>
      </c>
      <c r="AX759" s="100">
        <f ca="1">SUM(INDIRECT(AX$1&amp;AX$2&amp;$A759):INDIRECT(AX$1&amp;AX$3&amp;$A759))+SUM(INDIRECT(AX$1&amp;AX$2&amp;$B759):INDIRECT(AX$1&amp;AX$3&amp;$B759))</f>
        <v>0</v>
      </c>
      <c r="AY759" s="906">
        <f t="shared" ca="1" si="1518"/>
        <v>0</v>
      </c>
      <c r="AZ759" s="967">
        <f t="shared" ca="1" si="1519"/>
        <v>0</v>
      </c>
      <c r="BB759" s="19">
        <f ca="1">SUM((INDIRECT(BB$2&amp;(ROW())):INDIRECT(BB$3&amp;(ROW()))))</f>
        <v>0</v>
      </c>
      <c r="BC759" s="100">
        <f ca="1">SUM(INDIRECT(BC$1&amp;BC$2&amp;$C759):INDIRECT(BC$1&amp;BC$3&amp;$C759))</f>
        <v>0</v>
      </c>
      <c r="BD759" s="906">
        <f t="shared" ca="1" si="1520"/>
        <v>0</v>
      </c>
      <c r="BE759" s="967">
        <f t="shared" ca="1" si="1521"/>
        <v>0</v>
      </c>
      <c r="BF759" s="100">
        <f ca="1">SUM(INDIRECT(BF$1&amp;BF$2&amp;$A759):INDIRECT(BF$1&amp;BF$3&amp;$A759))+SUM(INDIRECT(BF$1&amp;BF$2&amp;$B759):INDIRECT(BF$1&amp;BF$3&amp;$B759))</f>
        <v>0</v>
      </c>
      <c r="BG759" s="906">
        <f t="shared" ca="1" si="1522"/>
        <v>0</v>
      </c>
      <c r="BH759" s="967">
        <f t="shared" ca="1" si="1523"/>
        <v>0</v>
      </c>
    </row>
    <row r="760" spans="1:60" ht="14.5">
      <c r="A760" s="990">
        <f t="shared" si="1457"/>
        <v>695</v>
      </c>
      <c r="B760" s="990">
        <v>1</v>
      </c>
      <c r="C760" s="990">
        <f t="shared" si="1428"/>
        <v>757</v>
      </c>
      <c r="E760" s="1243">
        <v>1</v>
      </c>
      <c r="G760" s="24"/>
      <c r="I760" s="98"/>
      <c r="J760" s="97"/>
      <c r="K760" s="74"/>
      <c r="L760" s="74"/>
      <c r="M760" s="12"/>
      <c r="N760" s="9" t="s">
        <v>906</v>
      </c>
      <c r="Q760" s="1845" t="str">
        <f>CHOOSE(2, "6722000003679", "S/GP (5) Net Sales Direct IMS RP service")</f>
        <v>S/GP (5) Net Sales Direct IMS RP service</v>
      </c>
      <c r="R760" s="2036">
        <v>0</v>
      </c>
      <c r="S760" s="2040">
        <v>0</v>
      </c>
      <c r="T760" s="2036">
        <v>0</v>
      </c>
      <c r="U760" s="2036">
        <v>0</v>
      </c>
      <c r="V760" s="2036">
        <v>0</v>
      </c>
      <c r="W760" s="2036">
        <v>0</v>
      </c>
      <c r="X760" s="2036">
        <v>0</v>
      </c>
      <c r="Y760" s="2036">
        <v>0</v>
      </c>
      <c r="Z760" s="2036">
        <v>0</v>
      </c>
      <c r="AA760" s="2036">
        <v>0</v>
      </c>
      <c r="AB760" s="2036">
        <v>0</v>
      </c>
      <c r="AC760" s="2036">
        <v>0</v>
      </c>
      <c r="AD760" s="100">
        <f>SUM(R760,S760,T760)</f>
        <v>0</v>
      </c>
      <c r="AE760" s="19">
        <f t="shared" si="1528"/>
        <v>0</v>
      </c>
      <c r="AF760" s="19">
        <f t="shared" si="1529"/>
        <v>0</v>
      </c>
      <c r="AG760" s="19">
        <f t="shared" si="1530"/>
        <v>0</v>
      </c>
      <c r="AH760" s="19">
        <f>AD760+AE760</f>
        <v>0</v>
      </c>
      <c r="AI760" s="19">
        <f>AG760+AF760</f>
        <v>0</v>
      </c>
      <c r="AJ760" s="100">
        <f>AH760+AI760</f>
        <v>0</v>
      </c>
      <c r="AL760" s="19">
        <f ca="1">SUM((INDIRECT(AL$2&amp;(ROW())):INDIRECT(AL$3&amp;(ROW()))))</f>
        <v>0</v>
      </c>
      <c r="AM760" s="100">
        <f ca="1">SUM(INDIRECT(AM$1&amp;AM$2&amp;$C760):INDIRECT(AM$1&amp;AM$3&amp;$C760))</f>
        <v>0</v>
      </c>
      <c r="AN760" s="906">
        <f t="shared" ca="1" si="1512"/>
        <v>0</v>
      </c>
      <c r="AO760" s="967">
        <f t="shared" ca="1" si="1513"/>
        <v>0</v>
      </c>
      <c r="AP760" s="100">
        <f ca="1">SUM(INDIRECT(AP$1&amp;AP$2&amp;$A760):INDIRECT(AP$1&amp;AP$3&amp;$A760))+SUM(INDIRECT(AP$1&amp;AP$2&amp;$B760):INDIRECT(AP$1&amp;AP$3&amp;$B760))</f>
        <v>0</v>
      </c>
      <c r="AQ760" s="906">
        <f t="shared" ca="1" si="1514"/>
        <v>0</v>
      </c>
      <c r="AR760" s="967">
        <f t="shared" ca="1" si="1515"/>
        <v>0</v>
      </c>
      <c r="AT760" s="19">
        <f ca="1">SUM((INDIRECT(AT$2&amp;(ROW())):INDIRECT(AT$3&amp;(ROW()))))</f>
        <v>0</v>
      </c>
      <c r="AU760" s="100">
        <f ca="1">SUM(INDIRECT(AU$1&amp;AU$2&amp;$C760):INDIRECT(AU$1&amp;AU$3&amp;$C760))</f>
        <v>0</v>
      </c>
      <c r="AV760" s="906">
        <f t="shared" ca="1" si="1516"/>
        <v>0</v>
      </c>
      <c r="AW760" s="967">
        <f t="shared" ca="1" si="1517"/>
        <v>0</v>
      </c>
      <c r="AX760" s="100">
        <f ca="1">SUM(INDIRECT(AX$1&amp;AX$2&amp;$A760):INDIRECT(AX$1&amp;AX$3&amp;$A760))+SUM(INDIRECT(AX$1&amp;AX$2&amp;$B760):INDIRECT(AX$1&amp;AX$3&amp;$B760))</f>
        <v>0</v>
      </c>
      <c r="AY760" s="906">
        <f t="shared" ca="1" si="1518"/>
        <v>0</v>
      </c>
      <c r="AZ760" s="967">
        <f t="shared" ca="1" si="1519"/>
        <v>0</v>
      </c>
      <c r="BB760" s="19">
        <f ca="1">SUM((INDIRECT(BB$2&amp;(ROW())):INDIRECT(BB$3&amp;(ROW()))))</f>
        <v>0</v>
      </c>
      <c r="BC760" s="100">
        <f ca="1">SUM(INDIRECT(BC$1&amp;BC$2&amp;$C760):INDIRECT(BC$1&amp;BC$3&amp;$C760))</f>
        <v>0</v>
      </c>
      <c r="BD760" s="906">
        <f t="shared" ca="1" si="1520"/>
        <v>0</v>
      </c>
      <c r="BE760" s="967">
        <f t="shared" ca="1" si="1521"/>
        <v>0</v>
      </c>
      <c r="BF760" s="100">
        <f ca="1">SUM(INDIRECT(BF$1&amp;BF$2&amp;$A760):INDIRECT(BF$1&amp;BF$3&amp;$A760))+SUM(INDIRECT(BF$1&amp;BF$2&amp;$B760):INDIRECT(BF$1&amp;BF$3&amp;$B760))</f>
        <v>0</v>
      </c>
      <c r="BG760" s="906">
        <f t="shared" ca="1" si="1522"/>
        <v>0</v>
      </c>
      <c r="BH760" s="967">
        <f t="shared" ca="1" si="1523"/>
        <v>0</v>
      </c>
    </row>
    <row r="761" spans="1:60" ht="14.5">
      <c r="A761" s="990">
        <f t="shared" si="1457"/>
        <v>696</v>
      </c>
      <c r="B761" s="990">
        <v>1</v>
      </c>
      <c r="C761" s="990">
        <f t="shared" si="1428"/>
        <v>758</v>
      </c>
      <c r="E761" s="1243">
        <v>1</v>
      </c>
      <c r="G761" s="1241"/>
      <c r="I761" s="98"/>
      <c r="J761" s="97"/>
      <c r="K761" s="74"/>
      <c r="L761" s="74"/>
      <c r="M761" s="4" t="s">
        <v>1162</v>
      </c>
      <c r="N761" s="362"/>
      <c r="O761" s="362"/>
      <c r="P761" s="362"/>
      <c r="Q761" s="1843" t="str">
        <f>CHOOSE(2, "6722000003680", "S/GP (5) Net Sales Direct ICW-IT")</f>
        <v>S/GP (5) Net Sales Direct ICW-IT</v>
      </c>
      <c r="R761" s="361">
        <f>SUM(R762:R765)</f>
        <v>0</v>
      </c>
      <c r="S761" s="2054">
        <f t="shared" ref="S761:AC761" si="1531">SUM(S762:S765)</f>
        <v>0</v>
      </c>
      <c r="T761" s="361">
        <f t="shared" si="1531"/>
        <v>0</v>
      </c>
      <c r="U761" s="361">
        <f t="shared" si="1531"/>
        <v>0</v>
      </c>
      <c r="V761" s="361">
        <f t="shared" si="1531"/>
        <v>0</v>
      </c>
      <c r="W761" s="361">
        <f t="shared" si="1531"/>
        <v>0</v>
      </c>
      <c r="X761" s="361">
        <f t="shared" si="1531"/>
        <v>0</v>
      </c>
      <c r="Y761" s="361">
        <f t="shared" si="1531"/>
        <v>0</v>
      </c>
      <c r="Z761" s="361">
        <f t="shared" si="1531"/>
        <v>0</v>
      </c>
      <c r="AA761" s="361">
        <f t="shared" si="1531"/>
        <v>0</v>
      </c>
      <c r="AB761" s="361">
        <f t="shared" si="1531"/>
        <v>0</v>
      </c>
      <c r="AC761" s="361">
        <f t="shared" si="1531"/>
        <v>0</v>
      </c>
      <c r="AD761" s="375">
        <f t="shared" ref="AD761:AJ761" si="1532">SUM(AD762:AD765)</f>
        <v>0</v>
      </c>
      <c r="AE761" s="361">
        <f t="shared" si="1532"/>
        <v>0</v>
      </c>
      <c r="AF761" s="361">
        <f t="shared" si="1532"/>
        <v>0</v>
      </c>
      <c r="AG761" s="361">
        <f t="shared" si="1532"/>
        <v>0</v>
      </c>
      <c r="AH761" s="361">
        <f t="shared" si="1532"/>
        <v>0</v>
      </c>
      <c r="AI761" s="361">
        <f t="shared" si="1532"/>
        <v>0</v>
      </c>
      <c r="AJ761" s="375">
        <f t="shared" si="1532"/>
        <v>0</v>
      </c>
      <c r="AL761" s="361">
        <f ca="1">SUM((INDIRECT(AL$2&amp;(ROW())):INDIRECT(AL$3&amp;(ROW()))))</f>
        <v>0</v>
      </c>
      <c r="AM761" s="375">
        <f ca="1">SUM(INDIRECT(AM$1&amp;AM$2&amp;$C761):INDIRECT(AM$1&amp;AM$3&amp;$C761))</f>
        <v>0</v>
      </c>
      <c r="AN761" s="910">
        <f t="shared" ca="1" si="1512"/>
        <v>0</v>
      </c>
      <c r="AO761" s="971">
        <f t="shared" ca="1" si="1513"/>
        <v>0</v>
      </c>
      <c r="AP761" s="375">
        <f ca="1">SUM(INDIRECT(AP$1&amp;AP$2&amp;$A761):INDIRECT(AP$1&amp;AP$3&amp;$A761))+SUM(INDIRECT(AP$1&amp;AP$2&amp;$B761):INDIRECT(AP$1&amp;AP$3&amp;$B761))</f>
        <v>0</v>
      </c>
      <c r="AQ761" s="910">
        <f t="shared" ca="1" si="1514"/>
        <v>0</v>
      </c>
      <c r="AR761" s="971">
        <f t="shared" ca="1" si="1515"/>
        <v>0</v>
      </c>
      <c r="AT761" s="361">
        <f ca="1">SUM((INDIRECT(AT$2&amp;(ROW())):INDIRECT(AT$3&amp;(ROW()))))</f>
        <v>0</v>
      </c>
      <c r="AU761" s="375">
        <f ca="1">SUM(INDIRECT(AU$1&amp;AU$2&amp;$C761):INDIRECT(AU$1&amp;AU$3&amp;$C761))</f>
        <v>0</v>
      </c>
      <c r="AV761" s="910">
        <f t="shared" ca="1" si="1516"/>
        <v>0</v>
      </c>
      <c r="AW761" s="971">
        <f t="shared" ca="1" si="1517"/>
        <v>0</v>
      </c>
      <c r="AX761" s="375">
        <f ca="1">SUM(INDIRECT(AX$1&amp;AX$2&amp;$A761):INDIRECT(AX$1&amp;AX$3&amp;$A761))+SUM(INDIRECT(AX$1&amp;AX$2&amp;$B761):INDIRECT(AX$1&amp;AX$3&amp;$B761))</f>
        <v>0</v>
      </c>
      <c r="AY761" s="910">
        <f t="shared" ca="1" si="1518"/>
        <v>0</v>
      </c>
      <c r="AZ761" s="971">
        <f t="shared" ca="1" si="1519"/>
        <v>0</v>
      </c>
      <c r="BB761" s="361">
        <f ca="1">SUM((INDIRECT(BB$2&amp;(ROW())):INDIRECT(BB$3&amp;(ROW()))))</f>
        <v>0</v>
      </c>
      <c r="BC761" s="375">
        <f ca="1">SUM(INDIRECT(BC$1&amp;BC$2&amp;$C761):INDIRECT(BC$1&amp;BC$3&amp;$C761))</f>
        <v>0</v>
      </c>
      <c r="BD761" s="910">
        <f t="shared" ca="1" si="1520"/>
        <v>0</v>
      </c>
      <c r="BE761" s="971">
        <f t="shared" ca="1" si="1521"/>
        <v>0</v>
      </c>
      <c r="BF761" s="375">
        <f ca="1">SUM(INDIRECT(BF$1&amp;BF$2&amp;$A761):INDIRECT(BF$1&amp;BF$3&amp;$A761))+SUM(INDIRECT(BF$1&amp;BF$2&amp;$B761):INDIRECT(BF$1&amp;BF$3&amp;$B761))</f>
        <v>0</v>
      </c>
      <c r="BG761" s="910">
        <f t="shared" ca="1" si="1522"/>
        <v>0</v>
      </c>
      <c r="BH761" s="971">
        <f t="shared" ca="1" si="1523"/>
        <v>0</v>
      </c>
    </row>
    <row r="762" spans="1:60" ht="14.5">
      <c r="A762" s="990">
        <f t="shared" si="1457"/>
        <v>697</v>
      </c>
      <c r="B762" s="990">
        <v>1</v>
      </c>
      <c r="C762" s="990">
        <f t="shared" si="1428"/>
        <v>759</v>
      </c>
      <c r="E762" s="1243">
        <v>1</v>
      </c>
      <c r="G762" s="1241"/>
      <c r="I762" s="98"/>
      <c r="J762" s="97"/>
      <c r="K762" s="74"/>
      <c r="L762" s="74"/>
      <c r="N762" s="111" t="s">
        <v>903</v>
      </c>
      <c r="O762" s="111"/>
      <c r="P762" s="111"/>
      <c r="Q762" s="1845" t="str">
        <f>CHOOSE(2, "6722000003681", "S/GP (5) Net Sales Direct ICW-IT OSP")</f>
        <v>S/GP (5) Net Sales Direct ICW-IT OSP</v>
      </c>
      <c r="R762" s="2042">
        <v>0</v>
      </c>
      <c r="S762" s="2055">
        <v>0</v>
      </c>
      <c r="T762" s="2042">
        <v>0</v>
      </c>
      <c r="U762" s="2042">
        <v>0</v>
      </c>
      <c r="V762" s="2042">
        <v>0</v>
      </c>
      <c r="W762" s="2042">
        <v>0</v>
      </c>
      <c r="X762" s="2042">
        <v>0</v>
      </c>
      <c r="Y762" s="2042">
        <v>0</v>
      </c>
      <c r="Z762" s="2042">
        <v>0</v>
      </c>
      <c r="AA762" s="2042">
        <v>0</v>
      </c>
      <c r="AB762" s="2042">
        <v>0</v>
      </c>
      <c r="AC762" s="2042">
        <v>0</v>
      </c>
      <c r="AD762" s="376">
        <f>SUM(R762,S762,T762)</f>
        <v>0</v>
      </c>
      <c r="AE762" s="109">
        <f t="shared" ref="AE762:AE765" si="1533">SUM(U762,V762,W762)</f>
        <v>0</v>
      </c>
      <c r="AF762" s="109">
        <f t="shared" ref="AF762:AF765" si="1534">SUM(X762,Y762,Z762)</f>
        <v>0</v>
      </c>
      <c r="AG762" s="109">
        <f t="shared" ref="AG762:AG765" si="1535">SUM(AA762,AB762,AC762)</f>
        <v>0</v>
      </c>
      <c r="AH762" s="109">
        <f>AD762+AE762</f>
        <v>0</v>
      </c>
      <c r="AI762" s="109">
        <f>AG762+AF762</f>
        <v>0</v>
      </c>
      <c r="AJ762" s="376">
        <f>AH762+AI762</f>
        <v>0</v>
      </c>
      <c r="AL762" s="109">
        <f ca="1">SUM((INDIRECT(AL$2&amp;(ROW())):INDIRECT(AL$3&amp;(ROW()))))</f>
        <v>0</v>
      </c>
      <c r="AM762" s="376">
        <f ca="1">SUM(INDIRECT(AM$1&amp;AM$2&amp;$C762):INDIRECT(AM$1&amp;AM$3&amp;$C762))</f>
        <v>0</v>
      </c>
      <c r="AN762" s="904">
        <f t="shared" ca="1" si="1512"/>
        <v>0</v>
      </c>
      <c r="AO762" s="965">
        <f t="shared" ca="1" si="1513"/>
        <v>0</v>
      </c>
      <c r="AP762" s="376">
        <f ca="1">SUM(INDIRECT(AP$1&amp;AP$2&amp;$A762):INDIRECT(AP$1&amp;AP$3&amp;$A762))+SUM(INDIRECT(AP$1&amp;AP$2&amp;$B762):INDIRECT(AP$1&amp;AP$3&amp;$B762))</f>
        <v>0</v>
      </c>
      <c r="AQ762" s="904">
        <f t="shared" ca="1" si="1514"/>
        <v>0</v>
      </c>
      <c r="AR762" s="965">
        <f t="shared" ca="1" si="1515"/>
        <v>0</v>
      </c>
      <c r="AT762" s="109">
        <f ca="1">SUM((INDIRECT(AT$2&amp;(ROW())):INDIRECT(AT$3&amp;(ROW()))))</f>
        <v>0</v>
      </c>
      <c r="AU762" s="376">
        <f ca="1">SUM(INDIRECT(AU$1&amp;AU$2&amp;$C762):INDIRECT(AU$1&amp;AU$3&amp;$C762))</f>
        <v>0</v>
      </c>
      <c r="AV762" s="904">
        <f t="shared" ca="1" si="1516"/>
        <v>0</v>
      </c>
      <c r="AW762" s="965">
        <f t="shared" ca="1" si="1517"/>
        <v>0</v>
      </c>
      <c r="AX762" s="376">
        <f ca="1">SUM(INDIRECT(AX$1&amp;AX$2&amp;$A762):INDIRECT(AX$1&amp;AX$3&amp;$A762))+SUM(INDIRECT(AX$1&amp;AX$2&amp;$B762):INDIRECT(AX$1&amp;AX$3&amp;$B762))</f>
        <v>0</v>
      </c>
      <c r="AY762" s="904">
        <f t="shared" ca="1" si="1518"/>
        <v>0</v>
      </c>
      <c r="AZ762" s="965">
        <f t="shared" ca="1" si="1519"/>
        <v>0</v>
      </c>
      <c r="BB762" s="109">
        <f ca="1">SUM((INDIRECT(BB$2&amp;(ROW())):INDIRECT(BB$3&amp;(ROW()))))</f>
        <v>0</v>
      </c>
      <c r="BC762" s="376">
        <f ca="1">SUM(INDIRECT(BC$1&amp;BC$2&amp;$C762):INDIRECT(BC$1&amp;BC$3&amp;$C762))</f>
        <v>0</v>
      </c>
      <c r="BD762" s="904">
        <f t="shared" ca="1" si="1520"/>
        <v>0</v>
      </c>
      <c r="BE762" s="965">
        <f t="shared" ca="1" si="1521"/>
        <v>0</v>
      </c>
      <c r="BF762" s="376">
        <f ca="1">SUM(INDIRECT(BF$1&amp;BF$2&amp;$A762):INDIRECT(BF$1&amp;BF$3&amp;$A762))+SUM(INDIRECT(BF$1&amp;BF$2&amp;$B762):INDIRECT(BF$1&amp;BF$3&amp;$B762))</f>
        <v>0</v>
      </c>
      <c r="BG762" s="904">
        <f t="shared" ca="1" si="1522"/>
        <v>0</v>
      </c>
      <c r="BH762" s="965">
        <f t="shared" ca="1" si="1523"/>
        <v>0</v>
      </c>
    </row>
    <row r="763" spans="1:60" ht="14.5">
      <c r="A763" s="990">
        <f t="shared" si="1457"/>
        <v>698</v>
      </c>
      <c r="B763" s="990">
        <v>1</v>
      </c>
      <c r="C763" s="990">
        <f t="shared" si="1428"/>
        <v>760</v>
      </c>
      <c r="E763" s="1243">
        <v>1</v>
      </c>
      <c r="G763" s="1241"/>
      <c r="I763" s="98"/>
      <c r="J763" s="97"/>
      <c r="K763" s="74"/>
      <c r="L763" s="74"/>
      <c r="N763" s="9" t="s">
        <v>904</v>
      </c>
      <c r="Q763" s="1845" t="str">
        <f>CHOOSE(2, "6722000003682", "S/GP (5) Net Sales Direct ICW-IT RP")</f>
        <v>S/GP (5) Net Sales Direct ICW-IT RP</v>
      </c>
      <c r="R763" s="2036">
        <v>0</v>
      </c>
      <c r="S763" s="2040">
        <v>0</v>
      </c>
      <c r="T763" s="2036">
        <v>0</v>
      </c>
      <c r="U763" s="2036">
        <v>0</v>
      </c>
      <c r="V763" s="2036">
        <v>0</v>
      </c>
      <c r="W763" s="2036">
        <v>0</v>
      </c>
      <c r="X763" s="2036">
        <v>0</v>
      </c>
      <c r="Y763" s="2036">
        <v>0</v>
      </c>
      <c r="Z763" s="2036">
        <v>0</v>
      </c>
      <c r="AA763" s="2036">
        <v>0</v>
      </c>
      <c r="AB763" s="2036">
        <v>0</v>
      </c>
      <c r="AC763" s="2036">
        <v>0</v>
      </c>
      <c r="AD763" s="100">
        <f>SUM(R763,S763,T763)</f>
        <v>0</v>
      </c>
      <c r="AE763" s="19">
        <f t="shared" si="1533"/>
        <v>0</v>
      </c>
      <c r="AF763" s="19">
        <f t="shared" si="1534"/>
        <v>0</v>
      </c>
      <c r="AG763" s="19">
        <f t="shared" si="1535"/>
        <v>0</v>
      </c>
      <c r="AH763" s="19">
        <f>AD763+AE763</f>
        <v>0</v>
      </c>
      <c r="AI763" s="19">
        <f>AG763+AF763</f>
        <v>0</v>
      </c>
      <c r="AJ763" s="100">
        <f>AH763+AI763</f>
        <v>0</v>
      </c>
      <c r="AL763" s="19">
        <f ca="1">SUM((INDIRECT(AL$2&amp;(ROW())):INDIRECT(AL$3&amp;(ROW()))))</f>
        <v>0</v>
      </c>
      <c r="AM763" s="100">
        <f ca="1">SUM(INDIRECT(AM$1&amp;AM$2&amp;$C763):INDIRECT(AM$1&amp;AM$3&amp;$C763))</f>
        <v>0</v>
      </c>
      <c r="AN763" s="906">
        <f t="shared" ca="1" si="1512"/>
        <v>0</v>
      </c>
      <c r="AO763" s="967">
        <f t="shared" ca="1" si="1513"/>
        <v>0</v>
      </c>
      <c r="AP763" s="100">
        <f ca="1">SUM(INDIRECT(AP$1&amp;AP$2&amp;$A763):INDIRECT(AP$1&amp;AP$3&amp;$A763))+SUM(INDIRECT(AP$1&amp;AP$2&amp;$B763):INDIRECT(AP$1&amp;AP$3&amp;$B763))</f>
        <v>0</v>
      </c>
      <c r="AQ763" s="906">
        <f t="shared" ca="1" si="1514"/>
        <v>0</v>
      </c>
      <c r="AR763" s="967">
        <f t="shared" ca="1" si="1515"/>
        <v>0</v>
      </c>
      <c r="AT763" s="19">
        <f ca="1">SUM((INDIRECT(AT$2&amp;(ROW())):INDIRECT(AT$3&amp;(ROW()))))</f>
        <v>0</v>
      </c>
      <c r="AU763" s="100">
        <f ca="1">SUM(INDIRECT(AU$1&amp;AU$2&amp;$C763):INDIRECT(AU$1&amp;AU$3&amp;$C763))</f>
        <v>0</v>
      </c>
      <c r="AV763" s="906">
        <f t="shared" ca="1" si="1516"/>
        <v>0</v>
      </c>
      <c r="AW763" s="967">
        <f t="shared" ca="1" si="1517"/>
        <v>0</v>
      </c>
      <c r="AX763" s="100">
        <f ca="1">SUM(INDIRECT(AX$1&amp;AX$2&amp;$A763):INDIRECT(AX$1&amp;AX$3&amp;$A763))+SUM(INDIRECT(AX$1&amp;AX$2&amp;$B763):INDIRECT(AX$1&amp;AX$3&amp;$B763))</f>
        <v>0</v>
      </c>
      <c r="AY763" s="906">
        <f t="shared" ca="1" si="1518"/>
        <v>0</v>
      </c>
      <c r="AZ763" s="967">
        <f t="shared" ca="1" si="1519"/>
        <v>0</v>
      </c>
      <c r="BB763" s="19">
        <f ca="1">SUM((INDIRECT(BB$2&amp;(ROW())):INDIRECT(BB$3&amp;(ROW()))))</f>
        <v>0</v>
      </c>
      <c r="BC763" s="100">
        <f ca="1">SUM(INDIRECT(BC$1&amp;BC$2&amp;$C763):INDIRECT(BC$1&amp;BC$3&amp;$C763))</f>
        <v>0</v>
      </c>
      <c r="BD763" s="906">
        <f t="shared" ca="1" si="1520"/>
        <v>0</v>
      </c>
      <c r="BE763" s="967">
        <f t="shared" ca="1" si="1521"/>
        <v>0</v>
      </c>
      <c r="BF763" s="100">
        <f ca="1">SUM(INDIRECT(BF$1&amp;BF$2&amp;$A763):INDIRECT(BF$1&amp;BF$3&amp;$A763))+SUM(INDIRECT(BF$1&amp;BF$2&amp;$B763):INDIRECT(BF$1&amp;BF$3&amp;$B763))</f>
        <v>0</v>
      </c>
      <c r="BG763" s="906">
        <f t="shared" ca="1" si="1522"/>
        <v>0</v>
      </c>
      <c r="BH763" s="967">
        <f t="shared" ca="1" si="1523"/>
        <v>0</v>
      </c>
    </row>
    <row r="764" spans="1:60" ht="14.5">
      <c r="A764" s="990">
        <f t="shared" si="1457"/>
        <v>699</v>
      </c>
      <c r="B764" s="990">
        <v>1</v>
      </c>
      <c r="C764" s="990">
        <f t="shared" si="1428"/>
        <v>761</v>
      </c>
      <c r="E764" s="1243">
        <v>1</v>
      </c>
      <c r="G764" s="1241"/>
      <c r="I764" s="98"/>
      <c r="J764" s="97"/>
      <c r="K764" s="74"/>
      <c r="L764" s="74"/>
      <c r="N764" s="9" t="s">
        <v>905</v>
      </c>
      <c r="Q764" s="1845" t="str">
        <f>CHOOSE(2, "6722000003683", "S/GP (5) Net Sales Direct ICW-IT OSP service")</f>
        <v>S/GP (5) Net Sales Direct ICW-IT OSP service</v>
      </c>
      <c r="R764" s="2036">
        <v>0</v>
      </c>
      <c r="S764" s="2040">
        <v>0</v>
      </c>
      <c r="T764" s="2036">
        <v>0</v>
      </c>
      <c r="U764" s="2036">
        <v>0</v>
      </c>
      <c r="V764" s="2036">
        <v>0</v>
      </c>
      <c r="W764" s="2036">
        <v>0</v>
      </c>
      <c r="X764" s="2036">
        <v>0</v>
      </c>
      <c r="Y764" s="2036">
        <v>0</v>
      </c>
      <c r="Z764" s="2036">
        <v>0</v>
      </c>
      <c r="AA764" s="2036">
        <v>0</v>
      </c>
      <c r="AB764" s="2036">
        <v>0</v>
      </c>
      <c r="AC764" s="2036">
        <v>0</v>
      </c>
      <c r="AD764" s="100">
        <f>SUM(R764,S764,T764)</f>
        <v>0</v>
      </c>
      <c r="AE764" s="19">
        <f t="shared" si="1533"/>
        <v>0</v>
      </c>
      <c r="AF764" s="19">
        <f t="shared" si="1534"/>
        <v>0</v>
      </c>
      <c r="AG764" s="19">
        <f t="shared" si="1535"/>
        <v>0</v>
      </c>
      <c r="AH764" s="19">
        <f>AD764+AE764</f>
        <v>0</v>
      </c>
      <c r="AI764" s="19">
        <f>AG764+AF764</f>
        <v>0</v>
      </c>
      <c r="AJ764" s="100">
        <f>AH764+AI764</f>
        <v>0</v>
      </c>
      <c r="AL764" s="19">
        <f ca="1">SUM((INDIRECT(AL$2&amp;(ROW())):INDIRECT(AL$3&amp;(ROW()))))</f>
        <v>0</v>
      </c>
      <c r="AM764" s="100">
        <f ca="1">SUM(INDIRECT(AM$1&amp;AM$2&amp;$C764):INDIRECT(AM$1&amp;AM$3&amp;$C764))</f>
        <v>0</v>
      </c>
      <c r="AN764" s="906">
        <f t="shared" ca="1" si="1512"/>
        <v>0</v>
      </c>
      <c r="AO764" s="967">
        <f t="shared" ca="1" si="1513"/>
        <v>0</v>
      </c>
      <c r="AP764" s="1380">
        <f ca="1">SUM(INDIRECT(AP$1&amp;AP$2&amp;$A764):INDIRECT(AP$1&amp;AP$3&amp;$A764))+SUM(INDIRECT(AP$1&amp;AP$2&amp;$B764):INDIRECT(AP$1&amp;AP$3&amp;$B764))</f>
        <v>0</v>
      </c>
      <c r="AQ764" s="1381">
        <f t="shared" ca="1" si="1514"/>
        <v>0</v>
      </c>
      <c r="AR764" s="1382">
        <f t="shared" ca="1" si="1515"/>
        <v>0</v>
      </c>
      <c r="AS764" s="75"/>
      <c r="AT764" s="107">
        <f ca="1">SUM((INDIRECT(AT$2&amp;(ROW())):INDIRECT(AT$3&amp;(ROW()))))</f>
        <v>0</v>
      </c>
      <c r="AU764" s="1380">
        <f ca="1">SUM(INDIRECT(AU$1&amp;AU$2&amp;$C764):INDIRECT(AU$1&amp;AU$3&amp;$C764))</f>
        <v>0</v>
      </c>
      <c r="AV764" s="1381">
        <f t="shared" ca="1" si="1516"/>
        <v>0</v>
      </c>
      <c r="AW764" s="1382">
        <f t="shared" ca="1" si="1517"/>
        <v>0</v>
      </c>
      <c r="AX764" s="1380">
        <f ca="1">SUM(INDIRECT(AX$1&amp;AX$2&amp;$A764):INDIRECT(AX$1&amp;AX$3&amp;$A764))+SUM(INDIRECT(AX$1&amp;AX$2&amp;$B764):INDIRECT(AX$1&amp;AX$3&amp;$B764))</f>
        <v>0</v>
      </c>
      <c r="AY764" s="1381">
        <f t="shared" ca="1" si="1518"/>
        <v>0</v>
      </c>
      <c r="AZ764" s="1382">
        <f t="shared" ca="1" si="1519"/>
        <v>0</v>
      </c>
      <c r="BA764" s="75"/>
      <c r="BB764" s="107">
        <f ca="1">SUM((INDIRECT(BB$2&amp;(ROW())):INDIRECT(BB$3&amp;(ROW()))))</f>
        <v>0</v>
      </c>
      <c r="BC764" s="1380">
        <f ca="1">SUM(INDIRECT(BC$1&amp;BC$2&amp;$C764):INDIRECT(BC$1&amp;BC$3&amp;$C764))</f>
        <v>0</v>
      </c>
      <c r="BD764" s="1381">
        <f t="shared" ca="1" si="1520"/>
        <v>0</v>
      </c>
      <c r="BE764" s="1382">
        <f t="shared" ca="1" si="1521"/>
        <v>0</v>
      </c>
      <c r="BF764" s="1380">
        <f ca="1">SUM(INDIRECT(BF$1&amp;BF$2&amp;$A764):INDIRECT(BF$1&amp;BF$3&amp;$A764))+SUM(INDIRECT(BF$1&amp;BF$2&amp;$B764):INDIRECT(BF$1&amp;BF$3&amp;$B764))</f>
        <v>0</v>
      </c>
      <c r="BG764" s="1381">
        <f t="shared" ca="1" si="1522"/>
        <v>0</v>
      </c>
      <c r="BH764" s="1382">
        <f t="shared" ca="1" si="1523"/>
        <v>0</v>
      </c>
    </row>
    <row r="765" spans="1:60" ht="14.5">
      <c r="A765" s="990">
        <f t="shared" si="1457"/>
        <v>700</v>
      </c>
      <c r="B765" s="990">
        <v>1</v>
      </c>
      <c r="C765" s="990">
        <f t="shared" si="1428"/>
        <v>762</v>
      </c>
      <c r="E765" s="1243">
        <v>1</v>
      </c>
      <c r="G765" s="1241"/>
      <c r="I765" s="98"/>
      <c r="J765" s="97"/>
      <c r="K765" s="74"/>
      <c r="L765" s="74"/>
      <c r="N765" s="9" t="s">
        <v>906</v>
      </c>
      <c r="Q765" s="1845" t="str">
        <f>CHOOSE(2, "6722000003684", "S/GP (5) Net Sales Direct ICW-IT RP service")</f>
        <v>S/GP (5) Net Sales Direct ICW-IT RP service</v>
      </c>
      <c r="R765" s="2036">
        <v>0</v>
      </c>
      <c r="S765" s="2040">
        <v>0</v>
      </c>
      <c r="T765" s="2036">
        <v>0</v>
      </c>
      <c r="U765" s="2036">
        <v>0</v>
      </c>
      <c r="V765" s="2036">
        <v>0</v>
      </c>
      <c r="W765" s="2036">
        <v>0</v>
      </c>
      <c r="X765" s="2036">
        <v>0</v>
      </c>
      <c r="Y765" s="2036">
        <v>0</v>
      </c>
      <c r="Z765" s="2036">
        <v>0</v>
      </c>
      <c r="AA765" s="2036">
        <v>0</v>
      </c>
      <c r="AB765" s="2036">
        <v>0</v>
      </c>
      <c r="AC765" s="2036">
        <v>0</v>
      </c>
      <c r="AD765" s="100">
        <f>SUM(R765,S765,T765)</f>
        <v>0</v>
      </c>
      <c r="AE765" s="19">
        <f t="shared" si="1533"/>
        <v>0</v>
      </c>
      <c r="AF765" s="19">
        <f t="shared" si="1534"/>
        <v>0</v>
      </c>
      <c r="AG765" s="19">
        <f t="shared" si="1535"/>
        <v>0</v>
      </c>
      <c r="AH765" s="19">
        <f>AD765+AE765</f>
        <v>0</v>
      </c>
      <c r="AI765" s="19">
        <f>AG765+AF765</f>
        <v>0</v>
      </c>
      <c r="AJ765" s="100">
        <f>AH765+AI765</f>
        <v>0</v>
      </c>
      <c r="AL765" s="19">
        <f ca="1">SUM((INDIRECT(AL$2&amp;(ROW())):INDIRECT(AL$3&amp;(ROW()))))</f>
        <v>0</v>
      </c>
      <c r="AM765" s="100">
        <f ca="1">SUM(INDIRECT(AM$1&amp;AM$2&amp;$C765):INDIRECT(AM$1&amp;AM$3&amp;$C765))</f>
        <v>0</v>
      </c>
      <c r="AN765" s="906">
        <f t="shared" ca="1" si="1512"/>
        <v>0</v>
      </c>
      <c r="AO765" s="967">
        <f t="shared" ca="1" si="1513"/>
        <v>0</v>
      </c>
      <c r="AP765" s="1380">
        <f ca="1">SUM(INDIRECT(AP$1&amp;AP$2&amp;$A765):INDIRECT(AP$1&amp;AP$3&amp;$A765))+SUM(INDIRECT(AP$1&amp;AP$2&amp;$B765):INDIRECT(AP$1&amp;AP$3&amp;$B765))</f>
        <v>0</v>
      </c>
      <c r="AQ765" s="1381">
        <f t="shared" ca="1" si="1514"/>
        <v>0</v>
      </c>
      <c r="AR765" s="1382">
        <f t="shared" ca="1" si="1515"/>
        <v>0</v>
      </c>
      <c r="AS765" s="75"/>
      <c r="AT765" s="107">
        <f ca="1">SUM((INDIRECT(AT$2&amp;(ROW())):INDIRECT(AT$3&amp;(ROW()))))</f>
        <v>0</v>
      </c>
      <c r="AU765" s="1380">
        <f ca="1">SUM(INDIRECT(AU$1&amp;AU$2&amp;$C765):INDIRECT(AU$1&amp;AU$3&amp;$C765))</f>
        <v>0</v>
      </c>
      <c r="AV765" s="1381">
        <f t="shared" ca="1" si="1516"/>
        <v>0</v>
      </c>
      <c r="AW765" s="1382">
        <f t="shared" ca="1" si="1517"/>
        <v>0</v>
      </c>
      <c r="AX765" s="1380">
        <f ca="1">SUM(INDIRECT(AX$1&amp;AX$2&amp;$A765):INDIRECT(AX$1&amp;AX$3&amp;$A765))+SUM(INDIRECT(AX$1&amp;AX$2&amp;$B765):INDIRECT(AX$1&amp;AX$3&amp;$B765))</f>
        <v>0</v>
      </c>
      <c r="AY765" s="1381">
        <f t="shared" ca="1" si="1518"/>
        <v>0</v>
      </c>
      <c r="AZ765" s="1382">
        <f t="shared" ca="1" si="1519"/>
        <v>0</v>
      </c>
      <c r="BA765" s="75"/>
      <c r="BB765" s="107">
        <f ca="1">SUM((INDIRECT(BB$2&amp;(ROW())):INDIRECT(BB$3&amp;(ROW()))))</f>
        <v>0</v>
      </c>
      <c r="BC765" s="1380">
        <f ca="1">SUM(INDIRECT(BC$1&amp;BC$2&amp;$C765):INDIRECT(BC$1&amp;BC$3&amp;$C765))</f>
        <v>0</v>
      </c>
      <c r="BD765" s="1381">
        <f t="shared" ca="1" si="1520"/>
        <v>0</v>
      </c>
      <c r="BE765" s="1382">
        <f t="shared" ca="1" si="1521"/>
        <v>0</v>
      </c>
      <c r="BF765" s="1380">
        <f ca="1">SUM(INDIRECT(BF$1&amp;BF$2&amp;$A765):INDIRECT(BF$1&amp;BF$3&amp;$A765))+SUM(INDIRECT(BF$1&amp;BF$2&amp;$B765):INDIRECT(BF$1&amp;BF$3&amp;$B765))</f>
        <v>0</v>
      </c>
      <c r="BG765" s="1381">
        <f t="shared" ca="1" si="1522"/>
        <v>0</v>
      </c>
      <c r="BH765" s="1382">
        <f t="shared" ca="1" si="1523"/>
        <v>0</v>
      </c>
    </row>
    <row r="766" spans="1:60" ht="14.5">
      <c r="A766" s="990">
        <f t="shared" si="1457"/>
        <v>701</v>
      </c>
      <c r="B766" s="990">
        <v>1</v>
      </c>
      <c r="C766" s="990">
        <f t="shared" si="1428"/>
        <v>763</v>
      </c>
      <c r="E766" s="1243">
        <v>1</v>
      </c>
      <c r="G766" s="24"/>
      <c r="I766" s="98"/>
      <c r="J766" s="97"/>
      <c r="K766" s="74"/>
      <c r="L766" s="74"/>
      <c r="M766" s="71" t="s">
        <v>780</v>
      </c>
      <c r="N766" s="362"/>
      <c r="O766" s="362"/>
      <c r="P766" s="362"/>
      <c r="Q766" s="1843" t="str">
        <f>CHOOSE(2, "6722000003685", "S/GP (5) Net Sales Direct MCS")</f>
        <v>S/GP (5) Net Sales Direct MCS</v>
      </c>
      <c r="R766" s="361">
        <f>SUM(R767:R770)</f>
        <v>360</v>
      </c>
      <c r="S766" s="2054">
        <f t="shared" ref="S766:AC766" si="1536">SUM(S767:S770)</f>
        <v>263</v>
      </c>
      <c r="T766" s="361">
        <f t="shared" si="1536"/>
        <v>439</v>
      </c>
      <c r="U766" s="361">
        <f t="shared" si="1536"/>
        <v>412</v>
      </c>
      <c r="V766" s="361">
        <f t="shared" si="1536"/>
        <v>3555</v>
      </c>
      <c r="W766" s="361">
        <f t="shared" si="1536"/>
        <v>44</v>
      </c>
      <c r="X766" s="361">
        <f t="shared" si="1536"/>
        <v>198</v>
      </c>
      <c r="Y766" s="361">
        <f t="shared" si="1536"/>
        <v>500</v>
      </c>
      <c r="Z766" s="361">
        <f t="shared" si="1536"/>
        <v>0</v>
      </c>
      <c r="AA766" s="361">
        <f t="shared" si="1536"/>
        <v>44</v>
      </c>
      <c r="AB766" s="361">
        <f t="shared" si="1536"/>
        <v>843</v>
      </c>
      <c r="AC766" s="361">
        <f t="shared" si="1536"/>
        <v>281</v>
      </c>
      <c r="AD766" s="375">
        <f t="shared" ref="AD766:AJ766" si="1537">SUM(AD767:AD770)</f>
        <v>1062</v>
      </c>
      <c r="AE766" s="361">
        <f t="shared" si="1537"/>
        <v>4011</v>
      </c>
      <c r="AF766" s="361">
        <f t="shared" si="1537"/>
        <v>698</v>
      </c>
      <c r="AG766" s="361">
        <f t="shared" si="1537"/>
        <v>1168</v>
      </c>
      <c r="AH766" s="361">
        <f t="shared" si="1537"/>
        <v>5073</v>
      </c>
      <c r="AI766" s="361">
        <f t="shared" si="1537"/>
        <v>1866</v>
      </c>
      <c r="AJ766" s="375">
        <f t="shared" si="1537"/>
        <v>6939</v>
      </c>
      <c r="AL766" s="361">
        <f ca="1">SUM((INDIRECT(AL$2&amp;(ROW())):INDIRECT(AL$3&amp;(ROW()))))</f>
        <v>281</v>
      </c>
      <c r="AM766" s="375">
        <f ca="1">SUM(INDIRECT(AM$1&amp;AM$2&amp;$C766):INDIRECT(AM$1&amp;AM$3&amp;$C766))</f>
        <v>0</v>
      </c>
      <c r="AN766" s="910">
        <f t="shared" ca="1" si="1512"/>
        <v>281</v>
      </c>
      <c r="AO766" s="971">
        <f t="shared" ca="1" si="1513"/>
        <v>0</v>
      </c>
      <c r="AP766" s="375">
        <f ca="1">SUM(INDIRECT(AP$1&amp;AP$2&amp;$A766):INDIRECT(AP$1&amp;AP$3&amp;$A766))+SUM(INDIRECT(AP$1&amp;AP$2&amp;$B766):INDIRECT(AP$1&amp;AP$3&amp;$B766))</f>
        <v>62</v>
      </c>
      <c r="AQ766" s="910">
        <f t="shared" ca="1" si="1514"/>
        <v>219</v>
      </c>
      <c r="AR766" s="971">
        <f t="shared" ca="1" si="1515"/>
        <v>4.532258064516129</v>
      </c>
      <c r="AT766" s="361">
        <f ca="1">SUM((INDIRECT(AT$2&amp;(ROW())):INDIRECT(AT$3&amp;(ROW()))))</f>
        <v>1168</v>
      </c>
      <c r="AU766" s="375">
        <f ca="1">SUM(INDIRECT(AU$1&amp;AU$2&amp;$C766):INDIRECT(AU$1&amp;AU$3&amp;$C766))</f>
        <v>0</v>
      </c>
      <c r="AV766" s="910">
        <f t="shared" ca="1" si="1516"/>
        <v>1168</v>
      </c>
      <c r="AW766" s="971">
        <f t="shared" ca="1" si="1517"/>
        <v>0</v>
      </c>
      <c r="AX766" s="375">
        <f ca="1">SUM(INDIRECT(AX$1&amp;AX$2&amp;$A766):INDIRECT(AX$1&amp;AX$3&amp;$A766))+SUM(INDIRECT(AX$1&amp;AX$2&amp;$B766):INDIRECT(AX$1&amp;AX$3&amp;$B766))</f>
        <v>400</v>
      </c>
      <c r="AY766" s="910">
        <f t="shared" ca="1" si="1518"/>
        <v>768</v>
      </c>
      <c r="AZ766" s="971">
        <f t="shared" ca="1" si="1519"/>
        <v>2.92</v>
      </c>
      <c r="BB766" s="361">
        <f ca="1">SUM((INDIRECT(BB$2&amp;(ROW())):INDIRECT(BB$3&amp;(ROW()))))</f>
        <v>6939</v>
      </c>
      <c r="BC766" s="375">
        <f ca="1">SUM(INDIRECT(BC$1&amp;BC$2&amp;$C766):INDIRECT(BC$1&amp;BC$3&amp;$C766))</f>
        <v>0</v>
      </c>
      <c r="BD766" s="910">
        <f t="shared" ca="1" si="1520"/>
        <v>6939</v>
      </c>
      <c r="BE766" s="971">
        <f t="shared" ca="1" si="1521"/>
        <v>0</v>
      </c>
      <c r="BF766" s="375">
        <f ca="1">SUM(INDIRECT(BF$1&amp;BF$2&amp;$A766):INDIRECT(BF$1&amp;BF$3&amp;$A766))+SUM(INDIRECT(BF$1&amp;BF$2&amp;$B766):INDIRECT(BF$1&amp;BF$3&amp;$B766))</f>
        <v>3139</v>
      </c>
      <c r="BG766" s="910">
        <f t="shared" ca="1" si="1522"/>
        <v>3800</v>
      </c>
      <c r="BH766" s="971">
        <f t="shared" ca="1" si="1523"/>
        <v>2.2105766167569287</v>
      </c>
    </row>
    <row r="767" spans="1:60" ht="14.5">
      <c r="A767" s="990">
        <f t="shared" si="1457"/>
        <v>702</v>
      </c>
      <c r="B767" s="990">
        <v>1</v>
      </c>
      <c r="C767" s="990">
        <f t="shared" si="1428"/>
        <v>764</v>
      </c>
      <c r="E767" s="1243">
        <v>1</v>
      </c>
      <c r="G767" s="24"/>
      <c r="I767" s="98"/>
      <c r="J767" s="97"/>
      <c r="K767" s="74"/>
      <c r="L767" s="74"/>
      <c r="N767" s="111" t="s">
        <v>903</v>
      </c>
      <c r="O767" s="111"/>
      <c r="P767" s="111"/>
      <c r="Q767" s="1845" t="str">
        <f>CHOOSE(2, "6722000003686", "S/GP (5) Net Sales Direct MCS OSP")</f>
        <v>S/GP (5) Net Sales Direct MCS OSP</v>
      </c>
      <c r="R767" s="2042">
        <v>89</v>
      </c>
      <c r="S767" s="2055">
        <v>0</v>
      </c>
      <c r="T767" s="2042">
        <v>0</v>
      </c>
      <c r="U767" s="2042">
        <v>0</v>
      </c>
      <c r="V767" s="2042">
        <v>0</v>
      </c>
      <c r="W767" s="2042">
        <v>0</v>
      </c>
      <c r="X767" s="2042">
        <v>0</v>
      </c>
      <c r="Y767" s="2042">
        <v>0</v>
      </c>
      <c r="Z767" s="2042">
        <v>0</v>
      </c>
      <c r="AA767" s="2042">
        <v>0</v>
      </c>
      <c r="AB767" s="2042">
        <v>0</v>
      </c>
      <c r="AC767" s="2042">
        <v>0</v>
      </c>
      <c r="AD767" s="376">
        <f>SUM(R767,S767,T767)</f>
        <v>89</v>
      </c>
      <c r="AE767" s="109">
        <f t="shared" ref="AE767:AE770" si="1538">SUM(U767,V767,W767)</f>
        <v>0</v>
      </c>
      <c r="AF767" s="109">
        <f t="shared" ref="AF767:AF770" si="1539">SUM(X767,Y767,Z767)</f>
        <v>0</v>
      </c>
      <c r="AG767" s="109">
        <f t="shared" ref="AG767:AG770" si="1540">SUM(AA767,AB767,AC767)</f>
        <v>0</v>
      </c>
      <c r="AH767" s="109">
        <f>AD767+AE767</f>
        <v>89</v>
      </c>
      <c r="AI767" s="109">
        <f>AG767+AF767</f>
        <v>0</v>
      </c>
      <c r="AJ767" s="376">
        <f>AH767+AI767</f>
        <v>89</v>
      </c>
      <c r="AL767" s="109">
        <f ca="1">SUM((INDIRECT(AL$2&amp;(ROW())):INDIRECT(AL$3&amp;(ROW()))))</f>
        <v>0</v>
      </c>
      <c r="AM767" s="376">
        <f ca="1">SUM(INDIRECT(AM$1&amp;AM$2&amp;$C767):INDIRECT(AM$1&amp;AM$3&amp;$C767))</f>
        <v>0</v>
      </c>
      <c r="AN767" s="904">
        <f t="shared" ca="1" si="1512"/>
        <v>0</v>
      </c>
      <c r="AO767" s="965">
        <f t="shared" ca="1" si="1513"/>
        <v>0</v>
      </c>
      <c r="AP767" s="376">
        <f ca="1">SUM(INDIRECT(AP$1&amp;AP$2&amp;$A767):INDIRECT(AP$1&amp;AP$3&amp;$A767))+SUM(INDIRECT(AP$1&amp;AP$2&amp;$B767):INDIRECT(AP$1&amp;AP$3&amp;$B767))</f>
        <v>0</v>
      </c>
      <c r="AQ767" s="904">
        <f t="shared" ca="1" si="1514"/>
        <v>0</v>
      </c>
      <c r="AR767" s="965">
        <f t="shared" ca="1" si="1515"/>
        <v>0</v>
      </c>
      <c r="AT767" s="109">
        <f ca="1">SUM((INDIRECT(AT$2&amp;(ROW())):INDIRECT(AT$3&amp;(ROW()))))</f>
        <v>0</v>
      </c>
      <c r="AU767" s="376">
        <f ca="1">SUM(INDIRECT(AU$1&amp;AU$2&amp;$C767):INDIRECT(AU$1&amp;AU$3&amp;$C767))</f>
        <v>0</v>
      </c>
      <c r="AV767" s="904">
        <f t="shared" ca="1" si="1516"/>
        <v>0</v>
      </c>
      <c r="AW767" s="965">
        <f t="shared" ca="1" si="1517"/>
        <v>0</v>
      </c>
      <c r="AX767" s="376">
        <f ca="1">SUM(INDIRECT(AX$1&amp;AX$2&amp;$A767):INDIRECT(AX$1&amp;AX$3&amp;$A767))+SUM(INDIRECT(AX$1&amp;AX$2&amp;$B767):INDIRECT(AX$1&amp;AX$3&amp;$B767))</f>
        <v>0</v>
      </c>
      <c r="AY767" s="904">
        <f t="shared" ca="1" si="1518"/>
        <v>0</v>
      </c>
      <c r="AZ767" s="965">
        <f t="shared" ca="1" si="1519"/>
        <v>0</v>
      </c>
      <c r="BB767" s="109">
        <f ca="1">SUM((INDIRECT(BB$2&amp;(ROW())):INDIRECT(BB$3&amp;(ROW()))))</f>
        <v>89</v>
      </c>
      <c r="BC767" s="376">
        <f ca="1">SUM(INDIRECT(BC$1&amp;BC$2&amp;$C767):INDIRECT(BC$1&amp;BC$3&amp;$C767))</f>
        <v>0</v>
      </c>
      <c r="BD767" s="904">
        <f t="shared" ca="1" si="1520"/>
        <v>89</v>
      </c>
      <c r="BE767" s="965">
        <f t="shared" ca="1" si="1521"/>
        <v>0</v>
      </c>
      <c r="BF767" s="376">
        <f ca="1">SUM(INDIRECT(BF$1&amp;BF$2&amp;$A767):INDIRECT(BF$1&amp;BF$3&amp;$A767))+SUM(INDIRECT(BF$1&amp;BF$2&amp;$B767):INDIRECT(BF$1&amp;BF$3&amp;$B767))</f>
        <v>0</v>
      </c>
      <c r="BG767" s="904">
        <f t="shared" ca="1" si="1522"/>
        <v>89</v>
      </c>
      <c r="BH767" s="965">
        <f t="shared" ca="1" si="1523"/>
        <v>0</v>
      </c>
    </row>
    <row r="768" spans="1:60" ht="14.5">
      <c r="A768" s="990">
        <f t="shared" si="1457"/>
        <v>703</v>
      </c>
      <c r="B768" s="990">
        <v>1</v>
      </c>
      <c r="C768" s="990">
        <f t="shared" si="1428"/>
        <v>765</v>
      </c>
      <c r="E768" s="1243">
        <v>1</v>
      </c>
      <c r="G768" s="24"/>
      <c r="I768" s="98"/>
      <c r="J768" s="97"/>
      <c r="K768" s="74"/>
      <c r="L768" s="74"/>
      <c r="N768" s="9" t="s">
        <v>904</v>
      </c>
      <c r="Q768" s="1845" t="str">
        <f>CHOOSE(2, "6722000003687", "S/GP (5) Net Sales Direct MCS RP")</f>
        <v>S/GP (5) Net Sales Direct MCS RP</v>
      </c>
      <c r="R768" s="2036">
        <v>271</v>
      </c>
      <c r="S768" s="2040">
        <v>263</v>
      </c>
      <c r="T768" s="2036">
        <v>439</v>
      </c>
      <c r="U768" s="2036">
        <v>412</v>
      </c>
      <c r="V768" s="2036">
        <v>3555</v>
      </c>
      <c r="W768" s="2036">
        <v>44</v>
      </c>
      <c r="X768" s="2036">
        <v>198</v>
      </c>
      <c r="Y768" s="2036">
        <v>500</v>
      </c>
      <c r="Z768" s="2036">
        <v>0</v>
      </c>
      <c r="AA768" s="2036">
        <v>44</v>
      </c>
      <c r="AB768" s="2036">
        <v>843</v>
      </c>
      <c r="AC768" s="2036">
        <v>281</v>
      </c>
      <c r="AD768" s="100">
        <f>SUM(R768,S768,T768)</f>
        <v>973</v>
      </c>
      <c r="AE768" s="19">
        <f t="shared" si="1538"/>
        <v>4011</v>
      </c>
      <c r="AF768" s="19">
        <f t="shared" si="1539"/>
        <v>698</v>
      </c>
      <c r="AG768" s="19">
        <f t="shared" si="1540"/>
        <v>1168</v>
      </c>
      <c r="AH768" s="19">
        <f>AD768+AE768</f>
        <v>4984</v>
      </c>
      <c r="AI768" s="19">
        <f>AG768+AF768</f>
        <v>1866</v>
      </c>
      <c r="AJ768" s="100">
        <f>AH768+AI768</f>
        <v>6850</v>
      </c>
      <c r="AL768" s="19">
        <f ca="1">SUM((INDIRECT(AL$2&amp;(ROW())):INDIRECT(AL$3&amp;(ROW()))))</f>
        <v>281</v>
      </c>
      <c r="AM768" s="100">
        <f ca="1">SUM(INDIRECT(AM$1&amp;AM$2&amp;$C768):INDIRECT(AM$1&amp;AM$3&amp;$C768))</f>
        <v>0</v>
      </c>
      <c r="AN768" s="906">
        <f t="shared" ca="1" si="1512"/>
        <v>281</v>
      </c>
      <c r="AO768" s="967">
        <f t="shared" ca="1" si="1513"/>
        <v>0</v>
      </c>
      <c r="AP768" s="100">
        <f ca="1">SUM(INDIRECT(AP$1&amp;AP$2&amp;$A768):INDIRECT(AP$1&amp;AP$3&amp;$A768))+SUM(INDIRECT(AP$1&amp;AP$2&amp;$B768):INDIRECT(AP$1&amp;AP$3&amp;$B768))</f>
        <v>62</v>
      </c>
      <c r="AQ768" s="906">
        <f t="shared" ca="1" si="1514"/>
        <v>219</v>
      </c>
      <c r="AR768" s="967">
        <f t="shared" ca="1" si="1515"/>
        <v>4.532258064516129</v>
      </c>
      <c r="AT768" s="19">
        <f ca="1">SUM((INDIRECT(AT$2&amp;(ROW())):INDIRECT(AT$3&amp;(ROW()))))</f>
        <v>1168</v>
      </c>
      <c r="AU768" s="100">
        <f ca="1">SUM(INDIRECT(AU$1&amp;AU$2&amp;$C768):INDIRECT(AU$1&amp;AU$3&amp;$C768))</f>
        <v>0</v>
      </c>
      <c r="AV768" s="906">
        <f t="shared" ca="1" si="1516"/>
        <v>1168</v>
      </c>
      <c r="AW768" s="967">
        <f t="shared" ca="1" si="1517"/>
        <v>0</v>
      </c>
      <c r="AX768" s="100">
        <f ca="1">SUM(INDIRECT(AX$1&amp;AX$2&amp;$A768):INDIRECT(AX$1&amp;AX$3&amp;$A768))+SUM(INDIRECT(AX$1&amp;AX$2&amp;$B768):INDIRECT(AX$1&amp;AX$3&amp;$B768))</f>
        <v>400</v>
      </c>
      <c r="AY768" s="906">
        <f t="shared" ca="1" si="1518"/>
        <v>768</v>
      </c>
      <c r="AZ768" s="967">
        <f t="shared" ca="1" si="1519"/>
        <v>2.92</v>
      </c>
      <c r="BB768" s="19">
        <f ca="1">SUM((INDIRECT(BB$2&amp;(ROW())):INDIRECT(BB$3&amp;(ROW()))))</f>
        <v>6850</v>
      </c>
      <c r="BC768" s="100">
        <f ca="1">SUM(INDIRECT(BC$1&amp;BC$2&amp;$C768):INDIRECT(BC$1&amp;BC$3&amp;$C768))</f>
        <v>0</v>
      </c>
      <c r="BD768" s="906">
        <f t="shared" ca="1" si="1520"/>
        <v>6850</v>
      </c>
      <c r="BE768" s="967">
        <f t="shared" ca="1" si="1521"/>
        <v>0</v>
      </c>
      <c r="BF768" s="100">
        <f ca="1">SUM(INDIRECT(BF$1&amp;BF$2&amp;$A768):INDIRECT(BF$1&amp;BF$3&amp;$A768))+SUM(INDIRECT(BF$1&amp;BF$2&amp;$B768):INDIRECT(BF$1&amp;BF$3&amp;$B768))</f>
        <v>3139</v>
      </c>
      <c r="BG768" s="906">
        <f t="shared" ca="1" si="1522"/>
        <v>3711</v>
      </c>
      <c r="BH768" s="967">
        <f t="shared" ca="1" si="1523"/>
        <v>2.182223638101306</v>
      </c>
    </row>
    <row r="769" spans="1:60" ht="14.5">
      <c r="A769" s="990">
        <f t="shared" si="1457"/>
        <v>704</v>
      </c>
      <c r="B769" s="990">
        <v>1</v>
      </c>
      <c r="C769" s="990">
        <f t="shared" si="1428"/>
        <v>766</v>
      </c>
      <c r="E769" s="1243">
        <v>1</v>
      </c>
      <c r="G769" s="24"/>
      <c r="I769" s="98"/>
      <c r="J769" s="97"/>
      <c r="K769" s="74"/>
      <c r="L769" s="74"/>
      <c r="N769" s="9" t="s">
        <v>905</v>
      </c>
      <c r="Q769" s="1845" t="str">
        <f>CHOOSE(2, "6722000003688", "S/GP (5) Net Sales Direct MCS OSP service")</f>
        <v>S/GP (5) Net Sales Direct MCS OSP service</v>
      </c>
      <c r="R769" s="2036">
        <v>0</v>
      </c>
      <c r="S769" s="2040">
        <v>0</v>
      </c>
      <c r="T769" s="2036">
        <v>0</v>
      </c>
      <c r="U769" s="2036">
        <v>0</v>
      </c>
      <c r="V769" s="2036">
        <v>0</v>
      </c>
      <c r="W769" s="2036">
        <v>0</v>
      </c>
      <c r="X769" s="2036">
        <v>0</v>
      </c>
      <c r="Y769" s="2036">
        <v>0</v>
      </c>
      <c r="Z769" s="2036">
        <v>0</v>
      </c>
      <c r="AA769" s="2036">
        <v>0</v>
      </c>
      <c r="AB769" s="2036">
        <v>0</v>
      </c>
      <c r="AC769" s="2036">
        <v>0</v>
      </c>
      <c r="AD769" s="100">
        <f>SUM(R769,S769,T769)</f>
        <v>0</v>
      </c>
      <c r="AE769" s="19">
        <f t="shared" si="1538"/>
        <v>0</v>
      </c>
      <c r="AF769" s="19">
        <f t="shared" si="1539"/>
        <v>0</v>
      </c>
      <c r="AG769" s="19">
        <f t="shared" si="1540"/>
        <v>0</v>
      </c>
      <c r="AH769" s="19">
        <f>AD769+AE769</f>
        <v>0</v>
      </c>
      <c r="AI769" s="19">
        <f>AG769+AF769</f>
        <v>0</v>
      </c>
      <c r="AJ769" s="100">
        <f>AH769+AI769</f>
        <v>0</v>
      </c>
      <c r="AL769" s="19">
        <f ca="1">SUM((INDIRECT(AL$2&amp;(ROW())):INDIRECT(AL$3&amp;(ROW()))))</f>
        <v>0</v>
      </c>
      <c r="AM769" s="100">
        <f ca="1">SUM(INDIRECT(AM$1&amp;AM$2&amp;$C769):INDIRECT(AM$1&amp;AM$3&amp;$C769))</f>
        <v>0</v>
      </c>
      <c r="AN769" s="906">
        <f t="shared" ca="1" si="1512"/>
        <v>0</v>
      </c>
      <c r="AO769" s="967">
        <f t="shared" ca="1" si="1513"/>
        <v>0</v>
      </c>
      <c r="AP769" s="100">
        <f ca="1">SUM(INDIRECT(AP$1&amp;AP$2&amp;$A769):INDIRECT(AP$1&amp;AP$3&amp;$A769))+SUM(INDIRECT(AP$1&amp;AP$2&amp;$B769):INDIRECT(AP$1&amp;AP$3&amp;$B769))</f>
        <v>0</v>
      </c>
      <c r="AQ769" s="906">
        <f t="shared" ca="1" si="1514"/>
        <v>0</v>
      </c>
      <c r="AR769" s="967">
        <f t="shared" ca="1" si="1515"/>
        <v>0</v>
      </c>
      <c r="AT769" s="19">
        <f ca="1">SUM((INDIRECT(AT$2&amp;(ROW())):INDIRECT(AT$3&amp;(ROW()))))</f>
        <v>0</v>
      </c>
      <c r="AU769" s="100">
        <f ca="1">SUM(INDIRECT(AU$1&amp;AU$2&amp;$C769):INDIRECT(AU$1&amp;AU$3&amp;$C769))</f>
        <v>0</v>
      </c>
      <c r="AV769" s="906">
        <f t="shared" ca="1" si="1516"/>
        <v>0</v>
      </c>
      <c r="AW769" s="967">
        <f t="shared" ca="1" si="1517"/>
        <v>0</v>
      </c>
      <c r="AX769" s="100">
        <f ca="1">SUM(INDIRECT(AX$1&amp;AX$2&amp;$A769):INDIRECT(AX$1&amp;AX$3&amp;$A769))+SUM(INDIRECT(AX$1&amp;AX$2&amp;$B769):INDIRECT(AX$1&amp;AX$3&amp;$B769))</f>
        <v>0</v>
      </c>
      <c r="AY769" s="906">
        <f t="shared" ca="1" si="1518"/>
        <v>0</v>
      </c>
      <c r="AZ769" s="967">
        <f t="shared" ca="1" si="1519"/>
        <v>0</v>
      </c>
      <c r="BB769" s="19">
        <f ca="1">SUM((INDIRECT(BB$2&amp;(ROW())):INDIRECT(BB$3&amp;(ROW()))))</f>
        <v>0</v>
      </c>
      <c r="BC769" s="100">
        <f ca="1">SUM(INDIRECT(BC$1&amp;BC$2&amp;$C769):INDIRECT(BC$1&amp;BC$3&amp;$C769))</f>
        <v>0</v>
      </c>
      <c r="BD769" s="906">
        <f t="shared" ca="1" si="1520"/>
        <v>0</v>
      </c>
      <c r="BE769" s="967">
        <f t="shared" ca="1" si="1521"/>
        <v>0</v>
      </c>
      <c r="BF769" s="100">
        <f ca="1">SUM(INDIRECT(BF$1&amp;BF$2&amp;$A769):INDIRECT(BF$1&amp;BF$3&amp;$A769))+SUM(INDIRECT(BF$1&amp;BF$2&amp;$B769):INDIRECT(BF$1&amp;BF$3&amp;$B769))</f>
        <v>0</v>
      </c>
      <c r="BG769" s="906">
        <f t="shared" ca="1" si="1522"/>
        <v>0</v>
      </c>
      <c r="BH769" s="967">
        <f t="shared" ca="1" si="1523"/>
        <v>0</v>
      </c>
    </row>
    <row r="770" spans="1:60" ht="14.5">
      <c r="A770" s="990">
        <f t="shared" si="1457"/>
        <v>705</v>
      </c>
      <c r="B770" s="990">
        <v>1</v>
      </c>
      <c r="C770" s="990">
        <f t="shared" ref="C770:C833" si="1541">ROW()-3</f>
        <v>767</v>
      </c>
      <c r="E770" s="1243">
        <v>1</v>
      </c>
      <c r="G770" s="24"/>
      <c r="I770" s="98"/>
      <c r="J770" s="97"/>
      <c r="K770" s="74"/>
      <c r="L770" s="74"/>
      <c r="N770" s="9" t="s">
        <v>906</v>
      </c>
      <c r="Q770" s="1845" t="str">
        <f>CHOOSE(2, "6722000003689", "S/GP (5) Net Sales Direct MCS RP service")</f>
        <v>S/GP (5) Net Sales Direct MCS RP service</v>
      </c>
      <c r="R770" s="2036">
        <v>0</v>
      </c>
      <c r="S770" s="2040">
        <v>0</v>
      </c>
      <c r="T770" s="2036">
        <v>0</v>
      </c>
      <c r="U770" s="2036">
        <v>0</v>
      </c>
      <c r="V770" s="2036">
        <v>0</v>
      </c>
      <c r="W770" s="2036">
        <v>0</v>
      </c>
      <c r="X770" s="2036">
        <v>0</v>
      </c>
      <c r="Y770" s="2036">
        <v>0</v>
      </c>
      <c r="Z770" s="2036">
        <v>0</v>
      </c>
      <c r="AA770" s="2036">
        <v>0</v>
      </c>
      <c r="AB770" s="2036">
        <v>0</v>
      </c>
      <c r="AC770" s="2036">
        <v>0</v>
      </c>
      <c r="AD770" s="100">
        <f>SUM(R770,S770,T770)</f>
        <v>0</v>
      </c>
      <c r="AE770" s="19">
        <f t="shared" si="1538"/>
        <v>0</v>
      </c>
      <c r="AF770" s="19">
        <f t="shared" si="1539"/>
        <v>0</v>
      </c>
      <c r="AG770" s="19">
        <f t="shared" si="1540"/>
        <v>0</v>
      </c>
      <c r="AH770" s="19">
        <f>AD770+AE770</f>
        <v>0</v>
      </c>
      <c r="AI770" s="19">
        <f>AG770+AF770</f>
        <v>0</v>
      </c>
      <c r="AJ770" s="100">
        <f>AH770+AI770</f>
        <v>0</v>
      </c>
      <c r="AL770" s="19">
        <f ca="1">SUM((INDIRECT(AL$2&amp;(ROW())):INDIRECT(AL$3&amp;(ROW()))))</f>
        <v>0</v>
      </c>
      <c r="AM770" s="100">
        <f ca="1">SUM(INDIRECT(AM$1&amp;AM$2&amp;$C770):INDIRECT(AM$1&amp;AM$3&amp;$C770))</f>
        <v>0</v>
      </c>
      <c r="AN770" s="906">
        <f t="shared" ca="1" si="1512"/>
        <v>0</v>
      </c>
      <c r="AO770" s="967">
        <f t="shared" ca="1" si="1513"/>
        <v>0</v>
      </c>
      <c r="AP770" s="100">
        <f ca="1">SUM(INDIRECT(AP$1&amp;AP$2&amp;$A770):INDIRECT(AP$1&amp;AP$3&amp;$A770))+SUM(INDIRECT(AP$1&amp;AP$2&amp;$B770):INDIRECT(AP$1&amp;AP$3&amp;$B770))</f>
        <v>0</v>
      </c>
      <c r="AQ770" s="906">
        <f t="shared" ca="1" si="1514"/>
        <v>0</v>
      </c>
      <c r="AR770" s="967">
        <f t="shared" ca="1" si="1515"/>
        <v>0</v>
      </c>
      <c r="AT770" s="19">
        <f ca="1">SUM((INDIRECT(AT$2&amp;(ROW())):INDIRECT(AT$3&amp;(ROW()))))</f>
        <v>0</v>
      </c>
      <c r="AU770" s="100">
        <f ca="1">SUM(INDIRECT(AU$1&amp;AU$2&amp;$C770):INDIRECT(AU$1&amp;AU$3&amp;$C770))</f>
        <v>0</v>
      </c>
      <c r="AV770" s="906">
        <f t="shared" ca="1" si="1516"/>
        <v>0</v>
      </c>
      <c r="AW770" s="967">
        <f t="shared" ca="1" si="1517"/>
        <v>0</v>
      </c>
      <c r="AX770" s="100">
        <f ca="1">SUM(INDIRECT(AX$1&amp;AX$2&amp;$A770):INDIRECT(AX$1&amp;AX$3&amp;$A770))+SUM(INDIRECT(AX$1&amp;AX$2&amp;$B770):INDIRECT(AX$1&amp;AX$3&amp;$B770))</f>
        <v>0</v>
      </c>
      <c r="AY770" s="906">
        <f t="shared" ca="1" si="1518"/>
        <v>0</v>
      </c>
      <c r="AZ770" s="967">
        <f t="shared" ca="1" si="1519"/>
        <v>0</v>
      </c>
      <c r="BB770" s="19">
        <f ca="1">SUM((INDIRECT(BB$2&amp;(ROW())):INDIRECT(BB$3&amp;(ROW()))))</f>
        <v>0</v>
      </c>
      <c r="BC770" s="100">
        <f ca="1">SUM(INDIRECT(BC$1&amp;BC$2&amp;$C770):INDIRECT(BC$1&amp;BC$3&amp;$C770))</f>
        <v>0</v>
      </c>
      <c r="BD770" s="906">
        <f t="shared" ca="1" si="1520"/>
        <v>0</v>
      </c>
      <c r="BE770" s="967">
        <f t="shared" ca="1" si="1521"/>
        <v>0</v>
      </c>
      <c r="BF770" s="100">
        <f ca="1">SUM(INDIRECT(BF$1&amp;BF$2&amp;$A770):INDIRECT(BF$1&amp;BF$3&amp;$A770))+SUM(INDIRECT(BF$1&amp;BF$2&amp;$B770):INDIRECT(BF$1&amp;BF$3&amp;$B770))</f>
        <v>0</v>
      </c>
      <c r="BG770" s="906">
        <f t="shared" ca="1" si="1522"/>
        <v>0</v>
      </c>
      <c r="BH770" s="967">
        <f t="shared" ca="1" si="1523"/>
        <v>0</v>
      </c>
    </row>
    <row r="771" spans="1:60" ht="14.5">
      <c r="A771" s="990">
        <f t="shared" si="1457"/>
        <v>706</v>
      </c>
      <c r="B771" s="990">
        <v>1</v>
      </c>
      <c r="C771" s="990">
        <f t="shared" si="1541"/>
        <v>768</v>
      </c>
      <c r="E771" s="1243">
        <v>1</v>
      </c>
      <c r="G771" s="24"/>
      <c r="I771" s="98"/>
      <c r="J771" s="97"/>
      <c r="K771" s="74"/>
      <c r="L771" s="74"/>
      <c r="M771" s="71" t="s">
        <v>1156</v>
      </c>
      <c r="N771" s="362"/>
      <c r="O771" s="362"/>
      <c r="P771" s="362"/>
      <c r="Q771" s="1843" t="str">
        <f>CHOOSE(2, "6722000003690", "S/GP (5) Net Sales Direct BPS")</f>
        <v>S/GP (5) Net Sales Direct BPS</v>
      </c>
      <c r="R771" s="361">
        <f>SUM(R772:R775)</f>
        <v>0</v>
      </c>
      <c r="S771" s="2054">
        <f t="shared" ref="S771:AC771" si="1542">SUM(S772:S775)</f>
        <v>0</v>
      </c>
      <c r="T771" s="361">
        <f t="shared" si="1542"/>
        <v>0</v>
      </c>
      <c r="U771" s="361">
        <f t="shared" si="1542"/>
        <v>0</v>
      </c>
      <c r="V771" s="361">
        <f t="shared" si="1542"/>
        <v>0</v>
      </c>
      <c r="W771" s="361">
        <f t="shared" si="1542"/>
        <v>0</v>
      </c>
      <c r="X771" s="361">
        <f t="shared" si="1542"/>
        <v>0</v>
      </c>
      <c r="Y771" s="361">
        <f t="shared" si="1542"/>
        <v>0</v>
      </c>
      <c r="Z771" s="361">
        <f t="shared" si="1542"/>
        <v>0</v>
      </c>
      <c r="AA771" s="361">
        <f t="shared" si="1542"/>
        <v>0</v>
      </c>
      <c r="AB771" s="361">
        <f t="shared" si="1542"/>
        <v>0</v>
      </c>
      <c r="AC771" s="361">
        <f t="shared" si="1542"/>
        <v>0</v>
      </c>
      <c r="AD771" s="375">
        <f t="shared" ref="AD771:AJ771" si="1543">SUM(AD772:AD775)</f>
        <v>0</v>
      </c>
      <c r="AE771" s="361">
        <f t="shared" si="1543"/>
        <v>0</v>
      </c>
      <c r="AF771" s="361">
        <f t="shared" si="1543"/>
        <v>0</v>
      </c>
      <c r="AG771" s="361">
        <f t="shared" si="1543"/>
        <v>0</v>
      </c>
      <c r="AH771" s="361">
        <f t="shared" si="1543"/>
        <v>0</v>
      </c>
      <c r="AI771" s="361">
        <f t="shared" si="1543"/>
        <v>0</v>
      </c>
      <c r="AJ771" s="375">
        <f t="shared" si="1543"/>
        <v>0</v>
      </c>
      <c r="AL771" s="361">
        <f ca="1">SUM((INDIRECT(AL$2&amp;(ROW())):INDIRECT(AL$3&amp;(ROW()))))</f>
        <v>0</v>
      </c>
      <c r="AM771" s="375">
        <f ca="1">SUM(INDIRECT(AM$1&amp;AM$2&amp;$C771):INDIRECT(AM$1&amp;AM$3&amp;$C771))</f>
        <v>0</v>
      </c>
      <c r="AN771" s="910">
        <f t="shared" ca="1" si="1512"/>
        <v>0</v>
      </c>
      <c r="AO771" s="971">
        <f t="shared" ca="1" si="1513"/>
        <v>0</v>
      </c>
      <c r="AP771" s="375">
        <f ca="1">SUM(INDIRECT(AP$1&amp;AP$2&amp;$A771):INDIRECT(AP$1&amp;AP$3&amp;$A771))+SUM(INDIRECT(AP$1&amp;AP$2&amp;$B771):INDIRECT(AP$1&amp;AP$3&amp;$B771))</f>
        <v>0</v>
      </c>
      <c r="AQ771" s="910">
        <f t="shared" ca="1" si="1514"/>
        <v>0</v>
      </c>
      <c r="AR771" s="971">
        <f t="shared" ca="1" si="1515"/>
        <v>0</v>
      </c>
      <c r="AT771" s="361">
        <f ca="1">SUM((INDIRECT(AT$2&amp;(ROW())):INDIRECT(AT$3&amp;(ROW()))))</f>
        <v>0</v>
      </c>
      <c r="AU771" s="375">
        <f ca="1">SUM(INDIRECT(AU$1&amp;AU$2&amp;$C771):INDIRECT(AU$1&amp;AU$3&amp;$C771))</f>
        <v>0</v>
      </c>
      <c r="AV771" s="910">
        <f t="shared" ca="1" si="1516"/>
        <v>0</v>
      </c>
      <c r="AW771" s="971">
        <f t="shared" ca="1" si="1517"/>
        <v>0</v>
      </c>
      <c r="AX771" s="375">
        <f ca="1">SUM(INDIRECT(AX$1&amp;AX$2&amp;$A771):INDIRECT(AX$1&amp;AX$3&amp;$A771))+SUM(INDIRECT(AX$1&amp;AX$2&amp;$B771):INDIRECT(AX$1&amp;AX$3&amp;$B771))</f>
        <v>0</v>
      </c>
      <c r="AY771" s="910">
        <f t="shared" ca="1" si="1518"/>
        <v>0</v>
      </c>
      <c r="AZ771" s="971">
        <f t="shared" ca="1" si="1519"/>
        <v>0</v>
      </c>
      <c r="BB771" s="361">
        <f ca="1">SUM((INDIRECT(BB$2&amp;(ROW())):INDIRECT(BB$3&amp;(ROW()))))</f>
        <v>0</v>
      </c>
      <c r="BC771" s="375">
        <f ca="1">SUM(INDIRECT(BC$1&amp;BC$2&amp;$C771):INDIRECT(BC$1&amp;BC$3&amp;$C771))</f>
        <v>0</v>
      </c>
      <c r="BD771" s="910">
        <f t="shared" ca="1" si="1520"/>
        <v>0</v>
      </c>
      <c r="BE771" s="971">
        <f t="shared" ca="1" si="1521"/>
        <v>0</v>
      </c>
      <c r="BF771" s="375">
        <f ca="1">SUM(INDIRECT(BF$1&amp;BF$2&amp;$A771):INDIRECT(BF$1&amp;BF$3&amp;$A771))+SUM(INDIRECT(BF$1&amp;BF$2&amp;$B771):INDIRECT(BF$1&amp;BF$3&amp;$B771))</f>
        <v>0</v>
      </c>
      <c r="BG771" s="910">
        <f t="shared" ca="1" si="1522"/>
        <v>0</v>
      </c>
      <c r="BH771" s="971">
        <f t="shared" ca="1" si="1523"/>
        <v>0</v>
      </c>
    </row>
    <row r="772" spans="1:60" ht="14.5">
      <c r="A772" s="990">
        <f t="shared" si="1457"/>
        <v>707</v>
      </c>
      <c r="B772" s="990">
        <v>1</v>
      </c>
      <c r="C772" s="990">
        <f t="shared" si="1541"/>
        <v>769</v>
      </c>
      <c r="E772" s="1243">
        <v>1</v>
      </c>
      <c r="G772" s="24"/>
      <c r="I772" s="98"/>
      <c r="J772" s="97"/>
      <c r="K772" s="74"/>
      <c r="L772" s="74"/>
      <c r="N772" s="111" t="s">
        <v>903</v>
      </c>
      <c r="O772" s="111"/>
      <c r="P772" s="111"/>
      <c r="Q772" s="1845" t="str">
        <f>CHOOSE(2, "6722000003691", "S/GP (5) Net Sales Direct BPS OSP")</f>
        <v>S/GP (5) Net Sales Direct BPS OSP</v>
      </c>
      <c r="R772" s="2042">
        <v>0</v>
      </c>
      <c r="S772" s="2055">
        <v>0</v>
      </c>
      <c r="T772" s="2042">
        <v>0</v>
      </c>
      <c r="U772" s="2042">
        <v>0</v>
      </c>
      <c r="V772" s="2042">
        <v>0</v>
      </c>
      <c r="W772" s="2042">
        <v>0</v>
      </c>
      <c r="X772" s="2042">
        <v>0</v>
      </c>
      <c r="Y772" s="2042">
        <v>0</v>
      </c>
      <c r="Z772" s="2042">
        <v>0</v>
      </c>
      <c r="AA772" s="2042">
        <v>0</v>
      </c>
      <c r="AB772" s="2042">
        <v>0</v>
      </c>
      <c r="AC772" s="2042">
        <v>0</v>
      </c>
      <c r="AD772" s="376">
        <f>SUM(R772,S772,T772)</f>
        <v>0</v>
      </c>
      <c r="AE772" s="109">
        <f t="shared" ref="AE772:AE775" si="1544">SUM(U772,V772,W772)</f>
        <v>0</v>
      </c>
      <c r="AF772" s="109">
        <f t="shared" ref="AF772:AF775" si="1545">SUM(X772,Y772,Z772)</f>
        <v>0</v>
      </c>
      <c r="AG772" s="109">
        <f t="shared" ref="AG772:AG775" si="1546">SUM(AA772,AB772,AC772)</f>
        <v>0</v>
      </c>
      <c r="AH772" s="109">
        <f>AD772+AE772</f>
        <v>0</v>
      </c>
      <c r="AI772" s="109">
        <f>AG772+AF772</f>
        <v>0</v>
      </c>
      <c r="AJ772" s="376">
        <f>AH772+AI772</f>
        <v>0</v>
      </c>
      <c r="AL772" s="109">
        <f ca="1">SUM((INDIRECT(AL$2&amp;(ROW())):INDIRECT(AL$3&amp;(ROW()))))</f>
        <v>0</v>
      </c>
      <c r="AM772" s="376">
        <f ca="1">SUM(INDIRECT(AM$1&amp;AM$2&amp;$C772):INDIRECT(AM$1&amp;AM$3&amp;$C772))</f>
        <v>0</v>
      </c>
      <c r="AN772" s="904">
        <f t="shared" ca="1" si="1512"/>
        <v>0</v>
      </c>
      <c r="AO772" s="965">
        <f t="shared" ca="1" si="1513"/>
        <v>0</v>
      </c>
      <c r="AP772" s="376">
        <f ca="1">SUM(INDIRECT(AP$1&amp;AP$2&amp;$A772):INDIRECT(AP$1&amp;AP$3&amp;$A772))+SUM(INDIRECT(AP$1&amp;AP$2&amp;$B772):INDIRECT(AP$1&amp;AP$3&amp;$B772))</f>
        <v>0</v>
      </c>
      <c r="AQ772" s="904">
        <f t="shared" ca="1" si="1514"/>
        <v>0</v>
      </c>
      <c r="AR772" s="965">
        <f t="shared" ca="1" si="1515"/>
        <v>0</v>
      </c>
      <c r="AT772" s="109">
        <f ca="1">SUM((INDIRECT(AT$2&amp;(ROW())):INDIRECT(AT$3&amp;(ROW()))))</f>
        <v>0</v>
      </c>
      <c r="AU772" s="376">
        <f ca="1">SUM(INDIRECT(AU$1&amp;AU$2&amp;$C772):INDIRECT(AU$1&amp;AU$3&amp;$C772))</f>
        <v>0</v>
      </c>
      <c r="AV772" s="904">
        <f t="shared" ca="1" si="1516"/>
        <v>0</v>
      </c>
      <c r="AW772" s="965">
        <f t="shared" ca="1" si="1517"/>
        <v>0</v>
      </c>
      <c r="AX772" s="376">
        <f ca="1">SUM(INDIRECT(AX$1&amp;AX$2&amp;$A772):INDIRECT(AX$1&amp;AX$3&amp;$A772))+SUM(INDIRECT(AX$1&amp;AX$2&amp;$B772):INDIRECT(AX$1&amp;AX$3&amp;$B772))</f>
        <v>0</v>
      </c>
      <c r="AY772" s="904">
        <f t="shared" ca="1" si="1518"/>
        <v>0</v>
      </c>
      <c r="AZ772" s="965">
        <f t="shared" ca="1" si="1519"/>
        <v>0</v>
      </c>
      <c r="BB772" s="109">
        <f ca="1">SUM((INDIRECT(BB$2&amp;(ROW())):INDIRECT(BB$3&amp;(ROW()))))</f>
        <v>0</v>
      </c>
      <c r="BC772" s="376">
        <f ca="1">SUM(INDIRECT(BC$1&amp;BC$2&amp;$C772):INDIRECT(BC$1&amp;BC$3&amp;$C772))</f>
        <v>0</v>
      </c>
      <c r="BD772" s="904">
        <f t="shared" ca="1" si="1520"/>
        <v>0</v>
      </c>
      <c r="BE772" s="965">
        <f t="shared" ca="1" si="1521"/>
        <v>0</v>
      </c>
      <c r="BF772" s="376">
        <f ca="1">SUM(INDIRECT(BF$1&amp;BF$2&amp;$A772):INDIRECT(BF$1&amp;BF$3&amp;$A772))+SUM(INDIRECT(BF$1&amp;BF$2&amp;$B772):INDIRECT(BF$1&amp;BF$3&amp;$B772))</f>
        <v>0</v>
      </c>
      <c r="BG772" s="904">
        <f t="shared" ca="1" si="1522"/>
        <v>0</v>
      </c>
      <c r="BH772" s="965">
        <f t="shared" ca="1" si="1523"/>
        <v>0</v>
      </c>
    </row>
    <row r="773" spans="1:60" ht="14.5">
      <c r="A773" s="990">
        <f t="shared" si="1457"/>
        <v>708</v>
      </c>
      <c r="B773" s="990">
        <v>1</v>
      </c>
      <c r="C773" s="990">
        <f t="shared" si="1541"/>
        <v>770</v>
      </c>
      <c r="E773" s="1243">
        <v>1</v>
      </c>
      <c r="G773" s="24"/>
      <c r="I773" s="98"/>
      <c r="J773" s="97"/>
      <c r="K773" s="74"/>
      <c r="L773" s="74"/>
      <c r="N773" s="9" t="s">
        <v>904</v>
      </c>
      <c r="Q773" s="1845" t="str">
        <f>CHOOSE(2, "6722000003692", "S/GP (5) Net Sales Direct BPS RP")</f>
        <v>S/GP (5) Net Sales Direct BPS RP</v>
      </c>
      <c r="R773" s="2036">
        <v>0</v>
      </c>
      <c r="S773" s="2040">
        <v>0</v>
      </c>
      <c r="T773" s="2036">
        <v>0</v>
      </c>
      <c r="U773" s="2036">
        <v>0</v>
      </c>
      <c r="V773" s="2036">
        <v>0</v>
      </c>
      <c r="W773" s="2036">
        <v>0</v>
      </c>
      <c r="X773" s="2036">
        <v>0</v>
      </c>
      <c r="Y773" s="2036">
        <v>0</v>
      </c>
      <c r="Z773" s="2036">
        <v>0</v>
      </c>
      <c r="AA773" s="2036">
        <v>0</v>
      </c>
      <c r="AB773" s="2036">
        <v>0</v>
      </c>
      <c r="AC773" s="2036">
        <v>0</v>
      </c>
      <c r="AD773" s="100">
        <f>SUM(R773,S773,T773)</f>
        <v>0</v>
      </c>
      <c r="AE773" s="19">
        <f t="shared" si="1544"/>
        <v>0</v>
      </c>
      <c r="AF773" s="19">
        <f t="shared" si="1545"/>
        <v>0</v>
      </c>
      <c r="AG773" s="19">
        <f t="shared" si="1546"/>
        <v>0</v>
      </c>
      <c r="AH773" s="19">
        <f>AD773+AE773</f>
        <v>0</v>
      </c>
      <c r="AI773" s="19">
        <f>AG773+AF773</f>
        <v>0</v>
      </c>
      <c r="AJ773" s="100">
        <f>AH773+AI773</f>
        <v>0</v>
      </c>
      <c r="AL773" s="19">
        <f ca="1">SUM((INDIRECT(AL$2&amp;(ROW())):INDIRECT(AL$3&amp;(ROW()))))</f>
        <v>0</v>
      </c>
      <c r="AM773" s="100">
        <f ca="1">SUM(INDIRECT(AM$1&amp;AM$2&amp;$C773):INDIRECT(AM$1&amp;AM$3&amp;$C773))</f>
        <v>0</v>
      </c>
      <c r="AN773" s="906">
        <f t="shared" ca="1" si="1512"/>
        <v>0</v>
      </c>
      <c r="AO773" s="967">
        <f t="shared" ca="1" si="1513"/>
        <v>0</v>
      </c>
      <c r="AP773" s="100">
        <f ca="1">SUM(INDIRECT(AP$1&amp;AP$2&amp;$A773):INDIRECT(AP$1&amp;AP$3&amp;$A773))+SUM(INDIRECT(AP$1&amp;AP$2&amp;$B773):INDIRECT(AP$1&amp;AP$3&amp;$B773))</f>
        <v>0</v>
      </c>
      <c r="AQ773" s="906">
        <f t="shared" ca="1" si="1514"/>
        <v>0</v>
      </c>
      <c r="AR773" s="967">
        <f t="shared" ca="1" si="1515"/>
        <v>0</v>
      </c>
      <c r="AT773" s="19">
        <f ca="1">SUM((INDIRECT(AT$2&amp;(ROW())):INDIRECT(AT$3&amp;(ROW()))))</f>
        <v>0</v>
      </c>
      <c r="AU773" s="100">
        <f ca="1">SUM(INDIRECT(AU$1&amp;AU$2&amp;$C773):INDIRECT(AU$1&amp;AU$3&amp;$C773))</f>
        <v>0</v>
      </c>
      <c r="AV773" s="906">
        <f t="shared" ca="1" si="1516"/>
        <v>0</v>
      </c>
      <c r="AW773" s="967">
        <f t="shared" ca="1" si="1517"/>
        <v>0</v>
      </c>
      <c r="AX773" s="100">
        <f ca="1">SUM(INDIRECT(AX$1&amp;AX$2&amp;$A773):INDIRECT(AX$1&amp;AX$3&amp;$A773))+SUM(INDIRECT(AX$1&amp;AX$2&amp;$B773):INDIRECT(AX$1&amp;AX$3&amp;$B773))</f>
        <v>0</v>
      </c>
      <c r="AY773" s="906">
        <f t="shared" ca="1" si="1518"/>
        <v>0</v>
      </c>
      <c r="AZ773" s="967">
        <f t="shared" ca="1" si="1519"/>
        <v>0</v>
      </c>
      <c r="BB773" s="19">
        <f ca="1">SUM((INDIRECT(BB$2&amp;(ROW())):INDIRECT(BB$3&amp;(ROW()))))</f>
        <v>0</v>
      </c>
      <c r="BC773" s="100">
        <f ca="1">SUM(INDIRECT(BC$1&amp;BC$2&amp;$C773):INDIRECT(BC$1&amp;BC$3&amp;$C773))</f>
        <v>0</v>
      </c>
      <c r="BD773" s="906">
        <f t="shared" ca="1" si="1520"/>
        <v>0</v>
      </c>
      <c r="BE773" s="967">
        <f t="shared" ca="1" si="1521"/>
        <v>0</v>
      </c>
      <c r="BF773" s="100">
        <f ca="1">SUM(INDIRECT(BF$1&amp;BF$2&amp;$A773):INDIRECT(BF$1&amp;BF$3&amp;$A773))+SUM(INDIRECT(BF$1&amp;BF$2&amp;$B773):INDIRECT(BF$1&amp;BF$3&amp;$B773))</f>
        <v>0</v>
      </c>
      <c r="BG773" s="906">
        <f t="shared" ca="1" si="1522"/>
        <v>0</v>
      </c>
      <c r="BH773" s="967">
        <f t="shared" ca="1" si="1523"/>
        <v>0</v>
      </c>
    </row>
    <row r="774" spans="1:60" ht="14.5">
      <c r="A774" s="990">
        <f t="shared" si="1457"/>
        <v>709</v>
      </c>
      <c r="B774" s="990">
        <v>1</v>
      </c>
      <c r="C774" s="990">
        <f t="shared" si="1541"/>
        <v>771</v>
      </c>
      <c r="E774" s="1243">
        <v>1</v>
      </c>
      <c r="G774" s="24"/>
      <c r="I774" s="98"/>
      <c r="J774" s="97"/>
      <c r="K774" s="74"/>
      <c r="L774" s="74"/>
      <c r="N774" s="9" t="s">
        <v>905</v>
      </c>
      <c r="Q774" s="1845" t="str">
        <f>CHOOSE(2, "6722000003693", "S/GP (5) Net Sales Direct BPS OSP service")</f>
        <v>S/GP (5) Net Sales Direct BPS OSP service</v>
      </c>
      <c r="R774" s="2036">
        <v>0</v>
      </c>
      <c r="S774" s="2040">
        <v>0</v>
      </c>
      <c r="T774" s="2036">
        <v>0</v>
      </c>
      <c r="U774" s="2036">
        <v>0</v>
      </c>
      <c r="V774" s="2036">
        <v>0</v>
      </c>
      <c r="W774" s="2036">
        <v>0</v>
      </c>
      <c r="X774" s="2036">
        <v>0</v>
      </c>
      <c r="Y774" s="2036">
        <v>0</v>
      </c>
      <c r="Z774" s="2036">
        <v>0</v>
      </c>
      <c r="AA774" s="2036">
        <v>0</v>
      </c>
      <c r="AB774" s="2036">
        <v>0</v>
      </c>
      <c r="AC774" s="2036">
        <v>0</v>
      </c>
      <c r="AD774" s="100">
        <f>SUM(R774,S774,T774)</f>
        <v>0</v>
      </c>
      <c r="AE774" s="19">
        <f t="shared" si="1544"/>
        <v>0</v>
      </c>
      <c r="AF774" s="19">
        <f t="shared" si="1545"/>
        <v>0</v>
      </c>
      <c r="AG774" s="19">
        <f t="shared" si="1546"/>
        <v>0</v>
      </c>
      <c r="AH774" s="19">
        <f>AD774+AE774</f>
        <v>0</v>
      </c>
      <c r="AI774" s="19">
        <f>AG774+AF774</f>
        <v>0</v>
      </c>
      <c r="AJ774" s="100">
        <f>AH774+AI774</f>
        <v>0</v>
      </c>
      <c r="AL774" s="19">
        <f ca="1">SUM((INDIRECT(AL$2&amp;(ROW())):INDIRECT(AL$3&amp;(ROW()))))</f>
        <v>0</v>
      </c>
      <c r="AM774" s="100">
        <f ca="1">SUM(INDIRECT(AM$1&amp;AM$2&amp;$C774):INDIRECT(AM$1&amp;AM$3&amp;$C774))</f>
        <v>0</v>
      </c>
      <c r="AN774" s="906">
        <f t="shared" ca="1" si="1512"/>
        <v>0</v>
      </c>
      <c r="AO774" s="967">
        <f t="shared" ca="1" si="1513"/>
        <v>0</v>
      </c>
      <c r="AP774" s="100">
        <f ca="1">SUM(INDIRECT(AP$1&amp;AP$2&amp;$A774):INDIRECT(AP$1&amp;AP$3&amp;$A774))+SUM(INDIRECT(AP$1&amp;AP$2&amp;$B774):INDIRECT(AP$1&amp;AP$3&amp;$B774))</f>
        <v>0</v>
      </c>
      <c r="AQ774" s="906">
        <f t="shared" ca="1" si="1514"/>
        <v>0</v>
      </c>
      <c r="AR774" s="967">
        <f t="shared" ca="1" si="1515"/>
        <v>0</v>
      </c>
      <c r="AT774" s="19">
        <f ca="1">SUM((INDIRECT(AT$2&amp;(ROW())):INDIRECT(AT$3&amp;(ROW()))))</f>
        <v>0</v>
      </c>
      <c r="AU774" s="100">
        <f ca="1">SUM(INDIRECT(AU$1&amp;AU$2&amp;$C774):INDIRECT(AU$1&amp;AU$3&amp;$C774))</f>
        <v>0</v>
      </c>
      <c r="AV774" s="906">
        <f t="shared" ca="1" si="1516"/>
        <v>0</v>
      </c>
      <c r="AW774" s="967">
        <f t="shared" ca="1" si="1517"/>
        <v>0</v>
      </c>
      <c r="AX774" s="100">
        <f ca="1">SUM(INDIRECT(AX$1&amp;AX$2&amp;$A774):INDIRECT(AX$1&amp;AX$3&amp;$A774))+SUM(INDIRECT(AX$1&amp;AX$2&amp;$B774):INDIRECT(AX$1&amp;AX$3&amp;$B774))</f>
        <v>0</v>
      </c>
      <c r="AY774" s="906">
        <f t="shared" ca="1" si="1518"/>
        <v>0</v>
      </c>
      <c r="AZ774" s="967">
        <f t="shared" ca="1" si="1519"/>
        <v>0</v>
      </c>
      <c r="BB774" s="19">
        <f ca="1">SUM((INDIRECT(BB$2&amp;(ROW())):INDIRECT(BB$3&amp;(ROW()))))</f>
        <v>0</v>
      </c>
      <c r="BC774" s="100">
        <f ca="1">SUM(INDIRECT(BC$1&amp;BC$2&amp;$C774):INDIRECT(BC$1&amp;BC$3&amp;$C774))</f>
        <v>0</v>
      </c>
      <c r="BD774" s="906">
        <f t="shared" ca="1" si="1520"/>
        <v>0</v>
      </c>
      <c r="BE774" s="967">
        <f t="shared" ca="1" si="1521"/>
        <v>0</v>
      </c>
      <c r="BF774" s="100">
        <f ca="1">SUM(INDIRECT(BF$1&amp;BF$2&amp;$A774):INDIRECT(BF$1&amp;BF$3&amp;$A774))+SUM(INDIRECT(BF$1&amp;BF$2&amp;$B774):INDIRECT(BF$1&amp;BF$3&amp;$B774))</f>
        <v>0</v>
      </c>
      <c r="BG774" s="906">
        <f t="shared" ca="1" si="1522"/>
        <v>0</v>
      </c>
      <c r="BH774" s="967">
        <f t="shared" ca="1" si="1523"/>
        <v>0</v>
      </c>
    </row>
    <row r="775" spans="1:60" ht="14.5">
      <c r="A775" s="990">
        <f t="shared" si="1457"/>
        <v>710</v>
      </c>
      <c r="B775" s="990">
        <v>1</v>
      </c>
      <c r="C775" s="990">
        <f t="shared" si="1541"/>
        <v>772</v>
      </c>
      <c r="E775" s="1243">
        <v>1</v>
      </c>
      <c r="G775" s="24"/>
      <c r="I775" s="98"/>
      <c r="J775" s="97"/>
      <c r="K775" s="74"/>
      <c r="L775" s="74"/>
      <c r="M775" s="12"/>
      <c r="N775" s="9" t="s">
        <v>906</v>
      </c>
      <c r="Q775" s="1845" t="str">
        <f>CHOOSE(2, "6722000003694", "S/GP (5) Net Sales Direct BPS RP service")</f>
        <v>S/GP (5) Net Sales Direct BPS RP service</v>
      </c>
      <c r="R775" s="2036">
        <v>0</v>
      </c>
      <c r="S775" s="2040">
        <v>0</v>
      </c>
      <c r="T775" s="2036">
        <v>0</v>
      </c>
      <c r="U775" s="2036">
        <v>0</v>
      </c>
      <c r="V775" s="2036">
        <v>0</v>
      </c>
      <c r="W775" s="2036">
        <v>0</v>
      </c>
      <c r="X775" s="2036">
        <v>0</v>
      </c>
      <c r="Y775" s="2036">
        <v>0</v>
      </c>
      <c r="Z775" s="2036">
        <v>0</v>
      </c>
      <c r="AA775" s="2036">
        <v>0</v>
      </c>
      <c r="AB775" s="2036">
        <v>0</v>
      </c>
      <c r="AC775" s="2036">
        <v>0</v>
      </c>
      <c r="AD775" s="100">
        <f>SUM(R775,S775,T775)</f>
        <v>0</v>
      </c>
      <c r="AE775" s="19">
        <f t="shared" si="1544"/>
        <v>0</v>
      </c>
      <c r="AF775" s="19">
        <f t="shared" si="1545"/>
        <v>0</v>
      </c>
      <c r="AG775" s="19">
        <f t="shared" si="1546"/>
        <v>0</v>
      </c>
      <c r="AH775" s="19">
        <f>AD775+AE775</f>
        <v>0</v>
      </c>
      <c r="AI775" s="19">
        <f>AG775+AF775</f>
        <v>0</v>
      </c>
      <c r="AJ775" s="100">
        <f>AH775+AI775</f>
        <v>0</v>
      </c>
      <c r="AL775" s="19">
        <f ca="1">SUM((INDIRECT(AL$2&amp;(ROW())):INDIRECT(AL$3&amp;(ROW()))))</f>
        <v>0</v>
      </c>
      <c r="AM775" s="100">
        <f ca="1">SUM(INDIRECT(AM$1&amp;AM$2&amp;$C775):INDIRECT(AM$1&amp;AM$3&amp;$C775))</f>
        <v>0</v>
      </c>
      <c r="AN775" s="906">
        <f t="shared" ca="1" si="1512"/>
        <v>0</v>
      </c>
      <c r="AO775" s="967">
        <f t="shared" ca="1" si="1513"/>
        <v>0</v>
      </c>
      <c r="AP775" s="100">
        <f ca="1">SUM(INDIRECT(AP$1&amp;AP$2&amp;$A775):INDIRECT(AP$1&amp;AP$3&amp;$A775))+SUM(INDIRECT(AP$1&amp;AP$2&amp;$B775):INDIRECT(AP$1&amp;AP$3&amp;$B775))</f>
        <v>0</v>
      </c>
      <c r="AQ775" s="906">
        <f t="shared" ca="1" si="1514"/>
        <v>0</v>
      </c>
      <c r="AR775" s="967">
        <f t="shared" ca="1" si="1515"/>
        <v>0</v>
      </c>
      <c r="AT775" s="19">
        <f ca="1">SUM((INDIRECT(AT$2&amp;(ROW())):INDIRECT(AT$3&amp;(ROW()))))</f>
        <v>0</v>
      </c>
      <c r="AU775" s="100">
        <f ca="1">SUM(INDIRECT(AU$1&amp;AU$2&amp;$C775):INDIRECT(AU$1&amp;AU$3&amp;$C775))</f>
        <v>0</v>
      </c>
      <c r="AV775" s="906">
        <f t="shared" ca="1" si="1516"/>
        <v>0</v>
      </c>
      <c r="AW775" s="967">
        <f t="shared" ca="1" si="1517"/>
        <v>0</v>
      </c>
      <c r="AX775" s="100">
        <f ca="1">SUM(INDIRECT(AX$1&amp;AX$2&amp;$A775):INDIRECT(AX$1&amp;AX$3&amp;$A775))+SUM(INDIRECT(AX$1&amp;AX$2&amp;$B775):INDIRECT(AX$1&amp;AX$3&amp;$B775))</f>
        <v>0</v>
      </c>
      <c r="AY775" s="906">
        <f t="shared" ca="1" si="1518"/>
        <v>0</v>
      </c>
      <c r="AZ775" s="967">
        <f t="shared" ca="1" si="1519"/>
        <v>0</v>
      </c>
      <c r="BB775" s="19">
        <f ca="1">SUM((INDIRECT(BB$2&amp;(ROW())):INDIRECT(BB$3&amp;(ROW()))))</f>
        <v>0</v>
      </c>
      <c r="BC775" s="100">
        <f ca="1">SUM(INDIRECT(BC$1&amp;BC$2&amp;$C775):INDIRECT(BC$1&amp;BC$3&amp;$C775))</f>
        <v>0</v>
      </c>
      <c r="BD775" s="906">
        <f t="shared" ca="1" si="1520"/>
        <v>0</v>
      </c>
      <c r="BE775" s="967">
        <f t="shared" ca="1" si="1521"/>
        <v>0</v>
      </c>
      <c r="BF775" s="100">
        <f ca="1">SUM(INDIRECT(BF$1&amp;BF$2&amp;$A775):INDIRECT(BF$1&amp;BF$3&amp;$A775))+SUM(INDIRECT(BF$1&amp;BF$2&amp;$B775):INDIRECT(BF$1&amp;BF$3&amp;$B775))</f>
        <v>0</v>
      </c>
      <c r="BG775" s="906">
        <f t="shared" ca="1" si="1522"/>
        <v>0</v>
      </c>
      <c r="BH775" s="967">
        <f t="shared" ca="1" si="1523"/>
        <v>0</v>
      </c>
    </row>
    <row r="776" spans="1:60" ht="14.5">
      <c r="A776" s="990">
        <v>1</v>
      </c>
      <c r="B776" s="990">
        <v>1</v>
      </c>
      <c r="C776" s="990">
        <f t="shared" si="1541"/>
        <v>773</v>
      </c>
      <c r="E776" s="1243">
        <v>1</v>
      </c>
      <c r="G776" s="24"/>
      <c r="I776" s="98"/>
      <c r="J776" s="97"/>
      <c r="K776" s="74"/>
      <c r="L776" s="74"/>
      <c r="M776" s="4" t="s">
        <v>1257</v>
      </c>
      <c r="N776" s="362"/>
      <c r="O776" s="362"/>
      <c r="P776" s="362"/>
      <c r="Q776" s="1843" t="str">
        <f>CHOOSE(2, "6722000003695", "S/GP (5) Net Sales Direct ICW-WK")</f>
        <v>S/GP (5) Net Sales Direct ICW-WK</v>
      </c>
      <c r="R776" s="361">
        <f>SUM(R777:R780)</f>
        <v>0</v>
      </c>
      <c r="S776" s="2054">
        <f t="shared" ref="S776:AC776" si="1547">SUM(S777:S780)</f>
        <v>0</v>
      </c>
      <c r="T776" s="361">
        <f t="shared" si="1547"/>
        <v>0</v>
      </c>
      <c r="U776" s="361">
        <f t="shared" si="1547"/>
        <v>0</v>
      </c>
      <c r="V776" s="361">
        <f t="shared" si="1547"/>
        <v>0</v>
      </c>
      <c r="W776" s="361">
        <f t="shared" si="1547"/>
        <v>0</v>
      </c>
      <c r="X776" s="361">
        <f t="shared" si="1547"/>
        <v>0</v>
      </c>
      <c r="Y776" s="361">
        <f t="shared" si="1547"/>
        <v>0</v>
      </c>
      <c r="Z776" s="361">
        <f t="shared" si="1547"/>
        <v>0</v>
      </c>
      <c r="AA776" s="361">
        <f t="shared" si="1547"/>
        <v>0</v>
      </c>
      <c r="AB776" s="361">
        <f t="shared" si="1547"/>
        <v>0</v>
      </c>
      <c r="AC776" s="361">
        <f t="shared" si="1547"/>
        <v>0</v>
      </c>
      <c r="AD776" s="375">
        <f t="shared" ref="AD776:AJ776" si="1548">SUM(AD777:AD780)</f>
        <v>0</v>
      </c>
      <c r="AE776" s="361">
        <f t="shared" si="1548"/>
        <v>0</v>
      </c>
      <c r="AF776" s="361">
        <f t="shared" si="1548"/>
        <v>0</v>
      </c>
      <c r="AG776" s="361">
        <f t="shared" si="1548"/>
        <v>0</v>
      </c>
      <c r="AH776" s="361">
        <f t="shared" si="1548"/>
        <v>0</v>
      </c>
      <c r="AI776" s="361">
        <f t="shared" si="1548"/>
        <v>0</v>
      </c>
      <c r="AJ776" s="375">
        <f t="shared" si="1548"/>
        <v>0</v>
      </c>
      <c r="AL776" s="361">
        <f ca="1">SUM((INDIRECT(AL$2&amp;(ROW())):INDIRECT(AL$3&amp;(ROW()))))</f>
        <v>0</v>
      </c>
      <c r="AM776" s="375">
        <f ca="1">SUM(INDIRECT(AM$1&amp;AM$2&amp;$C776):INDIRECT(AM$1&amp;AM$3&amp;$C776))</f>
        <v>0</v>
      </c>
      <c r="AN776" s="910">
        <f t="shared" ca="1" si="1512"/>
        <v>0</v>
      </c>
      <c r="AO776" s="971">
        <f t="shared" ca="1" si="1513"/>
        <v>0</v>
      </c>
      <c r="AP776" s="375">
        <f ca="1">SUM(INDIRECT(AP$1&amp;AP$2&amp;$A776):INDIRECT(AP$1&amp;AP$3&amp;$A776))+SUM(INDIRECT(AP$1&amp;AP$2&amp;$B776):INDIRECT(AP$1&amp;AP$3&amp;$B776))</f>
        <v>0</v>
      </c>
      <c r="AQ776" s="910">
        <f t="shared" ca="1" si="1514"/>
        <v>0</v>
      </c>
      <c r="AR776" s="971">
        <f t="shared" ca="1" si="1515"/>
        <v>0</v>
      </c>
      <c r="AT776" s="361">
        <f ca="1">SUM((INDIRECT(AT$2&amp;(ROW())):INDIRECT(AT$3&amp;(ROW()))))</f>
        <v>0</v>
      </c>
      <c r="AU776" s="375">
        <f ca="1">SUM(INDIRECT(AU$1&amp;AU$2&amp;$C776):INDIRECT(AU$1&amp;AU$3&amp;$C776))</f>
        <v>0</v>
      </c>
      <c r="AV776" s="910">
        <f t="shared" ca="1" si="1516"/>
        <v>0</v>
      </c>
      <c r="AW776" s="971">
        <f t="shared" ca="1" si="1517"/>
        <v>0</v>
      </c>
      <c r="AX776" s="375">
        <f ca="1">SUM(INDIRECT(AX$1&amp;AX$2&amp;$A776):INDIRECT(AX$1&amp;AX$3&amp;$A776))+SUM(INDIRECT(AX$1&amp;AX$2&amp;$B776):INDIRECT(AX$1&amp;AX$3&amp;$B776))</f>
        <v>0</v>
      </c>
      <c r="AY776" s="910">
        <f t="shared" ca="1" si="1518"/>
        <v>0</v>
      </c>
      <c r="AZ776" s="971">
        <f t="shared" ca="1" si="1519"/>
        <v>0</v>
      </c>
      <c r="BB776" s="361">
        <f ca="1">SUM((INDIRECT(BB$2&amp;(ROW())):INDIRECT(BB$3&amp;(ROW()))))</f>
        <v>0</v>
      </c>
      <c r="BC776" s="375">
        <f ca="1">SUM(INDIRECT(BC$1&amp;BC$2&amp;$C776):INDIRECT(BC$1&amp;BC$3&amp;$C776))</f>
        <v>0</v>
      </c>
      <c r="BD776" s="910">
        <f t="shared" ca="1" si="1520"/>
        <v>0</v>
      </c>
      <c r="BE776" s="971">
        <f t="shared" ca="1" si="1521"/>
        <v>0</v>
      </c>
      <c r="BF776" s="375">
        <f ca="1">SUM(INDIRECT(BF$1&amp;BF$2&amp;$A776):INDIRECT(BF$1&amp;BF$3&amp;$A776))+SUM(INDIRECT(BF$1&amp;BF$2&amp;$B776):INDIRECT(BF$1&amp;BF$3&amp;$B776))</f>
        <v>0</v>
      </c>
      <c r="BG776" s="910">
        <f t="shared" ca="1" si="1522"/>
        <v>0</v>
      </c>
      <c r="BH776" s="971">
        <f t="shared" ca="1" si="1523"/>
        <v>0</v>
      </c>
    </row>
    <row r="777" spans="1:60" ht="14.5">
      <c r="A777" s="990">
        <v>1</v>
      </c>
      <c r="B777" s="990">
        <v>1</v>
      </c>
      <c r="C777" s="990">
        <f t="shared" si="1541"/>
        <v>774</v>
      </c>
      <c r="E777" s="1243">
        <v>1</v>
      </c>
      <c r="G777" s="24"/>
      <c r="I777" s="98"/>
      <c r="J777" s="97"/>
      <c r="K777" s="74"/>
      <c r="L777" s="74"/>
      <c r="N777" s="111" t="s">
        <v>903</v>
      </c>
      <c r="O777" s="111"/>
      <c r="P777" s="111"/>
      <c r="Q777" s="1845" t="str">
        <f>CHOOSE(2, "6722000003696", "S/GP (5) Net Sales Direct ICW-WK OSP")</f>
        <v>S/GP (5) Net Sales Direct ICW-WK OSP</v>
      </c>
      <c r="R777" s="2042">
        <v>0</v>
      </c>
      <c r="S777" s="2055">
        <v>0</v>
      </c>
      <c r="T777" s="2042">
        <v>0</v>
      </c>
      <c r="U777" s="2042">
        <v>0</v>
      </c>
      <c r="V777" s="2042">
        <v>0</v>
      </c>
      <c r="W777" s="2042">
        <v>0</v>
      </c>
      <c r="X777" s="2042">
        <v>0</v>
      </c>
      <c r="Y777" s="2042">
        <v>0</v>
      </c>
      <c r="Z777" s="2042">
        <v>0</v>
      </c>
      <c r="AA777" s="2042">
        <v>0</v>
      </c>
      <c r="AB777" s="2042">
        <v>0</v>
      </c>
      <c r="AC777" s="2042">
        <v>0</v>
      </c>
      <c r="AD777" s="376">
        <f>SUM(R777,S777,T777)</f>
        <v>0</v>
      </c>
      <c r="AE777" s="109">
        <f t="shared" ref="AE777:AE780" si="1549">SUM(U777,V777,W777)</f>
        <v>0</v>
      </c>
      <c r="AF777" s="109">
        <f t="shared" ref="AF777:AF780" si="1550">SUM(X777,Y777,Z777)</f>
        <v>0</v>
      </c>
      <c r="AG777" s="109">
        <f t="shared" ref="AG777:AG780" si="1551">SUM(AA777,AB777,AC777)</f>
        <v>0</v>
      </c>
      <c r="AH777" s="109">
        <f>AD777+AE777</f>
        <v>0</v>
      </c>
      <c r="AI777" s="109">
        <f>AG777+AF777</f>
        <v>0</v>
      </c>
      <c r="AJ777" s="376">
        <f>AH777+AI777</f>
        <v>0</v>
      </c>
      <c r="AL777" s="109">
        <f ca="1">SUM((INDIRECT(AL$2&amp;(ROW())):INDIRECT(AL$3&amp;(ROW()))))</f>
        <v>0</v>
      </c>
      <c r="AM777" s="376">
        <f ca="1">SUM(INDIRECT(AM$1&amp;AM$2&amp;$C777):INDIRECT(AM$1&amp;AM$3&amp;$C777))</f>
        <v>0</v>
      </c>
      <c r="AN777" s="904">
        <f t="shared" ca="1" si="1512"/>
        <v>0</v>
      </c>
      <c r="AO777" s="965">
        <f t="shared" ca="1" si="1513"/>
        <v>0</v>
      </c>
      <c r="AP777" s="376">
        <f ca="1">SUM(INDIRECT(AP$1&amp;AP$2&amp;$A777):INDIRECT(AP$1&amp;AP$3&amp;$A777))+SUM(INDIRECT(AP$1&amp;AP$2&amp;$B777):INDIRECT(AP$1&amp;AP$3&amp;$B777))</f>
        <v>0</v>
      </c>
      <c r="AQ777" s="904">
        <f t="shared" ca="1" si="1514"/>
        <v>0</v>
      </c>
      <c r="AR777" s="965">
        <f t="shared" ca="1" si="1515"/>
        <v>0</v>
      </c>
      <c r="AT777" s="109">
        <f ca="1">SUM((INDIRECT(AT$2&amp;(ROW())):INDIRECT(AT$3&amp;(ROW()))))</f>
        <v>0</v>
      </c>
      <c r="AU777" s="376">
        <f ca="1">SUM(INDIRECT(AU$1&amp;AU$2&amp;$C777):INDIRECT(AU$1&amp;AU$3&amp;$C777))</f>
        <v>0</v>
      </c>
      <c r="AV777" s="904">
        <f t="shared" ca="1" si="1516"/>
        <v>0</v>
      </c>
      <c r="AW777" s="965">
        <f t="shared" ca="1" si="1517"/>
        <v>0</v>
      </c>
      <c r="AX777" s="376">
        <f ca="1">SUM(INDIRECT(AX$1&amp;AX$2&amp;$A777):INDIRECT(AX$1&amp;AX$3&amp;$A777))+SUM(INDIRECT(AX$1&amp;AX$2&amp;$B777):INDIRECT(AX$1&amp;AX$3&amp;$B777))</f>
        <v>0</v>
      </c>
      <c r="AY777" s="904">
        <f t="shared" ca="1" si="1518"/>
        <v>0</v>
      </c>
      <c r="AZ777" s="965">
        <f t="shared" ca="1" si="1519"/>
        <v>0</v>
      </c>
      <c r="BB777" s="109">
        <f ca="1">SUM((INDIRECT(BB$2&amp;(ROW())):INDIRECT(BB$3&amp;(ROW()))))</f>
        <v>0</v>
      </c>
      <c r="BC777" s="376">
        <f ca="1">SUM(INDIRECT(BC$1&amp;BC$2&amp;$C777):INDIRECT(BC$1&amp;BC$3&amp;$C777))</f>
        <v>0</v>
      </c>
      <c r="BD777" s="904">
        <f t="shared" ca="1" si="1520"/>
        <v>0</v>
      </c>
      <c r="BE777" s="965">
        <f t="shared" ca="1" si="1521"/>
        <v>0</v>
      </c>
      <c r="BF777" s="376">
        <f ca="1">SUM(INDIRECT(BF$1&amp;BF$2&amp;$A777):INDIRECT(BF$1&amp;BF$3&amp;$A777))+SUM(INDIRECT(BF$1&amp;BF$2&amp;$B777):INDIRECT(BF$1&amp;BF$3&amp;$B777))</f>
        <v>0</v>
      </c>
      <c r="BG777" s="904">
        <f t="shared" ca="1" si="1522"/>
        <v>0</v>
      </c>
      <c r="BH777" s="965">
        <f t="shared" ca="1" si="1523"/>
        <v>0</v>
      </c>
    </row>
    <row r="778" spans="1:60" ht="14.5">
      <c r="A778" s="990">
        <v>1</v>
      </c>
      <c r="B778" s="990">
        <v>1</v>
      </c>
      <c r="C778" s="990">
        <f t="shared" si="1541"/>
        <v>775</v>
      </c>
      <c r="E778" s="1243">
        <v>1</v>
      </c>
      <c r="G778" s="24"/>
      <c r="I778" s="98"/>
      <c r="J778" s="97"/>
      <c r="K778" s="74"/>
      <c r="L778" s="74"/>
      <c r="N778" s="9" t="s">
        <v>904</v>
      </c>
      <c r="Q778" s="1845" t="str">
        <f>CHOOSE(2, "6722000003697", "S/GP (5) Net Sales Direct ICW-WK RP")</f>
        <v>S/GP (5) Net Sales Direct ICW-WK RP</v>
      </c>
      <c r="R778" s="2036">
        <v>0</v>
      </c>
      <c r="S778" s="2040">
        <v>0</v>
      </c>
      <c r="T778" s="2036">
        <v>0</v>
      </c>
      <c r="U778" s="2036">
        <v>0</v>
      </c>
      <c r="V778" s="2036">
        <v>0</v>
      </c>
      <c r="W778" s="2036">
        <v>0</v>
      </c>
      <c r="X778" s="2036">
        <v>0</v>
      </c>
      <c r="Y778" s="2036">
        <v>0</v>
      </c>
      <c r="Z778" s="2036">
        <v>0</v>
      </c>
      <c r="AA778" s="2036">
        <v>0</v>
      </c>
      <c r="AB778" s="2036">
        <v>0</v>
      </c>
      <c r="AC778" s="2036">
        <v>0</v>
      </c>
      <c r="AD778" s="100">
        <f>SUM(R778,S778,T778)</f>
        <v>0</v>
      </c>
      <c r="AE778" s="19">
        <f t="shared" si="1549"/>
        <v>0</v>
      </c>
      <c r="AF778" s="19">
        <f t="shared" si="1550"/>
        <v>0</v>
      </c>
      <c r="AG778" s="19">
        <f t="shared" si="1551"/>
        <v>0</v>
      </c>
      <c r="AH778" s="19">
        <f>AD778+AE778</f>
        <v>0</v>
      </c>
      <c r="AI778" s="19">
        <f>AG778+AF778</f>
        <v>0</v>
      </c>
      <c r="AJ778" s="100">
        <f>AH778+AI778</f>
        <v>0</v>
      </c>
      <c r="AL778" s="19">
        <f ca="1">SUM((INDIRECT(AL$2&amp;(ROW())):INDIRECT(AL$3&amp;(ROW()))))</f>
        <v>0</v>
      </c>
      <c r="AM778" s="100">
        <f ca="1">SUM(INDIRECT(AM$1&amp;AM$2&amp;$C778):INDIRECT(AM$1&amp;AM$3&amp;$C778))</f>
        <v>0</v>
      </c>
      <c r="AN778" s="906">
        <f t="shared" ca="1" si="1512"/>
        <v>0</v>
      </c>
      <c r="AO778" s="967">
        <f t="shared" ca="1" si="1513"/>
        <v>0</v>
      </c>
      <c r="AP778" s="100">
        <f ca="1">SUM(INDIRECT(AP$1&amp;AP$2&amp;$A778):INDIRECT(AP$1&amp;AP$3&amp;$A778))+SUM(INDIRECT(AP$1&amp;AP$2&amp;$B778):INDIRECT(AP$1&amp;AP$3&amp;$B778))</f>
        <v>0</v>
      </c>
      <c r="AQ778" s="906">
        <f t="shared" ca="1" si="1514"/>
        <v>0</v>
      </c>
      <c r="AR778" s="967">
        <f t="shared" ca="1" si="1515"/>
        <v>0</v>
      </c>
      <c r="AT778" s="19">
        <f ca="1">SUM((INDIRECT(AT$2&amp;(ROW())):INDIRECT(AT$3&amp;(ROW()))))</f>
        <v>0</v>
      </c>
      <c r="AU778" s="100">
        <f ca="1">SUM(INDIRECT(AU$1&amp;AU$2&amp;$C778):INDIRECT(AU$1&amp;AU$3&amp;$C778))</f>
        <v>0</v>
      </c>
      <c r="AV778" s="906">
        <f t="shared" ca="1" si="1516"/>
        <v>0</v>
      </c>
      <c r="AW778" s="967">
        <f t="shared" ca="1" si="1517"/>
        <v>0</v>
      </c>
      <c r="AX778" s="100">
        <f ca="1">SUM(INDIRECT(AX$1&amp;AX$2&amp;$A778):INDIRECT(AX$1&amp;AX$3&amp;$A778))+SUM(INDIRECT(AX$1&amp;AX$2&amp;$B778):INDIRECT(AX$1&amp;AX$3&amp;$B778))</f>
        <v>0</v>
      </c>
      <c r="AY778" s="906">
        <f t="shared" ca="1" si="1518"/>
        <v>0</v>
      </c>
      <c r="AZ778" s="967">
        <f t="shared" ca="1" si="1519"/>
        <v>0</v>
      </c>
      <c r="BB778" s="19">
        <f ca="1">SUM((INDIRECT(BB$2&amp;(ROW())):INDIRECT(BB$3&amp;(ROW()))))</f>
        <v>0</v>
      </c>
      <c r="BC778" s="100">
        <f ca="1">SUM(INDIRECT(BC$1&amp;BC$2&amp;$C778):INDIRECT(BC$1&amp;BC$3&amp;$C778))</f>
        <v>0</v>
      </c>
      <c r="BD778" s="906">
        <f t="shared" ca="1" si="1520"/>
        <v>0</v>
      </c>
      <c r="BE778" s="967">
        <f t="shared" ca="1" si="1521"/>
        <v>0</v>
      </c>
      <c r="BF778" s="100">
        <f ca="1">SUM(INDIRECT(BF$1&amp;BF$2&amp;$A778):INDIRECT(BF$1&amp;BF$3&amp;$A778))+SUM(INDIRECT(BF$1&amp;BF$2&amp;$B778):INDIRECT(BF$1&amp;BF$3&amp;$B778))</f>
        <v>0</v>
      </c>
      <c r="BG778" s="906">
        <f t="shared" ca="1" si="1522"/>
        <v>0</v>
      </c>
      <c r="BH778" s="967">
        <f t="shared" ca="1" si="1523"/>
        <v>0</v>
      </c>
    </row>
    <row r="779" spans="1:60" ht="14.5">
      <c r="A779" s="990">
        <v>1</v>
      </c>
      <c r="B779" s="990">
        <v>1</v>
      </c>
      <c r="C779" s="990">
        <f t="shared" si="1541"/>
        <v>776</v>
      </c>
      <c r="E779" s="1243">
        <v>1</v>
      </c>
      <c r="G779" s="24"/>
      <c r="I779" s="98"/>
      <c r="J779" s="97"/>
      <c r="K779" s="74"/>
      <c r="L779" s="74"/>
      <c r="N779" s="9" t="s">
        <v>905</v>
      </c>
      <c r="Q779" s="1845" t="str">
        <f>CHOOSE(2, "6722000003698", "S/GP (5) Net Sales Direct ICW-WK OSP service")</f>
        <v>S/GP (5) Net Sales Direct ICW-WK OSP service</v>
      </c>
      <c r="R779" s="2036">
        <v>0</v>
      </c>
      <c r="S779" s="2040">
        <v>0</v>
      </c>
      <c r="T779" s="2036">
        <v>0</v>
      </c>
      <c r="U779" s="2036">
        <v>0</v>
      </c>
      <c r="V779" s="2036">
        <v>0</v>
      </c>
      <c r="W779" s="2036">
        <v>0</v>
      </c>
      <c r="X779" s="2036">
        <v>0</v>
      </c>
      <c r="Y779" s="2036">
        <v>0</v>
      </c>
      <c r="Z779" s="2036">
        <v>0</v>
      </c>
      <c r="AA779" s="2036">
        <v>0</v>
      </c>
      <c r="AB779" s="2036">
        <v>0</v>
      </c>
      <c r="AC779" s="2036">
        <v>0</v>
      </c>
      <c r="AD779" s="100">
        <f>SUM(R779,S779,T779)</f>
        <v>0</v>
      </c>
      <c r="AE779" s="19">
        <f t="shared" si="1549"/>
        <v>0</v>
      </c>
      <c r="AF779" s="19">
        <f t="shared" si="1550"/>
        <v>0</v>
      </c>
      <c r="AG779" s="19">
        <f t="shared" si="1551"/>
        <v>0</v>
      </c>
      <c r="AH779" s="19">
        <f>AD779+AE779</f>
        <v>0</v>
      </c>
      <c r="AI779" s="19">
        <f>AG779+AF779</f>
        <v>0</v>
      </c>
      <c r="AJ779" s="100">
        <f>AH779+AI779</f>
        <v>0</v>
      </c>
      <c r="AL779" s="19">
        <f ca="1">SUM((INDIRECT(AL$2&amp;(ROW())):INDIRECT(AL$3&amp;(ROW()))))</f>
        <v>0</v>
      </c>
      <c r="AM779" s="100">
        <f ca="1">SUM(INDIRECT(AM$1&amp;AM$2&amp;$C779):INDIRECT(AM$1&amp;AM$3&amp;$C779))</f>
        <v>0</v>
      </c>
      <c r="AN779" s="906">
        <f t="shared" ca="1" si="1512"/>
        <v>0</v>
      </c>
      <c r="AO779" s="967">
        <f t="shared" ca="1" si="1513"/>
        <v>0</v>
      </c>
      <c r="AP779" s="100">
        <f ca="1">SUM(INDIRECT(AP$1&amp;AP$2&amp;$A779):INDIRECT(AP$1&amp;AP$3&amp;$A779))+SUM(INDIRECT(AP$1&amp;AP$2&amp;$B779):INDIRECT(AP$1&amp;AP$3&amp;$B779))</f>
        <v>0</v>
      </c>
      <c r="AQ779" s="906">
        <f t="shared" ca="1" si="1514"/>
        <v>0</v>
      </c>
      <c r="AR779" s="967">
        <f t="shared" ca="1" si="1515"/>
        <v>0</v>
      </c>
      <c r="AT779" s="19">
        <f ca="1">SUM((INDIRECT(AT$2&amp;(ROW())):INDIRECT(AT$3&amp;(ROW()))))</f>
        <v>0</v>
      </c>
      <c r="AU779" s="100">
        <f ca="1">SUM(INDIRECT(AU$1&amp;AU$2&amp;$C779):INDIRECT(AU$1&amp;AU$3&amp;$C779))</f>
        <v>0</v>
      </c>
      <c r="AV779" s="906">
        <f t="shared" ca="1" si="1516"/>
        <v>0</v>
      </c>
      <c r="AW779" s="967">
        <f t="shared" ca="1" si="1517"/>
        <v>0</v>
      </c>
      <c r="AX779" s="100">
        <f ca="1">SUM(INDIRECT(AX$1&amp;AX$2&amp;$A779):INDIRECT(AX$1&amp;AX$3&amp;$A779))+SUM(INDIRECT(AX$1&amp;AX$2&amp;$B779):INDIRECT(AX$1&amp;AX$3&amp;$B779))</f>
        <v>0</v>
      </c>
      <c r="AY779" s="906">
        <f t="shared" ca="1" si="1518"/>
        <v>0</v>
      </c>
      <c r="AZ779" s="967">
        <f t="shared" ca="1" si="1519"/>
        <v>0</v>
      </c>
      <c r="BB779" s="19">
        <f ca="1">SUM((INDIRECT(BB$2&amp;(ROW())):INDIRECT(BB$3&amp;(ROW()))))</f>
        <v>0</v>
      </c>
      <c r="BC779" s="100">
        <f ca="1">SUM(INDIRECT(BC$1&amp;BC$2&amp;$C779):INDIRECT(BC$1&amp;BC$3&amp;$C779))</f>
        <v>0</v>
      </c>
      <c r="BD779" s="906">
        <f t="shared" ca="1" si="1520"/>
        <v>0</v>
      </c>
      <c r="BE779" s="967">
        <f t="shared" ca="1" si="1521"/>
        <v>0</v>
      </c>
      <c r="BF779" s="100">
        <f ca="1">SUM(INDIRECT(BF$1&amp;BF$2&amp;$A779):INDIRECT(BF$1&amp;BF$3&amp;$A779))+SUM(INDIRECT(BF$1&amp;BF$2&amp;$B779):INDIRECT(BF$1&amp;BF$3&amp;$B779))</f>
        <v>0</v>
      </c>
      <c r="BG779" s="906">
        <f t="shared" ca="1" si="1522"/>
        <v>0</v>
      </c>
      <c r="BH779" s="967">
        <f t="shared" ca="1" si="1523"/>
        <v>0</v>
      </c>
    </row>
    <row r="780" spans="1:60" ht="14.5">
      <c r="A780" s="990">
        <v>1</v>
      </c>
      <c r="B780" s="990">
        <v>1</v>
      </c>
      <c r="C780" s="990">
        <f t="shared" si="1541"/>
        <v>777</v>
      </c>
      <c r="E780" s="1243">
        <v>1</v>
      </c>
      <c r="G780" s="24"/>
      <c r="I780" s="98"/>
      <c r="J780" s="97"/>
      <c r="K780" s="74"/>
      <c r="L780" s="74"/>
      <c r="M780" s="12"/>
      <c r="N780" s="9" t="s">
        <v>906</v>
      </c>
      <c r="Q780" s="1845" t="str">
        <f>CHOOSE(2, "6722000003699", "S/GP (5) Net Sales Direct ICW-WK RP service")</f>
        <v>S/GP (5) Net Sales Direct ICW-WK RP service</v>
      </c>
      <c r="R780" s="2036">
        <v>0</v>
      </c>
      <c r="S780" s="2040">
        <v>0</v>
      </c>
      <c r="T780" s="2036">
        <v>0</v>
      </c>
      <c r="U780" s="2036">
        <v>0</v>
      </c>
      <c r="V780" s="2036">
        <v>0</v>
      </c>
      <c r="W780" s="2036">
        <v>0</v>
      </c>
      <c r="X780" s="2036">
        <v>0</v>
      </c>
      <c r="Y780" s="2036">
        <v>0</v>
      </c>
      <c r="Z780" s="2036">
        <v>0</v>
      </c>
      <c r="AA780" s="2036">
        <v>0</v>
      </c>
      <c r="AB780" s="2036">
        <v>0</v>
      </c>
      <c r="AC780" s="2036">
        <v>0</v>
      </c>
      <c r="AD780" s="100">
        <f>SUM(R780,S780,T780)</f>
        <v>0</v>
      </c>
      <c r="AE780" s="19">
        <f t="shared" si="1549"/>
        <v>0</v>
      </c>
      <c r="AF780" s="19">
        <f t="shared" si="1550"/>
        <v>0</v>
      </c>
      <c r="AG780" s="19">
        <f t="shared" si="1551"/>
        <v>0</v>
      </c>
      <c r="AH780" s="19">
        <f>AD780+AE780</f>
        <v>0</v>
      </c>
      <c r="AI780" s="19">
        <f>AG780+AF780</f>
        <v>0</v>
      </c>
      <c r="AJ780" s="100">
        <f>AH780+AI780</f>
        <v>0</v>
      </c>
      <c r="AL780" s="19">
        <f ca="1">SUM((INDIRECT(AL$2&amp;(ROW())):INDIRECT(AL$3&amp;(ROW()))))</f>
        <v>0</v>
      </c>
      <c r="AM780" s="100">
        <f ca="1">SUM(INDIRECT(AM$1&amp;AM$2&amp;$C780):INDIRECT(AM$1&amp;AM$3&amp;$C780))</f>
        <v>0</v>
      </c>
      <c r="AN780" s="906">
        <f t="shared" ca="1" si="1512"/>
        <v>0</v>
      </c>
      <c r="AO780" s="967">
        <f t="shared" ca="1" si="1513"/>
        <v>0</v>
      </c>
      <c r="AP780" s="100">
        <f ca="1">SUM(INDIRECT(AP$1&amp;AP$2&amp;$A780):INDIRECT(AP$1&amp;AP$3&amp;$A780))+SUM(INDIRECT(AP$1&amp;AP$2&amp;$B780):INDIRECT(AP$1&amp;AP$3&amp;$B780))</f>
        <v>0</v>
      </c>
      <c r="AQ780" s="906">
        <f t="shared" ca="1" si="1514"/>
        <v>0</v>
      </c>
      <c r="AR780" s="967">
        <f t="shared" ca="1" si="1515"/>
        <v>0</v>
      </c>
      <c r="AT780" s="19">
        <f ca="1">SUM((INDIRECT(AT$2&amp;(ROW())):INDIRECT(AT$3&amp;(ROW()))))</f>
        <v>0</v>
      </c>
      <c r="AU780" s="100">
        <f ca="1">SUM(INDIRECT(AU$1&amp;AU$2&amp;$C780):INDIRECT(AU$1&amp;AU$3&amp;$C780))</f>
        <v>0</v>
      </c>
      <c r="AV780" s="906">
        <f t="shared" ca="1" si="1516"/>
        <v>0</v>
      </c>
      <c r="AW780" s="967">
        <f t="shared" ca="1" si="1517"/>
        <v>0</v>
      </c>
      <c r="AX780" s="100">
        <f ca="1">SUM(INDIRECT(AX$1&amp;AX$2&amp;$A780):INDIRECT(AX$1&amp;AX$3&amp;$A780))+SUM(INDIRECT(AX$1&amp;AX$2&amp;$B780):INDIRECT(AX$1&amp;AX$3&amp;$B780))</f>
        <v>0</v>
      </c>
      <c r="AY780" s="906">
        <f t="shared" ca="1" si="1518"/>
        <v>0</v>
      </c>
      <c r="AZ780" s="967">
        <f t="shared" ca="1" si="1519"/>
        <v>0</v>
      </c>
      <c r="BB780" s="19">
        <f ca="1">SUM((INDIRECT(BB$2&amp;(ROW())):INDIRECT(BB$3&amp;(ROW()))))</f>
        <v>0</v>
      </c>
      <c r="BC780" s="100">
        <f ca="1">SUM(INDIRECT(BC$1&amp;BC$2&amp;$C780):INDIRECT(BC$1&amp;BC$3&amp;$C780))</f>
        <v>0</v>
      </c>
      <c r="BD780" s="906">
        <f t="shared" ca="1" si="1520"/>
        <v>0</v>
      </c>
      <c r="BE780" s="967">
        <f t="shared" ca="1" si="1521"/>
        <v>0</v>
      </c>
      <c r="BF780" s="100">
        <f ca="1">SUM(INDIRECT(BF$1&amp;BF$2&amp;$A780):INDIRECT(BF$1&amp;BF$3&amp;$A780))+SUM(INDIRECT(BF$1&amp;BF$2&amp;$B780):INDIRECT(BF$1&amp;BF$3&amp;$B780))</f>
        <v>0</v>
      </c>
      <c r="BG780" s="906">
        <f t="shared" ca="1" si="1522"/>
        <v>0</v>
      </c>
      <c r="BH780" s="967">
        <f t="shared" ca="1" si="1523"/>
        <v>0</v>
      </c>
    </row>
    <row r="781" spans="1:60" ht="14.5">
      <c r="A781" s="990">
        <v>1</v>
      </c>
      <c r="B781" s="990">
        <v>1</v>
      </c>
      <c r="C781" s="990">
        <f t="shared" si="1541"/>
        <v>778</v>
      </c>
      <c r="E781" s="1243">
        <v>1</v>
      </c>
      <c r="G781" s="24"/>
      <c r="I781" s="98"/>
      <c r="J781" s="97"/>
      <c r="K781" s="74"/>
      <c r="L781" s="74"/>
      <c r="M781" s="4" t="s">
        <v>1163</v>
      </c>
      <c r="N781" s="362"/>
      <c r="O781" s="362"/>
      <c r="P781" s="362"/>
      <c r="Q781" s="1843" t="str">
        <f>CHOOSE(2, "6722000003700", "S/GP (5) Net Sales Direct ICW-P")</f>
        <v>S/GP (5) Net Sales Direct ICW-P</v>
      </c>
      <c r="R781" s="361">
        <f>SUM(R782:R785)</f>
        <v>0</v>
      </c>
      <c r="S781" s="2054">
        <f t="shared" ref="S781:AC781" si="1552">SUM(S782:S785)</f>
        <v>0</v>
      </c>
      <c r="T781" s="361">
        <f t="shared" si="1552"/>
        <v>0</v>
      </c>
      <c r="U781" s="361">
        <f t="shared" si="1552"/>
        <v>0</v>
      </c>
      <c r="V781" s="361">
        <f t="shared" si="1552"/>
        <v>0</v>
      </c>
      <c r="W781" s="361">
        <f t="shared" si="1552"/>
        <v>0</v>
      </c>
      <c r="X781" s="361">
        <f t="shared" si="1552"/>
        <v>0</v>
      </c>
      <c r="Y781" s="361">
        <f t="shared" si="1552"/>
        <v>0</v>
      </c>
      <c r="Z781" s="361">
        <f t="shared" si="1552"/>
        <v>0</v>
      </c>
      <c r="AA781" s="361">
        <f t="shared" si="1552"/>
        <v>0</v>
      </c>
      <c r="AB781" s="361">
        <f t="shared" si="1552"/>
        <v>0</v>
      </c>
      <c r="AC781" s="361">
        <f t="shared" si="1552"/>
        <v>0</v>
      </c>
      <c r="AD781" s="375">
        <f t="shared" ref="AD781:AJ781" si="1553">SUM(AD782:AD785)</f>
        <v>0</v>
      </c>
      <c r="AE781" s="361">
        <f t="shared" si="1553"/>
        <v>0</v>
      </c>
      <c r="AF781" s="361">
        <f t="shared" si="1553"/>
        <v>0</v>
      </c>
      <c r="AG781" s="361">
        <f t="shared" si="1553"/>
        <v>0</v>
      </c>
      <c r="AH781" s="361">
        <f t="shared" si="1553"/>
        <v>0</v>
      </c>
      <c r="AI781" s="361">
        <f t="shared" si="1553"/>
        <v>0</v>
      </c>
      <c r="AJ781" s="375">
        <f t="shared" si="1553"/>
        <v>0</v>
      </c>
      <c r="AL781" s="361">
        <f ca="1">SUM((INDIRECT(AL$2&amp;(ROW())):INDIRECT(AL$3&amp;(ROW()))))</f>
        <v>0</v>
      </c>
      <c r="AM781" s="375">
        <f ca="1">SUM(INDIRECT(AM$1&amp;AM$2&amp;$C781):INDIRECT(AM$1&amp;AM$3&amp;$C781))</f>
        <v>0</v>
      </c>
      <c r="AN781" s="910">
        <f t="shared" ca="1" si="1512"/>
        <v>0</v>
      </c>
      <c r="AO781" s="971">
        <f t="shared" ca="1" si="1513"/>
        <v>0</v>
      </c>
      <c r="AP781" s="375">
        <f ca="1">SUM(INDIRECT(AP$1&amp;AP$2&amp;$A781):INDIRECT(AP$1&amp;AP$3&amp;$A781))+SUM(INDIRECT(AP$1&amp;AP$2&amp;$B781):INDIRECT(AP$1&amp;AP$3&amp;$B781))</f>
        <v>0</v>
      </c>
      <c r="AQ781" s="910">
        <f t="shared" ca="1" si="1514"/>
        <v>0</v>
      </c>
      <c r="AR781" s="971">
        <f t="shared" ca="1" si="1515"/>
        <v>0</v>
      </c>
      <c r="AT781" s="361">
        <f ca="1">SUM((INDIRECT(AT$2&amp;(ROW())):INDIRECT(AT$3&amp;(ROW()))))</f>
        <v>0</v>
      </c>
      <c r="AU781" s="375">
        <f ca="1">SUM(INDIRECT(AU$1&amp;AU$2&amp;$C781):INDIRECT(AU$1&amp;AU$3&amp;$C781))</f>
        <v>0</v>
      </c>
      <c r="AV781" s="910">
        <f t="shared" ca="1" si="1516"/>
        <v>0</v>
      </c>
      <c r="AW781" s="971">
        <f t="shared" ca="1" si="1517"/>
        <v>0</v>
      </c>
      <c r="AX781" s="375">
        <f ca="1">SUM(INDIRECT(AX$1&amp;AX$2&amp;$A781):INDIRECT(AX$1&amp;AX$3&amp;$A781))+SUM(INDIRECT(AX$1&amp;AX$2&amp;$B781):INDIRECT(AX$1&amp;AX$3&amp;$B781))</f>
        <v>0</v>
      </c>
      <c r="AY781" s="910">
        <f t="shared" ca="1" si="1518"/>
        <v>0</v>
      </c>
      <c r="AZ781" s="971">
        <f t="shared" ca="1" si="1519"/>
        <v>0</v>
      </c>
      <c r="BB781" s="361">
        <f ca="1">SUM((INDIRECT(BB$2&amp;(ROW())):INDIRECT(BB$3&amp;(ROW()))))</f>
        <v>0</v>
      </c>
      <c r="BC781" s="375">
        <f ca="1">SUM(INDIRECT(BC$1&amp;BC$2&amp;$C781):INDIRECT(BC$1&amp;BC$3&amp;$C781))</f>
        <v>0</v>
      </c>
      <c r="BD781" s="910">
        <f t="shared" ca="1" si="1520"/>
        <v>0</v>
      </c>
      <c r="BE781" s="971">
        <f t="shared" ca="1" si="1521"/>
        <v>0</v>
      </c>
      <c r="BF781" s="375">
        <f ca="1">SUM(INDIRECT(BF$1&amp;BF$2&amp;$A781):INDIRECT(BF$1&amp;BF$3&amp;$A781))+SUM(INDIRECT(BF$1&amp;BF$2&amp;$B781):INDIRECT(BF$1&amp;BF$3&amp;$B781))</f>
        <v>0</v>
      </c>
      <c r="BG781" s="910">
        <f t="shared" ca="1" si="1522"/>
        <v>0</v>
      </c>
      <c r="BH781" s="971">
        <f t="shared" ca="1" si="1523"/>
        <v>0</v>
      </c>
    </row>
    <row r="782" spans="1:60" ht="14.5">
      <c r="A782" s="990">
        <v>1</v>
      </c>
      <c r="B782" s="990">
        <v>1</v>
      </c>
      <c r="C782" s="990">
        <f t="shared" si="1541"/>
        <v>779</v>
      </c>
      <c r="E782" s="1243">
        <v>1</v>
      </c>
      <c r="G782" s="24"/>
      <c r="I782" s="98"/>
      <c r="J782" s="97"/>
      <c r="K782" s="74"/>
      <c r="L782" s="74"/>
      <c r="N782" s="111" t="s">
        <v>903</v>
      </c>
      <c r="O782" s="111"/>
      <c r="P782" s="111"/>
      <c r="Q782" s="1845" t="str">
        <f>CHOOSE(2, "6722000003701", "S/GP (5) Net Sales Direct ICW-P OSP")</f>
        <v>S/GP (5) Net Sales Direct ICW-P OSP</v>
      </c>
      <c r="R782" s="2042">
        <v>0</v>
      </c>
      <c r="S782" s="2055">
        <v>0</v>
      </c>
      <c r="T782" s="2042">
        <v>0</v>
      </c>
      <c r="U782" s="2042">
        <v>0</v>
      </c>
      <c r="V782" s="2042">
        <v>0</v>
      </c>
      <c r="W782" s="2042">
        <v>0</v>
      </c>
      <c r="X782" s="2042">
        <v>0</v>
      </c>
      <c r="Y782" s="2042">
        <v>0</v>
      </c>
      <c r="Z782" s="2042">
        <v>0</v>
      </c>
      <c r="AA782" s="2042">
        <v>0</v>
      </c>
      <c r="AB782" s="2042">
        <v>0</v>
      </c>
      <c r="AC782" s="2042">
        <v>0</v>
      </c>
      <c r="AD782" s="376">
        <f>SUM(R782,S782,T782)</f>
        <v>0</v>
      </c>
      <c r="AE782" s="109">
        <f t="shared" ref="AE782:AE785" si="1554">SUM(U782,V782,W782)</f>
        <v>0</v>
      </c>
      <c r="AF782" s="109">
        <f t="shared" ref="AF782:AF785" si="1555">SUM(X782,Y782,Z782)</f>
        <v>0</v>
      </c>
      <c r="AG782" s="109">
        <f t="shared" ref="AG782:AG785" si="1556">SUM(AA782,AB782,AC782)</f>
        <v>0</v>
      </c>
      <c r="AH782" s="109">
        <f>AD782+AE782</f>
        <v>0</v>
      </c>
      <c r="AI782" s="109">
        <f>AG782+AF782</f>
        <v>0</v>
      </c>
      <c r="AJ782" s="376">
        <f>AH782+AI782</f>
        <v>0</v>
      </c>
      <c r="AL782" s="109">
        <f ca="1">SUM((INDIRECT(AL$2&amp;(ROW())):INDIRECT(AL$3&amp;(ROW()))))</f>
        <v>0</v>
      </c>
      <c r="AM782" s="376">
        <f ca="1">SUM(INDIRECT(AM$1&amp;AM$2&amp;$C782):INDIRECT(AM$1&amp;AM$3&amp;$C782))</f>
        <v>0</v>
      </c>
      <c r="AN782" s="904">
        <f t="shared" ca="1" si="1512"/>
        <v>0</v>
      </c>
      <c r="AO782" s="965">
        <f t="shared" ca="1" si="1513"/>
        <v>0</v>
      </c>
      <c r="AP782" s="376">
        <f ca="1">SUM(INDIRECT(AP$1&amp;AP$2&amp;$A782):INDIRECT(AP$1&amp;AP$3&amp;$A782))+SUM(INDIRECT(AP$1&amp;AP$2&amp;$B782):INDIRECT(AP$1&amp;AP$3&amp;$B782))</f>
        <v>0</v>
      </c>
      <c r="AQ782" s="904">
        <f t="shared" ca="1" si="1514"/>
        <v>0</v>
      </c>
      <c r="AR782" s="965">
        <f t="shared" ca="1" si="1515"/>
        <v>0</v>
      </c>
      <c r="AT782" s="109">
        <f ca="1">SUM((INDIRECT(AT$2&amp;(ROW())):INDIRECT(AT$3&amp;(ROW()))))</f>
        <v>0</v>
      </c>
      <c r="AU782" s="376">
        <f ca="1">SUM(INDIRECT(AU$1&amp;AU$2&amp;$C782):INDIRECT(AU$1&amp;AU$3&amp;$C782))</f>
        <v>0</v>
      </c>
      <c r="AV782" s="904">
        <f t="shared" ca="1" si="1516"/>
        <v>0</v>
      </c>
      <c r="AW782" s="965">
        <f t="shared" ca="1" si="1517"/>
        <v>0</v>
      </c>
      <c r="AX782" s="376">
        <f ca="1">SUM(INDIRECT(AX$1&amp;AX$2&amp;$A782):INDIRECT(AX$1&amp;AX$3&amp;$A782))+SUM(INDIRECT(AX$1&amp;AX$2&amp;$B782):INDIRECT(AX$1&amp;AX$3&amp;$B782))</f>
        <v>0</v>
      </c>
      <c r="AY782" s="904">
        <f t="shared" ca="1" si="1518"/>
        <v>0</v>
      </c>
      <c r="AZ782" s="965">
        <f t="shared" ca="1" si="1519"/>
        <v>0</v>
      </c>
      <c r="BB782" s="109">
        <f ca="1">SUM((INDIRECT(BB$2&amp;(ROW())):INDIRECT(BB$3&amp;(ROW()))))</f>
        <v>0</v>
      </c>
      <c r="BC782" s="376">
        <f ca="1">SUM(INDIRECT(BC$1&amp;BC$2&amp;$C782):INDIRECT(BC$1&amp;BC$3&amp;$C782))</f>
        <v>0</v>
      </c>
      <c r="BD782" s="904">
        <f t="shared" ca="1" si="1520"/>
        <v>0</v>
      </c>
      <c r="BE782" s="965">
        <f t="shared" ca="1" si="1521"/>
        <v>0</v>
      </c>
      <c r="BF782" s="376">
        <f ca="1">SUM(INDIRECT(BF$1&amp;BF$2&amp;$A782):INDIRECT(BF$1&amp;BF$3&amp;$A782))+SUM(INDIRECT(BF$1&amp;BF$2&amp;$B782):INDIRECT(BF$1&amp;BF$3&amp;$B782))</f>
        <v>0</v>
      </c>
      <c r="BG782" s="904">
        <f t="shared" ca="1" si="1522"/>
        <v>0</v>
      </c>
      <c r="BH782" s="965">
        <f t="shared" ca="1" si="1523"/>
        <v>0</v>
      </c>
    </row>
    <row r="783" spans="1:60" ht="14.5">
      <c r="A783" s="990">
        <v>1</v>
      </c>
      <c r="B783" s="990">
        <v>1</v>
      </c>
      <c r="C783" s="990">
        <f t="shared" si="1541"/>
        <v>780</v>
      </c>
      <c r="E783" s="1243">
        <v>1</v>
      </c>
      <c r="G783" s="24"/>
      <c r="I783" s="98"/>
      <c r="J783" s="97"/>
      <c r="K783" s="74"/>
      <c r="L783" s="74"/>
      <c r="N783" s="9" t="s">
        <v>904</v>
      </c>
      <c r="Q783" s="1845" t="str">
        <f>CHOOSE(2, "6722000003702", "S/GP (5) Net Sales Direct ICW-P RP")</f>
        <v>S/GP (5) Net Sales Direct ICW-P RP</v>
      </c>
      <c r="R783" s="2036">
        <v>0</v>
      </c>
      <c r="S783" s="2040">
        <v>0</v>
      </c>
      <c r="T783" s="2036">
        <v>0</v>
      </c>
      <c r="U783" s="2036">
        <v>0</v>
      </c>
      <c r="V783" s="2036">
        <v>0</v>
      </c>
      <c r="W783" s="2036">
        <v>0</v>
      </c>
      <c r="X783" s="2036">
        <v>0</v>
      </c>
      <c r="Y783" s="2036">
        <v>0</v>
      </c>
      <c r="Z783" s="2036">
        <v>0</v>
      </c>
      <c r="AA783" s="2036">
        <v>0</v>
      </c>
      <c r="AB783" s="2036">
        <v>0</v>
      </c>
      <c r="AC783" s="2036">
        <v>0</v>
      </c>
      <c r="AD783" s="100">
        <f>SUM(R783,S783,T783)</f>
        <v>0</v>
      </c>
      <c r="AE783" s="19">
        <f t="shared" si="1554"/>
        <v>0</v>
      </c>
      <c r="AF783" s="19">
        <f t="shared" si="1555"/>
        <v>0</v>
      </c>
      <c r="AG783" s="19">
        <f t="shared" si="1556"/>
        <v>0</v>
      </c>
      <c r="AH783" s="19">
        <f>AD783+AE783</f>
        <v>0</v>
      </c>
      <c r="AI783" s="19">
        <f>AG783+AF783</f>
        <v>0</v>
      </c>
      <c r="AJ783" s="100">
        <f>AH783+AI783</f>
        <v>0</v>
      </c>
      <c r="AL783" s="19">
        <f ca="1">SUM((INDIRECT(AL$2&amp;(ROW())):INDIRECT(AL$3&amp;(ROW()))))</f>
        <v>0</v>
      </c>
      <c r="AM783" s="100">
        <f ca="1">SUM(INDIRECT(AM$1&amp;AM$2&amp;$C783):INDIRECT(AM$1&amp;AM$3&amp;$C783))</f>
        <v>0</v>
      </c>
      <c r="AN783" s="906">
        <f t="shared" ca="1" si="1512"/>
        <v>0</v>
      </c>
      <c r="AO783" s="967">
        <f t="shared" ca="1" si="1513"/>
        <v>0</v>
      </c>
      <c r="AP783" s="100">
        <f ca="1">SUM(INDIRECT(AP$1&amp;AP$2&amp;$A783):INDIRECT(AP$1&amp;AP$3&amp;$A783))+SUM(INDIRECT(AP$1&amp;AP$2&amp;$B783):INDIRECT(AP$1&amp;AP$3&amp;$B783))</f>
        <v>0</v>
      </c>
      <c r="AQ783" s="906">
        <f t="shared" ca="1" si="1514"/>
        <v>0</v>
      </c>
      <c r="AR783" s="967">
        <f t="shared" ca="1" si="1515"/>
        <v>0</v>
      </c>
      <c r="AT783" s="19">
        <f ca="1">SUM((INDIRECT(AT$2&amp;(ROW())):INDIRECT(AT$3&amp;(ROW()))))</f>
        <v>0</v>
      </c>
      <c r="AU783" s="100">
        <f ca="1">SUM(INDIRECT(AU$1&amp;AU$2&amp;$C783):INDIRECT(AU$1&amp;AU$3&amp;$C783))</f>
        <v>0</v>
      </c>
      <c r="AV783" s="906">
        <f t="shared" ca="1" si="1516"/>
        <v>0</v>
      </c>
      <c r="AW783" s="967">
        <f t="shared" ca="1" si="1517"/>
        <v>0</v>
      </c>
      <c r="AX783" s="100">
        <f ca="1">SUM(INDIRECT(AX$1&amp;AX$2&amp;$A783):INDIRECT(AX$1&amp;AX$3&amp;$A783))+SUM(INDIRECT(AX$1&amp;AX$2&amp;$B783):INDIRECT(AX$1&amp;AX$3&amp;$B783))</f>
        <v>0</v>
      </c>
      <c r="AY783" s="906">
        <f t="shared" ca="1" si="1518"/>
        <v>0</v>
      </c>
      <c r="AZ783" s="967">
        <f t="shared" ca="1" si="1519"/>
        <v>0</v>
      </c>
      <c r="BB783" s="19">
        <f ca="1">SUM((INDIRECT(BB$2&amp;(ROW())):INDIRECT(BB$3&amp;(ROW()))))</f>
        <v>0</v>
      </c>
      <c r="BC783" s="100">
        <f ca="1">SUM(INDIRECT(BC$1&amp;BC$2&amp;$C783):INDIRECT(BC$1&amp;BC$3&amp;$C783))</f>
        <v>0</v>
      </c>
      <c r="BD783" s="906">
        <f t="shared" ca="1" si="1520"/>
        <v>0</v>
      </c>
      <c r="BE783" s="967">
        <f t="shared" ca="1" si="1521"/>
        <v>0</v>
      </c>
      <c r="BF783" s="100">
        <f ca="1">SUM(INDIRECT(BF$1&amp;BF$2&amp;$A783):INDIRECT(BF$1&amp;BF$3&amp;$A783))+SUM(INDIRECT(BF$1&amp;BF$2&amp;$B783):INDIRECT(BF$1&amp;BF$3&amp;$B783))</f>
        <v>0</v>
      </c>
      <c r="BG783" s="906">
        <f t="shared" ca="1" si="1522"/>
        <v>0</v>
      </c>
      <c r="BH783" s="967">
        <f t="shared" ca="1" si="1523"/>
        <v>0</v>
      </c>
    </row>
    <row r="784" spans="1:60" ht="14.5">
      <c r="A784" s="990">
        <v>1</v>
      </c>
      <c r="B784" s="990">
        <v>1</v>
      </c>
      <c r="C784" s="990">
        <f t="shared" si="1541"/>
        <v>781</v>
      </c>
      <c r="E784" s="1243">
        <v>1</v>
      </c>
      <c r="G784" s="24"/>
      <c r="I784" s="98"/>
      <c r="J784" s="97"/>
      <c r="K784" s="74"/>
      <c r="L784" s="74"/>
      <c r="N784" s="9" t="s">
        <v>905</v>
      </c>
      <c r="Q784" s="1845" t="str">
        <f>CHOOSE(2, "6722000003703", "S/GP (5) Net Sales Direct ICW-P OSP service")</f>
        <v>S/GP (5) Net Sales Direct ICW-P OSP service</v>
      </c>
      <c r="R784" s="2036">
        <v>0</v>
      </c>
      <c r="S784" s="2040">
        <v>0</v>
      </c>
      <c r="T784" s="2036">
        <v>0</v>
      </c>
      <c r="U784" s="2036">
        <v>0</v>
      </c>
      <c r="V784" s="2036">
        <v>0</v>
      </c>
      <c r="W784" s="2036">
        <v>0</v>
      </c>
      <c r="X784" s="2036">
        <v>0</v>
      </c>
      <c r="Y784" s="2036">
        <v>0</v>
      </c>
      <c r="Z784" s="2036">
        <v>0</v>
      </c>
      <c r="AA784" s="2036">
        <v>0</v>
      </c>
      <c r="AB784" s="2036">
        <v>0</v>
      </c>
      <c r="AC784" s="2036">
        <v>0</v>
      </c>
      <c r="AD784" s="100">
        <f>SUM(R784,S784,T784)</f>
        <v>0</v>
      </c>
      <c r="AE784" s="19">
        <f t="shared" si="1554"/>
        <v>0</v>
      </c>
      <c r="AF784" s="19">
        <f t="shared" si="1555"/>
        <v>0</v>
      </c>
      <c r="AG784" s="19">
        <f t="shared" si="1556"/>
        <v>0</v>
      </c>
      <c r="AH784" s="19">
        <f>AD784+AE784</f>
        <v>0</v>
      </c>
      <c r="AI784" s="19">
        <f>AG784+AF784</f>
        <v>0</v>
      </c>
      <c r="AJ784" s="100">
        <f>AH784+AI784</f>
        <v>0</v>
      </c>
      <c r="AL784" s="19">
        <f ca="1">SUM((INDIRECT(AL$2&amp;(ROW())):INDIRECT(AL$3&amp;(ROW()))))</f>
        <v>0</v>
      </c>
      <c r="AM784" s="100">
        <f ca="1">SUM(INDIRECT(AM$1&amp;AM$2&amp;$C784):INDIRECT(AM$1&amp;AM$3&amp;$C784))</f>
        <v>0</v>
      </c>
      <c r="AN784" s="906">
        <f t="shared" ca="1" si="1512"/>
        <v>0</v>
      </c>
      <c r="AO784" s="967">
        <f t="shared" ca="1" si="1513"/>
        <v>0</v>
      </c>
      <c r="AP784" s="100">
        <f ca="1">SUM(INDIRECT(AP$1&amp;AP$2&amp;$A784):INDIRECT(AP$1&amp;AP$3&amp;$A784))+SUM(INDIRECT(AP$1&amp;AP$2&amp;$B784):INDIRECT(AP$1&amp;AP$3&amp;$B784))</f>
        <v>0</v>
      </c>
      <c r="AQ784" s="906">
        <f t="shared" ca="1" si="1514"/>
        <v>0</v>
      </c>
      <c r="AR784" s="967">
        <f t="shared" ca="1" si="1515"/>
        <v>0</v>
      </c>
      <c r="AT784" s="19">
        <f ca="1">SUM((INDIRECT(AT$2&amp;(ROW())):INDIRECT(AT$3&amp;(ROW()))))</f>
        <v>0</v>
      </c>
      <c r="AU784" s="100">
        <f ca="1">SUM(INDIRECT(AU$1&amp;AU$2&amp;$C784):INDIRECT(AU$1&amp;AU$3&amp;$C784))</f>
        <v>0</v>
      </c>
      <c r="AV784" s="906">
        <f t="shared" ca="1" si="1516"/>
        <v>0</v>
      </c>
      <c r="AW784" s="967">
        <f t="shared" ca="1" si="1517"/>
        <v>0</v>
      </c>
      <c r="AX784" s="100">
        <f ca="1">SUM(INDIRECT(AX$1&amp;AX$2&amp;$A784):INDIRECT(AX$1&amp;AX$3&amp;$A784))+SUM(INDIRECT(AX$1&amp;AX$2&amp;$B784):INDIRECT(AX$1&amp;AX$3&amp;$B784))</f>
        <v>0</v>
      </c>
      <c r="AY784" s="906">
        <f t="shared" ca="1" si="1518"/>
        <v>0</v>
      </c>
      <c r="AZ784" s="967">
        <f t="shared" ca="1" si="1519"/>
        <v>0</v>
      </c>
      <c r="BB784" s="19">
        <f ca="1">SUM((INDIRECT(BB$2&amp;(ROW())):INDIRECT(BB$3&amp;(ROW()))))</f>
        <v>0</v>
      </c>
      <c r="BC784" s="100">
        <f ca="1">SUM(INDIRECT(BC$1&amp;BC$2&amp;$C784):INDIRECT(BC$1&amp;BC$3&amp;$C784))</f>
        <v>0</v>
      </c>
      <c r="BD784" s="906">
        <f t="shared" ca="1" si="1520"/>
        <v>0</v>
      </c>
      <c r="BE784" s="967">
        <f t="shared" ca="1" si="1521"/>
        <v>0</v>
      </c>
      <c r="BF784" s="100">
        <f ca="1">SUM(INDIRECT(BF$1&amp;BF$2&amp;$A784):INDIRECT(BF$1&amp;BF$3&amp;$A784))+SUM(INDIRECT(BF$1&amp;BF$2&amp;$B784):INDIRECT(BF$1&amp;BF$3&amp;$B784))</f>
        <v>0</v>
      </c>
      <c r="BG784" s="906">
        <f t="shared" ca="1" si="1522"/>
        <v>0</v>
      </c>
      <c r="BH784" s="967">
        <f t="shared" ca="1" si="1523"/>
        <v>0</v>
      </c>
    </row>
    <row r="785" spans="1:60" ht="14.5">
      <c r="A785" s="990">
        <v>1</v>
      </c>
      <c r="B785" s="990">
        <v>1</v>
      </c>
      <c r="C785" s="990">
        <f t="shared" si="1541"/>
        <v>782</v>
      </c>
      <c r="E785" s="1243">
        <v>1</v>
      </c>
      <c r="G785" s="24"/>
      <c r="I785" s="98"/>
      <c r="J785" s="97"/>
      <c r="K785" s="74"/>
      <c r="L785" s="74"/>
      <c r="N785" s="9" t="s">
        <v>906</v>
      </c>
      <c r="Q785" s="1845" t="str">
        <f>CHOOSE(2, "6722000003704", "S/GP (5) Net Sales Direct ICW-P RP service")</f>
        <v>S/GP (5) Net Sales Direct ICW-P RP service</v>
      </c>
      <c r="R785" s="2036">
        <v>0</v>
      </c>
      <c r="S785" s="2040">
        <v>0</v>
      </c>
      <c r="T785" s="2036">
        <v>0</v>
      </c>
      <c r="U785" s="2036">
        <v>0</v>
      </c>
      <c r="V785" s="2036">
        <v>0</v>
      </c>
      <c r="W785" s="2036">
        <v>0</v>
      </c>
      <c r="X785" s="2036">
        <v>0</v>
      </c>
      <c r="Y785" s="2036">
        <v>0</v>
      </c>
      <c r="Z785" s="2036">
        <v>0</v>
      </c>
      <c r="AA785" s="2036">
        <v>0</v>
      </c>
      <c r="AB785" s="2036">
        <v>0</v>
      </c>
      <c r="AC785" s="2036">
        <v>0</v>
      </c>
      <c r="AD785" s="100">
        <f>SUM(R785,S785,T785)</f>
        <v>0</v>
      </c>
      <c r="AE785" s="19">
        <f t="shared" si="1554"/>
        <v>0</v>
      </c>
      <c r="AF785" s="19">
        <f t="shared" si="1555"/>
        <v>0</v>
      </c>
      <c r="AG785" s="19">
        <f t="shared" si="1556"/>
        <v>0</v>
      </c>
      <c r="AH785" s="19">
        <f>AD785+AE785</f>
        <v>0</v>
      </c>
      <c r="AI785" s="19">
        <f>AG785+AF785</f>
        <v>0</v>
      </c>
      <c r="AJ785" s="100">
        <f>AH785+AI785</f>
        <v>0</v>
      </c>
      <c r="AL785" s="19">
        <f ca="1">SUM((INDIRECT(AL$2&amp;(ROW())):INDIRECT(AL$3&amp;(ROW()))))</f>
        <v>0</v>
      </c>
      <c r="AM785" s="100">
        <f ca="1">SUM(INDIRECT(AM$1&amp;AM$2&amp;$C785):INDIRECT(AM$1&amp;AM$3&amp;$C785))</f>
        <v>0</v>
      </c>
      <c r="AN785" s="906">
        <f t="shared" ca="1" si="1512"/>
        <v>0</v>
      </c>
      <c r="AO785" s="967">
        <f t="shared" ca="1" si="1513"/>
        <v>0</v>
      </c>
      <c r="AP785" s="100">
        <f ca="1">SUM(INDIRECT(AP$1&amp;AP$2&amp;$A785):INDIRECT(AP$1&amp;AP$3&amp;$A785))+SUM(INDIRECT(AP$1&amp;AP$2&amp;$B785):INDIRECT(AP$1&amp;AP$3&amp;$B785))</f>
        <v>0</v>
      </c>
      <c r="AQ785" s="906">
        <f t="shared" ca="1" si="1514"/>
        <v>0</v>
      </c>
      <c r="AR785" s="967">
        <f t="shared" ca="1" si="1515"/>
        <v>0</v>
      </c>
      <c r="AT785" s="19">
        <f ca="1">SUM((INDIRECT(AT$2&amp;(ROW())):INDIRECT(AT$3&amp;(ROW()))))</f>
        <v>0</v>
      </c>
      <c r="AU785" s="100">
        <f ca="1">SUM(INDIRECT(AU$1&amp;AU$2&amp;$C785):INDIRECT(AU$1&amp;AU$3&amp;$C785))</f>
        <v>0</v>
      </c>
      <c r="AV785" s="906">
        <f t="shared" ca="1" si="1516"/>
        <v>0</v>
      </c>
      <c r="AW785" s="967">
        <f t="shared" ca="1" si="1517"/>
        <v>0</v>
      </c>
      <c r="AX785" s="100">
        <f ca="1">SUM(INDIRECT(AX$1&amp;AX$2&amp;$A785):INDIRECT(AX$1&amp;AX$3&amp;$A785))+SUM(INDIRECT(AX$1&amp;AX$2&amp;$B785):INDIRECT(AX$1&amp;AX$3&amp;$B785))</f>
        <v>0</v>
      </c>
      <c r="AY785" s="906">
        <f t="shared" ca="1" si="1518"/>
        <v>0</v>
      </c>
      <c r="AZ785" s="967">
        <f t="shared" ca="1" si="1519"/>
        <v>0</v>
      </c>
      <c r="BB785" s="19">
        <f ca="1">SUM((INDIRECT(BB$2&amp;(ROW())):INDIRECT(BB$3&amp;(ROW()))))</f>
        <v>0</v>
      </c>
      <c r="BC785" s="100">
        <f ca="1">SUM(INDIRECT(BC$1&amp;BC$2&amp;$C785):INDIRECT(BC$1&amp;BC$3&amp;$C785))</f>
        <v>0</v>
      </c>
      <c r="BD785" s="906">
        <f t="shared" ca="1" si="1520"/>
        <v>0</v>
      </c>
      <c r="BE785" s="967">
        <f t="shared" ca="1" si="1521"/>
        <v>0</v>
      </c>
      <c r="BF785" s="100">
        <f ca="1">SUM(INDIRECT(BF$1&amp;BF$2&amp;$A785):INDIRECT(BF$1&amp;BF$3&amp;$A785))+SUM(INDIRECT(BF$1&amp;BF$2&amp;$B785):INDIRECT(BF$1&amp;BF$3&amp;$B785))</f>
        <v>0</v>
      </c>
      <c r="BG785" s="906">
        <f t="shared" ca="1" si="1522"/>
        <v>0</v>
      </c>
      <c r="BH785" s="967">
        <f t="shared" ca="1" si="1523"/>
        <v>0</v>
      </c>
    </row>
    <row r="786" spans="1:60" ht="14.5">
      <c r="A786" s="1397">
        <v>716</v>
      </c>
      <c r="B786" s="990">
        <v>1</v>
      </c>
      <c r="C786" s="990">
        <f t="shared" si="1541"/>
        <v>783</v>
      </c>
      <c r="E786" s="1243">
        <v>1</v>
      </c>
      <c r="I786" s="98"/>
      <c r="J786" s="97"/>
      <c r="K786" s="69" t="s">
        <v>221</v>
      </c>
      <c r="L786" s="69"/>
      <c r="M786" s="610"/>
      <c r="N786" s="610"/>
      <c r="O786" s="610"/>
      <c r="P786" s="610"/>
      <c r="Q786" s="1867" t="str">
        <f>CHOOSE(2, "6722000003705", "S/GP (5) Net Sales Indirect")</f>
        <v>S/GP (5) Net Sales Indirect</v>
      </c>
      <c r="R786" s="2056">
        <f t="shared" ref="R786:AC786" si="1557">SUM(R787:R792)</f>
        <v>0</v>
      </c>
      <c r="S786" s="2003">
        <f t="shared" si="1557"/>
        <v>0</v>
      </c>
      <c r="T786" s="2056">
        <f t="shared" si="1557"/>
        <v>0</v>
      </c>
      <c r="U786" s="2056">
        <f t="shared" si="1557"/>
        <v>0</v>
      </c>
      <c r="V786" s="2056">
        <f t="shared" si="1557"/>
        <v>0</v>
      </c>
      <c r="W786" s="2056">
        <f t="shared" si="1557"/>
        <v>0</v>
      </c>
      <c r="X786" s="2056">
        <f t="shared" si="1557"/>
        <v>0</v>
      </c>
      <c r="Y786" s="2056">
        <f t="shared" si="1557"/>
        <v>0</v>
      </c>
      <c r="Z786" s="2056">
        <f t="shared" si="1557"/>
        <v>0</v>
      </c>
      <c r="AA786" s="2056">
        <f t="shared" si="1557"/>
        <v>0</v>
      </c>
      <c r="AB786" s="2056">
        <f t="shared" si="1557"/>
        <v>0</v>
      </c>
      <c r="AC786" s="2056">
        <f t="shared" si="1557"/>
        <v>0</v>
      </c>
      <c r="AD786" s="611">
        <f t="shared" ref="AD786:AJ786" si="1558">SUM(AD787:AD792)</f>
        <v>0</v>
      </c>
      <c r="AE786" s="393">
        <f t="shared" si="1558"/>
        <v>0</v>
      </c>
      <c r="AF786" s="393">
        <f t="shared" si="1558"/>
        <v>0</v>
      </c>
      <c r="AG786" s="393">
        <f t="shared" si="1558"/>
        <v>0</v>
      </c>
      <c r="AH786" s="393">
        <f t="shared" si="1558"/>
        <v>0</v>
      </c>
      <c r="AI786" s="393">
        <f t="shared" si="1558"/>
        <v>0</v>
      </c>
      <c r="AJ786" s="611">
        <f t="shared" si="1558"/>
        <v>0</v>
      </c>
      <c r="AL786" s="2056">
        <f ca="1">SUM((INDIRECT(AL$2&amp;(ROW())):INDIRECT(AL$3&amp;(ROW()))))</f>
        <v>0</v>
      </c>
      <c r="AM786" s="2546">
        <f ca="1">SUM(INDIRECT(AM$1&amp;AM$2&amp;$C786):INDIRECT(AM$1&amp;AM$3&amp;$C786))</f>
        <v>0</v>
      </c>
      <c r="AN786" s="2547">
        <f t="shared" ref="AN786:AN817" ca="1" si="1559">AL786-AM786</f>
        <v>0</v>
      </c>
      <c r="AO786" s="1725">
        <f t="shared" ref="AO786:AO817" ca="1" si="1560">IFERROR(AL786/AM786,0)</f>
        <v>0</v>
      </c>
      <c r="AP786" s="2548">
        <f ca="1">SUM(AP787:AP792)</f>
        <v>0</v>
      </c>
      <c r="AQ786" s="2547">
        <f t="shared" ref="AQ786:AQ817" ca="1" si="1561">AL786-AP786</f>
        <v>0</v>
      </c>
      <c r="AR786" s="1725">
        <f t="shared" ref="AR786:AR817" ca="1" si="1562">IFERROR(AL786/AP786,0)</f>
        <v>0</v>
      </c>
      <c r="AT786" s="2056">
        <f ca="1">SUM((INDIRECT(AT$2&amp;(ROW())):INDIRECT(AT$3&amp;(ROW()))))</f>
        <v>0</v>
      </c>
      <c r="AU786" s="2546">
        <f ca="1">SUM(INDIRECT(AU$1&amp;AU$2&amp;$C786):INDIRECT(AU$1&amp;AU$3&amp;$C786))</f>
        <v>0</v>
      </c>
      <c r="AV786" s="2547">
        <f t="shared" ref="AV786:AV817" ca="1" si="1563">AT786-AU786</f>
        <v>0</v>
      </c>
      <c r="AW786" s="1725">
        <f t="shared" ref="AW786:AW817" ca="1" si="1564">IFERROR(AT786/AU786,0)</f>
        <v>0</v>
      </c>
      <c r="AX786" s="2548">
        <f ca="1">SUM(AX787:AX792)</f>
        <v>0</v>
      </c>
      <c r="AY786" s="2547">
        <f t="shared" ref="AY786:AY817" ca="1" si="1565">AT786-AX786</f>
        <v>0</v>
      </c>
      <c r="AZ786" s="1725">
        <f t="shared" ref="AZ786:AZ817" ca="1" si="1566">IFERROR(AT786/AX786,0)</f>
        <v>0</v>
      </c>
      <c r="BB786" s="2056">
        <f ca="1">SUM((INDIRECT(BB$2&amp;(ROW())):INDIRECT(BB$3&amp;(ROW()))))</f>
        <v>0</v>
      </c>
      <c r="BC786" s="2546">
        <f ca="1">SUM(INDIRECT(BC$1&amp;BC$2&amp;$C786):INDIRECT(BC$1&amp;BC$3&amp;$C786))</f>
        <v>0</v>
      </c>
      <c r="BD786" s="2547">
        <f t="shared" ref="BD786:BD817" ca="1" si="1567">BB786-BC786</f>
        <v>0</v>
      </c>
      <c r="BE786" s="1725">
        <f t="shared" ref="BE786:BE817" ca="1" si="1568">IFERROR(BB786/BC786,0)</f>
        <v>0</v>
      </c>
      <c r="BF786" s="2548">
        <f ca="1">SUM(BF787:BF792)</f>
        <v>270</v>
      </c>
      <c r="BG786" s="2547">
        <f t="shared" ref="BG786:BG817" ca="1" si="1569">BB786-BF786</f>
        <v>-270</v>
      </c>
      <c r="BH786" s="1725">
        <f t="shared" ref="BH786:BH817" ca="1" si="1570">IFERROR(BB786/BF786,0)</f>
        <v>0</v>
      </c>
    </row>
    <row r="787" spans="1:60" ht="14.5">
      <c r="A787" s="1397">
        <v>717</v>
      </c>
      <c r="B787" s="990">
        <v>1</v>
      </c>
      <c r="C787" s="990">
        <f t="shared" si="1541"/>
        <v>784</v>
      </c>
      <c r="E787" s="1243">
        <v>1</v>
      </c>
      <c r="G787" s="1241"/>
      <c r="I787" s="98"/>
      <c r="J787" s="97"/>
      <c r="K787" s="69"/>
      <c r="L787" s="69"/>
      <c r="M787" s="4" t="s">
        <v>779</v>
      </c>
      <c r="Q787" s="1845" t="str">
        <f>CHOOSE(2, "6722000003706", "S/GP (5) Net Sales Indirect IMS")</f>
        <v>S/GP (5) Net Sales Indirect IMS</v>
      </c>
      <c r="R787" s="2036">
        <v>0</v>
      </c>
      <c r="S787" s="2040">
        <v>0</v>
      </c>
      <c r="T787" s="2036">
        <v>0</v>
      </c>
      <c r="U787" s="2036">
        <v>0</v>
      </c>
      <c r="V787" s="2036">
        <v>0</v>
      </c>
      <c r="W787" s="2036">
        <v>0</v>
      </c>
      <c r="X787" s="2036">
        <v>0</v>
      </c>
      <c r="Y787" s="2036">
        <v>0</v>
      </c>
      <c r="Z787" s="2036">
        <v>0</v>
      </c>
      <c r="AA787" s="2036">
        <v>0</v>
      </c>
      <c r="AB787" s="2036">
        <v>0</v>
      </c>
      <c r="AC787" s="2036">
        <v>0</v>
      </c>
      <c r="AD787" s="100">
        <f t="shared" ref="AD787:AD792" si="1571">SUM(R787,S787,T787)</f>
        <v>0</v>
      </c>
      <c r="AE787" s="19">
        <f t="shared" ref="AE787:AE792" si="1572">SUM(U787,V787,W787)</f>
        <v>0</v>
      </c>
      <c r="AF787" s="19">
        <f t="shared" ref="AF787:AF792" si="1573">SUM(X787,Y787,Z787)</f>
        <v>0</v>
      </c>
      <c r="AG787" s="19">
        <f t="shared" ref="AG787:AG792" si="1574">SUM(AA787,AB787,AC787)</f>
        <v>0</v>
      </c>
      <c r="AH787" s="19">
        <f>AD787+AE787</f>
        <v>0</v>
      </c>
      <c r="AI787" s="19">
        <f>AG787+AF787</f>
        <v>0</v>
      </c>
      <c r="AJ787" s="100">
        <f>AH787+AI787</f>
        <v>0</v>
      </c>
      <c r="AL787" s="19">
        <f ca="1">SUM((INDIRECT(AL$2&amp;(ROW())):INDIRECT(AL$3&amp;(ROW()))))</f>
        <v>0</v>
      </c>
      <c r="AM787" s="100">
        <f ca="1">SUM(INDIRECT(AM$1&amp;AM$2&amp;$C787):INDIRECT(AM$1&amp;AM$3&amp;$C787))</f>
        <v>0</v>
      </c>
      <c r="AN787" s="906">
        <f t="shared" ca="1" si="1559"/>
        <v>0</v>
      </c>
      <c r="AO787" s="967">
        <f t="shared" ca="1" si="1560"/>
        <v>0</v>
      </c>
      <c r="AP787" s="100">
        <f ca="1">SUM(INDIRECT(AP$1&amp;AP$2&amp;$A787):INDIRECT(AP$1&amp;AP$3&amp;$A787))+SUM(INDIRECT(AP$1&amp;AP$2&amp;$B787):INDIRECT(AP$1&amp;AP$3&amp;$B787))</f>
        <v>0</v>
      </c>
      <c r="AQ787" s="906">
        <f t="shared" ca="1" si="1561"/>
        <v>0</v>
      </c>
      <c r="AR787" s="967">
        <f t="shared" ca="1" si="1562"/>
        <v>0</v>
      </c>
      <c r="AT787" s="19">
        <f ca="1">SUM((INDIRECT(AT$2&amp;(ROW())):INDIRECT(AT$3&amp;(ROW()))))</f>
        <v>0</v>
      </c>
      <c r="AU787" s="100">
        <f ca="1">SUM(INDIRECT(AU$1&amp;AU$2&amp;$C787):INDIRECT(AU$1&amp;AU$3&amp;$C787))</f>
        <v>0</v>
      </c>
      <c r="AV787" s="906">
        <f t="shared" ca="1" si="1563"/>
        <v>0</v>
      </c>
      <c r="AW787" s="967">
        <f t="shared" ca="1" si="1564"/>
        <v>0</v>
      </c>
      <c r="AX787" s="100">
        <f ca="1">SUM(INDIRECT(AX$1&amp;AX$2&amp;$A787):INDIRECT(AX$1&amp;AX$3&amp;$A787))+SUM(INDIRECT(AX$1&amp;AX$2&amp;$B787):INDIRECT(AX$1&amp;AX$3&amp;$B787))</f>
        <v>0</v>
      </c>
      <c r="AY787" s="906">
        <f t="shared" ca="1" si="1565"/>
        <v>0</v>
      </c>
      <c r="AZ787" s="967">
        <f t="shared" ca="1" si="1566"/>
        <v>0</v>
      </c>
      <c r="BB787" s="19">
        <f ca="1">SUM((INDIRECT(BB$2&amp;(ROW())):INDIRECT(BB$3&amp;(ROW()))))</f>
        <v>0</v>
      </c>
      <c r="BC787" s="100">
        <f ca="1">SUM(INDIRECT(BC$1&amp;BC$2&amp;$C787):INDIRECT(BC$1&amp;BC$3&amp;$C787))</f>
        <v>0</v>
      </c>
      <c r="BD787" s="906">
        <f t="shared" ca="1" si="1567"/>
        <v>0</v>
      </c>
      <c r="BE787" s="967">
        <f t="shared" ca="1" si="1568"/>
        <v>0</v>
      </c>
      <c r="BF787" s="100">
        <f ca="1">SUM(INDIRECT(BF$1&amp;BF$2&amp;$A787):INDIRECT(BF$1&amp;BF$3&amp;$A787))+SUM(INDIRECT(BF$1&amp;BF$2&amp;$B787):INDIRECT(BF$1&amp;BF$3&amp;$B787))</f>
        <v>0</v>
      </c>
      <c r="BG787" s="906">
        <f t="shared" ca="1" si="1569"/>
        <v>0</v>
      </c>
      <c r="BH787" s="967">
        <f t="shared" ca="1" si="1570"/>
        <v>0</v>
      </c>
    </row>
    <row r="788" spans="1:60" ht="14.5">
      <c r="A788" s="990">
        <f t="shared" ref="A788:A790" si="1575">A787+1</f>
        <v>718</v>
      </c>
      <c r="B788" s="990">
        <v>1</v>
      </c>
      <c r="C788" s="990">
        <f t="shared" si="1541"/>
        <v>785</v>
      </c>
      <c r="E788" s="1243">
        <v>1</v>
      </c>
      <c r="G788" s="24"/>
      <c r="I788" s="98"/>
      <c r="J788" s="97"/>
      <c r="K788" s="69"/>
      <c r="L788" s="69"/>
      <c r="M788" s="4" t="s">
        <v>1162</v>
      </c>
      <c r="Q788" s="1845" t="str">
        <f>CHOOSE(2, "6722000003707", "S/GP (5) Net Sales Indirect ICW-IT")</f>
        <v>S/GP (5) Net Sales Indirect ICW-IT</v>
      </c>
      <c r="R788" s="2036">
        <v>0</v>
      </c>
      <c r="S788" s="2040">
        <v>0</v>
      </c>
      <c r="T788" s="2036">
        <v>0</v>
      </c>
      <c r="U788" s="2036">
        <v>0</v>
      </c>
      <c r="V788" s="2036">
        <v>0</v>
      </c>
      <c r="W788" s="2036">
        <v>0</v>
      </c>
      <c r="X788" s="2036">
        <v>0</v>
      </c>
      <c r="Y788" s="2036">
        <v>0</v>
      </c>
      <c r="Z788" s="2036">
        <v>0</v>
      </c>
      <c r="AA788" s="2036">
        <v>0</v>
      </c>
      <c r="AB788" s="2036">
        <v>0</v>
      </c>
      <c r="AC788" s="2036">
        <v>0</v>
      </c>
      <c r="AD788" s="100">
        <f t="shared" si="1571"/>
        <v>0</v>
      </c>
      <c r="AE788" s="19">
        <f t="shared" si="1572"/>
        <v>0</v>
      </c>
      <c r="AF788" s="19">
        <f t="shared" si="1573"/>
        <v>0</v>
      </c>
      <c r="AG788" s="19">
        <f t="shared" si="1574"/>
        <v>0</v>
      </c>
      <c r="AH788" s="19">
        <f>AD788+AE788</f>
        <v>0</v>
      </c>
      <c r="AI788" s="19">
        <f>AG788+AF788</f>
        <v>0</v>
      </c>
      <c r="AJ788" s="100">
        <f>AH788+AI788</f>
        <v>0</v>
      </c>
      <c r="AL788" s="19">
        <f ca="1">SUM((INDIRECT(AL$2&amp;(ROW())):INDIRECT(AL$3&amp;(ROW()))))</f>
        <v>0</v>
      </c>
      <c r="AM788" s="100">
        <f ca="1">SUM(INDIRECT(AM$1&amp;AM$2&amp;$C788):INDIRECT(AM$1&amp;AM$3&amp;$C788))</f>
        <v>0</v>
      </c>
      <c r="AN788" s="906">
        <f t="shared" ca="1" si="1559"/>
        <v>0</v>
      </c>
      <c r="AO788" s="967">
        <f t="shared" ca="1" si="1560"/>
        <v>0</v>
      </c>
      <c r="AP788" s="100">
        <f ca="1">SUM(INDIRECT(AP$1&amp;AP$2&amp;$A788):INDIRECT(AP$1&amp;AP$3&amp;$A788))+SUM(INDIRECT(AP$1&amp;AP$2&amp;$B788):INDIRECT(AP$1&amp;AP$3&amp;$B788))</f>
        <v>0</v>
      </c>
      <c r="AQ788" s="906">
        <f t="shared" ca="1" si="1561"/>
        <v>0</v>
      </c>
      <c r="AR788" s="967">
        <f t="shared" ca="1" si="1562"/>
        <v>0</v>
      </c>
      <c r="AT788" s="19">
        <f ca="1">SUM((INDIRECT(AT$2&amp;(ROW())):INDIRECT(AT$3&amp;(ROW()))))</f>
        <v>0</v>
      </c>
      <c r="AU788" s="100">
        <f ca="1">SUM(INDIRECT(AU$1&amp;AU$2&amp;$C788):INDIRECT(AU$1&amp;AU$3&amp;$C788))</f>
        <v>0</v>
      </c>
      <c r="AV788" s="906">
        <f t="shared" ca="1" si="1563"/>
        <v>0</v>
      </c>
      <c r="AW788" s="967">
        <f t="shared" ca="1" si="1564"/>
        <v>0</v>
      </c>
      <c r="AX788" s="100">
        <f ca="1">SUM(INDIRECT(AX$1&amp;AX$2&amp;$A788):INDIRECT(AX$1&amp;AX$3&amp;$A788))+SUM(INDIRECT(AX$1&amp;AX$2&amp;$B788):INDIRECT(AX$1&amp;AX$3&amp;$B788))</f>
        <v>0</v>
      </c>
      <c r="AY788" s="906">
        <f t="shared" ca="1" si="1565"/>
        <v>0</v>
      </c>
      <c r="AZ788" s="967">
        <f t="shared" ca="1" si="1566"/>
        <v>0</v>
      </c>
      <c r="BB788" s="19">
        <f ca="1">SUM((INDIRECT(BB$2&amp;(ROW())):INDIRECT(BB$3&amp;(ROW()))))</f>
        <v>0</v>
      </c>
      <c r="BC788" s="100">
        <f ca="1">SUM(INDIRECT(BC$1&amp;BC$2&amp;$C788):INDIRECT(BC$1&amp;BC$3&amp;$C788))</f>
        <v>0</v>
      </c>
      <c r="BD788" s="906">
        <f t="shared" ca="1" si="1567"/>
        <v>0</v>
      </c>
      <c r="BE788" s="967">
        <f t="shared" ca="1" si="1568"/>
        <v>0</v>
      </c>
      <c r="BF788" s="100">
        <f ca="1">SUM(INDIRECT(BF$1&amp;BF$2&amp;$A788):INDIRECT(BF$1&amp;BF$3&amp;$A788))+SUM(INDIRECT(BF$1&amp;BF$2&amp;$B788):INDIRECT(BF$1&amp;BF$3&amp;$B788))</f>
        <v>0</v>
      </c>
      <c r="BG788" s="906">
        <f t="shared" ca="1" si="1569"/>
        <v>0</v>
      </c>
      <c r="BH788" s="967">
        <f t="shared" ca="1" si="1570"/>
        <v>0</v>
      </c>
    </row>
    <row r="789" spans="1:60" ht="14.5">
      <c r="A789" s="990">
        <f t="shared" si="1575"/>
        <v>719</v>
      </c>
      <c r="B789" s="990">
        <v>1</v>
      </c>
      <c r="C789" s="990">
        <f t="shared" si="1541"/>
        <v>786</v>
      </c>
      <c r="E789" s="1243">
        <v>1</v>
      </c>
      <c r="G789" s="24"/>
      <c r="I789" s="98"/>
      <c r="J789" s="97"/>
      <c r="K789" s="69"/>
      <c r="L789" s="69"/>
      <c r="M789" s="4" t="s">
        <v>780</v>
      </c>
      <c r="Q789" s="1845" t="str">
        <f>CHOOSE(2, "6722000003708", "S/GP (5) Net Sales Indirect MCS")</f>
        <v>S/GP (5) Net Sales Indirect MCS</v>
      </c>
      <c r="R789" s="2036">
        <v>0</v>
      </c>
      <c r="S789" s="2040">
        <v>0</v>
      </c>
      <c r="T789" s="2036">
        <v>0</v>
      </c>
      <c r="U789" s="2036">
        <v>0</v>
      </c>
      <c r="V789" s="2036">
        <v>0</v>
      </c>
      <c r="W789" s="2036">
        <v>0</v>
      </c>
      <c r="X789" s="2036">
        <v>0</v>
      </c>
      <c r="Y789" s="2036">
        <v>0</v>
      </c>
      <c r="Z789" s="2036">
        <v>0</v>
      </c>
      <c r="AA789" s="2036">
        <v>0</v>
      </c>
      <c r="AB789" s="2036">
        <v>0</v>
      </c>
      <c r="AC789" s="2036">
        <v>0</v>
      </c>
      <c r="AD789" s="100">
        <f t="shared" si="1571"/>
        <v>0</v>
      </c>
      <c r="AE789" s="19">
        <f t="shared" ref="AE789:AE790" si="1576">SUM(U789,V789,W789)</f>
        <v>0</v>
      </c>
      <c r="AF789" s="19">
        <f t="shared" ref="AF789:AF790" si="1577">SUM(X789,Y789,Z789)</f>
        <v>0</v>
      </c>
      <c r="AG789" s="19">
        <f t="shared" ref="AG789:AG790" si="1578">SUM(AA789,AB789,AC789)</f>
        <v>0</v>
      </c>
      <c r="AH789" s="19">
        <f t="shared" ref="AH789:AH790" si="1579">AD789+AE789</f>
        <v>0</v>
      </c>
      <c r="AI789" s="19">
        <f t="shared" ref="AI789:AI790" si="1580">AG789+AF789</f>
        <v>0</v>
      </c>
      <c r="AJ789" s="100">
        <f t="shared" ref="AJ789:AJ790" si="1581">AH789+AI789</f>
        <v>0</v>
      </c>
      <c r="AL789" s="19">
        <f ca="1">SUM((INDIRECT(AL$2&amp;(ROW())):INDIRECT(AL$3&amp;(ROW()))))</f>
        <v>0</v>
      </c>
      <c r="AM789" s="100">
        <f ca="1">SUM(INDIRECT(AM$1&amp;AM$2&amp;$C789):INDIRECT(AM$1&amp;AM$3&amp;$C789))</f>
        <v>0</v>
      </c>
      <c r="AN789" s="906">
        <f t="shared" ca="1" si="1559"/>
        <v>0</v>
      </c>
      <c r="AO789" s="967">
        <f t="shared" ca="1" si="1560"/>
        <v>0</v>
      </c>
      <c r="AP789" s="100">
        <f ca="1">SUM(INDIRECT(AP$1&amp;AP$2&amp;$A789):INDIRECT(AP$1&amp;AP$3&amp;$A789))+SUM(INDIRECT(AP$1&amp;AP$2&amp;$B789):INDIRECT(AP$1&amp;AP$3&amp;$B789))</f>
        <v>0</v>
      </c>
      <c r="AQ789" s="906">
        <f t="shared" ca="1" si="1561"/>
        <v>0</v>
      </c>
      <c r="AR789" s="967">
        <f t="shared" ca="1" si="1562"/>
        <v>0</v>
      </c>
      <c r="AT789" s="19">
        <f ca="1">SUM((INDIRECT(AT$2&amp;(ROW())):INDIRECT(AT$3&amp;(ROW()))))</f>
        <v>0</v>
      </c>
      <c r="AU789" s="100">
        <f ca="1">SUM(INDIRECT(AU$1&amp;AU$2&amp;$C789):INDIRECT(AU$1&amp;AU$3&amp;$C789))</f>
        <v>0</v>
      </c>
      <c r="AV789" s="906">
        <f t="shared" ca="1" si="1563"/>
        <v>0</v>
      </c>
      <c r="AW789" s="967">
        <f t="shared" ca="1" si="1564"/>
        <v>0</v>
      </c>
      <c r="AX789" s="100">
        <f ca="1">SUM(INDIRECT(AX$1&amp;AX$2&amp;$A789):INDIRECT(AX$1&amp;AX$3&amp;$A789))+SUM(INDIRECT(AX$1&amp;AX$2&amp;$B789):INDIRECT(AX$1&amp;AX$3&amp;$B789))</f>
        <v>0</v>
      </c>
      <c r="AY789" s="906">
        <f t="shared" ca="1" si="1565"/>
        <v>0</v>
      </c>
      <c r="AZ789" s="967">
        <f t="shared" ca="1" si="1566"/>
        <v>0</v>
      </c>
      <c r="BB789" s="19">
        <f ca="1">SUM((INDIRECT(BB$2&amp;(ROW())):INDIRECT(BB$3&amp;(ROW()))))</f>
        <v>0</v>
      </c>
      <c r="BC789" s="100">
        <f ca="1">SUM(INDIRECT(BC$1&amp;BC$2&amp;$C789):INDIRECT(BC$1&amp;BC$3&amp;$C789))</f>
        <v>0</v>
      </c>
      <c r="BD789" s="906">
        <f t="shared" ca="1" si="1567"/>
        <v>0</v>
      </c>
      <c r="BE789" s="967">
        <f t="shared" ca="1" si="1568"/>
        <v>0</v>
      </c>
      <c r="BF789" s="100">
        <f ca="1">SUM(INDIRECT(BF$1&amp;BF$2&amp;$A789):INDIRECT(BF$1&amp;BF$3&amp;$A789))+SUM(INDIRECT(BF$1&amp;BF$2&amp;$B789):INDIRECT(BF$1&amp;BF$3&amp;$B789))</f>
        <v>270</v>
      </c>
      <c r="BG789" s="906">
        <f t="shared" ca="1" si="1569"/>
        <v>-270</v>
      </c>
      <c r="BH789" s="967">
        <f t="shared" ca="1" si="1570"/>
        <v>0</v>
      </c>
    </row>
    <row r="790" spans="1:60" ht="14.5">
      <c r="A790" s="990">
        <f t="shared" si="1575"/>
        <v>720</v>
      </c>
      <c r="B790" s="990">
        <v>1</v>
      </c>
      <c r="C790" s="990">
        <f t="shared" si="1541"/>
        <v>787</v>
      </c>
      <c r="E790" s="1243">
        <v>1</v>
      </c>
      <c r="G790" s="24"/>
      <c r="I790" s="98"/>
      <c r="J790" s="97"/>
      <c r="K790" s="69"/>
      <c r="L790" s="69"/>
      <c r="M790" s="4" t="s">
        <v>1157</v>
      </c>
      <c r="Q790" s="1845" t="str">
        <f>CHOOSE(2, "6722000003709", "S/GP (5) Net Sales Indirect BPS")</f>
        <v>S/GP (5) Net Sales Indirect BPS</v>
      </c>
      <c r="R790" s="2036">
        <v>0</v>
      </c>
      <c r="S790" s="2040">
        <v>0</v>
      </c>
      <c r="T790" s="2036">
        <v>0</v>
      </c>
      <c r="U790" s="2036">
        <v>0</v>
      </c>
      <c r="V790" s="2036">
        <v>0</v>
      </c>
      <c r="W790" s="2036">
        <v>0</v>
      </c>
      <c r="X790" s="2036">
        <v>0</v>
      </c>
      <c r="Y790" s="2036">
        <v>0</v>
      </c>
      <c r="Z790" s="2036">
        <v>0</v>
      </c>
      <c r="AA790" s="2036">
        <v>0</v>
      </c>
      <c r="AB790" s="2036">
        <v>0</v>
      </c>
      <c r="AC790" s="2036">
        <v>0</v>
      </c>
      <c r="AD790" s="100">
        <f t="shared" si="1571"/>
        <v>0</v>
      </c>
      <c r="AE790" s="19">
        <f t="shared" si="1576"/>
        <v>0</v>
      </c>
      <c r="AF790" s="19">
        <f t="shared" si="1577"/>
        <v>0</v>
      </c>
      <c r="AG790" s="19">
        <f t="shared" si="1578"/>
        <v>0</v>
      </c>
      <c r="AH790" s="19">
        <f t="shared" si="1579"/>
        <v>0</v>
      </c>
      <c r="AI790" s="19">
        <f t="shared" si="1580"/>
        <v>0</v>
      </c>
      <c r="AJ790" s="100">
        <f t="shared" si="1581"/>
        <v>0</v>
      </c>
      <c r="AL790" s="19">
        <f ca="1">SUM((INDIRECT(AL$2&amp;(ROW())):INDIRECT(AL$3&amp;(ROW()))))</f>
        <v>0</v>
      </c>
      <c r="AM790" s="100">
        <f ca="1">SUM(INDIRECT(AM$1&amp;AM$2&amp;$C790):INDIRECT(AM$1&amp;AM$3&amp;$C790))</f>
        <v>0</v>
      </c>
      <c r="AN790" s="906">
        <f t="shared" ca="1" si="1559"/>
        <v>0</v>
      </c>
      <c r="AO790" s="967">
        <f t="shared" ca="1" si="1560"/>
        <v>0</v>
      </c>
      <c r="AP790" s="100">
        <f ca="1">SUM(INDIRECT(AP$1&amp;AP$2&amp;$A790):INDIRECT(AP$1&amp;AP$3&amp;$A790))+SUM(INDIRECT(AP$1&amp;AP$2&amp;$B790):INDIRECT(AP$1&amp;AP$3&amp;$B790))</f>
        <v>0</v>
      </c>
      <c r="AQ790" s="906">
        <f t="shared" ca="1" si="1561"/>
        <v>0</v>
      </c>
      <c r="AR790" s="967">
        <f t="shared" ca="1" si="1562"/>
        <v>0</v>
      </c>
      <c r="AT790" s="19">
        <f ca="1">SUM((INDIRECT(AT$2&amp;(ROW())):INDIRECT(AT$3&amp;(ROW()))))</f>
        <v>0</v>
      </c>
      <c r="AU790" s="100">
        <f ca="1">SUM(INDIRECT(AU$1&amp;AU$2&amp;$C790):INDIRECT(AU$1&amp;AU$3&amp;$C790))</f>
        <v>0</v>
      </c>
      <c r="AV790" s="906">
        <f t="shared" ca="1" si="1563"/>
        <v>0</v>
      </c>
      <c r="AW790" s="967">
        <f t="shared" ca="1" si="1564"/>
        <v>0</v>
      </c>
      <c r="AX790" s="100">
        <f ca="1">SUM(INDIRECT(AX$1&amp;AX$2&amp;$A790):INDIRECT(AX$1&amp;AX$3&amp;$A790))+SUM(INDIRECT(AX$1&amp;AX$2&amp;$B790):INDIRECT(AX$1&amp;AX$3&amp;$B790))</f>
        <v>0</v>
      </c>
      <c r="AY790" s="906">
        <f t="shared" ca="1" si="1565"/>
        <v>0</v>
      </c>
      <c r="AZ790" s="967">
        <f t="shared" ca="1" si="1566"/>
        <v>0</v>
      </c>
      <c r="BB790" s="19">
        <f ca="1">SUM((INDIRECT(BB$2&amp;(ROW())):INDIRECT(BB$3&amp;(ROW()))))</f>
        <v>0</v>
      </c>
      <c r="BC790" s="100">
        <f ca="1">SUM(INDIRECT(BC$1&amp;BC$2&amp;$C790):INDIRECT(BC$1&amp;BC$3&amp;$C790))</f>
        <v>0</v>
      </c>
      <c r="BD790" s="906">
        <f t="shared" ca="1" si="1567"/>
        <v>0</v>
      </c>
      <c r="BE790" s="967">
        <f t="shared" ca="1" si="1568"/>
        <v>0</v>
      </c>
      <c r="BF790" s="100">
        <f ca="1">SUM(INDIRECT(BF$1&amp;BF$2&amp;$A790):INDIRECT(BF$1&amp;BF$3&amp;$A790))+SUM(INDIRECT(BF$1&amp;BF$2&amp;$B790):INDIRECT(BF$1&amp;BF$3&amp;$B790))</f>
        <v>0</v>
      </c>
      <c r="BG790" s="906">
        <f t="shared" ca="1" si="1569"/>
        <v>0</v>
      </c>
      <c r="BH790" s="967">
        <f t="shared" ca="1" si="1570"/>
        <v>0</v>
      </c>
    </row>
    <row r="791" spans="1:60" ht="14.5">
      <c r="A791" s="990">
        <v>1</v>
      </c>
      <c r="B791" s="990">
        <v>1</v>
      </c>
      <c r="C791" s="990">
        <f t="shared" si="1541"/>
        <v>788</v>
      </c>
      <c r="E791" s="1243">
        <v>1</v>
      </c>
      <c r="G791" s="24"/>
      <c r="I791" s="98"/>
      <c r="J791" s="97"/>
      <c r="K791" s="69"/>
      <c r="L791" s="69"/>
      <c r="M791" s="4" t="s">
        <v>1257</v>
      </c>
      <c r="Q791" s="1845" t="str">
        <f>CHOOSE(2, "6722000003710", "S/GP (5) Net Sales Indirect ICW-WK")</f>
        <v>S/GP (5) Net Sales Indirect ICW-WK</v>
      </c>
      <c r="R791" s="2036">
        <v>0</v>
      </c>
      <c r="S791" s="2040">
        <v>0</v>
      </c>
      <c r="T791" s="2036">
        <v>0</v>
      </c>
      <c r="U791" s="2036">
        <v>0</v>
      </c>
      <c r="V791" s="2036">
        <v>0</v>
      </c>
      <c r="W791" s="2036">
        <v>0</v>
      </c>
      <c r="X791" s="2036">
        <v>0</v>
      </c>
      <c r="Y791" s="2036">
        <v>0</v>
      </c>
      <c r="Z791" s="2036">
        <v>0</v>
      </c>
      <c r="AA791" s="2036">
        <v>0</v>
      </c>
      <c r="AB791" s="2036">
        <v>0</v>
      </c>
      <c r="AC791" s="2036">
        <v>0</v>
      </c>
      <c r="AD791" s="100">
        <f t="shared" si="1571"/>
        <v>0</v>
      </c>
      <c r="AE791" s="19">
        <f t="shared" si="1572"/>
        <v>0</v>
      </c>
      <c r="AF791" s="19">
        <f t="shared" si="1573"/>
        <v>0</v>
      </c>
      <c r="AG791" s="19">
        <f t="shared" si="1574"/>
        <v>0</v>
      </c>
      <c r="AH791" s="19">
        <f>AD791+AE791</f>
        <v>0</v>
      </c>
      <c r="AI791" s="19">
        <f>AG791+AF791</f>
        <v>0</v>
      </c>
      <c r="AJ791" s="100">
        <f>AH791+AI791</f>
        <v>0</v>
      </c>
      <c r="AL791" s="19">
        <f ca="1">SUM((INDIRECT(AL$2&amp;(ROW())):INDIRECT(AL$3&amp;(ROW()))))</f>
        <v>0</v>
      </c>
      <c r="AM791" s="100">
        <f ca="1">SUM(INDIRECT(AM$1&amp;AM$2&amp;$C791):INDIRECT(AM$1&amp;AM$3&amp;$C791))</f>
        <v>0</v>
      </c>
      <c r="AN791" s="906">
        <f t="shared" ca="1" si="1559"/>
        <v>0</v>
      </c>
      <c r="AO791" s="967">
        <f t="shared" ca="1" si="1560"/>
        <v>0</v>
      </c>
      <c r="AP791" s="100">
        <f ca="1">SUM(INDIRECT(AP$1&amp;AP$2&amp;$A791):INDIRECT(AP$1&amp;AP$3&amp;$A791))+SUM(INDIRECT(AP$1&amp;AP$2&amp;$B791):INDIRECT(AP$1&amp;AP$3&amp;$B791))</f>
        <v>0</v>
      </c>
      <c r="AQ791" s="906">
        <f t="shared" ca="1" si="1561"/>
        <v>0</v>
      </c>
      <c r="AR791" s="967">
        <f t="shared" ca="1" si="1562"/>
        <v>0</v>
      </c>
      <c r="AT791" s="19">
        <f ca="1">SUM((INDIRECT(AT$2&amp;(ROW())):INDIRECT(AT$3&amp;(ROW()))))</f>
        <v>0</v>
      </c>
      <c r="AU791" s="100">
        <f ca="1">SUM(INDIRECT(AU$1&amp;AU$2&amp;$C791):INDIRECT(AU$1&amp;AU$3&amp;$C791))</f>
        <v>0</v>
      </c>
      <c r="AV791" s="906">
        <f t="shared" ca="1" si="1563"/>
        <v>0</v>
      </c>
      <c r="AW791" s="967">
        <f t="shared" ca="1" si="1564"/>
        <v>0</v>
      </c>
      <c r="AX791" s="100">
        <f ca="1">SUM(INDIRECT(AX$1&amp;AX$2&amp;$A791):INDIRECT(AX$1&amp;AX$3&amp;$A791))+SUM(INDIRECT(AX$1&amp;AX$2&amp;$B791):INDIRECT(AX$1&amp;AX$3&amp;$B791))</f>
        <v>0</v>
      </c>
      <c r="AY791" s="906">
        <f t="shared" ca="1" si="1565"/>
        <v>0</v>
      </c>
      <c r="AZ791" s="967">
        <f t="shared" ca="1" si="1566"/>
        <v>0</v>
      </c>
      <c r="BB791" s="19">
        <f ca="1">SUM((INDIRECT(BB$2&amp;(ROW())):INDIRECT(BB$3&amp;(ROW()))))</f>
        <v>0</v>
      </c>
      <c r="BC791" s="100">
        <f ca="1">SUM(INDIRECT(BC$1&amp;BC$2&amp;$C791):INDIRECT(BC$1&amp;BC$3&amp;$C791))</f>
        <v>0</v>
      </c>
      <c r="BD791" s="906">
        <f t="shared" ca="1" si="1567"/>
        <v>0</v>
      </c>
      <c r="BE791" s="967">
        <f t="shared" ca="1" si="1568"/>
        <v>0</v>
      </c>
      <c r="BF791" s="100">
        <f ca="1">SUM(INDIRECT(BF$1&amp;BF$2&amp;$A791):INDIRECT(BF$1&amp;BF$3&amp;$A791))+SUM(INDIRECT(BF$1&amp;BF$2&amp;$B791):INDIRECT(BF$1&amp;BF$3&amp;$B791))</f>
        <v>0</v>
      </c>
      <c r="BG791" s="906">
        <f t="shared" ca="1" si="1569"/>
        <v>0</v>
      </c>
      <c r="BH791" s="967">
        <f t="shared" ca="1" si="1570"/>
        <v>0</v>
      </c>
    </row>
    <row r="792" spans="1:60" ht="14.5">
      <c r="A792" s="990">
        <v>1</v>
      </c>
      <c r="B792" s="990">
        <v>1</v>
      </c>
      <c r="C792" s="990">
        <f t="shared" si="1541"/>
        <v>789</v>
      </c>
      <c r="E792" s="1243">
        <v>1</v>
      </c>
      <c r="G792" s="24"/>
      <c r="I792" s="98"/>
      <c r="J792" s="97"/>
      <c r="K792" s="69"/>
      <c r="L792" s="69"/>
      <c r="M792" s="4" t="s">
        <v>1163</v>
      </c>
      <c r="N792" s="75"/>
      <c r="O792" s="75"/>
      <c r="P792" s="75"/>
      <c r="Q792" s="1845" t="str">
        <f>CHOOSE(2, "6722000003711", "S/GP (5) Net Sales Indirect ICW-P")</f>
        <v>S/GP (5) Net Sales Indirect ICW-P</v>
      </c>
      <c r="R792" s="2036">
        <v>0</v>
      </c>
      <c r="S792" s="2040">
        <v>0</v>
      </c>
      <c r="T792" s="2036">
        <v>0</v>
      </c>
      <c r="U792" s="2036">
        <v>0</v>
      </c>
      <c r="V792" s="2036">
        <v>0</v>
      </c>
      <c r="W792" s="2036">
        <v>0</v>
      </c>
      <c r="X792" s="2036">
        <v>0</v>
      </c>
      <c r="Y792" s="2036">
        <v>0</v>
      </c>
      <c r="Z792" s="2036">
        <v>0</v>
      </c>
      <c r="AA792" s="2036">
        <v>0</v>
      </c>
      <c r="AB792" s="2036">
        <v>0</v>
      </c>
      <c r="AC792" s="2036">
        <v>0</v>
      </c>
      <c r="AD792" s="100">
        <f t="shared" si="1571"/>
        <v>0</v>
      </c>
      <c r="AE792" s="19">
        <f t="shared" si="1572"/>
        <v>0</v>
      </c>
      <c r="AF792" s="19">
        <f t="shared" si="1573"/>
        <v>0</v>
      </c>
      <c r="AG792" s="19">
        <f t="shared" si="1574"/>
        <v>0</v>
      </c>
      <c r="AH792" s="19">
        <f>AD792+AE792</f>
        <v>0</v>
      </c>
      <c r="AI792" s="19">
        <f>AG792+AF792</f>
        <v>0</v>
      </c>
      <c r="AJ792" s="100">
        <f>AH792+AI792</f>
        <v>0</v>
      </c>
      <c r="AL792" s="19">
        <f ca="1">SUM((INDIRECT(AL$2&amp;(ROW())):INDIRECT(AL$3&amp;(ROW()))))</f>
        <v>0</v>
      </c>
      <c r="AM792" s="100">
        <f ca="1">SUM(INDIRECT(AM$1&amp;AM$2&amp;$C792):INDIRECT(AM$1&amp;AM$3&amp;$C792))</f>
        <v>0</v>
      </c>
      <c r="AN792" s="906">
        <f t="shared" ca="1" si="1559"/>
        <v>0</v>
      </c>
      <c r="AO792" s="967">
        <f t="shared" ca="1" si="1560"/>
        <v>0</v>
      </c>
      <c r="AP792" s="100">
        <f ca="1">SUM(INDIRECT(AP$1&amp;AP$2&amp;$A792):INDIRECT(AP$1&amp;AP$3&amp;$A792))+SUM(INDIRECT(AP$1&amp;AP$2&amp;$B792):INDIRECT(AP$1&amp;AP$3&amp;$B792))</f>
        <v>0</v>
      </c>
      <c r="AQ792" s="906">
        <f t="shared" ca="1" si="1561"/>
        <v>0</v>
      </c>
      <c r="AR792" s="967">
        <f t="shared" ca="1" si="1562"/>
        <v>0</v>
      </c>
      <c r="AT792" s="19">
        <f ca="1">SUM((INDIRECT(AT$2&amp;(ROW())):INDIRECT(AT$3&amp;(ROW()))))</f>
        <v>0</v>
      </c>
      <c r="AU792" s="100">
        <f ca="1">SUM(INDIRECT(AU$1&amp;AU$2&amp;$C792):INDIRECT(AU$1&amp;AU$3&amp;$C792))</f>
        <v>0</v>
      </c>
      <c r="AV792" s="906">
        <f t="shared" ca="1" si="1563"/>
        <v>0</v>
      </c>
      <c r="AW792" s="967">
        <f t="shared" ca="1" si="1564"/>
        <v>0</v>
      </c>
      <c r="AX792" s="100">
        <f ca="1">SUM(INDIRECT(AX$1&amp;AX$2&amp;$A792):INDIRECT(AX$1&amp;AX$3&amp;$A792))+SUM(INDIRECT(AX$1&amp;AX$2&amp;$B792):INDIRECT(AX$1&amp;AX$3&amp;$B792))</f>
        <v>0</v>
      </c>
      <c r="AY792" s="906">
        <f t="shared" ca="1" si="1565"/>
        <v>0</v>
      </c>
      <c r="AZ792" s="967">
        <f t="shared" ca="1" si="1566"/>
        <v>0</v>
      </c>
      <c r="BB792" s="19">
        <f ca="1">SUM((INDIRECT(BB$2&amp;(ROW())):INDIRECT(BB$3&amp;(ROW()))))</f>
        <v>0</v>
      </c>
      <c r="BC792" s="100">
        <f ca="1">SUM(INDIRECT(BC$1&amp;BC$2&amp;$C792):INDIRECT(BC$1&amp;BC$3&amp;$C792))</f>
        <v>0</v>
      </c>
      <c r="BD792" s="906">
        <f t="shared" ca="1" si="1567"/>
        <v>0</v>
      </c>
      <c r="BE792" s="967">
        <f t="shared" ca="1" si="1568"/>
        <v>0</v>
      </c>
      <c r="BF792" s="100">
        <f ca="1">SUM(INDIRECT(BF$1&amp;BF$2&amp;$A792):INDIRECT(BF$1&amp;BF$3&amp;$A792))+SUM(INDIRECT(BF$1&amp;BF$2&amp;$B792):INDIRECT(BF$1&amp;BF$3&amp;$B792))</f>
        <v>0</v>
      </c>
      <c r="BG792" s="906">
        <f t="shared" ca="1" si="1569"/>
        <v>0</v>
      </c>
      <c r="BH792" s="967">
        <f t="shared" ca="1" si="1570"/>
        <v>0</v>
      </c>
    </row>
    <row r="793" spans="1:60" ht="14.5">
      <c r="A793" s="1397">
        <v>722</v>
      </c>
      <c r="B793" s="990">
        <v>1</v>
      </c>
      <c r="C793" s="990">
        <f t="shared" si="1541"/>
        <v>790</v>
      </c>
      <c r="E793" s="1243">
        <v>1</v>
      </c>
      <c r="I793" s="16" t="s">
        <v>224</v>
      </c>
      <c r="J793" s="102"/>
      <c r="K793" s="405"/>
      <c r="L793" s="405"/>
      <c r="M793" s="405"/>
      <c r="N793" s="405"/>
      <c r="O793" s="405"/>
      <c r="P793" s="580"/>
      <c r="Q793" s="1866" t="str">
        <f>CHOOSE(2, "6722000003712", "S/GP (5) Gross Profit")</f>
        <v>S/GP (5) Gross Profit</v>
      </c>
      <c r="R793" s="2063">
        <f t="shared" ref="R793:AC793" si="1582">+R794+R825</f>
        <v>155</v>
      </c>
      <c r="S793" s="2028">
        <f t="shared" si="1582"/>
        <v>130</v>
      </c>
      <c r="T793" s="2063">
        <f t="shared" si="1582"/>
        <v>184</v>
      </c>
      <c r="U793" s="2063">
        <f t="shared" si="1582"/>
        <v>686</v>
      </c>
      <c r="V793" s="2063">
        <f t="shared" si="1582"/>
        <v>461</v>
      </c>
      <c r="W793" s="2063">
        <f t="shared" si="1582"/>
        <v>22</v>
      </c>
      <c r="X793" s="2063">
        <f t="shared" si="1582"/>
        <v>363</v>
      </c>
      <c r="Y793" s="2063">
        <f t="shared" si="1582"/>
        <v>407</v>
      </c>
      <c r="Z793" s="2063">
        <f t="shared" si="1582"/>
        <v>0</v>
      </c>
      <c r="AA793" s="2063">
        <f t="shared" si="1582"/>
        <v>187</v>
      </c>
      <c r="AB793" s="2063">
        <f t="shared" si="1582"/>
        <v>362</v>
      </c>
      <c r="AC793" s="2063">
        <f t="shared" si="1582"/>
        <v>401</v>
      </c>
      <c r="AD793" s="678">
        <f t="shared" ref="AD793:AJ793" si="1583">+AD794+AD825</f>
        <v>469</v>
      </c>
      <c r="AE793" s="406">
        <f t="shared" si="1583"/>
        <v>1169</v>
      </c>
      <c r="AF793" s="406">
        <f t="shared" si="1583"/>
        <v>770</v>
      </c>
      <c r="AG793" s="406">
        <f t="shared" si="1583"/>
        <v>950</v>
      </c>
      <c r="AH793" s="406">
        <f t="shared" si="1583"/>
        <v>1638</v>
      </c>
      <c r="AI793" s="406">
        <f t="shared" si="1583"/>
        <v>1720</v>
      </c>
      <c r="AJ793" s="101">
        <f t="shared" si="1583"/>
        <v>3358</v>
      </c>
      <c r="AL793" s="2063">
        <f ca="1">SUM((INDIRECT(AL$2&amp;(ROW())):INDIRECT(AL$3&amp;(ROW()))))</f>
        <v>401</v>
      </c>
      <c r="AM793" s="101">
        <f ca="1">SUM(INDIRECT(AM$1&amp;AM$2&amp;$C793):INDIRECT(AM$1&amp;AM$3&amp;$C793))</f>
        <v>0</v>
      </c>
      <c r="AN793" s="2522">
        <f t="shared" ca="1" si="1559"/>
        <v>401</v>
      </c>
      <c r="AO793" s="1719">
        <f t="shared" ca="1" si="1560"/>
        <v>0</v>
      </c>
      <c r="AP793" s="2544">
        <f ca="1">+AP794+AP825</f>
        <v>59</v>
      </c>
      <c r="AQ793" s="2522">
        <f t="shared" ca="1" si="1561"/>
        <v>342</v>
      </c>
      <c r="AR793" s="1719">
        <f t="shared" ca="1" si="1562"/>
        <v>6.7966101694915251</v>
      </c>
      <c r="AT793" s="2063">
        <f ca="1">SUM((INDIRECT(AT$2&amp;(ROW())):INDIRECT(AT$3&amp;(ROW()))))</f>
        <v>950</v>
      </c>
      <c r="AU793" s="101">
        <f ca="1">SUM(INDIRECT(AU$1&amp;AU$2&amp;$C793):INDIRECT(AU$1&amp;AU$3&amp;$C793))</f>
        <v>0</v>
      </c>
      <c r="AV793" s="2522">
        <f t="shared" ca="1" si="1563"/>
        <v>950</v>
      </c>
      <c r="AW793" s="1719">
        <f t="shared" ca="1" si="1564"/>
        <v>0</v>
      </c>
      <c r="AX793" s="2544">
        <f ca="1">+AX794+AX825</f>
        <v>350</v>
      </c>
      <c r="AY793" s="2522">
        <f t="shared" ca="1" si="1565"/>
        <v>600</v>
      </c>
      <c r="AZ793" s="1719">
        <f t="shared" ca="1" si="1566"/>
        <v>2.7142857142857144</v>
      </c>
      <c r="BB793" s="2063">
        <f ca="1">SUM((INDIRECT(BB$2&amp;(ROW())):INDIRECT(BB$3&amp;(ROW()))))</f>
        <v>3358</v>
      </c>
      <c r="BC793" s="101">
        <f ca="1">SUM(INDIRECT(BC$1&amp;BC$2&amp;$C793):INDIRECT(BC$1&amp;BC$3&amp;$C793))</f>
        <v>0</v>
      </c>
      <c r="BD793" s="2522">
        <f t="shared" ca="1" si="1567"/>
        <v>3358</v>
      </c>
      <c r="BE793" s="1719">
        <f t="shared" ca="1" si="1568"/>
        <v>0</v>
      </c>
      <c r="BF793" s="2544">
        <f ca="1">+BF794+BF825</f>
        <v>2702</v>
      </c>
      <c r="BG793" s="2522">
        <f t="shared" ca="1" si="1569"/>
        <v>656</v>
      </c>
      <c r="BH793" s="1719">
        <f t="shared" ca="1" si="1570"/>
        <v>1.2427831236121392</v>
      </c>
    </row>
    <row r="794" spans="1:60" ht="14.5">
      <c r="A794" s="990">
        <f t="shared" ref="A794:A814" si="1584">A793+1</f>
        <v>723</v>
      </c>
      <c r="B794" s="990">
        <v>1</v>
      </c>
      <c r="C794" s="990">
        <f t="shared" si="1541"/>
        <v>791</v>
      </c>
      <c r="E794" s="1243">
        <v>1</v>
      </c>
      <c r="I794" s="98"/>
      <c r="J794" s="97"/>
      <c r="K794" s="74" t="s">
        <v>212</v>
      </c>
      <c r="L794" s="74"/>
      <c r="M794" s="565"/>
      <c r="N794" s="357"/>
      <c r="O794" s="357"/>
      <c r="P794" s="357"/>
      <c r="Q794" s="1878" t="str">
        <f>CHOOSE(2, "6722000003713", "S/GP (5) Gross Profit Direct")</f>
        <v>S/GP (5) Gross Profit Direct</v>
      </c>
      <c r="R794" s="359">
        <f>R800+R795+R805+R810+R815+R820</f>
        <v>155</v>
      </c>
      <c r="S794" s="2064">
        <f t="shared" ref="S794:AC794" si="1585">S800+S795+S805+S810+S815+S820</f>
        <v>130</v>
      </c>
      <c r="T794" s="359">
        <f t="shared" si="1585"/>
        <v>184</v>
      </c>
      <c r="U794" s="359">
        <f t="shared" si="1585"/>
        <v>686</v>
      </c>
      <c r="V794" s="359">
        <f t="shared" si="1585"/>
        <v>461</v>
      </c>
      <c r="W794" s="359">
        <f t="shared" si="1585"/>
        <v>22</v>
      </c>
      <c r="X794" s="359">
        <f t="shared" si="1585"/>
        <v>363</v>
      </c>
      <c r="Y794" s="359">
        <f t="shared" si="1585"/>
        <v>407</v>
      </c>
      <c r="Z794" s="359">
        <f t="shared" si="1585"/>
        <v>0</v>
      </c>
      <c r="AA794" s="359">
        <f t="shared" si="1585"/>
        <v>187</v>
      </c>
      <c r="AB794" s="359">
        <f t="shared" si="1585"/>
        <v>362</v>
      </c>
      <c r="AC794" s="359">
        <f t="shared" si="1585"/>
        <v>401</v>
      </c>
      <c r="AD794" s="407">
        <f t="shared" ref="AD794:AJ794" si="1586">AD800+AD795+AD805+AD810+AD815+AD820</f>
        <v>469</v>
      </c>
      <c r="AE794" s="359">
        <f t="shared" si="1586"/>
        <v>1169</v>
      </c>
      <c r="AF794" s="359">
        <f t="shared" si="1586"/>
        <v>770</v>
      </c>
      <c r="AG794" s="359">
        <f t="shared" si="1586"/>
        <v>950</v>
      </c>
      <c r="AH794" s="359">
        <f t="shared" si="1586"/>
        <v>1638</v>
      </c>
      <c r="AI794" s="359">
        <f t="shared" si="1586"/>
        <v>1720</v>
      </c>
      <c r="AJ794" s="407">
        <f t="shared" si="1586"/>
        <v>3358</v>
      </c>
      <c r="AL794" s="359">
        <f ca="1">SUM((INDIRECT(AL$2&amp;(ROW())):INDIRECT(AL$3&amp;(ROW()))))</f>
        <v>401</v>
      </c>
      <c r="AM794" s="407">
        <f ca="1">SUM(INDIRECT(AM$1&amp;AM$2&amp;$C794):INDIRECT(AM$1&amp;AM$3&amp;$C794))</f>
        <v>0</v>
      </c>
      <c r="AN794" s="909">
        <f t="shared" ca="1" si="1559"/>
        <v>401</v>
      </c>
      <c r="AO794" s="970">
        <f t="shared" ca="1" si="1560"/>
        <v>0</v>
      </c>
      <c r="AP794" s="2545">
        <f ca="1">AP800+AP795+AP805+AP810+AP815+AP820</f>
        <v>59</v>
      </c>
      <c r="AQ794" s="909">
        <f t="shared" ca="1" si="1561"/>
        <v>342</v>
      </c>
      <c r="AR794" s="970">
        <f t="shared" ca="1" si="1562"/>
        <v>6.7966101694915251</v>
      </c>
      <c r="AT794" s="359">
        <f ca="1">SUM((INDIRECT(AT$2&amp;(ROW())):INDIRECT(AT$3&amp;(ROW()))))</f>
        <v>950</v>
      </c>
      <c r="AU794" s="407">
        <f ca="1">SUM(INDIRECT(AU$1&amp;AU$2&amp;$C794):INDIRECT(AU$1&amp;AU$3&amp;$C794))</f>
        <v>0</v>
      </c>
      <c r="AV794" s="909">
        <f t="shared" ca="1" si="1563"/>
        <v>950</v>
      </c>
      <c r="AW794" s="970">
        <f t="shared" ca="1" si="1564"/>
        <v>0</v>
      </c>
      <c r="AX794" s="2545">
        <f ca="1">AX800+AX795+AX805+AX810+AX815+AX820</f>
        <v>350</v>
      </c>
      <c r="AY794" s="909">
        <f t="shared" ca="1" si="1565"/>
        <v>600</v>
      </c>
      <c r="AZ794" s="970">
        <f t="shared" ca="1" si="1566"/>
        <v>2.7142857142857144</v>
      </c>
      <c r="BB794" s="359">
        <f ca="1">SUM((INDIRECT(BB$2&amp;(ROW())):INDIRECT(BB$3&amp;(ROW()))))</f>
        <v>3358</v>
      </c>
      <c r="BC794" s="407">
        <f ca="1">SUM(INDIRECT(BC$1&amp;BC$2&amp;$C794):INDIRECT(BC$1&amp;BC$3&amp;$C794))</f>
        <v>0</v>
      </c>
      <c r="BD794" s="909">
        <f t="shared" ca="1" si="1567"/>
        <v>3358</v>
      </c>
      <c r="BE794" s="970">
        <f t="shared" ca="1" si="1568"/>
        <v>0</v>
      </c>
      <c r="BF794" s="2545">
        <f ca="1">BF800+BF795+BF805+BF810+BF815+BF820</f>
        <v>2496</v>
      </c>
      <c r="BG794" s="909">
        <f t="shared" ca="1" si="1569"/>
        <v>862</v>
      </c>
      <c r="BH794" s="970">
        <f t="shared" ca="1" si="1570"/>
        <v>1.3453525641025641</v>
      </c>
    </row>
    <row r="795" spans="1:60" ht="14.5">
      <c r="A795" s="1397">
        <v>724</v>
      </c>
      <c r="B795" s="990">
        <v>1</v>
      </c>
      <c r="C795" s="990">
        <f t="shared" si="1541"/>
        <v>792</v>
      </c>
      <c r="E795" s="1243">
        <v>1</v>
      </c>
      <c r="G795" s="1241"/>
      <c r="I795" s="98"/>
      <c r="J795" s="97"/>
      <c r="K795" s="74"/>
      <c r="L795" s="74"/>
      <c r="M795" s="9" t="s">
        <v>779</v>
      </c>
      <c r="N795" s="362"/>
      <c r="O795" s="362"/>
      <c r="P795" s="362"/>
      <c r="Q795" s="1843" t="str">
        <f>CHOOSE(2, "6722000003714", "S/GP (5) Gross Profit Direct IMS")</f>
        <v>S/GP (5) Gross Profit Direct IMS</v>
      </c>
      <c r="R795" s="361">
        <f>SUM(R796:R799)</f>
        <v>0</v>
      </c>
      <c r="S795" s="2054">
        <f t="shared" ref="S795:AC795" si="1587">SUM(S796:S799)</f>
        <v>0</v>
      </c>
      <c r="T795" s="361">
        <f t="shared" si="1587"/>
        <v>0</v>
      </c>
      <c r="U795" s="361">
        <f t="shared" si="1587"/>
        <v>510</v>
      </c>
      <c r="V795" s="361">
        <f t="shared" si="1587"/>
        <v>0</v>
      </c>
      <c r="W795" s="361">
        <f t="shared" si="1587"/>
        <v>0</v>
      </c>
      <c r="X795" s="361">
        <f t="shared" si="1587"/>
        <v>165</v>
      </c>
      <c r="Y795" s="361">
        <f t="shared" si="1587"/>
        <v>0</v>
      </c>
      <c r="Z795" s="361">
        <f t="shared" si="1587"/>
        <v>0</v>
      </c>
      <c r="AA795" s="361">
        <f t="shared" si="1587"/>
        <v>165</v>
      </c>
      <c r="AB795" s="361">
        <f t="shared" si="1587"/>
        <v>0</v>
      </c>
      <c r="AC795" s="361">
        <f t="shared" si="1587"/>
        <v>0</v>
      </c>
      <c r="AD795" s="375">
        <f t="shared" ref="AD795:AJ795" si="1588">SUM(AD796:AD799)</f>
        <v>0</v>
      </c>
      <c r="AE795" s="361">
        <f t="shared" si="1588"/>
        <v>510</v>
      </c>
      <c r="AF795" s="361">
        <f t="shared" si="1588"/>
        <v>165</v>
      </c>
      <c r="AG795" s="361">
        <f t="shared" si="1588"/>
        <v>165</v>
      </c>
      <c r="AH795" s="361">
        <f t="shared" si="1588"/>
        <v>510</v>
      </c>
      <c r="AI795" s="361">
        <f t="shared" si="1588"/>
        <v>330</v>
      </c>
      <c r="AJ795" s="375">
        <f t="shared" si="1588"/>
        <v>840</v>
      </c>
      <c r="AL795" s="361">
        <f ca="1">SUM((INDIRECT(AL$2&amp;(ROW())):INDIRECT(AL$3&amp;(ROW()))))</f>
        <v>0</v>
      </c>
      <c r="AM795" s="375">
        <f ca="1">SUM(INDIRECT(AM$1&amp;AM$2&amp;$C795):INDIRECT(AM$1&amp;AM$3&amp;$C795))</f>
        <v>0</v>
      </c>
      <c r="AN795" s="910">
        <f t="shared" ca="1" si="1559"/>
        <v>0</v>
      </c>
      <c r="AO795" s="971">
        <f t="shared" ca="1" si="1560"/>
        <v>0</v>
      </c>
      <c r="AP795" s="375">
        <f ca="1">SUM(INDIRECT(AP$1&amp;AP$2&amp;$A795):INDIRECT(AP$1&amp;AP$3&amp;$A795))+SUM(INDIRECT(AP$1&amp;AP$2&amp;$B795):INDIRECT(AP$1&amp;AP$3&amp;$B795))</f>
        <v>0</v>
      </c>
      <c r="AQ795" s="910">
        <f t="shared" ca="1" si="1561"/>
        <v>0</v>
      </c>
      <c r="AR795" s="971">
        <f t="shared" ca="1" si="1562"/>
        <v>0</v>
      </c>
      <c r="AT795" s="361">
        <f ca="1">SUM((INDIRECT(AT$2&amp;(ROW())):INDIRECT(AT$3&amp;(ROW()))))</f>
        <v>165</v>
      </c>
      <c r="AU795" s="375">
        <f ca="1">SUM(INDIRECT(AU$1&amp;AU$2&amp;$C795):INDIRECT(AU$1&amp;AU$3&amp;$C795))</f>
        <v>0</v>
      </c>
      <c r="AV795" s="910">
        <f t="shared" ca="1" si="1563"/>
        <v>165</v>
      </c>
      <c r="AW795" s="971">
        <f t="shared" ca="1" si="1564"/>
        <v>0</v>
      </c>
      <c r="AX795" s="375">
        <f ca="1">SUM(INDIRECT(AX$1&amp;AX$2&amp;$A795):INDIRECT(AX$1&amp;AX$3&amp;$A795))+SUM(INDIRECT(AX$1&amp;AX$2&amp;$B795):INDIRECT(AX$1&amp;AX$3&amp;$B795))</f>
        <v>0</v>
      </c>
      <c r="AY795" s="910">
        <f t="shared" ca="1" si="1565"/>
        <v>165</v>
      </c>
      <c r="AZ795" s="971">
        <f t="shared" ca="1" si="1566"/>
        <v>0</v>
      </c>
      <c r="BB795" s="361">
        <f ca="1">SUM((INDIRECT(BB$2&amp;(ROW())):INDIRECT(BB$3&amp;(ROW()))))</f>
        <v>840</v>
      </c>
      <c r="BC795" s="375">
        <f ca="1">SUM(INDIRECT(BC$1&amp;BC$2&amp;$C795):INDIRECT(BC$1&amp;BC$3&amp;$C795))</f>
        <v>0</v>
      </c>
      <c r="BD795" s="910">
        <f t="shared" ca="1" si="1567"/>
        <v>840</v>
      </c>
      <c r="BE795" s="971">
        <f t="shared" ca="1" si="1568"/>
        <v>0</v>
      </c>
      <c r="BF795" s="375">
        <f ca="1">SUM(INDIRECT(BF$1&amp;BF$2&amp;$A795):INDIRECT(BF$1&amp;BF$3&amp;$A795))+SUM(INDIRECT(BF$1&amp;BF$2&amp;$B795):INDIRECT(BF$1&amp;BF$3&amp;$B795))</f>
        <v>43</v>
      </c>
      <c r="BG795" s="910">
        <f t="shared" ca="1" si="1569"/>
        <v>797</v>
      </c>
      <c r="BH795" s="971">
        <f t="shared" ca="1" si="1570"/>
        <v>19.534883720930232</v>
      </c>
    </row>
    <row r="796" spans="1:60" ht="14.5">
      <c r="A796" s="990">
        <f t="shared" si="1584"/>
        <v>725</v>
      </c>
      <c r="B796" s="990">
        <v>1</v>
      </c>
      <c r="C796" s="990">
        <f t="shared" si="1541"/>
        <v>793</v>
      </c>
      <c r="E796" s="1243">
        <v>1</v>
      </c>
      <c r="G796" s="1241"/>
      <c r="I796" s="98"/>
      <c r="J796" s="97"/>
      <c r="K796" s="74"/>
      <c r="L796" s="74"/>
      <c r="N796" s="111" t="s">
        <v>903</v>
      </c>
      <c r="O796" s="111"/>
      <c r="P796" s="111"/>
      <c r="Q796" s="1845" t="str">
        <f>CHOOSE(2, "6722000003715", "S/GP (5) Gross Profit Direct IMS OSP")</f>
        <v>S/GP (5) Gross Profit Direct IMS OSP</v>
      </c>
      <c r="R796" s="2042">
        <v>0</v>
      </c>
      <c r="S796" s="2055">
        <v>0</v>
      </c>
      <c r="T796" s="2042">
        <v>0</v>
      </c>
      <c r="U796" s="2042">
        <v>0</v>
      </c>
      <c r="V796" s="2042">
        <v>0</v>
      </c>
      <c r="W796" s="2042">
        <v>0</v>
      </c>
      <c r="X796" s="2042">
        <v>0</v>
      </c>
      <c r="Y796" s="2042">
        <v>0</v>
      </c>
      <c r="Z796" s="2042">
        <v>0</v>
      </c>
      <c r="AA796" s="2042">
        <v>0</v>
      </c>
      <c r="AB796" s="2042">
        <v>0</v>
      </c>
      <c r="AC796" s="2042">
        <v>0</v>
      </c>
      <c r="AD796" s="376">
        <f>SUM(R796,S796,T796)</f>
        <v>0</v>
      </c>
      <c r="AE796" s="109">
        <f t="shared" ref="AE796:AE799" si="1589">SUM(U796,V796,W796)</f>
        <v>0</v>
      </c>
      <c r="AF796" s="109">
        <f t="shared" ref="AF796:AF799" si="1590">SUM(X796,Y796,Z796)</f>
        <v>0</v>
      </c>
      <c r="AG796" s="109">
        <f t="shared" ref="AG796:AG799" si="1591">SUM(AA796,AB796,AC796)</f>
        <v>0</v>
      </c>
      <c r="AH796" s="109">
        <f>AD796+AE796</f>
        <v>0</v>
      </c>
      <c r="AI796" s="109">
        <f>AG796+AF796</f>
        <v>0</v>
      </c>
      <c r="AJ796" s="376">
        <f>AH796+AI796</f>
        <v>0</v>
      </c>
      <c r="AL796" s="109">
        <f ca="1">SUM((INDIRECT(AL$2&amp;(ROW())):INDIRECT(AL$3&amp;(ROW()))))</f>
        <v>0</v>
      </c>
      <c r="AM796" s="376">
        <f ca="1">SUM(INDIRECT(AM$1&amp;AM$2&amp;$C796):INDIRECT(AM$1&amp;AM$3&amp;$C796))</f>
        <v>0</v>
      </c>
      <c r="AN796" s="904">
        <f t="shared" ca="1" si="1559"/>
        <v>0</v>
      </c>
      <c r="AO796" s="965">
        <f t="shared" ca="1" si="1560"/>
        <v>0</v>
      </c>
      <c r="AP796" s="376">
        <f ca="1">SUM(INDIRECT(AP$1&amp;AP$2&amp;$A796):INDIRECT(AP$1&amp;AP$3&amp;$A796))+SUM(INDIRECT(AP$1&amp;AP$2&amp;$B796):INDIRECT(AP$1&amp;AP$3&amp;$B796))</f>
        <v>0</v>
      </c>
      <c r="AQ796" s="904">
        <f t="shared" ca="1" si="1561"/>
        <v>0</v>
      </c>
      <c r="AR796" s="965">
        <f t="shared" ca="1" si="1562"/>
        <v>0</v>
      </c>
      <c r="AT796" s="109">
        <f ca="1">SUM((INDIRECT(AT$2&amp;(ROW())):INDIRECT(AT$3&amp;(ROW()))))</f>
        <v>0</v>
      </c>
      <c r="AU796" s="376">
        <f ca="1">SUM(INDIRECT(AU$1&amp;AU$2&amp;$C796):INDIRECT(AU$1&amp;AU$3&amp;$C796))</f>
        <v>0</v>
      </c>
      <c r="AV796" s="904">
        <f t="shared" ca="1" si="1563"/>
        <v>0</v>
      </c>
      <c r="AW796" s="965">
        <f t="shared" ca="1" si="1564"/>
        <v>0</v>
      </c>
      <c r="AX796" s="376">
        <f ca="1">SUM(INDIRECT(AX$1&amp;AX$2&amp;$A796):INDIRECT(AX$1&amp;AX$3&amp;$A796))+SUM(INDIRECT(AX$1&amp;AX$2&amp;$B796):INDIRECT(AX$1&amp;AX$3&amp;$B796))</f>
        <v>0</v>
      </c>
      <c r="AY796" s="904">
        <f t="shared" ca="1" si="1565"/>
        <v>0</v>
      </c>
      <c r="AZ796" s="965">
        <f t="shared" ca="1" si="1566"/>
        <v>0</v>
      </c>
      <c r="BB796" s="109">
        <f ca="1">SUM((INDIRECT(BB$2&amp;(ROW())):INDIRECT(BB$3&amp;(ROW()))))</f>
        <v>0</v>
      </c>
      <c r="BC796" s="376">
        <f ca="1">SUM(INDIRECT(BC$1&amp;BC$2&amp;$C796):INDIRECT(BC$1&amp;BC$3&amp;$C796))</f>
        <v>0</v>
      </c>
      <c r="BD796" s="904">
        <f t="shared" ca="1" si="1567"/>
        <v>0</v>
      </c>
      <c r="BE796" s="965">
        <f t="shared" ca="1" si="1568"/>
        <v>0</v>
      </c>
      <c r="BF796" s="376">
        <f ca="1">SUM(INDIRECT(BF$1&amp;BF$2&amp;$A796):INDIRECT(BF$1&amp;BF$3&amp;$A796))+SUM(INDIRECT(BF$1&amp;BF$2&amp;$B796):INDIRECT(BF$1&amp;BF$3&amp;$B796))</f>
        <v>0</v>
      </c>
      <c r="BG796" s="904">
        <f t="shared" ca="1" si="1569"/>
        <v>0</v>
      </c>
      <c r="BH796" s="965">
        <f t="shared" ca="1" si="1570"/>
        <v>0</v>
      </c>
    </row>
    <row r="797" spans="1:60" ht="14.5">
      <c r="A797" s="990">
        <f t="shared" si="1584"/>
        <v>726</v>
      </c>
      <c r="B797" s="990">
        <v>1</v>
      </c>
      <c r="C797" s="990">
        <f t="shared" si="1541"/>
        <v>794</v>
      </c>
      <c r="E797" s="1243">
        <v>1</v>
      </c>
      <c r="G797" s="1241"/>
      <c r="I797" s="98"/>
      <c r="J797" s="97"/>
      <c r="K797" s="74"/>
      <c r="L797" s="74"/>
      <c r="N797" s="9" t="s">
        <v>904</v>
      </c>
      <c r="Q797" s="1845" t="str">
        <f>CHOOSE(2, "6722000003716", "S/GP (5) Gross Profit Direct IMS RP")</f>
        <v>S/GP (5) Gross Profit Direct IMS RP</v>
      </c>
      <c r="R797" s="2036">
        <v>0</v>
      </c>
      <c r="S797" s="2040">
        <v>0</v>
      </c>
      <c r="T797" s="2036">
        <v>0</v>
      </c>
      <c r="U797" s="2036">
        <v>510</v>
      </c>
      <c r="V797" s="2036">
        <v>0</v>
      </c>
      <c r="W797" s="2036">
        <v>0</v>
      </c>
      <c r="X797" s="2036">
        <f>510-345</f>
        <v>165</v>
      </c>
      <c r="Y797" s="2036">
        <v>0</v>
      </c>
      <c r="Z797" s="2036">
        <v>0</v>
      </c>
      <c r="AA797" s="2036">
        <v>165</v>
      </c>
      <c r="AB797" s="2036">
        <v>0</v>
      </c>
      <c r="AC797" s="2036">
        <v>0</v>
      </c>
      <c r="AD797" s="100">
        <f>SUM(R797,S797,T797)</f>
        <v>0</v>
      </c>
      <c r="AE797" s="19">
        <f t="shared" si="1589"/>
        <v>510</v>
      </c>
      <c r="AF797" s="19">
        <f t="shared" si="1590"/>
        <v>165</v>
      </c>
      <c r="AG797" s="19">
        <f t="shared" si="1591"/>
        <v>165</v>
      </c>
      <c r="AH797" s="19">
        <f>AD797+AE797</f>
        <v>510</v>
      </c>
      <c r="AI797" s="19">
        <f>AG797+AF797</f>
        <v>330</v>
      </c>
      <c r="AJ797" s="100">
        <f>AH797+AI797</f>
        <v>840</v>
      </c>
      <c r="AL797" s="19">
        <f ca="1">SUM((INDIRECT(AL$2&amp;(ROW())):INDIRECT(AL$3&amp;(ROW()))))</f>
        <v>0</v>
      </c>
      <c r="AM797" s="100">
        <f ca="1">SUM(INDIRECT(AM$1&amp;AM$2&amp;$C797):INDIRECT(AM$1&amp;AM$3&amp;$C797))</f>
        <v>0</v>
      </c>
      <c r="AN797" s="906">
        <f t="shared" ca="1" si="1559"/>
        <v>0</v>
      </c>
      <c r="AO797" s="967">
        <f t="shared" ca="1" si="1560"/>
        <v>0</v>
      </c>
      <c r="AP797" s="100">
        <f ca="1">SUM(INDIRECT(AP$1&amp;AP$2&amp;$A797):INDIRECT(AP$1&amp;AP$3&amp;$A797))+SUM(INDIRECT(AP$1&amp;AP$2&amp;$B797):INDIRECT(AP$1&amp;AP$3&amp;$B797))</f>
        <v>0</v>
      </c>
      <c r="AQ797" s="906">
        <f t="shared" ca="1" si="1561"/>
        <v>0</v>
      </c>
      <c r="AR797" s="967">
        <f t="shared" ca="1" si="1562"/>
        <v>0</v>
      </c>
      <c r="AT797" s="19">
        <f ca="1">SUM((INDIRECT(AT$2&amp;(ROW())):INDIRECT(AT$3&amp;(ROW()))))</f>
        <v>165</v>
      </c>
      <c r="AU797" s="100">
        <f ca="1">SUM(INDIRECT(AU$1&amp;AU$2&amp;$C797):INDIRECT(AU$1&amp;AU$3&amp;$C797))</f>
        <v>0</v>
      </c>
      <c r="AV797" s="906">
        <f t="shared" ca="1" si="1563"/>
        <v>165</v>
      </c>
      <c r="AW797" s="967">
        <f t="shared" ca="1" si="1564"/>
        <v>0</v>
      </c>
      <c r="AX797" s="100">
        <f ca="1">SUM(INDIRECT(AX$1&amp;AX$2&amp;$A797):INDIRECT(AX$1&amp;AX$3&amp;$A797))+SUM(INDIRECT(AX$1&amp;AX$2&amp;$B797):INDIRECT(AX$1&amp;AX$3&amp;$B797))</f>
        <v>0</v>
      </c>
      <c r="AY797" s="906">
        <f t="shared" ca="1" si="1565"/>
        <v>165</v>
      </c>
      <c r="AZ797" s="967">
        <f t="shared" ca="1" si="1566"/>
        <v>0</v>
      </c>
      <c r="BB797" s="19">
        <f ca="1">SUM((INDIRECT(BB$2&amp;(ROW())):INDIRECT(BB$3&amp;(ROW()))))</f>
        <v>840</v>
      </c>
      <c r="BC797" s="100">
        <f ca="1">SUM(INDIRECT(BC$1&amp;BC$2&amp;$C797):INDIRECT(BC$1&amp;BC$3&amp;$C797))</f>
        <v>0</v>
      </c>
      <c r="BD797" s="906">
        <f t="shared" ca="1" si="1567"/>
        <v>840</v>
      </c>
      <c r="BE797" s="967">
        <f t="shared" ca="1" si="1568"/>
        <v>0</v>
      </c>
      <c r="BF797" s="100">
        <f ca="1">SUM(INDIRECT(BF$1&amp;BF$2&amp;$A797):INDIRECT(BF$1&amp;BF$3&amp;$A797))+SUM(INDIRECT(BF$1&amp;BF$2&amp;$B797):INDIRECT(BF$1&amp;BF$3&amp;$B797))</f>
        <v>43</v>
      </c>
      <c r="BG797" s="906">
        <f t="shared" ca="1" si="1569"/>
        <v>797</v>
      </c>
      <c r="BH797" s="967">
        <f t="shared" ca="1" si="1570"/>
        <v>19.534883720930232</v>
      </c>
    </row>
    <row r="798" spans="1:60" ht="14.5">
      <c r="A798" s="990">
        <f t="shared" si="1584"/>
        <v>727</v>
      </c>
      <c r="B798" s="990">
        <v>1</v>
      </c>
      <c r="C798" s="990">
        <f t="shared" si="1541"/>
        <v>795</v>
      </c>
      <c r="E798" s="1243">
        <v>1</v>
      </c>
      <c r="G798" s="1241"/>
      <c r="I798" s="98"/>
      <c r="J798" s="97"/>
      <c r="K798" s="74"/>
      <c r="L798" s="74"/>
      <c r="N798" s="9" t="s">
        <v>905</v>
      </c>
      <c r="Q798" s="1845" t="str">
        <f>CHOOSE(2, "6722000003717", "S/GP (5) Gross Profit Direct IMS OSP service")</f>
        <v>S/GP (5) Gross Profit Direct IMS OSP service</v>
      </c>
      <c r="R798" s="2036">
        <v>0</v>
      </c>
      <c r="S798" s="2040">
        <v>0</v>
      </c>
      <c r="T798" s="2036">
        <v>0</v>
      </c>
      <c r="U798" s="2036">
        <v>0</v>
      </c>
      <c r="V798" s="2036">
        <v>0</v>
      </c>
      <c r="W798" s="2036">
        <v>0</v>
      </c>
      <c r="X798" s="2036">
        <v>0</v>
      </c>
      <c r="Y798" s="2036">
        <v>0</v>
      </c>
      <c r="Z798" s="2036">
        <v>0</v>
      </c>
      <c r="AA798" s="2036">
        <v>0</v>
      </c>
      <c r="AB798" s="2036">
        <v>0</v>
      </c>
      <c r="AC798" s="2036">
        <v>0</v>
      </c>
      <c r="AD798" s="100">
        <f>SUM(R798,S798,T798)</f>
        <v>0</v>
      </c>
      <c r="AE798" s="19">
        <f t="shared" si="1589"/>
        <v>0</v>
      </c>
      <c r="AF798" s="19">
        <f t="shared" si="1590"/>
        <v>0</v>
      </c>
      <c r="AG798" s="19">
        <f t="shared" si="1591"/>
        <v>0</v>
      </c>
      <c r="AH798" s="19">
        <f>AD798+AE798</f>
        <v>0</v>
      </c>
      <c r="AI798" s="19">
        <f>AG798+AF798</f>
        <v>0</v>
      </c>
      <c r="AJ798" s="100">
        <f>AH798+AI798</f>
        <v>0</v>
      </c>
      <c r="AL798" s="19">
        <f ca="1">SUM((INDIRECT(AL$2&amp;(ROW())):INDIRECT(AL$3&amp;(ROW()))))</f>
        <v>0</v>
      </c>
      <c r="AM798" s="100">
        <f ca="1">SUM(INDIRECT(AM$1&amp;AM$2&amp;$C798):INDIRECT(AM$1&amp;AM$3&amp;$C798))</f>
        <v>0</v>
      </c>
      <c r="AN798" s="906">
        <f t="shared" ca="1" si="1559"/>
        <v>0</v>
      </c>
      <c r="AO798" s="967">
        <f t="shared" ca="1" si="1560"/>
        <v>0</v>
      </c>
      <c r="AP798" s="1380">
        <f ca="1">SUM(INDIRECT(AP$1&amp;AP$2&amp;$A798):INDIRECT(AP$1&amp;AP$3&amp;$A798))+SUM(INDIRECT(AP$1&amp;AP$2&amp;$B798):INDIRECT(AP$1&amp;AP$3&amp;$B798))</f>
        <v>0</v>
      </c>
      <c r="AQ798" s="1381">
        <f t="shared" ca="1" si="1561"/>
        <v>0</v>
      </c>
      <c r="AR798" s="1382">
        <f t="shared" ca="1" si="1562"/>
        <v>0</v>
      </c>
      <c r="AS798" s="75"/>
      <c r="AT798" s="107">
        <f ca="1">SUM((INDIRECT(AT$2&amp;(ROW())):INDIRECT(AT$3&amp;(ROW()))))</f>
        <v>0</v>
      </c>
      <c r="AU798" s="1380">
        <f ca="1">SUM(INDIRECT(AU$1&amp;AU$2&amp;$C798):INDIRECT(AU$1&amp;AU$3&amp;$C798))</f>
        <v>0</v>
      </c>
      <c r="AV798" s="1381">
        <f t="shared" ca="1" si="1563"/>
        <v>0</v>
      </c>
      <c r="AW798" s="1382">
        <f t="shared" ca="1" si="1564"/>
        <v>0</v>
      </c>
      <c r="AX798" s="1380">
        <f ca="1">SUM(INDIRECT(AX$1&amp;AX$2&amp;$A798):INDIRECT(AX$1&amp;AX$3&amp;$A798))+SUM(INDIRECT(AX$1&amp;AX$2&amp;$B798):INDIRECT(AX$1&amp;AX$3&amp;$B798))</f>
        <v>0</v>
      </c>
      <c r="AY798" s="1381">
        <f t="shared" ca="1" si="1565"/>
        <v>0</v>
      </c>
      <c r="AZ798" s="1382">
        <f t="shared" ca="1" si="1566"/>
        <v>0</v>
      </c>
      <c r="BA798" s="75"/>
      <c r="BB798" s="107">
        <f ca="1">SUM((INDIRECT(BB$2&amp;(ROW())):INDIRECT(BB$3&amp;(ROW()))))</f>
        <v>0</v>
      </c>
      <c r="BC798" s="1380">
        <f ca="1">SUM(INDIRECT(BC$1&amp;BC$2&amp;$C798):INDIRECT(BC$1&amp;BC$3&amp;$C798))</f>
        <v>0</v>
      </c>
      <c r="BD798" s="1381">
        <f t="shared" ca="1" si="1567"/>
        <v>0</v>
      </c>
      <c r="BE798" s="1382">
        <f t="shared" ca="1" si="1568"/>
        <v>0</v>
      </c>
      <c r="BF798" s="1380">
        <f ca="1">SUM(INDIRECT(BF$1&amp;BF$2&amp;$A798):INDIRECT(BF$1&amp;BF$3&amp;$A798))+SUM(INDIRECT(BF$1&amp;BF$2&amp;$B798):INDIRECT(BF$1&amp;BF$3&amp;$B798))</f>
        <v>0</v>
      </c>
      <c r="BG798" s="1381">
        <f t="shared" ca="1" si="1569"/>
        <v>0</v>
      </c>
      <c r="BH798" s="1382">
        <f t="shared" ca="1" si="1570"/>
        <v>0</v>
      </c>
    </row>
    <row r="799" spans="1:60" ht="14.5">
      <c r="A799" s="990">
        <f t="shared" si="1584"/>
        <v>728</v>
      </c>
      <c r="B799" s="990">
        <v>1</v>
      </c>
      <c r="C799" s="990">
        <f t="shared" si="1541"/>
        <v>796</v>
      </c>
      <c r="E799" s="1243">
        <v>1</v>
      </c>
      <c r="G799" s="1241"/>
      <c r="I799" s="98"/>
      <c r="J799" s="97"/>
      <c r="K799" s="74"/>
      <c r="L799" s="74"/>
      <c r="M799" s="12"/>
      <c r="N799" s="9" t="s">
        <v>906</v>
      </c>
      <c r="P799" s="12"/>
      <c r="Q799" s="1845" t="str">
        <f>CHOOSE(2, "6722000003718", "S/GP (5) Gross Profit Direct IMS RP service")</f>
        <v>S/GP (5) Gross Profit Direct IMS RP service</v>
      </c>
      <c r="R799" s="2037">
        <v>0</v>
      </c>
      <c r="S799" s="2041">
        <v>0</v>
      </c>
      <c r="T799" s="2037">
        <v>0</v>
      </c>
      <c r="U799" s="2037">
        <v>0</v>
      </c>
      <c r="V799" s="2037">
        <v>0</v>
      </c>
      <c r="W799" s="2037">
        <v>0</v>
      </c>
      <c r="X799" s="2037">
        <v>0</v>
      </c>
      <c r="Y799" s="2037">
        <v>0</v>
      </c>
      <c r="Z799" s="2037">
        <v>0</v>
      </c>
      <c r="AA799" s="2037">
        <v>0</v>
      </c>
      <c r="AB799" s="2037">
        <v>0</v>
      </c>
      <c r="AC799" s="2037">
        <v>0</v>
      </c>
      <c r="AD799" s="99">
        <f>SUM(R799,S799,T799)</f>
        <v>0</v>
      </c>
      <c r="AE799" s="17">
        <f t="shared" si="1589"/>
        <v>0</v>
      </c>
      <c r="AF799" s="17">
        <f t="shared" si="1590"/>
        <v>0</v>
      </c>
      <c r="AG799" s="17">
        <f t="shared" si="1591"/>
        <v>0</v>
      </c>
      <c r="AH799" s="17">
        <f>AD799+AE799</f>
        <v>0</v>
      </c>
      <c r="AI799" s="17">
        <f>AG799+AF799</f>
        <v>0</v>
      </c>
      <c r="AJ799" s="99">
        <f>AH799+AI799</f>
        <v>0</v>
      </c>
      <c r="AL799" s="17">
        <f ca="1">SUM((INDIRECT(AL$2&amp;(ROW())):INDIRECT(AL$3&amp;(ROW()))))</f>
        <v>0</v>
      </c>
      <c r="AM799" s="99">
        <f ca="1">SUM(INDIRECT(AM$1&amp;AM$2&amp;$C799):INDIRECT(AM$1&amp;AM$3&amp;$C799))</f>
        <v>0</v>
      </c>
      <c r="AN799" s="905">
        <f t="shared" ca="1" si="1559"/>
        <v>0</v>
      </c>
      <c r="AO799" s="966">
        <f t="shared" ca="1" si="1560"/>
        <v>0</v>
      </c>
      <c r="AP799" s="1383">
        <f ca="1">SUM(INDIRECT(AP$1&amp;AP$2&amp;$A799):INDIRECT(AP$1&amp;AP$3&amp;$A799))+SUM(INDIRECT(AP$1&amp;AP$2&amp;$B799):INDIRECT(AP$1&amp;AP$3&amp;$B799))</f>
        <v>0</v>
      </c>
      <c r="AQ799" s="1384">
        <f t="shared" ca="1" si="1561"/>
        <v>0</v>
      </c>
      <c r="AR799" s="1385">
        <f t="shared" ca="1" si="1562"/>
        <v>0</v>
      </c>
      <c r="AS799" s="75"/>
      <c r="AT799" s="113">
        <f ca="1">SUM((INDIRECT(AT$2&amp;(ROW())):INDIRECT(AT$3&amp;(ROW()))))</f>
        <v>0</v>
      </c>
      <c r="AU799" s="1383">
        <f ca="1">SUM(INDIRECT(AU$1&amp;AU$2&amp;$C799):INDIRECT(AU$1&amp;AU$3&amp;$C799))</f>
        <v>0</v>
      </c>
      <c r="AV799" s="1384">
        <f t="shared" ca="1" si="1563"/>
        <v>0</v>
      </c>
      <c r="AW799" s="1385">
        <f t="shared" ca="1" si="1564"/>
        <v>0</v>
      </c>
      <c r="AX799" s="1383">
        <f ca="1">SUM(INDIRECT(AX$1&amp;AX$2&amp;$A799):INDIRECT(AX$1&amp;AX$3&amp;$A799))+SUM(INDIRECT(AX$1&amp;AX$2&amp;$B799):INDIRECT(AX$1&amp;AX$3&amp;$B799))</f>
        <v>0</v>
      </c>
      <c r="AY799" s="1384">
        <f t="shared" ca="1" si="1565"/>
        <v>0</v>
      </c>
      <c r="AZ799" s="1385">
        <f t="shared" ca="1" si="1566"/>
        <v>0</v>
      </c>
      <c r="BA799" s="75"/>
      <c r="BB799" s="113">
        <f ca="1">SUM((INDIRECT(BB$2&amp;(ROW())):INDIRECT(BB$3&amp;(ROW()))))</f>
        <v>0</v>
      </c>
      <c r="BC799" s="1383">
        <f ca="1">SUM(INDIRECT(BC$1&amp;BC$2&amp;$C799):INDIRECT(BC$1&amp;BC$3&amp;$C799))</f>
        <v>0</v>
      </c>
      <c r="BD799" s="1384">
        <f t="shared" ca="1" si="1567"/>
        <v>0</v>
      </c>
      <c r="BE799" s="1385">
        <f t="shared" ca="1" si="1568"/>
        <v>0</v>
      </c>
      <c r="BF799" s="1383">
        <f ca="1">SUM(INDIRECT(BF$1&amp;BF$2&amp;$A799):INDIRECT(BF$1&amp;BF$3&amp;$A799))+SUM(INDIRECT(BF$1&amp;BF$2&amp;$B799):INDIRECT(BF$1&amp;BF$3&amp;$B799))</f>
        <v>0</v>
      </c>
      <c r="BG799" s="1384">
        <f t="shared" ca="1" si="1569"/>
        <v>0</v>
      </c>
      <c r="BH799" s="1385">
        <f t="shared" ca="1" si="1570"/>
        <v>0</v>
      </c>
    </row>
    <row r="800" spans="1:60" ht="14.5">
      <c r="A800" s="990">
        <f t="shared" si="1584"/>
        <v>729</v>
      </c>
      <c r="B800" s="990">
        <v>1</v>
      </c>
      <c r="C800" s="990">
        <f t="shared" si="1541"/>
        <v>797</v>
      </c>
      <c r="E800" s="1243">
        <v>1</v>
      </c>
      <c r="G800" s="24"/>
      <c r="I800" s="98"/>
      <c r="J800" s="97"/>
      <c r="K800" s="74"/>
      <c r="L800" s="74"/>
      <c r="M800" s="4" t="s">
        <v>1162</v>
      </c>
      <c r="N800" s="362"/>
      <c r="O800" s="362"/>
      <c r="P800" s="363"/>
      <c r="Q800" s="1843" t="str">
        <f>CHOOSE(2, "6722000003719", "S/GP (5) Gross Profit Direct ICW-IT")</f>
        <v>S/GP (5) Gross Profit Direct ICW-IT</v>
      </c>
      <c r="R800" s="365">
        <f>SUM(R801:R804)</f>
        <v>0</v>
      </c>
      <c r="S800" s="2065">
        <f t="shared" ref="S800:AC800" si="1592">SUM(S801:S804)</f>
        <v>0</v>
      </c>
      <c r="T800" s="365">
        <f t="shared" si="1592"/>
        <v>0</v>
      </c>
      <c r="U800" s="365">
        <f t="shared" si="1592"/>
        <v>0</v>
      </c>
      <c r="V800" s="365">
        <f t="shared" si="1592"/>
        <v>0</v>
      </c>
      <c r="W800" s="365">
        <f t="shared" si="1592"/>
        <v>0</v>
      </c>
      <c r="X800" s="365">
        <f t="shared" si="1592"/>
        <v>0</v>
      </c>
      <c r="Y800" s="365">
        <f t="shared" si="1592"/>
        <v>0</v>
      </c>
      <c r="Z800" s="365">
        <f t="shared" si="1592"/>
        <v>0</v>
      </c>
      <c r="AA800" s="365">
        <f t="shared" si="1592"/>
        <v>0</v>
      </c>
      <c r="AB800" s="365">
        <f t="shared" si="1592"/>
        <v>0</v>
      </c>
      <c r="AC800" s="365">
        <f t="shared" si="1592"/>
        <v>0</v>
      </c>
      <c r="AD800" s="408">
        <f t="shared" ref="AD800:AJ800" si="1593">SUM(AD801:AD804)</f>
        <v>0</v>
      </c>
      <c r="AE800" s="365">
        <f t="shared" si="1593"/>
        <v>0</v>
      </c>
      <c r="AF800" s="365">
        <f t="shared" si="1593"/>
        <v>0</v>
      </c>
      <c r="AG800" s="365">
        <f t="shared" si="1593"/>
        <v>0</v>
      </c>
      <c r="AH800" s="365">
        <f t="shared" si="1593"/>
        <v>0</v>
      </c>
      <c r="AI800" s="365">
        <f t="shared" si="1593"/>
        <v>0</v>
      </c>
      <c r="AJ800" s="408">
        <f t="shared" si="1593"/>
        <v>0</v>
      </c>
      <c r="AL800" s="365">
        <f ca="1">SUM((INDIRECT(AL$2&amp;(ROW())):INDIRECT(AL$3&amp;(ROW()))))</f>
        <v>0</v>
      </c>
      <c r="AM800" s="408">
        <f ca="1">SUM(INDIRECT(AM$1&amp;AM$2&amp;$C800):INDIRECT(AM$1&amp;AM$3&amp;$C800))</f>
        <v>0</v>
      </c>
      <c r="AN800" s="911">
        <f t="shared" ca="1" si="1559"/>
        <v>0</v>
      </c>
      <c r="AO800" s="972">
        <f t="shared" ca="1" si="1560"/>
        <v>0</v>
      </c>
      <c r="AP800" s="408">
        <f ca="1">SUM(INDIRECT(AP$1&amp;AP$2&amp;$A800):INDIRECT(AP$1&amp;AP$3&amp;$A800))+SUM(INDIRECT(AP$1&amp;AP$2&amp;$B800):INDIRECT(AP$1&amp;AP$3&amp;$B800))</f>
        <v>0</v>
      </c>
      <c r="AQ800" s="911">
        <f t="shared" ca="1" si="1561"/>
        <v>0</v>
      </c>
      <c r="AR800" s="972">
        <f t="shared" ca="1" si="1562"/>
        <v>0</v>
      </c>
      <c r="AT800" s="365">
        <f ca="1">SUM((INDIRECT(AT$2&amp;(ROW())):INDIRECT(AT$3&amp;(ROW()))))</f>
        <v>0</v>
      </c>
      <c r="AU800" s="408">
        <f ca="1">SUM(INDIRECT(AU$1&amp;AU$2&amp;$C800):INDIRECT(AU$1&amp;AU$3&amp;$C800))</f>
        <v>0</v>
      </c>
      <c r="AV800" s="911">
        <f t="shared" ca="1" si="1563"/>
        <v>0</v>
      </c>
      <c r="AW800" s="972">
        <f t="shared" ca="1" si="1564"/>
        <v>0</v>
      </c>
      <c r="AX800" s="408">
        <f ca="1">SUM(INDIRECT(AX$1&amp;AX$2&amp;$A800):INDIRECT(AX$1&amp;AX$3&amp;$A800))+SUM(INDIRECT(AX$1&amp;AX$2&amp;$B800):INDIRECT(AX$1&amp;AX$3&amp;$B800))</f>
        <v>0</v>
      </c>
      <c r="AY800" s="911">
        <f t="shared" ca="1" si="1565"/>
        <v>0</v>
      </c>
      <c r="AZ800" s="972">
        <f t="shared" ca="1" si="1566"/>
        <v>0</v>
      </c>
      <c r="BB800" s="365">
        <f ca="1">SUM((INDIRECT(BB$2&amp;(ROW())):INDIRECT(BB$3&amp;(ROW()))))</f>
        <v>0</v>
      </c>
      <c r="BC800" s="408">
        <f ca="1">SUM(INDIRECT(BC$1&amp;BC$2&amp;$C800):INDIRECT(BC$1&amp;BC$3&amp;$C800))</f>
        <v>0</v>
      </c>
      <c r="BD800" s="911">
        <f t="shared" ca="1" si="1567"/>
        <v>0</v>
      </c>
      <c r="BE800" s="972">
        <f t="shared" ca="1" si="1568"/>
        <v>0</v>
      </c>
      <c r="BF800" s="408">
        <f ca="1">SUM(INDIRECT(BF$1&amp;BF$2&amp;$A800):INDIRECT(BF$1&amp;BF$3&amp;$A800))+SUM(INDIRECT(BF$1&amp;BF$2&amp;$B800):INDIRECT(BF$1&amp;BF$3&amp;$B800))</f>
        <v>0</v>
      </c>
      <c r="BG800" s="911">
        <f t="shared" ca="1" si="1569"/>
        <v>0</v>
      </c>
      <c r="BH800" s="972">
        <f t="shared" ca="1" si="1570"/>
        <v>0</v>
      </c>
    </row>
    <row r="801" spans="1:60" ht="14.5">
      <c r="A801" s="990">
        <f t="shared" si="1584"/>
        <v>730</v>
      </c>
      <c r="B801" s="990">
        <v>1</v>
      </c>
      <c r="C801" s="990">
        <f t="shared" si="1541"/>
        <v>798</v>
      </c>
      <c r="E801" s="1243">
        <v>1</v>
      </c>
      <c r="G801" s="24"/>
      <c r="I801" s="98"/>
      <c r="J801" s="97"/>
      <c r="K801" s="74"/>
      <c r="L801" s="74"/>
      <c r="N801" s="111" t="s">
        <v>903</v>
      </c>
      <c r="O801" s="111"/>
      <c r="P801" s="111"/>
      <c r="Q801" s="1845" t="str">
        <f>CHOOSE(2, "6722000003720", "S/GP (5) Gross Profit Direct ICW-IT OSP")</f>
        <v>S/GP (5) Gross Profit Direct ICW-IT OSP</v>
      </c>
      <c r="R801" s="2042">
        <v>0</v>
      </c>
      <c r="S801" s="2055">
        <v>0</v>
      </c>
      <c r="T801" s="2042">
        <v>0</v>
      </c>
      <c r="U801" s="2042">
        <v>0</v>
      </c>
      <c r="V801" s="2042">
        <v>0</v>
      </c>
      <c r="W801" s="2042">
        <v>0</v>
      </c>
      <c r="X801" s="2042">
        <v>0</v>
      </c>
      <c r="Y801" s="2042">
        <v>0</v>
      </c>
      <c r="Z801" s="2042">
        <v>0</v>
      </c>
      <c r="AA801" s="2042">
        <v>0</v>
      </c>
      <c r="AB801" s="2042">
        <v>0</v>
      </c>
      <c r="AC801" s="2042">
        <v>0</v>
      </c>
      <c r="AD801" s="376">
        <f>SUM(R801,S801,T801)</f>
        <v>0</v>
      </c>
      <c r="AE801" s="109">
        <f t="shared" ref="AE801:AE804" si="1594">SUM(U801,V801,W801)</f>
        <v>0</v>
      </c>
      <c r="AF801" s="109">
        <f t="shared" ref="AF801:AF804" si="1595">SUM(X801,Y801,Z801)</f>
        <v>0</v>
      </c>
      <c r="AG801" s="109">
        <f t="shared" ref="AG801:AG804" si="1596">SUM(AA801,AB801,AC801)</f>
        <v>0</v>
      </c>
      <c r="AH801" s="109">
        <f>AD801+AE801</f>
        <v>0</v>
      </c>
      <c r="AI801" s="109">
        <f>AG801+AF801</f>
        <v>0</v>
      </c>
      <c r="AJ801" s="376">
        <f>AH801+AI801</f>
        <v>0</v>
      </c>
      <c r="AL801" s="109">
        <f ca="1">SUM((INDIRECT(AL$2&amp;(ROW())):INDIRECT(AL$3&amp;(ROW()))))</f>
        <v>0</v>
      </c>
      <c r="AM801" s="376">
        <f ca="1">SUM(INDIRECT(AM$1&amp;AM$2&amp;$C801):INDIRECT(AM$1&amp;AM$3&amp;$C801))</f>
        <v>0</v>
      </c>
      <c r="AN801" s="904">
        <f t="shared" ca="1" si="1559"/>
        <v>0</v>
      </c>
      <c r="AO801" s="965">
        <f t="shared" ca="1" si="1560"/>
        <v>0</v>
      </c>
      <c r="AP801" s="376">
        <f ca="1">SUM(INDIRECT(AP$1&amp;AP$2&amp;$A801):INDIRECT(AP$1&amp;AP$3&amp;$A801))+SUM(INDIRECT(AP$1&amp;AP$2&amp;$B801):INDIRECT(AP$1&amp;AP$3&amp;$B801))</f>
        <v>0</v>
      </c>
      <c r="AQ801" s="904">
        <f t="shared" ca="1" si="1561"/>
        <v>0</v>
      </c>
      <c r="AR801" s="965">
        <f t="shared" ca="1" si="1562"/>
        <v>0</v>
      </c>
      <c r="AT801" s="109">
        <f ca="1">SUM((INDIRECT(AT$2&amp;(ROW())):INDIRECT(AT$3&amp;(ROW()))))</f>
        <v>0</v>
      </c>
      <c r="AU801" s="376">
        <f ca="1">SUM(INDIRECT(AU$1&amp;AU$2&amp;$C801):INDIRECT(AU$1&amp;AU$3&amp;$C801))</f>
        <v>0</v>
      </c>
      <c r="AV801" s="904">
        <f t="shared" ca="1" si="1563"/>
        <v>0</v>
      </c>
      <c r="AW801" s="965">
        <f t="shared" ca="1" si="1564"/>
        <v>0</v>
      </c>
      <c r="AX801" s="376">
        <f ca="1">SUM(INDIRECT(AX$1&amp;AX$2&amp;$A801):INDIRECT(AX$1&amp;AX$3&amp;$A801))+SUM(INDIRECT(AX$1&amp;AX$2&amp;$B801):INDIRECT(AX$1&amp;AX$3&amp;$B801))</f>
        <v>0</v>
      </c>
      <c r="AY801" s="904">
        <f t="shared" ca="1" si="1565"/>
        <v>0</v>
      </c>
      <c r="AZ801" s="965">
        <f t="shared" ca="1" si="1566"/>
        <v>0</v>
      </c>
      <c r="BB801" s="109">
        <f ca="1">SUM((INDIRECT(BB$2&amp;(ROW())):INDIRECT(BB$3&amp;(ROW()))))</f>
        <v>0</v>
      </c>
      <c r="BC801" s="376">
        <f ca="1">SUM(INDIRECT(BC$1&amp;BC$2&amp;$C801):INDIRECT(BC$1&amp;BC$3&amp;$C801))</f>
        <v>0</v>
      </c>
      <c r="BD801" s="904">
        <f t="shared" ca="1" si="1567"/>
        <v>0</v>
      </c>
      <c r="BE801" s="965">
        <f t="shared" ca="1" si="1568"/>
        <v>0</v>
      </c>
      <c r="BF801" s="376">
        <f ca="1">SUM(INDIRECT(BF$1&amp;BF$2&amp;$A801):INDIRECT(BF$1&amp;BF$3&amp;$A801))+SUM(INDIRECT(BF$1&amp;BF$2&amp;$B801):INDIRECT(BF$1&amp;BF$3&amp;$B801))</f>
        <v>0</v>
      </c>
      <c r="BG801" s="904">
        <f t="shared" ca="1" si="1569"/>
        <v>0</v>
      </c>
      <c r="BH801" s="965">
        <f t="shared" ca="1" si="1570"/>
        <v>0</v>
      </c>
    </row>
    <row r="802" spans="1:60" ht="14.5">
      <c r="A802" s="990">
        <f t="shared" si="1584"/>
        <v>731</v>
      </c>
      <c r="B802" s="990">
        <v>1</v>
      </c>
      <c r="C802" s="990">
        <f t="shared" si="1541"/>
        <v>799</v>
      </c>
      <c r="E802" s="1243">
        <v>1</v>
      </c>
      <c r="G802" s="24"/>
      <c r="I802" s="98"/>
      <c r="J802" s="97"/>
      <c r="K802" s="74"/>
      <c r="L802" s="74"/>
      <c r="N802" s="9" t="s">
        <v>904</v>
      </c>
      <c r="Q802" s="1845" t="str">
        <f>CHOOSE(2, "6722000003721", "S/GP (5) Gross Profit Direct ICW-IT RP")</f>
        <v>S/GP (5) Gross Profit Direct ICW-IT RP</v>
      </c>
      <c r="R802" s="2036">
        <v>0</v>
      </c>
      <c r="S802" s="2040">
        <v>0</v>
      </c>
      <c r="T802" s="2036">
        <v>0</v>
      </c>
      <c r="U802" s="2036">
        <v>0</v>
      </c>
      <c r="V802" s="2036">
        <v>0</v>
      </c>
      <c r="W802" s="2036">
        <v>0</v>
      </c>
      <c r="X802" s="2036">
        <v>0</v>
      </c>
      <c r="Y802" s="2036">
        <v>0</v>
      </c>
      <c r="Z802" s="2036">
        <v>0</v>
      </c>
      <c r="AA802" s="2036">
        <v>0</v>
      </c>
      <c r="AB802" s="2036">
        <v>0</v>
      </c>
      <c r="AC802" s="2036">
        <v>0</v>
      </c>
      <c r="AD802" s="100">
        <f>SUM(R802,S802,T802)</f>
        <v>0</v>
      </c>
      <c r="AE802" s="19">
        <f t="shared" si="1594"/>
        <v>0</v>
      </c>
      <c r="AF802" s="19">
        <f t="shared" si="1595"/>
        <v>0</v>
      </c>
      <c r="AG802" s="19">
        <f t="shared" si="1596"/>
        <v>0</v>
      </c>
      <c r="AH802" s="19">
        <f>AD802+AE802</f>
        <v>0</v>
      </c>
      <c r="AI802" s="19">
        <f>AG802+AF802</f>
        <v>0</v>
      </c>
      <c r="AJ802" s="100">
        <f>AH802+AI802</f>
        <v>0</v>
      </c>
      <c r="AL802" s="19">
        <f ca="1">SUM((INDIRECT(AL$2&amp;(ROW())):INDIRECT(AL$3&amp;(ROW()))))</f>
        <v>0</v>
      </c>
      <c r="AM802" s="100">
        <f ca="1">SUM(INDIRECT(AM$1&amp;AM$2&amp;$C802):INDIRECT(AM$1&amp;AM$3&amp;$C802))</f>
        <v>0</v>
      </c>
      <c r="AN802" s="906">
        <f t="shared" ca="1" si="1559"/>
        <v>0</v>
      </c>
      <c r="AO802" s="967">
        <f t="shared" ca="1" si="1560"/>
        <v>0</v>
      </c>
      <c r="AP802" s="100">
        <f ca="1">SUM(INDIRECT(AP$1&amp;AP$2&amp;$A802):INDIRECT(AP$1&amp;AP$3&amp;$A802))+SUM(INDIRECT(AP$1&amp;AP$2&amp;$B802):INDIRECT(AP$1&amp;AP$3&amp;$B802))</f>
        <v>0</v>
      </c>
      <c r="AQ802" s="906">
        <f t="shared" ca="1" si="1561"/>
        <v>0</v>
      </c>
      <c r="AR802" s="967">
        <f t="shared" ca="1" si="1562"/>
        <v>0</v>
      </c>
      <c r="AT802" s="19">
        <f ca="1">SUM((INDIRECT(AT$2&amp;(ROW())):INDIRECT(AT$3&amp;(ROW()))))</f>
        <v>0</v>
      </c>
      <c r="AU802" s="100">
        <f ca="1">SUM(INDIRECT(AU$1&amp;AU$2&amp;$C802):INDIRECT(AU$1&amp;AU$3&amp;$C802))</f>
        <v>0</v>
      </c>
      <c r="AV802" s="906">
        <f t="shared" ca="1" si="1563"/>
        <v>0</v>
      </c>
      <c r="AW802" s="967">
        <f t="shared" ca="1" si="1564"/>
        <v>0</v>
      </c>
      <c r="AX802" s="100">
        <f ca="1">SUM(INDIRECT(AX$1&amp;AX$2&amp;$A802):INDIRECT(AX$1&amp;AX$3&amp;$A802))+SUM(INDIRECT(AX$1&amp;AX$2&amp;$B802):INDIRECT(AX$1&amp;AX$3&amp;$B802))</f>
        <v>0</v>
      </c>
      <c r="AY802" s="906">
        <f t="shared" ca="1" si="1565"/>
        <v>0</v>
      </c>
      <c r="AZ802" s="967">
        <f t="shared" ca="1" si="1566"/>
        <v>0</v>
      </c>
      <c r="BB802" s="19">
        <f ca="1">SUM((INDIRECT(BB$2&amp;(ROW())):INDIRECT(BB$3&amp;(ROW()))))</f>
        <v>0</v>
      </c>
      <c r="BC802" s="100">
        <f ca="1">SUM(INDIRECT(BC$1&amp;BC$2&amp;$C802):INDIRECT(BC$1&amp;BC$3&amp;$C802))</f>
        <v>0</v>
      </c>
      <c r="BD802" s="906">
        <f t="shared" ca="1" si="1567"/>
        <v>0</v>
      </c>
      <c r="BE802" s="967">
        <f t="shared" ca="1" si="1568"/>
        <v>0</v>
      </c>
      <c r="BF802" s="100">
        <f ca="1">SUM(INDIRECT(BF$1&amp;BF$2&amp;$A802):INDIRECT(BF$1&amp;BF$3&amp;$A802))+SUM(INDIRECT(BF$1&amp;BF$2&amp;$B802):INDIRECT(BF$1&amp;BF$3&amp;$B802))</f>
        <v>0</v>
      </c>
      <c r="BG802" s="906">
        <f t="shared" ca="1" si="1569"/>
        <v>0</v>
      </c>
      <c r="BH802" s="967">
        <f t="shared" ca="1" si="1570"/>
        <v>0</v>
      </c>
    </row>
    <row r="803" spans="1:60" ht="14.5">
      <c r="A803" s="990">
        <f t="shared" si="1584"/>
        <v>732</v>
      </c>
      <c r="B803" s="990">
        <v>1</v>
      </c>
      <c r="C803" s="990">
        <f t="shared" si="1541"/>
        <v>800</v>
      </c>
      <c r="E803" s="1243">
        <v>1</v>
      </c>
      <c r="G803" s="24"/>
      <c r="I803" s="98"/>
      <c r="J803" s="97"/>
      <c r="K803" s="74"/>
      <c r="L803" s="74"/>
      <c r="N803" s="9" t="s">
        <v>905</v>
      </c>
      <c r="Q803" s="1845" t="str">
        <f>CHOOSE(2, "6722000003722", "S/GP (5) Gross Profit Direct ICW-IT OSP service")</f>
        <v>S/GP (5) Gross Profit Direct ICW-IT OSP service</v>
      </c>
      <c r="R803" s="2036">
        <v>0</v>
      </c>
      <c r="S803" s="2036">
        <v>0</v>
      </c>
      <c r="T803" s="2036">
        <v>0</v>
      </c>
      <c r="U803" s="2036">
        <v>0</v>
      </c>
      <c r="V803" s="2036">
        <v>0</v>
      </c>
      <c r="W803" s="2036">
        <v>0</v>
      </c>
      <c r="X803" s="2036">
        <v>0</v>
      </c>
      <c r="Y803" s="2036">
        <v>0</v>
      </c>
      <c r="Z803" s="2036">
        <v>0</v>
      </c>
      <c r="AA803" s="2036">
        <v>0</v>
      </c>
      <c r="AB803" s="2036">
        <v>0</v>
      </c>
      <c r="AC803" s="2036">
        <v>0</v>
      </c>
      <c r="AD803" s="100">
        <f>SUM(R803,S803,T803)</f>
        <v>0</v>
      </c>
      <c r="AE803" s="19">
        <f t="shared" si="1594"/>
        <v>0</v>
      </c>
      <c r="AF803" s="19">
        <f t="shared" si="1595"/>
        <v>0</v>
      </c>
      <c r="AG803" s="19">
        <f t="shared" si="1596"/>
        <v>0</v>
      </c>
      <c r="AH803" s="19">
        <f>AD803+AE803</f>
        <v>0</v>
      </c>
      <c r="AI803" s="19">
        <f>AG803+AF803</f>
        <v>0</v>
      </c>
      <c r="AJ803" s="100">
        <f>AH803+AI803</f>
        <v>0</v>
      </c>
      <c r="AL803" s="19">
        <f ca="1">SUM((INDIRECT(AL$2&amp;(ROW())):INDIRECT(AL$3&amp;(ROW()))))</f>
        <v>0</v>
      </c>
      <c r="AM803" s="100">
        <f ca="1">SUM(INDIRECT(AM$1&amp;AM$2&amp;$C803):INDIRECT(AM$1&amp;AM$3&amp;$C803))</f>
        <v>0</v>
      </c>
      <c r="AN803" s="906">
        <f t="shared" ca="1" si="1559"/>
        <v>0</v>
      </c>
      <c r="AO803" s="967">
        <f t="shared" ca="1" si="1560"/>
        <v>0</v>
      </c>
      <c r="AP803" s="100">
        <f ca="1">SUM(INDIRECT(AP$1&amp;AP$2&amp;$A803):INDIRECT(AP$1&amp;AP$3&amp;$A803))+SUM(INDIRECT(AP$1&amp;AP$2&amp;$B803):INDIRECT(AP$1&amp;AP$3&amp;$B803))</f>
        <v>0</v>
      </c>
      <c r="AQ803" s="906">
        <f t="shared" ca="1" si="1561"/>
        <v>0</v>
      </c>
      <c r="AR803" s="967">
        <f t="shared" ca="1" si="1562"/>
        <v>0</v>
      </c>
      <c r="AT803" s="19">
        <f ca="1">SUM((INDIRECT(AT$2&amp;(ROW())):INDIRECT(AT$3&amp;(ROW()))))</f>
        <v>0</v>
      </c>
      <c r="AU803" s="100">
        <f ca="1">SUM(INDIRECT(AU$1&amp;AU$2&amp;$C803):INDIRECT(AU$1&amp;AU$3&amp;$C803))</f>
        <v>0</v>
      </c>
      <c r="AV803" s="906">
        <f t="shared" ca="1" si="1563"/>
        <v>0</v>
      </c>
      <c r="AW803" s="967">
        <f t="shared" ca="1" si="1564"/>
        <v>0</v>
      </c>
      <c r="AX803" s="100">
        <f ca="1">SUM(INDIRECT(AX$1&amp;AX$2&amp;$A803):INDIRECT(AX$1&amp;AX$3&amp;$A803))+SUM(INDIRECT(AX$1&amp;AX$2&amp;$B803):INDIRECT(AX$1&amp;AX$3&amp;$B803))</f>
        <v>0</v>
      </c>
      <c r="AY803" s="906">
        <f t="shared" ca="1" si="1565"/>
        <v>0</v>
      </c>
      <c r="AZ803" s="967">
        <f t="shared" ca="1" si="1566"/>
        <v>0</v>
      </c>
      <c r="BB803" s="19">
        <f ca="1">SUM((INDIRECT(BB$2&amp;(ROW())):INDIRECT(BB$3&amp;(ROW()))))</f>
        <v>0</v>
      </c>
      <c r="BC803" s="100">
        <f ca="1">SUM(INDIRECT(BC$1&amp;BC$2&amp;$C803):INDIRECT(BC$1&amp;BC$3&amp;$C803))</f>
        <v>0</v>
      </c>
      <c r="BD803" s="906">
        <f t="shared" ca="1" si="1567"/>
        <v>0</v>
      </c>
      <c r="BE803" s="967">
        <f t="shared" ca="1" si="1568"/>
        <v>0</v>
      </c>
      <c r="BF803" s="100">
        <f ca="1">SUM(INDIRECT(BF$1&amp;BF$2&amp;$A803):INDIRECT(BF$1&amp;BF$3&amp;$A803))+SUM(INDIRECT(BF$1&amp;BF$2&amp;$B803):INDIRECT(BF$1&amp;BF$3&amp;$B803))</f>
        <v>0</v>
      </c>
      <c r="BG803" s="906">
        <f t="shared" ca="1" si="1569"/>
        <v>0</v>
      </c>
      <c r="BH803" s="967">
        <f t="shared" ca="1" si="1570"/>
        <v>0</v>
      </c>
    </row>
    <row r="804" spans="1:60" ht="14.5">
      <c r="A804" s="990">
        <f t="shared" si="1584"/>
        <v>733</v>
      </c>
      <c r="B804" s="990">
        <v>1</v>
      </c>
      <c r="C804" s="990">
        <f t="shared" si="1541"/>
        <v>801</v>
      </c>
      <c r="E804" s="1243">
        <v>1</v>
      </c>
      <c r="G804" s="24"/>
      <c r="I804" s="98"/>
      <c r="J804" s="97"/>
      <c r="K804" s="74"/>
      <c r="L804" s="74"/>
      <c r="N804" s="9" t="s">
        <v>906</v>
      </c>
      <c r="P804" s="12"/>
      <c r="Q804" s="1845" t="str">
        <f>CHOOSE(2, "6722000003723", "S/GP (5) Gross Profit Direct ICW-IT RP service")</f>
        <v>S/GP (5) Gross Profit Direct ICW-IT RP service</v>
      </c>
      <c r="R804" s="2037">
        <v>0</v>
      </c>
      <c r="S804" s="2037">
        <v>0</v>
      </c>
      <c r="T804" s="2037">
        <v>0</v>
      </c>
      <c r="U804" s="2037">
        <v>0</v>
      </c>
      <c r="V804" s="2037">
        <v>0</v>
      </c>
      <c r="W804" s="2037">
        <v>0</v>
      </c>
      <c r="X804" s="2037">
        <v>0</v>
      </c>
      <c r="Y804" s="2037">
        <v>0</v>
      </c>
      <c r="Z804" s="2037">
        <v>0</v>
      </c>
      <c r="AA804" s="2037">
        <v>0</v>
      </c>
      <c r="AB804" s="2037">
        <v>0</v>
      </c>
      <c r="AC804" s="2037">
        <v>0</v>
      </c>
      <c r="AD804" s="99">
        <f>SUM(R804,S804,T804)</f>
        <v>0</v>
      </c>
      <c r="AE804" s="17">
        <f t="shared" si="1594"/>
        <v>0</v>
      </c>
      <c r="AF804" s="17">
        <f t="shared" si="1595"/>
        <v>0</v>
      </c>
      <c r="AG804" s="17">
        <f t="shared" si="1596"/>
        <v>0</v>
      </c>
      <c r="AH804" s="17">
        <f>AD804+AE804</f>
        <v>0</v>
      </c>
      <c r="AI804" s="17">
        <f>AG804+AF804</f>
        <v>0</v>
      </c>
      <c r="AJ804" s="99">
        <f>AH804+AI804</f>
        <v>0</v>
      </c>
      <c r="AL804" s="17">
        <f ca="1">SUM((INDIRECT(AL$2&amp;(ROW())):INDIRECT(AL$3&amp;(ROW()))))</f>
        <v>0</v>
      </c>
      <c r="AM804" s="99">
        <f ca="1">SUM(INDIRECT(AM$1&amp;AM$2&amp;$C804):INDIRECT(AM$1&amp;AM$3&amp;$C804))</f>
        <v>0</v>
      </c>
      <c r="AN804" s="905">
        <f t="shared" ca="1" si="1559"/>
        <v>0</v>
      </c>
      <c r="AO804" s="966">
        <f t="shared" ca="1" si="1560"/>
        <v>0</v>
      </c>
      <c r="AP804" s="99">
        <f ca="1">SUM(INDIRECT(AP$1&amp;AP$2&amp;$A804):INDIRECT(AP$1&amp;AP$3&amp;$A804))+SUM(INDIRECT(AP$1&amp;AP$2&amp;$B804):INDIRECT(AP$1&amp;AP$3&amp;$B804))</f>
        <v>0</v>
      </c>
      <c r="AQ804" s="905">
        <f t="shared" ca="1" si="1561"/>
        <v>0</v>
      </c>
      <c r="AR804" s="966">
        <f t="shared" ca="1" si="1562"/>
        <v>0</v>
      </c>
      <c r="AT804" s="17">
        <f ca="1">SUM((INDIRECT(AT$2&amp;(ROW())):INDIRECT(AT$3&amp;(ROW()))))</f>
        <v>0</v>
      </c>
      <c r="AU804" s="99">
        <f ca="1">SUM(INDIRECT(AU$1&amp;AU$2&amp;$C804):INDIRECT(AU$1&amp;AU$3&amp;$C804))</f>
        <v>0</v>
      </c>
      <c r="AV804" s="905">
        <f t="shared" ca="1" si="1563"/>
        <v>0</v>
      </c>
      <c r="AW804" s="966">
        <f t="shared" ca="1" si="1564"/>
        <v>0</v>
      </c>
      <c r="AX804" s="99">
        <f ca="1">SUM(INDIRECT(AX$1&amp;AX$2&amp;$A804):INDIRECT(AX$1&amp;AX$3&amp;$A804))+SUM(INDIRECT(AX$1&amp;AX$2&amp;$B804):INDIRECT(AX$1&amp;AX$3&amp;$B804))</f>
        <v>0</v>
      </c>
      <c r="AY804" s="905">
        <f t="shared" ca="1" si="1565"/>
        <v>0</v>
      </c>
      <c r="AZ804" s="966">
        <f t="shared" ca="1" si="1566"/>
        <v>0</v>
      </c>
      <c r="BB804" s="17">
        <f ca="1">SUM((INDIRECT(BB$2&amp;(ROW())):INDIRECT(BB$3&amp;(ROW()))))</f>
        <v>0</v>
      </c>
      <c r="BC804" s="99">
        <f ca="1">SUM(INDIRECT(BC$1&amp;BC$2&amp;$C804):INDIRECT(BC$1&amp;BC$3&amp;$C804))</f>
        <v>0</v>
      </c>
      <c r="BD804" s="905">
        <f t="shared" ca="1" si="1567"/>
        <v>0</v>
      </c>
      <c r="BE804" s="966">
        <f t="shared" ca="1" si="1568"/>
        <v>0</v>
      </c>
      <c r="BF804" s="99">
        <f ca="1">SUM(INDIRECT(BF$1&amp;BF$2&amp;$A804):INDIRECT(BF$1&amp;BF$3&amp;$A804))+SUM(INDIRECT(BF$1&amp;BF$2&amp;$B804):INDIRECT(BF$1&amp;BF$3&amp;$B804))</f>
        <v>0</v>
      </c>
      <c r="BG804" s="905">
        <f t="shared" ca="1" si="1569"/>
        <v>0</v>
      </c>
      <c r="BH804" s="966">
        <f t="shared" ca="1" si="1570"/>
        <v>0</v>
      </c>
    </row>
    <row r="805" spans="1:60" ht="14.5">
      <c r="A805" s="990">
        <f t="shared" si="1584"/>
        <v>734</v>
      </c>
      <c r="B805" s="990">
        <v>1</v>
      </c>
      <c r="C805" s="990">
        <f t="shared" si="1541"/>
        <v>802</v>
      </c>
      <c r="E805" s="1243">
        <v>1</v>
      </c>
      <c r="G805" s="24"/>
      <c r="I805" s="98"/>
      <c r="J805" s="97"/>
      <c r="K805" s="74"/>
      <c r="L805" s="74"/>
      <c r="M805" s="71" t="s">
        <v>780</v>
      </c>
      <c r="N805" s="362"/>
      <c r="O805" s="362"/>
      <c r="P805" s="362"/>
      <c r="Q805" s="1843" t="str">
        <f>CHOOSE(2, "6722000003724", "S/GP (5) Gross Profit Direct MCS")</f>
        <v>S/GP (5) Gross Profit Direct MCS</v>
      </c>
      <c r="R805" s="365">
        <f>SUM(R806:R809)</f>
        <v>155</v>
      </c>
      <c r="S805" s="2065">
        <f t="shared" ref="S805:AC805" si="1597">SUM(S806:S809)</f>
        <v>130</v>
      </c>
      <c r="T805" s="365">
        <f t="shared" si="1597"/>
        <v>184</v>
      </c>
      <c r="U805" s="365">
        <f t="shared" si="1597"/>
        <v>176</v>
      </c>
      <c r="V805" s="365">
        <f t="shared" si="1597"/>
        <v>461</v>
      </c>
      <c r="W805" s="365">
        <f t="shared" si="1597"/>
        <v>22</v>
      </c>
      <c r="X805" s="365">
        <f t="shared" si="1597"/>
        <v>198</v>
      </c>
      <c r="Y805" s="365">
        <f t="shared" si="1597"/>
        <v>407</v>
      </c>
      <c r="Z805" s="365">
        <f t="shared" si="1597"/>
        <v>0</v>
      </c>
      <c r="AA805" s="365">
        <f t="shared" si="1597"/>
        <v>22</v>
      </c>
      <c r="AB805" s="365">
        <f t="shared" si="1597"/>
        <v>362</v>
      </c>
      <c r="AC805" s="365">
        <f t="shared" si="1597"/>
        <v>401</v>
      </c>
      <c r="AD805" s="408">
        <f t="shared" ref="AD805:AJ805" si="1598">SUM(AD806:AD809)</f>
        <v>469</v>
      </c>
      <c r="AE805" s="365">
        <f t="shared" si="1598"/>
        <v>659</v>
      </c>
      <c r="AF805" s="365">
        <f t="shared" si="1598"/>
        <v>605</v>
      </c>
      <c r="AG805" s="365">
        <f t="shared" si="1598"/>
        <v>785</v>
      </c>
      <c r="AH805" s="365">
        <f t="shared" si="1598"/>
        <v>1128</v>
      </c>
      <c r="AI805" s="365">
        <f t="shared" si="1598"/>
        <v>1390</v>
      </c>
      <c r="AJ805" s="408">
        <f t="shared" si="1598"/>
        <v>2518</v>
      </c>
      <c r="AL805" s="365">
        <f ca="1">SUM((INDIRECT(AL$2&amp;(ROW())):INDIRECT(AL$3&amp;(ROW()))))</f>
        <v>401</v>
      </c>
      <c r="AM805" s="408">
        <f ca="1">SUM(INDIRECT(AM$1&amp;AM$2&amp;$C805):INDIRECT(AM$1&amp;AM$3&amp;$C805))</f>
        <v>0</v>
      </c>
      <c r="AN805" s="911">
        <f t="shared" ca="1" si="1559"/>
        <v>401</v>
      </c>
      <c r="AO805" s="972">
        <f t="shared" ca="1" si="1560"/>
        <v>0</v>
      </c>
      <c r="AP805" s="408">
        <f ca="1">SUM(INDIRECT(AP$1&amp;AP$2&amp;$A805):INDIRECT(AP$1&amp;AP$3&amp;$A805))+SUM(INDIRECT(AP$1&amp;AP$2&amp;$B805):INDIRECT(AP$1&amp;AP$3&amp;$B805))</f>
        <v>59</v>
      </c>
      <c r="AQ805" s="911">
        <f t="shared" ca="1" si="1561"/>
        <v>342</v>
      </c>
      <c r="AR805" s="972">
        <f t="shared" ca="1" si="1562"/>
        <v>6.7966101694915251</v>
      </c>
      <c r="AT805" s="365">
        <f ca="1">SUM((INDIRECT(AT$2&amp;(ROW())):INDIRECT(AT$3&amp;(ROW()))))</f>
        <v>785</v>
      </c>
      <c r="AU805" s="408">
        <f ca="1">SUM(INDIRECT(AU$1&amp;AU$2&amp;$C805):INDIRECT(AU$1&amp;AU$3&amp;$C805))</f>
        <v>0</v>
      </c>
      <c r="AV805" s="911">
        <f t="shared" ca="1" si="1563"/>
        <v>785</v>
      </c>
      <c r="AW805" s="972">
        <f t="shared" ca="1" si="1564"/>
        <v>0</v>
      </c>
      <c r="AX805" s="408">
        <f ca="1">SUM(INDIRECT(AX$1&amp;AX$2&amp;$A805):INDIRECT(AX$1&amp;AX$3&amp;$A805))+SUM(INDIRECT(AX$1&amp;AX$2&amp;$B805):INDIRECT(AX$1&amp;AX$3&amp;$B805))</f>
        <v>350</v>
      </c>
      <c r="AY805" s="911">
        <f t="shared" ca="1" si="1565"/>
        <v>435</v>
      </c>
      <c r="AZ805" s="972">
        <f t="shared" ca="1" si="1566"/>
        <v>2.2428571428571429</v>
      </c>
      <c r="BB805" s="365">
        <f ca="1">SUM((INDIRECT(BB$2&amp;(ROW())):INDIRECT(BB$3&amp;(ROW()))))</f>
        <v>2518</v>
      </c>
      <c r="BC805" s="408">
        <f ca="1">SUM(INDIRECT(BC$1&amp;BC$2&amp;$C805):INDIRECT(BC$1&amp;BC$3&amp;$C805))</f>
        <v>0</v>
      </c>
      <c r="BD805" s="911">
        <f t="shared" ca="1" si="1567"/>
        <v>2518</v>
      </c>
      <c r="BE805" s="972">
        <f t="shared" ca="1" si="1568"/>
        <v>0</v>
      </c>
      <c r="BF805" s="408">
        <f ca="1">SUM(INDIRECT(BF$1&amp;BF$2&amp;$A805):INDIRECT(BF$1&amp;BF$3&amp;$A805))+SUM(INDIRECT(BF$1&amp;BF$2&amp;$B805):INDIRECT(BF$1&amp;BF$3&amp;$B805))</f>
        <v>2453</v>
      </c>
      <c r="BG805" s="911">
        <f t="shared" ca="1" si="1569"/>
        <v>65</v>
      </c>
      <c r="BH805" s="972">
        <f t="shared" ca="1" si="1570"/>
        <v>1.0264981655116183</v>
      </c>
    </row>
    <row r="806" spans="1:60" ht="14.5">
      <c r="A806" s="990">
        <f t="shared" si="1584"/>
        <v>735</v>
      </c>
      <c r="B806" s="990">
        <v>1</v>
      </c>
      <c r="C806" s="990">
        <f t="shared" si="1541"/>
        <v>803</v>
      </c>
      <c r="E806" s="1243">
        <v>1</v>
      </c>
      <c r="G806" s="24"/>
      <c r="I806" s="98"/>
      <c r="J806" s="97"/>
      <c r="K806" s="74"/>
      <c r="L806" s="74"/>
      <c r="N806" s="111" t="s">
        <v>903</v>
      </c>
      <c r="O806" s="111"/>
      <c r="P806" s="111"/>
      <c r="Q806" s="1845" t="str">
        <f>CHOOSE(2, "6722000003725", "S/GP (5) Gross Profit Direct MCS OSP")</f>
        <v>S/GP (5) Gross Profit Direct MCS OSP</v>
      </c>
      <c r="R806" s="2042">
        <v>0</v>
      </c>
      <c r="S806" s="2055">
        <v>0</v>
      </c>
      <c r="T806" s="2042">
        <v>0</v>
      </c>
      <c r="U806" s="2042">
        <v>0</v>
      </c>
      <c r="V806" s="2042">
        <v>0</v>
      </c>
      <c r="W806" s="2042">
        <v>0</v>
      </c>
      <c r="X806" s="2042">
        <v>0</v>
      </c>
      <c r="Y806" s="2042">
        <v>0</v>
      </c>
      <c r="Z806" s="2042">
        <v>0</v>
      </c>
      <c r="AA806" s="2042">
        <v>0</v>
      </c>
      <c r="AB806" s="2042">
        <v>0</v>
      </c>
      <c r="AC806" s="2042">
        <v>0</v>
      </c>
      <c r="AD806" s="376">
        <f>SUM(R806,S806,T806)</f>
        <v>0</v>
      </c>
      <c r="AE806" s="109">
        <f t="shared" ref="AE806:AE809" si="1599">SUM(U806,V806,W806)</f>
        <v>0</v>
      </c>
      <c r="AF806" s="109">
        <f t="shared" ref="AF806:AF809" si="1600">SUM(X806,Y806,Z806)</f>
        <v>0</v>
      </c>
      <c r="AG806" s="109">
        <f t="shared" ref="AG806:AG809" si="1601">SUM(AA806,AB806,AC806)</f>
        <v>0</v>
      </c>
      <c r="AH806" s="109">
        <f t="shared" ref="AH806:AH809" si="1602">AD806+AE806</f>
        <v>0</v>
      </c>
      <c r="AI806" s="109">
        <f t="shared" ref="AI806:AI809" si="1603">AG806+AF806</f>
        <v>0</v>
      </c>
      <c r="AJ806" s="376">
        <f t="shared" ref="AJ806:AJ809" si="1604">AH806+AI806</f>
        <v>0</v>
      </c>
      <c r="AL806" s="109">
        <f ca="1">SUM((INDIRECT(AL$2&amp;(ROW())):INDIRECT(AL$3&amp;(ROW()))))</f>
        <v>0</v>
      </c>
      <c r="AM806" s="376">
        <f ca="1">SUM(INDIRECT(AM$1&amp;AM$2&amp;$C806):INDIRECT(AM$1&amp;AM$3&amp;$C806))</f>
        <v>0</v>
      </c>
      <c r="AN806" s="904">
        <f t="shared" ca="1" si="1559"/>
        <v>0</v>
      </c>
      <c r="AO806" s="965">
        <f t="shared" ca="1" si="1560"/>
        <v>0</v>
      </c>
      <c r="AP806" s="376">
        <f ca="1">SUM(INDIRECT(AP$1&amp;AP$2&amp;$A806):INDIRECT(AP$1&amp;AP$3&amp;$A806))+SUM(INDIRECT(AP$1&amp;AP$2&amp;$B806):INDIRECT(AP$1&amp;AP$3&amp;$B806))</f>
        <v>0</v>
      </c>
      <c r="AQ806" s="904">
        <f t="shared" ca="1" si="1561"/>
        <v>0</v>
      </c>
      <c r="AR806" s="965">
        <f t="shared" ca="1" si="1562"/>
        <v>0</v>
      </c>
      <c r="AT806" s="109">
        <f ca="1">SUM((INDIRECT(AT$2&amp;(ROW())):INDIRECT(AT$3&amp;(ROW()))))</f>
        <v>0</v>
      </c>
      <c r="AU806" s="376">
        <f ca="1">SUM(INDIRECT(AU$1&amp;AU$2&amp;$C806):INDIRECT(AU$1&amp;AU$3&amp;$C806))</f>
        <v>0</v>
      </c>
      <c r="AV806" s="904">
        <f t="shared" ca="1" si="1563"/>
        <v>0</v>
      </c>
      <c r="AW806" s="965">
        <f t="shared" ca="1" si="1564"/>
        <v>0</v>
      </c>
      <c r="AX806" s="376">
        <f ca="1">SUM(INDIRECT(AX$1&amp;AX$2&amp;$A806):INDIRECT(AX$1&amp;AX$3&amp;$A806))+SUM(INDIRECT(AX$1&amp;AX$2&amp;$B806):INDIRECT(AX$1&amp;AX$3&amp;$B806))</f>
        <v>0</v>
      </c>
      <c r="AY806" s="904">
        <f t="shared" ca="1" si="1565"/>
        <v>0</v>
      </c>
      <c r="AZ806" s="965">
        <f t="shared" ca="1" si="1566"/>
        <v>0</v>
      </c>
      <c r="BB806" s="109">
        <f ca="1">SUM((INDIRECT(BB$2&amp;(ROW())):INDIRECT(BB$3&amp;(ROW()))))</f>
        <v>0</v>
      </c>
      <c r="BC806" s="376">
        <f ca="1">SUM(INDIRECT(BC$1&amp;BC$2&amp;$C806):INDIRECT(BC$1&amp;BC$3&amp;$C806))</f>
        <v>0</v>
      </c>
      <c r="BD806" s="904">
        <f t="shared" ca="1" si="1567"/>
        <v>0</v>
      </c>
      <c r="BE806" s="965">
        <f t="shared" ca="1" si="1568"/>
        <v>0</v>
      </c>
      <c r="BF806" s="376">
        <f ca="1">SUM(INDIRECT(BF$1&amp;BF$2&amp;$A806):INDIRECT(BF$1&amp;BF$3&amp;$A806))+SUM(INDIRECT(BF$1&amp;BF$2&amp;$B806):INDIRECT(BF$1&amp;BF$3&amp;$B806))</f>
        <v>0</v>
      </c>
      <c r="BG806" s="904">
        <f t="shared" ca="1" si="1569"/>
        <v>0</v>
      </c>
      <c r="BH806" s="965">
        <f t="shared" ca="1" si="1570"/>
        <v>0</v>
      </c>
    </row>
    <row r="807" spans="1:60" ht="14.5">
      <c r="A807" s="990">
        <f t="shared" si="1584"/>
        <v>736</v>
      </c>
      <c r="B807" s="990">
        <v>1</v>
      </c>
      <c r="C807" s="990">
        <f t="shared" si="1541"/>
        <v>804</v>
      </c>
      <c r="E807" s="1243">
        <v>1</v>
      </c>
      <c r="G807" s="24"/>
      <c r="I807" s="98"/>
      <c r="J807" s="97"/>
      <c r="K807" s="74"/>
      <c r="L807" s="74"/>
      <c r="N807" s="9" t="s">
        <v>904</v>
      </c>
      <c r="Q807" s="1845" t="str">
        <f>CHOOSE(2, "6722000003726", "S/GP (5) Gross Profit Direct MCS RP")</f>
        <v>S/GP (5) Gross Profit Direct MCS RP</v>
      </c>
      <c r="R807" s="2036">
        <v>155</v>
      </c>
      <c r="S807" s="2040">
        <v>130</v>
      </c>
      <c r="T807" s="2036">
        <v>184</v>
      </c>
      <c r="U807" s="2036">
        <v>176</v>
      </c>
      <c r="V807" s="2036">
        <v>461</v>
      </c>
      <c r="W807" s="2036">
        <v>22</v>
      </c>
      <c r="X807" s="2036">
        <v>198</v>
      </c>
      <c r="Y807" s="2036">
        <v>407</v>
      </c>
      <c r="Z807" s="2036">
        <v>0</v>
      </c>
      <c r="AA807" s="2036">
        <v>22</v>
      </c>
      <c r="AB807" s="2036">
        <v>362</v>
      </c>
      <c r="AC807" s="2036">
        <v>401</v>
      </c>
      <c r="AD807" s="100">
        <f>SUM(R807,S807,T807)</f>
        <v>469</v>
      </c>
      <c r="AE807" s="19">
        <f t="shared" si="1599"/>
        <v>659</v>
      </c>
      <c r="AF807" s="19">
        <f t="shared" si="1600"/>
        <v>605</v>
      </c>
      <c r="AG807" s="19">
        <f t="shared" si="1601"/>
        <v>785</v>
      </c>
      <c r="AH807" s="19">
        <f t="shared" si="1602"/>
        <v>1128</v>
      </c>
      <c r="AI807" s="19">
        <f t="shared" si="1603"/>
        <v>1390</v>
      </c>
      <c r="AJ807" s="100">
        <f t="shared" si="1604"/>
        <v>2518</v>
      </c>
      <c r="AL807" s="19">
        <f ca="1">SUM((INDIRECT(AL$2&amp;(ROW())):INDIRECT(AL$3&amp;(ROW()))))</f>
        <v>401</v>
      </c>
      <c r="AM807" s="100">
        <f ca="1">SUM(INDIRECT(AM$1&amp;AM$2&amp;$C807):INDIRECT(AM$1&amp;AM$3&amp;$C807))</f>
        <v>0</v>
      </c>
      <c r="AN807" s="906">
        <f t="shared" ca="1" si="1559"/>
        <v>401</v>
      </c>
      <c r="AO807" s="967">
        <f t="shared" ca="1" si="1560"/>
        <v>0</v>
      </c>
      <c r="AP807" s="100">
        <f ca="1">SUM(INDIRECT(AP$1&amp;AP$2&amp;$A807):INDIRECT(AP$1&amp;AP$3&amp;$A807))+SUM(INDIRECT(AP$1&amp;AP$2&amp;$B807):INDIRECT(AP$1&amp;AP$3&amp;$B807))</f>
        <v>59</v>
      </c>
      <c r="AQ807" s="906">
        <f t="shared" ca="1" si="1561"/>
        <v>342</v>
      </c>
      <c r="AR807" s="967">
        <f t="shared" ca="1" si="1562"/>
        <v>6.7966101694915251</v>
      </c>
      <c r="AT807" s="19">
        <f ca="1">SUM((INDIRECT(AT$2&amp;(ROW())):INDIRECT(AT$3&amp;(ROW()))))</f>
        <v>785</v>
      </c>
      <c r="AU807" s="100">
        <f ca="1">SUM(INDIRECT(AU$1&amp;AU$2&amp;$C807):INDIRECT(AU$1&amp;AU$3&amp;$C807))</f>
        <v>0</v>
      </c>
      <c r="AV807" s="906">
        <f t="shared" ca="1" si="1563"/>
        <v>785</v>
      </c>
      <c r="AW807" s="967">
        <f t="shared" ca="1" si="1564"/>
        <v>0</v>
      </c>
      <c r="AX807" s="100">
        <f ca="1">SUM(INDIRECT(AX$1&amp;AX$2&amp;$A807):INDIRECT(AX$1&amp;AX$3&amp;$A807))+SUM(INDIRECT(AX$1&amp;AX$2&amp;$B807):INDIRECT(AX$1&amp;AX$3&amp;$B807))</f>
        <v>350</v>
      </c>
      <c r="AY807" s="906">
        <f t="shared" ca="1" si="1565"/>
        <v>435</v>
      </c>
      <c r="AZ807" s="967">
        <f t="shared" ca="1" si="1566"/>
        <v>2.2428571428571429</v>
      </c>
      <c r="BB807" s="19">
        <f ca="1">SUM((INDIRECT(BB$2&amp;(ROW())):INDIRECT(BB$3&amp;(ROW()))))</f>
        <v>2518</v>
      </c>
      <c r="BC807" s="100">
        <f ca="1">SUM(INDIRECT(BC$1&amp;BC$2&amp;$C807):INDIRECT(BC$1&amp;BC$3&amp;$C807))</f>
        <v>0</v>
      </c>
      <c r="BD807" s="906">
        <f t="shared" ca="1" si="1567"/>
        <v>2518</v>
      </c>
      <c r="BE807" s="967">
        <f t="shared" ca="1" si="1568"/>
        <v>0</v>
      </c>
      <c r="BF807" s="100">
        <f ca="1">SUM(INDIRECT(BF$1&amp;BF$2&amp;$A807):INDIRECT(BF$1&amp;BF$3&amp;$A807))+SUM(INDIRECT(BF$1&amp;BF$2&amp;$B807):INDIRECT(BF$1&amp;BF$3&amp;$B807))</f>
        <v>2453</v>
      </c>
      <c r="BG807" s="906">
        <f t="shared" ca="1" si="1569"/>
        <v>65</v>
      </c>
      <c r="BH807" s="967">
        <f t="shared" ca="1" si="1570"/>
        <v>1.0264981655116183</v>
      </c>
    </row>
    <row r="808" spans="1:60" ht="14.5">
      <c r="A808" s="990">
        <f t="shared" si="1584"/>
        <v>737</v>
      </c>
      <c r="B808" s="990">
        <v>1</v>
      </c>
      <c r="C808" s="990">
        <f t="shared" si="1541"/>
        <v>805</v>
      </c>
      <c r="E808" s="1243">
        <v>1</v>
      </c>
      <c r="G808" s="24"/>
      <c r="I808" s="98"/>
      <c r="J808" s="97"/>
      <c r="K808" s="74"/>
      <c r="L808" s="74"/>
      <c r="N808" s="9" t="s">
        <v>905</v>
      </c>
      <c r="Q808" s="1845" t="str">
        <f>CHOOSE(2, "6722000003727", "S/GP (5) Gross Profit Direct MCS OSP service")</f>
        <v>S/GP (5) Gross Profit Direct MCS OSP service</v>
      </c>
      <c r="R808" s="2036">
        <v>0</v>
      </c>
      <c r="S808" s="2036">
        <v>0</v>
      </c>
      <c r="T808" s="2036">
        <v>0</v>
      </c>
      <c r="U808" s="2036">
        <v>0</v>
      </c>
      <c r="V808" s="2036">
        <v>0</v>
      </c>
      <c r="W808" s="2036">
        <v>0</v>
      </c>
      <c r="X808" s="2036">
        <v>0</v>
      </c>
      <c r="Y808" s="2036">
        <v>0</v>
      </c>
      <c r="Z808" s="2036">
        <v>0</v>
      </c>
      <c r="AA808" s="2036">
        <v>0</v>
      </c>
      <c r="AB808" s="2036">
        <v>0</v>
      </c>
      <c r="AC808" s="2036">
        <v>0</v>
      </c>
      <c r="AD808" s="100">
        <f>SUM(R808,S808,T808)</f>
        <v>0</v>
      </c>
      <c r="AE808" s="19">
        <f t="shared" si="1599"/>
        <v>0</v>
      </c>
      <c r="AF808" s="19">
        <f t="shared" si="1600"/>
        <v>0</v>
      </c>
      <c r="AG808" s="19">
        <f t="shared" si="1601"/>
        <v>0</v>
      </c>
      <c r="AH808" s="19">
        <f t="shared" si="1602"/>
        <v>0</v>
      </c>
      <c r="AI808" s="19">
        <f t="shared" si="1603"/>
        <v>0</v>
      </c>
      <c r="AJ808" s="100">
        <f t="shared" si="1604"/>
        <v>0</v>
      </c>
      <c r="AL808" s="19">
        <f ca="1">SUM((INDIRECT(AL$2&amp;(ROW())):INDIRECT(AL$3&amp;(ROW()))))</f>
        <v>0</v>
      </c>
      <c r="AM808" s="100">
        <f ca="1">SUM(INDIRECT(AM$1&amp;AM$2&amp;$C808):INDIRECT(AM$1&amp;AM$3&amp;$C808))</f>
        <v>0</v>
      </c>
      <c r="AN808" s="906">
        <f t="shared" ca="1" si="1559"/>
        <v>0</v>
      </c>
      <c r="AO808" s="967">
        <f t="shared" ca="1" si="1560"/>
        <v>0</v>
      </c>
      <c r="AP808" s="100">
        <f ca="1">SUM(INDIRECT(AP$1&amp;AP$2&amp;$A808):INDIRECT(AP$1&amp;AP$3&amp;$A808))+SUM(INDIRECT(AP$1&amp;AP$2&amp;$B808):INDIRECT(AP$1&amp;AP$3&amp;$B808))</f>
        <v>0</v>
      </c>
      <c r="AQ808" s="906">
        <f t="shared" ca="1" si="1561"/>
        <v>0</v>
      </c>
      <c r="AR808" s="967">
        <f t="shared" ca="1" si="1562"/>
        <v>0</v>
      </c>
      <c r="AT808" s="19">
        <f ca="1">SUM((INDIRECT(AT$2&amp;(ROW())):INDIRECT(AT$3&amp;(ROW()))))</f>
        <v>0</v>
      </c>
      <c r="AU808" s="100">
        <f ca="1">SUM(INDIRECT(AU$1&amp;AU$2&amp;$C808):INDIRECT(AU$1&amp;AU$3&amp;$C808))</f>
        <v>0</v>
      </c>
      <c r="AV808" s="906">
        <f t="shared" ca="1" si="1563"/>
        <v>0</v>
      </c>
      <c r="AW808" s="967">
        <f t="shared" ca="1" si="1564"/>
        <v>0</v>
      </c>
      <c r="AX808" s="100">
        <f ca="1">SUM(INDIRECT(AX$1&amp;AX$2&amp;$A808):INDIRECT(AX$1&amp;AX$3&amp;$A808))+SUM(INDIRECT(AX$1&amp;AX$2&amp;$B808):INDIRECT(AX$1&amp;AX$3&amp;$B808))</f>
        <v>0</v>
      </c>
      <c r="AY808" s="906">
        <f t="shared" ca="1" si="1565"/>
        <v>0</v>
      </c>
      <c r="AZ808" s="967">
        <f t="shared" ca="1" si="1566"/>
        <v>0</v>
      </c>
      <c r="BB808" s="19">
        <f ca="1">SUM((INDIRECT(BB$2&amp;(ROW())):INDIRECT(BB$3&amp;(ROW()))))</f>
        <v>0</v>
      </c>
      <c r="BC808" s="100">
        <f ca="1">SUM(INDIRECT(BC$1&amp;BC$2&amp;$C808):INDIRECT(BC$1&amp;BC$3&amp;$C808))</f>
        <v>0</v>
      </c>
      <c r="BD808" s="906">
        <f t="shared" ca="1" si="1567"/>
        <v>0</v>
      </c>
      <c r="BE808" s="967">
        <f t="shared" ca="1" si="1568"/>
        <v>0</v>
      </c>
      <c r="BF808" s="100">
        <f ca="1">SUM(INDIRECT(BF$1&amp;BF$2&amp;$A808):INDIRECT(BF$1&amp;BF$3&amp;$A808))+SUM(INDIRECT(BF$1&amp;BF$2&amp;$B808):INDIRECT(BF$1&amp;BF$3&amp;$B808))</f>
        <v>0</v>
      </c>
      <c r="BG808" s="906">
        <f t="shared" ca="1" si="1569"/>
        <v>0</v>
      </c>
      <c r="BH808" s="967">
        <f t="shared" ca="1" si="1570"/>
        <v>0</v>
      </c>
    </row>
    <row r="809" spans="1:60" ht="14.5">
      <c r="A809" s="990">
        <f t="shared" si="1584"/>
        <v>738</v>
      </c>
      <c r="B809" s="990">
        <v>1</v>
      </c>
      <c r="C809" s="990">
        <f t="shared" si="1541"/>
        <v>806</v>
      </c>
      <c r="E809" s="1243">
        <v>1</v>
      </c>
      <c r="G809" s="24"/>
      <c r="I809" s="98"/>
      <c r="J809" s="97"/>
      <c r="K809" s="74"/>
      <c r="L809" s="74"/>
      <c r="N809" s="9" t="s">
        <v>906</v>
      </c>
      <c r="P809" s="12"/>
      <c r="Q809" s="1845" t="str">
        <f>CHOOSE(2, "6722000003728", "S/GP (5) Gross Profit Direct MCS RP service")</f>
        <v>S/GP (5) Gross Profit Direct MCS RP service</v>
      </c>
      <c r="R809" s="2037">
        <v>0</v>
      </c>
      <c r="S809" s="2037">
        <v>0</v>
      </c>
      <c r="T809" s="2037">
        <v>0</v>
      </c>
      <c r="U809" s="2037">
        <v>0</v>
      </c>
      <c r="V809" s="2037">
        <v>0</v>
      </c>
      <c r="W809" s="2037">
        <v>0</v>
      </c>
      <c r="X809" s="2037">
        <v>0</v>
      </c>
      <c r="Y809" s="2037">
        <v>0</v>
      </c>
      <c r="Z809" s="2037">
        <v>0</v>
      </c>
      <c r="AA809" s="2037">
        <v>0</v>
      </c>
      <c r="AB809" s="2037">
        <v>0</v>
      </c>
      <c r="AC809" s="2037">
        <v>0</v>
      </c>
      <c r="AD809" s="99">
        <f>SUM(R809,S809,T809)</f>
        <v>0</v>
      </c>
      <c r="AE809" s="17">
        <f t="shared" si="1599"/>
        <v>0</v>
      </c>
      <c r="AF809" s="17">
        <f t="shared" si="1600"/>
        <v>0</v>
      </c>
      <c r="AG809" s="17">
        <f t="shared" si="1601"/>
        <v>0</v>
      </c>
      <c r="AH809" s="17">
        <f t="shared" si="1602"/>
        <v>0</v>
      </c>
      <c r="AI809" s="17">
        <f t="shared" si="1603"/>
        <v>0</v>
      </c>
      <c r="AJ809" s="99">
        <f t="shared" si="1604"/>
        <v>0</v>
      </c>
      <c r="AL809" s="17">
        <f ca="1">SUM((INDIRECT(AL$2&amp;(ROW())):INDIRECT(AL$3&amp;(ROW()))))</f>
        <v>0</v>
      </c>
      <c r="AM809" s="99">
        <f ca="1">SUM(INDIRECT(AM$1&amp;AM$2&amp;$C809):INDIRECT(AM$1&amp;AM$3&amp;$C809))</f>
        <v>0</v>
      </c>
      <c r="AN809" s="905">
        <f t="shared" ca="1" si="1559"/>
        <v>0</v>
      </c>
      <c r="AO809" s="966">
        <f t="shared" ca="1" si="1560"/>
        <v>0</v>
      </c>
      <c r="AP809" s="99">
        <f ca="1">SUM(INDIRECT(AP$1&amp;AP$2&amp;$A809):INDIRECT(AP$1&amp;AP$3&amp;$A809))+SUM(INDIRECT(AP$1&amp;AP$2&amp;$B809):INDIRECT(AP$1&amp;AP$3&amp;$B809))</f>
        <v>0</v>
      </c>
      <c r="AQ809" s="905">
        <f t="shared" ca="1" si="1561"/>
        <v>0</v>
      </c>
      <c r="AR809" s="966">
        <f t="shared" ca="1" si="1562"/>
        <v>0</v>
      </c>
      <c r="AT809" s="17">
        <f ca="1">SUM((INDIRECT(AT$2&amp;(ROW())):INDIRECT(AT$3&amp;(ROW()))))</f>
        <v>0</v>
      </c>
      <c r="AU809" s="99">
        <f ca="1">SUM(INDIRECT(AU$1&amp;AU$2&amp;$C809):INDIRECT(AU$1&amp;AU$3&amp;$C809))</f>
        <v>0</v>
      </c>
      <c r="AV809" s="905">
        <f t="shared" ca="1" si="1563"/>
        <v>0</v>
      </c>
      <c r="AW809" s="966">
        <f t="shared" ca="1" si="1564"/>
        <v>0</v>
      </c>
      <c r="AX809" s="99">
        <f ca="1">SUM(INDIRECT(AX$1&amp;AX$2&amp;$A809):INDIRECT(AX$1&amp;AX$3&amp;$A809))+SUM(INDIRECT(AX$1&amp;AX$2&amp;$B809):INDIRECT(AX$1&amp;AX$3&amp;$B809))</f>
        <v>0</v>
      </c>
      <c r="AY809" s="905">
        <f t="shared" ca="1" si="1565"/>
        <v>0</v>
      </c>
      <c r="AZ809" s="966">
        <f t="shared" ca="1" si="1566"/>
        <v>0</v>
      </c>
      <c r="BB809" s="17">
        <f ca="1">SUM((INDIRECT(BB$2&amp;(ROW())):INDIRECT(BB$3&amp;(ROW()))))</f>
        <v>0</v>
      </c>
      <c r="BC809" s="99">
        <f ca="1">SUM(INDIRECT(BC$1&amp;BC$2&amp;$C809):INDIRECT(BC$1&amp;BC$3&amp;$C809))</f>
        <v>0</v>
      </c>
      <c r="BD809" s="905">
        <f t="shared" ca="1" si="1567"/>
        <v>0</v>
      </c>
      <c r="BE809" s="966">
        <f t="shared" ca="1" si="1568"/>
        <v>0</v>
      </c>
      <c r="BF809" s="99">
        <f ca="1">SUM(INDIRECT(BF$1&amp;BF$2&amp;$A809):INDIRECT(BF$1&amp;BF$3&amp;$A809))+SUM(INDIRECT(BF$1&amp;BF$2&amp;$B809):INDIRECT(BF$1&amp;BF$3&amp;$B809))</f>
        <v>0</v>
      </c>
      <c r="BG809" s="905">
        <f t="shared" ca="1" si="1569"/>
        <v>0</v>
      </c>
      <c r="BH809" s="966">
        <f t="shared" ca="1" si="1570"/>
        <v>0</v>
      </c>
    </row>
    <row r="810" spans="1:60" ht="14.5">
      <c r="A810" s="990">
        <f t="shared" si="1584"/>
        <v>739</v>
      </c>
      <c r="B810" s="990">
        <v>1</v>
      </c>
      <c r="C810" s="990">
        <f t="shared" si="1541"/>
        <v>807</v>
      </c>
      <c r="E810" s="1243">
        <v>1</v>
      </c>
      <c r="G810" s="24"/>
      <c r="I810" s="98"/>
      <c r="J810" s="97"/>
      <c r="K810" s="74"/>
      <c r="L810" s="74"/>
      <c r="M810" s="71" t="s">
        <v>1156</v>
      </c>
      <c r="N810" s="362"/>
      <c r="O810" s="362"/>
      <c r="P810" s="362"/>
      <c r="Q810" s="1843" t="str">
        <f>CHOOSE(2, "6722000003729", "S/GP (5) Gross Profit Direct BPS")</f>
        <v>S/GP (5) Gross Profit Direct BPS</v>
      </c>
      <c r="R810" s="365">
        <f>SUM(R811:R814)</f>
        <v>0</v>
      </c>
      <c r="S810" s="2065">
        <f t="shared" ref="S810:AC810" si="1605">SUM(S811:S814)</f>
        <v>0</v>
      </c>
      <c r="T810" s="365">
        <f t="shared" si="1605"/>
        <v>0</v>
      </c>
      <c r="U810" s="365">
        <f t="shared" si="1605"/>
        <v>0</v>
      </c>
      <c r="V810" s="365">
        <f t="shared" si="1605"/>
        <v>0</v>
      </c>
      <c r="W810" s="365">
        <f t="shared" si="1605"/>
        <v>0</v>
      </c>
      <c r="X810" s="365">
        <f t="shared" si="1605"/>
        <v>0</v>
      </c>
      <c r="Y810" s="365">
        <f t="shared" si="1605"/>
        <v>0</v>
      </c>
      <c r="Z810" s="365">
        <f t="shared" si="1605"/>
        <v>0</v>
      </c>
      <c r="AA810" s="365">
        <f t="shared" si="1605"/>
        <v>0</v>
      </c>
      <c r="AB810" s="365">
        <f t="shared" si="1605"/>
        <v>0</v>
      </c>
      <c r="AC810" s="365">
        <f t="shared" si="1605"/>
        <v>0</v>
      </c>
      <c r="AD810" s="408">
        <f t="shared" ref="AD810:AJ810" si="1606">SUM(AD811:AD814)</f>
        <v>0</v>
      </c>
      <c r="AE810" s="365">
        <f t="shared" si="1606"/>
        <v>0</v>
      </c>
      <c r="AF810" s="365">
        <f t="shared" si="1606"/>
        <v>0</v>
      </c>
      <c r="AG810" s="365">
        <f t="shared" si="1606"/>
        <v>0</v>
      </c>
      <c r="AH810" s="365">
        <f t="shared" si="1606"/>
        <v>0</v>
      </c>
      <c r="AI810" s="365">
        <f t="shared" si="1606"/>
        <v>0</v>
      </c>
      <c r="AJ810" s="408">
        <f t="shared" si="1606"/>
        <v>0</v>
      </c>
      <c r="AL810" s="365">
        <f ca="1">SUM((INDIRECT(AL$2&amp;(ROW())):INDIRECT(AL$3&amp;(ROW()))))</f>
        <v>0</v>
      </c>
      <c r="AM810" s="408">
        <f ca="1">SUM(INDIRECT(AM$1&amp;AM$2&amp;$C810):INDIRECT(AM$1&amp;AM$3&amp;$C810))</f>
        <v>0</v>
      </c>
      <c r="AN810" s="911">
        <f t="shared" ca="1" si="1559"/>
        <v>0</v>
      </c>
      <c r="AO810" s="972">
        <f t="shared" ca="1" si="1560"/>
        <v>0</v>
      </c>
      <c r="AP810" s="408">
        <f ca="1">SUM(INDIRECT(AP$1&amp;AP$2&amp;$A810):INDIRECT(AP$1&amp;AP$3&amp;$A810))+SUM(INDIRECT(AP$1&amp;AP$2&amp;$B810):INDIRECT(AP$1&amp;AP$3&amp;$B810))</f>
        <v>0</v>
      </c>
      <c r="AQ810" s="911">
        <f t="shared" ca="1" si="1561"/>
        <v>0</v>
      </c>
      <c r="AR810" s="972">
        <f t="shared" ca="1" si="1562"/>
        <v>0</v>
      </c>
      <c r="AT810" s="365">
        <f ca="1">SUM((INDIRECT(AT$2&amp;(ROW())):INDIRECT(AT$3&amp;(ROW()))))</f>
        <v>0</v>
      </c>
      <c r="AU810" s="408">
        <f ca="1">SUM(INDIRECT(AU$1&amp;AU$2&amp;$C810):INDIRECT(AU$1&amp;AU$3&amp;$C810))</f>
        <v>0</v>
      </c>
      <c r="AV810" s="911">
        <f t="shared" ca="1" si="1563"/>
        <v>0</v>
      </c>
      <c r="AW810" s="972">
        <f t="shared" ca="1" si="1564"/>
        <v>0</v>
      </c>
      <c r="AX810" s="408">
        <f ca="1">SUM(INDIRECT(AX$1&amp;AX$2&amp;$A810):INDIRECT(AX$1&amp;AX$3&amp;$A810))+SUM(INDIRECT(AX$1&amp;AX$2&amp;$B810):INDIRECT(AX$1&amp;AX$3&amp;$B810))</f>
        <v>0</v>
      </c>
      <c r="AY810" s="911">
        <f t="shared" ca="1" si="1565"/>
        <v>0</v>
      </c>
      <c r="AZ810" s="972">
        <f t="shared" ca="1" si="1566"/>
        <v>0</v>
      </c>
      <c r="BB810" s="365">
        <f ca="1">SUM((INDIRECT(BB$2&amp;(ROW())):INDIRECT(BB$3&amp;(ROW()))))</f>
        <v>0</v>
      </c>
      <c r="BC810" s="408">
        <f ca="1">SUM(INDIRECT(BC$1&amp;BC$2&amp;$C810):INDIRECT(BC$1&amp;BC$3&amp;$C810))</f>
        <v>0</v>
      </c>
      <c r="BD810" s="911">
        <f t="shared" ca="1" si="1567"/>
        <v>0</v>
      </c>
      <c r="BE810" s="972">
        <f t="shared" ca="1" si="1568"/>
        <v>0</v>
      </c>
      <c r="BF810" s="408">
        <f ca="1">SUM(INDIRECT(BF$1&amp;BF$2&amp;$A810):INDIRECT(BF$1&amp;BF$3&amp;$A810))+SUM(INDIRECT(BF$1&amp;BF$2&amp;$B810):INDIRECT(BF$1&amp;BF$3&amp;$B810))</f>
        <v>0</v>
      </c>
      <c r="BG810" s="911">
        <f t="shared" ca="1" si="1569"/>
        <v>0</v>
      </c>
      <c r="BH810" s="972">
        <f t="shared" ca="1" si="1570"/>
        <v>0</v>
      </c>
    </row>
    <row r="811" spans="1:60" ht="14.5">
      <c r="A811" s="990">
        <f t="shared" si="1584"/>
        <v>740</v>
      </c>
      <c r="B811" s="990">
        <v>1</v>
      </c>
      <c r="C811" s="990">
        <f t="shared" si="1541"/>
        <v>808</v>
      </c>
      <c r="E811" s="1243">
        <v>1</v>
      </c>
      <c r="G811" s="24"/>
      <c r="I811" s="98"/>
      <c r="J811" s="97"/>
      <c r="K811" s="74"/>
      <c r="L811" s="74"/>
      <c r="N811" s="111" t="s">
        <v>903</v>
      </c>
      <c r="O811" s="111"/>
      <c r="P811" s="111"/>
      <c r="Q811" s="1845" t="str">
        <f>CHOOSE(2, "6722000003730", "S/GP (5) Gross Profit Direct BPS OSP")</f>
        <v>S/GP (5) Gross Profit Direct BPS OSP</v>
      </c>
      <c r="R811" s="2042">
        <v>0</v>
      </c>
      <c r="S811" s="2055">
        <v>0</v>
      </c>
      <c r="T811" s="2042">
        <v>0</v>
      </c>
      <c r="U811" s="2042">
        <v>0</v>
      </c>
      <c r="V811" s="2042">
        <v>0</v>
      </c>
      <c r="W811" s="2042">
        <v>0</v>
      </c>
      <c r="X811" s="2042">
        <v>0</v>
      </c>
      <c r="Y811" s="2042">
        <v>0</v>
      </c>
      <c r="Z811" s="2042">
        <v>0</v>
      </c>
      <c r="AA811" s="2042">
        <v>0</v>
      </c>
      <c r="AB811" s="2042">
        <v>0</v>
      </c>
      <c r="AC811" s="2042">
        <v>0</v>
      </c>
      <c r="AD811" s="376">
        <f>SUM(R811,S811,T811)</f>
        <v>0</v>
      </c>
      <c r="AE811" s="109">
        <f t="shared" ref="AE811:AE814" si="1607">SUM(U811,V811,W811)</f>
        <v>0</v>
      </c>
      <c r="AF811" s="109">
        <f t="shared" ref="AF811:AF814" si="1608">SUM(X811,Y811,Z811)</f>
        <v>0</v>
      </c>
      <c r="AG811" s="109">
        <f t="shared" ref="AG811:AG814" si="1609">SUM(AA811,AB811,AC811)</f>
        <v>0</v>
      </c>
      <c r="AH811" s="109">
        <f t="shared" ref="AH811:AH814" si="1610">AD811+AE811</f>
        <v>0</v>
      </c>
      <c r="AI811" s="109">
        <f t="shared" ref="AI811:AI814" si="1611">AG811+AF811</f>
        <v>0</v>
      </c>
      <c r="AJ811" s="376">
        <f t="shared" ref="AJ811:AJ814" si="1612">AH811+AI811</f>
        <v>0</v>
      </c>
      <c r="AL811" s="109">
        <f ca="1">SUM((INDIRECT(AL$2&amp;(ROW())):INDIRECT(AL$3&amp;(ROW()))))</f>
        <v>0</v>
      </c>
      <c r="AM811" s="376">
        <f ca="1">SUM(INDIRECT(AM$1&amp;AM$2&amp;$C811):INDIRECT(AM$1&amp;AM$3&amp;$C811))</f>
        <v>0</v>
      </c>
      <c r="AN811" s="904">
        <f t="shared" ca="1" si="1559"/>
        <v>0</v>
      </c>
      <c r="AO811" s="965">
        <f t="shared" ca="1" si="1560"/>
        <v>0</v>
      </c>
      <c r="AP811" s="376">
        <f ca="1">SUM(INDIRECT(AP$1&amp;AP$2&amp;$A811):INDIRECT(AP$1&amp;AP$3&amp;$A811))+SUM(INDIRECT(AP$1&amp;AP$2&amp;$B811):INDIRECT(AP$1&amp;AP$3&amp;$B811))</f>
        <v>0</v>
      </c>
      <c r="AQ811" s="904">
        <f t="shared" ca="1" si="1561"/>
        <v>0</v>
      </c>
      <c r="AR811" s="965">
        <f t="shared" ca="1" si="1562"/>
        <v>0</v>
      </c>
      <c r="AT811" s="109">
        <f ca="1">SUM((INDIRECT(AT$2&amp;(ROW())):INDIRECT(AT$3&amp;(ROW()))))</f>
        <v>0</v>
      </c>
      <c r="AU811" s="376">
        <f ca="1">SUM(INDIRECT(AU$1&amp;AU$2&amp;$C811):INDIRECT(AU$1&amp;AU$3&amp;$C811))</f>
        <v>0</v>
      </c>
      <c r="AV811" s="904">
        <f t="shared" ca="1" si="1563"/>
        <v>0</v>
      </c>
      <c r="AW811" s="965">
        <f t="shared" ca="1" si="1564"/>
        <v>0</v>
      </c>
      <c r="AX811" s="376">
        <f ca="1">SUM(INDIRECT(AX$1&amp;AX$2&amp;$A811):INDIRECT(AX$1&amp;AX$3&amp;$A811))+SUM(INDIRECT(AX$1&amp;AX$2&amp;$B811):INDIRECT(AX$1&amp;AX$3&amp;$B811))</f>
        <v>0</v>
      </c>
      <c r="AY811" s="904">
        <f t="shared" ca="1" si="1565"/>
        <v>0</v>
      </c>
      <c r="AZ811" s="965">
        <f t="shared" ca="1" si="1566"/>
        <v>0</v>
      </c>
      <c r="BB811" s="109">
        <f ca="1">SUM((INDIRECT(BB$2&amp;(ROW())):INDIRECT(BB$3&amp;(ROW()))))</f>
        <v>0</v>
      </c>
      <c r="BC811" s="376">
        <f ca="1">SUM(INDIRECT(BC$1&amp;BC$2&amp;$C811):INDIRECT(BC$1&amp;BC$3&amp;$C811))</f>
        <v>0</v>
      </c>
      <c r="BD811" s="904">
        <f t="shared" ca="1" si="1567"/>
        <v>0</v>
      </c>
      <c r="BE811" s="965">
        <f t="shared" ca="1" si="1568"/>
        <v>0</v>
      </c>
      <c r="BF811" s="376">
        <f ca="1">SUM(INDIRECT(BF$1&amp;BF$2&amp;$A811):INDIRECT(BF$1&amp;BF$3&amp;$A811))+SUM(INDIRECT(BF$1&amp;BF$2&amp;$B811):INDIRECT(BF$1&amp;BF$3&amp;$B811))</f>
        <v>0</v>
      </c>
      <c r="BG811" s="904">
        <f t="shared" ca="1" si="1569"/>
        <v>0</v>
      </c>
      <c r="BH811" s="965">
        <f t="shared" ca="1" si="1570"/>
        <v>0</v>
      </c>
    </row>
    <row r="812" spans="1:60" ht="14.5">
      <c r="A812" s="990">
        <f t="shared" si="1584"/>
        <v>741</v>
      </c>
      <c r="B812" s="990">
        <v>1</v>
      </c>
      <c r="C812" s="990">
        <f t="shared" si="1541"/>
        <v>809</v>
      </c>
      <c r="E812" s="1243">
        <v>1</v>
      </c>
      <c r="G812" s="24"/>
      <c r="I812" s="98"/>
      <c r="J812" s="97"/>
      <c r="K812" s="74"/>
      <c r="L812" s="74"/>
      <c r="N812" s="9" t="s">
        <v>904</v>
      </c>
      <c r="Q812" s="1845" t="str">
        <f>CHOOSE(2, "6722000003731", "S/GP (5) Gross Profit Direct BPS RP")</f>
        <v>S/GP (5) Gross Profit Direct BPS RP</v>
      </c>
      <c r="R812" s="2036">
        <v>0</v>
      </c>
      <c r="S812" s="2040">
        <v>0</v>
      </c>
      <c r="T812" s="2036">
        <v>0</v>
      </c>
      <c r="U812" s="2036">
        <v>0</v>
      </c>
      <c r="V812" s="2036">
        <v>0</v>
      </c>
      <c r="W812" s="2036">
        <v>0</v>
      </c>
      <c r="X812" s="2036">
        <v>0</v>
      </c>
      <c r="Y812" s="2036">
        <v>0</v>
      </c>
      <c r="Z812" s="2036">
        <v>0</v>
      </c>
      <c r="AA812" s="2036">
        <v>0</v>
      </c>
      <c r="AB812" s="2036">
        <v>0</v>
      </c>
      <c r="AC812" s="2036">
        <v>0</v>
      </c>
      <c r="AD812" s="100">
        <f>SUM(R812,S812,T812)</f>
        <v>0</v>
      </c>
      <c r="AE812" s="19">
        <f t="shared" si="1607"/>
        <v>0</v>
      </c>
      <c r="AF812" s="19">
        <f t="shared" si="1608"/>
        <v>0</v>
      </c>
      <c r="AG812" s="19">
        <f t="shared" si="1609"/>
        <v>0</v>
      </c>
      <c r="AH812" s="19">
        <f t="shared" si="1610"/>
        <v>0</v>
      </c>
      <c r="AI812" s="19">
        <f t="shared" si="1611"/>
        <v>0</v>
      </c>
      <c r="AJ812" s="100">
        <f t="shared" si="1612"/>
        <v>0</v>
      </c>
      <c r="AL812" s="19">
        <f ca="1">SUM((INDIRECT(AL$2&amp;(ROW())):INDIRECT(AL$3&amp;(ROW()))))</f>
        <v>0</v>
      </c>
      <c r="AM812" s="100">
        <f ca="1">SUM(INDIRECT(AM$1&amp;AM$2&amp;$C812):INDIRECT(AM$1&amp;AM$3&amp;$C812))</f>
        <v>0</v>
      </c>
      <c r="AN812" s="906">
        <f t="shared" ca="1" si="1559"/>
        <v>0</v>
      </c>
      <c r="AO812" s="967">
        <f t="shared" ca="1" si="1560"/>
        <v>0</v>
      </c>
      <c r="AP812" s="100">
        <f ca="1">SUM(INDIRECT(AP$1&amp;AP$2&amp;$A812):INDIRECT(AP$1&amp;AP$3&amp;$A812))+SUM(INDIRECT(AP$1&amp;AP$2&amp;$B812):INDIRECT(AP$1&amp;AP$3&amp;$B812))</f>
        <v>0</v>
      </c>
      <c r="AQ812" s="906">
        <f t="shared" ca="1" si="1561"/>
        <v>0</v>
      </c>
      <c r="AR812" s="967">
        <f t="shared" ca="1" si="1562"/>
        <v>0</v>
      </c>
      <c r="AT812" s="19">
        <f ca="1">SUM((INDIRECT(AT$2&amp;(ROW())):INDIRECT(AT$3&amp;(ROW()))))</f>
        <v>0</v>
      </c>
      <c r="AU812" s="100">
        <f ca="1">SUM(INDIRECT(AU$1&amp;AU$2&amp;$C812):INDIRECT(AU$1&amp;AU$3&amp;$C812))</f>
        <v>0</v>
      </c>
      <c r="AV812" s="906">
        <f t="shared" ca="1" si="1563"/>
        <v>0</v>
      </c>
      <c r="AW812" s="967">
        <f t="shared" ca="1" si="1564"/>
        <v>0</v>
      </c>
      <c r="AX812" s="100">
        <f ca="1">SUM(INDIRECT(AX$1&amp;AX$2&amp;$A812):INDIRECT(AX$1&amp;AX$3&amp;$A812))+SUM(INDIRECT(AX$1&amp;AX$2&amp;$B812):INDIRECT(AX$1&amp;AX$3&amp;$B812))</f>
        <v>0</v>
      </c>
      <c r="AY812" s="906">
        <f t="shared" ca="1" si="1565"/>
        <v>0</v>
      </c>
      <c r="AZ812" s="967">
        <f t="shared" ca="1" si="1566"/>
        <v>0</v>
      </c>
      <c r="BB812" s="19">
        <f ca="1">SUM((INDIRECT(BB$2&amp;(ROW())):INDIRECT(BB$3&amp;(ROW()))))</f>
        <v>0</v>
      </c>
      <c r="BC812" s="100">
        <f ca="1">SUM(INDIRECT(BC$1&amp;BC$2&amp;$C812):INDIRECT(BC$1&amp;BC$3&amp;$C812))</f>
        <v>0</v>
      </c>
      <c r="BD812" s="906">
        <f t="shared" ca="1" si="1567"/>
        <v>0</v>
      </c>
      <c r="BE812" s="967">
        <f t="shared" ca="1" si="1568"/>
        <v>0</v>
      </c>
      <c r="BF812" s="100">
        <f ca="1">SUM(INDIRECT(BF$1&amp;BF$2&amp;$A812):INDIRECT(BF$1&amp;BF$3&amp;$A812))+SUM(INDIRECT(BF$1&amp;BF$2&amp;$B812):INDIRECT(BF$1&amp;BF$3&amp;$B812))</f>
        <v>0</v>
      </c>
      <c r="BG812" s="906">
        <f t="shared" ca="1" si="1569"/>
        <v>0</v>
      </c>
      <c r="BH812" s="967">
        <f t="shared" ca="1" si="1570"/>
        <v>0</v>
      </c>
    </row>
    <row r="813" spans="1:60" ht="14.5">
      <c r="A813" s="990">
        <f t="shared" si="1584"/>
        <v>742</v>
      </c>
      <c r="B813" s="990">
        <v>1</v>
      </c>
      <c r="C813" s="990">
        <f t="shared" si="1541"/>
        <v>810</v>
      </c>
      <c r="E813" s="1243">
        <v>1</v>
      </c>
      <c r="G813" s="24"/>
      <c r="I813" s="98"/>
      <c r="J813" s="97"/>
      <c r="K813" s="74"/>
      <c r="L813" s="74"/>
      <c r="N813" s="9" t="s">
        <v>905</v>
      </c>
      <c r="Q813" s="1845" t="str">
        <f>CHOOSE(2, "6722000003732", "S/GP (5) Gross Profit Direct BPS OSP service")</f>
        <v>S/GP (5) Gross Profit Direct BPS OSP service</v>
      </c>
      <c r="R813" s="2036">
        <v>0</v>
      </c>
      <c r="S813" s="2036">
        <v>0</v>
      </c>
      <c r="T813" s="2036">
        <v>0</v>
      </c>
      <c r="U813" s="2036">
        <v>0</v>
      </c>
      <c r="V813" s="2036">
        <v>0</v>
      </c>
      <c r="W813" s="2036">
        <v>0</v>
      </c>
      <c r="X813" s="2036">
        <v>0</v>
      </c>
      <c r="Y813" s="2036">
        <v>0</v>
      </c>
      <c r="Z813" s="2036">
        <v>0</v>
      </c>
      <c r="AA813" s="2036">
        <v>0</v>
      </c>
      <c r="AB813" s="2036">
        <v>0</v>
      </c>
      <c r="AC813" s="2036">
        <v>0</v>
      </c>
      <c r="AD813" s="100">
        <f>SUM(R813,S813,T813)</f>
        <v>0</v>
      </c>
      <c r="AE813" s="19">
        <f t="shared" si="1607"/>
        <v>0</v>
      </c>
      <c r="AF813" s="19">
        <f t="shared" si="1608"/>
        <v>0</v>
      </c>
      <c r="AG813" s="19">
        <f t="shared" si="1609"/>
        <v>0</v>
      </c>
      <c r="AH813" s="19">
        <f t="shared" si="1610"/>
        <v>0</v>
      </c>
      <c r="AI813" s="19">
        <f t="shared" si="1611"/>
        <v>0</v>
      </c>
      <c r="AJ813" s="100">
        <f t="shared" si="1612"/>
        <v>0</v>
      </c>
      <c r="AL813" s="19">
        <f ca="1">SUM((INDIRECT(AL$2&amp;(ROW())):INDIRECT(AL$3&amp;(ROW()))))</f>
        <v>0</v>
      </c>
      <c r="AM813" s="100">
        <f ca="1">SUM(INDIRECT(AM$1&amp;AM$2&amp;$C813):INDIRECT(AM$1&amp;AM$3&amp;$C813))</f>
        <v>0</v>
      </c>
      <c r="AN813" s="906">
        <f t="shared" ca="1" si="1559"/>
        <v>0</v>
      </c>
      <c r="AO813" s="967">
        <f t="shared" ca="1" si="1560"/>
        <v>0</v>
      </c>
      <c r="AP813" s="100">
        <f ca="1">SUM(INDIRECT(AP$1&amp;AP$2&amp;$A813):INDIRECT(AP$1&amp;AP$3&amp;$A813))+SUM(INDIRECT(AP$1&amp;AP$2&amp;$B813):INDIRECT(AP$1&amp;AP$3&amp;$B813))</f>
        <v>0</v>
      </c>
      <c r="AQ813" s="906">
        <f t="shared" ca="1" si="1561"/>
        <v>0</v>
      </c>
      <c r="AR813" s="967">
        <f t="shared" ca="1" si="1562"/>
        <v>0</v>
      </c>
      <c r="AT813" s="19">
        <f ca="1">SUM((INDIRECT(AT$2&amp;(ROW())):INDIRECT(AT$3&amp;(ROW()))))</f>
        <v>0</v>
      </c>
      <c r="AU813" s="100">
        <f ca="1">SUM(INDIRECT(AU$1&amp;AU$2&amp;$C813):INDIRECT(AU$1&amp;AU$3&amp;$C813))</f>
        <v>0</v>
      </c>
      <c r="AV813" s="906">
        <f t="shared" ca="1" si="1563"/>
        <v>0</v>
      </c>
      <c r="AW813" s="967">
        <f t="shared" ca="1" si="1564"/>
        <v>0</v>
      </c>
      <c r="AX813" s="100">
        <f ca="1">SUM(INDIRECT(AX$1&amp;AX$2&amp;$A813):INDIRECT(AX$1&amp;AX$3&amp;$A813))+SUM(INDIRECT(AX$1&amp;AX$2&amp;$B813):INDIRECT(AX$1&amp;AX$3&amp;$B813))</f>
        <v>0</v>
      </c>
      <c r="AY813" s="906">
        <f t="shared" ca="1" si="1565"/>
        <v>0</v>
      </c>
      <c r="AZ813" s="967">
        <f t="shared" ca="1" si="1566"/>
        <v>0</v>
      </c>
      <c r="BB813" s="19">
        <f ca="1">SUM((INDIRECT(BB$2&amp;(ROW())):INDIRECT(BB$3&amp;(ROW()))))</f>
        <v>0</v>
      </c>
      <c r="BC813" s="100">
        <f ca="1">SUM(INDIRECT(BC$1&amp;BC$2&amp;$C813):INDIRECT(BC$1&amp;BC$3&amp;$C813))</f>
        <v>0</v>
      </c>
      <c r="BD813" s="906">
        <f t="shared" ca="1" si="1567"/>
        <v>0</v>
      </c>
      <c r="BE813" s="967">
        <f t="shared" ca="1" si="1568"/>
        <v>0</v>
      </c>
      <c r="BF813" s="100">
        <f ca="1">SUM(INDIRECT(BF$1&amp;BF$2&amp;$A813):INDIRECT(BF$1&amp;BF$3&amp;$A813))+SUM(INDIRECT(BF$1&amp;BF$2&amp;$B813):INDIRECT(BF$1&amp;BF$3&amp;$B813))</f>
        <v>0</v>
      </c>
      <c r="BG813" s="906">
        <f t="shared" ca="1" si="1569"/>
        <v>0</v>
      </c>
      <c r="BH813" s="967">
        <f t="shared" ca="1" si="1570"/>
        <v>0</v>
      </c>
    </row>
    <row r="814" spans="1:60" ht="14.5">
      <c r="A814" s="990">
        <f t="shared" si="1584"/>
        <v>743</v>
      </c>
      <c r="B814" s="990">
        <v>1</v>
      </c>
      <c r="C814" s="990">
        <f t="shared" si="1541"/>
        <v>811</v>
      </c>
      <c r="E814" s="1243">
        <v>1</v>
      </c>
      <c r="G814" s="24"/>
      <c r="I814" s="98"/>
      <c r="J814" s="97"/>
      <c r="K814" s="74"/>
      <c r="L814" s="74"/>
      <c r="M814" s="12"/>
      <c r="N814" s="9" t="s">
        <v>906</v>
      </c>
      <c r="P814" s="12"/>
      <c r="Q814" s="1845" t="str">
        <f>CHOOSE(2, "6722000003733", "S/GP (5) Gross Profit Direct BPS RP service")</f>
        <v>S/GP (5) Gross Profit Direct BPS RP service</v>
      </c>
      <c r="R814" s="2037">
        <v>0</v>
      </c>
      <c r="S814" s="2037">
        <v>0</v>
      </c>
      <c r="T814" s="2037">
        <v>0</v>
      </c>
      <c r="U814" s="2037">
        <v>0</v>
      </c>
      <c r="V814" s="2037">
        <v>0</v>
      </c>
      <c r="W814" s="2037">
        <v>0</v>
      </c>
      <c r="X814" s="2037">
        <v>0</v>
      </c>
      <c r="Y814" s="2037">
        <v>0</v>
      </c>
      <c r="Z814" s="2037">
        <v>0</v>
      </c>
      <c r="AA814" s="2037">
        <v>0</v>
      </c>
      <c r="AB814" s="2037">
        <v>0</v>
      </c>
      <c r="AC814" s="2037">
        <v>0</v>
      </c>
      <c r="AD814" s="99">
        <f>SUM(R814,S814,T814)</f>
        <v>0</v>
      </c>
      <c r="AE814" s="17">
        <f t="shared" si="1607"/>
        <v>0</v>
      </c>
      <c r="AF814" s="17">
        <f t="shared" si="1608"/>
        <v>0</v>
      </c>
      <c r="AG814" s="17">
        <f t="shared" si="1609"/>
        <v>0</v>
      </c>
      <c r="AH814" s="17">
        <f t="shared" si="1610"/>
        <v>0</v>
      </c>
      <c r="AI814" s="17">
        <f t="shared" si="1611"/>
        <v>0</v>
      </c>
      <c r="AJ814" s="99">
        <f t="shared" si="1612"/>
        <v>0</v>
      </c>
      <c r="AL814" s="17">
        <f ca="1">SUM((INDIRECT(AL$2&amp;(ROW())):INDIRECT(AL$3&amp;(ROW()))))</f>
        <v>0</v>
      </c>
      <c r="AM814" s="99">
        <f ca="1">SUM(INDIRECT(AM$1&amp;AM$2&amp;$C814):INDIRECT(AM$1&amp;AM$3&amp;$C814))</f>
        <v>0</v>
      </c>
      <c r="AN814" s="905">
        <f t="shared" ca="1" si="1559"/>
        <v>0</v>
      </c>
      <c r="AO814" s="966">
        <f t="shared" ca="1" si="1560"/>
        <v>0</v>
      </c>
      <c r="AP814" s="99">
        <f ca="1">SUM(INDIRECT(AP$1&amp;AP$2&amp;$A814):INDIRECT(AP$1&amp;AP$3&amp;$A814))+SUM(INDIRECT(AP$1&amp;AP$2&amp;$B814):INDIRECT(AP$1&amp;AP$3&amp;$B814))</f>
        <v>0</v>
      </c>
      <c r="AQ814" s="905">
        <f t="shared" ca="1" si="1561"/>
        <v>0</v>
      </c>
      <c r="AR814" s="966">
        <f t="shared" ca="1" si="1562"/>
        <v>0</v>
      </c>
      <c r="AT814" s="17">
        <f ca="1">SUM((INDIRECT(AT$2&amp;(ROW())):INDIRECT(AT$3&amp;(ROW()))))</f>
        <v>0</v>
      </c>
      <c r="AU814" s="99">
        <f ca="1">SUM(INDIRECT(AU$1&amp;AU$2&amp;$C814):INDIRECT(AU$1&amp;AU$3&amp;$C814))</f>
        <v>0</v>
      </c>
      <c r="AV814" s="905">
        <f t="shared" ca="1" si="1563"/>
        <v>0</v>
      </c>
      <c r="AW814" s="966">
        <f t="shared" ca="1" si="1564"/>
        <v>0</v>
      </c>
      <c r="AX814" s="99">
        <f ca="1">SUM(INDIRECT(AX$1&amp;AX$2&amp;$A814):INDIRECT(AX$1&amp;AX$3&amp;$A814))+SUM(INDIRECT(AX$1&amp;AX$2&amp;$B814):INDIRECT(AX$1&amp;AX$3&amp;$B814))</f>
        <v>0</v>
      </c>
      <c r="AY814" s="905">
        <f t="shared" ca="1" si="1565"/>
        <v>0</v>
      </c>
      <c r="AZ814" s="966">
        <f t="shared" ca="1" si="1566"/>
        <v>0</v>
      </c>
      <c r="BB814" s="17">
        <f ca="1">SUM((INDIRECT(BB$2&amp;(ROW())):INDIRECT(BB$3&amp;(ROW()))))</f>
        <v>0</v>
      </c>
      <c r="BC814" s="99">
        <f ca="1">SUM(INDIRECT(BC$1&amp;BC$2&amp;$C814):INDIRECT(BC$1&amp;BC$3&amp;$C814))</f>
        <v>0</v>
      </c>
      <c r="BD814" s="905">
        <f t="shared" ca="1" si="1567"/>
        <v>0</v>
      </c>
      <c r="BE814" s="966">
        <f t="shared" ca="1" si="1568"/>
        <v>0</v>
      </c>
      <c r="BF814" s="99">
        <f ca="1">SUM(INDIRECT(BF$1&amp;BF$2&amp;$A814):INDIRECT(BF$1&amp;BF$3&amp;$A814))+SUM(INDIRECT(BF$1&amp;BF$2&amp;$B814):INDIRECT(BF$1&amp;BF$3&amp;$B814))</f>
        <v>0</v>
      </c>
      <c r="BG814" s="905">
        <f t="shared" ca="1" si="1569"/>
        <v>0</v>
      </c>
      <c r="BH814" s="966">
        <f t="shared" ca="1" si="1570"/>
        <v>0</v>
      </c>
    </row>
    <row r="815" spans="1:60" ht="14.5">
      <c r="A815" s="990">
        <v>1</v>
      </c>
      <c r="B815" s="990">
        <v>1</v>
      </c>
      <c r="C815" s="990">
        <f t="shared" si="1541"/>
        <v>812</v>
      </c>
      <c r="E815" s="1243">
        <v>1</v>
      </c>
      <c r="G815" s="24"/>
      <c r="I815" s="98"/>
      <c r="J815" s="97"/>
      <c r="K815" s="74"/>
      <c r="L815" s="74"/>
      <c r="M815" s="4" t="s">
        <v>1257</v>
      </c>
      <c r="N815" s="362"/>
      <c r="O815" s="362"/>
      <c r="P815" s="362"/>
      <c r="Q815" s="1843" t="str">
        <f>CHOOSE(2, "6722000003734", "S/GP (5) Gross Profit Direct ICW-WK")</f>
        <v>S/GP (5) Gross Profit Direct ICW-WK</v>
      </c>
      <c r="R815" s="365">
        <f>SUM(R816:R819)</f>
        <v>0</v>
      </c>
      <c r="S815" s="2065">
        <f t="shared" ref="S815:AC815" si="1613">SUM(S816:S819)</f>
        <v>0</v>
      </c>
      <c r="T815" s="365">
        <f t="shared" si="1613"/>
        <v>0</v>
      </c>
      <c r="U815" s="365">
        <f t="shared" si="1613"/>
        <v>0</v>
      </c>
      <c r="V815" s="365">
        <f t="shared" si="1613"/>
        <v>0</v>
      </c>
      <c r="W815" s="365">
        <f t="shared" si="1613"/>
        <v>0</v>
      </c>
      <c r="X815" s="365">
        <f t="shared" si="1613"/>
        <v>0</v>
      </c>
      <c r="Y815" s="365">
        <f t="shared" si="1613"/>
        <v>0</v>
      </c>
      <c r="Z815" s="365">
        <f t="shared" si="1613"/>
        <v>0</v>
      </c>
      <c r="AA815" s="365">
        <f t="shared" si="1613"/>
        <v>0</v>
      </c>
      <c r="AB815" s="365">
        <f t="shared" si="1613"/>
        <v>0</v>
      </c>
      <c r="AC815" s="365">
        <f t="shared" si="1613"/>
        <v>0</v>
      </c>
      <c r="AD815" s="408">
        <f t="shared" ref="AD815:AJ815" si="1614">SUM(AD816:AD819)</f>
        <v>0</v>
      </c>
      <c r="AE815" s="365">
        <f t="shared" si="1614"/>
        <v>0</v>
      </c>
      <c r="AF815" s="365">
        <f t="shared" si="1614"/>
        <v>0</v>
      </c>
      <c r="AG815" s="365">
        <f t="shared" si="1614"/>
        <v>0</v>
      </c>
      <c r="AH815" s="365">
        <f t="shared" si="1614"/>
        <v>0</v>
      </c>
      <c r="AI815" s="365">
        <f t="shared" si="1614"/>
        <v>0</v>
      </c>
      <c r="AJ815" s="408">
        <f t="shared" si="1614"/>
        <v>0</v>
      </c>
      <c r="AL815" s="365">
        <f ca="1">SUM((INDIRECT(AL$2&amp;(ROW())):INDIRECT(AL$3&amp;(ROW()))))</f>
        <v>0</v>
      </c>
      <c r="AM815" s="408">
        <f ca="1">SUM(INDIRECT(AM$1&amp;AM$2&amp;$C815):INDIRECT(AM$1&amp;AM$3&amp;$C815))</f>
        <v>0</v>
      </c>
      <c r="AN815" s="911">
        <f t="shared" ca="1" si="1559"/>
        <v>0</v>
      </c>
      <c r="AO815" s="972">
        <f t="shared" ca="1" si="1560"/>
        <v>0</v>
      </c>
      <c r="AP815" s="408">
        <f ca="1">SUM(INDIRECT(AP$1&amp;AP$2&amp;$A815):INDIRECT(AP$1&amp;AP$3&amp;$A815))+SUM(INDIRECT(AP$1&amp;AP$2&amp;$B815):INDIRECT(AP$1&amp;AP$3&amp;$B815))</f>
        <v>0</v>
      </c>
      <c r="AQ815" s="911">
        <f t="shared" ca="1" si="1561"/>
        <v>0</v>
      </c>
      <c r="AR815" s="972">
        <f t="shared" ca="1" si="1562"/>
        <v>0</v>
      </c>
      <c r="AT815" s="365">
        <f ca="1">SUM((INDIRECT(AT$2&amp;(ROW())):INDIRECT(AT$3&amp;(ROW()))))</f>
        <v>0</v>
      </c>
      <c r="AU815" s="408">
        <f ca="1">SUM(INDIRECT(AU$1&amp;AU$2&amp;$C815):INDIRECT(AU$1&amp;AU$3&amp;$C815))</f>
        <v>0</v>
      </c>
      <c r="AV815" s="911">
        <f t="shared" ca="1" si="1563"/>
        <v>0</v>
      </c>
      <c r="AW815" s="972">
        <f t="shared" ca="1" si="1564"/>
        <v>0</v>
      </c>
      <c r="AX815" s="408">
        <f ca="1">SUM(INDIRECT(AX$1&amp;AX$2&amp;$A815):INDIRECT(AX$1&amp;AX$3&amp;$A815))+SUM(INDIRECT(AX$1&amp;AX$2&amp;$B815):INDIRECT(AX$1&amp;AX$3&amp;$B815))</f>
        <v>0</v>
      </c>
      <c r="AY815" s="911">
        <f t="shared" ca="1" si="1565"/>
        <v>0</v>
      </c>
      <c r="AZ815" s="972">
        <f t="shared" ca="1" si="1566"/>
        <v>0</v>
      </c>
      <c r="BB815" s="365">
        <f ca="1">SUM((INDIRECT(BB$2&amp;(ROW())):INDIRECT(BB$3&amp;(ROW()))))</f>
        <v>0</v>
      </c>
      <c r="BC815" s="408">
        <f ca="1">SUM(INDIRECT(BC$1&amp;BC$2&amp;$C815):INDIRECT(BC$1&amp;BC$3&amp;$C815))</f>
        <v>0</v>
      </c>
      <c r="BD815" s="911">
        <f t="shared" ca="1" si="1567"/>
        <v>0</v>
      </c>
      <c r="BE815" s="972">
        <f t="shared" ca="1" si="1568"/>
        <v>0</v>
      </c>
      <c r="BF815" s="408">
        <f ca="1">SUM(INDIRECT(BF$1&amp;BF$2&amp;$A815):INDIRECT(BF$1&amp;BF$3&amp;$A815))+SUM(INDIRECT(BF$1&amp;BF$2&amp;$B815):INDIRECT(BF$1&amp;BF$3&amp;$B815))</f>
        <v>0</v>
      </c>
      <c r="BG815" s="911">
        <f t="shared" ca="1" si="1569"/>
        <v>0</v>
      </c>
      <c r="BH815" s="972">
        <f t="shared" ca="1" si="1570"/>
        <v>0</v>
      </c>
    </row>
    <row r="816" spans="1:60" ht="14.5">
      <c r="A816" s="990">
        <v>1</v>
      </c>
      <c r="B816" s="990">
        <v>1</v>
      </c>
      <c r="C816" s="990">
        <f t="shared" si="1541"/>
        <v>813</v>
      </c>
      <c r="E816" s="1243">
        <v>1</v>
      </c>
      <c r="G816" s="24"/>
      <c r="I816" s="98"/>
      <c r="J816" s="97"/>
      <c r="K816" s="74"/>
      <c r="L816" s="74"/>
      <c r="N816" s="111" t="s">
        <v>903</v>
      </c>
      <c r="O816" s="111"/>
      <c r="P816" s="111"/>
      <c r="Q816" s="1845" t="str">
        <f>CHOOSE(2, "6722000003735", "S/GP (5) Gross Profit Direct ICW-WK OSP")</f>
        <v>S/GP (5) Gross Profit Direct ICW-WK OSP</v>
      </c>
      <c r="R816" s="2042">
        <v>0</v>
      </c>
      <c r="S816" s="2055">
        <v>0</v>
      </c>
      <c r="T816" s="2042">
        <v>0</v>
      </c>
      <c r="U816" s="2042">
        <v>0</v>
      </c>
      <c r="V816" s="2042">
        <v>0</v>
      </c>
      <c r="W816" s="2042">
        <v>0</v>
      </c>
      <c r="X816" s="2042">
        <v>0</v>
      </c>
      <c r="Y816" s="2042">
        <v>0</v>
      </c>
      <c r="Z816" s="2042">
        <v>0</v>
      </c>
      <c r="AA816" s="2042">
        <v>0</v>
      </c>
      <c r="AB816" s="2042">
        <v>0</v>
      </c>
      <c r="AC816" s="2042">
        <v>0</v>
      </c>
      <c r="AD816" s="376">
        <f>SUM(R816,S816,T816)</f>
        <v>0</v>
      </c>
      <c r="AE816" s="109">
        <f t="shared" ref="AE816:AE819" si="1615">SUM(U816,V816,W816)</f>
        <v>0</v>
      </c>
      <c r="AF816" s="109">
        <f t="shared" ref="AF816:AF819" si="1616">SUM(X816,Y816,Z816)</f>
        <v>0</v>
      </c>
      <c r="AG816" s="109">
        <f t="shared" ref="AG816:AG819" si="1617">SUM(AA816,AB816,AC816)</f>
        <v>0</v>
      </c>
      <c r="AH816" s="109">
        <f>AD816+AE816</f>
        <v>0</v>
      </c>
      <c r="AI816" s="109">
        <f>AG816+AF816</f>
        <v>0</v>
      </c>
      <c r="AJ816" s="376">
        <f>AH816+AI816</f>
        <v>0</v>
      </c>
      <c r="AL816" s="109">
        <f ca="1">SUM((INDIRECT(AL$2&amp;(ROW())):INDIRECT(AL$3&amp;(ROW()))))</f>
        <v>0</v>
      </c>
      <c r="AM816" s="376">
        <f ca="1">SUM(INDIRECT(AM$1&amp;AM$2&amp;$C816):INDIRECT(AM$1&amp;AM$3&amp;$C816))</f>
        <v>0</v>
      </c>
      <c r="AN816" s="904">
        <f t="shared" ca="1" si="1559"/>
        <v>0</v>
      </c>
      <c r="AO816" s="965">
        <f t="shared" ca="1" si="1560"/>
        <v>0</v>
      </c>
      <c r="AP816" s="376">
        <f ca="1">SUM(INDIRECT(AP$1&amp;AP$2&amp;$A816):INDIRECT(AP$1&amp;AP$3&amp;$A816))+SUM(INDIRECT(AP$1&amp;AP$2&amp;$B816):INDIRECT(AP$1&amp;AP$3&amp;$B816))</f>
        <v>0</v>
      </c>
      <c r="AQ816" s="904">
        <f t="shared" ca="1" si="1561"/>
        <v>0</v>
      </c>
      <c r="AR816" s="965">
        <f t="shared" ca="1" si="1562"/>
        <v>0</v>
      </c>
      <c r="AT816" s="109">
        <f ca="1">SUM((INDIRECT(AT$2&amp;(ROW())):INDIRECT(AT$3&amp;(ROW()))))</f>
        <v>0</v>
      </c>
      <c r="AU816" s="376">
        <f ca="1">SUM(INDIRECT(AU$1&amp;AU$2&amp;$C816):INDIRECT(AU$1&amp;AU$3&amp;$C816))</f>
        <v>0</v>
      </c>
      <c r="AV816" s="904">
        <f t="shared" ca="1" si="1563"/>
        <v>0</v>
      </c>
      <c r="AW816" s="965">
        <f t="shared" ca="1" si="1564"/>
        <v>0</v>
      </c>
      <c r="AX816" s="376">
        <f ca="1">SUM(INDIRECT(AX$1&amp;AX$2&amp;$A816):INDIRECT(AX$1&amp;AX$3&amp;$A816))+SUM(INDIRECT(AX$1&amp;AX$2&amp;$B816):INDIRECT(AX$1&amp;AX$3&amp;$B816))</f>
        <v>0</v>
      </c>
      <c r="AY816" s="904">
        <f t="shared" ca="1" si="1565"/>
        <v>0</v>
      </c>
      <c r="AZ816" s="965">
        <f t="shared" ca="1" si="1566"/>
        <v>0</v>
      </c>
      <c r="BB816" s="109">
        <f ca="1">SUM((INDIRECT(BB$2&amp;(ROW())):INDIRECT(BB$3&amp;(ROW()))))</f>
        <v>0</v>
      </c>
      <c r="BC816" s="376">
        <f ca="1">SUM(INDIRECT(BC$1&amp;BC$2&amp;$C816):INDIRECT(BC$1&amp;BC$3&amp;$C816))</f>
        <v>0</v>
      </c>
      <c r="BD816" s="904">
        <f t="shared" ca="1" si="1567"/>
        <v>0</v>
      </c>
      <c r="BE816" s="965">
        <f t="shared" ca="1" si="1568"/>
        <v>0</v>
      </c>
      <c r="BF816" s="376">
        <f ca="1">SUM(INDIRECT(BF$1&amp;BF$2&amp;$A816):INDIRECT(BF$1&amp;BF$3&amp;$A816))+SUM(INDIRECT(BF$1&amp;BF$2&amp;$B816):INDIRECT(BF$1&amp;BF$3&amp;$B816))</f>
        <v>0</v>
      </c>
      <c r="BG816" s="904">
        <f t="shared" ca="1" si="1569"/>
        <v>0</v>
      </c>
      <c r="BH816" s="965">
        <f t="shared" ca="1" si="1570"/>
        <v>0</v>
      </c>
    </row>
    <row r="817" spans="1:60" ht="14.5">
      <c r="A817" s="990">
        <v>1</v>
      </c>
      <c r="B817" s="990">
        <v>1</v>
      </c>
      <c r="C817" s="990">
        <f t="shared" si="1541"/>
        <v>814</v>
      </c>
      <c r="E817" s="1243">
        <v>1</v>
      </c>
      <c r="G817" s="24"/>
      <c r="I817" s="98"/>
      <c r="J817" s="97"/>
      <c r="K817" s="74"/>
      <c r="L817" s="74"/>
      <c r="N817" s="9" t="s">
        <v>904</v>
      </c>
      <c r="Q817" s="1845" t="str">
        <f>CHOOSE(2, "6722000003736", "S/GP (5) Gross Profit Direct ICW-WK RP")</f>
        <v>S/GP (5) Gross Profit Direct ICW-WK RP</v>
      </c>
      <c r="R817" s="2036">
        <v>0</v>
      </c>
      <c r="S817" s="2040">
        <v>0</v>
      </c>
      <c r="T817" s="2036">
        <v>0</v>
      </c>
      <c r="U817" s="2036">
        <v>0</v>
      </c>
      <c r="V817" s="2036">
        <v>0</v>
      </c>
      <c r="W817" s="2036">
        <v>0</v>
      </c>
      <c r="X817" s="2036">
        <v>0</v>
      </c>
      <c r="Y817" s="2036">
        <v>0</v>
      </c>
      <c r="Z817" s="2036">
        <v>0</v>
      </c>
      <c r="AA817" s="2036">
        <v>0</v>
      </c>
      <c r="AB817" s="2036">
        <v>0</v>
      </c>
      <c r="AC817" s="2036">
        <v>0</v>
      </c>
      <c r="AD817" s="100">
        <f>SUM(R817,S817,T817)</f>
        <v>0</v>
      </c>
      <c r="AE817" s="19">
        <f t="shared" si="1615"/>
        <v>0</v>
      </c>
      <c r="AF817" s="19">
        <f t="shared" si="1616"/>
        <v>0</v>
      </c>
      <c r="AG817" s="19">
        <f t="shared" si="1617"/>
        <v>0</v>
      </c>
      <c r="AH817" s="19">
        <f>AD817+AE817</f>
        <v>0</v>
      </c>
      <c r="AI817" s="19">
        <f>AG817+AF817</f>
        <v>0</v>
      </c>
      <c r="AJ817" s="100">
        <f>AH817+AI817</f>
        <v>0</v>
      </c>
      <c r="AL817" s="19">
        <f ca="1">SUM((INDIRECT(AL$2&amp;(ROW())):INDIRECT(AL$3&amp;(ROW()))))</f>
        <v>0</v>
      </c>
      <c r="AM817" s="100">
        <f ca="1">SUM(INDIRECT(AM$1&amp;AM$2&amp;$C817):INDIRECT(AM$1&amp;AM$3&amp;$C817))</f>
        <v>0</v>
      </c>
      <c r="AN817" s="906">
        <f t="shared" ca="1" si="1559"/>
        <v>0</v>
      </c>
      <c r="AO817" s="967">
        <f t="shared" ca="1" si="1560"/>
        <v>0</v>
      </c>
      <c r="AP817" s="100">
        <f ca="1">SUM(INDIRECT(AP$1&amp;AP$2&amp;$A817):INDIRECT(AP$1&amp;AP$3&amp;$A817))+SUM(INDIRECT(AP$1&amp;AP$2&amp;$B817):INDIRECT(AP$1&amp;AP$3&amp;$B817))</f>
        <v>0</v>
      </c>
      <c r="AQ817" s="906">
        <f t="shared" ca="1" si="1561"/>
        <v>0</v>
      </c>
      <c r="AR817" s="967">
        <f t="shared" ca="1" si="1562"/>
        <v>0</v>
      </c>
      <c r="AT817" s="19">
        <f ca="1">SUM((INDIRECT(AT$2&amp;(ROW())):INDIRECT(AT$3&amp;(ROW()))))</f>
        <v>0</v>
      </c>
      <c r="AU817" s="100">
        <f ca="1">SUM(INDIRECT(AU$1&amp;AU$2&amp;$C817):INDIRECT(AU$1&amp;AU$3&amp;$C817))</f>
        <v>0</v>
      </c>
      <c r="AV817" s="906">
        <f t="shared" ca="1" si="1563"/>
        <v>0</v>
      </c>
      <c r="AW817" s="967">
        <f t="shared" ca="1" si="1564"/>
        <v>0</v>
      </c>
      <c r="AX817" s="100">
        <f ca="1">SUM(INDIRECT(AX$1&amp;AX$2&amp;$A817):INDIRECT(AX$1&amp;AX$3&amp;$A817))+SUM(INDIRECT(AX$1&amp;AX$2&amp;$B817):INDIRECT(AX$1&amp;AX$3&amp;$B817))</f>
        <v>0</v>
      </c>
      <c r="AY817" s="906">
        <f t="shared" ca="1" si="1565"/>
        <v>0</v>
      </c>
      <c r="AZ817" s="967">
        <f t="shared" ca="1" si="1566"/>
        <v>0</v>
      </c>
      <c r="BB817" s="19">
        <f ca="1">SUM((INDIRECT(BB$2&amp;(ROW())):INDIRECT(BB$3&amp;(ROW()))))</f>
        <v>0</v>
      </c>
      <c r="BC817" s="100">
        <f ca="1">SUM(INDIRECT(BC$1&amp;BC$2&amp;$C817):INDIRECT(BC$1&amp;BC$3&amp;$C817))</f>
        <v>0</v>
      </c>
      <c r="BD817" s="906">
        <f t="shared" ca="1" si="1567"/>
        <v>0</v>
      </c>
      <c r="BE817" s="967">
        <f t="shared" ca="1" si="1568"/>
        <v>0</v>
      </c>
      <c r="BF817" s="100">
        <f ca="1">SUM(INDIRECT(BF$1&amp;BF$2&amp;$A817):INDIRECT(BF$1&amp;BF$3&amp;$A817))+SUM(INDIRECT(BF$1&amp;BF$2&amp;$B817):INDIRECT(BF$1&amp;BF$3&amp;$B817))</f>
        <v>0</v>
      </c>
      <c r="BG817" s="906">
        <f t="shared" ca="1" si="1569"/>
        <v>0</v>
      </c>
      <c r="BH817" s="967">
        <f t="shared" ca="1" si="1570"/>
        <v>0</v>
      </c>
    </row>
    <row r="818" spans="1:60" ht="14.5">
      <c r="A818" s="990">
        <v>1</v>
      </c>
      <c r="B818" s="990">
        <v>1</v>
      </c>
      <c r="C818" s="990">
        <f t="shared" si="1541"/>
        <v>815</v>
      </c>
      <c r="E818" s="1243">
        <v>1</v>
      </c>
      <c r="G818" s="24"/>
      <c r="I818" s="98"/>
      <c r="J818" s="97"/>
      <c r="K818" s="74"/>
      <c r="L818" s="74"/>
      <c r="N818" s="9" t="s">
        <v>905</v>
      </c>
      <c r="Q818" s="1845" t="str">
        <f>CHOOSE(2, "6722000003737", "S/GP (5) Gross Profit Direct ICW-WK OSP service")</f>
        <v>S/GP (5) Gross Profit Direct ICW-WK OSP service</v>
      </c>
      <c r="R818" s="2036">
        <v>0</v>
      </c>
      <c r="S818" s="2036">
        <v>0</v>
      </c>
      <c r="T818" s="2036">
        <v>0</v>
      </c>
      <c r="U818" s="2036">
        <v>0</v>
      </c>
      <c r="V818" s="2036">
        <v>0</v>
      </c>
      <c r="W818" s="2036">
        <v>0</v>
      </c>
      <c r="X818" s="2036">
        <v>0</v>
      </c>
      <c r="Y818" s="2036">
        <v>0</v>
      </c>
      <c r="Z818" s="2036">
        <v>0</v>
      </c>
      <c r="AA818" s="2036">
        <v>0</v>
      </c>
      <c r="AB818" s="2036">
        <v>0</v>
      </c>
      <c r="AC818" s="2036">
        <v>0</v>
      </c>
      <c r="AD818" s="100">
        <f>SUM(R818,S818,T818)</f>
        <v>0</v>
      </c>
      <c r="AE818" s="19">
        <f t="shared" si="1615"/>
        <v>0</v>
      </c>
      <c r="AF818" s="19">
        <f t="shared" si="1616"/>
        <v>0</v>
      </c>
      <c r="AG818" s="19">
        <f t="shared" si="1617"/>
        <v>0</v>
      </c>
      <c r="AH818" s="19">
        <f>AD818+AE818</f>
        <v>0</v>
      </c>
      <c r="AI818" s="19">
        <f>AG818+AF818</f>
        <v>0</v>
      </c>
      <c r="AJ818" s="100">
        <f>AH818+AI818</f>
        <v>0</v>
      </c>
      <c r="AL818" s="19">
        <f ca="1">SUM((INDIRECT(AL$2&amp;(ROW())):INDIRECT(AL$3&amp;(ROW()))))</f>
        <v>0</v>
      </c>
      <c r="AM818" s="100">
        <f ca="1">SUM(INDIRECT(AM$1&amp;AM$2&amp;$C818):INDIRECT(AM$1&amp;AM$3&amp;$C818))</f>
        <v>0</v>
      </c>
      <c r="AN818" s="906">
        <f t="shared" ref="AN818:AN831" ca="1" si="1618">AL818-AM818</f>
        <v>0</v>
      </c>
      <c r="AO818" s="967">
        <f t="shared" ref="AO818:AO831" ca="1" si="1619">IFERROR(AL818/AM818,0)</f>
        <v>0</v>
      </c>
      <c r="AP818" s="100">
        <f ca="1">SUM(INDIRECT(AP$1&amp;AP$2&amp;$A818):INDIRECT(AP$1&amp;AP$3&amp;$A818))+SUM(INDIRECT(AP$1&amp;AP$2&amp;$B818):INDIRECT(AP$1&amp;AP$3&amp;$B818))</f>
        <v>0</v>
      </c>
      <c r="AQ818" s="906">
        <f t="shared" ref="AQ818:AQ831" ca="1" si="1620">AL818-AP818</f>
        <v>0</v>
      </c>
      <c r="AR818" s="967">
        <f t="shared" ref="AR818:AR831" ca="1" si="1621">IFERROR(AL818/AP818,0)</f>
        <v>0</v>
      </c>
      <c r="AT818" s="19">
        <f ca="1">SUM((INDIRECT(AT$2&amp;(ROW())):INDIRECT(AT$3&amp;(ROW()))))</f>
        <v>0</v>
      </c>
      <c r="AU818" s="100">
        <f ca="1">SUM(INDIRECT(AU$1&amp;AU$2&amp;$C818):INDIRECT(AU$1&amp;AU$3&amp;$C818))</f>
        <v>0</v>
      </c>
      <c r="AV818" s="906">
        <f t="shared" ref="AV818:AV831" ca="1" si="1622">AT818-AU818</f>
        <v>0</v>
      </c>
      <c r="AW818" s="967">
        <f t="shared" ref="AW818:AW831" ca="1" si="1623">IFERROR(AT818/AU818,0)</f>
        <v>0</v>
      </c>
      <c r="AX818" s="100">
        <f ca="1">SUM(INDIRECT(AX$1&amp;AX$2&amp;$A818):INDIRECT(AX$1&amp;AX$3&amp;$A818))+SUM(INDIRECT(AX$1&amp;AX$2&amp;$B818):INDIRECT(AX$1&amp;AX$3&amp;$B818))</f>
        <v>0</v>
      </c>
      <c r="AY818" s="906">
        <f t="shared" ref="AY818:AY831" ca="1" si="1624">AT818-AX818</f>
        <v>0</v>
      </c>
      <c r="AZ818" s="967">
        <f t="shared" ref="AZ818:AZ831" ca="1" si="1625">IFERROR(AT818/AX818,0)</f>
        <v>0</v>
      </c>
      <c r="BB818" s="19">
        <f ca="1">SUM((INDIRECT(BB$2&amp;(ROW())):INDIRECT(BB$3&amp;(ROW()))))</f>
        <v>0</v>
      </c>
      <c r="BC818" s="100">
        <f ca="1">SUM(INDIRECT(BC$1&amp;BC$2&amp;$C818):INDIRECT(BC$1&amp;BC$3&amp;$C818))</f>
        <v>0</v>
      </c>
      <c r="BD818" s="906">
        <f t="shared" ref="BD818:BD831" ca="1" si="1626">BB818-BC818</f>
        <v>0</v>
      </c>
      <c r="BE818" s="967">
        <f t="shared" ref="BE818:BE831" ca="1" si="1627">IFERROR(BB818/BC818,0)</f>
        <v>0</v>
      </c>
      <c r="BF818" s="100">
        <f ca="1">SUM(INDIRECT(BF$1&amp;BF$2&amp;$A818):INDIRECT(BF$1&amp;BF$3&amp;$A818))+SUM(INDIRECT(BF$1&amp;BF$2&amp;$B818):INDIRECT(BF$1&amp;BF$3&amp;$B818))</f>
        <v>0</v>
      </c>
      <c r="BG818" s="906">
        <f t="shared" ref="BG818:BG831" ca="1" si="1628">BB818-BF818</f>
        <v>0</v>
      </c>
      <c r="BH818" s="967">
        <f t="shared" ref="BH818:BH831" ca="1" si="1629">IFERROR(BB818/BF818,0)</f>
        <v>0</v>
      </c>
    </row>
    <row r="819" spans="1:60" ht="14.5">
      <c r="A819" s="990">
        <v>1</v>
      </c>
      <c r="B819" s="990">
        <v>1</v>
      </c>
      <c r="C819" s="990">
        <f t="shared" si="1541"/>
        <v>816</v>
      </c>
      <c r="E819" s="1243">
        <v>1</v>
      </c>
      <c r="G819" s="24"/>
      <c r="I819" s="98"/>
      <c r="J819" s="97"/>
      <c r="K819" s="74"/>
      <c r="L819" s="74"/>
      <c r="M819" s="12"/>
      <c r="N819" s="9" t="s">
        <v>906</v>
      </c>
      <c r="P819" s="12"/>
      <c r="Q819" s="1845" t="str">
        <f>CHOOSE(2, "6722000003738", "S/GP (5) Gross Profit Direct ICW-WK RP service")</f>
        <v>S/GP (5) Gross Profit Direct ICW-WK RP service</v>
      </c>
      <c r="R819" s="2037">
        <v>0</v>
      </c>
      <c r="S819" s="2037">
        <v>0</v>
      </c>
      <c r="T819" s="2037">
        <v>0</v>
      </c>
      <c r="U819" s="2037">
        <v>0</v>
      </c>
      <c r="V819" s="2037">
        <v>0</v>
      </c>
      <c r="W819" s="2037">
        <v>0</v>
      </c>
      <c r="X819" s="2037">
        <v>0</v>
      </c>
      <c r="Y819" s="2037">
        <v>0</v>
      </c>
      <c r="Z819" s="2037">
        <v>0</v>
      </c>
      <c r="AA819" s="2037">
        <v>0</v>
      </c>
      <c r="AB819" s="2037">
        <v>0</v>
      </c>
      <c r="AC819" s="2037">
        <v>0</v>
      </c>
      <c r="AD819" s="99">
        <f>SUM(R819,S819,T819)</f>
        <v>0</v>
      </c>
      <c r="AE819" s="17">
        <f t="shared" si="1615"/>
        <v>0</v>
      </c>
      <c r="AF819" s="17">
        <f t="shared" si="1616"/>
        <v>0</v>
      </c>
      <c r="AG819" s="17">
        <f t="shared" si="1617"/>
        <v>0</v>
      </c>
      <c r="AH819" s="17">
        <f>AD819+AE819</f>
        <v>0</v>
      </c>
      <c r="AI819" s="17">
        <f>AG819+AF819</f>
        <v>0</v>
      </c>
      <c r="AJ819" s="99">
        <f>AH819+AI819</f>
        <v>0</v>
      </c>
      <c r="AL819" s="17">
        <f ca="1">SUM((INDIRECT(AL$2&amp;(ROW())):INDIRECT(AL$3&amp;(ROW()))))</f>
        <v>0</v>
      </c>
      <c r="AM819" s="99">
        <f ca="1">SUM(INDIRECT(AM$1&amp;AM$2&amp;$C819):INDIRECT(AM$1&amp;AM$3&amp;$C819))</f>
        <v>0</v>
      </c>
      <c r="AN819" s="905">
        <f t="shared" ca="1" si="1618"/>
        <v>0</v>
      </c>
      <c r="AO819" s="966">
        <f t="shared" ca="1" si="1619"/>
        <v>0</v>
      </c>
      <c r="AP819" s="99">
        <f ca="1">SUM(INDIRECT(AP$1&amp;AP$2&amp;$A819):INDIRECT(AP$1&amp;AP$3&amp;$A819))+SUM(INDIRECT(AP$1&amp;AP$2&amp;$B819):INDIRECT(AP$1&amp;AP$3&amp;$B819))</f>
        <v>0</v>
      </c>
      <c r="AQ819" s="905">
        <f t="shared" ca="1" si="1620"/>
        <v>0</v>
      </c>
      <c r="AR819" s="966">
        <f t="shared" ca="1" si="1621"/>
        <v>0</v>
      </c>
      <c r="AT819" s="17">
        <f ca="1">SUM((INDIRECT(AT$2&amp;(ROW())):INDIRECT(AT$3&amp;(ROW()))))</f>
        <v>0</v>
      </c>
      <c r="AU819" s="99">
        <f ca="1">SUM(INDIRECT(AU$1&amp;AU$2&amp;$C819):INDIRECT(AU$1&amp;AU$3&amp;$C819))</f>
        <v>0</v>
      </c>
      <c r="AV819" s="905">
        <f t="shared" ca="1" si="1622"/>
        <v>0</v>
      </c>
      <c r="AW819" s="966">
        <f t="shared" ca="1" si="1623"/>
        <v>0</v>
      </c>
      <c r="AX819" s="99">
        <f ca="1">SUM(INDIRECT(AX$1&amp;AX$2&amp;$A819):INDIRECT(AX$1&amp;AX$3&amp;$A819))+SUM(INDIRECT(AX$1&amp;AX$2&amp;$B819):INDIRECT(AX$1&amp;AX$3&amp;$B819))</f>
        <v>0</v>
      </c>
      <c r="AY819" s="905">
        <f t="shared" ca="1" si="1624"/>
        <v>0</v>
      </c>
      <c r="AZ819" s="966">
        <f t="shared" ca="1" si="1625"/>
        <v>0</v>
      </c>
      <c r="BB819" s="17">
        <f ca="1">SUM((INDIRECT(BB$2&amp;(ROW())):INDIRECT(BB$3&amp;(ROW()))))</f>
        <v>0</v>
      </c>
      <c r="BC819" s="99">
        <f ca="1">SUM(INDIRECT(BC$1&amp;BC$2&amp;$C819):INDIRECT(BC$1&amp;BC$3&amp;$C819))</f>
        <v>0</v>
      </c>
      <c r="BD819" s="905">
        <f t="shared" ca="1" si="1626"/>
        <v>0</v>
      </c>
      <c r="BE819" s="966">
        <f t="shared" ca="1" si="1627"/>
        <v>0</v>
      </c>
      <c r="BF819" s="99">
        <f ca="1">SUM(INDIRECT(BF$1&amp;BF$2&amp;$A819):INDIRECT(BF$1&amp;BF$3&amp;$A819))+SUM(INDIRECT(BF$1&amp;BF$2&amp;$B819):INDIRECT(BF$1&amp;BF$3&amp;$B819))</f>
        <v>0</v>
      </c>
      <c r="BG819" s="905">
        <f t="shared" ca="1" si="1628"/>
        <v>0</v>
      </c>
      <c r="BH819" s="966">
        <f t="shared" ca="1" si="1629"/>
        <v>0</v>
      </c>
    </row>
    <row r="820" spans="1:60" ht="14.5">
      <c r="A820" s="990">
        <v>1</v>
      </c>
      <c r="B820" s="990">
        <v>1</v>
      </c>
      <c r="C820" s="990">
        <f t="shared" si="1541"/>
        <v>817</v>
      </c>
      <c r="E820" s="1243">
        <v>1</v>
      </c>
      <c r="G820" s="24"/>
      <c r="I820" s="98"/>
      <c r="J820" s="97"/>
      <c r="K820" s="74"/>
      <c r="L820" s="74"/>
      <c r="M820" s="4" t="s">
        <v>1163</v>
      </c>
      <c r="N820" s="362"/>
      <c r="O820" s="362"/>
      <c r="P820" s="362"/>
      <c r="Q820" s="1843" t="str">
        <f>CHOOSE(2, "6722000003739", "S/GP (5) Gross Profit Direct ICW-P")</f>
        <v>S/GP (5) Gross Profit Direct ICW-P</v>
      </c>
      <c r="R820" s="365">
        <f>SUM(R821:R824)</f>
        <v>0</v>
      </c>
      <c r="S820" s="2065">
        <f t="shared" ref="S820:AC820" si="1630">SUM(S821:S824)</f>
        <v>0</v>
      </c>
      <c r="T820" s="365">
        <f t="shared" si="1630"/>
        <v>0</v>
      </c>
      <c r="U820" s="365">
        <f t="shared" si="1630"/>
        <v>0</v>
      </c>
      <c r="V820" s="365">
        <f t="shared" si="1630"/>
        <v>0</v>
      </c>
      <c r="W820" s="365">
        <f t="shared" si="1630"/>
        <v>0</v>
      </c>
      <c r="X820" s="365">
        <f t="shared" si="1630"/>
        <v>0</v>
      </c>
      <c r="Y820" s="365">
        <f t="shared" si="1630"/>
        <v>0</v>
      </c>
      <c r="Z820" s="365">
        <f t="shared" si="1630"/>
        <v>0</v>
      </c>
      <c r="AA820" s="365">
        <f t="shared" si="1630"/>
        <v>0</v>
      </c>
      <c r="AB820" s="365">
        <f t="shared" si="1630"/>
        <v>0</v>
      </c>
      <c r="AC820" s="365">
        <f t="shared" si="1630"/>
        <v>0</v>
      </c>
      <c r="AD820" s="408">
        <f t="shared" ref="AD820:AJ820" si="1631">SUM(AD821:AD824)</f>
        <v>0</v>
      </c>
      <c r="AE820" s="365">
        <f t="shared" si="1631"/>
        <v>0</v>
      </c>
      <c r="AF820" s="365">
        <f t="shared" si="1631"/>
        <v>0</v>
      </c>
      <c r="AG820" s="365">
        <f t="shared" si="1631"/>
        <v>0</v>
      </c>
      <c r="AH820" s="365">
        <f t="shared" si="1631"/>
        <v>0</v>
      </c>
      <c r="AI820" s="365">
        <f t="shared" si="1631"/>
        <v>0</v>
      </c>
      <c r="AJ820" s="408">
        <f t="shared" si="1631"/>
        <v>0</v>
      </c>
      <c r="AL820" s="365">
        <f ca="1">SUM((INDIRECT(AL$2&amp;(ROW())):INDIRECT(AL$3&amp;(ROW()))))</f>
        <v>0</v>
      </c>
      <c r="AM820" s="408">
        <f ca="1">SUM(INDIRECT(AM$1&amp;AM$2&amp;$C820):INDIRECT(AM$1&amp;AM$3&amp;$C820))</f>
        <v>0</v>
      </c>
      <c r="AN820" s="911">
        <f t="shared" ca="1" si="1618"/>
        <v>0</v>
      </c>
      <c r="AO820" s="972">
        <f t="shared" ca="1" si="1619"/>
        <v>0</v>
      </c>
      <c r="AP820" s="408">
        <f ca="1">SUM(INDIRECT(AP$1&amp;AP$2&amp;$A820):INDIRECT(AP$1&amp;AP$3&amp;$A820))+SUM(INDIRECT(AP$1&amp;AP$2&amp;$B820):INDIRECT(AP$1&amp;AP$3&amp;$B820))</f>
        <v>0</v>
      </c>
      <c r="AQ820" s="911">
        <f t="shared" ca="1" si="1620"/>
        <v>0</v>
      </c>
      <c r="AR820" s="972">
        <f t="shared" ca="1" si="1621"/>
        <v>0</v>
      </c>
      <c r="AT820" s="365">
        <f ca="1">SUM((INDIRECT(AT$2&amp;(ROW())):INDIRECT(AT$3&amp;(ROW()))))</f>
        <v>0</v>
      </c>
      <c r="AU820" s="408">
        <f ca="1">SUM(INDIRECT(AU$1&amp;AU$2&amp;$C820):INDIRECT(AU$1&amp;AU$3&amp;$C820))</f>
        <v>0</v>
      </c>
      <c r="AV820" s="911">
        <f t="shared" ca="1" si="1622"/>
        <v>0</v>
      </c>
      <c r="AW820" s="972">
        <f t="shared" ca="1" si="1623"/>
        <v>0</v>
      </c>
      <c r="AX820" s="408">
        <f ca="1">SUM(INDIRECT(AX$1&amp;AX$2&amp;$A820):INDIRECT(AX$1&amp;AX$3&amp;$A820))+SUM(INDIRECT(AX$1&amp;AX$2&amp;$B820):INDIRECT(AX$1&amp;AX$3&amp;$B820))</f>
        <v>0</v>
      </c>
      <c r="AY820" s="911">
        <f t="shared" ca="1" si="1624"/>
        <v>0</v>
      </c>
      <c r="AZ820" s="972">
        <f t="shared" ca="1" si="1625"/>
        <v>0</v>
      </c>
      <c r="BB820" s="365">
        <f ca="1">SUM((INDIRECT(BB$2&amp;(ROW())):INDIRECT(BB$3&amp;(ROW()))))</f>
        <v>0</v>
      </c>
      <c r="BC820" s="408">
        <f ca="1">SUM(INDIRECT(BC$1&amp;BC$2&amp;$C820):INDIRECT(BC$1&amp;BC$3&amp;$C820))</f>
        <v>0</v>
      </c>
      <c r="BD820" s="911">
        <f t="shared" ca="1" si="1626"/>
        <v>0</v>
      </c>
      <c r="BE820" s="972">
        <f t="shared" ca="1" si="1627"/>
        <v>0</v>
      </c>
      <c r="BF820" s="408">
        <f ca="1">SUM(INDIRECT(BF$1&amp;BF$2&amp;$A820):INDIRECT(BF$1&amp;BF$3&amp;$A820))+SUM(INDIRECT(BF$1&amp;BF$2&amp;$B820):INDIRECT(BF$1&amp;BF$3&amp;$B820))</f>
        <v>0</v>
      </c>
      <c r="BG820" s="911">
        <f t="shared" ca="1" si="1628"/>
        <v>0</v>
      </c>
      <c r="BH820" s="972">
        <f t="shared" ca="1" si="1629"/>
        <v>0</v>
      </c>
    </row>
    <row r="821" spans="1:60" ht="14.5">
      <c r="A821" s="990">
        <v>1</v>
      </c>
      <c r="B821" s="990">
        <v>1</v>
      </c>
      <c r="C821" s="990">
        <f t="shared" si="1541"/>
        <v>818</v>
      </c>
      <c r="E821" s="1243">
        <v>1</v>
      </c>
      <c r="G821" s="24"/>
      <c r="I821" s="98"/>
      <c r="J821" s="97"/>
      <c r="K821" s="74"/>
      <c r="L821" s="74"/>
      <c r="N821" s="111" t="s">
        <v>903</v>
      </c>
      <c r="O821" s="111"/>
      <c r="P821" s="111"/>
      <c r="Q821" s="1845" t="str">
        <f>CHOOSE(2, "6722000003740", "S/GP (5) Gross Profit Direct ICW-P OSP")</f>
        <v>S/GP (5) Gross Profit Direct ICW-P OSP</v>
      </c>
      <c r="R821" s="2042">
        <v>0</v>
      </c>
      <c r="S821" s="2055">
        <v>0</v>
      </c>
      <c r="T821" s="2042">
        <v>0</v>
      </c>
      <c r="U821" s="2042">
        <v>0</v>
      </c>
      <c r="V821" s="2042">
        <v>0</v>
      </c>
      <c r="W821" s="2042">
        <v>0</v>
      </c>
      <c r="X821" s="2042">
        <v>0</v>
      </c>
      <c r="Y821" s="2042">
        <v>0</v>
      </c>
      <c r="Z821" s="2042">
        <v>0</v>
      </c>
      <c r="AA821" s="2042">
        <v>0</v>
      </c>
      <c r="AB821" s="2042">
        <v>0</v>
      </c>
      <c r="AC821" s="2042">
        <v>0</v>
      </c>
      <c r="AD821" s="376">
        <f>SUM(R821,S821,T821)</f>
        <v>0</v>
      </c>
      <c r="AE821" s="109">
        <f t="shared" ref="AE821:AE824" si="1632">SUM(U821,V821,W821)</f>
        <v>0</v>
      </c>
      <c r="AF821" s="109">
        <f t="shared" ref="AF821:AF824" si="1633">SUM(X821,Y821,Z821)</f>
        <v>0</v>
      </c>
      <c r="AG821" s="109">
        <f t="shared" ref="AG821:AG824" si="1634">SUM(AA821,AB821,AC821)</f>
        <v>0</v>
      </c>
      <c r="AH821" s="109">
        <f>AD821+AE821</f>
        <v>0</v>
      </c>
      <c r="AI821" s="109">
        <f>AG821+AF821</f>
        <v>0</v>
      </c>
      <c r="AJ821" s="376">
        <f>AH821+AI821</f>
        <v>0</v>
      </c>
      <c r="AL821" s="109">
        <f ca="1">SUM((INDIRECT(AL$2&amp;(ROW())):INDIRECT(AL$3&amp;(ROW()))))</f>
        <v>0</v>
      </c>
      <c r="AM821" s="376">
        <f ca="1">SUM(INDIRECT(AM$1&amp;AM$2&amp;$C821):INDIRECT(AM$1&amp;AM$3&amp;$C821))</f>
        <v>0</v>
      </c>
      <c r="AN821" s="904">
        <f t="shared" ca="1" si="1618"/>
        <v>0</v>
      </c>
      <c r="AO821" s="965">
        <f t="shared" ca="1" si="1619"/>
        <v>0</v>
      </c>
      <c r="AP821" s="376">
        <f ca="1">SUM(INDIRECT(AP$1&amp;AP$2&amp;$A821):INDIRECT(AP$1&amp;AP$3&amp;$A821))+SUM(INDIRECT(AP$1&amp;AP$2&amp;$B821):INDIRECT(AP$1&amp;AP$3&amp;$B821))</f>
        <v>0</v>
      </c>
      <c r="AQ821" s="904">
        <f t="shared" ca="1" si="1620"/>
        <v>0</v>
      </c>
      <c r="AR821" s="965">
        <f t="shared" ca="1" si="1621"/>
        <v>0</v>
      </c>
      <c r="AT821" s="109">
        <f ca="1">SUM((INDIRECT(AT$2&amp;(ROW())):INDIRECT(AT$3&amp;(ROW()))))</f>
        <v>0</v>
      </c>
      <c r="AU821" s="376">
        <f ca="1">SUM(INDIRECT(AU$1&amp;AU$2&amp;$C821):INDIRECT(AU$1&amp;AU$3&amp;$C821))</f>
        <v>0</v>
      </c>
      <c r="AV821" s="904">
        <f t="shared" ca="1" si="1622"/>
        <v>0</v>
      </c>
      <c r="AW821" s="965">
        <f t="shared" ca="1" si="1623"/>
        <v>0</v>
      </c>
      <c r="AX821" s="376">
        <f ca="1">SUM(INDIRECT(AX$1&amp;AX$2&amp;$A821):INDIRECT(AX$1&amp;AX$3&amp;$A821))+SUM(INDIRECT(AX$1&amp;AX$2&amp;$B821):INDIRECT(AX$1&amp;AX$3&amp;$B821))</f>
        <v>0</v>
      </c>
      <c r="AY821" s="904">
        <f t="shared" ca="1" si="1624"/>
        <v>0</v>
      </c>
      <c r="AZ821" s="965">
        <f t="shared" ca="1" si="1625"/>
        <v>0</v>
      </c>
      <c r="BB821" s="109">
        <f ca="1">SUM((INDIRECT(BB$2&amp;(ROW())):INDIRECT(BB$3&amp;(ROW()))))</f>
        <v>0</v>
      </c>
      <c r="BC821" s="376">
        <f ca="1">SUM(INDIRECT(BC$1&amp;BC$2&amp;$C821):INDIRECT(BC$1&amp;BC$3&amp;$C821))</f>
        <v>0</v>
      </c>
      <c r="BD821" s="904">
        <f t="shared" ca="1" si="1626"/>
        <v>0</v>
      </c>
      <c r="BE821" s="965">
        <f t="shared" ca="1" si="1627"/>
        <v>0</v>
      </c>
      <c r="BF821" s="376">
        <f ca="1">SUM(INDIRECT(BF$1&amp;BF$2&amp;$A821):INDIRECT(BF$1&amp;BF$3&amp;$A821))+SUM(INDIRECT(BF$1&amp;BF$2&amp;$B821):INDIRECT(BF$1&amp;BF$3&amp;$B821))</f>
        <v>0</v>
      </c>
      <c r="BG821" s="904">
        <f t="shared" ca="1" si="1628"/>
        <v>0</v>
      </c>
      <c r="BH821" s="965">
        <f t="shared" ca="1" si="1629"/>
        <v>0</v>
      </c>
    </row>
    <row r="822" spans="1:60" ht="14.5">
      <c r="A822" s="990">
        <v>1</v>
      </c>
      <c r="B822" s="990">
        <v>1</v>
      </c>
      <c r="C822" s="990">
        <f t="shared" si="1541"/>
        <v>819</v>
      </c>
      <c r="E822" s="1243">
        <v>1</v>
      </c>
      <c r="G822" s="24"/>
      <c r="I822" s="98"/>
      <c r="J822" s="97"/>
      <c r="K822" s="74"/>
      <c r="L822" s="74"/>
      <c r="N822" s="9" t="s">
        <v>904</v>
      </c>
      <c r="Q822" s="1845" t="str">
        <f>CHOOSE(2, "6722000003741", "S/GP (5) Gross Profit Direct ICW-P RP")</f>
        <v>S/GP (5) Gross Profit Direct ICW-P RP</v>
      </c>
      <c r="R822" s="2036">
        <v>0</v>
      </c>
      <c r="S822" s="2040">
        <v>0</v>
      </c>
      <c r="T822" s="2036">
        <v>0</v>
      </c>
      <c r="U822" s="2036">
        <v>0</v>
      </c>
      <c r="V822" s="2036">
        <v>0</v>
      </c>
      <c r="W822" s="2036">
        <v>0</v>
      </c>
      <c r="X822" s="2036">
        <v>0</v>
      </c>
      <c r="Y822" s="2036">
        <v>0</v>
      </c>
      <c r="Z822" s="2036">
        <v>0</v>
      </c>
      <c r="AA822" s="2036">
        <v>0</v>
      </c>
      <c r="AB822" s="2036">
        <v>0</v>
      </c>
      <c r="AC822" s="2036">
        <v>0</v>
      </c>
      <c r="AD822" s="100">
        <f>SUM(R822,S822,T822)</f>
        <v>0</v>
      </c>
      <c r="AE822" s="19">
        <f t="shared" si="1632"/>
        <v>0</v>
      </c>
      <c r="AF822" s="19">
        <f t="shared" si="1633"/>
        <v>0</v>
      </c>
      <c r="AG822" s="19">
        <f t="shared" si="1634"/>
        <v>0</v>
      </c>
      <c r="AH822" s="19">
        <f>AD822+AE822</f>
        <v>0</v>
      </c>
      <c r="AI822" s="19">
        <f>AG822+AF822</f>
        <v>0</v>
      </c>
      <c r="AJ822" s="100">
        <f>AH822+AI822</f>
        <v>0</v>
      </c>
      <c r="AL822" s="19">
        <f ca="1">SUM((INDIRECT(AL$2&amp;(ROW())):INDIRECT(AL$3&amp;(ROW()))))</f>
        <v>0</v>
      </c>
      <c r="AM822" s="100">
        <f ca="1">SUM(INDIRECT(AM$1&amp;AM$2&amp;$C822):INDIRECT(AM$1&amp;AM$3&amp;$C822))</f>
        <v>0</v>
      </c>
      <c r="AN822" s="906">
        <f t="shared" ca="1" si="1618"/>
        <v>0</v>
      </c>
      <c r="AO822" s="967">
        <f t="shared" ca="1" si="1619"/>
        <v>0</v>
      </c>
      <c r="AP822" s="100">
        <f ca="1">SUM(INDIRECT(AP$1&amp;AP$2&amp;$A822):INDIRECT(AP$1&amp;AP$3&amp;$A822))+SUM(INDIRECT(AP$1&amp;AP$2&amp;$B822):INDIRECT(AP$1&amp;AP$3&amp;$B822))</f>
        <v>0</v>
      </c>
      <c r="AQ822" s="906">
        <f t="shared" ca="1" si="1620"/>
        <v>0</v>
      </c>
      <c r="AR822" s="967">
        <f t="shared" ca="1" si="1621"/>
        <v>0</v>
      </c>
      <c r="AT822" s="19">
        <f ca="1">SUM((INDIRECT(AT$2&amp;(ROW())):INDIRECT(AT$3&amp;(ROW()))))</f>
        <v>0</v>
      </c>
      <c r="AU822" s="100">
        <f ca="1">SUM(INDIRECT(AU$1&amp;AU$2&amp;$C822):INDIRECT(AU$1&amp;AU$3&amp;$C822))</f>
        <v>0</v>
      </c>
      <c r="AV822" s="906">
        <f t="shared" ca="1" si="1622"/>
        <v>0</v>
      </c>
      <c r="AW822" s="967">
        <f t="shared" ca="1" si="1623"/>
        <v>0</v>
      </c>
      <c r="AX822" s="100">
        <f ca="1">SUM(INDIRECT(AX$1&amp;AX$2&amp;$A822):INDIRECT(AX$1&amp;AX$3&amp;$A822))+SUM(INDIRECT(AX$1&amp;AX$2&amp;$B822):INDIRECT(AX$1&amp;AX$3&amp;$B822))</f>
        <v>0</v>
      </c>
      <c r="AY822" s="906">
        <f t="shared" ca="1" si="1624"/>
        <v>0</v>
      </c>
      <c r="AZ822" s="967">
        <f t="shared" ca="1" si="1625"/>
        <v>0</v>
      </c>
      <c r="BB822" s="19">
        <f ca="1">SUM((INDIRECT(BB$2&amp;(ROW())):INDIRECT(BB$3&amp;(ROW()))))</f>
        <v>0</v>
      </c>
      <c r="BC822" s="100">
        <f ca="1">SUM(INDIRECT(BC$1&amp;BC$2&amp;$C822):INDIRECT(BC$1&amp;BC$3&amp;$C822))</f>
        <v>0</v>
      </c>
      <c r="BD822" s="906">
        <f t="shared" ca="1" si="1626"/>
        <v>0</v>
      </c>
      <c r="BE822" s="967">
        <f t="shared" ca="1" si="1627"/>
        <v>0</v>
      </c>
      <c r="BF822" s="100">
        <f ca="1">SUM(INDIRECT(BF$1&amp;BF$2&amp;$A822):INDIRECT(BF$1&amp;BF$3&amp;$A822))+SUM(INDIRECT(BF$1&amp;BF$2&amp;$B822):INDIRECT(BF$1&amp;BF$3&amp;$B822))</f>
        <v>0</v>
      </c>
      <c r="BG822" s="906">
        <f t="shared" ca="1" si="1628"/>
        <v>0</v>
      </c>
      <c r="BH822" s="967">
        <f t="shared" ca="1" si="1629"/>
        <v>0</v>
      </c>
    </row>
    <row r="823" spans="1:60" ht="14.5">
      <c r="A823" s="990">
        <v>1</v>
      </c>
      <c r="B823" s="990">
        <v>1</v>
      </c>
      <c r="C823" s="990">
        <f t="shared" si="1541"/>
        <v>820</v>
      </c>
      <c r="E823" s="1243">
        <v>1</v>
      </c>
      <c r="G823" s="24"/>
      <c r="I823" s="98"/>
      <c r="J823" s="97"/>
      <c r="K823" s="74"/>
      <c r="L823" s="74"/>
      <c r="N823" s="9" t="s">
        <v>905</v>
      </c>
      <c r="Q823" s="1845" t="str">
        <f>CHOOSE(2, "6722000003742", "S/GP (5) Gross Profit Direct ICW-P OSP service")</f>
        <v>S/GP (5) Gross Profit Direct ICW-P OSP service</v>
      </c>
      <c r="R823" s="2036">
        <v>0</v>
      </c>
      <c r="S823" s="2036">
        <v>0</v>
      </c>
      <c r="T823" s="2036">
        <v>0</v>
      </c>
      <c r="U823" s="2036">
        <v>0</v>
      </c>
      <c r="V823" s="2036">
        <v>0</v>
      </c>
      <c r="W823" s="2036">
        <v>0</v>
      </c>
      <c r="X823" s="2036">
        <v>0</v>
      </c>
      <c r="Y823" s="2036">
        <v>0</v>
      </c>
      <c r="Z823" s="2036">
        <v>0</v>
      </c>
      <c r="AA823" s="2036">
        <v>0</v>
      </c>
      <c r="AB823" s="2036">
        <v>0</v>
      </c>
      <c r="AC823" s="2036">
        <v>0</v>
      </c>
      <c r="AD823" s="100">
        <f>SUM(R823,S823,T823)</f>
        <v>0</v>
      </c>
      <c r="AE823" s="19">
        <f t="shared" si="1632"/>
        <v>0</v>
      </c>
      <c r="AF823" s="19">
        <f t="shared" si="1633"/>
        <v>0</v>
      </c>
      <c r="AG823" s="19">
        <f t="shared" si="1634"/>
        <v>0</v>
      </c>
      <c r="AH823" s="19">
        <f>AD823+AE823</f>
        <v>0</v>
      </c>
      <c r="AI823" s="19">
        <f>AG823+AF823</f>
        <v>0</v>
      </c>
      <c r="AJ823" s="100">
        <f>AH823+AI823</f>
        <v>0</v>
      </c>
      <c r="AL823" s="19">
        <f ca="1">SUM((INDIRECT(AL$2&amp;(ROW())):INDIRECT(AL$3&amp;(ROW()))))</f>
        <v>0</v>
      </c>
      <c r="AM823" s="100">
        <f ca="1">SUM(INDIRECT(AM$1&amp;AM$2&amp;$C823):INDIRECT(AM$1&amp;AM$3&amp;$C823))</f>
        <v>0</v>
      </c>
      <c r="AN823" s="906">
        <f t="shared" ca="1" si="1618"/>
        <v>0</v>
      </c>
      <c r="AO823" s="967">
        <f t="shared" ca="1" si="1619"/>
        <v>0</v>
      </c>
      <c r="AP823" s="100">
        <f ca="1">SUM(INDIRECT(AP$1&amp;AP$2&amp;$A823):INDIRECT(AP$1&amp;AP$3&amp;$A823))+SUM(INDIRECT(AP$1&amp;AP$2&amp;$B823):INDIRECT(AP$1&amp;AP$3&amp;$B823))</f>
        <v>0</v>
      </c>
      <c r="AQ823" s="906">
        <f t="shared" ca="1" si="1620"/>
        <v>0</v>
      </c>
      <c r="AR823" s="967">
        <f t="shared" ca="1" si="1621"/>
        <v>0</v>
      </c>
      <c r="AT823" s="19">
        <f ca="1">SUM((INDIRECT(AT$2&amp;(ROW())):INDIRECT(AT$3&amp;(ROW()))))</f>
        <v>0</v>
      </c>
      <c r="AU823" s="100">
        <f ca="1">SUM(INDIRECT(AU$1&amp;AU$2&amp;$C823):INDIRECT(AU$1&amp;AU$3&amp;$C823))</f>
        <v>0</v>
      </c>
      <c r="AV823" s="906">
        <f t="shared" ca="1" si="1622"/>
        <v>0</v>
      </c>
      <c r="AW823" s="967">
        <f t="shared" ca="1" si="1623"/>
        <v>0</v>
      </c>
      <c r="AX823" s="100">
        <f ca="1">SUM(INDIRECT(AX$1&amp;AX$2&amp;$A823):INDIRECT(AX$1&amp;AX$3&amp;$A823))+SUM(INDIRECT(AX$1&amp;AX$2&amp;$B823):INDIRECT(AX$1&amp;AX$3&amp;$B823))</f>
        <v>0</v>
      </c>
      <c r="AY823" s="906">
        <f t="shared" ca="1" si="1624"/>
        <v>0</v>
      </c>
      <c r="AZ823" s="967">
        <f t="shared" ca="1" si="1625"/>
        <v>0</v>
      </c>
      <c r="BB823" s="19">
        <f ca="1">SUM((INDIRECT(BB$2&amp;(ROW())):INDIRECT(BB$3&amp;(ROW()))))</f>
        <v>0</v>
      </c>
      <c r="BC823" s="100">
        <f ca="1">SUM(INDIRECT(BC$1&amp;BC$2&amp;$C823):INDIRECT(BC$1&amp;BC$3&amp;$C823))</f>
        <v>0</v>
      </c>
      <c r="BD823" s="906">
        <f t="shared" ca="1" si="1626"/>
        <v>0</v>
      </c>
      <c r="BE823" s="967">
        <f t="shared" ca="1" si="1627"/>
        <v>0</v>
      </c>
      <c r="BF823" s="100">
        <f ca="1">SUM(INDIRECT(BF$1&amp;BF$2&amp;$A823):INDIRECT(BF$1&amp;BF$3&amp;$A823))+SUM(INDIRECT(BF$1&amp;BF$2&amp;$B823):INDIRECT(BF$1&amp;BF$3&amp;$B823))</f>
        <v>0</v>
      </c>
      <c r="BG823" s="906">
        <f t="shared" ca="1" si="1628"/>
        <v>0</v>
      </c>
      <c r="BH823" s="967">
        <f t="shared" ca="1" si="1629"/>
        <v>0</v>
      </c>
    </row>
    <row r="824" spans="1:60" ht="14.5">
      <c r="A824" s="990">
        <v>1</v>
      </c>
      <c r="B824" s="990">
        <v>1</v>
      </c>
      <c r="C824" s="990">
        <f t="shared" si="1541"/>
        <v>821</v>
      </c>
      <c r="E824" s="1243">
        <v>1</v>
      </c>
      <c r="G824" s="24"/>
      <c r="I824" s="98"/>
      <c r="J824" s="97"/>
      <c r="K824" s="74"/>
      <c r="L824" s="74"/>
      <c r="M824" s="12"/>
      <c r="N824" s="12" t="s">
        <v>906</v>
      </c>
      <c r="O824" s="12"/>
      <c r="P824" s="12"/>
      <c r="Q824" s="1845" t="str">
        <f>CHOOSE(2, "6722000003743", "S/GP (5) Gross Profit Direct ICW-P RP service")</f>
        <v>S/GP (5) Gross Profit Direct ICW-P RP service</v>
      </c>
      <c r="R824" s="2037">
        <v>0</v>
      </c>
      <c r="S824" s="2037">
        <v>0</v>
      </c>
      <c r="T824" s="2037">
        <v>0</v>
      </c>
      <c r="U824" s="2037">
        <v>0</v>
      </c>
      <c r="V824" s="2037">
        <v>0</v>
      </c>
      <c r="W824" s="2037">
        <v>0</v>
      </c>
      <c r="X824" s="2037">
        <v>0</v>
      </c>
      <c r="Y824" s="2037">
        <v>0</v>
      </c>
      <c r="Z824" s="2037">
        <v>0</v>
      </c>
      <c r="AA824" s="2037">
        <v>0</v>
      </c>
      <c r="AB824" s="2037">
        <v>0</v>
      </c>
      <c r="AC824" s="2037">
        <v>0</v>
      </c>
      <c r="AD824" s="99">
        <f>SUM(R824,S824,T824)</f>
        <v>0</v>
      </c>
      <c r="AE824" s="17">
        <f t="shared" si="1632"/>
        <v>0</v>
      </c>
      <c r="AF824" s="17">
        <f t="shared" si="1633"/>
        <v>0</v>
      </c>
      <c r="AG824" s="17">
        <f t="shared" si="1634"/>
        <v>0</v>
      </c>
      <c r="AH824" s="17">
        <f>AD824+AE824</f>
        <v>0</v>
      </c>
      <c r="AI824" s="17">
        <f>AG824+AF824</f>
        <v>0</v>
      </c>
      <c r="AJ824" s="99">
        <f>AH824+AI824</f>
        <v>0</v>
      </c>
      <c r="AL824" s="17">
        <f ca="1">SUM((INDIRECT(AL$2&amp;(ROW())):INDIRECT(AL$3&amp;(ROW()))))</f>
        <v>0</v>
      </c>
      <c r="AM824" s="99">
        <f ca="1">SUM(INDIRECT(AM$1&amp;AM$2&amp;$C824):INDIRECT(AM$1&amp;AM$3&amp;$C824))</f>
        <v>0</v>
      </c>
      <c r="AN824" s="905">
        <f t="shared" ca="1" si="1618"/>
        <v>0</v>
      </c>
      <c r="AO824" s="966">
        <f t="shared" ca="1" si="1619"/>
        <v>0</v>
      </c>
      <c r="AP824" s="99">
        <f ca="1">SUM(INDIRECT(AP$1&amp;AP$2&amp;$A824):INDIRECT(AP$1&amp;AP$3&amp;$A824))+SUM(INDIRECT(AP$1&amp;AP$2&amp;$B824):INDIRECT(AP$1&amp;AP$3&amp;$B824))</f>
        <v>0</v>
      </c>
      <c r="AQ824" s="905">
        <f t="shared" ca="1" si="1620"/>
        <v>0</v>
      </c>
      <c r="AR824" s="966">
        <f t="shared" ca="1" si="1621"/>
        <v>0</v>
      </c>
      <c r="AT824" s="17">
        <f ca="1">SUM((INDIRECT(AT$2&amp;(ROW())):INDIRECT(AT$3&amp;(ROW()))))</f>
        <v>0</v>
      </c>
      <c r="AU824" s="99">
        <f ca="1">SUM(INDIRECT(AU$1&amp;AU$2&amp;$C824):INDIRECT(AU$1&amp;AU$3&amp;$C824))</f>
        <v>0</v>
      </c>
      <c r="AV824" s="905">
        <f t="shared" ca="1" si="1622"/>
        <v>0</v>
      </c>
      <c r="AW824" s="966">
        <f t="shared" ca="1" si="1623"/>
        <v>0</v>
      </c>
      <c r="AX824" s="99">
        <f ca="1">SUM(INDIRECT(AX$1&amp;AX$2&amp;$A824):INDIRECT(AX$1&amp;AX$3&amp;$A824))+SUM(INDIRECT(AX$1&amp;AX$2&amp;$B824):INDIRECT(AX$1&amp;AX$3&amp;$B824))</f>
        <v>0</v>
      </c>
      <c r="AY824" s="905">
        <f t="shared" ca="1" si="1624"/>
        <v>0</v>
      </c>
      <c r="AZ824" s="966">
        <f t="shared" ca="1" si="1625"/>
        <v>0</v>
      </c>
      <c r="BB824" s="17">
        <f ca="1">SUM((INDIRECT(BB$2&amp;(ROW())):INDIRECT(BB$3&amp;(ROW()))))</f>
        <v>0</v>
      </c>
      <c r="BC824" s="99">
        <f ca="1">SUM(INDIRECT(BC$1&amp;BC$2&amp;$C824):INDIRECT(BC$1&amp;BC$3&amp;$C824))</f>
        <v>0</v>
      </c>
      <c r="BD824" s="905">
        <f t="shared" ca="1" si="1626"/>
        <v>0</v>
      </c>
      <c r="BE824" s="966">
        <f t="shared" ca="1" si="1627"/>
        <v>0</v>
      </c>
      <c r="BF824" s="99">
        <f ca="1">SUM(INDIRECT(BF$1&amp;BF$2&amp;$A824):INDIRECT(BF$1&amp;BF$3&amp;$A824))+SUM(INDIRECT(BF$1&amp;BF$2&amp;$B824):INDIRECT(BF$1&amp;BF$3&amp;$B824))</f>
        <v>0</v>
      </c>
      <c r="BG824" s="905">
        <f t="shared" ca="1" si="1628"/>
        <v>0</v>
      </c>
      <c r="BH824" s="966">
        <f t="shared" ca="1" si="1629"/>
        <v>0</v>
      </c>
    </row>
    <row r="825" spans="1:60" ht="14.5">
      <c r="A825" s="1397">
        <v>749</v>
      </c>
      <c r="B825" s="990">
        <v>1</v>
      </c>
      <c r="C825" s="990">
        <f t="shared" si="1541"/>
        <v>822</v>
      </c>
      <c r="E825" s="1243">
        <v>1</v>
      </c>
      <c r="I825" s="98"/>
      <c r="J825" s="97"/>
      <c r="K825" s="69" t="s">
        <v>221</v>
      </c>
      <c r="L825" s="69"/>
      <c r="M825" s="72"/>
      <c r="N825" s="72"/>
      <c r="O825" s="72"/>
      <c r="P825" s="72"/>
      <c r="Q825" s="1867" t="str">
        <f>CHOOSE(2, "6722000003744", "S/GP (5) Gross Profit Indirect")</f>
        <v>S/GP (5) Gross Profit Indirect</v>
      </c>
      <c r="R825" s="2056">
        <f t="shared" ref="R825:AC825" si="1635">SUM(R826:R831)</f>
        <v>0</v>
      </c>
      <c r="S825" s="2003">
        <f t="shared" si="1635"/>
        <v>0</v>
      </c>
      <c r="T825" s="2056">
        <f t="shared" si="1635"/>
        <v>0</v>
      </c>
      <c r="U825" s="2056">
        <f t="shared" si="1635"/>
        <v>0</v>
      </c>
      <c r="V825" s="2056">
        <f t="shared" si="1635"/>
        <v>0</v>
      </c>
      <c r="W825" s="2056">
        <f t="shared" si="1635"/>
        <v>0</v>
      </c>
      <c r="X825" s="2056">
        <f t="shared" si="1635"/>
        <v>0</v>
      </c>
      <c r="Y825" s="2056">
        <f t="shared" si="1635"/>
        <v>0</v>
      </c>
      <c r="Z825" s="2056">
        <f t="shared" si="1635"/>
        <v>0</v>
      </c>
      <c r="AA825" s="2056">
        <f t="shared" si="1635"/>
        <v>0</v>
      </c>
      <c r="AB825" s="2056">
        <f t="shared" si="1635"/>
        <v>0</v>
      </c>
      <c r="AC825" s="2056">
        <f t="shared" si="1635"/>
        <v>0</v>
      </c>
      <c r="AD825" s="611">
        <f t="shared" ref="AD825:AJ825" si="1636">SUM(AD826:AD831)</f>
        <v>0</v>
      </c>
      <c r="AE825" s="393">
        <f t="shared" si="1636"/>
        <v>0</v>
      </c>
      <c r="AF825" s="393">
        <f t="shared" si="1636"/>
        <v>0</v>
      </c>
      <c r="AG825" s="393">
        <f t="shared" si="1636"/>
        <v>0</v>
      </c>
      <c r="AH825" s="393">
        <f t="shared" si="1636"/>
        <v>0</v>
      </c>
      <c r="AI825" s="393">
        <f t="shared" si="1636"/>
        <v>0</v>
      </c>
      <c r="AJ825" s="611">
        <f t="shared" si="1636"/>
        <v>0</v>
      </c>
      <c r="AL825" s="2056">
        <f ca="1">SUM((INDIRECT(AL$2&amp;(ROW())):INDIRECT(AL$3&amp;(ROW()))))</f>
        <v>0</v>
      </c>
      <c r="AM825" s="2546">
        <f ca="1">SUM(INDIRECT(AM$1&amp;AM$2&amp;$C825):INDIRECT(AM$1&amp;AM$3&amp;$C825))</f>
        <v>0</v>
      </c>
      <c r="AN825" s="2547">
        <f t="shared" ca="1" si="1618"/>
        <v>0</v>
      </c>
      <c r="AO825" s="1725">
        <f t="shared" ca="1" si="1619"/>
        <v>0</v>
      </c>
      <c r="AP825" s="2548">
        <f ca="1">SUM(AP826:AP831)</f>
        <v>0</v>
      </c>
      <c r="AQ825" s="2547">
        <f t="shared" ca="1" si="1620"/>
        <v>0</v>
      </c>
      <c r="AR825" s="1725">
        <f t="shared" ca="1" si="1621"/>
        <v>0</v>
      </c>
      <c r="AT825" s="2056">
        <f ca="1">SUM((INDIRECT(AT$2&amp;(ROW())):INDIRECT(AT$3&amp;(ROW()))))</f>
        <v>0</v>
      </c>
      <c r="AU825" s="2546">
        <f ca="1">SUM(INDIRECT(AU$1&amp;AU$2&amp;$C825):INDIRECT(AU$1&amp;AU$3&amp;$C825))</f>
        <v>0</v>
      </c>
      <c r="AV825" s="2547">
        <f t="shared" ca="1" si="1622"/>
        <v>0</v>
      </c>
      <c r="AW825" s="1725">
        <f t="shared" ca="1" si="1623"/>
        <v>0</v>
      </c>
      <c r="AX825" s="2548">
        <f ca="1">SUM(AX826:AX831)</f>
        <v>0</v>
      </c>
      <c r="AY825" s="2547">
        <f t="shared" ca="1" si="1624"/>
        <v>0</v>
      </c>
      <c r="AZ825" s="1725">
        <f t="shared" ca="1" si="1625"/>
        <v>0</v>
      </c>
      <c r="BB825" s="2056">
        <f ca="1">SUM((INDIRECT(BB$2&amp;(ROW())):INDIRECT(BB$3&amp;(ROW()))))</f>
        <v>0</v>
      </c>
      <c r="BC825" s="2546">
        <f ca="1">SUM(INDIRECT(BC$1&amp;BC$2&amp;$C825):INDIRECT(BC$1&amp;BC$3&amp;$C825))</f>
        <v>0</v>
      </c>
      <c r="BD825" s="2547">
        <f t="shared" ca="1" si="1626"/>
        <v>0</v>
      </c>
      <c r="BE825" s="1725">
        <f t="shared" ca="1" si="1627"/>
        <v>0</v>
      </c>
      <c r="BF825" s="2548">
        <f ca="1">SUM(BF826:BF831)</f>
        <v>206</v>
      </c>
      <c r="BG825" s="2547">
        <f t="shared" ca="1" si="1628"/>
        <v>-206</v>
      </c>
      <c r="BH825" s="1725">
        <f t="shared" ca="1" si="1629"/>
        <v>0</v>
      </c>
    </row>
    <row r="826" spans="1:60" ht="14.5">
      <c r="A826" s="1397">
        <v>750</v>
      </c>
      <c r="B826" s="990">
        <v>1</v>
      </c>
      <c r="C826" s="990">
        <f t="shared" si="1541"/>
        <v>823</v>
      </c>
      <c r="E826" s="1243">
        <v>1</v>
      </c>
      <c r="G826" s="24"/>
      <c r="I826" s="98"/>
      <c r="J826" s="97"/>
      <c r="K826" s="69"/>
      <c r="L826" s="69"/>
      <c r="M826" s="4" t="s">
        <v>779</v>
      </c>
      <c r="Q826" s="1845" t="str">
        <f>CHOOSE(2, "6722000003745", "S/GP (5) Gross Profit Indirect IMS")</f>
        <v>S/GP (5) Gross Profit Indirect IMS</v>
      </c>
      <c r="R826" s="2036">
        <v>0</v>
      </c>
      <c r="S826" s="2040">
        <v>0</v>
      </c>
      <c r="T826" s="2036">
        <v>0</v>
      </c>
      <c r="U826" s="2036">
        <v>0</v>
      </c>
      <c r="V826" s="2036">
        <v>0</v>
      </c>
      <c r="W826" s="2036">
        <v>0</v>
      </c>
      <c r="X826" s="2036">
        <v>0</v>
      </c>
      <c r="Y826" s="2036">
        <v>0</v>
      </c>
      <c r="Z826" s="2036">
        <v>0</v>
      </c>
      <c r="AA826" s="2036">
        <v>0</v>
      </c>
      <c r="AB826" s="2036">
        <v>0</v>
      </c>
      <c r="AC826" s="2036">
        <v>0</v>
      </c>
      <c r="AD826" s="100">
        <f t="shared" ref="AD826:AD831" si="1637">SUM(R826,S826,T826)</f>
        <v>0</v>
      </c>
      <c r="AE826" s="19">
        <f t="shared" ref="AE826:AE831" si="1638">SUM(U826,V826,W826)</f>
        <v>0</v>
      </c>
      <c r="AF826" s="19">
        <f t="shared" ref="AF826:AF831" si="1639">SUM(X826,Y826,Z826)</f>
        <v>0</v>
      </c>
      <c r="AG826" s="19">
        <f t="shared" ref="AG826:AG831" si="1640">SUM(AA826,AB826,AC826)</f>
        <v>0</v>
      </c>
      <c r="AH826" s="19">
        <f>AD826+AE826</f>
        <v>0</v>
      </c>
      <c r="AI826" s="19">
        <f>AG826+AF826</f>
        <v>0</v>
      </c>
      <c r="AJ826" s="100">
        <f>AH826+AI826</f>
        <v>0</v>
      </c>
      <c r="AL826" s="19">
        <f ca="1">SUM((INDIRECT(AL$2&amp;(ROW())):INDIRECT(AL$3&amp;(ROW()))))</f>
        <v>0</v>
      </c>
      <c r="AM826" s="100">
        <f ca="1">SUM(INDIRECT(AM$1&amp;AM$2&amp;$C826):INDIRECT(AM$1&amp;AM$3&amp;$C826))</f>
        <v>0</v>
      </c>
      <c r="AN826" s="906">
        <f t="shared" ca="1" si="1618"/>
        <v>0</v>
      </c>
      <c r="AO826" s="967">
        <f t="shared" ca="1" si="1619"/>
        <v>0</v>
      </c>
      <c r="AP826" s="100">
        <f ca="1">SUM(INDIRECT(AP$1&amp;AP$2&amp;$A826):INDIRECT(AP$1&amp;AP$3&amp;$A826))+SUM(INDIRECT(AP$1&amp;AP$2&amp;$B826):INDIRECT(AP$1&amp;AP$3&amp;$B826))</f>
        <v>0</v>
      </c>
      <c r="AQ826" s="906">
        <f t="shared" ca="1" si="1620"/>
        <v>0</v>
      </c>
      <c r="AR826" s="967">
        <f t="shared" ca="1" si="1621"/>
        <v>0</v>
      </c>
      <c r="AT826" s="19">
        <f ca="1">SUM((INDIRECT(AT$2&amp;(ROW())):INDIRECT(AT$3&amp;(ROW()))))</f>
        <v>0</v>
      </c>
      <c r="AU826" s="100">
        <f ca="1">SUM(INDIRECT(AU$1&amp;AU$2&amp;$C826):INDIRECT(AU$1&amp;AU$3&amp;$C826))</f>
        <v>0</v>
      </c>
      <c r="AV826" s="906">
        <f t="shared" ca="1" si="1622"/>
        <v>0</v>
      </c>
      <c r="AW826" s="967">
        <f t="shared" ca="1" si="1623"/>
        <v>0</v>
      </c>
      <c r="AX826" s="100">
        <f ca="1">SUM(INDIRECT(AX$1&amp;AX$2&amp;$A826):INDIRECT(AX$1&amp;AX$3&amp;$A826))+SUM(INDIRECT(AX$1&amp;AX$2&amp;$B826):INDIRECT(AX$1&amp;AX$3&amp;$B826))</f>
        <v>0</v>
      </c>
      <c r="AY826" s="906">
        <f t="shared" ca="1" si="1624"/>
        <v>0</v>
      </c>
      <c r="AZ826" s="967">
        <f t="shared" ca="1" si="1625"/>
        <v>0</v>
      </c>
      <c r="BB826" s="19">
        <f ca="1">SUM((INDIRECT(BB$2&amp;(ROW())):INDIRECT(BB$3&amp;(ROW()))))</f>
        <v>0</v>
      </c>
      <c r="BC826" s="100">
        <f ca="1">SUM(INDIRECT(BC$1&amp;BC$2&amp;$C826):INDIRECT(BC$1&amp;BC$3&amp;$C826))</f>
        <v>0</v>
      </c>
      <c r="BD826" s="906">
        <f t="shared" ca="1" si="1626"/>
        <v>0</v>
      </c>
      <c r="BE826" s="967">
        <f t="shared" ca="1" si="1627"/>
        <v>0</v>
      </c>
      <c r="BF826" s="100">
        <f ca="1">SUM(INDIRECT(BF$1&amp;BF$2&amp;$A826):INDIRECT(BF$1&amp;BF$3&amp;$A826))+SUM(INDIRECT(BF$1&amp;BF$2&amp;$B826):INDIRECT(BF$1&amp;BF$3&amp;$B826))</f>
        <v>0</v>
      </c>
      <c r="BG826" s="906">
        <f t="shared" ca="1" si="1628"/>
        <v>0</v>
      </c>
      <c r="BH826" s="967">
        <f t="shared" ca="1" si="1629"/>
        <v>0</v>
      </c>
    </row>
    <row r="827" spans="1:60" ht="14.5">
      <c r="A827" s="990">
        <f t="shared" ref="A827:A829" si="1641">A826+1</f>
        <v>751</v>
      </c>
      <c r="B827" s="990">
        <v>1</v>
      </c>
      <c r="C827" s="990">
        <f t="shared" si="1541"/>
        <v>824</v>
      </c>
      <c r="E827" s="1243">
        <v>1</v>
      </c>
      <c r="G827" s="24"/>
      <c r="I827" s="98"/>
      <c r="J827" s="97"/>
      <c r="K827" s="69"/>
      <c r="L827" s="69"/>
      <c r="M827" s="4" t="s">
        <v>1162</v>
      </c>
      <c r="Q827" s="1845" t="str">
        <f>CHOOSE(2, "6722000003746", "S/GP (5) Gross Profit Indirect ICW-IT")</f>
        <v>S/GP (5) Gross Profit Indirect ICW-IT</v>
      </c>
      <c r="R827" s="2036">
        <v>0</v>
      </c>
      <c r="S827" s="2040">
        <v>0</v>
      </c>
      <c r="T827" s="2036">
        <v>0</v>
      </c>
      <c r="U827" s="2036">
        <v>0</v>
      </c>
      <c r="V827" s="2036">
        <v>0</v>
      </c>
      <c r="W827" s="2036">
        <v>0</v>
      </c>
      <c r="X827" s="2036">
        <v>0</v>
      </c>
      <c r="Y827" s="2036">
        <v>0</v>
      </c>
      <c r="Z827" s="2036">
        <v>0</v>
      </c>
      <c r="AA827" s="2036">
        <v>0</v>
      </c>
      <c r="AB827" s="2036">
        <v>0</v>
      </c>
      <c r="AC827" s="2036">
        <v>0</v>
      </c>
      <c r="AD827" s="100">
        <f t="shared" si="1637"/>
        <v>0</v>
      </c>
      <c r="AE827" s="19">
        <f t="shared" si="1638"/>
        <v>0</v>
      </c>
      <c r="AF827" s="19">
        <f t="shared" si="1639"/>
        <v>0</v>
      </c>
      <c r="AG827" s="19">
        <f t="shared" si="1640"/>
        <v>0</v>
      </c>
      <c r="AH827" s="19">
        <f>AD827+AE827</f>
        <v>0</v>
      </c>
      <c r="AI827" s="19">
        <f>AG827+AF827</f>
        <v>0</v>
      </c>
      <c r="AJ827" s="100">
        <f>AH827+AI827</f>
        <v>0</v>
      </c>
      <c r="AL827" s="19">
        <f ca="1">SUM((INDIRECT(AL$2&amp;(ROW())):INDIRECT(AL$3&amp;(ROW()))))</f>
        <v>0</v>
      </c>
      <c r="AM827" s="100">
        <f ca="1">SUM(INDIRECT(AM$1&amp;AM$2&amp;$C827):INDIRECT(AM$1&amp;AM$3&amp;$C827))</f>
        <v>0</v>
      </c>
      <c r="AN827" s="906">
        <f t="shared" ca="1" si="1618"/>
        <v>0</v>
      </c>
      <c r="AO827" s="967">
        <f t="shared" ca="1" si="1619"/>
        <v>0</v>
      </c>
      <c r="AP827" s="100">
        <f ca="1">SUM(INDIRECT(AP$1&amp;AP$2&amp;$A827):INDIRECT(AP$1&amp;AP$3&amp;$A827))+SUM(INDIRECT(AP$1&amp;AP$2&amp;$B827):INDIRECT(AP$1&amp;AP$3&amp;$B827))</f>
        <v>0</v>
      </c>
      <c r="AQ827" s="906">
        <f t="shared" ca="1" si="1620"/>
        <v>0</v>
      </c>
      <c r="AR827" s="967">
        <f t="shared" ca="1" si="1621"/>
        <v>0</v>
      </c>
      <c r="AT827" s="19">
        <f ca="1">SUM((INDIRECT(AT$2&amp;(ROW())):INDIRECT(AT$3&amp;(ROW()))))</f>
        <v>0</v>
      </c>
      <c r="AU827" s="100">
        <f ca="1">SUM(INDIRECT(AU$1&amp;AU$2&amp;$C827):INDIRECT(AU$1&amp;AU$3&amp;$C827))</f>
        <v>0</v>
      </c>
      <c r="AV827" s="906">
        <f t="shared" ca="1" si="1622"/>
        <v>0</v>
      </c>
      <c r="AW827" s="967">
        <f t="shared" ca="1" si="1623"/>
        <v>0</v>
      </c>
      <c r="AX827" s="100">
        <f ca="1">SUM(INDIRECT(AX$1&amp;AX$2&amp;$A827):INDIRECT(AX$1&amp;AX$3&amp;$A827))+SUM(INDIRECT(AX$1&amp;AX$2&amp;$B827):INDIRECT(AX$1&amp;AX$3&amp;$B827))</f>
        <v>0</v>
      </c>
      <c r="AY827" s="906">
        <f t="shared" ca="1" si="1624"/>
        <v>0</v>
      </c>
      <c r="AZ827" s="967">
        <f t="shared" ca="1" si="1625"/>
        <v>0</v>
      </c>
      <c r="BB827" s="19">
        <f ca="1">SUM((INDIRECT(BB$2&amp;(ROW())):INDIRECT(BB$3&amp;(ROW()))))</f>
        <v>0</v>
      </c>
      <c r="BC827" s="100">
        <f ca="1">SUM(INDIRECT(BC$1&amp;BC$2&amp;$C827):INDIRECT(BC$1&amp;BC$3&amp;$C827))</f>
        <v>0</v>
      </c>
      <c r="BD827" s="906">
        <f t="shared" ca="1" si="1626"/>
        <v>0</v>
      </c>
      <c r="BE827" s="967">
        <f t="shared" ca="1" si="1627"/>
        <v>0</v>
      </c>
      <c r="BF827" s="100">
        <f ca="1">SUM(INDIRECT(BF$1&amp;BF$2&amp;$A827):INDIRECT(BF$1&amp;BF$3&amp;$A827))+SUM(INDIRECT(BF$1&amp;BF$2&amp;$B827):INDIRECT(BF$1&amp;BF$3&amp;$B827))</f>
        <v>0</v>
      </c>
      <c r="BG827" s="906">
        <f t="shared" ca="1" si="1628"/>
        <v>0</v>
      </c>
      <c r="BH827" s="967">
        <f t="shared" ca="1" si="1629"/>
        <v>0</v>
      </c>
    </row>
    <row r="828" spans="1:60" ht="14.5">
      <c r="A828" s="990">
        <f t="shared" si="1641"/>
        <v>752</v>
      </c>
      <c r="B828" s="990">
        <v>1</v>
      </c>
      <c r="C828" s="990">
        <f t="shared" si="1541"/>
        <v>825</v>
      </c>
      <c r="E828" s="1243">
        <v>1</v>
      </c>
      <c r="G828" s="24"/>
      <c r="I828" s="98"/>
      <c r="J828" s="97"/>
      <c r="K828" s="69"/>
      <c r="L828" s="69"/>
      <c r="M828" s="4" t="s">
        <v>780</v>
      </c>
      <c r="Q828" s="1845" t="str">
        <f>CHOOSE(2, "6722000003747", "S/GP (5) Gross Profit Indirect MCS")</f>
        <v>S/GP (5) Gross Profit Indirect MCS</v>
      </c>
      <c r="R828" s="2036">
        <v>0</v>
      </c>
      <c r="S828" s="2040">
        <v>0</v>
      </c>
      <c r="T828" s="2036">
        <v>0</v>
      </c>
      <c r="U828" s="2036">
        <v>0</v>
      </c>
      <c r="V828" s="2036">
        <v>0</v>
      </c>
      <c r="W828" s="2036">
        <v>0</v>
      </c>
      <c r="X828" s="2036">
        <v>0</v>
      </c>
      <c r="Y828" s="2036">
        <v>0</v>
      </c>
      <c r="Z828" s="2036">
        <v>0</v>
      </c>
      <c r="AA828" s="2036">
        <v>0</v>
      </c>
      <c r="AB828" s="2036">
        <v>0</v>
      </c>
      <c r="AC828" s="2036">
        <v>0</v>
      </c>
      <c r="AD828" s="100">
        <f t="shared" si="1637"/>
        <v>0</v>
      </c>
      <c r="AE828" s="19">
        <f t="shared" ref="AE828:AE829" si="1642">SUM(U828,V828,W828)</f>
        <v>0</v>
      </c>
      <c r="AF828" s="19">
        <f t="shared" ref="AF828:AF829" si="1643">SUM(X828,Y828,Z828)</f>
        <v>0</v>
      </c>
      <c r="AG828" s="19">
        <f t="shared" ref="AG828:AG829" si="1644">SUM(AA828,AB828,AC828)</f>
        <v>0</v>
      </c>
      <c r="AH828" s="19">
        <f t="shared" ref="AH828:AH829" si="1645">AD828+AE828</f>
        <v>0</v>
      </c>
      <c r="AI828" s="19">
        <f t="shared" ref="AI828:AI829" si="1646">AG828+AF828</f>
        <v>0</v>
      </c>
      <c r="AJ828" s="100">
        <f t="shared" ref="AJ828:AJ829" si="1647">AH828+AI828</f>
        <v>0</v>
      </c>
      <c r="AL828" s="19">
        <f ca="1">SUM((INDIRECT(AL$2&amp;(ROW())):INDIRECT(AL$3&amp;(ROW()))))</f>
        <v>0</v>
      </c>
      <c r="AM828" s="100">
        <f ca="1">SUM(INDIRECT(AM$1&amp;AM$2&amp;$C828):INDIRECT(AM$1&amp;AM$3&amp;$C828))</f>
        <v>0</v>
      </c>
      <c r="AN828" s="906">
        <f t="shared" ca="1" si="1618"/>
        <v>0</v>
      </c>
      <c r="AO828" s="967">
        <f t="shared" ca="1" si="1619"/>
        <v>0</v>
      </c>
      <c r="AP828" s="100">
        <f ca="1">SUM(INDIRECT(AP$1&amp;AP$2&amp;$A828):INDIRECT(AP$1&amp;AP$3&amp;$A828))+SUM(INDIRECT(AP$1&amp;AP$2&amp;$B828):INDIRECT(AP$1&amp;AP$3&amp;$B828))</f>
        <v>0</v>
      </c>
      <c r="AQ828" s="906">
        <f t="shared" ca="1" si="1620"/>
        <v>0</v>
      </c>
      <c r="AR828" s="967">
        <f t="shared" ca="1" si="1621"/>
        <v>0</v>
      </c>
      <c r="AT828" s="19">
        <f ca="1">SUM((INDIRECT(AT$2&amp;(ROW())):INDIRECT(AT$3&amp;(ROW()))))</f>
        <v>0</v>
      </c>
      <c r="AU828" s="100">
        <f ca="1">SUM(INDIRECT(AU$1&amp;AU$2&amp;$C828):INDIRECT(AU$1&amp;AU$3&amp;$C828))</f>
        <v>0</v>
      </c>
      <c r="AV828" s="906">
        <f t="shared" ca="1" si="1622"/>
        <v>0</v>
      </c>
      <c r="AW828" s="967">
        <f t="shared" ca="1" si="1623"/>
        <v>0</v>
      </c>
      <c r="AX828" s="100">
        <f ca="1">SUM(INDIRECT(AX$1&amp;AX$2&amp;$A828):INDIRECT(AX$1&amp;AX$3&amp;$A828))+SUM(INDIRECT(AX$1&amp;AX$2&amp;$B828):INDIRECT(AX$1&amp;AX$3&amp;$B828))</f>
        <v>0</v>
      </c>
      <c r="AY828" s="906">
        <f t="shared" ca="1" si="1624"/>
        <v>0</v>
      </c>
      <c r="AZ828" s="967">
        <f t="shared" ca="1" si="1625"/>
        <v>0</v>
      </c>
      <c r="BB828" s="19">
        <f ca="1">SUM((INDIRECT(BB$2&amp;(ROW())):INDIRECT(BB$3&amp;(ROW()))))</f>
        <v>0</v>
      </c>
      <c r="BC828" s="100">
        <f ca="1">SUM(INDIRECT(BC$1&amp;BC$2&amp;$C828):INDIRECT(BC$1&amp;BC$3&amp;$C828))</f>
        <v>0</v>
      </c>
      <c r="BD828" s="906">
        <f t="shared" ca="1" si="1626"/>
        <v>0</v>
      </c>
      <c r="BE828" s="967">
        <f t="shared" ca="1" si="1627"/>
        <v>0</v>
      </c>
      <c r="BF828" s="100">
        <f ca="1">SUM(INDIRECT(BF$1&amp;BF$2&amp;$A828):INDIRECT(BF$1&amp;BF$3&amp;$A828))+SUM(INDIRECT(BF$1&amp;BF$2&amp;$B828):INDIRECT(BF$1&amp;BF$3&amp;$B828))</f>
        <v>206</v>
      </c>
      <c r="BG828" s="906">
        <f t="shared" ca="1" si="1628"/>
        <v>-206</v>
      </c>
      <c r="BH828" s="967">
        <f t="shared" ca="1" si="1629"/>
        <v>0</v>
      </c>
    </row>
    <row r="829" spans="1:60" ht="14.5">
      <c r="A829" s="990">
        <f t="shared" si="1641"/>
        <v>753</v>
      </c>
      <c r="B829" s="990">
        <v>1</v>
      </c>
      <c r="C829" s="990">
        <f t="shared" si="1541"/>
        <v>826</v>
      </c>
      <c r="E829" s="1243">
        <v>1</v>
      </c>
      <c r="G829" s="24"/>
      <c r="I829" s="98"/>
      <c r="J829" s="97"/>
      <c r="K829" s="69"/>
      <c r="L829" s="69"/>
      <c r="M829" s="4" t="s">
        <v>1157</v>
      </c>
      <c r="Q829" s="1845" t="str">
        <f>CHOOSE(2, "6722000003748", "S/GP (5) Gross Profit Indirect BPS")</f>
        <v>S/GP (5) Gross Profit Indirect BPS</v>
      </c>
      <c r="R829" s="2036">
        <v>0</v>
      </c>
      <c r="S829" s="2040">
        <v>0</v>
      </c>
      <c r="T829" s="2036">
        <v>0</v>
      </c>
      <c r="U829" s="2036">
        <v>0</v>
      </c>
      <c r="V829" s="2036">
        <v>0</v>
      </c>
      <c r="W829" s="2036">
        <v>0</v>
      </c>
      <c r="X829" s="2036">
        <v>0</v>
      </c>
      <c r="Y829" s="2036">
        <v>0</v>
      </c>
      <c r="Z829" s="2036">
        <v>0</v>
      </c>
      <c r="AA829" s="2036">
        <v>0</v>
      </c>
      <c r="AB829" s="2036">
        <v>0</v>
      </c>
      <c r="AC829" s="2036">
        <v>0</v>
      </c>
      <c r="AD829" s="100">
        <f t="shared" si="1637"/>
        <v>0</v>
      </c>
      <c r="AE829" s="19">
        <f t="shared" si="1642"/>
        <v>0</v>
      </c>
      <c r="AF829" s="19">
        <f t="shared" si="1643"/>
        <v>0</v>
      </c>
      <c r="AG829" s="19">
        <f t="shared" si="1644"/>
        <v>0</v>
      </c>
      <c r="AH829" s="19">
        <f t="shared" si="1645"/>
        <v>0</v>
      </c>
      <c r="AI829" s="19">
        <f t="shared" si="1646"/>
        <v>0</v>
      </c>
      <c r="AJ829" s="100">
        <f t="shared" si="1647"/>
        <v>0</v>
      </c>
      <c r="AL829" s="19">
        <f ca="1">SUM((INDIRECT(AL$2&amp;(ROW())):INDIRECT(AL$3&amp;(ROW()))))</f>
        <v>0</v>
      </c>
      <c r="AM829" s="100">
        <f ca="1">SUM(INDIRECT(AM$1&amp;AM$2&amp;$C829):INDIRECT(AM$1&amp;AM$3&amp;$C829))</f>
        <v>0</v>
      </c>
      <c r="AN829" s="906">
        <f t="shared" ca="1" si="1618"/>
        <v>0</v>
      </c>
      <c r="AO829" s="967">
        <f t="shared" ca="1" si="1619"/>
        <v>0</v>
      </c>
      <c r="AP829" s="100">
        <f ca="1">SUM(INDIRECT(AP$1&amp;AP$2&amp;$A829):INDIRECT(AP$1&amp;AP$3&amp;$A829))+SUM(INDIRECT(AP$1&amp;AP$2&amp;$B829):INDIRECT(AP$1&amp;AP$3&amp;$B829))</f>
        <v>0</v>
      </c>
      <c r="AQ829" s="906">
        <f t="shared" ca="1" si="1620"/>
        <v>0</v>
      </c>
      <c r="AR829" s="967">
        <f t="shared" ca="1" si="1621"/>
        <v>0</v>
      </c>
      <c r="AT829" s="19">
        <f ca="1">SUM((INDIRECT(AT$2&amp;(ROW())):INDIRECT(AT$3&amp;(ROW()))))</f>
        <v>0</v>
      </c>
      <c r="AU829" s="100">
        <f ca="1">SUM(INDIRECT(AU$1&amp;AU$2&amp;$C829):INDIRECT(AU$1&amp;AU$3&amp;$C829))</f>
        <v>0</v>
      </c>
      <c r="AV829" s="906">
        <f t="shared" ca="1" si="1622"/>
        <v>0</v>
      </c>
      <c r="AW829" s="967">
        <f t="shared" ca="1" si="1623"/>
        <v>0</v>
      </c>
      <c r="AX829" s="100">
        <f ca="1">SUM(INDIRECT(AX$1&amp;AX$2&amp;$A829):INDIRECT(AX$1&amp;AX$3&amp;$A829))+SUM(INDIRECT(AX$1&amp;AX$2&amp;$B829):INDIRECT(AX$1&amp;AX$3&amp;$B829))</f>
        <v>0</v>
      </c>
      <c r="AY829" s="906">
        <f t="shared" ca="1" si="1624"/>
        <v>0</v>
      </c>
      <c r="AZ829" s="967">
        <f t="shared" ca="1" si="1625"/>
        <v>0</v>
      </c>
      <c r="BB829" s="19">
        <f ca="1">SUM((INDIRECT(BB$2&amp;(ROW())):INDIRECT(BB$3&amp;(ROW()))))</f>
        <v>0</v>
      </c>
      <c r="BC829" s="100">
        <f ca="1">SUM(INDIRECT(BC$1&amp;BC$2&amp;$C829):INDIRECT(BC$1&amp;BC$3&amp;$C829))</f>
        <v>0</v>
      </c>
      <c r="BD829" s="906">
        <f t="shared" ca="1" si="1626"/>
        <v>0</v>
      </c>
      <c r="BE829" s="967">
        <f t="shared" ca="1" si="1627"/>
        <v>0</v>
      </c>
      <c r="BF829" s="100">
        <f ca="1">SUM(INDIRECT(BF$1&amp;BF$2&amp;$A829):INDIRECT(BF$1&amp;BF$3&amp;$A829))+SUM(INDIRECT(BF$1&amp;BF$2&amp;$B829):INDIRECT(BF$1&amp;BF$3&amp;$B829))</f>
        <v>0</v>
      </c>
      <c r="BG829" s="906">
        <f t="shared" ca="1" si="1628"/>
        <v>0</v>
      </c>
      <c r="BH829" s="967">
        <f t="shared" ca="1" si="1629"/>
        <v>0</v>
      </c>
    </row>
    <row r="830" spans="1:60" ht="14.5">
      <c r="A830" s="990">
        <v>1</v>
      </c>
      <c r="B830" s="990">
        <v>1</v>
      </c>
      <c r="C830" s="990">
        <f t="shared" si="1541"/>
        <v>827</v>
      </c>
      <c r="E830" s="1243">
        <v>1</v>
      </c>
      <c r="G830" s="24"/>
      <c r="I830" s="98"/>
      <c r="J830" s="97"/>
      <c r="K830" s="69"/>
      <c r="L830" s="69"/>
      <c r="M830" s="4" t="s">
        <v>1257</v>
      </c>
      <c r="Q830" s="1845" t="str">
        <f>CHOOSE(2, "6722000003749", "S/GP (5) Gross Profit Indirect ICW-WK")</f>
        <v>S/GP (5) Gross Profit Indirect ICW-WK</v>
      </c>
      <c r="R830" s="2036">
        <v>0</v>
      </c>
      <c r="S830" s="2040">
        <v>0</v>
      </c>
      <c r="T830" s="2036">
        <v>0</v>
      </c>
      <c r="U830" s="2036">
        <v>0</v>
      </c>
      <c r="V830" s="2036">
        <v>0</v>
      </c>
      <c r="W830" s="2036">
        <v>0</v>
      </c>
      <c r="X830" s="2036">
        <v>0</v>
      </c>
      <c r="Y830" s="2036">
        <v>0</v>
      </c>
      <c r="Z830" s="2036">
        <v>0</v>
      </c>
      <c r="AA830" s="2036">
        <v>0</v>
      </c>
      <c r="AB830" s="2036">
        <v>0</v>
      </c>
      <c r="AC830" s="2036">
        <v>0</v>
      </c>
      <c r="AD830" s="100">
        <f t="shared" si="1637"/>
        <v>0</v>
      </c>
      <c r="AE830" s="19">
        <f t="shared" si="1638"/>
        <v>0</v>
      </c>
      <c r="AF830" s="19">
        <f t="shared" si="1639"/>
        <v>0</v>
      </c>
      <c r="AG830" s="19">
        <f t="shared" si="1640"/>
        <v>0</v>
      </c>
      <c r="AH830" s="19">
        <f>AD830+AE830</f>
        <v>0</v>
      </c>
      <c r="AI830" s="19">
        <f>AG830+AF830</f>
        <v>0</v>
      </c>
      <c r="AJ830" s="100">
        <f>AH830+AI830</f>
        <v>0</v>
      </c>
      <c r="AL830" s="19">
        <f ca="1">SUM((INDIRECT(AL$2&amp;(ROW())):INDIRECT(AL$3&amp;(ROW()))))</f>
        <v>0</v>
      </c>
      <c r="AM830" s="100">
        <f ca="1">SUM(INDIRECT(AM$1&amp;AM$2&amp;$C830):INDIRECT(AM$1&amp;AM$3&amp;$C830))</f>
        <v>0</v>
      </c>
      <c r="AN830" s="906">
        <f t="shared" ca="1" si="1618"/>
        <v>0</v>
      </c>
      <c r="AO830" s="967">
        <f t="shared" ca="1" si="1619"/>
        <v>0</v>
      </c>
      <c r="AP830" s="100">
        <f ca="1">SUM(INDIRECT(AP$1&amp;AP$2&amp;$A830):INDIRECT(AP$1&amp;AP$3&amp;$A830))+SUM(INDIRECT(AP$1&amp;AP$2&amp;$B830):INDIRECT(AP$1&amp;AP$3&amp;$B830))</f>
        <v>0</v>
      </c>
      <c r="AQ830" s="906">
        <f t="shared" ca="1" si="1620"/>
        <v>0</v>
      </c>
      <c r="AR830" s="967">
        <f t="shared" ca="1" si="1621"/>
        <v>0</v>
      </c>
      <c r="AT830" s="19">
        <f ca="1">SUM((INDIRECT(AT$2&amp;(ROW())):INDIRECT(AT$3&amp;(ROW()))))</f>
        <v>0</v>
      </c>
      <c r="AU830" s="100">
        <f ca="1">SUM(INDIRECT(AU$1&amp;AU$2&amp;$C830):INDIRECT(AU$1&amp;AU$3&amp;$C830))</f>
        <v>0</v>
      </c>
      <c r="AV830" s="906">
        <f t="shared" ca="1" si="1622"/>
        <v>0</v>
      </c>
      <c r="AW830" s="967">
        <f t="shared" ca="1" si="1623"/>
        <v>0</v>
      </c>
      <c r="AX830" s="100">
        <f ca="1">SUM(INDIRECT(AX$1&amp;AX$2&amp;$A830):INDIRECT(AX$1&amp;AX$3&amp;$A830))+SUM(INDIRECT(AX$1&amp;AX$2&amp;$B830):INDIRECT(AX$1&amp;AX$3&amp;$B830))</f>
        <v>0</v>
      </c>
      <c r="AY830" s="906">
        <f t="shared" ca="1" si="1624"/>
        <v>0</v>
      </c>
      <c r="AZ830" s="967">
        <f t="shared" ca="1" si="1625"/>
        <v>0</v>
      </c>
      <c r="BB830" s="19">
        <f ca="1">SUM((INDIRECT(BB$2&amp;(ROW())):INDIRECT(BB$3&amp;(ROW()))))</f>
        <v>0</v>
      </c>
      <c r="BC830" s="100">
        <f ca="1">SUM(INDIRECT(BC$1&amp;BC$2&amp;$C830):INDIRECT(BC$1&amp;BC$3&amp;$C830))</f>
        <v>0</v>
      </c>
      <c r="BD830" s="906">
        <f t="shared" ca="1" si="1626"/>
        <v>0</v>
      </c>
      <c r="BE830" s="967">
        <f t="shared" ca="1" si="1627"/>
        <v>0</v>
      </c>
      <c r="BF830" s="100">
        <f ca="1">SUM(INDIRECT(BF$1&amp;BF$2&amp;$A830):INDIRECT(BF$1&amp;BF$3&amp;$A830))+SUM(INDIRECT(BF$1&amp;BF$2&amp;$B830):INDIRECT(BF$1&amp;BF$3&amp;$B830))</f>
        <v>0</v>
      </c>
      <c r="BG830" s="906">
        <f t="shared" ca="1" si="1628"/>
        <v>0</v>
      </c>
      <c r="BH830" s="967">
        <f t="shared" ca="1" si="1629"/>
        <v>0</v>
      </c>
    </row>
    <row r="831" spans="1:60" ht="14.5">
      <c r="A831" s="990">
        <v>1</v>
      </c>
      <c r="B831" s="990">
        <v>1</v>
      </c>
      <c r="C831" s="990">
        <f t="shared" si="1541"/>
        <v>828</v>
      </c>
      <c r="E831" s="1243">
        <v>1</v>
      </c>
      <c r="G831" s="24"/>
      <c r="I831" s="96"/>
      <c r="J831" s="95"/>
      <c r="K831" s="68"/>
      <c r="L831" s="68"/>
      <c r="M831" s="2" t="s">
        <v>1163</v>
      </c>
      <c r="N831" s="276"/>
      <c r="O831" s="276"/>
      <c r="P831" s="276"/>
      <c r="Q831" s="1845" t="str">
        <f>CHOOSE(2, "6722000003750", "S/GP (5) Gross Profit Indirect ICW-P")</f>
        <v>S/GP (5) Gross Profit Indirect ICW-P</v>
      </c>
      <c r="R831" s="2037">
        <v>0</v>
      </c>
      <c r="S831" s="2041">
        <v>0</v>
      </c>
      <c r="T831" s="2037">
        <v>0</v>
      </c>
      <c r="U831" s="2037">
        <v>0</v>
      </c>
      <c r="V831" s="2037">
        <v>0</v>
      </c>
      <c r="W831" s="2037">
        <v>0</v>
      </c>
      <c r="X831" s="2037">
        <v>0</v>
      </c>
      <c r="Y831" s="2037">
        <v>0</v>
      </c>
      <c r="Z831" s="2037">
        <v>0</v>
      </c>
      <c r="AA831" s="2037">
        <v>0</v>
      </c>
      <c r="AB831" s="2037">
        <v>0</v>
      </c>
      <c r="AC831" s="2037">
        <v>0</v>
      </c>
      <c r="AD831" s="99">
        <f t="shared" si="1637"/>
        <v>0</v>
      </c>
      <c r="AE831" s="17">
        <f t="shared" si="1638"/>
        <v>0</v>
      </c>
      <c r="AF831" s="17">
        <f t="shared" si="1639"/>
        <v>0</v>
      </c>
      <c r="AG831" s="17">
        <f t="shared" si="1640"/>
        <v>0</v>
      </c>
      <c r="AH831" s="17">
        <f>AD831+AE831</f>
        <v>0</v>
      </c>
      <c r="AI831" s="17">
        <f>AG831+AF831</f>
        <v>0</v>
      </c>
      <c r="AJ831" s="99">
        <f>AH831+AI831</f>
        <v>0</v>
      </c>
      <c r="AL831" s="17">
        <f ca="1">SUM((INDIRECT(AL$2&amp;(ROW())):INDIRECT(AL$3&amp;(ROW()))))</f>
        <v>0</v>
      </c>
      <c r="AM831" s="99">
        <f ca="1">SUM(INDIRECT(AM$1&amp;AM$2&amp;$C831):INDIRECT(AM$1&amp;AM$3&amp;$C831))</f>
        <v>0</v>
      </c>
      <c r="AN831" s="905">
        <f t="shared" ca="1" si="1618"/>
        <v>0</v>
      </c>
      <c r="AO831" s="966">
        <f t="shared" ca="1" si="1619"/>
        <v>0</v>
      </c>
      <c r="AP831" s="99">
        <f ca="1">SUM(INDIRECT(AP$1&amp;AP$2&amp;$A831):INDIRECT(AP$1&amp;AP$3&amp;$A831))+SUM(INDIRECT(AP$1&amp;AP$2&amp;$B831):INDIRECT(AP$1&amp;AP$3&amp;$B831))</f>
        <v>0</v>
      </c>
      <c r="AQ831" s="905">
        <f t="shared" ca="1" si="1620"/>
        <v>0</v>
      </c>
      <c r="AR831" s="966">
        <f t="shared" ca="1" si="1621"/>
        <v>0</v>
      </c>
      <c r="AT831" s="17">
        <f ca="1">SUM((INDIRECT(AT$2&amp;(ROW())):INDIRECT(AT$3&amp;(ROW()))))</f>
        <v>0</v>
      </c>
      <c r="AU831" s="99">
        <f ca="1">SUM(INDIRECT(AU$1&amp;AU$2&amp;$C831):INDIRECT(AU$1&amp;AU$3&amp;$C831))</f>
        <v>0</v>
      </c>
      <c r="AV831" s="905">
        <f t="shared" ca="1" si="1622"/>
        <v>0</v>
      </c>
      <c r="AW831" s="966">
        <f t="shared" ca="1" si="1623"/>
        <v>0</v>
      </c>
      <c r="AX831" s="99">
        <f ca="1">SUM(INDIRECT(AX$1&amp;AX$2&amp;$A831):INDIRECT(AX$1&amp;AX$3&amp;$A831))+SUM(INDIRECT(AX$1&amp;AX$2&amp;$B831):INDIRECT(AX$1&amp;AX$3&amp;$B831))</f>
        <v>0</v>
      </c>
      <c r="AY831" s="905">
        <f t="shared" ca="1" si="1624"/>
        <v>0</v>
      </c>
      <c r="AZ831" s="966">
        <f t="shared" ca="1" si="1625"/>
        <v>0</v>
      </c>
      <c r="BB831" s="17">
        <f ca="1">SUM((INDIRECT(BB$2&amp;(ROW())):INDIRECT(BB$3&amp;(ROW()))))</f>
        <v>0</v>
      </c>
      <c r="BC831" s="99">
        <f ca="1">SUM(INDIRECT(BC$1&amp;BC$2&amp;$C831):INDIRECT(BC$1&amp;BC$3&amp;$C831))</f>
        <v>0</v>
      </c>
      <c r="BD831" s="905">
        <f t="shared" ca="1" si="1626"/>
        <v>0</v>
      </c>
      <c r="BE831" s="966">
        <f t="shared" ca="1" si="1627"/>
        <v>0</v>
      </c>
      <c r="BF831" s="99">
        <f ca="1">SUM(INDIRECT(BF$1&amp;BF$2&amp;$A831):INDIRECT(BF$1&amp;BF$3&amp;$A831))+SUM(INDIRECT(BF$1&amp;BF$2&amp;$B831):INDIRECT(BF$1&amp;BF$3&amp;$B831))</f>
        <v>0</v>
      </c>
      <c r="BG831" s="905">
        <f t="shared" ca="1" si="1628"/>
        <v>0</v>
      </c>
      <c r="BH831" s="966">
        <f t="shared" ca="1" si="1629"/>
        <v>0</v>
      </c>
    </row>
    <row r="832" spans="1:60" ht="14.5">
      <c r="A832" s="1397">
        <v>755</v>
      </c>
      <c r="B832" s="990">
        <v>1</v>
      </c>
      <c r="C832" s="990">
        <f t="shared" si="1541"/>
        <v>829</v>
      </c>
      <c r="E832" s="1243">
        <v>1</v>
      </c>
      <c r="Q832" s="1838" t="str">
        <f>CHOOSE(2, "6722000003751", "▷ Blank 23")</f>
        <v>▷ Blank 23</v>
      </c>
      <c r="R832" s="2200"/>
      <c r="AA832" s="163"/>
      <c r="AB832" s="163"/>
      <c r="AC832" s="163"/>
      <c r="AD832" s="163"/>
      <c r="AE832" s="292"/>
      <c r="AF832" s="292"/>
      <c r="AG832" s="292"/>
      <c r="AH832" s="292"/>
      <c r="AI832" s="292"/>
      <c r="AJ832" s="870"/>
      <c r="AL832" s="292"/>
      <c r="AM832" s="292"/>
      <c r="AN832" s="292"/>
      <c r="AO832" s="292"/>
      <c r="AP832" s="292"/>
      <c r="AQ832" s="292"/>
      <c r="AR832" s="292"/>
      <c r="AT832" s="292"/>
      <c r="AU832" s="292"/>
      <c r="AV832" s="292"/>
      <c r="AW832" s="292"/>
      <c r="AX832" s="292"/>
      <c r="AY832" s="292"/>
      <c r="AZ832" s="292"/>
      <c r="BB832" s="292"/>
      <c r="BC832" s="292"/>
      <c r="BD832" s="292"/>
      <c r="BE832" s="292"/>
      <c r="BF832" s="292"/>
      <c r="BG832" s="292"/>
      <c r="BH832" s="292"/>
    </row>
    <row r="833" spans="1:60" ht="14.5">
      <c r="A833" s="990">
        <f t="shared" ref="A833:A896" si="1648">A832+1</f>
        <v>756</v>
      </c>
      <c r="B833" s="990">
        <v>1</v>
      </c>
      <c r="C833" s="990">
        <f t="shared" si="1541"/>
        <v>830</v>
      </c>
      <c r="D833" s="1121" t="s">
        <v>887</v>
      </c>
      <c r="E833" s="1243">
        <v>1</v>
      </c>
      <c r="F833" s="9"/>
      <c r="G833" s="24" t="s">
        <v>953</v>
      </c>
      <c r="Q833" s="1838" t="str">
        <f>CHOOSE(2, "6722000003752", "2-4. Fixed Cost in COGS(Cost of Goods Sales) by BU")</f>
        <v>2-4. Fixed Cost in COGS(Cost of Goods Sales) by BU</v>
      </c>
      <c r="R833" s="2200"/>
    </row>
    <row r="834" spans="1:60" s="75" customFormat="1" ht="14.5">
      <c r="A834" s="990">
        <f t="shared" si="1648"/>
        <v>757</v>
      </c>
      <c r="B834" s="990">
        <v>1</v>
      </c>
      <c r="C834" s="990">
        <f t="shared" ref="C834:C897" si="1649">ROW()-3</f>
        <v>831</v>
      </c>
      <c r="D834" s="1121" t="s">
        <v>887</v>
      </c>
      <c r="E834" s="1243">
        <v>1</v>
      </c>
      <c r="F834" s="9"/>
      <c r="G834" s="9"/>
      <c r="H834" s="24"/>
      <c r="I834" s="435" t="s">
        <v>394</v>
      </c>
      <c r="J834" s="436"/>
      <c r="K834" s="437"/>
      <c r="L834" s="437"/>
      <c r="M834" s="437"/>
      <c r="N834" s="437"/>
      <c r="O834" s="437"/>
      <c r="P834" s="437"/>
      <c r="Q834" s="1848" t="str">
        <f>CHOOSE(2, "6722000003753", "FC COGS (0) Total")</f>
        <v>FC COGS (0) Total</v>
      </c>
      <c r="R834" s="2072">
        <f t="shared" ref="R834:AC834" si="1650">SUM(R835:R838)</f>
        <v>22107</v>
      </c>
      <c r="S834" s="2072">
        <f t="shared" si="1650"/>
        <v>23524</v>
      </c>
      <c r="T834" s="2072">
        <f t="shared" si="1650"/>
        <v>25123</v>
      </c>
      <c r="U834" s="2072">
        <f t="shared" si="1650"/>
        <v>26489</v>
      </c>
      <c r="V834" s="2072">
        <f t="shared" si="1650"/>
        <v>25372.680899999992</v>
      </c>
      <c r="W834" s="2072">
        <f t="shared" si="1650"/>
        <v>25583.350988523314</v>
      </c>
      <c r="X834" s="2072">
        <f t="shared" si="1650"/>
        <v>39835.748</v>
      </c>
      <c r="Y834" s="2072">
        <f t="shared" si="1650"/>
        <v>23988</v>
      </c>
      <c r="Z834" s="2072">
        <f t="shared" si="1650"/>
        <v>25204</v>
      </c>
      <c r="AA834" s="2072">
        <f t="shared" si="1650"/>
        <v>24474</v>
      </c>
      <c r="AB834" s="2072">
        <f t="shared" si="1650"/>
        <v>35395.092000000004</v>
      </c>
      <c r="AC834" s="2072">
        <f t="shared" si="1650"/>
        <v>30905</v>
      </c>
      <c r="AD834" s="1548">
        <f t="shared" ref="AD834:AJ834" si="1651">SUM(AD835:AD838)</f>
        <v>70754</v>
      </c>
      <c r="AE834" s="438">
        <f t="shared" si="1651"/>
        <v>77445.031888523299</v>
      </c>
      <c r="AF834" s="438">
        <f t="shared" si="1651"/>
        <v>89027.747999999992</v>
      </c>
      <c r="AG834" s="438">
        <f t="shared" si="1651"/>
        <v>90774.092000000004</v>
      </c>
      <c r="AH834" s="438">
        <f t="shared" si="1651"/>
        <v>148199.03188852331</v>
      </c>
      <c r="AI834" s="438">
        <f t="shared" si="1651"/>
        <v>179801.84000000003</v>
      </c>
      <c r="AJ834" s="438">
        <f t="shared" si="1651"/>
        <v>328000.87188852328</v>
      </c>
      <c r="AL834" s="2072">
        <f ca="1">SUM((INDIRECT(AL$2&amp;(ROW())):INDIRECT(AL$3&amp;(ROW()))))</f>
        <v>30905</v>
      </c>
      <c r="AM834" s="2072">
        <f ca="1">SUM(INDIRECT(AM$1&amp;AM$2&amp;$C834):INDIRECT(AM$1&amp;AM$3&amp;$C834))</f>
        <v>0</v>
      </c>
      <c r="AN834" s="2549">
        <f t="shared" ref="AN834:AN873" ca="1" si="1652">AL834-AM834</f>
        <v>30905</v>
      </c>
      <c r="AO834" s="2550">
        <f t="shared" ref="AO834:AO873" ca="1" si="1653">IFERROR(AL834/AM834,0)</f>
        <v>0</v>
      </c>
      <c r="AP834" s="2072">
        <f ca="1">SUM(INDIRECT(AP$1&amp;AP$2&amp;$A834):INDIRECT(AP$1&amp;AP$3&amp;$A834))+SUM(INDIRECT(AP$1&amp;AP$2&amp;$B834):INDIRECT(AP$1&amp;AP$3&amp;$B834))</f>
        <v>32022</v>
      </c>
      <c r="AQ834" s="2549">
        <f t="shared" ref="AQ834:AQ873" ca="1" si="1654">AL834-AP834</f>
        <v>-1117</v>
      </c>
      <c r="AR834" s="2550">
        <f t="shared" ref="AR834:AR873" ca="1" si="1655">IFERROR(AL834/AP834,0)</f>
        <v>0.96511773155955283</v>
      </c>
      <c r="AT834" s="2072">
        <f ca="1">SUM((INDIRECT(AT$2&amp;(ROW())):INDIRECT(AT$3&amp;(ROW()))))</f>
        <v>90774.092000000004</v>
      </c>
      <c r="AU834" s="2072">
        <f ca="1">SUM(INDIRECT(AU$1&amp;AU$2&amp;$C834):INDIRECT(AU$1&amp;AU$3&amp;$C834))</f>
        <v>0</v>
      </c>
      <c r="AV834" s="2549">
        <f t="shared" ref="AV834:AV873" ca="1" si="1656">AT834-AU834</f>
        <v>90774.092000000004</v>
      </c>
      <c r="AW834" s="2550">
        <f t="shared" ref="AW834:AW873" ca="1" si="1657">IFERROR(AT834/AU834,0)</f>
        <v>0</v>
      </c>
      <c r="AX834" s="2072">
        <f ca="1">SUM(INDIRECT(AX$1&amp;AX$2&amp;$A834):INDIRECT(AX$1&amp;AX$3&amp;$A834))+SUM(INDIRECT(AX$1&amp;AX$2&amp;$B834):INDIRECT(AX$1&amp;AX$3&amp;$B834))</f>
        <v>75581</v>
      </c>
      <c r="AY834" s="2549">
        <f t="shared" ref="AY834:AY873" ca="1" si="1658">AT834-AX834</f>
        <v>15193.092000000004</v>
      </c>
      <c r="AZ834" s="2550">
        <f t="shared" ref="AZ834:AZ873" ca="1" si="1659">IFERROR(AT834/AX834,0)</f>
        <v>1.2010173456291926</v>
      </c>
      <c r="BB834" s="2072">
        <f ca="1">SUM((INDIRECT(BB$2&amp;(ROW())):INDIRECT(BB$3&amp;(ROW()))))</f>
        <v>328000.87188852334</v>
      </c>
      <c r="BC834" s="2072">
        <f ca="1">SUM(INDIRECT(BC$1&amp;BC$2&amp;$C834):INDIRECT(BC$1&amp;BC$3&amp;$C834))</f>
        <v>0</v>
      </c>
      <c r="BD834" s="2549">
        <f t="shared" ref="BD834:BD873" ca="1" si="1660">BB834-BC834</f>
        <v>328000.87188852334</v>
      </c>
      <c r="BE834" s="2550">
        <f t="shared" ref="BE834:BE873" ca="1" si="1661">IFERROR(BB834/BC834,0)</f>
        <v>0</v>
      </c>
      <c r="BF834" s="2072">
        <f ca="1">SUM(INDIRECT(BF$1&amp;BF$2&amp;$A834):INDIRECT(BF$1&amp;BF$3&amp;$A834))+SUM(INDIRECT(BF$1&amp;BF$2&amp;$B834):INDIRECT(BF$1&amp;BF$3&amp;$B834))</f>
        <v>261633</v>
      </c>
      <c r="BG834" s="2549">
        <f t="shared" ref="BG834:BG873" ca="1" si="1662">BB834-BF834</f>
        <v>66367.871888523339</v>
      </c>
      <c r="BH834" s="2550">
        <f t="shared" ref="BH834:BH873" ca="1" si="1663">IFERROR(BB834/BF834,0)</f>
        <v>1.2536678167070796</v>
      </c>
    </row>
    <row r="835" spans="1:60" ht="14.5">
      <c r="A835" s="990">
        <f t="shared" si="1648"/>
        <v>758</v>
      </c>
      <c r="B835" s="990">
        <v>1</v>
      </c>
      <c r="C835" s="990">
        <f t="shared" si="1649"/>
        <v>832</v>
      </c>
      <c r="D835" s="1121" t="s">
        <v>887</v>
      </c>
      <c r="E835" s="1243">
        <v>1</v>
      </c>
      <c r="F835" s="9"/>
      <c r="G835" s="9"/>
      <c r="I835" s="212"/>
      <c r="J835" s="9" t="s">
        <v>388</v>
      </c>
      <c r="K835" s="9"/>
      <c r="L835" s="9"/>
      <c r="Q835" s="1843" t="str">
        <f>CHOOSE(2, "6722000003754", "FC COGS (0) Total Included in COGS [PC(Service)]")</f>
        <v>FC COGS (0) Total Included in COGS [PC(Service)]</v>
      </c>
      <c r="R835" s="19">
        <f>SUM(R840,R870,R855,R860,R865)</f>
        <v>16742</v>
      </c>
      <c r="S835" s="19">
        <f t="shared" ref="S835:AC838" si="1664">SUM(S840,S870,S855,S860,S865)</f>
        <v>17045</v>
      </c>
      <c r="T835" s="19">
        <f t="shared" si="1664"/>
        <v>17009</v>
      </c>
      <c r="U835" s="19">
        <f t="shared" si="1664"/>
        <v>18805</v>
      </c>
      <c r="V835" s="19">
        <f t="shared" si="1664"/>
        <v>17345.275249999995</v>
      </c>
      <c r="W835" s="19">
        <f t="shared" si="1664"/>
        <v>16553.602988523315</v>
      </c>
      <c r="X835" s="19">
        <f t="shared" si="1664"/>
        <v>28963</v>
      </c>
      <c r="Y835" s="19">
        <f t="shared" si="1664"/>
        <v>16336</v>
      </c>
      <c r="Z835" s="19">
        <f t="shared" si="1664"/>
        <v>16638</v>
      </c>
      <c r="AA835" s="19">
        <f t="shared" si="1664"/>
        <v>16254</v>
      </c>
      <c r="AB835" s="19">
        <f t="shared" si="1664"/>
        <v>25775</v>
      </c>
      <c r="AC835" s="19">
        <f t="shared" si="1664"/>
        <v>13377</v>
      </c>
      <c r="AD835" s="144">
        <f>SUM(R835,S835,T835)</f>
        <v>50796</v>
      </c>
      <c r="AE835" s="145">
        <f t="shared" ref="AE835:AE838" si="1665">SUM(U835,V835,W835)</f>
        <v>52703.878238523306</v>
      </c>
      <c r="AF835" s="145">
        <f t="shared" ref="AF835:AF838" si="1666">SUM(X835,Y835,Z835)</f>
        <v>61937</v>
      </c>
      <c r="AG835" s="145">
        <f t="shared" ref="AG835:AG838" si="1667">SUM(AA835,AB835,AC835)</f>
        <v>55406</v>
      </c>
      <c r="AH835" s="145">
        <f t="shared" ref="AH835:AH838" si="1668">AD835+AE835</f>
        <v>103499.87823852331</v>
      </c>
      <c r="AI835" s="145">
        <f t="shared" ref="AI835:AI838" si="1669">AG835+AF835</f>
        <v>117343</v>
      </c>
      <c r="AJ835" s="145">
        <f t="shared" ref="AJ835:AJ838" si="1670">AH835+AI835</f>
        <v>220842.87823852332</v>
      </c>
      <c r="AL835" s="145">
        <f ca="1">SUM((INDIRECT(AL$2&amp;(ROW())):INDIRECT(AL$3&amp;(ROW()))))</f>
        <v>13377</v>
      </c>
      <c r="AM835" s="145">
        <f ca="1">SUM(INDIRECT(AM$1&amp;AM$2&amp;$C835):INDIRECT(AM$1&amp;AM$3&amp;$C835))</f>
        <v>0</v>
      </c>
      <c r="AN835" s="912">
        <f t="shared" ca="1" si="1652"/>
        <v>13377</v>
      </c>
      <c r="AO835" s="973">
        <f t="shared" ca="1" si="1653"/>
        <v>0</v>
      </c>
      <c r="AP835" s="145">
        <f ca="1">SUM(INDIRECT(AP$1&amp;AP$2&amp;$A835):INDIRECT(AP$1&amp;AP$3&amp;$A835))+SUM(INDIRECT(AP$1&amp;AP$2&amp;$B835):INDIRECT(AP$1&amp;AP$3&amp;$B835))</f>
        <v>14704</v>
      </c>
      <c r="AQ835" s="912">
        <f t="shared" ca="1" si="1654"/>
        <v>-1327</v>
      </c>
      <c r="AR835" s="973">
        <f t="shared" ca="1" si="1655"/>
        <v>0.90975244831338409</v>
      </c>
      <c r="AT835" s="145">
        <f ca="1">SUM((INDIRECT(AT$2&amp;(ROW())):INDIRECT(AT$3&amp;(ROW()))))</f>
        <v>55406</v>
      </c>
      <c r="AU835" s="145">
        <f ca="1">SUM(INDIRECT(AU$1&amp;AU$2&amp;$C835):INDIRECT(AU$1&amp;AU$3&amp;$C835))</f>
        <v>0</v>
      </c>
      <c r="AV835" s="912">
        <f t="shared" ca="1" si="1656"/>
        <v>55406</v>
      </c>
      <c r="AW835" s="973">
        <f t="shared" ca="1" si="1657"/>
        <v>0</v>
      </c>
      <c r="AX835" s="145">
        <f ca="1">SUM(INDIRECT(AX$1&amp;AX$2&amp;$A835):INDIRECT(AX$1&amp;AX$3&amp;$A835))+SUM(INDIRECT(AX$1&amp;AX$2&amp;$B835):INDIRECT(AX$1&amp;AX$3&amp;$B835))</f>
        <v>43800</v>
      </c>
      <c r="AY835" s="912">
        <f t="shared" ca="1" si="1658"/>
        <v>11606</v>
      </c>
      <c r="AZ835" s="973">
        <f t="shared" ca="1" si="1659"/>
        <v>1.2649771689497717</v>
      </c>
      <c r="BB835" s="145">
        <f ca="1">SUM((INDIRECT(BB$2&amp;(ROW())):INDIRECT(BB$3&amp;(ROW()))))</f>
        <v>220842.87823852332</v>
      </c>
      <c r="BC835" s="145">
        <f ca="1">SUM(INDIRECT(BC$1&amp;BC$2&amp;$C835):INDIRECT(BC$1&amp;BC$3&amp;$C835))</f>
        <v>0</v>
      </c>
      <c r="BD835" s="912">
        <f t="shared" ca="1" si="1660"/>
        <v>220842.87823852332</v>
      </c>
      <c r="BE835" s="973">
        <f t="shared" ca="1" si="1661"/>
        <v>0</v>
      </c>
      <c r="BF835" s="145">
        <f ca="1">SUM(INDIRECT(BF$1&amp;BF$2&amp;$A835):INDIRECT(BF$1&amp;BF$3&amp;$A835))+SUM(INDIRECT(BF$1&amp;BF$2&amp;$B835):INDIRECT(BF$1&amp;BF$3&amp;$B835))</f>
        <v>180807</v>
      </c>
      <c r="BG835" s="912">
        <f t="shared" ca="1" si="1662"/>
        <v>40035.878238523321</v>
      </c>
      <c r="BH835" s="973">
        <f t="shared" ca="1" si="1663"/>
        <v>1.2214288066198948</v>
      </c>
    </row>
    <row r="836" spans="1:60" ht="14.5">
      <c r="A836" s="990">
        <f t="shared" si="1648"/>
        <v>759</v>
      </c>
      <c r="B836" s="990">
        <v>1</v>
      </c>
      <c r="C836" s="990">
        <f t="shared" si="1649"/>
        <v>833</v>
      </c>
      <c r="D836" s="1121" t="s">
        <v>887</v>
      </c>
      <c r="E836" s="1243">
        <v>1</v>
      </c>
      <c r="F836" s="9"/>
      <c r="G836" s="9"/>
      <c r="I836" s="212"/>
      <c r="J836" s="9" t="s">
        <v>389</v>
      </c>
      <c r="K836" s="9"/>
      <c r="L836" s="9"/>
      <c r="Q836" s="1843" t="str">
        <f>CHOOSE(2, "6722000003755", "FC COGS (0) Total Included in COGS [TE(Service)]")</f>
        <v>FC COGS (0) Total Included in COGS [TE(Service)]</v>
      </c>
      <c r="R836" s="19">
        <f t="shared" ref="R836:R838" si="1671">SUM(R841,R871,R856,R861,R866)</f>
        <v>0</v>
      </c>
      <c r="S836" s="19">
        <f t="shared" si="1664"/>
        <v>1314</v>
      </c>
      <c r="T836" s="19">
        <f t="shared" si="1664"/>
        <v>2855</v>
      </c>
      <c r="U836" s="19">
        <f t="shared" si="1664"/>
        <v>2723</v>
      </c>
      <c r="V836" s="19">
        <f t="shared" si="1664"/>
        <v>2940.087</v>
      </c>
      <c r="W836" s="19">
        <f t="shared" si="1664"/>
        <v>4043</v>
      </c>
      <c r="X836" s="19">
        <f t="shared" si="1664"/>
        <v>5455</v>
      </c>
      <c r="Y836" s="19">
        <f t="shared" si="1664"/>
        <v>2539</v>
      </c>
      <c r="Z836" s="19">
        <f t="shared" si="1664"/>
        <v>3168</v>
      </c>
      <c r="AA836" s="19">
        <f t="shared" si="1664"/>
        <v>2676</v>
      </c>
      <c r="AB836" s="19">
        <f t="shared" si="1664"/>
        <v>3981.3440000000001</v>
      </c>
      <c r="AC836" s="19">
        <f t="shared" si="1664"/>
        <v>11142</v>
      </c>
      <c r="AD836" s="144">
        <f>SUM(R836,S836,T836)</f>
        <v>4169</v>
      </c>
      <c r="AE836" s="145">
        <f>SUM(U836,V836,W836)</f>
        <v>9706.0869999999995</v>
      </c>
      <c r="AF836" s="145">
        <f>SUM(X836,Y836,Z836)</f>
        <v>11162</v>
      </c>
      <c r="AG836" s="145">
        <f>SUM(AA836,AB836,AC836)</f>
        <v>17799.344000000001</v>
      </c>
      <c r="AH836" s="145">
        <f>AD836+AE836</f>
        <v>13875.087</v>
      </c>
      <c r="AI836" s="145">
        <f t="shared" si="1669"/>
        <v>28961.344000000001</v>
      </c>
      <c r="AJ836" s="145">
        <f t="shared" si="1670"/>
        <v>42836.430999999997</v>
      </c>
      <c r="AL836" s="145">
        <f ca="1">SUM((INDIRECT(AL$2&amp;(ROW())):INDIRECT(AL$3&amp;(ROW()))))</f>
        <v>11142</v>
      </c>
      <c r="AM836" s="145">
        <f ca="1">SUM(INDIRECT(AM$1&amp;AM$2&amp;$C836):INDIRECT(AM$1&amp;AM$3&amp;$C836))</f>
        <v>0</v>
      </c>
      <c r="AN836" s="912">
        <f t="shared" ca="1" si="1652"/>
        <v>11142</v>
      </c>
      <c r="AO836" s="973">
        <f t="shared" ca="1" si="1653"/>
        <v>0</v>
      </c>
      <c r="AP836" s="145">
        <f ca="1">SUM(INDIRECT(AP$1&amp;AP$2&amp;$A836):INDIRECT(AP$1&amp;AP$3&amp;$A836))+SUM(INDIRECT(AP$1&amp;AP$2&amp;$B836):INDIRECT(AP$1&amp;AP$3&amp;$B836))</f>
        <v>9799</v>
      </c>
      <c r="AQ836" s="912">
        <f t="shared" ca="1" si="1654"/>
        <v>1343</v>
      </c>
      <c r="AR836" s="973">
        <f t="shared" ca="1" si="1655"/>
        <v>1.1370548015103581</v>
      </c>
      <c r="AT836" s="145">
        <f ca="1">SUM((INDIRECT(AT$2&amp;(ROW())):INDIRECT(AT$3&amp;(ROW()))))</f>
        <v>17799.344000000001</v>
      </c>
      <c r="AU836" s="145">
        <f ca="1">SUM(INDIRECT(AU$1&amp;AU$2&amp;$C836):INDIRECT(AU$1&amp;AU$3&amp;$C836))</f>
        <v>0</v>
      </c>
      <c r="AV836" s="912">
        <f t="shared" ca="1" si="1656"/>
        <v>17799.344000000001</v>
      </c>
      <c r="AW836" s="973">
        <f t="shared" ca="1" si="1657"/>
        <v>0</v>
      </c>
      <c r="AX836" s="145">
        <f ca="1">SUM(INDIRECT(AX$1&amp;AX$2&amp;$A836):INDIRECT(AX$1&amp;AX$3&amp;$A836))+SUM(INDIRECT(AX$1&amp;AX$2&amp;$B836):INDIRECT(AX$1&amp;AX$3&amp;$B836))</f>
        <v>15632</v>
      </c>
      <c r="AY836" s="912">
        <f t="shared" ca="1" si="1658"/>
        <v>2167.344000000001</v>
      </c>
      <c r="AZ836" s="973">
        <f t="shared" ca="1" si="1659"/>
        <v>1.1386479017400206</v>
      </c>
      <c r="BB836" s="145">
        <f ca="1">SUM((INDIRECT(BB$2&amp;(ROW())):INDIRECT(BB$3&amp;(ROW()))))</f>
        <v>42836.430999999997</v>
      </c>
      <c r="BC836" s="145">
        <f ca="1">SUM(INDIRECT(BC$1&amp;BC$2&amp;$C836):INDIRECT(BC$1&amp;BC$3&amp;$C836))</f>
        <v>0</v>
      </c>
      <c r="BD836" s="912">
        <f t="shared" ca="1" si="1660"/>
        <v>42836.430999999997</v>
      </c>
      <c r="BE836" s="973">
        <f t="shared" ca="1" si="1661"/>
        <v>0</v>
      </c>
      <c r="BF836" s="145">
        <f ca="1">SUM(INDIRECT(BF$1&amp;BF$2&amp;$A836):INDIRECT(BF$1&amp;BF$3&amp;$A836))+SUM(INDIRECT(BF$1&amp;BF$2&amp;$B836):INDIRECT(BF$1&amp;BF$3&amp;$B836))</f>
        <v>29906</v>
      </c>
      <c r="BG836" s="912">
        <f t="shared" ca="1" si="1662"/>
        <v>12930.430999999997</v>
      </c>
      <c r="BH836" s="973">
        <f t="shared" ca="1" si="1663"/>
        <v>1.4323691232528588</v>
      </c>
    </row>
    <row r="837" spans="1:60" ht="14.5">
      <c r="A837" s="990">
        <f t="shared" si="1648"/>
        <v>760</v>
      </c>
      <c r="B837" s="990">
        <v>1</v>
      </c>
      <c r="C837" s="990">
        <f t="shared" si="1649"/>
        <v>834</v>
      </c>
      <c r="D837" s="1121" t="s">
        <v>887</v>
      </c>
      <c r="E837" s="1243">
        <v>1</v>
      </c>
      <c r="F837" s="9"/>
      <c r="G837" s="9"/>
      <c r="I837" s="195"/>
      <c r="J837" s="9" t="s">
        <v>390</v>
      </c>
      <c r="Q837" s="1848" t="str">
        <f>CHOOSE(2, "6722000003756", "FC COGS (0) Total Included in COGS [OFC(Service)]")</f>
        <v>FC COGS (0) Total Included in COGS [OFC(Service)]</v>
      </c>
      <c r="R837" s="107">
        <f t="shared" si="1671"/>
        <v>5365</v>
      </c>
      <c r="S837" s="107">
        <f t="shared" si="1664"/>
        <v>5165</v>
      </c>
      <c r="T837" s="107">
        <f t="shared" si="1664"/>
        <v>5259</v>
      </c>
      <c r="U837" s="107">
        <f t="shared" si="1664"/>
        <v>4961</v>
      </c>
      <c r="V837" s="107">
        <f t="shared" si="1664"/>
        <v>5087.3186499999993</v>
      </c>
      <c r="W837" s="107">
        <f t="shared" si="1664"/>
        <v>4986.7479999999996</v>
      </c>
      <c r="X837" s="107">
        <f t="shared" si="1664"/>
        <v>5417.7479999999996</v>
      </c>
      <c r="Y837" s="107">
        <f t="shared" si="1664"/>
        <v>5113</v>
      </c>
      <c r="Z837" s="107">
        <f t="shared" si="1664"/>
        <v>5398</v>
      </c>
      <c r="AA837" s="107">
        <f t="shared" si="1664"/>
        <v>5544</v>
      </c>
      <c r="AB837" s="107">
        <f t="shared" si="1664"/>
        <v>5638.7479999999996</v>
      </c>
      <c r="AC837" s="107">
        <f t="shared" si="1664"/>
        <v>6386</v>
      </c>
      <c r="AD837" s="144">
        <f>SUM(R837,S837,T837)</f>
        <v>15789</v>
      </c>
      <c r="AE837" s="145">
        <f t="shared" si="1665"/>
        <v>15035.066649999999</v>
      </c>
      <c r="AF837" s="145">
        <f t="shared" si="1666"/>
        <v>15928.748</v>
      </c>
      <c r="AG837" s="145">
        <f t="shared" si="1667"/>
        <v>17568.748</v>
      </c>
      <c r="AH837" s="145">
        <f t="shared" si="1668"/>
        <v>30824.066650000001</v>
      </c>
      <c r="AI837" s="145">
        <f>AG837+AF837</f>
        <v>33497.495999999999</v>
      </c>
      <c r="AJ837" s="145">
        <f t="shared" si="1670"/>
        <v>64321.56265</v>
      </c>
      <c r="AL837" s="145">
        <f ca="1">SUM((INDIRECT(AL$2&amp;(ROW())):INDIRECT(AL$3&amp;(ROW()))))</f>
        <v>6386</v>
      </c>
      <c r="AM837" s="145">
        <f ca="1">SUM(INDIRECT(AM$1&amp;AM$2&amp;$C837):INDIRECT(AM$1&amp;AM$3&amp;$C837))</f>
        <v>0</v>
      </c>
      <c r="AN837" s="912">
        <f t="shared" ca="1" si="1652"/>
        <v>6386</v>
      </c>
      <c r="AO837" s="973">
        <f t="shared" ca="1" si="1653"/>
        <v>0</v>
      </c>
      <c r="AP837" s="145">
        <f ca="1">SUM(INDIRECT(AP$1&amp;AP$2&amp;$A837):INDIRECT(AP$1&amp;AP$3&amp;$A837))+SUM(INDIRECT(AP$1&amp;AP$2&amp;$B837):INDIRECT(AP$1&amp;AP$3&amp;$B837))</f>
        <v>7519</v>
      </c>
      <c r="AQ837" s="912">
        <f t="shared" ca="1" si="1654"/>
        <v>-1133</v>
      </c>
      <c r="AR837" s="973">
        <f t="shared" ca="1" si="1655"/>
        <v>0.84931506849315064</v>
      </c>
      <c r="AT837" s="145">
        <f ca="1">SUM((INDIRECT(AT$2&amp;(ROW())):INDIRECT(AT$3&amp;(ROW()))))</f>
        <v>17568.748</v>
      </c>
      <c r="AU837" s="145">
        <f ca="1">SUM(INDIRECT(AU$1&amp;AU$2&amp;$C837):INDIRECT(AU$1&amp;AU$3&amp;$C837))</f>
        <v>0</v>
      </c>
      <c r="AV837" s="912">
        <f t="shared" ca="1" si="1656"/>
        <v>17568.748</v>
      </c>
      <c r="AW837" s="973">
        <f t="shared" ca="1" si="1657"/>
        <v>0</v>
      </c>
      <c r="AX837" s="145">
        <f ca="1">SUM(INDIRECT(AX$1&amp;AX$2&amp;$A837):INDIRECT(AX$1&amp;AX$3&amp;$A837))+SUM(INDIRECT(AX$1&amp;AX$2&amp;$B837):INDIRECT(AX$1&amp;AX$3&amp;$B837))</f>
        <v>16149</v>
      </c>
      <c r="AY837" s="912">
        <f t="shared" ca="1" si="1658"/>
        <v>1419.7479999999996</v>
      </c>
      <c r="AZ837" s="973">
        <f t="shared" ca="1" si="1659"/>
        <v>1.0879155365657316</v>
      </c>
      <c r="BB837" s="145">
        <f ca="1">SUM((INDIRECT(BB$2&amp;(ROW())):INDIRECT(BB$3&amp;(ROW()))))</f>
        <v>64321.56265</v>
      </c>
      <c r="BC837" s="145">
        <f ca="1">SUM(INDIRECT(BC$1&amp;BC$2&amp;$C837):INDIRECT(BC$1&amp;BC$3&amp;$C837))</f>
        <v>0</v>
      </c>
      <c r="BD837" s="912">
        <f t="shared" ca="1" si="1660"/>
        <v>64321.56265</v>
      </c>
      <c r="BE837" s="973">
        <f t="shared" ca="1" si="1661"/>
        <v>0</v>
      </c>
      <c r="BF837" s="145">
        <f ca="1">SUM(INDIRECT(BF$1&amp;BF$2&amp;$A837):INDIRECT(BF$1&amp;BF$3&amp;$A837))+SUM(INDIRECT(BF$1&amp;BF$2&amp;$B837):INDIRECT(BF$1&amp;BF$3&amp;$B837))</f>
        <v>50920</v>
      </c>
      <c r="BG837" s="912">
        <f t="shared" ca="1" si="1662"/>
        <v>13401.56265</v>
      </c>
      <c r="BH837" s="973">
        <f t="shared" ca="1" si="1663"/>
        <v>1.2631885830714846</v>
      </c>
    </row>
    <row r="838" spans="1:60" ht="14.5">
      <c r="A838" s="990">
        <f t="shared" si="1648"/>
        <v>761</v>
      </c>
      <c r="B838" s="990">
        <v>1</v>
      </c>
      <c r="C838" s="990">
        <f t="shared" si="1649"/>
        <v>835</v>
      </c>
      <c r="D838" s="1121" t="s">
        <v>887</v>
      </c>
      <c r="E838" s="1243">
        <v>1</v>
      </c>
      <c r="F838" s="9"/>
      <c r="G838" s="9"/>
      <c r="I838" s="194"/>
      <c r="J838" s="12" t="s">
        <v>557</v>
      </c>
      <c r="K838" s="18"/>
      <c r="L838" s="18"/>
      <c r="M838" s="12"/>
      <c r="N838" s="12"/>
      <c r="O838" s="12"/>
      <c r="P838" s="12"/>
      <c r="Q838" s="1848" t="str">
        <f>CHOOSE(2, "6722000003757", "FC COGS (0) Total Included in COGS [D&amp;A]")</f>
        <v>FC COGS (0) Total Included in COGS [D&amp;A]</v>
      </c>
      <c r="R838" s="113">
        <f t="shared" si="1671"/>
        <v>0</v>
      </c>
      <c r="S838" s="113">
        <f t="shared" si="1664"/>
        <v>0</v>
      </c>
      <c r="T838" s="113">
        <f t="shared" si="1664"/>
        <v>0</v>
      </c>
      <c r="U838" s="113">
        <f t="shared" si="1664"/>
        <v>0</v>
      </c>
      <c r="V838" s="113">
        <f t="shared" si="1664"/>
        <v>0</v>
      </c>
      <c r="W838" s="113">
        <f t="shared" si="1664"/>
        <v>0</v>
      </c>
      <c r="X838" s="113">
        <f t="shared" si="1664"/>
        <v>0</v>
      </c>
      <c r="Y838" s="113">
        <f t="shared" si="1664"/>
        <v>0</v>
      </c>
      <c r="Z838" s="113">
        <f t="shared" si="1664"/>
        <v>0</v>
      </c>
      <c r="AA838" s="113">
        <f t="shared" si="1664"/>
        <v>0</v>
      </c>
      <c r="AB838" s="113">
        <f t="shared" si="1664"/>
        <v>0</v>
      </c>
      <c r="AC838" s="113">
        <f t="shared" si="1664"/>
        <v>0</v>
      </c>
      <c r="AD838" s="141">
        <f>SUM(R838,S838,T838)</f>
        <v>0</v>
      </c>
      <c r="AE838" s="142">
        <f t="shared" si="1665"/>
        <v>0</v>
      </c>
      <c r="AF838" s="142">
        <f t="shared" si="1666"/>
        <v>0</v>
      </c>
      <c r="AG838" s="142">
        <f t="shared" si="1667"/>
        <v>0</v>
      </c>
      <c r="AH838" s="142">
        <f t="shared" si="1668"/>
        <v>0</v>
      </c>
      <c r="AI838" s="142">
        <f t="shared" si="1669"/>
        <v>0</v>
      </c>
      <c r="AJ838" s="142">
        <f t="shared" si="1670"/>
        <v>0</v>
      </c>
      <c r="AL838" s="142">
        <f ca="1">SUM((INDIRECT(AL$2&amp;(ROW())):INDIRECT(AL$3&amp;(ROW()))))</f>
        <v>0</v>
      </c>
      <c r="AM838" s="142">
        <f ca="1">SUM(INDIRECT(AM$1&amp;AM$2&amp;$C838):INDIRECT(AM$1&amp;AM$3&amp;$C838))</f>
        <v>0</v>
      </c>
      <c r="AN838" s="877">
        <f t="shared" ca="1" si="1652"/>
        <v>0</v>
      </c>
      <c r="AO838" s="928">
        <f t="shared" ca="1" si="1653"/>
        <v>0</v>
      </c>
      <c r="AP838" s="142">
        <f ca="1">SUM(INDIRECT(AP$1&amp;AP$2&amp;$A838):INDIRECT(AP$1&amp;AP$3&amp;$A838))+SUM(INDIRECT(AP$1&amp;AP$2&amp;$B838):INDIRECT(AP$1&amp;AP$3&amp;$B838))</f>
        <v>0</v>
      </c>
      <c r="AQ838" s="877">
        <f t="shared" ca="1" si="1654"/>
        <v>0</v>
      </c>
      <c r="AR838" s="928">
        <f t="shared" ca="1" si="1655"/>
        <v>0</v>
      </c>
      <c r="AT838" s="142">
        <f ca="1">SUM((INDIRECT(AT$2&amp;(ROW())):INDIRECT(AT$3&amp;(ROW()))))</f>
        <v>0</v>
      </c>
      <c r="AU838" s="142">
        <f ca="1">SUM(INDIRECT(AU$1&amp;AU$2&amp;$C838):INDIRECT(AU$1&amp;AU$3&amp;$C838))</f>
        <v>0</v>
      </c>
      <c r="AV838" s="877">
        <f t="shared" ca="1" si="1656"/>
        <v>0</v>
      </c>
      <c r="AW838" s="928">
        <f t="shared" ca="1" si="1657"/>
        <v>0</v>
      </c>
      <c r="AX838" s="142">
        <f ca="1">SUM(INDIRECT(AX$1&amp;AX$2&amp;$A838):INDIRECT(AX$1&amp;AX$3&amp;$A838))+SUM(INDIRECT(AX$1&amp;AX$2&amp;$B838):INDIRECT(AX$1&amp;AX$3&amp;$B838))</f>
        <v>0</v>
      </c>
      <c r="AY838" s="877">
        <f t="shared" ca="1" si="1658"/>
        <v>0</v>
      </c>
      <c r="AZ838" s="928">
        <f t="shared" ca="1" si="1659"/>
        <v>0</v>
      </c>
      <c r="BB838" s="142">
        <f ca="1">SUM((INDIRECT(BB$2&amp;(ROW())):INDIRECT(BB$3&amp;(ROW()))))</f>
        <v>0</v>
      </c>
      <c r="BC838" s="142">
        <f ca="1">SUM(INDIRECT(BC$1&amp;BC$2&amp;$C838):INDIRECT(BC$1&amp;BC$3&amp;$C838))</f>
        <v>0</v>
      </c>
      <c r="BD838" s="877">
        <f t="shared" ca="1" si="1660"/>
        <v>0</v>
      </c>
      <c r="BE838" s="928">
        <f t="shared" ca="1" si="1661"/>
        <v>0</v>
      </c>
      <c r="BF838" s="142">
        <f ca="1">SUM(INDIRECT(BF$1&amp;BF$2&amp;$A838):INDIRECT(BF$1&amp;BF$3&amp;$A838))+SUM(INDIRECT(BF$1&amp;BF$2&amp;$B838):INDIRECT(BF$1&amp;BF$3&amp;$B838))</f>
        <v>0</v>
      </c>
      <c r="BG838" s="877">
        <f t="shared" ca="1" si="1662"/>
        <v>0</v>
      </c>
      <c r="BH838" s="928">
        <f t="shared" ca="1" si="1663"/>
        <v>0</v>
      </c>
    </row>
    <row r="839" spans="1:60" s="75" customFormat="1" ht="14.5">
      <c r="A839" s="990">
        <f>A844</f>
        <v>762</v>
      </c>
      <c r="B839" s="990">
        <v>1</v>
      </c>
      <c r="C839" s="990">
        <f t="shared" si="1649"/>
        <v>836</v>
      </c>
      <c r="D839" s="1121" t="s">
        <v>887</v>
      </c>
      <c r="E839" s="1662" t="s">
        <v>460</v>
      </c>
      <c r="F839" s="1690"/>
      <c r="G839" s="9"/>
      <c r="H839" s="24"/>
      <c r="I839" s="1703" t="s">
        <v>1389</v>
      </c>
      <c r="J839" s="1704"/>
      <c r="K839" s="1705"/>
      <c r="L839" s="1705"/>
      <c r="M839" s="1705"/>
      <c r="N839" s="1705"/>
      <c r="O839" s="1705"/>
      <c r="P839" s="1706"/>
      <c r="Q839" s="1881" t="str">
        <f>CHOOSE(2, "6722000003758", "FC COGS (1) Office TTL")</f>
        <v>FC COGS (1) Office TTL</v>
      </c>
      <c r="R839" s="2310">
        <f t="shared" ref="R839:AC839" si="1672">SUM(R840:R843)</f>
        <v>7547</v>
      </c>
      <c r="S839" s="2310">
        <f t="shared" si="1672"/>
        <v>7821</v>
      </c>
      <c r="T839" s="2310">
        <f t="shared" si="1672"/>
        <v>7933</v>
      </c>
      <c r="U839" s="2310">
        <f t="shared" si="1672"/>
        <v>7742</v>
      </c>
      <c r="V839" s="2310">
        <f t="shared" si="1672"/>
        <v>7506.5874735241305</v>
      </c>
      <c r="W839" s="2310">
        <f t="shared" si="1672"/>
        <v>7541</v>
      </c>
      <c r="X839" s="2310">
        <f t="shared" si="1672"/>
        <v>11688</v>
      </c>
      <c r="Y839" s="2310">
        <f t="shared" si="1672"/>
        <v>7345</v>
      </c>
      <c r="Z839" s="2310">
        <f t="shared" si="1672"/>
        <v>7725</v>
      </c>
      <c r="AA839" s="2310">
        <f t="shared" si="1672"/>
        <v>7908</v>
      </c>
      <c r="AB839" s="2310">
        <f t="shared" si="1672"/>
        <v>8142</v>
      </c>
      <c r="AC839" s="2310">
        <f t="shared" si="1672"/>
        <v>8840</v>
      </c>
      <c r="AD839" s="1708">
        <f t="shared" ref="AD839:AJ839" si="1673">SUM(AD840:AD843)</f>
        <v>23301</v>
      </c>
      <c r="AE839" s="1707">
        <f t="shared" si="1673"/>
        <v>22789.58747352413</v>
      </c>
      <c r="AF839" s="1707">
        <f t="shared" si="1673"/>
        <v>26758</v>
      </c>
      <c r="AG839" s="1707">
        <f t="shared" si="1673"/>
        <v>24890</v>
      </c>
      <c r="AH839" s="1707">
        <f t="shared" si="1673"/>
        <v>46090.58747352413</v>
      </c>
      <c r="AI839" s="1707">
        <f t="shared" si="1673"/>
        <v>51648</v>
      </c>
      <c r="AJ839" s="1707">
        <f t="shared" si="1673"/>
        <v>97738.587473524123</v>
      </c>
      <c r="AL839" s="2551">
        <f ca="1">SUM((INDIRECT(AL$2&amp;(ROW())):INDIRECT(AL$3&amp;(ROW()))))</f>
        <v>8840</v>
      </c>
      <c r="AM839" s="2551">
        <f ca="1">SUM(INDIRECT(AM$1&amp;AM$2&amp;$C839):INDIRECT(AM$1&amp;AM$3&amp;$C839))</f>
        <v>0</v>
      </c>
      <c r="AN839" s="2552">
        <f t="shared" ca="1" si="1652"/>
        <v>8840</v>
      </c>
      <c r="AO839" s="2553">
        <f t="shared" ca="1" si="1653"/>
        <v>0</v>
      </c>
      <c r="AP839" s="2551">
        <f ca="1">SUM(INDIRECT(AP$1&amp;AP$2&amp;$A839):INDIRECT(AP$1&amp;AP$3&amp;$A839))+SUM(INDIRECT(AP$1&amp;AP$2&amp;$B839):INDIRECT(AP$1&amp;AP$3&amp;$B839))</f>
        <v>10725</v>
      </c>
      <c r="AQ839" s="2552">
        <f t="shared" ca="1" si="1654"/>
        <v>-1885</v>
      </c>
      <c r="AR839" s="2553">
        <f t="shared" ca="1" si="1655"/>
        <v>0.82424242424242422</v>
      </c>
      <c r="AT839" s="2551">
        <f ca="1">SUM((INDIRECT(AT$2&amp;(ROW())):INDIRECT(AT$3&amp;(ROW()))))</f>
        <v>24890</v>
      </c>
      <c r="AU839" s="2551">
        <f ca="1">SUM(INDIRECT(AU$1&amp;AU$2&amp;$C839):INDIRECT(AU$1&amp;AU$3&amp;$C839))</f>
        <v>0</v>
      </c>
      <c r="AV839" s="2552">
        <f t="shared" ca="1" si="1656"/>
        <v>24890</v>
      </c>
      <c r="AW839" s="2553">
        <f t="shared" ca="1" si="1657"/>
        <v>0</v>
      </c>
      <c r="AX839" s="2551">
        <f ca="1">SUM(INDIRECT(AX$1&amp;AX$2&amp;$A839):INDIRECT(AX$1&amp;AX$3&amp;$A839))+SUM(INDIRECT(AX$1&amp;AX$2&amp;$B839):INDIRECT(AX$1&amp;AX$3&amp;$B839))</f>
        <v>24366</v>
      </c>
      <c r="AY839" s="2552">
        <f t="shared" ca="1" si="1658"/>
        <v>524</v>
      </c>
      <c r="AZ839" s="2553">
        <f t="shared" ca="1" si="1659"/>
        <v>1.021505376344086</v>
      </c>
      <c r="BB839" s="2551">
        <f ca="1">SUM((INDIRECT(BB$2&amp;(ROW())):INDIRECT(BB$3&amp;(ROW()))))</f>
        <v>97738.587473524123</v>
      </c>
      <c r="BC839" s="2551">
        <f ca="1">SUM(INDIRECT(BC$1&amp;BC$2&amp;$C839):INDIRECT(BC$1&amp;BC$3&amp;$C839))</f>
        <v>0</v>
      </c>
      <c r="BD839" s="2552">
        <f t="shared" ca="1" si="1660"/>
        <v>97738.587473524123</v>
      </c>
      <c r="BE839" s="2553">
        <f t="shared" ca="1" si="1661"/>
        <v>0</v>
      </c>
      <c r="BF839" s="2551">
        <f ca="1">SUM(INDIRECT(BF$1&amp;BF$2&amp;$A839):INDIRECT(BF$1&amp;BF$3&amp;$A839))+SUM(INDIRECT(BF$1&amp;BF$2&amp;$B839):INDIRECT(BF$1&amp;BF$3&amp;$B839))</f>
        <v>81300</v>
      </c>
      <c r="BG839" s="2552">
        <f t="shared" ca="1" si="1662"/>
        <v>16438.587473524123</v>
      </c>
      <c r="BH839" s="2553">
        <f t="shared" ca="1" si="1663"/>
        <v>1.2021966478908257</v>
      </c>
    </row>
    <row r="840" spans="1:60" ht="14.5">
      <c r="A840" s="990">
        <f t="shared" si="1648"/>
        <v>763</v>
      </c>
      <c r="B840" s="990">
        <v>1</v>
      </c>
      <c r="C840" s="990">
        <f t="shared" si="1649"/>
        <v>837</v>
      </c>
      <c r="D840" s="1121" t="s">
        <v>887</v>
      </c>
      <c r="E840" s="1662" t="s">
        <v>460</v>
      </c>
      <c r="F840" s="1690"/>
      <c r="G840" s="9"/>
      <c r="I840" s="293"/>
      <c r="J840" s="9" t="s">
        <v>388</v>
      </c>
      <c r="K840" s="9"/>
      <c r="L840" s="9"/>
      <c r="Q840" s="1843" t="str">
        <f>CHOOSE(2, "6722000003759", "FC COGS Included in COGS [PC(Service)]")</f>
        <v>FC COGS Included in COGS [PC(Service)]</v>
      </c>
      <c r="R840" s="19">
        <f>SUM(R845,R850)</f>
        <v>2501</v>
      </c>
      <c r="S840" s="19">
        <f t="shared" ref="S840:AC843" si="1674">SUM(S845,S850)</f>
        <v>2798</v>
      </c>
      <c r="T840" s="19">
        <f t="shared" si="1674"/>
        <v>2514</v>
      </c>
      <c r="U840" s="19">
        <f t="shared" si="1674"/>
        <v>2743</v>
      </c>
      <c r="V840" s="19">
        <f t="shared" si="1674"/>
        <v>2407.5238235241304</v>
      </c>
      <c r="W840" s="19">
        <f t="shared" si="1674"/>
        <v>2373</v>
      </c>
      <c r="X840" s="19">
        <f t="shared" si="1674"/>
        <v>6071</v>
      </c>
      <c r="Y840" s="19">
        <f t="shared" si="1674"/>
        <v>2214</v>
      </c>
      <c r="Z840" s="19">
        <f t="shared" si="1674"/>
        <v>2266</v>
      </c>
      <c r="AA840" s="19">
        <f t="shared" si="1674"/>
        <v>2263</v>
      </c>
      <c r="AB840" s="19">
        <f t="shared" si="1674"/>
        <v>2279</v>
      </c>
      <c r="AC840" s="19">
        <f t="shared" si="1674"/>
        <v>1917</v>
      </c>
      <c r="AD840" s="144">
        <f>SUM(R840,S840,T840)</f>
        <v>7813</v>
      </c>
      <c r="AE840" s="145">
        <f t="shared" ref="AE840:AE843" si="1675">SUM(U840,V840,W840)</f>
        <v>7523.5238235241304</v>
      </c>
      <c r="AF840" s="145">
        <f t="shared" ref="AF840:AF843" si="1676">SUM(X840,Y840,Z840)</f>
        <v>10551</v>
      </c>
      <c r="AG840" s="145">
        <f t="shared" ref="AG840:AG843" si="1677">SUM(AA840,AB840,AC840)</f>
        <v>6459</v>
      </c>
      <c r="AH840" s="145">
        <f t="shared" ref="AH840:AH843" si="1678">AD840+AE840</f>
        <v>15336.52382352413</v>
      </c>
      <c r="AI840" s="145">
        <f t="shared" ref="AI840:AI843" si="1679">AG840+AF840</f>
        <v>17010</v>
      </c>
      <c r="AJ840" s="145">
        <f t="shared" ref="AJ840:AJ843" si="1680">AH840+AI840</f>
        <v>32346.52382352413</v>
      </c>
      <c r="AL840" s="145">
        <f ca="1">SUM((INDIRECT(AL$2&amp;(ROW())):INDIRECT(AL$3&amp;(ROW()))))</f>
        <v>1917</v>
      </c>
      <c r="AM840" s="145">
        <f ca="1">SUM(INDIRECT(AM$1&amp;AM$2&amp;$C840):INDIRECT(AM$1&amp;AM$3&amp;$C840))</f>
        <v>0</v>
      </c>
      <c r="AN840" s="912">
        <f t="shared" ca="1" si="1652"/>
        <v>1917</v>
      </c>
      <c r="AO840" s="973">
        <f t="shared" ca="1" si="1653"/>
        <v>0</v>
      </c>
      <c r="AP840" s="145">
        <f ca="1">SUM(INDIRECT(AP$1&amp;AP$2&amp;$A840):INDIRECT(AP$1&amp;AP$3&amp;$A840))+SUM(INDIRECT(AP$1&amp;AP$2&amp;$B840):INDIRECT(AP$1&amp;AP$3&amp;$B840))</f>
        <v>2295</v>
      </c>
      <c r="AQ840" s="912">
        <f t="shared" ca="1" si="1654"/>
        <v>-378</v>
      </c>
      <c r="AR840" s="973">
        <f t="shared" ca="1" si="1655"/>
        <v>0.83529411764705885</v>
      </c>
      <c r="AT840" s="145">
        <f ca="1">SUM((INDIRECT(AT$2&amp;(ROW())):INDIRECT(AT$3&amp;(ROW()))))</f>
        <v>6459</v>
      </c>
      <c r="AU840" s="145">
        <f ca="1">SUM(INDIRECT(AU$1&amp;AU$2&amp;$C840):INDIRECT(AU$1&amp;AU$3&amp;$C840))</f>
        <v>0</v>
      </c>
      <c r="AV840" s="912">
        <f t="shared" ca="1" si="1656"/>
        <v>6459</v>
      </c>
      <c r="AW840" s="973">
        <f t="shared" ca="1" si="1657"/>
        <v>0</v>
      </c>
      <c r="AX840" s="145">
        <f ca="1">SUM(INDIRECT(AX$1&amp;AX$2&amp;$A840):INDIRECT(AX$1&amp;AX$3&amp;$A840))+SUM(INDIRECT(AX$1&amp;AX$2&amp;$B840):INDIRECT(AX$1&amp;AX$3&amp;$B840))</f>
        <v>6713</v>
      </c>
      <c r="AY840" s="912">
        <f t="shared" ca="1" si="1658"/>
        <v>-254</v>
      </c>
      <c r="AZ840" s="973">
        <f t="shared" ca="1" si="1659"/>
        <v>0.96216296737673168</v>
      </c>
      <c r="BB840" s="145">
        <f ca="1">SUM((INDIRECT(BB$2&amp;(ROW())):INDIRECT(BB$3&amp;(ROW()))))</f>
        <v>32346.52382352413</v>
      </c>
      <c r="BC840" s="145">
        <f ca="1">SUM(INDIRECT(BC$1&amp;BC$2&amp;$C840):INDIRECT(BC$1&amp;BC$3&amp;$C840))</f>
        <v>0</v>
      </c>
      <c r="BD840" s="912">
        <f t="shared" ca="1" si="1660"/>
        <v>32346.52382352413</v>
      </c>
      <c r="BE840" s="973">
        <f t="shared" ca="1" si="1661"/>
        <v>0</v>
      </c>
      <c r="BF840" s="145">
        <f ca="1">SUM(INDIRECT(BF$1&amp;BF$2&amp;$A840):INDIRECT(BF$1&amp;BF$3&amp;$A840))+SUM(INDIRECT(BF$1&amp;BF$2&amp;$B840):INDIRECT(BF$1&amp;BF$3&amp;$B840))</f>
        <v>27280</v>
      </c>
      <c r="BG840" s="912">
        <f t="shared" ca="1" si="1662"/>
        <v>5066.5238235241304</v>
      </c>
      <c r="BH840" s="973">
        <f t="shared" ca="1" si="1663"/>
        <v>1.1857230140588024</v>
      </c>
    </row>
    <row r="841" spans="1:60" ht="14.5">
      <c r="A841" s="990">
        <f t="shared" si="1648"/>
        <v>764</v>
      </c>
      <c r="B841" s="990">
        <v>1</v>
      </c>
      <c r="C841" s="990">
        <f t="shared" si="1649"/>
        <v>838</v>
      </c>
      <c r="D841" s="1121" t="s">
        <v>887</v>
      </c>
      <c r="E841" s="1662" t="s">
        <v>460</v>
      </c>
      <c r="F841" s="1690"/>
      <c r="G841" s="9"/>
      <c r="I841" s="293"/>
      <c r="J841" s="9" t="s">
        <v>389</v>
      </c>
      <c r="K841" s="9"/>
      <c r="L841" s="9"/>
      <c r="Q841" s="1843" t="str">
        <f>CHOOSE(2, "6722000003760", "FC COGS Included in COGS [TE(Service)]")</f>
        <v>FC COGS Included in COGS [TE(Service)]</v>
      </c>
      <c r="R841" s="19">
        <f t="shared" ref="R841:R843" si="1681">SUM(R846,R851)</f>
        <v>0</v>
      </c>
      <c r="S841" s="19">
        <f t="shared" si="1674"/>
        <v>177</v>
      </c>
      <c r="T841" s="19">
        <f t="shared" si="1674"/>
        <v>335</v>
      </c>
      <c r="U841" s="19">
        <f t="shared" si="1674"/>
        <v>312</v>
      </c>
      <c r="V841" s="19">
        <f t="shared" si="1674"/>
        <v>299.49299999999999</v>
      </c>
      <c r="W841" s="19">
        <f t="shared" si="1674"/>
        <v>469</v>
      </c>
      <c r="X841" s="19">
        <f t="shared" si="1674"/>
        <v>487</v>
      </c>
      <c r="Y841" s="19">
        <f t="shared" si="1674"/>
        <v>256</v>
      </c>
      <c r="Z841" s="19">
        <f t="shared" si="1674"/>
        <v>349</v>
      </c>
      <c r="AA841" s="19">
        <f t="shared" si="1674"/>
        <v>389</v>
      </c>
      <c r="AB841" s="19">
        <f t="shared" si="1674"/>
        <v>512</v>
      </c>
      <c r="AC841" s="19">
        <f t="shared" si="1674"/>
        <v>910</v>
      </c>
      <c r="AD841" s="144">
        <f>SUM(R841,S841,T841)</f>
        <v>512</v>
      </c>
      <c r="AE841" s="145">
        <f t="shared" si="1675"/>
        <v>1080.4929999999999</v>
      </c>
      <c r="AF841" s="145">
        <f t="shared" si="1676"/>
        <v>1092</v>
      </c>
      <c r="AG841" s="145">
        <f t="shared" si="1677"/>
        <v>1811</v>
      </c>
      <c r="AH841" s="145">
        <f t="shared" si="1678"/>
        <v>1592.4929999999999</v>
      </c>
      <c r="AI841" s="145">
        <f t="shared" si="1679"/>
        <v>2903</v>
      </c>
      <c r="AJ841" s="145">
        <f t="shared" si="1680"/>
        <v>4495.4930000000004</v>
      </c>
      <c r="AL841" s="145">
        <f ca="1">SUM((INDIRECT(AL$2&amp;(ROW())):INDIRECT(AL$3&amp;(ROW()))))</f>
        <v>910</v>
      </c>
      <c r="AM841" s="145">
        <f ca="1">SUM(INDIRECT(AM$1&amp;AM$2&amp;$C841):INDIRECT(AM$1&amp;AM$3&amp;$C841))</f>
        <v>0</v>
      </c>
      <c r="AN841" s="912">
        <f t="shared" ca="1" si="1652"/>
        <v>910</v>
      </c>
      <c r="AO841" s="973">
        <f t="shared" ca="1" si="1653"/>
        <v>0</v>
      </c>
      <c r="AP841" s="145">
        <f ca="1">SUM(INDIRECT(AP$1&amp;AP$2&amp;$A841):INDIRECT(AP$1&amp;AP$3&amp;$A841))+SUM(INDIRECT(AP$1&amp;AP$2&amp;$B841):INDIRECT(AP$1&amp;AP$3&amp;$B841))</f>
        <v>911</v>
      </c>
      <c r="AQ841" s="912">
        <f t="shared" ca="1" si="1654"/>
        <v>-1</v>
      </c>
      <c r="AR841" s="973">
        <f t="shared" ca="1" si="1655"/>
        <v>0.99890230515916578</v>
      </c>
      <c r="AT841" s="145">
        <f ca="1">SUM((INDIRECT(AT$2&amp;(ROW())):INDIRECT(AT$3&amp;(ROW()))))</f>
        <v>1811</v>
      </c>
      <c r="AU841" s="145">
        <f ca="1">SUM(INDIRECT(AU$1&amp;AU$2&amp;$C841):INDIRECT(AU$1&amp;AU$3&amp;$C841))</f>
        <v>0</v>
      </c>
      <c r="AV841" s="912">
        <f t="shared" ca="1" si="1656"/>
        <v>1811</v>
      </c>
      <c r="AW841" s="973">
        <f t="shared" ca="1" si="1657"/>
        <v>0</v>
      </c>
      <c r="AX841" s="145">
        <f ca="1">SUM(INDIRECT(AX$1&amp;AX$2&amp;$A841):INDIRECT(AX$1&amp;AX$3&amp;$A841))+SUM(INDIRECT(AX$1&amp;AX$2&amp;$B841):INDIRECT(AX$1&amp;AX$3&amp;$B841))</f>
        <v>1504</v>
      </c>
      <c r="AY841" s="912">
        <f t="shared" ca="1" si="1658"/>
        <v>307</v>
      </c>
      <c r="AZ841" s="973">
        <f t="shared" ca="1" si="1659"/>
        <v>1.2041223404255319</v>
      </c>
      <c r="BB841" s="145">
        <f ca="1">SUM((INDIRECT(BB$2&amp;(ROW())):INDIRECT(BB$3&amp;(ROW()))))</f>
        <v>4495.4930000000004</v>
      </c>
      <c r="BC841" s="145">
        <f ca="1">SUM(INDIRECT(BC$1&amp;BC$2&amp;$C841):INDIRECT(BC$1&amp;BC$3&amp;$C841))</f>
        <v>0</v>
      </c>
      <c r="BD841" s="912">
        <f t="shared" ca="1" si="1660"/>
        <v>4495.4930000000004</v>
      </c>
      <c r="BE841" s="973">
        <f t="shared" ca="1" si="1661"/>
        <v>0</v>
      </c>
      <c r="BF841" s="145">
        <f ca="1">SUM(INDIRECT(BF$1&amp;BF$2&amp;$A841):INDIRECT(BF$1&amp;BF$3&amp;$A841))+SUM(INDIRECT(BF$1&amp;BF$2&amp;$B841):INDIRECT(BF$1&amp;BF$3&amp;$B841))</f>
        <v>3100</v>
      </c>
      <c r="BG841" s="912">
        <f t="shared" ca="1" si="1662"/>
        <v>1395.4930000000004</v>
      </c>
      <c r="BH841" s="973">
        <f t="shared" ca="1" si="1663"/>
        <v>1.4501590322580646</v>
      </c>
    </row>
    <row r="842" spans="1:60" ht="14.5">
      <c r="A842" s="990">
        <f t="shared" si="1648"/>
        <v>765</v>
      </c>
      <c r="B842" s="990">
        <v>1</v>
      </c>
      <c r="C842" s="990">
        <f t="shared" si="1649"/>
        <v>839</v>
      </c>
      <c r="D842" s="1121" t="s">
        <v>887</v>
      </c>
      <c r="E842" s="1662" t="s">
        <v>460</v>
      </c>
      <c r="F842" s="1690"/>
      <c r="G842" s="9"/>
      <c r="I842" s="293"/>
      <c r="J842" s="9" t="s">
        <v>390</v>
      </c>
      <c r="Q842" s="1848" t="str">
        <f>CHOOSE(2, "6722000003761", "FC COGS Included in COGS [OFC(Service)]")</f>
        <v>FC COGS Included in COGS [OFC(Service)]</v>
      </c>
      <c r="R842" s="107">
        <f t="shared" si="1681"/>
        <v>5046</v>
      </c>
      <c r="S842" s="107">
        <f t="shared" si="1674"/>
        <v>4846</v>
      </c>
      <c r="T842" s="107">
        <f t="shared" si="1674"/>
        <v>5084</v>
      </c>
      <c r="U842" s="107">
        <f t="shared" si="1674"/>
        <v>4687</v>
      </c>
      <c r="V842" s="107">
        <f t="shared" si="1674"/>
        <v>4799.5706499999997</v>
      </c>
      <c r="W842" s="107">
        <f t="shared" si="1674"/>
        <v>4699</v>
      </c>
      <c r="X842" s="107">
        <f t="shared" si="1674"/>
        <v>5130</v>
      </c>
      <c r="Y842" s="107">
        <f t="shared" si="1674"/>
        <v>4875</v>
      </c>
      <c r="Z842" s="107">
        <f t="shared" si="1674"/>
        <v>5110</v>
      </c>
      <c r="AA842" s="107">
        <f t="shared" si="1674"/>
        <v>5256</v>
      </c>
      <c r="AB842" s="107">
        <f t="shared" si="1674"/>
        <v>5351</v>
      </c>
      <c r="AC842" s="107">
        <f t="shared" si="1674"/>
        <v>6013</v>
      </c>
      <c r="AD842" s="144">
        <f>SUM(R842,S842,T842)</f>
        <v>14976</v>
      </c>
      <c r="AE842" s="145">
        <f t="shared" si="1675"/>
        <v>14185.57065</v>
      </c>
      <c r="AF842" s="145">
        <f t="shared" si="1676"/>
        <v>15115</v>
      </c>
      <c r="AG842" s="145">
        <f t="shared" si="1677"/>
        <v>16620</v>
      </c>
      <c r="AH842" s="145">
        <f t="shared" si="1678"/>
        <v>29161.570650000001</v>
      </c>
      <c r="AI842" s="145">
        <f t="shared" si="1679"/>
        <v>31735</v>
      </c>
      <c r="AJ842" s="145">
        <f t="shared" si="1680"/>
        <v>60896.570650000001</v>
      </c>
      <c r="AL842" s="145">
        <f ca="1">SUM((INDIRECT(AL$2&amp;(ROW())):INDIRECT(AL$3&amp;(ROW()))))</f>
        <v>6013</v>
      </c>
      <c r="AM842" s="145">
        <f ca="1">SUM(INDIRECT(AM$1&amp;AM$2&amp;$C842):INDIRECT(AM$1&amp;AM$3&amp;$C842))</f>
        <v>0</v>
      </c>
      <c r="AN842" s="912">
        <f t="shared" ca="1" si="1652"/>
        <v>6013</v>
      </c>
      <c r="AO842" s="973">
        <f t="shared" ca="1" si="1653"/>
        <v>0</v>
      </c>
      <c r="AP842" s="145">
        <f ca="1">SUM(INDIRECT(AP$1&amp;AP$2&amp;$A842):INDIRECT(AP$1&amp;AP$3&amp;$A842))+SUM(INDIRECT(AP$1&amp;AP$2&amp;$B842):INDIRECT(AP$1&amp;AP$3&amp;$B842))</f>
        <v>7519</v>
      </c>
      <c r="AQ842" s="912">
        <f t="shared" ca="1" si="1654"/>
        <v>-1506</v>
      </c>
      <c r="AR842" s="973">
        <f t="shared" ca="1" si="1655"/>
        <v>0.79970740789998673</v>
      </c>
      <c r="AT842" s="145">
        <f ca="1">SUM((INDIRECT(AT$2&amp;(ROW())):INDIRECT(AT$3&amp;(ROW()))))</f>
        <v>16620</v>
      </c>
      <c r="AU842" s="145">
        <f ca="1">SUM(INDIRECT(AU$1&amp;AU$2&amp;$C842):INDIRECT(AU$1&amp;AU$3&amp;$C842))</f>
        <v>0</v>
      </c>
      <c r="AV842" s="912">
        <f t="shared" ca="1" si="1656"/>
        <v>16620</v>
      </c>
      <c r="AW842" s="973">
        <f t="shared" ca="1" si="1657"/>
        <v>0</v>
      </c>
      <c r="AX842" s="145">
        <f ca="1">SUM(INDIRECT(AX$1&amp;AX$2&amp;$A842):INDIRECT(AX$1&amp;AX$3&amp;$A842))+SUM(INDIRECT(AX$1&amp;AX$2&amp;$B842):INDIRECT(AX$1&amp;AX$3&amp;$B842))</f>
        <v>16149</v>
      </c>
      <c r="AY842" s="912">
        <f t="shared" ca="1" si="1658"/>
        <v>471</v>
      </c>
      <c r="AZ842" s="973">
        <f t="shared" ca="1" si="1659"/>
        <v>1.0291658926249303</v>
      </c>
      <c r="BB842" s="145">
        <f ca="1">SUM((INDIRECT(BB$2&amp;(ROW())):INDIRECT(BB$3&amp;(ROW()))))</f>
        <v>60896.570650000001</v>
      </c>
      <c r="BC842" s="145">
        <f ca="1">SUM(INDIRECT(BC$1&amp;BC$2&amp;$C842):INDIRECT(BC$1&amp;BC$3&amp;$C842))</f>
        <v>0</v>
      </c>
      <c r="BD842" s="912">
        <f t="shared" ca="1" si="1660"/>
        <v>60896.570650000001</v>
      </c>
      <c r="BE842" s="973">
        <f t="shared" ca="1" si="1661"/>
        <v>0</v>
      </c>
      <c r="BF842" s="145">
        <f ca="1">SUM(INDIRECT(BF$1&amp;BF$2&amp;$A842):INDIRECT(BF$1&amp;BF$3&amp;$A842))+SUM(INDIRECT(BF$1&amp;BF$2&amp;$B842):INDIRECT(BF$1&amp;BF$3&amp;$B842))</f>
        <v>50920</v>
      </c>
      <c r="BG842" s="912">
        <f t="shared" ca="1" si="1662"/>
        <v>9976.5706500000015</v>
      </c>
      <c r="BH842" s="973">
        <f t="shared" ca="1" si="1663"/>
        <v>1.1959263678318932</v>
      </c>
    </row>
    <row r="843" spans="1:60" ht="14.5">
      <c r="A843" s="990">
        <f t="shared" si="1648"/>
        <v>766</v>
      </c>
      <c r="B843" s="990">
        <v>1</v>
      </c>
      <c r="C843" s="990">
        <f t="shared" si="1649"/>
        <v>840</v>
      </c>
      <c r="D843" s="1121" t="s">
        <v>887</v>
      </c>
      <c r="E843" s="1662" t="s">
        <v>460</v>
      </c>
      <c r="F843" s="1690"/>
      <c r="G843" s="9"/>
      <c r="I843" s="293"/>
      <c r="J843" s="363" t="s">
        <v>525</v>
      </c>
      <c r="K843" s="1694"/>
      <c r="L843" s="1694"/>
      <c r="M843" s="363"/>
      <c r="N843" s="363"/>
      <c r="O843" s="363"/>
      <c r="P843" s="363"/>
      <c r="Q843" s="1848" t="str">
        <f>CHOOSE(2, "6722000003762", "FC COGS Included in COGS [D&amp;A]")</f>
        <v>FC COGS Included in COGS [D&amp;A]</v>
      </c>
      <c r="R843" s="378">
        <f t="shared" si="1681"/>
        <v>0</v>
      </c>
      <c r="S843" s="378">
        <f t="shared" si="1674"/>
        <v>0</v>
      </c>
      <c r="T843" s="378">
        <f t="shared" si="1674"/>
        <v>0</v>
      </c>
      <c r="U843" s="378">
        <f t="shared" si="1674"/>
        <v>0</v>
      </c>
      <c r="V843" s="378">
        <f t="shared" si="1674"/>
        <v>0</v>
      </c>
      <c r="W843" s="378">
        <f t="shared" si="1674"/>
        <v>0</v>
      </c>
      <c r="X843" s="378">
        <f t="shared" si="1674"/>
        <v>0</v>
      </c>
      <c r="Y843" s="378">
        <f t="shared" si="1674"/>
        <v>0</v>
      </c>
      <c r="Z843" s="378">
        <f t="shared" si="1674"/>
        <v>0</v>
      </c>
      <c r="AA843" s="378">
        <f t="shared" si="1674"/>
        <v>0</v>
      </c>
      <c r="AB843" s="378">
        <f t="shared" si="1674"/>
        <v>0</v>
      </c>
      <c r="AC843" s="378">
        <f t="shared" si="1674"/>
        <v>0</v>
      </c>
      <c r="AD843" s="1695">
        <f>SUM(R843,S843,T843)</f>
        <v>0</v>
      </c>
      <c r="AE843" s="1626">
        <f t="shared" si="1675"/>
        <v>0</v>
      </c>
      <c r="AF843" s="1626">
        <f t="shared" si="1676"/>
        <v>0</v>
      </c>
      <c r="AG843" s="1626">
        <f t="shared" si="1677"/>
        <v>0</v>
      </c>
      <c r="AH843" s="1626">
        <f t="shared" si="1678"/>
        <v>0</v>
      </c>
      <c r="AI843" s="1626">
        <f t="shared" si="1679"/>
        <v>0</v>
      </c>
      <c r="AJ843" s="1626">
        <f t="shared" si="1680"/>
        <v>0</v>
      </c>
      <c r="AL843" s="142">
        <f ca="1">SUM((INDIRECT(AL$2&amp;(ROW())):INDIRECT(AL$3&amp;(ROW()))))</f>
        <v>0</v>
      </c>
      <c r="AM843" s="142">
        <f ca="1">SUM(INDIRECT(AM$1&amp;AM$2&amp;$C843):INDIRECT(AM$1&amp;AM$3&amp;$C843))</f>
        <v>0</v>
      </c>
      <c r="AN843" s="877">
        <f t="shared" ca="1" si="1652"/>
        <v>0</v>
      </c>
      <c r="AO843" s="928">
        <f t="shared" ca="1" si="1653"/>
        <v>0</v>
      </c>
      <c r="AP843" s="142">
        <f ca="1">SUM(INDIRECT(AP$1&amp;AP$2&amp;$A843):INDIRECT(AP$1&amp;AP$3&amp;$A843))+SUM(INDIRECT(AP$1&amp;AP$2&amp;$B843):INDIRECT(AP$1&amp;AP$3&amp;$B843))</f>
        <v>0</v>
      </c>
      <c r="AQ843" s="877">
        <f t="shared" ca="1" si="1654"/>
        <v>0</v>
      </c>
      <c r="AR843" s="928">
        <f t="shared" ca="1" si="1655"/>
        <v>0</v>
      </c>
      <c r="AT843" s="142">
        <f ca="1">SUM((INDIRECT(AT$2&amp;(ROW())):INDIRECT(AT$3&amp;(ROW()))))</f>
        <v>0</v>
      </c>
      <c r="AU843" s="142">
        <f ca="1">SUM(INDIRECT(AU$1&amp;AU$2&amp;$C843):INDIRECT(AU$1&amp;AU$3&amp;$C843))</f>
        <v>0</v>
      </c>
      <c r="AV843" s="877">
        <f t="shared" ca="1" si="1656"/>
        <v>0</v>
      </c>
      <c r="AW843" s="928">
        <f t="shared" ca="1" si="1657"/>
        <v>0</v>
      </c>
      <c r="AX843" s="142">
        <f ca="1">SUM(INDIRECT(AX$1&amp;AX$2&amp;$A843):INDIRECT(AX$1&amp;AX$3&amp;$A843))+SUM(INDIRECT(AX$1&amp;AX$2&amp;$B843):INDIRECT(AX$1&amp;AX$3&amp;$B843))</f>
        <v>0</v>
      </c>
      <c r="AY843" s="877">
        <f t="shared" ca="1" si="1658"/>
        <v>0</v>
      </c>
      <c r="AZ843" s="928">
        <f t="shared" ca="1" si="1659"/>
        <v>0</v>
      </c>
      <c r="BB843" s="142">
        <f ca="1">SUM((INDIRECT(BB$2&amp;(ROW())):INDIRECT(BB$3&amp;(ROW()))))</f>
        <v>0</v>
      </c>
      <c r="BC843" s="142">
        <f ca="1">SUM(INDIRECT(BC$1&amp;BC$2&amp;$C843):INDIRECT(BC$1&amp;BC$3&amp;$C843))</f>
        <v>0</v>
      </c>
      <c r="BD843" s="877">
        <f t="shared" ca="1" si="1660"/>
        <v>0</v>
      </c>
      <c r="BE843" s="928">
        <f t="shared" ca="1" si="1661"/>
        <v>0</v>
      </c>
      <c r="BF843" s="142">
        <f ca="1">SUM(INDIRECT(BF$1&amp;BF$2&amp;$A843):INDIRECT(BF$1&amp;BF$3&amp;$A843))+SUM(INDIRECT(BF$1&amp;BF$2&amp;$B843):INDIRECT(BF$1&amp;BF$3&amp;$B843))</f>
        <v>0</v>
      </c>
      <c r="BG843" s="877">
        <f t="shared" ca="1" si="1662"/>
        <v>0</v>
      </c>
      <c r="BH843" s="928">
        <f t="shared" ca="1" si="1663"/>
        <v>0</v>
      </c>
    </row>
    <row r="844" spans="1:60" s="75" customFormat="1" ht="14.5">
      <c r="A844" s="990">
        <f>A838+1</f>
        <v>762</v>
      </c>
      <c r="B844" s="990">
        <v>1</v>
      </c>
      <c r="C844" s="990">
        <f t="shared" si="1649"/>
        <v>841</v>
      </c>
      <c r="D844" s="1121" t="s">
        <v>887</v>
      </c>
      <c r="E844" s="1243">
        <v>1</v>
      </c>
      <c r="F844" s="9"/>
      <c r="G844" s="9"/>
      <c r="H844" s="24"/>
      <c r="I844" s="293"/>
      <c r="J844" s="1696" t="s">
        <v>1391</v>
      </c>
      <c r="K844" s="1697"/>
      <c r="L844" s="1697"/>
      <c r="M844" s="1697"/>
      <c r="N844" s="1697"/>
      <c r="O844" s="1697"/>
      <c r="P844" s="1698"/>
      <c r="Q844" s="1877" t="str">
        <f>CHOOSE(2, "6722000003763", "FC COGS (1)-1. Office")</f>
        <v>FC COGS (1)-1. Office</v>
      </c>
      <c r="R844" s="1692">
        <f>SUM(R845:R848)</f>
        <v>7547</v>
      </c>
      <c r="S844" s="1692">
        <f t="shared" ref="S844:AC844" si="1682">SUM(S845:S848)</f>
        <v>7821</v>
      </c>
      <c r="T844" s="1692">
        <f t="shared" si="1682"/>
        <v>7933</v>
      </c>
      <c r="U844" s="1692">
        <f t="shared" si="1682"/>
        <v>7742</v>
      </c>
      <c r="V844" s="1692">
        <f t="shared" si="1682"/>
        <v>7506.5874735241305</v>
      </c>
      <c r="W844" s="1692">
        <f t="shared" si="1682"/>
        <v>7541</v>
      </c>
      <c r="X844" s="1692">
        <f t="shared" si="1682"/>
        <v>11688</v>
      </c>
      <c r="Y844" s="1692">
        <f t="shared" si="1682"/>
        <v>7345</v>
      </c>
      <c r="Z844" s="1692">
        <f t="shared" si="1682"/>
        <v>7725</v>
      </c>
      <c r="AA844" s="1692">
        <f t="shared" si="1682"/>
        <v>7908</v>
      </c>
      <c r="AB844" s="1692">
        <f t="shared" si="1682"/>
        <v>8142</v>
      </c>
      <c r="AC844" s="1692">
        <f t="shared" si="1682"/>
        <v>8840</v>
      </c>
      <c r="AD844" s="1693">
        <f t="shared" ref="AD844:AJ844" si="1683">SUM(AD845:AD848)</f>
        <v>23301</v>
      </c>
      <c r="AE844" s="1692">
        <f t="shared" si="1683"/>
        <v>22789.58747352413</v>
      </c>
      <c r="AF844" s="1692">
        <f t="shared" si="1683"/>
        <v>26758</v>
      </c>
      <c r="AG844" s="1692">
        <f t="shared" si="1683"/>
        <v>24890</v>
      </c>
      <c r="AH844" s="1692">
        <f t="shared" si="1683"/>
        <v>46090.58747352413</v>
      </c>
      <c r="AI844" s="1692">
        <f t="shared" si="1683"/>
        <v>51648</v>
      </c>
      <c r="AJ844" s="1692">
        <f t="shared" si="1683"/>
        <v>97738.587473524123</v>
      </c>
      <c r="AL844" s="2551">
        <f ca="1">SUM((INDIRECT(AL$2&amp;(ROW())):INDIRECT(AL$3&amp;(ROW()))))</f>
        <v>8840</v>
      </c>
      <c r="AM844" s="2551">
        <f ca="1">SUM(INDIRECT(AM$1&amp;AM$2&amp;$C844):INDIRECT(AM$1&amp;AM$3&amp;$C844))</f>
        <v>0</v>
      </c>
      <c r="AN844" s="2552">
        <f t="shared" ca="1" si="1652"/>
        <v>8840</v>
      </c>
      <c r="AO844" s="2553">
        <f t="shared" ca="1" si="1653"/>
        <v>0</v>
      </c>
      <c r="AP844" s="2551">
        <f ca="1">SUM(INDIRECT(AP$1&amp;AP$2&amp;$A844):INDIRECT(AP$1&amp;AP$3&amp;$A844))+SUM(INDIRECT(AP$1&amp;AP$2&amp;$B844):INDIRECT(AP$1&amp;AP$3&amp;$B844))</f>
        <v>10725</v>
      </c>
      <c r="AQ844" s="2552">
        <f t="shared" ca="1" si="1654"/>
        <v>-1885</v>
      </c>
      <c r="AR844" s="2553">
        <f t="shared" ca="1" si="1655"/>
        <v>0.82424242424242422</v>
      </c>
      <c r="AT844" s="2551">
        <f ca="1">SUM((INDIRECT(AT$2&amp;(ROW())):INDIRECT(AT$3&amp;(ROW()))))</f>
        <v>24890</v>
      </c>
      <c r="AU844" s="2551">
        <f ca="1">SUM(INDIRECT(AU$1&amp;AU$2&amp;$C844):INDIRECT(AU$1&amp;AU$3&amp;$C844))</f>
        <v>0</v>
      </c>
      <c r="AV844" s="2552">
        <f t="shared" ca="1" si="1656"/>
        <v>24890</v>
      </c>
      <c r="AW844" s="2553">
        <f t="shared" ca="1" si="1657"/>
        <v>0</v>
      </c>
      <c r="AX844" s="2551">
        <f ca="1">SUM(INDIRECT(AX$1&amp;AX$2&amp;$A844):INDIRECT(AX$1&amp;AX$3&amp;$A844))+SUM(INDIRECT(AX$1&amp;AX$2&amp;$B844):INDIRECT(AX$1&amp;AX$3&amp;$B844))</f>
        <v>24366</v>
      </c>
      <c r="AY844" s="2552">
        <f t="shared" ca="1" si="1658"/>
        <v>524</v>
      </c>
      <c r="AZ844" s="2553">
        <f t="shared" ca="1" si="1659"/>
        <v>1.021505376344086</v>
      </c>
      <c r="BB844" s="2551">
        <f ca="1">SUM((INDIRECT(BB$2&amp;(ROW())):INDIRECT(BB$3&amp;(ROW()))))</f>
        <v>97738.587473524123</v>
      </c>
      <c r="BC844" s="2551">
        <f ca="1">SUM(INDIRECT(BC$1&amp;BC$2&amp;$C844):INDIRECT(BC$1&amp;BC$3&amp;$C844))</f>
        <v>0</v>
      </c>
      <c r="BD844" s="2552">
        <f t="shared" ca="1" si="1660"/>
        <v>97738.587473524123</v>
      </c>
      <c r="BE844" s="2553">
        <f t="shared" ca="1" si="1661"/>
        <v>0</v>
      </c>
      <c r="BF844" s="2551">
        <f ca="1">SUM(INDIRECT(BF$1&amp;BF$2&amp;$A844):INDIRECT(BF$1&amp;BF$3&amp;$A844))+SUM(INDIRECT(BF$1&amp;BF$2&amp;$B844):INDIRECT(BF$1&amp;BF$3&amp;$B844))</f>
        <v>81300</v>
      </c>
      <c r="BG844" s="2552">
        <f t="shared" ca="1" si="1662"/>
        <v>16438.587473524123</v>
      </c>
      <c r="BH844" s="2553">
        <f t="shared" ca="1" si="1663"/>
        <v>1.2021966478908257</v>
      </c>
    </row>
    <row r="845" spans="1:60" ht="14.5">
      <c r="A845" s="990">
        <f t="shared" si="1648"/>
        <v>763</v>
      </c>
      <c r="B845" s="990">
        <v>1</v>
      </c>
      <c r="C845" s="990">
        <f t="shared" si="1649"/>
        <v>842</v>
      </c>
      <c r="D845" s="1121" t="s">
        <v>887</v>
      </c>
      <c r="E845" s="1243">
        <v>1</v>
      </c>
      <c r="F845" s="9"/>
      <c r="G845" s="9"/>
      <c r="I845" s="293"/>
      <c r="J845" s="1699"/>
      <c r="K845" s="9" t="s">
        <v>1104</v>
      </c>
      <c r="L845" s="9"/>
      <c r="P845" s="86"/>
      <c r="Q845" s="1843" t="str">
        <f>CHOOSE(2, "6722000003764", "FC COGS (1)-1. Office Included in COGS [PC(Service)]")</f>
        <v>FC COGS (1)-1. Office Included in COGS [PC(Service)]</v>
      </c>
      <c r="R845" s="19">
        <f t="shared" ref="R845:AC845" si="1684">(R502+R506+R526+R530)*-1</f>
        <v>2501</v>
      </c>
      <c r="S845" s="19">
        <f t="shared" si="1684"/>
        <v>2798</v>
      </c>
      <c r="T845" s="19">
        <f t="shared" si="1684"/>
        <v>2514</v>
      </c>
      <c r="U845" s="19">
        <f t="shared" si="1684"/>
        <v>2743</v>
      </c>
      <c r="V845" s="19">
        <f t="shared" si="1684"/>
        <v>2407.5238235241304</v>
      </c>
      <c r="W845" s="19">
        <f t="shared" si="1684"/>
        <v>2373</v>
      </c>
      <c r="X845" s="19">
        <f t="shared" si="1684"/>
        <v>6071</v>
      </c>
      <c r="Y845" s="19">
        <f t="shared" si="1684"/>
        <v>2214</v>
      </c>
      <c r="Z845" s="19">
        <f t="shared" si="1684"/>
        <v>2266</v>
      </c>
      <c r="AA845" s="19">
        <f t="shared" si="1684"/>
        <v>2263</v>
      </c>
      <c r="AB845" s="19">
        <f t="shared" si="1684"/>
        <v>2279</v>
      </c>
      <c r="AC845" s="19">
        <f t="shared" si="1684"/>
        <v>1917</v>
      </c>
      <c r="AD845" s="144">
        <f>SUM(R845,S845,T845)</f>
        <v>7813</v>
      </c>
      <c r="AE845" s="145">
        <f t="shared" ref="AE845:AE848" si="1685">SUM(U845,V845,W845)</f>
        <v>7523.5238235241304</v>
      </c>
      <c r="AF845" s="145">
        <f t="shared" ref="AF845:AF848" si="1686">SUM(X845,Y845,Z845)</f>
        <v>10551</v>
      </c>
      <c r="AG845" s="145">
        <f t="shared" ref="AG845:AG848" si="1687">SUM(AA845,AB845,AC845)</f>
        <v>6459</v>
      </c>
      <c r="AH845" s="145">
        <f t="shared" ref="AH845:AH848" si="1688">AD845+AE845</f>
        <v>15336.52382352413</v>
      </c>
      <c r="AI845" s="145">
        <f t="shared" ref="AI845:AI848" si="1689">AG845+AF845</f>
        <v>17010</v>
      </c>
      <c r="AJ845" s="145">
        <f t="shared" ref="AJ845:AJ848" si="1690">AH845+AI845</f>
        <v>32346.52382352413</v>
      </c>
      <c r="AL845" s="145">
        <f ca="1">SUM((INDIRECT(AL$2&amp;(ROW())):INDIRECT(AL$3&amp;(ROW()))))</f>
        <v>1917</v>
      </c>
      <c r="AM845" s="145">
        <f ca="1">SUM(INDIRECT(AM$1&amp;AM$2&amp;$C845):INDIRECT(AM$1&amp;AM$3&amp;$C845))</f>
        <v>0</v>
      </c>
      <c r="AN845" s="912">
        <f t="shared" ca="1" si="1652"/>
        <v>1917</v>
      </c>
      <c r="AO845" s="973">
        <f t="shared" ca="1" si="1653"/>
        <v>0</v>
      </c>
      <c r="AP845" s="145">
        <f ca="1">SUM(INDIRECT(AP$1&amp;AP$2&amp;$A845):INDIRECT(AP$1&amp;AP$3&amp;$A845))+SUM(INDIRECT(AP$1&amp;AP$2&amp;$B845):INDIRECT(AP$1&amp;AP$3&amp;$B845))</f>
        <v>2295</v>
      </c>
      <c r="AQ845" s="912">
        <f t="shared" ca="1" si="1654"/>
        <v>-378</v>
      </c>
      <c r="AR845" s="973">
        <f t="shared" ca="1" si="1655"/>
        <v>0.83529411764705885</v>
      </c>
      <c r="AT845" s="145">
        <f ca="1">SUM((INDIRECT(AT$2&amp;(ROW())):INDIRECT(AT$3&amp;(ROW()))))</f>
        <v>6459</v>
      </c>
      <c r="AU845" s="145">
        <f ca="1">SUM(INDIRECT(AU$1&amp;AU$2&amp;$C845):INDIRECT(AU$1&amp;AU$3&amp;$C845))</f>
        <v>0</v>
      </c>
      <c r="AV845" s="912">
        <f t="shared" ca="1" si="1656"/>
        <v>6459</v>
      </c>
      <c r="AW845" s="973">
        <f t="shared" ca="1" si="1657"/>
        <v>0</v>
      </c>
      <c r="AX845" s="145">
        <f ca="1">SUM(INDIRECT(AX$1&amp;AX$2&amp;$A845):INDIRECT(AX$1&amp;AX$3&amp;$A845))+SUM(INDIRECT(AX$1&amp;AX$2&amp;$B845):INDIRECT(AX$1&amp;AX$3&amp;$B845))</f>
        <v>6713</v>
      </c>
      <c r="AY845" s="912">
        <f t="shared" ca="1" si="1658"/>
        <v>-254</v>
      </c>
      <c r="AZ845" s="973">
        <f t="shared" ca="1" si="1659"/>
        <v>0.96216296737673168</v>
      </c>
      <c r="BB845" s="145">
        <f ca="1">SUM((INDIRECT(BB$2&amp;(ROW())):INDIRECT(BB$3&amp;(ROW()))))</f>
        <v>32346.52382352413</v>
      </c>
      <c r="BC845" s="145">
        <f ca="1">SUM(INDIRECT(BC$1&amp;BC$2&amp;$C845):INDIRECT(BC$1&amp;BC$3&amp;$C845))</f>
        <v>0</v>
      </c>
      <c r="BD845" s="912">
        <f t="shared" ca="1" si="1660"/>
        <v>32346.52382352413</v>
      </c>
      <c r="BE845" s="973">
        <f t="shared" ca="1" si="1661"/>
        <v>0</v>
      </c>
      <c r="BF845" s="145">
        <f ca="1">SUM(INDIRECT(BF$1&amp;BF$2&amp;$A845):INDIRECT(BF$1&amp;BF$3&amp;$A845))+SUM(INDIRECT(BF$1&amp;BF$2&amp;$B845):INDIRECT(BF$1&amp;BF$3&amp;$B845))</f>
        <v>27280</v>
      </c>
      <c r="BG845" s="912">
        <f t="shared" ca="1" si="1662"/>
        <v>5066.5238235241304</v>
      </c>
      <c r="BH845" s="973">
        <f t="shared" ca="1" si="1663"/>
        <v>1.1857230140588024</v>
      </c>
    </row>
    <row r="846" spans="1:60" ht="14.5">
      <c r="A846" s="990">
        <f t="shared" si="1648"/>
        <v>764</v>
      </c>
      <c r="B846" s="990">
        <v>1</v>
      </c>
      <c r="C846" s="990">
        <f t="shared" si="1649"/>
        <v>843</v>
      </c>
      <c r="D846" s="1121" t="s">
        <v>887</v>
      </c>
      <c r="E846" s="1243">
        <v>1</v>
      </c>
      <c r="F846" s="9"/>
      <c r="G846" s="9"/>
      <c r="I846" s="293"/>
      <c r="J846" s="1699"/>
      <c r="K846" s="9" t="s">
        <v>1105</v>
      </c>
      <c r="L846" s="9"/>
      <c r="P846" s="86"/>
      <c r="Q846" s="1843" t="str">
        <f>CHOOSE(2, "6722000003765", "FC COGS (1)-1. Office Included in COGS [TE(Service)]")</f>
        <v>FC COGS (1)-1. Office Included in COGS [TE(Service)]</v>
      </c>
      <c r="R846" s="19">
        <f t="shared" ref="R846:AC846" si="1691">(R503+R527)*-1</f>
        <v>0</v>
      </c>
      <c r="S846" s="19">
        <f t="shared" si="1691"/>
        <v>177</v>
      </c>
      <c r="T846" s="19">
        <f t="shared" si="1691"/>
        <v>335</v>
      </c>
      <c r="U846" s="19">
        <f t="shared" si="1691"/>
        <v>312</v>
      </c>
      <c r="V846" s="19">
        <f t="shared" si="1691"/>
        <v>299.49299999999999</v>
      </c>
      <c r="W846" s="19">
        <f t="shared" si="1691"/>
        <v>469</v>
      </c>
      <c r="X846" s="19">
        <f t="shared" si="1691"/>
        <v>487</v>
      </c>
      <c r="Y846" s="19">
        <f t="shared" si="1691"/>
        <v>256</v>
      </c>
      <c r="Z846" s="19">
        <f t="shared" si="1691"/>
        <v>349</v>
      </c>
      <c r="AA846" s="19">
        <f t="shared" si="1691"/>
        <v>389</v>
      </c>
      <c r="AB846" s="19">
        <f t="shared" si="1691"/>
        <v>512</v>
      </c>
      <c r="AC846" s="19">
        <f t="shared" si="1691"/>
        <v>910</v>
      </c>
      <c r="AD846" s="144">
        <f>SUM(R846,S846,T846)</f>
        <v>512</v>
      </c>
      <c r="AE846" s="145">
        <f t="shared" si="1685"/>
        <v>1080.4929999999999</v>
      </c>
      <c r="AF846" s="145">
        <f t="shared" si="1686"/>
        <v>1092</v>
      </c>
      <c r="AG846" s="145">
        <f t="shared" si="1687"/>
        <v>1811</v>
      </c>
      <c r="AH846" s="145">
        <f t="shared" si="1688"/>
        <v>1592.4929999999999</v>
      </c>
      <c r="AI846" s="145">
        <f t="shared" si="1689"/>
        <v>2903</v>
      </c>
      <c r="AJ846" s="145">
        <f t="shared" si="1690"/>
        <v>4495.4930000000004</v>
      </c>
      <c r="AL846" s="145">
        <f ca="1">SUM((INDIRECT(AL$2&amp;(ROW())):INDIRECT(AL$3&amp;(ROW()))))</f>
        <v>910</v>
      </c>
      <c r="AM846" s="145">
        <f ca="1">SUM(INDIRECT(AM$1&amp;AM$2&amp;$C846):INDIRECT(AM$1&amp;AM$3&amp;$C846))</f>
        <v>0</v>
      </c>
      <c r="AN846" s="912">
        <f t="shared" ca="1" si="1652"/>
        <v>910</v>
      </c>
      <c r="AO846" s="973">
        <f t="shared" ca="1" si="1653"/>
        <v>0</v>
      </c>
      <c r="AP846" s="145">
        <f ca="1">SUM(INDIRECT(AP$1&amp;AP$2&amp;$A846):INDIRECT(AP$1&amp;AP$3&amp;$A846))+SUM(INDIRECT(AP$1&amp;AP$2&amp;$B846):INDIRECT(AP$1&amp;AP$3&amp;$B846))</f>
        <v>911</v>
      </c>
      <c r="AQ846" s="912">
        <f t="shared" ca="1" si="1654"/>
        <v>-1</v>
      </c>
      <c r="AR846" s="973">
        <f t="shared" ca="1" si="1655"/>
        <v>0.99890230515916578</v>
      </c>
      <c r="AT846" s="145">
        <f ca="1">SUM((INDIRECT(AT$2&amp;(ROW())):INDIRECT(AT$3&amp;(ROW()))))</f>
        <v>1811</v>
      </c>
      <c r="AU846" s="145">
        <f ca="1">SUM(INDIRECT(AU$1&amp;AU$2&amp;$C846):INDIRECT(AU$1&amp;AU$3&amp;$C846))</f>
        <v>0</v>
      </c>
      <c r="AV846" s="912">
        <f t="shared" ca="1" si="1656"/>
        <v>1811</v>
      </c>
      <c r="AW846" s="973">
        <f t="shared" ca="1" si="1657"/>
        <v>0</v>
      </c>
      <c r="AX846" s="145">
        <f ca="1">SUM(INDIRECT(AX$1&amp;AX$2&amp;$A846):INDIRECT(AX$1&amp;AX$3&amp;$A846))+SUM(INDIRECT(AX$1&amp;AX$2&amp;$B846):INDIRECT(AX$1&amp;AX$3&amp;$B846))</f>
        <v>1504</v>
      </c>
      <c r="AY846" s="912">
        <f t="shared" ca="1" si="1658"/>
        <v>307</v>
      </c>
      <c r="AZ846" s="973">
        <f t="shared" ca="1" si="1659"/>
        <v>1.2041223404255319</v>
      </c>
      <c r="BB846" s="145">
        <f ca="1">SUM((INDIRECT(BB$2&amp;(ROW())):INDIRECT(BB$3&amp;(ROW()))))</f>
        <v>4495.4930000000004</v>
      </c>
      <c r="BC846" s="145">
        <f ca="1">SUM(INDIRECT(BC$1&amp;BC$2&amp;$C846):INDIRECT(BC$1&amp;BC$3&amp;$C846))</f>
        <v>0</v>
      </c>
      <c r="BD846" s="912">
        <f t="shared" ca="1" si="1660"/>
        <v>4495.4930000000004</v>
      </c>
      <c r="BE846" s="973">
        <f t="shared" ca="1" si="1661"/>
        <v>0</v>
      </c>
      <c r="BF846" s="145">
        <f ca="1">SUM(INDIRECT(BF$1&amp;BF$2&amp;$A846):INDIRECT(BF$1&amp;BF$3&amp;$A846))+SUM(INDIRECT(BF$1&amp;BF$2&amp;$B846):INDIRECT(BF$1&amp;BF$3&amp;$B846))</f>
        <v>3100</v>
      </c>
      <c r="BG846" s="912">
        <f t="shared" ca="1" si="1662"/>
        <v>1395.4930000000004</v>
      </c>
      <c r="BH846" s="973">
        <f t="shared" ca="1" si="1663"/>
        <v>1.4501590322580646</v>
      </c>
    </row>
    <row r="847" spans="1:60" ht="14.5">
      <c r="A847" s="990">
        <f t="shared" si="1648"/>
        <v>765</v>
      </c>
      <c r="B847" s="990">
        <v>1</v>
      </c>
      <c r="C847" s="990">
        <f t="shared" si="1649"/>
        <v>844</v>
      </c>
      <c r="D847" s="1121" t="s">
        <v>887</v>
      </c>
      <c r="E847" s="1243">
        <v>1</v>
      </c>
      <c r="F847" s="9"/>
      <c r="G847" s="9"/>
      <c r="I847" s="293"/>
      <c r="J847" s="1699"/>
      <c r="K847" s="9" t="s">
        <v>1106</v>
      </c>
      <c r="P847" s="86"/>
      <c r="Q847" s="1848" t="str">
        <f>CHOOSE(2, "6722000003766", "FC COGS (1)-1. Office Included in COGS [OFC(Service)]")</f>
        <v>FC COGS (1)-1. Office Included in COGS [OFC(Service)]</v>
      </c>
      <c r="R847" s="107">
        <f t="shared" ref="R847:AC847" si="1692">(R504+R507+R528+R531)*-1</f>
        <v>5046</v>
      </c>
      <c r="S847" s="107">
        <f t="shared" si="1692"/>
        <v>4846</v>
      </c>
      <c r="T847" s="107">
        <f t="shared" si="1692"/>
        <v>5084</v>
      </c>
      <c r="U847" s="107">
        <f t="shared" si="1692"/>
        <v>4687</v>
      </c>
      <c r="V847" s="107">
        <f t="shared" si="1692"/>
        <v>4799.5706499999997</v>
      </c>
      <c r="W847" s="107">
        <f t="shared" si="1692"/>
        <v>4699</v>
      </c>
      <c r="X847" s="107">
        <f t="shared" si="1692"/>
        <v>5130</v>
      </c>
      <c r="Y847" s="107">
        <f t="shared" si="1692"/>
        <v>4875</v>
      </c>
      <c r="Z847" s="107">
        <f t="shared" si="1692"/>
        <v>5110</v>
      </c>
      <c r="AA847" s="107">
        <f t="shared" si="1692"/>
        <v>5256</v>
      </c>
      <c r="AB847" s="107">
        <f t="shared" si="1692"/>
        <v>5351</v>
      </c>
      <c r="AC847" s="107">
        <f t="shared" si="1692"/>
        <v>6013</v>
      </c>
      <c r="AD847" s="144">
        <f>SUM(R847,S847,T847)</f>
        <v>14976</v>
      </c>
      <c r="AE847" s="145">
        <f t="shared" si="1685"/>
        <v>14185.57065</v>
      </c>
      <c r="AF847" s="145">
        <f t="shared" si="1686"/>
        <v>15115</v>
      </c>
      <c r="AG847" s="145">
        <f t="shared" si="1687"/>
        <v>16620</v>
      </c>
      <c r="AH847" s="145">
        <f t="shared" si="1688"/>
        <v>29161.570650000001</v>
      </c>
      <c r="AI847" s="145">
        <f t="shared" si="1689"/>
        <v>31735</v>
      </c>
      <c r="AJ847" s="145">
        <f t="shared" si="1690"/>
        <v>60896.570650000001</v>
      </c>
      <c r="AL847" s="145">
        <f ca="1">SUM((INDIRECT(AL$2&amp;(ROW())):INDIRECT(AL$3&amp;(ROW()))))</f>
        <v>6013</v>
      </c>
      <c r="AM847" s="145">
        <f ca="1">SUM(INDIRECT(AM$1&amp;AM$2&amp;$C847):INDIRECT(AM$1&amp;AM$3&amp;$C847))</f>
        <v>0</v>
      </c>
      <c r="AN847" s="912">
        <f t="shared" ca="1" si="1652"/>
        <v>6013</v>
      </c>
      <c r="AO847" s="973">
        <f t="shared" ca="1" si="1653"/>
        <v>0</v>
      </c>
      <c r="AP847" s="145">
        <f ca="1">SUM(INDIRECT(AP$1&amp;AP$2&amp;$A847):INDIRECT(AP$1&amp;AP$3&amp;$A847))+SUM(INDIRECT(AP$1&amp;AP$2&amp;$B847):INDIRECT(AP$1&amp;AP$3&amp;$B847))</f>
        <v>7519</v>
      </c>
      <c r="AQ847" s="912">
        <f t="shared" ca="1" si="1654"/>
        <v>-1506</v>
      </c>
      <c r="AR847" s="973">
        <f t="shared" ca="1" si="1655"/>
        <v>0.79970740789998673</v>
      </c>
      <c r="AT847" s="145">
        <f ca="1">SUM((INDIRECT(AT$2&amp;(ROW())):INDIRECT(AT$3&amp;(ROW()))))</f>
        <v>16620</v>
      </c>
      <c r="AU847" s="145">
        <f ca="1">SUM(INDIRECT(AU$1&amp;AU$2&amp;$C847):INDIRECT(AU$1&amp;AU$3&amp;$C847))</f>
        <v>0</v>
      </c>
      <c r="AV847" s="912">
        <f t="shared" ca="1" si="1656"/>
        <v>16620</v>
      </c>
      <c r="AW847" s="973">
        <f t="shared" ca="1" si="1657"/>
        <v>0</v>
      </c>
      <c r="AX847" s="145">
        <f ca="1">SUM(INDIRECT(AX$1&amp;AX$2&amp;$A847):INDIRECT(AX$1&amp;AX$3&amp;$A847))+SUM(INDIRECT(AX$1&amp;AX$2&amp;$B847):INDIRECT(AX$1&amp;AX$3&amp;$B847))</f>
        <v>16149</v>
      </c>
      <c r="AY847" s="912">
        <f t="shared" ca="1" si="1658"/>
        <v>471</v>
      </c>
      <c r="AZ847" s="973">
        <f t="shared" ca="1" si="1659"/>
        <v>1.0291658926249303</v>
      </c>
      <c r="BB847" s="145">
        <f ca="1">SUM((INDIRECT(BB$2&amp;(ROW())):INDIRECT(BB$3&amp;(ROW()))))</f>
        <v>60896.570650000001</v>
      </c>
      <c r="BC847" s="145">
        <f ca="1">SUM(INDIRECT(BC$1&amp;BC$2&amp;$C847):INDIRECT(BC$1&amp;BC$3&amp;$C847))</f>
        <v>0</v>
      </c>
      <c r="BD847" s="912">
        <f t="shared" ca="1" si="1660"/>
        <v>60896.570650000001</v>
      </c>
      <c r="BE847" s="973">
        <f t="shared" ca="1" si="1661"/>
        <v>0</v>
      </c>
      <c r="BF847" s="145">
        <f ca="1">SUM(INDIRECT(BF$1&amp;BF$2&amp;$A847):INDIRECT(BF$1&amp;BF$3&amp;$A847))+SUM(INDIRECT(BF$1&amp;BF$2&amp;$B847):INDIRECT(BF$1&amp;BF$3&amp;$B847))</f>
        <v>50920</v>
      </c>
      <c r="BG847" s="912">
        <f t="shared" ca="1" si="1662"/>
        <v>9976.5706500000015</v>
      </c>
      <c r="BH847" s="973">
        <f t="shared" ca="1" si="1663"/>
        <v>1.1959263678318932</v>
      </c>
    </row>
    <row r="848" spans="1:60" ht="14.5">
      <c r="A848" s="990">
        <f t="shared" si="1648"/>
        <v>766</v>
      </c>
      <c r="B848" s="990">
        <v>1</v>
      </c>
      <c r="C848" s="990">
        <f t="shared" si="1649"/>
        <v>845</v>
      </c>
      <c r="D848" s="1121" t="s">
        <v>887</v>
      </c>
      <c r="E848" s="1243">
        <v>1</v>
      </c>
      <c r="F848" s="9"/>
      <c r="G848" s="9"/>
      <c r="I848" s="293"/>
      <c r="J848" s="1700"/>
      <c r="K848" s="363" t="s">
        <v>1107</v>
      </c>
      <c r="L848" s="1694"/>
      <c r="M848" s="363"/>
      <c r="N848" s="363"/>
      <c r="O848" s="363"/>
      <c r="P848" s="364"/>
      <c r="Q848" s="1848" t="str">
        <f>CHOOSE(2, "6722000003767", "FC COGS (1)-1. Office Included in COGS [D&amp;A]")</f>
        <v>FC COGS (1)-1. Office Included in COGS [D&amp;A]</v>
      </c>
      <c r="R848" s="378">
        <f t="shared" ref="R848:AC848" si="1693">(R508+R532)*-1</f>
        <v>0</v>
      </c>
      <c r="S848" s="378">
        <f t="shared" si="1693"/>
        <v>0</v>
      </c>
      <c r="T848" s="378">
        <f t="shared" si="1693"/>
        <v>0</v>
      </c>
      <c r="U848" s="378">
        <f t="shared" si="1693"/>
        <v>0</v>
      </c>
      <c r="V848" s="378">
        <f t="shared" si="1693"/>
        <v>0</v>
      </c>
      <c r="W848" s="378">
        <f t="shared" si="1693"/>
        <v>0</v>
      </c>
      <c r="X848" s="378">
        <f t="shared" si="1693"/>
        <v>0</v>
      </c>
      <c r="Y848" s="378">
        <f t="shared" si="1693"/>
        <v>0</v>
      </c>
      <c r="Z848" s="378">
        <f t="shared" si="1693"/>
        <v>0</v>
      </c>
      <c r="AA848" s="378">
        <f t="shared" si="1693"/>
        <v>0</v>
      </c>
      <c r="AB848" s="378">
        <f t="shared" si="1693"/>
        <v>0</v>
      </c>
      <c r="AC848" s="378">
        <f t="shared" si="1693"/>
        <v>0</v>
      </c>
      <c r="AD848" s="1695">
        <f>SUM(R848,S848,T848)</f>
        <v>0</v>
      </c>
      <c r="AE848" s="1626">
        <f t="shared" si="1685"/>
        <v>0</v>
      </c>
      <c r="AF848" s="1626">
        <f t="shared" si="1686"/>
        <v>0</v>
      </c>
      <c r="AG848" s="1626">
        <f t="shared" si="1687"/>
        <v>0</v>
      </c>
      <c r="AH848" s="1626">
        <f t="shared" si="1688"/>
        <v>0</v>
      </c>
      <c r="AI848" s="1626">
        <f t="shared" si="1689"/>
        <v>0</v>
      </c>
      <c r="AJ848" s="1626">
        <f t="shared" si="1690"/>
        <v>0</v>
      </c>
      <c r="AL848" s="142">
        <f ca="1">SUM((INDIRECT(AL$2&amp;(ROW())):INDIRECT(AL$3&amp;(ROW()))))</f>
        <v>0</v>
      </c>
      <c r="AM848" s="142">
        <f ca="1">SUM(INDIRECT(AM$1&amp;AM$2&amp;$C848):INDIRECT(AM$1&amp;AM$3&amp;$C848))</f>
        <v>0</v>
      </c>
      <c r="AN848" s="877">
        <f t="shared" ca="1" si="1652"/>
        <v>0</v>
      </c>
      <c r="AO848" s="928">
        <f t="shared" ca="1" si="1653"/>
        <v>0</v>
      </c>
      <c r="AP848" s="142">
        <f ca="1">SUM(INDIRECT(AP$1&amp;AP$2&amp;$A848):INDIRECT(AP$1&amp;AP$3&amp;$A848))+SUM(INDIRECT(AP$1&amp;AP$2&amp;$B848):INDIRECT(AP$1&amp;AP$3&amp;$B848))</f>
        <v>0</v>
      </c>
      <c r="AQ848" s="877">
        <f t="shared" ca="1" si="1654"/>
        <v>0</v>
      </c>
      <c r="AR848" s="928">
        <f t="shared" ca="1" si="1655"/>
        <v>0</v>
      </c>
      <c r="AT848" s="142">
        <f ca="1">SUM((INDIRECT(AT$2&amp;(ROW())):INDIRECT(AT$3&amp;(ROW()))))</f>
        <v>0</v>
      </c>
      <c r="AU848" s="142">
        <f ca="1">SUM(INDIRECT(AU$1&amp;AU$2&amp;$C848):INDIRECT(AU$1&amp;AU$3&amp;$C848))</f>
        <v>0</v>
      </c>
      <c r="AV848" s="877">
        <f t="shared" ca="1" si="1656"/>
        <v>0</v>
      </c>
      <c r="AW848" s="928">
        <f t="shared" ca="1" si="1657"/>
        <v>0</v>
      </c>
      <c r="AX848" s="142">
        <f ca="1">SUM(INDIRECT(AX$1&amp;AX$2&amp;$A848):INDIRECT(AX$1&amp;AX$3&amp;$A848))+SUM(INDIRECT(AX$1&amp;AX$2&amp;$B848):INDIRECT(AX$1&amp;AX$3&amp;$B848))</f>
        <v>0</v>
      </c>
      <c r="AY848" s="877">
        <f t="shared" ca="1" si="1658"/>
        <v>0</v>
      </c>
      <c r="AZ848" s="928">
        <f t="shared" ca="1" si="1659"/>
        <v>0</v>
      </c>
      <c r="BB848" s="142">
        <f ca="1">SUM((INDIRECT(BB$2&amp;(ROW())):INDIRECT(BB$3&amp;(ROW()))))</f>
        <v>0</v>
      </c>
      <c r="BC848" s="142">
        <f ca="1">SUM(INDIRECT(BC$1&amp;BC$2&amp;$C848):INDIRECT(BC$1&amp;BC$3&amp;$C848))</f>
        <v>0</v>
      </c>
      <c r="BD848" s="877">
        <f t="shared" ca="1" si="1660"/>
        <v>0</v>
      </c>
      <c r="BE848" s="928">
        <f t="shared" ca="1" si="1661"/>
        <v>0</v>
      </c>
      <c r="BF848" s="142">
        <f ca="1">SUM(INDIRECT(BF$1&amp;BF$2&amp;$A848):INDIRECT(BF$1&amp;BF$3&amp;$A848))+SUM(INDIRECT(BF$1&amp;BF$2&amp;$B848):INDIRECT(BF$1&amp;BF$3&amp;$B848))</f>
        <v>0</v>
      </c>
      <c r="BG848" s="877">
        <f t="shared" ca="1" si="1662"/>
        <v>0</v>
      </c>
      <c r="BH848" s="928">
        <f t="shared" ca="1" si="1663"/>
        <v>0</v>
      </c>
    </row>
    <row r="849" spans="1:60" s="75" customFormat="1" ht="14.5">
      <c r="A849" s="990">
        <v>1</v>
      </c>
      <c r="B849" s="990">
        <v>1</v>
      </c>
      <c r="C849" s="990">
        <f t="shared" si="1649"/>
        <v>846</v>
      </c>
      <c r="D849" s="1121" t="s">
        <v>887</v>
      </c>
      <c r="E849" s="1662" t="s">
        <v>460</v>
      </c>
      <c r="F849" s="1690"/>
      <c r="G849" s="9"/>
      <c r="H849" s="24"/>
      <c r="I849" s="293"/>
      <c r="J849" s="1701" t="s">
        <v>1390</v>
      </c>
      <c r="K849" s="1691"/>
      <c r="L849" s="1691"/>
      <c r="M849" s="1691"/>
      <c r="N849" s="1691"/>
      <c r="O849" s="1691"/>
      <c r="P849" s="1702"/>
      <c r="Q849" s="1877" t="str">
        <f>CHOOSE(2, "6722000003768", "FC COGS (1)-2. Solution")</f>
        <v>FC COGS (1)-2. Solution</v>
      </c>
      <c r="R849" s="1692">
        <f t="shared" ref="R849:AC849" si="1694">SUM(R850:R853)</f>
        <v>0</v>
      </c>
      <c r="S849" s="1692">
        <f t="shared" si="1694"/>
        <v>0</v>
      </c>
      <c r="T849" s="1692">
        <f t="shared" si="1694"/>
        <v>0</v>
      </c>
      <c r="U849" s="1692">
        <f t="shared" si="1694"/>
        <v>0</v>
      </c>
      <c r="V849" s="1692">
        <f t="shared" si="1694"/>
        <v>0</v>
      </c>
      <c r="W849" s="1692">
        <f t="shared" si="1694"/>
        <v>0</v>
      </c>
      <c r="X849" s="1692">
        <f t="shared" si="1694"/>
        <v>0</v>
      </c>
      <c r="Y849" s="1692">
        <f t="shared" si="1694"/>
        <v>0</v>
      </c>
      <c r="Z849" s="1692">
        <f t="shared" si="1694"/>
        <v>0</v>
      </c>
      <c r="AA849" s="1692">
        <f t="shared" si="1694"/>
        <v>0</v>
      </c>
      <c r="AB849" s="1692">
        <f t="shared" si="1694"/>
        <v>0</v>
      </c>
      <c r="AC849" s="1692">
        <f t="shared" si="1694"/>
        <v>0</v>
      </c>
      <c r="AD849" s="1693">
        <f t="shared" ref="AD849:AJ849" si="1695">SUM(AD850:AD853)</f>
        <v>0</v>
      </c>
      <c r="AE849" s="1692">
        <f t="shared" si="1695"/>
        <v>0</v>
      </c>
      <c r="AF849" s="1692">
        <f t="shared" si="1695"/>
        <v>0</v>
      </c>
      <c r="AG849" s="1692">
        <f t="shared" si="1695"/>
        <v>0</v>
      </c>
      <c r="AH849" s="1692">
        <f t="shared" si="1695"/>
        <v>0</v>
      </c>
      <c r="AI849" s="1692">
        <f t="shared" si="1695"/>
        <v>0</v>
      </c>
      <c r="AJ849" s="1692">
        <f t="shared" si="1695"/>
        <v>0</v>
      </c>
      <c r="AL849" s="2551">
        <f ca="1">SUM((INDIRECT(AL$2&amp;(ROW())):INDIRECT(AL$3&amp;(ROW()))))</f>
        <v>0</v>
      </c>
      <c r="AM849" s="2551">
        <f ca="1">SUM(INDIRECT(AM$1&amp;AM$2&amp;$C849):INDIRECT(AM$1&amp;AM$3&amp;$C849))</f>
        <v>0</v>
      </c>
      <c r="AN849" s="2552">
        <f t="shared" ca="1" si="1652"/>
        <v>0</v>
      </c>
      <c r="AO849" s="2553">
        <f t="shared" ca="1" si="1653"/>
        <v>0</v>
      </c>
      <c r="AP849" s="2551">
        <f ca="1">SUM(INDIRECT(AP$1&amp;AP$2&amp;$A849):INDIRECT(AP$1&amp;AP$3&amp;$A849))+SUM(INDIRECT(AP$1&amp;AP$2&amp;$B849):INDIRECT(AP$1&amp;AP$3&amp;$B849))</f>
        <v>0</v>
      </c>
      <c r="AQ849" s="2552">
        <f t="shared" ca="1" si="1654"/>
        <v>0</v>
      </c>
      <c r="AR849" s="2553">
        <f t="shared" ca="1" si="1655"/>
        <v>0</v>
      </c>
      <c r="AT849" s="2551">
        <f ca="1">SUM((INDIRECT(AT$2&amp;(ROW())):INDIRECT(AT$3&amp;(ROW()))))</f>
        <v>0</v>
      </c>
      <c r="AU849" s="2551">
        <f ca="1">SUM(INDIRECT(AU$1&amp;AU$2&amp;$C849):INDIRECT(AU$1&amp;AU$3&amp;$C849))</f>
        <v>0</v>
      </c>
      <c r="AV849" s="2552">
        <f t="shared" ca="1" si="1656"/>
        <v>0</v>
      </c>
      <c r="AW849" s="2553">
        <f t="shared" ca="1" si="1657"/>
        <v>0</v>
      </c>
      <c r="AX849" s="2551">
        <f ca="1">SUM(INDIRECT(AX$1&amp;AX$2&amp;$A849):INDIRECT(AX$1&amp;AX$3&amp;$A849))+SUM(INDIRECT(AX$1&amp;AX$2&amp;$B849):INDIRECT(AX$1&amp;AX$3&amp;$B849))</f>
        <v>0</v>
      </c>
      <c r="AY849" s="2552">
        <f t="shared" ca="1" si="1658"/>
        <v>0</v>
      </c>
      <c r="AZ849" s="2553">
        <f t="shared" ca="1" si="1659"/>
        <v>0</v>
      </c>
      <c r="BB849" s="2551">
        <f ca="1">SUM((INDIRECT(BB$2&amp;(ROW())):INDIRECT(BB$3&amp;(ROW()))))</f>
        <v>0</v>
      </c>
      <c r="BC849" s="2551">
        <f ca="1">SUM(INDIRECT(BC$1&amp;BC$2&amp;$C849):INDIRECT(BC$1&amp;BC$3&amp;$C849))</f>
        <v>0</v>
      </c>
      <c r="BD849" s="2552">
        <f t="shared" ca="1" si="1660"/>
        <v>0</v>
      </c>
      <c r="BE849" s="2553">
        <f t="shared" ca="1" si="1661"/>
        <v>0</v>
      </c>
      <c r="BF849" s="2551">
        <f ca="1">SUM(INDIRECT(BF$1&amp;BF$2&amp;$A849):INDIRECT(BF$1&amp;BF$3&amp;$A849))+SUM(INDIRECT(BF$1&amp;BF$2&amp;$B849):INDIRECT(BF$1&amp;BF$3&amp;$B849))</f>
        <v>0</v>
      </c>
      <c r="BG849" s="2552">
        <f t="shared" ca="1" si="1662"/>
        <v>0</v>
      </c>
      <c r="BH849" s="2553">
        <f t="shared" ca="1" si="1663"/>
        <v>0</v>
      </c>
    </row>
    <row r="850" spans="1:60" ht="14.5">
      <c r="A850" s="990">
        <v>1</v>
      </c>
      <c r="B850" s="990">
        <v>1</v>
      </c>
      <c r="C850" s="990">
        <f t="shared" si="1649"/>
        <v>847</v>
      </c>
      <c r="D850" s="1121" t="s">
        <v>887</v>
      </c>
      <c r="E850" s="1662" t="s">
        <v>460</v>
      </c>
      <c r="F850" s="1690"/>
      <c r="G850" s="9"/>
      <c r="I850" s="293"/>
      <c r="J850" s="1699"/>
      <c r="K850" s="9" t="s">
        <v>1104</v>
      </c>
      <c r="L850" s="9"/>
      <c r="P850" s="86"/>
      <c r="Q850" s="1847" t="str">
        <f>CHOOSE(2, "6722000003769", "FC COGS (1)-2. Solution Included in COGS [PC(Service)]")</f>
        <v>FC COGS (1)-2. Solution Included in COGS [PC(Service)]</v>
      </c>
      <c r="R850" s="2091">
        <v>0</v>
      </c>
      <c r="S850" s="2091">
        <v>0</v>
      </c>
      <c r="T850" s="2091">
        <v>0</v>
      </c>
      <c r="U850" s="2091">
        <v>0</v>
      </c>
      <c r="V850" s="2091">
        <v>0</v>
      </c>
      <c r="W850" s="2091">
        <v>0</v>
      </c>
      <c r="X850" s="2091">
        <v>0</v>
      </c>
      <c r="Y850" s="2091">
        <v>0</v>
      </c>
      <c r="Z850" s="2091">
        <v>0</v>
      </c>
      <c r="AA850" s="2091">
        <v>0</v>
      </c>
      <c r="AB850" s="2091">
        <v>0</v>
      </c>
      <c r="AC850" s="2091">
        <v>0</v>
      </c>
      <c r="AD850" s="144">
        <f>SUM(R850,S850,T850)</f>
        <v>0</v>
      </c>
      <c r="AE850" s="145">
        <f t="shared" ref="AE850:AE853" si="1696">SUM(U850,V850,W850)</f>
        <v>0</v>
      </c>
      <c r="AF850" s="145">
        <f t="shared" ref="AF850:AF853" si="1697">SUM(X850,Y850,Z850)</f>
        <v>0</v>
      </c>
      <c r="AG850" s="145">
        <f t="shared" ref="AG850:AG853" si="1698">SUM(AA850,AB850,AC850)</f>
        <v>0</v>
      </c>
      <c r="AH850" s="145">
        <f t="shared" ref="AH850:AH853" si="1699">AD850+AE850</f>
        <v>0</v>
      </c>
      <c r="AI850" s="145">
        <f t="shared" ref="AI850:AI853" si="1700">AG850+AF850</f>
        <v>0</v>
      </c>
      <c r="AJ850" s="145">
        <f t="shared" ref="AJ850:AJ853" si="1701">AH850+AI850</f>
        <v>0</v>
      </c>
      <c r="AL850" s="145">
        <f ca="1">SUM((INDIRECT(AL$2&amp;(ROW())):INDIRECT(AL$3&amp;(ROW()))))</f>
        <v>0</v>
      </c>
      <c r="AM850" s="145">
        <f ca="1">SUM(INDIRECT(AM$1&amp;AM$2&amp;$C850):INDIRECT(AM$1&amp;AM$3&amp;$C850))</f>
        <v>0</v>
      </c>
      <c r="AN850" s="912">
        <f t="shared" ca="1" si="1652"/>
        <v>0</v>
      </c>
      <c r="AO850" s="973">
        <f t="shared" ca="1" si="1653"/>
        <v>0</v>
      </c>
      <c r="AP850" s="145">
        <f ca="1">SUM(INDIRECT(AP$1&amp;AP$2&amp;$A850):INDIRECT(AP$1&amp;AP$3&amp;$A850))+SUM(INDIRECT(AP$1&amp;AP$2&amp;$B850):INDIRECT(AP$1&amp;AP$3&amp;$B850))</f>
        <v>0</v>
      </c>
      <c r="AQ850" s="912">
        <f t="shared" ca="1" si="1654"/>
        <v>0</v>
      </c>
      <c r="AR850" s="973">
        <f t="shared" ca="1" si="1655"/>
        <v>0</v>
      </c>
      <c r="AT850" s="145">
        <f ca="1">SUM((INDIRECT(AT$2&amp;(ROW())):INDIRECT(AT$3&amp;(ROW()))))</f>
        <v>0</v>
      </c>
      <c r="AU850" s="145">
        <f ca="1">SUM(INDIRECT(AU$1&amp;AU$2&amp;$C850):INDIRECT(AU$1&amp;AU$3&amp;$C850))</f>
        <v>0</v>
      </c>
      <c r="AV850" s="912">
        <f t="shared" ca="1" si="1656"/>
        <v>0</v>
      </c>
      <c r="AW850" s="973">
        <f t="shared" ca="1" si="1657"/>
        <v>0</v>
      </c>
      <c r="AX850" s="145">
        <f ca="1">SUM(INDIRECT(AX$1&amp;AX$2&amp;$A850):INDIRECT(AX$1&amp;AX$3&amp;$A850))+SUM(INDIRECT(AX$1&amp;AX$2&amp;$B850):INDIRECT(AX$1&amp;AX$3&amp;$B850))</f>
        <v>0</v>
      </c>
      <c r="AY850" s="912">
        <f t="shared" ca="1" si="1658"/>
        <v>0</v>
      </c>
      <c r="AZ850" s="973">
        <f t="shared" ca="1" si="1659"/>
        <v>0</v>
      </c>
      <c r="BB850" s="145">
        <f ca="1">SUM((INDIRECT(BB$2&amp;(ROW())):INDIRECT(BB$3&amp;(ROW()))))</f>
        <v>0</v>
      </c>
      <c r="BC850" s="145">
        <f ca="1">SUM(INDIRECT(BC$1&amp;BC$2&amp;$C850):INDIRECT(BC$1&amp;BC$3&amp;$C850))</f>
        <v>0</v>
      </c>
      <c r="BD850" s="912">
        <f t="shared" ca="1" si="1660"/>
        <v>0</v>
      </c>
      <c r="BE850" s="973">
        <f t="shared" ca="1" si="1661"/>
        <v>0</v>
      </c>
      <c r="BF850" s="145">
        <f ca="1">SUM(INDIRECT(BF$1&amp;BF$2&amp;$A850):INDIRECT(BF$1&amp;BF$3&amp;$A850))+SUM(INDIRECT(BF$1&amp;BF$2&amp;$B850):INDIRECT(BF$1&amp;BF$3&amp;$B850))</f>
        <v>0</v>
      </c>
      <c r="BG850" s="912">
        <f t="shared" ca="1" si="1662"/>
        <v>0</v>
      </c>
      <c r="BH850" s="973">
        <f t="shared" ca="1" si="1663"/>
        <v>0</v>
      </c>
    </row>
    <row r="851" spans="1:60" ht="14.5">
      <c r="A851" s="990">
        <v>1</v>
      </c>
      <c r="B851" s="990">
        <v>1</v>
      </c>
      <c r="C851" s="990">
        <f t="shared" si="1649"/>
        <v>848</v>
      </c>
      <c r="D851" s="1121" t="s">
        <v>887</v>
      </c>
      <c r="E851" s="1662" t="s">
        <v>460</v>
      </c>
      <c r="F851" s="1690"/>
      <c r="G851" s="9"/>
      <c r="I851" s="293"/>
      <c r="J851" s="1699"/>
      <c r="K851" s="9" t="s">
        <v>1105</v>
      </c>
      <c r="L851" s="9"/>
      <c r="P851" s="86"/>
      <c r="Q851" s="1847" t="str">
        <f>CHOOSE(2, "6722000003770", "FC COGS (1)-2. Solution Included in COGS [TE(Service)]")</f>
        <v>FC COGS (1)-2. Solution Included in COGS [TE(Service)]</v>
      </c>
      <c r="R851" s="2091">
        <v>0</v>
      </c>
      <c r="S851" s="2091">
        <v>0</v>
      </c>
      <c r="T851" s="2091">
        <v>0</v>
      </c>
      <c r="U851" s="2091">
        <v>0</v>
      </c>
      <c r="V851" s="2091">
        <v>0</v>
      </c>
      <c r="W851" s="2091">
        <v>0</v>
      </c>
      <c r="X851" s="2091">
        <v>0</v>
      </c>
      <c r="Y851" s="2091">
        <v>0</v>
      </c>
      <c r="Z851" s="2091">
        <v>0</v>
      </c>
      <c r="AA851" s="2091">
        <v>0</v>
      </c>
      <c r="AB851" s="2091">
        <v>0</v>
      </c>
      <c r="AC851" s="2091">
        <v>0</v>
      </c>
      <c r="AD851" s="144">
        <f>SUM(R851,S851,T851)</f>
        <v>0</v>
      </c>
      <c r="AE851" s="145">
        <f t="shared" si="1696"/>
        <v>0</v>
      </c>
      <c r="AF851" s="145">
        <f t="shared" si="1697"/>
        <v>0</v>
      </c>
      <c r="AG851" s="145">
        <f t="shared" si="1698"/>
        <v>0</v>
      </c>
      <c r="AH851" s="145">
        <f t="shared" si="1699"/>
        <v>0</v>
      </c>
      <c r="AI851" s="145">
        <f t="shared" si="1700"/>
        <v>0</v>
      </c>
      <c r="AJ851" s="145">
        <f t="shared" si="1701"/>
        <v>0</v>
      </c>
      <c r="AL851" s="145">
        <f ca="1">SUM((INDIRECT(AL$2&amp;(ROW())):INDIRECT(AL$3&amp;(ROW()))))</f>
        <v>0</v>
      </c>
      <c r="AM851" s="145">
        <f ca="1">SUM(INDIRECT(AM$1&amp;AM$2&amp;$C851):INDIRECT(AM$1&amp;AM$3&amp;$C851))</f>
        <v>0</v>
      </c>
      <c r="AN851" s="912">
        <f t="shared" ca="1" si="1652"/>
        <v>0</v>
      </c>
      <c r="AO851" s="973">
        <f t="shared" ca="1" si="1653"/>
        <v>0</v>
      </c>
      <c r="AP851" s="145">
        <f ca="1">SUM(INDIRECT(AP$1&amp;AP$2&amp;$A851):INDIRECT(AP$1&amp;AP$3&amp;$A851))+SUM(INDIRECT(AP$1&amp;AP$2&amp;$B851):INDIRECT(AP$1&amp;AP$3&amp;$B851))</f>
        <v>0</v>
      </c>
      <c r="AQ851" s="912">
        <f t="shared" ca="1" si="1654"/>
        <v>0</v>
      </c>
      <c r="AR851" s="973">
        <f t="shared" ca="1" si="1655"/>
        <v>0</v>
      </c>
      <c r="AT851" s="145">
        <f ca="1">SUM((INDIRECT(AT$2&amp;(ROW())):INDIRECT(AT$3&amp;(ROW()))))</f>
        <v>0</v>
      </c>
      <c r="AU851" s="145">
        <f ca="1">SUM(INDIRECT(AU$1&amp;AU$2&amp;$C851):INDIRECT(AU$1&amp;AU$3&amp;$C851))</f>
        <v>0</v>
      </c>
      <c r="AV851" s="912">
        <f t="shared" ca="1" si="1656"/>
        <v>0</v>
      </c>
      <c r="AW851" s="973">
        <f t="shared" ca="1" si="1657"/>
        <v>0</v>
      </c>
      <c r="AX851" s="145">
        <f ca="1">SUM(INDIRECT(AX$1&amp;AX$2&amp;$A851):INDIRECT(AX$1&amp;AX$3&amp;$A851))+SUM(INDIRECT(AX$1&amp;AX$2&amp;$B851):INDIRECT(AX$1&amp;AX$3&amp;$B851))</f>
        <v>0</v>
      </c>
      <c r="AY851" s="912">
        <f t="shared" ca="1" si="1658"/>
        <v>0</v>
      </c>
      <c r="AZ851" s="973">
        <f t="shared" ca="1" si="1659"/>
        <v>0</v>
      </c>
      <c r="BB851" s="145">
        <f ca="1">SUM((INDIRECT(BB$2&amp;(ROW())):INDIRECT(BB$3&amp;(ROW()))))</f>
        <v>0</v>
      </c>
      <c r="BC851" s="145">
        <f ca="1">SUM(INDIRECT(BC$1&amp;BC$2&amp;$C851):INDIRECT(BC$1&amp;BC$3&amp;$C851))</f>
        <v>0</v>
      </c>
      <c r="BD851" s="912">
        <f t="shared" ca="1" si="1660"/>
        <v>0</v>
      </c>
      <c r="BE851" s="973">
        <f t="shared" ca="1" si="1661"/>
        <v>0</v>
      </c>
      <c r="BF851" s="145">
        <f ca="1">SUM(INDIRECT(BF$1&amp;BF$2&amp;$A851):INDIRECT(BF$1&amp;BF$3&amp;$A851))+SUM(INDIRECT(BF$1&amp;BF$2&amp;$B851):INDIRECT(BF$1&amp;BF$3&amp;$B851))</f>
        <v>0</v>
      </c>
      <c r="BG851" s="912">
        <f t="shared" ca="1" si="1662"/>
        <v>0</v>
      </c>
      <c r="BH851" s="973">
        <f t="shared" ca="1" si="1663"/>
        <v>0</v>
      </c>
    </row>
    <row r="852" spans="1:60" ht="14.5">
      <c r="A852" s="990">
        <v>1</v>
      </c>
      <c r="B852" s="990">
        <v>1</v>
      </c>
      <c r="C852" s="990">
        <f t="shared" si="1649"/>
        <v>849</v>
      </c>
      <c r="D852" s="1121" t="s">
        <v>887</v>
      </c>
      <c r="E852" s="1662" t="s">
        <v>460</v>
      </c>
      <c r="F852" s="1690"/>
      <c r="G852" s="9"/>
      <c r="I852" s="195"/>
      <c r="J852" s="1699"/>
      <c r="K852" s="9" t="s">
        <v>1106</v>
      </c>
      <c r="P852" s="86"/>
      <c r="Q852" s="1847" t="str">
        <f>CHOOSE(2, "6722000003771", "FC COGS (1)-2. Solution Included in COGS [OFC(Service)]")</f>
        <v>FC COGS (1)-2. Solution Included in COGS [OFC(Service)]</v>
      </c>
      <c r="R852" s="2091">
        <v>0</v>
      </c>
      <c r="S852" s="2091">
        <v>0</v>
      </c>
      <c r="T852" s="2091">
        <v>0</v>
      </c>
      <c r="U852" s="2091">
        <v>0</v>
      </c>
      <c r="V852" s="2091">
        <v>0</v>
      </c>
      <c r="W852" s="2091">
        <v>0</v>
      </c>
      <c r="X852" s="2091">
        <v>0</v>
      </c>
      <c r="Y852" s="2091">
        <v>0</v>
      </c>
      <c r="Z852" s="2091">
        <v>0</v>
      </c>
      <c r="AA852" s="2091">
        <v>0</v>
      </c>
      <c r="AB852" s="2091">
        <v>0</v>
      </c>
      <c r="AC852" s="2091">
        <v>0</v>
      </c>
      <c r="AD852" s="144">
        <f>SUM(R852,S852,T852)</f>
        <v>0</v>
      </c>
      <c r="AE852" s="145">
        <f t="shared" si="1696"/>
        <v>0</v>
      </c>
      <c r="AF852" s="145">
        <f t="shared" si="1697"/>
        <v>0</v>
      </c>
      <c r="AG852" s="145">
        <f t="shared" si="1698"/>
        <v>0</v>
      </c>
      <c r="AH852" s="145">
        <f t="shared" si="1699"/>
        <v>0</v>
      </c>
      <c r="AI852" s="145">
        <f t="shared" si="1700"/>
        <v>0</v>
      </c>
      <c r="AJ852" s="145">
        <f t="shared" si="1701"/>
        <v>0</v>
      </c>
      <c r="AL852" s="145">
        <f ca="1">SUM((INDIRECT(AL$2&amp;(ROW())):INDIRECT(AL$3&amp;(ROW()))))</f>
        <v>0</v>
      </c>
      <c r="AM852" s="145">
        <f ca="1">SUM(INDIRECT(AM$1&amp;AM$2&amp;$C852):INDIRECT(AM$1&amp;AM$3&amp;$C852))</f>
        <v>0</v>
      </c>
      <c r="AN852" s="912">
        <f t="shared" ca="1" si="1652"/>
        <v>0</v>
      </c>
      <c r="AO852" s="973">
        <f t="shared" ca="1" si="1653"/>
        <v>0</v>
      </c>
      <c r="AP852" s="145">
        <f ca="1">SUM(INDIRECT(AP$1&amp;AP$2&amp;$A852):INDIRECT(AP$1&amp;AP$3&amp;$A852))+SUM(INDIRECT(AP$1&amp;AP$2&amp;$B852):INDIRECT(AP$1&amp;AP$3&amp;$B852))</f>
        <v>0</v>
      </c>
      <c r="AQ852" s="912">
        <f t="shared" ca="1" si="1654"/>
        <v>0</v>
      </c>
      <c r="AR852" s="973">
        <f t="shared" ca="1" si="1655"/>
        <v>0</v>
      </c>
      <c r="AT852" s="145">
        <f ca="1">SUM((INDIRECT(AT$2&amp;(ROW())):INDIRECT(AT$3&amp;(ROW()))))</f>
        <v>0</v>
      </c>
      <c r="AU852" s="145">
        <f ca="1">SUM(INDIRECT(AU$1&amp;AU$2&amp;$C852):INDIRECT(AU$1&amp;AU$3&amp;$C852))</f>
        <v>0</v>
      </c>
      <c r="AV852" s="912">
        <f t="shared" ca="1" si="1656"/>
        <v>0</v>
      </c>
      <c r="AW852" s="973">
        <f t="shared" ca="1" si="1657"/>
        <v>0</v>
      </c>
      <c r="AX852" s="145">
        <f ca="1">SUM(INDIRECT(AX$1&amp;AX$2&amp;$A852):INDIRECT(AX$1&amp;AX$3&amp;$A852))+SUM(INDIRECT(AX$1&amp;AX$2&amp;$B852):INDIRECT(AX$1&amp;AX$3&amp;$B852))</f>
        <v>0</v>
      </c>
      <c r="AY852" s="912">
        <f t="shared" ca="1" si="1658"/>
        <v>0</v>
      </c>
      <c r="AZ852" s="973">
        <f t="shared" ca="1" si="1659"/>
        <v>0</v>
      </c>
      <c r="BB852" s="145">
        <f ca="1">SUM((INDIRECT(BB$2&amp;(ROW())):INDIRECT(BB$3&amp;(ROW()))))</f>
        <v>0</v>
      </c>
      <c r="BC852" s="145">
        <f ca="1">SUM(INDIRECT(BC$1&amp;BC$2&amp;$C852):INDIRECT(BC$1&amp;BC$3&amp;$C852))</f>
        <v>0</v>
      </c>
      <c r="BD852" s="912">
        <f t="shared" ca="1" si="1660"/>
        <v>0</v>
      </c>
      <c r="BE852" s="973">
        <f t="shared" ca="1" si="1661"/>
        <v>0</v>
      </c>
      <c r="BF852" s="145">
        <f ca="1">SUM(INDIRECT(BF$1&amp;BF$2&amp;$A852):INDIRECT(BF$1&amp;BF$3&amp;$A852))+SUM(INDIRECT(BF$1&amp;BF$2&amp;$B852):INDIRECT(BF$1&amp;BF$3&amp;$B852))</f>
        <v>0</v>
      </c>
      <c r="BG852" s="912">
        <f t="shared" ca="1" si="1662"/>
        <v>0</v>
      </c>
      <c r="BH852" s="973">
        <f t="shared" ca="1" si="1663"/>
        <v>0</v>
      </c>
    </row>
    <row r="853" spans="1:60" ht="14.5">
      <c r="A853" s="990">
        <v>1</v>
      </c>
      <c r="B853" s="990">
        <v>1</v>
      </c>
      <c r="C853" s="990">
        <f t="shared" si="1649"/>
        <v>850</v>
      </c>
      <c r="D853" s="1121" t="s">
        <v>887</v>
      </c>
      <c r="E853" s="1662" t="s">
        <v>460</v>
      </c>
      <c r="F853" s="1690"/>
      <c r="G853" s="9"/>
      <c r="I853" s="194"/>
      <c r="J853" s="1700"/>
      <c r="K853" s="363" t="s">
        <v>1107</v>
      </c>
      <c r="L853" s="1694"/>
      <c r="M853" s="363"/>
      <c r="N853" s="12"/>
      <c r="O853" s="12"/>
      <c r="P853" s="85"/>
      <c r="Q853" s="1847" t="str">
        <f>CHOOSE(2, "6722000003772", "FC COGS (1)-2. Solution Included in COGS [D&amp;A]")</f>
        <v>FC COGS (1)-2. Solution Included in COGS [D&amp;A]</v>
      </c>
      <c r="R853" s="2092">
        <v>0</v>
      </c>
      <c r="S853" s="2092">
        <v>0</v>
      </c>
      <c r="T853" s="2092">
        <v>0</v>
      </c>
      <c r="U853" s="2092">
        <v>0</v>
      </c>
      <c r="V853" s="2092">
        <v>0</v>
      </c>
      <c r="W853" s="2092">
        <v>0</v>
      </c>
      <c r="X853" s="2092">
        <v>0</v>
      </c>
      <c r="Y853" s="2092">
        <v>0</v>
      </c>
      <c r="Z853" s="2092">
        <v>0</v>
      </c>
      <c r="AA853" s="2092">
        <v>0</v>
      </c>
      <c r="AB853" s="2092">
        <v>0</v>
      </c>
      <c r="AC853" s="2092">
        <v>0</v>
      </c>
      <c r="AD853" s="141">
        <f>SUM(R853,S853,T853)</f>
        <v>0</v>
      </c>
      <c r="AE853" s="142">
        <f t="shared" si="1696"/>
        <v>0</v>
      </c>
      <c r="AF853" s="142">
        <f t="shared" si="1697"/>
        <v>0</v>
      </c>
      <c r="AG853" s="142">
        <f t="shared" si="1698"/>
        <v>0</v>
      </c>
      <c r="AH853" s="142">
        <f t="shared" si="1699"/>
        <v>0</v>
      </c>
      <c r="AI853" s="142">
        <f t="shared" si="1700"/>
        <v>0</v>
      </c>
      <c r="AJ853" s="142">
        <f t="shared" si="1701"/>
        <v>0</v>
      </c>
      <c r="AL853" s="142">
        <f ca="1">SUM((INDIRECT(AL$2&amp;(ROW())):INDIRECT(AL$3&amp;(ROW()))))</f>
        <v>0</v>
      </c>
      <c r="AM853" s="142">
        <f ca="1">SUM(INDIRECT(AM$1&amp;AM$2&amp;$C853):INDIRECT(AM$1&amp;AM$3&amp;$C853))</f>
        <v>0</v>
      </c>
      <c r="AN853" s="877">
        <f t="shared" ca="1" si="1652"/>
        <v>0</v>
      </c>
      <c r="AO853" s="928">
        <f t="shared" ca="1" si="1653"/>
        <v>0</v>
      </c>
      <c r="AP853" s="142">
        <f ca="1">SUM(INDIRECT(AP$1&amp;AP$2&amp;$A853):INDIRECT(AP$1&amp;AP$3&amp;$A853))+SUM(INDIRECT(AP$1&amp;AP$2&amp;$B853):INDIRECT(AP$1&amp;AP$3&amp;$B853))</f>
        <v>0</v>
      </c>
      <c r="AQ853" s="877">
        <f t="shared" ca="1" si="1654"/>
        <v>0</v>
      </c>
      <c r="AR853" s="928">
        <f t="shared" ca="1" si="1655"/>
        <v>0</v>
      </c>
      <c r="AT853" s="142">
        <f ca="1">SUM((INDIRECT(AT$2&amp;(ROW())):INDIRECT(AT$3&amp;(ROW()))))</f>
        <v>0</v>
      </c>
      <c r="AU853" s="142">
        <f ca="1">SUM(INDIRECT(AU$1&amp;AU$2&amp;$C853):INDIRECT(AU$1&amp;AU$3&amp;$C853))</f>
        <v>0</v>
      </c>
      <c r="AV853" s="877">
        <f t="shared" ca="1" si="1656"/>
        <v>0</v>
      </c>
      <c r="AW853" s="928">
        <f t="shared" ca="1" si="1657"/>
        <v>0</v>
      </c>
      <c r="AX853" s="142">
        <f ca="1">SUM(INDIRECT(AX$1&amp;AX$2&amp;$A853):INDIRECT(AX$1&amp;AX$3&amp;$A853))+SUM(INDIRECT(AX$1&amp;AX$2&amp;$B853):INDIRECT(AX$1&amp;AX$3&amp;$B853))</f>
        <v>0</v>
      </c>
      <c r="AY853" s="877">
        <f t="shared" ca="1" si="1658"/>
        <v>0</v>
      </c>
      <c r="AZ853" s="928">
        <f t="shared" ca="1" si="1659"/>
        <v>0</v>
      </c>
      <c r="BB853" s="142">
        <f ca="1">SUM((INDIRECT(BB$2&amp;(ROW())):INDIRECT(BB$3&amp;(ROW()))))</f>
        <v>0</v>
      </c>
      <c r="BC853" s="142">
        <f ca="1">SUM(INDIRECT(BC$1&amp;BC$2&amp;$C853):INDIRECT(BC$1&amp;BC$3&amp;$C853))</f>
        <v>0</v>
      </c>
      <c r="BD853" s="877">
        <f t="shared" ca="1" si="1660"/>
        <v>0</v>
      </c>
      <c r="BE853" s="928">
        <f t="shared" ca="1" si="1661"/>
        <v>0</v>
      </c>
      <c r="BF853" s="142">
        <f ca="1">SUM(INDIRECT(BF$1&amp;BF$2&amp;$A853):INDIRECT(BF$1&amp;BF$3&amp;$A853))+SUM(INDIRECT(BF$1&amp;BF$2&amp;$B853):INDIRECT(BF$1&amp;BF$3&amp;$B853))</f>
        <v>0</v>
      </c>
      <c r="BG853" s="877">
        <f t="shared" ca="1" si="1662"/>
        <v>0</v>
      </c>
      <c r="BH853" s="928">
        <f t="shared" ca="1" si="1663"/>
        <v>0</v>
      </c>
    </row>
    <row r="854" spans="1:60" s="75" customFormat="1" ht="14.5">
      <c r="A854" s="990">
        <f>A848+1</f>
        <v>767</v>
      </c>
      <c r="B854" s="990">
        <v>1</v>
      </c>
      <c r="C854" s="990">
        <f t="shared" si="1649"/>
        <v>851</v>
      </c>
      <c r="D854" s="1121" t="s">
        <v>887</v>
      </c>
      <c r="E854" s="1243">
        <v>1</v>
      </c>
      <c r="F854" s="9"/>
      <c r="G854" s="9"/>
      <c r="H854" s="24"/>
      <c r="I854" s="430" t="s">
        <v>485</v>
      </c>
      <c r="J854" s="431"/>
      <c r="K854" s="432"/>
      <c r="L854" s="432"/>
      <c r="M854" s="432"/>
      <c r="N854" s="432"/>
      <c r="O854" s="432"/>
      <c r="P854" s="805"/>
      <c r="Q854" s="1879" t="str">
        <f>CHOOSE(2, "6722000003773", "FC COGS (2) PP")</f>
        <v>FC COGS (2) PP</v>
      </c>
      <c r="R854" s="2070">
        <f>SUM(R855:R858)</f>
        <v>13687</v>
      </c>
      <c r="S854" s="2070">
        <f t="shared" ref="S854:AC854" si="1702">SUM(S855:S858)</f>
        <v>14642</v>
      </c>
      <c r="T854" s="2070">
        <f t="shared" si="1702"/>
        <v>16081</v>
      </c>
      <c r="U854" s="2070">
        <f t="shared" si="1702"/>
        <v>17620</v>
      </c>
      <c r="V854" s="2070">
        <f t="shared" si="1702"/>
        <v>16858.855701118951</v>
      </c>
      <c r="W854" s="2070">
        <f t="shared" si="1702"/>
        <v>17021.748</v>
      </c>
      <c r="X854" s="2070">
        <f t="shared" si="1702"/>
        <v>27094.748</v>
      </c>
      <c r="Y854" s="2070">
        <f t="shared" si="1702"/>
        <v>15703</v>
      </c>
      <c r="Z854" s="2070">
        <f t="shared" si="1702"/>
        <v>16374</v>
      </c>
      <c r="AA854" s="2070">
        <f t="shared" si="1702"/>
        <v>15577</v>
      </c>
      <c r="AB854" s="2070">
        <f t="shared" si="1702"/>
        <v>26298.092000000001</v>
      </c>
      <c r="AC854" s="2070">
        <f t="shared" si="1702"/>
        <v>21071</v>
      </c>
      <c r="AD854" s="1549">
        <f t="shared" ref="AD854:AJ854" si="1703">SUM(AD855:AD858)</f>
        <v>44410</v>
      </c>
      <c r="AE854" s="433">
        <f t="shared" si="1703"/>
        <v>51500.603701118947</v>
      </c>
      <c r="AF854" s="433">
        <f t="shared" si="1703"/>
        <v>59171.748</v>
      </c>
      <c r="AG854" s="433">
        <f t="shared" si="1703"/>
        <v>62946.091999999997</v>
      </c>
      <c r="AH854" s="433">
        <f t="shared" si="1703"/>
        <v>95910.603701118947</v>
      </c>
      <c r="AI854" s="433">
        <f t="shared" si="1703"/>
        <v>122117.84</v>
      </c>
      <c r="AJ854" s="433">
        <f t="shared" si="1703"/>
        <v>218028.44370111896</v>
      </c>
      <c r="AL854" s="2070">
        <f ca="1">SUM((INDIRECT(AL$2&amp;(ROW())):INDIRECT(AL$3&amp;(ROW()))))</f>
        <v>21071</v>
      </c>
      <c r="AM854" s="2070">
        <f ca="1">SUM(INDIRECT(AM$1&amp;AM$2&amp;$C854):INDIRECT(AM$1&amp;AM$3&amp;$C854))</f>
        <v>0</v>
      </c>
      <c r="AN854" s="2554">
        <f t="shared" ca="1" si="1652"/>
        <v>21071</v>
      </c>
      <c r="AO854" s="2555">
        <f t="shared" ca="1" si="1653"/>
        <v>0</v>
      </c>
      <c r="AP854" s="2070">
        <f ca="1">SUM(INDIRECT(AP$1&amp;AP$2&amp;$A854):INDIRECT(AP$1&amp;AP$3&amp;$A854))+SUM(INDIRECT(AP$1&amp;AP$2&amp;$B854):INDIRECT(AP$1&amp;AP$3&amp;$B854))</f>
        <v>20368</v>
      </c>
      <c r="AQ854" s="2554">
        <f t="shared" ca="1" si="1654"/>
        <v>703</v>
      </c>
      <c r="AR854" s="2555">
        <f t="shared" ca="1" si="1655"/>
        <v>1.0345149253731343</v>
      </c>
      <c r="AT854" s="2070">
        <f ca="1">SUM((INDIRECT(AT$2&amp;(ROW())):INDIRECT(AT$3&amp;(ROW()))))</f>
        <v>62946.092000000004</v>
      </c>
      <c r="AU854" s="2070">
        <f ca="1">SUM(INDIRECT(AU$1&amp;AU$2&amp;$C854):INDIRECT(AU$1&amp;AU$3&amp;$C854))</f>
        <v>0</v>
      </c>
      <c r="AV854" s="2554">
        <f t="shared" ca="1" si="1656"/>
        <v>62946.092000000004</v>
      </c>
      <c r="AW854" s="2555">
        <f t="shared" ca="1" si="1657"/>
        <v>0</v>
      </c>
      <c r="AX854" s="2070">
        <f ca="1">SUM(INDIRECT(AX$1&amp;AX$2&amp;$A854):INDIRECT(AX$1&amp;AX$3&amp;$A854))+SUM(INDIRECT(AX$1&amp;AX$2&amp;$B854):INDIRECT(AX$1&amp;AX$3&amp;$B854))</f>
        <v>48671</v>
      </c>
      <c r="AY854" s="2554">
        <f t="shared" ca="1" si="1658"/>
        <v>14275.092000000004</v>
      </c>
      <c r="AZ854" s="2555">
        <f t="shared" ca="1" si="1659"/>
        <v>1.2932976926712005</v>
      </c>
      <c r="BB854" s="2070">
        <f ca="1">SUM((INDIRECT(BB$2&amp;(ROW())):INDIRECT(BB$3&amp;(ROW()))))</f>
        <v>218028.44370111896</v>
      </c>
      <c r="BC854" s="2070">
        <f ca="1">SUM(INDIRECT(BC$1&amp;BC$2&amp;$C854):INDIRECT(BC$1&amp;BC$3&amp;$C854))</f>
        <v>0</v>
      </c>
      <c r="BD854" s="2554">
        <f t="shared" ca="1" si="1660"/>
        <v>218028.44370111896</v>
      </c>
      <c r="BE854" s="2555">
        <f t="shared" ca="1" si="1661"/>
        <v>0</v>
      </c>
      <c r="BF854" s="2070">
        <f ca="1">SUM(INDIRECT(BF$1&amp;BF$2&amp;$A854):INDIRECT(BF$1&amp;BF$3&amp;$A854))+SUM(INDIRECT(BF$1&amp;BF$2&amp;$B854):INDIRECT(BF$1&amp;BF$3&amp;$B854))</f>
        <v>170221</v>
      </c>
      <c r="BG854" s="2554">
        <f t="shared" ca="1" si="1662"/>
        <v>47807.443701118958</v>
      </c>
      <c r="BH854" s="2555">
        <f t="shared" ca="1" si="1663"/>
        <v>1.2808551453764163</v>
      </c>
    </row>
    <row r="855" spans="1:60" ht="14.5">
      <c r="A855" s="990">
        <f t="shared" si="1648"/>
        <v>768</v>
      </c>
      <c r="B855" s="990">
        <v>1</v>
      </c>
      <c r="C855" s="990">
        <f t="shared" si="1649"/>
        <v>852</v>
      </c>
      <c r="D855" s="1121" t="s">
        <v>887</v>
      </c>
      <c r="E855" s="1243">
        <v>1</v>
      </c>
      <c r="F855" s="9"/>
      <c r="G855" s="9"/>
      <c r="I855" s="293"/>
      <c r="J855" s="9" t="s">
        <v>388</v>
      </c>
      <c r="K855" s="9"/>
      <c r="L855" s="9"/>
      <c r="Q855" s="1843" t="str">
        <f>CHOOSE(2, "6722000003774", "FC COGS (2) PP Included in COGS [PC(Service)]")</f>
        <v>FC COGS (2) PP Included in COGS [PC(Service)]</v>
      </c>
      <c r="R855" s="19">
        <f t="shared" ref="R855:AC855" si="1704">(R594+R598+R617+R621)*-1</f>
        <v>13368</v>
      </c>
      <c r="S855" s="19">
        <f t="shared" si="1704"/>
        <v>13249</v>
      </c>
      <c r="T855" s="19">
        <f t="shared" si="1704"/>
        <v>13514</v>
      </c>
      <c r="U855" s="19">
        <f t="shared" si="1704"/>
        <v>15078</v>
      </c>
      <c r="V855" s="19">
        <f t="shared" si="1704"/>
        <v>14059.14570111895</v>
      </c>
      <c r="W855" s="19">
        <f t="shared" si="1704"/>
        <v>13264</v>
      </c>
      <c r="X855" s="19">
        <f t="shared" si="1704"/>
        <v>22029</v>
      </c>
      <c r="Y855" s="19">
        <f t="shared" si="1704"/>
        <v>13234</v>
      </c>
      <c r="Z855" s="19">
        <f t="shared" si="1704"/>
        <v>13397</v>
      </c>
      <c r="AA855" s="19">
        <f t="shared" si="1704"/>
        <v>13114</v>
      </c>
      <c r="AB855" s="19">
        <f t="shared" si="1704"/>
        <v>22624</v>
      </c>
      <c r="AC855" s="19">
        <f t="shared" si="1704"/>
        <v>10762</v>
      </c>
      <c r="AD855" s="144">
        <f>SUM(R855,S855,T855)</f>
        <v>40131</v>
      </c>
      <c r="AE855" s="145">
        <f t="shared" ref="AE855:AE858" si="1705">SUM(U855,V855,W855)</f>
        <v>42401.145701118949</v>
      </c>
      <c r="AF855" s="145">
        <f t="shared" ref="AF855:AF858" si="1706">SUM(X855,Y855,Z855)</f>
        <v>48660</v>
      </c>
      <c r="AG855" s="145">
        <f t="shared" ref="AG855:AG858" si="1707">SUM(AA855,AB855,AC855)</f>
        <v>46500</v>
      </c>
      <c r="AH855" s="145">
        <f t="shared" ref="AH855:AH858" si="1708">AD855+AE855</f>
        <v>82532.145701118949</v>
      </c>
      <c r="AI855" s="145">
        <f t="shared" ref="AI855:AI858" si="1709">AG855+AF855</f>
        <v>95160</v>
      </c>
      <c r="AJ855" s="145">
        <f t="shared" ref="AJ855:AJ858" si="1710">AH855+AI855</f>
        <v>177692.14570111895</v>
      </c>
      <c r="AL855" s="145">
        <f ca="1">SUM((INDIRECT(AL$2&amp;(ROW())):INDIRECT(AL$3&amp;(ROW()))))</f>
        <v>10762</v>
      </c>
      <c r="AM855" s="145">
        <f ca="1">SUM(INDIRECT(AM$1&amp;AM$2&amp;$C855):INDIRECT(AM$1&amp;AM$3&amp;$C855))</f>
        <v>0</v>
      </c>
      <c r="AN855" s="912">
        <f t="shared" ca="1" si="1652"/>
        <v>10762</v>
      </c>
      <c r="AO855" s="973">
        <f t="shared" ca="1" si="1653"/>
        <v>0</v>
      </c>
      <c r="AP855" s="145">
        <f ca="1">SUM(INDIRECT(AP$1&amp;AP$2&amp;$A855):INDIRECT(AP$1&amp;AP$3&amp;$A855))+SUM(INDIRECT(AP$1&amp;AP$2&amp;$B855):INDIRECT(AP$1&amp;AP$3&amp;$B855))</f>
        <v>11701</v>
      </c>
      <c r="AQ855" s="912">
        <f t="shared" ca="1" si="1654"/>
        <v>-939</v>
      </c>
      <c r="AR855" s="973">
        <f t="shared" ca="1" si="1655"/>
        <v>0.91975044867959999</v>
      </c>
      <c r="AT855" s="145">
        <f ca="1">SUM((INDIRECT(AT$2&amp;(ROW())):INDIRECT(AT$3&amp;(ROW()))))</f>
        <v>46500</v>
      </c>
      <c r="AU855" s="145">
        <f ca="1">SUM(INDIRECT(AU$1&amp;AU$2&amp;$C855):INDIRECT(AU$1&amp;AU$3&amp;$C855))</f>
        <v>0</v>
      </c>
      <c r="AV855" s="912">
        <f t="shared" ca="1" si="1656"/>
        <v>46500</v>
      </c>
      <c r="AW855" s="973">
        <f t="shared" ca="1" si="1657"/>
        <v>0</v>
      </c>
      <c r="AX855" s="145">
        <f ca="1">SUM(INDIRECT(AX$1&amp;AX$2&amp;$A855):INDIRECT(AX$1&amp;AX$3&amp;$A855))+SUM(INDIRECT(AX$1&amp;AX$2&amp;$B855):INDIRECT(AX$1&amp;AX$3&amp;$B855))</f>
        <v>34964</v>
      </c>
      <c r="AY855" s="912">
        <f t="shared" ca="1" si="1658"/>
        <v>11536</v>
      </c>
      <c r="AZ855" s="973">
        <f t="shared" ca="1" si="1659"/>
        <v>1.3299393662052397</v>
      </c>
      <c r="BB855" s="145">
        <f ca="1">SUM((INDIRECT(BB$2&amp;(ROW())):INDIRECT(BB$3&amp;(ROW()))))</f>
        <v>177692.14570111895</v>
      </c>
      <c r="BC855" s="145">
        <f ca="1">SUM(INDIRECT(BC$1&amp;BC$2&amp;$C855):INDIRECT(BC$1&amp;BC$3&amp;$C855))</f>
        <v>0</v>
      </c>
      <c r="BD855" s="912">
        <f t="shared" ca="1" si="1660"/>
        <v>177692.14570111895</v>
      </c>
      <c r="BE855" s="973">
        <f t="shared" ca="1" si="1661"/>
        <v>0</v>
      </c>
      <c r="BF855" s="145">
        <f ca="1">SUM(INDIRECT(BF$1&amp;BF$2&amp;$A855):INDIRECT(BF$1&amp;BF$3&amp;$A855))+SUM(INDIRECT(BF$1&amp;BF$2&amp;$B855):INDIRECT(BF$1&amp;BF$3&amp;$B855))</f>
        <v>144269</v>
      </c>
      <c r="BG855" s="912">
        <f t="shared" ca="1" si="1662"/>
        <v>33423.145701118949</v>
      </c>
      <c r="BH855" s="973">
        <f t="shared" ca="1" si="1663"/>
        <v>1.2316724015631837</v>
      </c>
    </row>
    <row r="856" spans="1:60" ht="14.5">
      <c r="A856" s="990">
        <f t="shared" si="1648"/>
        <v>769</v>
      </c>
      <c r="B856" s="990">
        <v>1</v>
      </c>
      <c r="C856" s="990">
        <f t="shared" si="1649"/>
        <v>853</v>
      </c>
      <c r="D856" s="1121" t="s">
        <v>887</v>
      </c>
      <c r="E856" s="1243">
        <v>1</v>
      </c>
      <c r="F856" s="9"/>
      <c r="G856" s="9"/>
      <c r="I856" s="293"/>
      <c r="J856" s="9" t="s">
        <v>389</v>
      </c>
      <c r="K856" s="9"/>
      <c r="L856" s="9"/>
      <c r="Q856" s="1843" t="str">
        <f>CHOOSE(2, "6722000003775", "FC COGS (2) PP Included in COGS [TE(Service)]")</f>
        <v>FC COGS (2) PP Included in COGS [TE(Service)]</v>
      </c>
      <c r="R856" s="19">
        <f t="shared" ref="R856:AC856" si="1711">(R595+R618)*-1</f>
        <v>0</v>
      </c>
      <c r="S856" s="19">
        <f t="shared" si="1711"/>
        <v>1074</v>
      </c>
      <c r="T856" s="19">
        <f t="shared" si="1711"/>
        <v>2392</v>
      </c>
      <c r="U856" s="19">
        <f t="shared" si="1711"/>
        <v>2268</v>
      </c>
      <c r="V856" s="19">
        <f t="shared" si="1711"/>
        <v>2511.962</v>
      </c>
      <c r="W856" s="19">
        <f t="shared" si="1711"/>
        <v>3470</v>
      </c>
      <c r="X856" s="19">
        <f t="shared" si="1711"/>
        <v>4778</v>
      </c>
      <c r="Y856" s="19">
        <f t="shared" si="1711"/>
        <v>2231</v>
      </c>
      <c r="Z856" s="19">
        <f t="shared" si="1711"/>
        <v>2689</v>
      </c>
      <c r="AA856" s="19">
        <f t="shared" si="1711"/>
        <v>2175</v>
      </c>
      <c r="AB856" s="19">
        <f t="shared" si="1711"/>
        <v>3386.3440000000001</v>
      </c>
      <c r="AC856" s="19">
        <f t="shared" si="1711"/>
        <v>9936</v>
      </c>
      <c r="AD856" s="144">
        <f>SUM(R856,S856,T856)</f>
        <v>3466</v>
      </c>
      <c r="AE856" s="145">
        <f t="shared" si="1705"/>
        <v>8249.9619999999995</v>
      </c>
      <c r="AF856" s="145">
        <f t="shared" si="1706"/>
        <v>9698</v>
      </c>
      <c r="AG856" s="145">
        <f t="shared" si="1707"/>
        <v>15497.344000000001</v>
      </c>
      <c r="AH856" s="145">
        <f t="shared" si="1708"/>
        <v>11715.962</v>
      </c>
      <c r="AI856" s="145">
        <f t="shared" si="1709"/>
        <v>25195.344000000001</v>
      </c>
      <c r="AJ856" s="145">
        <f t="shared" si="1710"/>
        <v>36911.305999999997</v>
      </c>
      <c r="AL856" s="145">
        <f ca="1">SUM((INDIRECT(AL$2&amp;(ROW())):INDIRECT(AL$3&amp;(ROW()))))</f>
        <v>9936</v>
      </c>
      <c r="AM856" s="145">
        <f ca="1">SUM(INDIRECT(AM$1&amp;AM$2&amp;$C856):INDIRECT(AM$1&amp;AM$3&amp;$C856))</f>
        <v>0</v>
      </c>
      <c r="AN856" s="912">
        <f t="shared" ca="1" si="1652"/>
        <v>9936</v>
      </c>
      <c r="AO856" s="973">
        <f t="shared" ca="1" si="1653"/>
        <v>0</v>
      </c>
      <c r="AP856" s="145">
        <f ca="1">SUM(INDIRECT(AP$1&amp;AP$2&amp;$A856):INDIRECT(AP$1&amp;AP$3&amp;$A856))+SUM(INDIRECT(AP$1&amp;AP$2&amp;$B856):INDIRECT(AP$1&amp;AP$3&amp;$B856))</f>
        <v>8667</v>
      </c>
      <c r="AQ856" s="912">
        <f t="shared" ca="1" si="1654"/>
        <v>1269</v>
      </c>
      <c r="AR856" s="973">
        <f t="shared" ca="1" si="1655"/>
        <v>1.1464174454828659</v>
      </c>
      <c r="AT856" s="145">
        <f ca="1">SUM((INDIRECT(AT$2&amp;(ROW())):INDIRECT(AT$3&amp;(ROW()))))</f>
        <v>15497.344000000001</v>
      </c>
      <c r="AU856" s="145">
        <f ca="1">SUM(INDIRECT(AU$1&amp;AU$2&amp;$C856):INDIRECT(AU$1&amp;AU$3&amp;$C856))</f>
        <v>0</v>
      </c>
      <c r="AV856" s="912">
        <f t="shared" ca="1" si="1656"/>
        <v>15497.344000000001</v>
      </c>
      <c r="AW856" s="973">
        <f t="shared" ca="1" si="1657"/>
        <v>0</v>
      </c>
      <c r="AX856" s="145">
        <f ca="1">SUM(INDIRECT(AX$1&amp;AX$2&amp;$A856):INDIRECT(AX$1&amp;AX$3&amp;$A856))+SUM(INDIRECT(AX$1&amp;AX$2&amp;$B856):INDIRECT(AX$1&amp;AX$3&amp;$B856))</f>
        <v>13707</v>
      </c>
      <c r="AY856" s="912">
        <f t="shared" ca="1" si="1658"/>
        <v>1790.344000000001</v>
      </c>
      <c r="AZ856" s="973">
        <f t="shared" ca="1" si="1659"/>
        <v>1.1306153060480046</v>
      </c>
      <c r="BB856" s="145">
        <f ca="1">SUM((INDIRECT(BB$2&amp;(ROW())):INDIRECT(BB$3&amp;(ROW()))))</f>
        <v>36911.305999999997</v>
      </c>
      <c r="BC856" s="145">
        <f ca="1">SUM(INDIRECT(BC$1&amp;BC$2&amp;$C856):INDIRECT(BC$1&amp;BC$3&amp;$C856))</f>
        <v>0</v>
      </c>
      <c r="BD856" s="912">
        <f t="shared" ca="1" si="1660"/>
        <v>36911.305999999997</v>
      </c>
      <c r="BE856" s="973">
        <f t="shared" ca="1" si="1661"/>
        <v>0</v>
      </c>
      <c r="BF856" s="145">
        <f ca="1">SUM(INDIRECT(BF$1&amp;BF$2&amp;$A856):INDIRECT(BF$1&amp;BF$3&amp;$A856))+SUM(INDIRECT(BF$1&amp;BF$2&amp;$B856):INDIRECT(BF$1&amp;BF$3&amp;$B856))</f>
        <v>25952</v>
      </c>
      <c r="BG856" s="912">
        <f t="shared" ca="1" si="1662"/>
        <v>10959.305999999997</v>
      </c>
      <c r="BH856" s="973">
        <f t="shared" ca="1" si="1663"/>
        <v>1.4222913840937113</v>
      </c>
    </row>
    <row r="857" spans="1:60" ht="14.5">
      <c r="A857" s="990">
        <f t="shared" si="1648"/>
        <v>770</v>
      </c>
      <c r="B857" s="990">
        <v>1</v>
      </c>
      <c r="C857" s="990">
        <f t="shared" si="1649"/>
        <v>854</v>
      </c>
      <c r="D857" s="1121" t="s">
        <v>887</v>
      </c>
      <c r="E857" s="1243">
        <v>1</v>
      </c>
      <c r="F857" s="9"/>
      <c r="G857" s="9"/>
      <c r="I857" s="195"/>
      <c r="J857" s="9" t="s">
        <v>468</v>
      </c>
      <c r="Q857" s="1848" t="str">
        <f>CHOOSE(2, "6722000003776", "FC COGS (2) PP Included in COGS [OFC(Service)]")</f>
        <v>FC COGS (2) PP Included in COGS [OFC(Service)]</v>
      </c>
      <c r="R857" s="107">
        <f t="shared" ref="R857:AC857" si="1712">(R596+R599+R619+R622)*-1</f>
        <v>319</v>
      </c>
      <c r="S857" s="107">
        <f t="shared" si="1712"/>
        <v>319</v>
      </c>
      <c r="T857" s="107">
        <f t="shared" si="1712"/>
        <v>175</v>
      </c>
      <c r="U857" s="107">
        <f t="shared" si="1712"/>
        <v>274</v>
      </c>
      <c r="V857" s="107">
        <f t="shared" si="1712"/>
        <v>287.74799999999999</v>
      </c>
      <c r="W857" s="107">
        <f t="shared" si="1712"/>
        <v>287.74799999999999</v>
      </c>
      <c r="X857" s="107">
        <f t="shared" si="1712"/>
        <v>287.74799999999999</v>
      </c>
      <c r="Y857" s="107">
        <f t="shared" si="1712"/>
        <v>238</v>
      </c>
      <c r="Z857" s="107">
        <f t="shared" si="1712"/>
        <v>288</v>
      </c>
      <c r="AA857" s="107">
        <f t="shared" si="1712"/>
        <v>288</v>
      </c>
      <c r="AB857" s="107">
        <f t="shared" si="1712"/>
        <v>287.74799999999999</v>
      </c>
      <c r="AC857" s="107">
        <f t="shared" si="1712"/>
        <v>373</v>
      </c>
      <c r="AD857" s="144">
        <f>SUM(R857,S857,T857)</f>
        <v>813</v>
      </c>
      <c r="AE857" s="145">
        <f t="shared" si="1705"/>
        <v>849.49600000000009</v>
      </c>
      <c r="AF857" s="145">
        <f t="shared" si="1706"/>
        <v>813.74800000000005</v>
      </c>
      <c r="AG857" s="145">
        <f t="shared" si="1707"/>
        <v>948.74800000000005</v>
      </c>
      <c r="AH857" s="145">
        <f t="shared" si="1708"/>
        <v>1662.4960000000001</v>
      </c>
      <c r="AI857" s="145">
        <f t="shared" si="1709"/>
        <v>1762.4960000000001</v>
      </c>
      <c r="AJ857" s="145">
        <f t="shared" si="1710"/>
        <v>3424.9920000000002</v>
      </c>
      <c r="AL857" s="145">
        <f ca="1">SUM((INDIRECT(AL$2&amp;(ROW())):INDIRECT(AL$3&amp;(ROW()))))</f>
        <v>373</v>
      </c>
      <c r="AM857" s="145">
        <f ca="1">SUM(INDIRECT(AM$1&amp;AM$2&amp;$C857):INDIRECT(AM$1&amp;AM$3&amp;$C857))</f>
        <v>0</v>
      </c>
      <c r="AN857" s="912">
        <f t="shared" ca="1" si="1652"/>
        <v>373</v>
      </c>
      <c r="AO857" s="973">
        <f t="shared" ca="1" si="1653"/>
        <v>0</v>
      </c>
      <c r="AP857" s="145">
        <f ca="1">SUM(INDIRECT(AP$1&amp;AP$2&amp;$A857):INDIRECT(AP$1&amp;AP$3&amp;$A857))+SUM(INDIRECT(AP$1&amp;AP$2&amp;$B857):INDIRECT(AP$1&amp;AP$3&amp;$B857))</f>
        <v>0</v>
      </c>
      <c r="AQ857" s="912">
        <f t="shared" ca="1" si="1654"/>
        <v>373</v>
      </c>
      <c r="AR857" s="973">
        <f t="shared" ca="1" si="1655"/>
        <v>0</v>
      </c>
      <c r="AT857" s="145">
        <f ca="1">SUM((INDIRECT(AT$2&amp;(ROW())):INDIRECT(AT$3&amp;(ROW()))))</f>
        <v>948.74800000000005</v>
      </c>
      <c r="AU857" s="145">
        <f ca="1">SUM(INDIRECT(AU$1&amp;AU$2&amp;$C857):INDIRECT(AU$1&amp;AU$3&amp;$C857))</f>
        <v>0</v>
      </c>
      <c r="AV857" s="912">
        <f t="shared" ca="1" si="1656"/>
        <v>948.74800000000005</v>
      </c>
      <c r="AW857" s="973">
        <f t="shared" ca="1" si="1657"/>
        <v>0</v>
      </c>
      <c r="AX857" s="145">
        <f ca="1">SUM(INDIRECT(AX$1&amp;AX$2&amp;$A857):INDIRECT(AX$1&amp;AX$3&amp;$A857))+SUM(INDIRECT(AX$1&amp;AX$2&amp;$B857):INDIRECT(AX$1&amp;AX$3&amp;$B857))</f>
        <v>0</v>
      </c>
      <c r="AY857" s="912">
        <f t="shared" ca="1" si="1658"/>
        <v>948.74800000000005</v>
      </c>
      <c r="AZ857" s="973">
        <f t="shared" ca="1" si="1659"/>
        <v>0</v>
      </c>
      <c r="BB857" s="145">
        <f ca="1">SUM((INDIRECT(BB$2&amp;(ROW())):INDIRECT(BB$3&amp;(ROW()))))</f>
        <v>3424.9920000000002</v>
      </c>
      <c r="BC857" s="145">
        <f ca="1">SUM(INDIRECT(BC$1&amp;BC$2&amp;$C857):INDIRECT(BC$1&amp;BC$3&amp;$C857))</f>
        <v>0</v>
      </c>
      <c r="BD857" s="912">
        <f t="shared" ca="1" si="1660"/>
        <v>3424.9920000000002</v>
      </c>
      <c r="BE857" s="973">
        <f t="shared" ca="1" si="1661"/>
        <v>0</v>
      </c>
      <c r="BF857" s="145">
        <f ca="1">SUM(INDIRECT(BF$1&amp;BF$2&amp;$A857):INDIRECT(BF$1&amp;BF$3&amp;$A857))+SUM(INDIRECT(BF$1&amp;BF$2&amp;$B857):INDIRECT(BF$1&amp;BF$3&amp;$B857))</f>
        <v>0</v>
      </c>
      <c r="BG857" s="912">
        <f t="shared" ca="1" si="1662"/>
        <v>3424.9920000000002</v>
      </c>
      <c r="BH857" s="973">
        <f t="shared" ca="1" si="1663"/>
        <v>0</v>
      </c>
    </row>
    <row r="858" spans="1:60" ht="14.5">
      <c r="A858" s="990">
        <f t="shared" si="1648"/>
        <v>771</v>
      </c>
      <c r="B858" s="990">
        <v>1</v>
      </c>
      <c r="C858" s="990">
        <f t="shared" si="1649"/>
        <v>855</v>
      </c>
      <c r="D858" s="1121" t="s">
        <v>887</v>
      </c>
      <c r="E858" s="1243">
        <v>1</v>
      </c>
      <c r="F858" s="9"/>
      <c r="G858" s="9"/>
      <c r="I858" s="194"/>
      <c r="J858" s="12" t="s">
        <v>525</v>
      </c>
      <c r="K858" s="18"/>
      <c r="L858" s="18"/>
      <c r="M858" s="12"/>
      <c r="N858" s="12"/>
      <c r="O858" s="12"/>
      <c r="P858" s="12"/>
      <c r="Q858" s="1848" t="str">
        <f>CHOOSE(2, "6722000003777", "FC COGS (2) PP Included in COGS [D&amp;A]")</f>
        <v>FC COGS (2) PP Included in COGS [D&amp;A]</v>
      </c>
      <c r="R858" s="113">
        <f t="shared" ref="R858:AC858" si="1713">(R600+R623)*-1</f>
        <v>0</v>
      </c>
      <c r="S858" s="113">
        <f t="shared" si="1713"/>
        <v>0</v>
      </c>
      <c r="T858" s="113">
        <f t="shared" si="1713"/>
        <v>0</v>
      </c>
      <c r="U858" s="113">
        <f t="shared" si="1713"/>
        <v>0</v>
      </c>
      <c r="V858" s="113">
        <f t="shared" si="1713"/>
        <v>0</v>
      </c>
      <c r="W858" s="113">
        <f t="shared" si="1713"/>
        <v>0</v>
      </c>
      <c r="X858" s="113">
        <f t="shared" si="1713"/>
        <v>0</v>
      </c>
      <c r="Y858" s="113">
        <f t="shared" si="1713"/>
        <v>0</v>
      </c>
      <c r="Z858" s="113">
        <f t="shared" si="1713"/>
        <v>0</v>
      </c>
      <c r="AA858" s="113">
        <f t="shared" si="1713"/>
        <v>0</v>
      </c>
      <c r="AB858" s="113">
        <f t="shared" si="1713"/>
        <v>0</v>
      </c>
      <c r="AC858" s="113">
        <f t="shared" si="1713"/>
        <v>0</v>
      </c>
      <c r="AD858" s="141">
        <f>SUM(R858,S858,T858)</f>
        <v>0</v>
      </c>
      <c r="AE858" s="142">
        <f t="shared" si="1705"/>
        <v>0</v>
      </c>
      <c r="AF858" s="142">
        <f t="shared" si="1706"/>
        <v>0</v>
      </c>
      <c r="AG858" s="142">
        <f t="shared" si="1707"/>
        <v>0</v>
      </c>
      <c r="AH858" s="142">
        <f t="shared" si="1708"/>
        <v>0</v>
      </c>
      <c r="AI858" s="142">
        <f t="shared" si="1709"/>
        <v>0</v>
      </c>
      <c r="AJ858" s="142">
        <f t="shared" si="1710"/>
        <v>0</v>
      </c>
      <c r="AL858" s="142">
        <f ca="1">SUM((INDIRECT(AL$2&amp;(ROW())):INDIRECT(AL$3&amp;(ROW()))))</f>
        <v>0</v>
      </c>
      <c r="AM858" s="142">
        <f ca="1">SUM(INDIRECT(AM$1&amp;AM$2&amp;$C858):INDIRECT(AM$1&amp;AM$3&amp;$C858))</f>
        <v>0</v>
      </c>
      <c r="AN858" s="877">
        <f t="shared" ca="1" si="1652"/>
        <v>0</v>
      </c>
      <c r="AO858" s="928">
        <f t="shared" ca="1" si="1653"/>
        <v>0</v>
      </c>
      <c r="AP858" s="142">
        <f ca="1">SUM(INDIRECT(AP$1&amp;AP$2&amp;$A858):INDIRECT(AP$1&amp;AP$3&amp;$A858))+SUM(INDIRECT(AP$1&amp;AP$2&amp;$B858):INDIRECT(AP$1&amp;AP$3&amp;$B858))</f>
        <v>0</v>
      </c>
      <c r="AQ858" s="877">
        <f t="shared" ca="1" si="1654"/>
        <v>0</v>
      </c>
      <c r="AR858" s="928">
        <f t="shared" ca="1" si="1655"/>
        <v>0</v>
      </c>
      <c r="AT858" s="142">
        <f ca="1">SUM((INDIRECT(AT$2&amp;(ROW())):INDIRECT(AT$3&amp;(ROW()))))</f>
        <v>0</v>
      </c>
      <c r="AU858" s="142">
        <f ca="1">SUM(INDIRECT(AU$1&amp;AU$2&amp;$C858):INDIRECT(AU$1&amp;AU$3&amp;$C858))</f>
        <v>0</v>
      </c>
      <c r="AV858" s="877">
        <f t="shared" ca="1" si="1656"/>
        <v>0</v>
      </c>
      <c r="AW858" s="928">
        <f t="shared" ca="1" si="1657"/>
        <v>0</v>
      </c>
      <c r="AX858" s="142">
        <f ca="1">SUM(INDIRECT(AX$1&amp;AX$2&amp;$A858):INDIRECT(AX$1&amp;AX$3&amp;$A858))+SUM(INDIRECT(AX$1&amp;AX$2&amp;$B858):INDIRECT(AX$1&amp;AX$3&amp;$B858))</f>
        <v>0</v>
      </c>
      <c r="AY858" s="877">
        <f t="shared" ca="1" si="1658"/>
        <v>0</v>
      </c>
      <c r="AZ858" s="928">
        <f t="shared" ca="1" si="1659"/>
        <v>0</v>
      </c>
      <c r="BB858" s="142">
        <f ca="1">SUM((INDIRECT(BB$2&amp;(ROW())):INDIRECT(BB$3&amp;(ROW()))))</f>
        <v>0</v>
      </c>
      <c r="BC858" s="142">
        <f ca="1">SUM(INDIRECT(BC$1&amp;BC$2&amp;$C858):INDIRECT(BC$1&amp;BC$3&amp;$C858))</f>
        <v>0</v>
      </c>
      <c r="BD858" s="877">
        <f t="shared" ca="1" si="1660"/>
        <v>0</v>
      </c>
      <c r="BE858" s="928">
        <f t="shared" ca="1" si="1661"/>
        <v>0</v>
      </c>
      <c r="BF858" s="142">
        <f ca="1">SUM(INDIRECT(BF$1&amp;BF$2&amp;$A858):INDIRECT(BF$1&amp;BF$3&amp;$A858))+SUM(INDIRECT(BF$1&amp;BF$2&amp;$B858):INDIRECT(BF$1&amp;BF$3&amp;$B858))</f>
        <v>0</v>
      </c>
      <c r="BG858" s="877">
        <f t="shared" ca="1" si="1662"/>
        <v>0</v>
      </c>
      <c r="BH858" s="928">
        <f t="shared" ca="1" si="1663"/>
        <v>0</v>
      </c>
    </row>
    <row r="859" spans="1:60" s="75" customFormat="1" ht="14.5">
      <c r="A859" s="990">
        <f t="shared" si="1648"/>
        <v>772</v>
      </c>
      <c r="B859" s="990">
        <v>1</v>
      </c>
      <c r="C859" s="990">
        <f t="shared" si="1649"/>
        <v>856</v>
      </c>
      <c r="D859" s="1121" t="s">
        <v>887</v>
      </c>
      <c r="E859" s="1243">
        <v>1</v>
      </c>
      <c r="F859" s="9"/>
      <c r="G859" s="9"/>
      <c r="H859" s="24"/>
      <c r="I859" s="439" t="s">
        <v>482</v>
      </c>
      <c r="J859" s="440"/>
      <c r="K859" s="441"/>
      <c r="L859" s="441"/>
      <c r="M859" s="441"/>
      <c r="N859" s="441"/>
      <c r="O859" s="441"/>
      <c r="P859" s="808"/>
      <c r="Q859" s="1882" t="str">
        <f>CHOOSE(2, "6722000003778", "FC COGS (3) IP")</f>
        <v>FC COGS (3) IP</v>
      </c>
      <c r="R859" s="2073">
        <f>SUM(R860:R863)</f>
        <v>873</v>
      </c>
      <c r="S859" s="2073">
        <f t="shared" ref="S859:AC859" si="1714">SUM(S860:S863)</f>
        <v>1061</v>
      </c>
      <c r="T859" s="2073">
        <f t="shared" si="1714"/>
        <v>1109</v>
      </c>
      <c r="U859" s="2073">
        <f t="shared" si="1714"/>
        <v>1127</v>
      </c>
      <c r="V859" s="2073">
        <f t="shared" si="1714"/>
        <v>1007.2377253569111</v>
      </c>
      <c r="W859" s="2073">
        <f t="shared" si="1714"/>
        <v>1020.6029885233163</v>
      </c>
      <c r="X859" s="2073">
        <f t="shared" si="1714"/>
        <v>1053</v>
      </c>
      <c r="Y859" s="2073">
        <f t="shared" si="1714"/>
        <v>940</v>
      </c>
      <c r="Z859" s="2073">
        <f t="shared" si="1714"/>
        <v>1105</v>
      </c>
      <c r="AA859" s="2073">
        <f t="shared" si="1714"/>
        <v>989</v>
      </c>
      <c r="AB859" s="2073">
        <f t="shared" si="1714"/>
        <v>955</v>
      </c>
      <c r="AC859" s="2073">
        <f t="shared" si="1714"/>
        <v>994</v>
      </c>
      <c r="AD859" s="1550">
        <f t="shared" ref="AD859:AJ859" si="1715">SUM(AD860:AD863)</f>
        <v>3043</v>
      </c>
      <c r="AE859" s="442">
        <f t="shared" si="1715"/>
        <v>3154.8407138802272</v>
      </c>
      <c r="AF859" s="442">
        <f t="shared" si="1715"/>
        <v>3098</v>
      </c>
      <c r="AG859" s="442">
        <f t="shared" si="1715"/>
        <v>2938</v>
      </c>
      <c r="AH859" s="442">
        <f t="shared" si="1715"/>
        <v>6197.8407138802268</v>
      </c>
      <c r="AI859" s="442">
        <f t="shared" si="1715"/>
        <v>6036</v>
      </c>
      <c r="AJ859" s="442">
        <f t="shared" si="1715"/>
        <v>12233.840713880227</v>
      </c>
      <c r="AL859" s="2073">
        <f ca="1">SUM((INDIRECT(AL$2&amp;(ROW())):INDIRECT(AL$3&amp;(ROW()))))</f>
        <v>994</v>
      </c>
      <c r="AM859" s="2073">
        <f ca="1">SUM(INDIRECT(AM$1&amp;AM$2&amp;$C859):INDIRECT(AM$1&amp;AM$3&amp;$C859))</f>
        <v>0</v>
      </c>
      <c r="AN859" s="2556">
        <f t="shared" ca="1" si="1652"/>
        <v>994</v>
      </c>
      <c r="AO859" s="2557">
        <f t="shared" ca="1" si="1653"/>
        <v>0</v>
      </c>
      <c r="AP859" s="2073">
        <f ca="1">SUM(INDIRECT(AP$1&amp;AP$2&amp;$A859):INDIRECT(AP$1&amp;AP$3&amp;$A859))+SUM(INDIRECT(AP$1&amp;AP$2&amp;$B859):INDIRECT(AP$1&amp;AP$3&amp;$B859))</f>
        <v>929</v>
      </c>
      <c r="AQ859" s="2556">
        <f t="shared" ca="1" si="1654"/>
        <v>65</v>
      </c>
      <c r="AR859" s="2557">
        <f t="shared" ca="1" si="1655"/>
        <v>1.0699677072120559</v>
      </c>
      <c r="AT859" s="2073">
        <f ca="1">SUM((INDIRECT(AT$2&amp;(ROW())):INDIRECT(AT$3&amp;(ROW()))))</f>
        <v>2938</v>
      </c>
      <c r="AU859" s="2073">
        <f ca="1">SUM(INDIRECT(AU$1&amp;AU$2&amp;$C859):INDIRECT(AU$1&amp;AU$3&amp;$C859))</f>
        <v>0</v>
      </c>
      <c r="AV859" s="2556">
        <f t="shared" ca="1" si="1656"/>
        <v>2938</v>
      </c>
      <c r="AW859" s="2557">
        <f t="shared" ca="1" si="1657"/>
        <v>0</v>
      </c>
      <c r="AX859" s="2073">
        <f ca="1">SUM(INDIRECT(AX$1&amp;AX$2&amp;$A859):INDIRECT(AX$1&amp;AX$3&amp;$A859))+SUM(INDIRECT(AX$1&amp;AX$2&amp;$B859):INDIRECT(AX$1&amp;AX$3&amp;$B859))</f>
        <v>2544</v>
      </c>
      <c r="AY859" s="2556">
        <f t="shared" ca="1" si="1658"/>
        <v>394</v>
      </c>
      <c r="AZ859" s="2557">
        <f t="shared" ca="1" si="1659"/>
        <v>1.154874213836478</v>
      </c>
      <c r="BB859" s="2073">
        <f ca="1">SUM((INDIRECT(BB$2&amp;(ROW())):INDIRECT(BB$3&amp;(ROW()))))</f>
        <v>12233.840713880229</v>
      </c>
      <c r="BC859" s="2073">
        <f ca="1">SUM(INDIRECT(BC$1&amp;BC$2&amp;$C859):INDIRECT(BC$1&amp;BC$3&amp;$C859))</f>
        <v>0</v>
      </c>
      <c r="BD859" s="2556">
        <f t="shared" ca="1" si="1660"/>
        <v>12233.840713880229</v>
      </c>
      <c r="BE859" s="2557">
        <f t="shared" ca="1" si="1661"/>
        <v>0</v>
      </c>
      <c r="BF859" s="2073">
        <f ca="1">SUM(INDIRECT(BF$1&amp;BF$2&amp;$A859):INDIRECT(BF$1&amp;BF$3&amp;$A859))+SUM(INDIRECT(BF$1&amp;BF$2&amp;$B859):INDIRECT(BF$1&amp;BF$3&amp;$B859))</f>
        <v>10112</v>
      </c>
      <c r="BG859" s="2556">
        <f t="shared" ca="1" si="1662"/>
        <v>2121.8407138802286</v>
      </c>
      <c r="BH859" s="2557">
        <f t="shared" ca="1" si="1663"/>
        <v>1.2098339313568265</v>
      </c>
    </row>
    <row r="860" spans="1:60" ht="14.5">
      <c r="A860" s="990">
        <f t="shared" si="1648"/>
        <v>773</v>
      </c>
      <c r="B860" s="990">
        <v>1</v>
      </c>
      <c r="C860" s="990">
        <f t="shared" si="1649"/>
        <v>857</v>
      </c>
      <c r="D860" s="1121" t="s">
        <v>887</v>
      </c>
      <c r="E860" s="1243">
        <v>1</v>
      </c>
      <c r="F860" s="9"/>
      <c r="G860" s="9"/>
      <c r="I860" s="293"/>
      <c r="J860" s="9" t="s">
        <v>388</v>
      </c>
      <c r="K860" s="9"/>
      <c r="L860" s="9"/>
      <c r="Q860" s="1843" t="str">
        <f>CHOOSE(2, "6722000003779", "FC COGS (3) IP Included in COGS [PC(Service)]")</f>
        <v>FC COGS (3) IP Included in COGS [PC(Service)]</v>
      </c>
      <c r="R860" s="19">
        <f t="shared" ref="R860:AC860" si="1716">(R676+R682+R688+R694+R700+R704+R720+R726+R732+R738+R744+R748)*-1</f>
        <v>873</v>
      </c>
      <c r="S860" s="19">
        <f t="shared" si="1716"/>
        <v>998</v>
      </c>
      <c r="T860" s="19">
        <f t="shared" si="1716"/>
        <v>981</v>
      </c>
      <c r="U860" s="19">
        <f t="shared" si="1716"/>
        <v>984</v>
      </c>
      <c r="V860" s="19">
        <f t="shared" si="1716"/>
        <v>878.60572535691119</v>
      </c>
      <c r="W860" s="19">
        <f t="shared" si="1716"/>
        <v>916.6029885233163</v>
      </c>
      <c r="X860" s="19">
        <f t="shared" si="1716"/>
        <v>863</v>
      </c>
      <c r="Y860" s="19">
        <f t="shared" si="1716"/>
        <v>888</v>
      </c>
      <c r="Z860" s="19">
        <f t="shared" si="1716"/>
        <v>975</v>
      </c>
      <c r="AA860" s="19">
        <f t="shared" si="1716"/>
        <v>877</v>
      </c>
      <c r="AB860" s="19">
        <f t="shared" si="1716"/>
        <v>872</v>
      </c>
      <c r="AC860" s="19">
        <f t="shared" si="1716"/>
        <v>698</v>
      </c>
      <c r="AD860" s="144">
        <f>SUM(R860,S860,T860)</f>
        <v>2852</v>
      </c>
      <c r="AE860" s="145">
        <f t="shared" ref="AE860:AE863" si="1717">SUM(U860,V860,W860)</f>
        <v>2779.2087138802272</v>
      </c>
      <c r="AF860" s="145">
        <f t="shared" ref="AF860:AF863" si="1718">SUM(X860,Y860,Z860)</f>
        <v>2726</v>
      </c>
      <c r="AG860" s="145">
        <f t="shared" ref="AG860:AG863" si="1719">SUM(AA860,AB860,AC860)</f>
        <v>2447</v>
      </c>
      <c r="AH860" s="145">
        <f t="shared" ref="AH860:AH863" si="1720">AD860+AE860</f>
        <v>5631.2087138802272</v>
      </c>
      <c r="AI860" s="145">
        <f t="shared" ref="AI860:AI863" si="1721">AG860+AF860</f>
        <v>5173</v>
      </c>
      <c r="AJ860" s="145">
        <f t="shared" ref="AJ860:AJ863" si="1722">AH860+AI860</f>
        <v>10804.208713880227</v>
      </c>
      <c r="AL860" s="145">
        <f ca="1">SUM((INDIRECT(AL$2&amp;(ROW())):INDIRECT(AL$3&amp;(ROW()))))</f>
        <v>698</v>
      </c>
      <c r="AM860" s="145">
        <f ca="1">SUM(INDIRECT(AM$1&amp;AM$2&amp;$C860):INDIRECT(AM$1&amp;AM$3&amp;$C860))</f>
        <v>0</v>
      </c>
      <c r="AN860" s="912">
        <f t="shared" ca="1" si="1652"/>
        <v>698</v>
      </c>
      <c r="AO860" s="973">
        <f t="shared" ca="1" si="1653"/>
        <v>0</v>
      </c>
      <c r="AP860" s="145">
        <f ca="1">SUM(INDIRECT(AP$1&amp;AP$2&amp;$A860):INDIRECT(AP$1&amp;AP$3&amp;$A860))+SUM(INDIRECT(AP$1&amp;AP$2&amp;$B860):INDIRECT(AP$1&amp;AP$3&amp;$B860))</f>
        <v>708</v>
      </c>
      <c r="AQ860" s="912">
        <f t="shared" ca="1" si="1654"/>
        <v>-10</v>
      </c>
      <c r="AR860" s="973">
        <f t="shared" ca="1" si="1655"/>
        <v>0.98587570621468923</v>
      </c>
      <c r="AT860" s="145">
        <f ca="1">SUM((INDIRECT(AT$2&amp;(ROW())):INDIRECT(AT$3&amp;(ROW()))))</f>
        <v>2447</v>
      </c>
      <c r="AU860" s="145">
        <f ca="1">SUM(INDIRECT(AU$1&amp;AU$2&amp;$C860):INDIRECT(AU$1&amp;AU$3&amp;$C860))</f>
        <v>0</v>
      </c>
      <c r="AV860" s="912">
        <f t="shared" ca="1" si="1656"/>
        <v>2447</v>
      </c>
      <c r="AW860" s="973">
        <f t="shared" ca="1" si="1657"/>
        <v>0</v>
      </c>
      <c r="AX860" s="145">
        <f ca="1">SUM(INDIRECT(AX$1&amp;AX$2&amp;$A860):INDIRECT(AX$1&amp;AX$3&amp;$A860))+SUM(INDIRECT(AX$1&amp;AX$2&amp;$B860):INDIRECT(AX$1&amp;AX$3&amp;$B860))</f>
        <v>2123</v>
      </c>
      <c r="AY860" s="912">
        <f t="shared" ca="1" si="1658"/>
        <v>324</v>
      </c>
      <c r="AZ860" s="973">
        <f t="shared" ca="1" si="1659"/>
        <v>1.1526142251530853</v>
      </c>
      <c r="BB860" s="145">
        <f ca="1">SUM((INDIRECT(BB$2&amp;(ROW())):INDIRECT(BB$3&amp;(ROW()))))</f>
        <v>10804.208713880227</v>
      </c>
      <c r="BC860" s="145">
        <f ca="1">SUM(INDIRECT(BC$1&amp;BC$2&amp;$C860):INDIRECT(BC$1&amp;BC$3&amp;$C860))</f>
        <v>0</v>
      </c>
      <c r="BD860" s="912">
        <f t="shared" ca="1" si="1660"/>
        <v>10804.208713880227</v>
      </c>
      <c r="BE860" s="973">
        <f t="shared" ca="1" si="1661"/>
        <v>0</v>
      </c>
      <c r="BF860" s="145">
        <f ca="1">SUM(INDIRECT(BF$1&amp;BF$2&amp;$A860):INDIRECT(BF$1&amp;BF$3&amp;$A860))+SUM(INDIRECT(BF$1&amp;BF$2&amp;$B860):INDIRECT(BF$1&amp;BF$3&amp;$B860))</f>
        <v>9258</v>
      </c>
      <c r="BG860" s="912">
        <f t="shared" ca="1" si="1662"/>
        <v>1546.2087138802272</v>
      </c>
      <c r="BH860" s="973">
        <f t="shared" ca="1" si="1663"/>
        <v>1.1670132549017311</v>
      </c>
    </row>
    <row r="861" spans="1:60" ht="14.5">
      <c r="A861" s="990">
        <f t="shared" si="1648"/>
        <v>774</v>
      </c>
      <c r="B861" s="990">
        <v>1</v>
      </c>
      <c r="C861" s="990">
        <f t="shared" si="1649"/>
        <v>858</v>
      </c>
      <c r="D861" s="1121" t="s">
        <v>887</v>
      </c>
      <c r="E861" s="1243">
        <v>1</v>
      </c>
      <c r="F861" s="9"/>
      <c r="G861" s="9"/>
      <c r="I861" s="293"/>
      <c r="J861" s="9" t="s">
        <v>389</v>
      </c>
      <c r="K861" s="9"/>
      <c r="L861" s="9"/>
      <c r="Q861" s="1843" t="str">
        <f>CHOOSE(2, "6722000003780", "FC COGS (3) IP Included in COGS [TE(Service)]")</f>
        <v>FC COGS (3) IP Included in COGS [TE(Service)]</v>
      </c>
      <c r="R861" s="19">
        <f t="shared" ref="R861:AC861" si="1723">(R677+R683+R689+R695+R701+R721+R727+R733+R739+R745)*-1</f>
        <v>0</v>
      </c>
      <c r="S861" s="19">
        <f t="shared" si="1723"/>
        <v>63</v>
      </c>
      <c r="T861" s="19">
        <f t="shared" si="1723"/>
        <v>128</v>
      </c>
      <c r="U861" s="19">
        <f t="shared" si="1723"/>
        <v>143</v>
      </c>
      <c r="V861" s="19">
        <f t="shared" si="1723"/>
        <v>128.63200000000001</v>
      </c>
      <c r="W861" s="19">
        <f t="shared" si="1723"/>
        <v>104</v>
      </c>
      <c r="X861" s="19">
        <f t="shared" si="1723"/>
        <v>190</v>
      </c>
      <c r="Y861" s="19">
        <f t="shared" si="1723"/>
        <v>52</v>
      </c>
      <c r="Z861" s="19">
        <f t="shared" si="1723"/>
        <v>130</v>
      </c>
      <c r="AA861" s="19">
        <f t="shared" si="1723"/>
        <v>112</v>
      </c>
      <c r="AB861" s="19">
        <f t="shared" si="1723"/>
        <v>83</v>
      </c>
      <c r="AC861" s="19">
        <f t="shared" si="1723"/>
        <v>296</v>
      </c>
      <c r="AD861" s="144">
        <f>SUM(R861,S861,T861)</f>
        <v>191</v>
      </c>
      <c r="AE861" s="145">
        <f t="shared" si="1717"/>
        <v>375.63200000000001</v>
      </c>
      <c r="AF861" s="145">
        <f t="shared" si="1718"/>
        <v>372</v>
      </c>
      <c r="AG861" s="145">
        <f t="shared" si="1719"/>
        <v>491</v>
      </c>
      <c r="AH861" s="145">
        <f t="shared" si="1720"/>
        <v>566.63200000000006</v>
      </c>
      <c r="AI861" s="145">
        <f t="shared" si="1721"/>
        <v>863</v>
      </c>
      <c r="AJ861" s="145">
        <f t="shared" si="1722"/>
        <v>1429.6320000000001</v>
      </c>
      <c r="AL861" s="145">
        <f ca="1">SUM((INDIRECT(AL$2&amp;(ROW())):INDIRECT(AL$3&amp;(ROW()))))</f>
        <v>296</v>
      </c>
      <c r="AM861" s="145">
        <f ca="1">SUM(INDIRECT(AM$1&amp;AM$2&amp;$C861):INDIRECT(AM$1&amp;AM$3&amp;$C861))</f>
        <v>0</v>
      </c>
      <c r="AN861" s="912">
        <f t="shared" ca="1" si="1652"/>
        <v>296</v>
      </c>
      <c r="AO861" s="973">
        <f t="shared" ca="1" si="1653"/>
        <v>0</v>
      </c>
      <c r="AP861" s="145">
        <f ca="1">SUM(INDIRECT(AP$1&amp;AP$2&amp;$A861):INDIRECT(AP$1&amp;AP$3&amp;$A861))+SUM(INDIRECT(AP$1&amp;AP$2&amp;$B861):INDIRECT(AP$1&amp;AP$3&amp;$B861))</f>
        <v>221</v>
      </c>
      <c r="AQ861" s="912">
        <f t="shared" ca="1" si="1654"/>
        <v>75</v>
      </c>
      <c r="AR861" s="973">
        <f t="shared" ca="1" si="1655"/>
        <v>1.339366515837104</v>
      </c>
      <c r="AT861" s="145">
        <f ca="1">SUM((INDIRECT(AT$2&amp;(ROW())):INDIRECT(AT$3&amp;(ROW()))))</f>
        <v>491</v>
      </c>
      <c r="AU861" s="145">
        <f ca="1">SUM(INDIRECT(AU$1&amp;AU$2&amp;$C861):INDIRECT(AU$1&amp;AU$3&amp;$C861))</f>
        <v>0</v>
      </c>
      <c r="AV861" s="912">
        <f t="shared" ca="1" si="1656"/>
        <v>491</v>
      </c>
      <c r="AW861" s="973">
        <f t="shared" ca="1" si="1657"/>
        <v>0</v>
      </c>
      <c r="AX861" s="145">
        <f ca="1">SUM(INDIRECT(AX$1&amp;AX$2&amp;$A861):INDIRECT(AX$1&amp;AX$3&amp;$A861))+SUM(INDIRECT(AX$1&amp;AX$2&amp;$B861):INDIRECT(AX$1&amp;AX$3&amp;$B861))</f>
        <v>421</v>
      </c>
      <c r="AY861" s="912">
        <f t="shared" ca="1" si="1658"/>
        <v>70</v>
      </c>
      <c r="AZ861" s="973">
        <f t="shared" ca="1" si="1659"/>
        <v>1.1662707838479811</v>
      </c>
      <c r="BB861" s="145">
        <f ca="1">SUM((INDIRECT(BB$2&amp;(ROW())):INDIRECT(BB$3&amp;(ROW()))))</f>
        <v>1429.6320000000001</v>
      </c>
      <c r="BC861" s="145">
        <f ca="1">SUM(INDIRECT(BC$1&amp;BC$2&amp;$C861):INDIRECT(BC$1&amp;BC$3&amp;$C861))</f>
        <v>0</v>
      </c>
      <c r="BD861" s="912">
        <f t="shared" ca="1" si="1660"/>
        <v>1429.6320000000001</v>
      </c>
      <c r="BE861" s="973">
        <f t="shared" ca="1" si="1661"/>
        <v>0</v>
      </c>
      <c r="BF861" s="145">
        <f ca="1">SUM(INDIRECT(BF$1&amp;BF$2&amp;$A861):INDIRECT(BF$1&amp;BF$3&amp;$A861))+SUM(INDIRECT(BF$1&amp;BF$2&amp;$B861):INDIRECT(BF$1&amp;BF$3&amp;$B861))</f>
        <v>854</v>
      </c>
      <c r="BG861" s="912">
        <f t="shared" ca="1" si="1662"/>
        <v>575.63200000000006</v>
      </c>
      <c r="BH861" s="973">
        <f t="shared" ca="1" si="1663"/>
        <v>1.6740421545667448</v>
      </c>
    </row>
    <row r="862" spans="1:60" ht="14.5">
      <c r="A862" s="990">
        <f t="shared" si="1648"/>
        <v>775</v>
      </c>
      <c r="B862" s="990">
        <v>1</v>
      </c>
      <c r="C862" s="990">
        <f t="shared" si="1649"/>
        <v>859</v>
      </c>
      <c r="D862" s="1121" t="s">
        <v>887</v>
      </c>
      <c r="E862" s="1243">
        <v>1</v>
      </c>
      <c r="F862" s="9"/>
      <c r="G862" s="9"/>
      <c r="I862" s="195"/>
      <c r="J862" s="9" t="s">
        <v>468</v>
      </c>
      <c r="Q862" s="1848" t="str">
        <f>CHOOSE(2, "6722000003781", "FC COGS (3) IP Included in COGS [OFC(Service)]")</f>
        <v>FC COGS (3) IP Included in COGS [OFC(Service)]</v>
      </c>
      <c r="R862" s="107">
        <f t="shared" ref="R862:AC862" si="1724">(R678+R684+R690+R696+R702+R705+R722+R728+R734+R740+R746+R749)*-1</f>
        <v>0</v>
      </c>
      <c r="S862" s="107">
        <f t="shared" si="1724"/>
        <v>0</v>
      </c>
      <c r="T862" s="107">
        <f t="shared" si="1724"/>
        <v>0</v>
      </c>
      <c r="U862" s="107">
        <f t="shared" si="1724"/>
        <v>0</v>
      </c>
      <c r="V862" s="107">
        <f t="shared" si="1724"/>
        <v>0</v>
      </c>
      <c r="W862" s="107">
        <f t="shared" si="1724"/>
        <v>0</v>
      </c>
      <c r="X862" s="107">
        <f t="shared" si="1724"/>
        <v>0</v>
      </c>
      <c r="Y862" s="107">
        <f t="shared" si="1724"/>
        <v>0</v>
      </c>
      <c r="Z862" s="107">
        <f t="shared" si="1724"/>
        <v>0</v>
      </c>
      <c r="AA862" s="107">
        <f t="shared" si="1724"/>
        <v>0</v>
      </c>
      <c r="AB862" s="107">
        <f t="shared" si="1724"/>
        <v>0</v>
      </c>
      <c r="AC862" s="107">
        <f t="shared" si="1724"/>
        <v>0</v>
      </c>
      <c r="AD862" s="144">
        <f>SUM(R862,S862,T862)</f>
        <v>0</v>
      </c>
      <c r="AE862" s="145">
        <f t="shared" si="1717"/>
        <v>0</v>
      </c>
      <c r="AF862" s="145">
        <f t="shared" si="1718"/>
        <v>0</v>
      </c>
      <c r="AG862" s="145">
        <f t="shared" si="1719"/>
        <v>0</v>
      </c>
      <c r="AH862" s="145">
        <f t="shared" si="1720"/>
        <v>0</v>
      </c>
      <c r="AI862" s="145">
        <f t="shared" si="1721"/>
        <v>0</v>
      </c>
      <c r="AJ862" s="145">
        <f t="shared" si="1722"/>
        <v>0</v>
      </c>
      <c r="AL862" s="145">
        <f ca="1">SUM((INDIRECT(AL$2&amp;(ROW())):INDIRECT(AL$3&amp;(ROW()))))</f>
        <v>0</v>
      </c>
      <c r="AM862" s="145">
        <f ca="1">SUM(INDIRECT(AM$1&amp;AM$2&amp;$C862):INDIRECT(AM$1&amp;AM$3&amp;$C862))</f>
        <v>0</v>
      </c>
      <c r="AN862" s="912">
        <f t="shared" ca="1" si="1652"/>
        <v>0</v>
      </c>
      <c r="AO862" s="973">
        <f t="shared" ca="1" si="1653"/>
        <v>0</v>
      </c>
      <c r="AP862" s="145">
        <f ca="1">SUM(INDIRECT(AP$1&amp;AP$2&amp;$A862):INDIRECT(AP$1&amp;AP$3&amp;$A862))+SUM(INDIRECT(AP$1&amp;AP$2&amp;$B862):INDIRECT(AP$1&amp;AP$3&amp;$B862))</f>
        <v>0</v>
      </c>
      <c r="AQ862" s="912">
        <f t="shared" ca="1" si="1654"/>
        <v>0</v>
      </c>
      <c r="AR862" s="973">
        <f t="shared" ca="1" si="1655"/>
        <v>0</v>
      </c>
      <c r="AT862" s="145">
        <f ca="1">SUM((INDIRECT(AT$2&amp;(ROW())):INDIRECT(AT$3&amp;(ROW()))))</f>
        <v>0</v>
      </c>
      <c r="AU862" s="145">
        <f ca="1">SUM(INDIRECT(AU$1&amp;AU$2&amp;$C862):INDIRECT(AU$1&amp;AU$3&amp;$C862))</f>
        <v>0</v>
      </c>
      <c r="AV862" s="912">
        <f t="shared" ca="1" si="1656"/>
        <v>0</v>
      </c>
      <c r="AW862" s="973">
        <f t="shared" ca="1" si="1657"/>
        <v>0</v>
      </c>
      <c r="AX862" s="145">
        <f ca="1">SUM(INDIRECT(AX$1&amp;AX$2&amp;$A862):INDIRECT(AX$1&amp;AX$3&amp;$A862))+SUM(INDIRECT(AX$1&amp;AX$2&amp;$B862):INDIRECT(AX$1&amp;AX$3&amp;$B862))</f>
        <v>0</v>
      </c>
      <c r="AY862" s="912">
        <f t="shared" ca="1" si="1658"/>
        <v>0</v>
      </c>
      <c r="AZ862" s="973">
        <f t="shared" ca="1" si="1659"/>
        <v>0</v>
      </c>
      <c r="BB862" s="145">
        <f ca="1">SUM((INDIRECT(BB$2&amp;(ROW())):INDIRECT(BB$3&amp;(ROW()))))</f>
        <v>0</v>
      </c>
      <c r="BC862" s="145">
        <f ca="1">SUM(INDIRECT(BC$1&amp;BC$2&amp;$C862):INDIRECT(BC$1&amp;BC$3&amp;$C862))</f>
        <v>0</v>
      </c>
      <c r="BD862" s="912">
        <f t="shared" ca="1" si="1660"/>
        <v>0</v>
      </c>
      <c r="BE862" s="973">
        <f t="shared" ca="1" si="1661"/>
        <v>0</v>
      </c>
      <c r="BF862" s="145">
        <f ca="1">SUM(INDIRECT(BF$1&amp;BF$2&amp;$A862):INDIRECT(BF$1&amp;BF$3&amp;$A862))+SUM(INDIRECT(BF$1&amp;BF$2&amp;$B862):INDIRECT(BF$1&amp;BF$3&amp;$B862))</f>
        <v>0</v>
      </c>
      <c r="BG862" s="912">
        <f t="shared" ca="1" si="1662"/>
        <v>0</v>
      </c>
      <c r="BH862" s="973">
        <f t="shared" ca="1" si="1663"/>
        <v>0</v>
      </c>
    </row>
    <row r="863" spans="1:60" ht="14.5">
      <c r="A863" s="990">
        <f t="shared" si="1648"/>
        <v>776</v>
      </c>
      <c r="B863" s="990">
        <v>1</v>
      </c>
      <c r="C863" s="990">
        <f t="shared" si="1649"/>
        <v>860</v>
      </c>
      <c r="D863" s="1121" t="s">
        <v>887</v>
      </c>
      <c r="E863" s="1243">
        <v>1</v>
      </c>
      <c r="F863" s="9"/>
      <c r="G863" s="9"/>
      <c r="I863" s="194"/>
      <c r="J863" s="12" t="s">
        <v>525</v>
      </c>
      <c r="K863" s="18"/>
      <c r="L863" s="18"/>
      <c r="M863" s="12"/>
      <c r="N863" s="12"/>
      <c r="O863" s="12"/>
      <c r="P863" s="12"/>
      <c r="Q863" s="1848" t="str">
        <f>CHOOSE(2, "6722000003782", "FC COGS (3) IP Included in COGS [D&amp;A]")</f>
        <v>FC COGS (3) IP Included in COGS [D&amp;A]</v>
      </c>
      <c r="R863" s="113">
        <f t="shared" ref="R863:AC863" si="1725">(R706+R750)*-1</f>
        <v>0</v>
      </c>
      <c r="S863" s="113">
        <f t="shared" si="1725"/>
        <v>0</v>
      </c>
      <c r="T863" s="113">
        <f t="shared" si="1725"/>
        <v>0</v>
      </c>
      <c r="U863" s="113">
        <f t="shared" si="1725"/>
        <v>0</v>
      </c>
      <c r="V863" s="113">
        <f t="shared" si="1725"/>
        <v>0</v>
      </c>
      <c r="W863" s="113">
        <f t="shared" si="1725"/>
        <v>0</v>
      </c>
      <c r="X863" s="113">
        <f t="shared" si="1725"/>
        <v>0</v>
      </c>
      <c r="Y863" s="113">
        <f t="shared" si="1725"/>
        <v>0</v>
      </c>
      <c r="Z863" s="113">
        <f t="shared" si="1725"/>
        <v>0</v>
      </c>
      <c r="AA863" s="113">
        <f t="shared" si="1725"/>
        <v>0</v>
      </c>
      <c r="AB863" s="113">
        <f t="shared" si="1725"/>
        <v>0</v>
      </c>
      <c r="AC863" s="113">
        <f t="shared" si="1725"/>
        <v>0</v>
      </c>
      <c r="AD863" s="141">
        <f>SUM(R863,S863,T863)</f>
        <v>0</v>
      </c>
      <c r="AE863" s="142">
        <f t="shared" si="1717"/>
        <v>0</v>
      </c>
      <c r="AF863" s="142">
        <f t="shared" si="1718"/>
        <v>0</v>
      </c>
      <c r="AG863" s="142">
        <f t="shared" si="1719"/>
        <v>0</v>
      </c>
      <c r="AH863" s="142">
        <f t="shared" si="1720"/>
        <v>0</v>
      </c>
      <c r="AI863" s="142">
        <f t="shared" si="1721"/>
        <v>0</v>
      </c>
      <c r="AJ863" s="142">
        <f t="shared" si="1722"/>
        <v>0</v>
      </c>
      <c r="AL863" s="142">
        <f ca="1">SUM((INDIRECT(AL$2&amp;(ROW())):INDIRECT(AL$3&amp;(ROW()))))</f>
        <v>0</v>
      </c>
      <c r="AM863" s="142">
        <f ca="1">SUM(INDIRECT(AM$1&amp;AM$2&amp;$C863):INDIRECT(AM$1&amp;AM$3&amp;$C863))</f>
        <v>0</v>
      </c>
      <c r="AN863" s="877">
        <f t="shared" ca="1" si="1652"/>
        <v>0</v>
      </c>
      <c r="AO863" s="928">
        <f t="shared" ca="1" si="1653"/>
        <v>0</v>
      </c>
      <c r="AP863" s="142">
        <f ca="1">SUM(INDIRECT(AP$1&amp;AP$2&amp;$A863):INDIRECT(AP$1&amp;AP$3&amp;$A863))+SUM(INDIRECT(AP$1&amp;AP$2&amp;$B863):INDIRECT(AP$1&amp;AP$3&amp;$B863))</f>
        <v>0</v>
      </c>
      <c r="AQ863" s="877">
        <f t="shared" ca="1" si="1654"/>
        <v>0</v>
      </c>
      <c r="AR863" s="928">
        <f t="shared" ca="1" si="1655"/>
        <v>0</v>
      </c>
      <c r="AT863" s="142">
        <f ca="1">SUM((INDIRECT(AT$2&amp;(ROW())):INDIRECT(AT$3&amp;(ROW()))))</f>
        <v>0</v>
      </c>
      <c r="AU863" s="142">
        <f ca="1">SUM(INDIRECT(AU$1&amp;AU$2&amp;$C863):INDIRECT(AU$1&amp;AU$3&amp;$C863))</f>
        <v>0</v>
      </c>
      <c r="AV863" s="877">
        <f t="shared" ca="1" si="1656"/>
        <v>0</v>
      </c>
      <c r="AW863" s="928">
        <f t="shared" ca="1" si="1657"/>
        <v>0</v>
      </c>
      <c r="AX863" s="142">
        <f ca="1">SUM(INDIRECT(AX$1&amp;AX$2&amp;$A863):INDIRECT(AX$1&amp;AX$3&amp;$A863))+SUM(INDIRECT(AX$1&amp;AX$2&amp;$B863):INDIRECT(AX$1&amp;AX$3&amp;$B863))</f>
        <v>0</v>
      </c>
      <c r="AY863" s="877">
        <f t="shared" ca="1" si="1658"/>
        <v>0</v>
      </c>
      <c r="AZ863" s="928">
        <f t="shared" ca="1" si="1659"/>
        <v>0</v>
      </c>
      <c r="BB863" s="142">
        <f ca="1">SUM((INDIRECT(BB$2&amp;(ROW())):INDIRECT(BB$3&amp;(ROW()))))</f>
        <v>0</v>
      </c>
      <c r="BC863" s="142">
        <f ca="1">SUM(INDIRECT(BC$1&amp;BC$2&amp;$C863):INDIRECT(BC$1&amp;BC$3&amp;$C863))</f>
        <v>0</v>
      </c>
      <c r="BD863" s="877">
        <f t="shared" ca="1" si="1660"/>
        <v>0</v>
      </c>
      <c r="BE863" s="928">
        <f t="shared" ca="1" si="1661"/>
        <v>0</v>
      </c>
      <c r="BF863" s="142">
        <f ca="1">SUM(INDIRECT(BF$1&amp;BF$2&amp;$A863):INDIRECT(BF$1&amp;BF$3&amp;$A863))+SUM(INDIRECT(BF$1&amp;BF$2&amp;$B863):INDIRECT(BF$1&amp;BF$3&amp;$B863))</f>
        <v>0</v>
      </c>
      <c r="BG863" s="877">
        <f t="shared" ca="1" si="1662"/>
        <v>0</v>
      </c>
      <c r="BH863" s="928">
        <f t="shared" ca="1" si="1663"/>
        <v>0</v>
      </c>
    </row>
    <row r="864" spans="1:60" s="75" customFormat="1" ht="14.5">
      <c r="A864" s="990">
        <f t="shared" si="1648"/>
        <v>777</v>
      </c>
      <c r="B864" s="990">
        <v>1</v>
      </c>
      <c r="C864" s="990">
        <f t="shared" si="1649"/>
        <v>861</v>
      </c>
      <c r="D864" s="1121" t="s">
        <v>887</v>
      </c>
      <c r="E864" s="1243">
        <v>1</v>
      </c>
      <c r="F864" s="9"/>
      <c r="G864" s="9"/>
      <c r="H864" s="24"/>
      <c r="I864" s="427" t="s">
        <v>486</v>
      </c>
      <c r="J864" s="428"/>
      <c r="K864" s="429"/>
      <c r="L864" s="429"/>
      <c r="M864" s="429"/>
      <c r="N864" s="429"/>
      <c r="O864" s="429"/>
      <c r="P864" s="811"/>
      <c r="Q864" s="1883" t="str">
        <f>CHOOSE(2, "6722000003783", "FC COGS (4) MS")</f>
        <v>FC COGS (4) MS</v>
      </c>
      <c r="R864" s="2071">
        <f>SUM(R865:R868)</f>
        <v>0</v>
      </c>
      <c r="S864" s="2071">
        <f t="shared" ref="S864:AC864" si="1726">SUM(S865:S868)</f>
        <v>0</v>
      </c>
      <c r="T864" s="2071">
        <f t="shared" si="1726"/>
        <v>0</v>
      </c>
      <c r="U864" s="2071">
        <f t="shared" si="1726"/>
        <v>0</v>
      </c>
      <c r="V864" s="2071">
        <f t="shared" si="1726"/>
        <v>0</v>
      </c>
      <c r="W864" s="2071">
        <f t="shared" si="1726"/>
        <v>0</v>
      </c>
      <c r="X864" s="2071">
        <f t="shared" si="1726"/>
        <v>0</v>
      </c>
      <c r="Y864" s="2071">
        <f t="shared" si="1726"/>
        <v>0</v>
      </c>
      <c r="Z864" s="2071">
        <f t="shared" si="1726"/>
        <v>0</v>
      </c>
      <c r="AA864" s="2071">
        <f t="shared" si="1726"/>
        <v>0</v>
      </c>
      <c r="AB864" s="2071">
        <f t="shared" si="1726"/>
        <v>0</v>
      </c>
      <c r="AC864" s="2071">
        <f t="shared" si="1726"/>
        <v>0</v>
      </c>
      <c r="AD864" s="1551">
        <f t="shared" ref="AD864:AJ864" si="1727">SUM(AD865:AD868)</f>
        <v>0</v>
      </c>
      <c r="AE864" s="434">
        <f t="shared" si="1727"/>
        <v>0</v>
      </c>
      <c r="AF864" s="434">
        <f t="shared" si="1727"/>
        <v>0</v>
      </c>
      <c r="AG864" s="434">
        <f t="shared" si="1727"/>
        <v>0</v>
      </c>
      <c r="AH864" s="434">
        <f t="shared" si="1727"/>
        <v>0</v>
      </c>
      <c r="AI864" s="434">
        <f t="shared" si="1727"/>
        <v>0</v>
      </c>
      <c r="AJ864" s="434">
        <f t="shared" si="1727"/>
        <v>0</v>
      </c>
      <c r="AL864" s="2071">
        <f ca="1">SUM((INDIRECT(AL$2&amp;(ROW())):INDIRECT(AL$3&amp;(ROW()))))</f>
        <v>0</v>
      </c>
      <c r="AM864" s="2071">
        <f ca="1">SUM(INDIRECT(AM$1&amp;AM$2&amp;$C864):INDIRECT(AM$1&amp;AM$3&amp;$C864))</f>
        <v>0</v>
      </c>
      <c r="AN864" s="2558">
        <f t="shared" ca="1" si="1652"/>
        <v>0</v>
      </c>
      <c r="AO864" s="2559">
        <f t="shared" ca="1" si="1653"/>
        <v>0</v>
      </c>
      <c r="AP864" s="2071">
        <f ca="1">SUM(INDIRECT(AP$1&amp;AP$2&amp;$A864):INDIRECT(AP$1&amp;AP$3&amp;$A864))+SUM(INDIRECT(AP$1&amp;AP$2&amp;$B864):INDIRECT(AP$1&amp;AP$3&amp;$B864))</f>
        <v>0</v>
      </c>
      <c r="AQ864" s="2558">
        <f t="shared" ca="1" si="1654"/>
        <v>0</v>
      </c>
      <c r="AR864" s="2559">
        <f t="shared" ca="1" si="1655"/>
        <v>0</v>
      </c>
      <c r="AT864" s="2071">
        <f ca="1">SUM((INDIRECT(AT$2&amp;(ROW())):INDIRECT(AT$3&amp;(ROW()))))</f>
        <v>0</v>
      </c>
      <c r="AU864" s="2071">
        <f ca="1">SUM(INDIRECT(AU$1&amp;AU$2&amp;$C864):INDIRECT(AU$1&amp;AU$3&amp;$C864))</f>
        <v>0</v>
      </c>
      <c r="AV864" s="2558">
        <f t="shared" ca="1" si="1656"/>
        <v>0</v>
      </c>
      <c r="AW864" s="2559">
        <f t="shared" ca="1" si="1657"/>
        <v>0</v>
      </c>
      <c r="AX864" s="2071">
        <f ca="1">SUM(INDIRECT(AX$1&amp;AX$2&amp;$A864):INDIRECT(AX$1&amp;AX$3&amp;$A864))+SUM(INDIRECT(AX$1&amp;AX$2&amp;$B864):INDIRECT(AX$1&amp;AX$3&amp;$B864))</f>
        <v>0</v>
      </c>
      <c r="AY864" s="2558">
        <f t="shared" ca="1" si="1658"/>
        <v>0</v>
      </c>
      <c r="AZ864" s="2559">
        <f t="shared" ca="1" si="1659"/>
        <v>0</v>
      </c>
      <c r="BB864" s="2071">
        <f ca="1">SUM((INDIRECT(BB$2&amp;(ROW())):INDIRECT(BB$3&amp;(ROW()))))</f>
        <v>0</v>
      </c>
      <c r="BC864" s="2071">
        <f ca="1">SUM(INDIRECT(BC$1&amp;BC$2&amp;$C864):INDIRECT(BC$1&amp;BC$3&amp;$C864))</f>
        <v>0</v>
      </c>
      <c r="BD864" s="2558">
        <f t="shared" ca="1" si="1660"/>
        <v>0</v>
      </c>
      <c r="BE864" s="2559">
        <f t="shared" ca="1" si="1661"/>
        <v>0</v>
      </c>
      <c r="BF864" s="2071">
        <f ca="1">SUM(INDIRECT(BF$1&amp;BF$2&amp;$A864):INDIRECT(BF$1&amp;BF$3&amp;$A864))+SUM(INDIRECT(BF$1&amp;BF$2&amp;$B864):INDIRECT(BF$1&amp;BF$3&amp;$B864))</f>
        <v>0</v>
      </c>
      <c r="BG864" s="2558">
        <f t="shared" ca="1" si="1662"/>
        <v>0</v>
      </c>
      <c r="BH864" s="2559">
        <f t="shared" ca="1" si="1663"/>
        <v>0</v>
      </c>
    </row>
    <row r="865" spans="1:60" ht="14.5">
      <c r="A865" s="990">
        <f t="shared" si="1648"/>
        <v>778</v>
      </c>
      <c r="B865" s="990">
        <v>1</v>
      </c>
      <c r="C865" s="990">
        <f t="shared" si="1649"/>
        <v>862</v>
      </c>
      <c r="D865" s="1121" t="s">
        <v>887</v>
      </c>
      <c r="E865" s="1243">
        <v>1</v>
      </c>
      <c r="F865" s="9"/>
      <c r="G865" s="9"/>
      <c r="I865" s="212"/>
      <c r="J865" s="9" t="s">
        <v>388</v>
      </c>
      <c r="K865" s="9"/>
      <c r="L865" s="9"/>
      <c r="Q865" s="1845" t="str">
        <f>CHOOSE(2, "6722000003784", "FC COGS (4) MS Included in COGS [PC(Service)]")</f>
        <v>FC COGS (4) MS Included in COGS [PC(Service)]</v>
      </c>
      <c r="R865" s="2036">
        <v>0</v>
      </c>
      <c r="S865" s="2036">
        <v>0</v>
      </c>
      <c r="T865" s="2036">
        <v>0</v>
      </c>
      <c r="U865" s="2036">
        <v>0</v>
      </c>
      <c r="V865" s="2036">
        <v>0</v>
      </c>
      <c r="W865" s="2036">
        <v>0</v>
      </c>
      <c r="X865" s="2036">
        <v>0</v>
      </c>
      <c r="Y865" s="2036">
        <v>0</v>
      </c>
      <c r="Z865" s="2036">
        <v>0</v>
      </c>
      <c r="AA865" s="2036">
        <v>0</v>
      </c>
      <c r="AB865" s="2036">
        <v>0</v>
      </c>
      <c r="AC865" s="2036">
        <v>0</v>
      </c>
      <c r="AD865" s="144">
        <f>SUM(R865,S865,T865)</f>
        <v>0</v>
      </c>
      <c r="AE865" s="145">
        <f t="shared" ref="AE865:AE868" si="1728">SUM(U865,V865,W865)</f>
        <v>0</v>
      </c>
      <c r="AF865" s="145">
        <f t="shared" ref="AF865:AF868" si="1729">SUM(X865,Y865,Z865)</f>
        <v>0</v>
      </c>
      <c r="AG865" s="145">
        <f t="shared" ref="AG865:AG868" si="1730">SUM(AA865,AB865,AC865)</f>
        <v>0</v>
      </c>
      <c r="AH865" s="145">
        <f t="shared" ref="AH865:AH868" si="1731">AD865+AE865</f>
        <v>0</v>
      </c>
      <c r="AI865" s="145">
        <f t="shared" ref="AI865:AI868" si="1732">AG865+AF865</f>
        <v>0</v>
      </c>
      <c r="AJ865" s="145">
        <f t="shared" ref="AJ865:AJ868" si="1733">AH865+AI865</f>
        <v>0</v>
      </c>
      <c r="AL865" s="145">
        <f ca="1">SUM((INDIRECT(AL$2&amp;(ROW())):INDIRECT(AL$3&amp;(ROW()))))</f>
        <v>0</v>
      </c>
      <c r="AM865" s="145">
        <f ca="1">SUM(INDIRECT(AM$1&amp;AM$2&amp;$C865):INDIRECT(AM$1&amp;AM$3&amp;$C865))</f>
        <v>0</v>
      </c>
      <c r="AN865" s="912">
        <f t="shared" ca="1" si="1652"/>
        <v>0</v>
      </c>
      <c r="AO865" s="973">
        <f t="shared" ca="1" si="1653"/>
        <v>0</v>
      </c>
      <c r="AP865" s="145">
        <f ca="1">SUM(INDIRECT(AP$1&amp;AP$2&amp;$A865):INDIRECT(AP$1&amp;AP$3&amp;$A865))+SUM(INDIRECT(AP$1&amp;AP$2&amp;$B865):INDIRECT(AP$1&amp;AP$3&amp;$B865))</f>
        <v>0</v>
      </c>
      <c r="AQ865" s="912">
        <f t="shared" ca="1" si="1654"/>
        <v>0</v>
      </c>
      <c r="AR865" s="973">
        <f t="shared" ca="1" si="1655"/>
        <v>0</v>
      </c>
      <c r="AT865" s="145">
        <f ca="1">SUM((INDIRECT(AT$2&amp;(ROW())):INDIRECT(AT$3&amp;(ROW()))))</f>
        <v>0</v>
      </c>
      <c r="AU865" s="145">
        <f ca="1">SUM(INDIRECT(AU$1&amp;AU$2&amp;$C865):INDIRECT(AU$1&amp;AU$3&amp;$C865))</f>
        <v>0</v>
      </c>
      <c r="AV865" s="912">
        <f t="shared" ca="1" si="1656"/>
        <v>0</v>
      </c>
      <c r="AW865" s="973">
        <f t="shared" ca="1" si="1657"/>
        <v>0</v>
      </c>
      <c r="AX865" s="145">
        <f ca="1">SUM(INDIRECT(AX$1&amp;AX$2&amp;$A865):INDIRECT(AX$1&amp;AX$3&amp;$A865))+SUM(INDIRECT(AX$1&amp;AX$2&amp;$B865):INDIRECT(AX$1&amp;AX$3&amp;$B865))</f>
        <v>0</v>
      </c>
      <c r="AY865" s="912">
        <f t="shared" ca="1" si="1658"/>
        <v>0</v>
      </c>
      <c r="AZ865" s="973">
        <f t="shared" ca="1" si="1659"/>
        <v>0</v>
      </c>
      <c r="BB865" s="145">
        <f ca="1">SUM((INDIRECT(BB$2&amp;(ROW())):INDIRECT(BB$3&amp;(ROW()))))</f>
        <v>0</v>
      </c>
      <c r="BC865" s="145">
        <f ca="1">SUM(INDIRECT(BC$1&amp;BC$2&amp;$C865):INDIRECT(BC$1&amp;BC$3&amp;$C865))</f>
        <v>0</v>
      </c>
      <c r="BD865" s="912">
        <f t="shared" ca="1" si="1660"/>
        <v>0</v>
      </c>
      <c r="BE865" s="973">
        <f t="shared" ca="1" si="1661"/>
        <v>0</v>
      </c>
      <c r="BF865" s="145">
        <f ca="1">SUM(INDIRECT(BF$1&amp;BF$2&amp;$A865):INDIRECT(BF$1&amp;BF$3&amp;$A865))+SUM(INDIRECT(BF$1&amp;BF$2&amp;$B865):INDIRECT(BF$1&amp;BF$3&amp;$B865))</f>
        <v>0</v>
      </c>
      <c r="BG865" s="912">
        <f t="shared" ca="1" si="1662"/>
        <v>0</v>
      </c>
      <c r="BH865" s="973">
        <f t="shared" ca="1" si="1663"/>
        <v>0</v>
      </c>
    </row>
    <row r="866" spans="1:60" ht="14.5">
      <c r="A866" s="990">
        <f t="shared" si="1648"/>
        <v>779</v>
      </c>
      <c r="B866" s="990">
        <v>1</v>
      </c>
      <c r="C866" s="990">
        <f t="shared" si="1649"/>
        <v>863</v>
      </c>
      <c r="D866" s="1121" t="s">
        <v>887</v>
      </c>
      <c r="E866" s="1243">
        <v>1</v>
      </c>
      <c r="F866" s="9"/>
      <c r="G866" s="9"/>
      <c r="I866" s="212"/>
      <c r="J866" s="9" t="s">
        <v>389</v>
      </c>
      <c r="K866" s="9"/>
      <c r="L866" s="9"/>
      <c r="Q866" s="1845" t="str">
        <f>CHOOSE(2, "6722000003785", "FC COGS (4) MS Included in COGS [TE(Service)]")</f>
        <v>FC COGS (4) MS Included in COGS [TE(Service)]</v>
      </c>
      <c r="R866" s="2036">
        <v>0</v>
      </c>
      <c r="S866" s="2036">
        <v>0</v>
      </c>
      <c r="T866" s="2036">
        <v>0</v>
      </c>
      <c r="U866" s="2036">
        <v>0</v>
      </c>
      <c r="V866" s="2036">
        <v>0</v>
      </c>
      <c r="W866" s="2036">
        <v>0</v>
      </c>
      <c r="X866" s="2036">
        <v>0</v>
      </c>
      <c r="Y866" s="2036">
        <v>0</v>
      </c>
      <c r="Z866" s="2036">
        <v>0</v>
      </c>
      <c r="AA866" s="2036">
        <v>0</v>
      </c>
      <c r="AB866" s="2036">
        <v>0</v>
      </c>
      <c r="AC866" s="2036">
        <v>0</v>
      </c>
      <c r="AD866" s="144">
        <f>SUM(R866,S866,T866)</f>
        <v>0</v>
      </c>
      <c r="AE866" s="145">
        <f t="shared" si="1728"/>
        <v>0</v>
      </c>
      <c r="AF866" s="145">
        <f t="shared" si="1729"/>
        <v>0</v>
      </c>
      <c r="AG866" s="145">
        <f t="shared" si="1730"/>
        <v>0</v>
      </c>
      <c r="AH866" s="145">
        <f t="shared" si="1731"/>
        <v>0</v>
      </c>
      <c r="AI866" s="145">
        <f t="shared" si="1732"/>
        <v>0</v>
      </c>
      <c r="AJ866" s="145">
        <f t="shared" si="1733"/>
        <v>0</v>
      </c>
      <c r="AL866" s="145">
        <f ca="1">SUM((INDIRECT(AL$2&amp;(ROW())):INDIRECT(AL$3&amp;(ROW()))))</f>
        <v>0</v>
      </c>
      <c r="AM866" s="145">
        <f ca="1">SUM(INDIRECT(AM$1&amp;AM$2&amp;$C866):INDIRECT(AM$1&amp;AM$3&amp;$C866))</f>
        <v>0</v>
      </c>
      <c r="AN866" s="912">
        <f t="shared" ca="1" si="1652"/>
        <v>0</v>
      </c>
      <c r="AO866" s="973">
        <f t="shared" ca="1" si="1653"/>
        <v>0</v>
      </c>
      <c r="AP866" s="145">
        <f ca="1">SUM(INDIRECT(AP$1&amp;AP$2&amp;$A866):INDIRECT(AP$1&amp;AP$3&amp;$A866))+SUM(INDIRECT(AP$1&amp;AP$2&amp;$B866):INDIRECT(AP$1&amp;AP$3&amp;$B866))</f>
        <v>0</v>
      </c>
      <c r="AQ866" s="912">
        <f t="shared" ca="1" si="1654"/>
        <v>0</v>
      </c>
      <c r="AR866" s="973">
        <f t="shared" ca="1" si="1655"/>
        <v>0</v>
      </c>
      <c r="AT866" s="145">
        <f ca="1">SUM((INDIRECT(AT$2&amp;(ROW())):INDIRECT(AT$3&amp;(ROW()))))</f>
        <v>0</v>
      </c>
      <c r="AU866" s="145">
        <f ca="1">SUM(INDIRECT(AU$1&amp;AU$2&amp;$C866):INDIRECT(AU$1&amp;AU$3&amp;$C866))</f>
        <v>0</v>
      </c>
      <c r="AV866" s="912">
        <f t="shared" ca="1" si="1656"/>
        <v>0</v>
      </c>
      <c r="AW866" s="973">
        <f t="shared" ca="1" si="1657"/>
        <v>0</v>
      </c>
      <c r="AX866" s="145">
        <f ca="1">SUM(INDIRECT(AX$1&amp;AX$2&amp;$A866):INDIRECT(AX$1&amp;AX$3&amp;$A866))+SUM(INDIRECT(AX$1&amp;AX$2&amp;$B866):INDIRECT(AX$1&amp;AX$3&amp;$B866))</f>
        <v>0</v>
      </c>
      <c r="AY866" s="912">
        <f t="shared" ca="1" si="1658"/>
        <v>0</v>
      </c>
      <c r="AZ866" s="973">
        <f t="shared" ca="1" si="1659"/>
        <v>0</v>
      </c>
      <c r="BB866" s="145">
        <f ca="1">SUM((INDIRECT(BB$2&amp;(ROW())):INDIRECT(BB$3&amp;(ROW()))))</f>
        <v>0</v>
      </c>
      <c r="BC866" s="145">
        <f ca="1">SUM(INDIRECT(BC$1&amp;BC$2&amp;$C866):INDIRECT(BC$1&amp;BC$3&amp;$C866))</f>
        <v>0</v>
      </c>
      <c r="BD866" s="912">
        <f t="shared" ca="1" si="1660"/>
        <v>0</v>
      </c>
      <c r="BE866" s="973">
        <f t="shared" ca="1" si="1661"/>
        <v>0</v>
      </c>
      <c r="BF866" s="145">
        <f ca="1">SUM(INDIRECT(BF$1&amp;BF$2&amp;$A866):INDIRECT(BF$1&amp;BF$3&amp;$A866))+SUM(INDIRECT(BF$1&amp;BF$2&amp;$B866):INDIRECT(BF$1&amp;BF$3&amp;$B866))</f>
        <v>0</v>
      </c>
      <c r="BG866" s="912">
        <f t="shared" ca="1" si="1662"/>
        <v>0</v>
      </c>
      <c r="BH866" s="973">
        <f t="shared" ca="1" si="1663"/>
        <v>0</v>
      </c>
    </row>
    <row r="867" spans="1:60" ht="14.5">
      <c r="A867" s="990">
        <f t="shared" si="1648"/>
        <v>780</v>
      </c>
      <c r="B867" s="990">
        <v>1</v>
      </c>
      <c r="C867" s="990">
        <f t="shared" si="1649"/>
        <v>864</v>
      </c>
      <c r="D867" s="1121" t="s">
        <v>887</v>
      </c>
      <c r="E867" s="1243">
        <v>1</v>
      </c>
      <c r="F867" s="9"/>
      <c r="G867" s="9"/>
      <c r="I867" s="195"/>
      <c r="J867" s="9" t="s">
        <v>468</v>
      </c>
      <c r="Q867" s="1845" t="str">
        <f>CHOOSE(2, "6722000003786", "FC COGS (4) MS Included in COGS [OFC(Service)]")</f>
        <v>FC COGS (4) MS Included in COGS [OFC(Service)]</v>
      </c>
      <c r="R867" s="2036">
        <v>0</v>
      </c>
      <c r="S867" s="2036">
        <v>0</v>
      </c>
      <c r="T867" s="2036">
        <v>0</v>
      </c>
      <c r="U867" s="2036">
        <v>0</v>
      </c>
      <c r="V867" s="2036">
        <v>0</v>
      </c>
      <c r="W867" s="2036">
        <v>0</v>
      </c>
      <c r="X867" s="2036">
        <v>0</v>
      </c>
      <c r="Y867" s="2036">
        <v>0</v>
      </c>
      <c r="Z867" s="2036">
        <v>0</v>
      </c>
      <c r="AA867" s="2036">
        <v>0</v>
      </c>
      <c r="AB867" s="2036">
        <v>0</v>
      </c>
      <c r="AC867" s="2036">
        <v>0</v>
      </c>
      <c r="AD867" s="144">
        <f>SUM(R867,S867,T867)</f>
        <v>0</v>
      </c>
      <c r="AE867" s="145">
        <f t="shared" si="1728"/>
        <v>0</v>
      </c>
      <c r="AF867" s="145">
        <f t="shared" si="1729"/>
        <v>0</v>
      </c>
      <c r="AG867" s="145">
        <f t="shared" si="1730"/>
        <v>0</v>
      </c>
      <c r="AH867" s="145">
        <f t="shared" si="1731"/>
        <v>0</v>
      </c>
      <c r="AI867" s="145">
        <f t="shared" si="1732"/>
        <v>0</v>
      </c>
      <c r="AJ867" s="145">
        <f t="shared" si="1733"/>
        <v>0</v>
      </c>
      <c r="AL867" s="145">
        <f ca="1">SUM((INDIRECT(AL$2&amp;(ROW())):INDIRECT(AL$3&amp;(ROW()))))</f>
        <v>0</v>
      </c>
      <c r="AM867" s="145">
        <f ca="1">SUM(INDIRECT(AM$1&amp;AM$2&amp;$C867):INDIRECT(AM$1&amp;AM$3&amp;$C867))</f>
        <v>0</v>
      </c>
      <c r="AN867" s="912">
        <f t="shared" ca="1" si="1652"/>
        <v>0</v>
      </c>
      <c r="AO867" s="973">
        <f t="shared" ca="1" si="1653"/>
        <v>0</v>
      </c>
      <c r="AP867" s="145">
        <f ca="1">SUM(INDIRECT(AP$1&amp;AP$2&amp;$A867):INDIRECT(AP$1&amp;AP$3&amp;$A867))+SUM(INDIRECT(AP$1&amp;AP$2&amp;$B867):INDIRECT(AP$1&amp;AP$3&amp;$B867))</f>
        <v>0</v>
      </c>
      <c r="AQ867" s="912">
        <f t="shared" ca="1" si="1654"/>
        <v>0</v>
      </c>
      <c r="AR867" s="973">
        <f t="shared" ca="1" si="1655"/>
        <v>0</v>
      </c>
      <c r="AT867" s="145">
        <f ca="1">SUM((INDIRECT(AT$2&amp;(ROW())):INDIRECT(AT$3&amp;(ROW()))))</f>
        <v>0</v>
      </c>
      <c r="AU867" s="145">
        <f ca="1">SUM(INDIRECT(AU$1&amp;AU$2&amp;$C867):INDIRECT(AU$1&amp;AU$3&amp;$C867))</f>
        <v>0</v>
      </c>
      <c r="AV867" s="912">
        <f t="shared" ca="1" si="1656"/>
        <v>0</v>
      </c>
      <c r="AW867" s="973">
        <f t="shared" ca="1" si="1657"/>
        <v>0</v>
      </c>
      <c r="AX867" s="145">
        <f ca="1">SUM(INDIRECT(AX$1&amp;AX$2&amp;$A867):INDIRECT(AX$1&amp;AX$3&amp;$A867))+SUM(INDIRECT(AX$1&amp;AX$2&amp;$B867):INDIRECT(AX$1&amp;AX$3&amp;$B867))</f>
        <v>0</v>
      </c>
      <c r="AY867" s="912">
        <f t="shared" ca="1" si="1658"/>
        <v>0</v>
      </c>
      <c r="AZ867" s="973">
        <f t="shared" ca="1" si="1659"/>
        <v>0</v>
      </c>
      <c r="BB867" s="145">
        <f ca="1">SUM((INDIRECT(BB$2&amp;(ROW())):INDIRECT(BB$3&amp;(ROW()))))</f>
        <v>0</v>
      </c>
      <c r="BC867" s="145">
        <f ca="1">SUM(INDIRECT(BC$1&amp;BC$2&amp;$C867):INDIRECT(BC$1&amp;BC$3&amp;$C867))</f>
        <v>0</v>
      </c>
      <c r="BD867" s="912">
        <f t="shared" ca="1" si="1660"/>
        <v>0</v>
      </c>
      <c r="BE867" s="973">
        <f t="shared" ca="1" si="1661"/>
        <v>0</v>
      </c>
      <c r="BF867" s="145">
        <f ca="1">SUM(INDIRECT(BF$1&amp;BF$2&amp;$A867):INDIRECT(BF$1&amp;BF$3&amp;$A867))+SUM(INDIRECT(BF$1&amp;BF$2&amp;$B867):INDIRECT(BF$1&amp;BF$3&amp;$B867))</f>
        <v>0</v>
      </c>
      <c r="BG867" s="912">
        <f t="shared" ca="1" si="1662"/>
        <v>0</v>
      </c>
      <c r="BH867" s="973">
        <f t="shared" ca="1" si="1663"/>
        <v>0</v>
      </c>
    </row>
    <row r="868" spans="1:60" ht="14.5">
      <c r="A868" s="990">
        <f t="shared" si="1648"/>
        <v>781</v>
      </c>
      <c r="B868" s="990">
        <v>1</v>
      </c>
      <c r="C868" s="990">
        <f t="shared" si="1649"/>
        <v>865</v>
      </c>
      <c r="D868" s="1121" t="s">
        <v>887</v>
      </c>
      <c r="E868" s="1243">
        <v>1</v>
      </c>
      <c r="F868" s="9"/>
      <c r="G868" s="9"/>
      <c r="I868" s="194"/>
      <c r="J868" s="12" t="s">
        <v>525</v>
      </c>
      <c r="K868" s="18"/>
      <c r="L868" s="18"/>
      <c r="M868" s="12"/>
      <c r="N868" s="12"/>
      <c r="O868" s="12"/>
      <c r="P868" s="12"/>
      <c r="Q868" s="1845" t="str">
        <f>CHOOSE(2, "6722000003787", "FC COGS (4) MS Included in COGS [D&amp;A]")</f>
        <v>FC COGS (4) MS Included in COGS [D&amp;A]</v>
      </c>
      <c r="R868" s="2037">
        <v>0</v>
      </c>
      <c r="S868" s="2037">
        <v>0</v>
      </c>
      <c r="T868" s="2037">
        <v>0</v>
      </c>
      <c r="U868" s="2037">
        <v>0</v>
      </c>
      <c r="V868" s="2037">
        <v>0</v>
      </c>
      <c r="W868" s="2037">
        <v>0</v>
      </c>
      <c r="X868" s="2037">
        <v>0</v>
      </c>
      <c r="Y868" s="2037">
        <v>0</v>
      </c>
      <c r="Z868" s="2037">
        <v>0</v>
      </c>
      <c r="AA868" s="2037">
        <v>0</v>
      </c>
      <c r="AB868" s="2037">
        <v>0</v>
      </c>
      <c r="AC868" s="2037">
        <v>0</v>
      </c>
      <c r="AD868" s="141">
        <f>SUM(R868,S868,T868)</f>
        <v>0</v>
      </c>
      <c r="AE868" s="142">
        <f t="shared" si="1728"/>
        <v>0</v>
      </c>
      <c r="AF868" s="142">
        <f t="shared" si="1729"/>
        <v>0</v>
      </c>
      <c r="AG868" s="142">
        <f t="shared" si="1730"/>
        <v>0</v>
      </c>
      <c r="AH868" s="142">
        <f t="shared" si="1731"/>
        <v>0</v>
      </c>
      <c r="AI868" s="142">
        <f t="shared" si="1732"/>
        <v>0</v>
      </c>
      <c r="AJ868" s="142">
        <f t="shared" si="1733"/>
        <v>0</v>
      </c>
      <c r="AL868" s="142">
        <f ca="1">SUM((INDIRECT(AL$2&amp;(ROW())):INDIRECT(AL$3&amp;(ROW()))))</f>
        <v>0</v>
      </c>
      <c r="AM868" s="142">
        <f ca="1">SUM(INDIRECT(AM$1&amp;AM$2&amp;$C868):INDIRECT(AM$1&amp;AM$3&amp;$C868))</f>
        <v>0</v>
      </c>
      <c r="AN868" s="877">
        <f t="shared" ca="1" si="1652"/>
        <v>0</v>
      </c>
      <c r="AO868" s="928">
        <f t="shared" ca="1" si="1653"/>
        <v>0</v>
      </c>
      <c r="AP868" s="142">
        <f ca="1">SUM(INDIRECT(AP$1&amp;AP$2&amp;$A868):INDIRECT(AP$1&amp;AP$3&amp;$A868))+SUM(INDIRECT(AP$1&amp;AP$2&amp;$B868):INDIRECT(AP$1&amp;AP$3&amp;$B868))</f>
        <v>0</v>
      </c>
      <c r="AQ868" s="877">
        <f t="shared" ca="1" si="1654"/>
        <v>0</v>
      </c>
      <c r="AR868" s="928">
        <f t="shared" ca="1" si="1655"/>
        <v>0</v>
      </c>
      <c r="AT868" s="142">
        <f ca="1">SUM((INDIRECT(AT$2&amp;(ROW())):INDIRECT(AT$3&amp;(ROW()))))</f>
        <v>0</v>
      </c>
      <c r="AU868" s="142">
        <f ca="1">SUM(INDIRECT(AU$1&amp;AU$2&amp;$C868):INDIRECT(AU$1&amp;AU$3&amp;$C868))</f>
        <v>0</v>
      </c>
      <c r="AV868" s="877">
        <f t="shared" ca="1" si="1656"/>
        <v>0</v>
      </c>
      <c r="AW868" s="928">
        <f t="shared" ca="1" si="1657"/>
        <v>0</v>
      </c>
      <c r="AX868" s="142">
        <f ca="1">SUM(INDIRECT(AX$1&amp;AX$2&amp;$A868):INDIRECT(AX$1&amp;AX$3&amp;$A868))+SUM(INDIRECT(AX$1&amp;AX$2&amp;$B868):INDIRECT(AX$1&amp;AX$3&amp;$B868))</f>
        <v>0</v>
      </c>
      <c r="AY868" s="877">
        <f t="shared" ca="1" si="1658"/>
        <v>0</v>
      </c>
      <c r="AZ868" s="928">
        <f t="shared" ca="1" si="1659"/>
        <v>0</v>
      </c>
      <c r="BB868" s="142">
        <f ca="1">SUM((INDIRECT(BB$2&amp;(ROW())):INDIRECT(BB$3&amp;(ROW()))))</f>
        <v>0</v>
      </c>
      <c r="BC868" s="142">
        <f ca="1">SUM(INDIRECT(BC$1&amp;BC$2&amp;$C868):INDIRECT(BC$1&amp;BC$3&amp;$C868))</f>
        <v>0</v>
      </c>
      <c r="BD868" s="877">
        <f t="shared" ca="1" si="1660"/>
        <v>0</v>
      </c>
      <c r="BE868" s="928">
        <f t="shared" ca="1" si="1661"/>
        <v>0</v>
      </c>
      <c r="BF868" s="142">
        <f ca="1">SUM(INDIRECT(BF$1&amp;BF$2&amp;$A868):INDIRECT(BF$1&amp;BF$3&amp;$A868))+SUM(INDIRECT(BF$1&amp;BF$2&amp;$B868):INDIRECT(BF$1&amp;BF$3&amp;$B868))</f>
        <v>0</v>
      </c>
      <c r="BG868" s="877">
        <f t="shared" ca="1" si="1662"/>
        <v>0</v>
      </c>
      <c r="BH868" s="928">
        <f t="shared" ca="1" si="1663"/>
        <v>0</v>
      </c>
    </row>
    <row r="869" spans="1:60" s="75" customFormat="1" ht="14.5">
      <c r="A869" s="990">
        <f t="shared" si="1648"/>
        <v>782</v>
      </c>
      <c r="B869" s="990">
        <v>1</v>
      </c>
      <c r="C869" s="990">
        <f t="shared" si="1649"/>
        <v>866</v>
      </c>
      <c r="D869" s="1121" t="s">
        <v>887</v>
      </c>
      <c r="E869" s="1255">
        <v>1</v>
      </c>
      <c r="F869" s="9"/>
      <c r="H869" s="24"/>
      <c r="I869" s="1396" t="s">
        <v>922</v>
      </c>
      <c r="J869" s="424"/>
      <c r="K869" s="425"/>
      <c r="L869" s="425"/>
      <c r="M869" s="425"/>
      <c r="N869" s="425"/>
      <c r="O869" s="425"/>
      <c r="P869" s="814"/>
      <c r="Q869" s="1884" t="str">
        <f>CHOOSE(2, "6722000003788", "FC COGS (5) DW-DX")</f>
        <v>FC COGS (5) DW-DX</v>
      </c>
      <c r="R869" s="2069">
        <f>SUM(R870:R873)</f>
        <v>0</v>
      </c>
      <c r="S869" s="2069">
        <f t="shared" ref="S869:AC869" si="1734">SUM(S870:S873)</f>
        <v>0</v>
      </c>
      <c r="T869" s="2069">
        <f t="shared" si="1734"/>
        <v>0</v>
      </c>
      <c r="U869" s="2069">
        <f t="shared" si="1734"/>
        <v>0</v>
      </c>
      <c r="V869" s="2069">
        <f t="shared" si="1734"/>
        <v>0</v>
      </c>
      <c r="W869" s="2069">
        <f t="shared" si="1734"/>
        <v>0</v>
      </c>
      <c r="X869" s="2069">
        <f t="shared" si="1734"/>
        <v>0</v>
      </c>
      <c r="Y869" s="2069">
        <f t="shared" si="1734"/>
        <v>0</v>
      </c>
      <c r="Z869" s="2069">
        <f t="shared" si="1734"/>
        <v>0</v>
      </c>
      <c r="AA869" s="2069">
        <f t="shared" si="1734"/>
        <v>0</v>
      </c>
      <c r="AB869" s="2069">
        <f t="shared" si="1734"/>
        <v>0</v>
      </c>
      <c r="AC869" s="2069">
        <f t="shared" si="1734"/>
        <v>0</v>
      </c>
      <c r="AD869" s="1552">
        <f t="shared" ref="AD869:AJ869" si="1735">SUM(AD870:AD873)</f>
        <v>0</v>
      </c>
      <c r="AE869" s="426">
        <f t="shared" si="1735"/>
        <v>0</v>
      </c>
      <c r="AF869" s="426">
        <f t="shared" si="1735"/>
        <v>0</v>
      </c>
      <c r="AG869" s="426">
        <f t="shared" si="1735"/>
        <v>0</v>
      </c>
      <c r="AH869" s="426">
        <f t="shared" si="1735"/>
        <v>0</v>
      </c>
      <c r="AI869" s="426">
        <f t="shared" si="1735"/>
        <v>0</v>
      </c>
      <c r="AJ869" s="426">
        <f t="shared" si="1735"/>
        <v>0</v>
      </c>
      <c r="AL869" s="2069">
        <f ca="1">SUM((INDIRECT(AL$2&amp;(ROW())):INDIRECT(AL$3&amp;(ROW()))))</f>
        <v>0</v>
      </c>
      <c r="AM869" s="2069">
        <f ca="1">SUM(INDIRECT(AM$1&amp;AM$2&amp;$C869):INDIRECT(AM$1&amp;AM$3&amp;$C869))</f>
        <v>0</v>
      </c>
      <c r="AN869" s="2560">
        <f t="shared" ca="1" si="1652"/>
        <v>0</v>
      </c>
      <c r="AO869" s="2561">
        <f t="shared" ca="1" si="1653"/>
        <v>0</v>
      </c>
      <c r="AP869" s="2069">
        <f ca="1">SUM(INDIRECT(AP$1&amp;AP$2&amp;$A869):INDIRECT(AP$1&amp;AP$3&amp;$A869))+SUM(INDIRECT(AP$1&amp;AP$2&amp;$B869):INDIRECT(AP$1&amp;AP$3&amp;$B869))</f>
        <v>0</v>
      </c>
      <c r="AQ869" s="2560">
        <f t="shared" ca="1" si="1654"/>
        <v>0</v>
      </c>
      <c r="AR869" s="2561">
        <f t="shared" ca="1" si="1655"/>
        <v>0</v>
      </c>
      <c r="AT869" s="2069">
        <f ca="1">SUM((INDIRECT(AT$2&amp;(ROW())):INDIRECT(AT$3&amp;(ROW()))))</f>
        <v>0</v>
      </c>
      <c r="AU869" s="2069">
        <f ca="1">SUM(INDIRECT(AU$1&amp;AU$2&amp;$C869):INDIRECT(AU$1&amp;AU$3&amp;$C869))</f>
        <v>0</v>
      </c>
      <c r="AV869" s="2560">
        <f t="shared" ca="1" si="1656"/>
        <v>0</v>
      </c>
      <c r="AW869" s="2561">
        <f t="shared" ca="1" si="1657"/>
        <v>0</v>
      </c>
      <c r="AX869" s="2069">
        <f ca="1">SUM(INDIRECT(AX$1&amp;AX$2&amp;$A869):INDIRECT(AX$1&amp;AX$3&amp;$A869))+SUM(INDIRECT(AX$1&amp;AX$2&amp;$B869):INDIRECT(AX$1&amp;AX$3&amp;$B869))</f>
        <v>0</v>
      </c>
      <c r="AY869" s="2560">
        <f t="shared" ca="1" si="1658"/>
        <v>0</v>
      </c>
      <c r="AZ869" s="2561">
        <f t="shared" ca="1" si="1659"/>
        <v>0</v>
      </c>
      <c r="BB869" s="2069">
        <f ca="1">SUM((INDIRECT(BB$2&amp;(ROW())):INDIRECT(BB$3&amp;(ROW()))))</f>
        <v>0</v>
      </c>
      <c r="BC869" s="2069">
        <f ca="1">SUM(INDIRECT(BC$1&amp;BC$2&amp;$C869):INDIRECT(BC$1&amp;BC$3&amp;$C869))</f>
        <v>0</v>
      </c>
      <c r="BD869" s="2560">
        <f t="shared" ca="1" si="1660"/>
        <v>0</v>
      </c>
      <c r="BE869" s="2561">
        <f t="shared" ca="1" si="1661"/>
        <v>0</v>
      </c>
      <c r="BF869" s="2069">
        <f ca="1">SUM(INDIRECT(BF$1&amp;BF$2&amp;$A869):INDIRECT(BF$1&amp;BF$3&amp;$A869))+SUM(INDIRECT(BF$1&amp;BF$2&amp;$B869):INDIRECT(BF$1&amp;BF$3&amp;$B869))</f>
        <v>0</v>
      </c>
      <c r="BG869" s="2560">
        <f t="shared" ca="1" si="1662"/>
        <v>0</v>
      </c>
      <c r="BH869" s="2561">
        <f t="shared" ca="1" si="1663"/>
        <v>0</v>
      </c>
    </row>
    <row r="870" spans="1:60" ht="14.5">
      <c r="A870" s="990">
        <f t="shared" si="1648"/>
        <v>783</v>
      </c>
      <c r="B870" s="990">
        <v>1</v>
      </c>
      <c r="C870" s="990">
        <f t="shared" si="1649"/>
        <v>867</v>
      </c>
      <c r="D870" s="1121" t="s">
        <v>887</v>
      </c>
      <c r="E870" s="1244">
        <v>1</v>
      </c>
      <c r="F870" s="75"/>
      <c r="G870" s="75"/>
      <c r="I870" s="212"/>
      <c r="J870" s="9" t="s">
        <v>388</v>
      </c>
      <c r="K870" s="9"/>
      <c r="L870" s="9"/>
      <c r="Q870" s="1847" t="str">
        <f>CHOOSE(2, "6722000003789", "FC COGS (5) DW-DX Included in COGS [PC(Service)]")</f>
        <v>FC COGS (5) DW-DX Included in COGS [PC(Service)]</v>
      </c>
      <c r="R870" s="2091">
        <v>0</v>
      </c>
      <c r="S870" s="2091">
        <v>0</v>
      </c>
      <c r="T870" s="2091">
        <v>0</v>
      </c>
      <c r="U870" s="2091">
        <v>0</v>
      </c>
      <c r="V870" s="2091">
        <v>0</v>
      </c>
      <c r="W870" s="2091">
        <v>0</v>
      </c>
      <c r="X870" s="2091">
        <v>0</v>
      </c>
      <c r="Y870" s="2091">
        <v>0</v>
      </c>
      <c r="Z870" s="2091">
        <v>0</v>
      </c>
      <c r="AA870" s="2091">
        <v>0</v>
      </c>
      <c r="AB870" s="2091">
        <v>0</v>
      </c>
      <c r="AC870" s="2091">
        <v>0</v>
      </c>
      <c r="AD870" s="144">
        <f>SUM(R870,S870,T870)</f>
        <v>0</v>
      </c>
      <c r="AE870" s="145">
        <f t="shared" ref="AE870:AE873" si="1736">SUM(U870,V870,W870)</f>
        <v>0</v>
      </c>
      <c r="AF870" s="145">
        <f t="shared" ref="AF870:AF873" si="1737">SUM(X870,Y870,Z870)</f>
        <v>0</v>
      </c>
      <c r="AG870" s="145">
        <f t="shared" ref="AG870:AG873" si="1738">SUM(AA870,AB870,AC870)</f>
        <v>0</v>
      </c>
      <c r="AH870" s="145">
        <f t="shared" ref="AH870:AH873" si="1739">AD870+AE870</f>
        <v>0</v>
      </c>
      <c r="AI870" s="145">
        <f t="shared" ref="AI870:AI873" si="1740">AG870+AF870</f>
        <v>0</v>
      </c>
      <c r="AJ870" s="145">
        <f t="shared" ref="AJ870:AJ873" si="1741">AH870+AI870</f>
        <v>0</v>
      </c>
      <c r="AL870" s="145">
        <f ca="1">SUM((INDIRECT(AL$2&amp;(ROW())):INDIRECT(AL$3&amp;(ROW()))))</f>
        <v>0</v>
      </c>
      <c r="AM870" s="145">
        <f ca="1">SUM(INDIRECT(AM$1&amp;AM$2&amp;$C870):INDIRECT(AM$1&amp;AM$3&amp;$C870))</f>
        <v>0</v>
      </c>
      <c r="AN870" s="912">
        <f t="shared" ca="1" si="1652"/>
        <v>0</v>
      </c>
      <c r="AO870" s="973">
        <f t="shared" ca="1" si="1653"/>
        <v>0</v>
      </c>
      <c r="AP870" s="145">
        <f ca="1">SUM(INDIRECT(AP$1&amp;AP$2&amp;$A870):INDIRECT(AP$1&amp;AP$3&amp;$A870))+SUM(INDIRECT(AP$1&amp;AP$2&amp;$B870):INDIRECT(AP$1&amp;AP$3&amp;$B870))</f>
        <v>0</v>
      </c>
      <c r="AQ870" s="912">
        <f t="shared" ca="1" si="1654"/>
        <v>0</v>
      </c>
      <c r="AR870" s="973">
        <f t="shared" ca="1" si="1655"/>
        <v>0</v>
      </c>
      <c r="AT870" s="145">
        <f ca="1">SUM((INDIRECT(AT$2&amp;(ROW())):INDIRECT(AT$3&amp;(ROW()))))</f>
        <v>0</v>
      </c>
      <c r="AU870" s="145">
        <f ca="1">SUM(INDIRECT(AU$1&amp;AU$2&amp;$C870):INDIRECT(AU$1&amp;AU$3&amp;$C870))</f>
        <v>0</v>
      </c>
      <c r="AV870" s="912">
        <f t="shared" ca="1" si="1656"/>
        <v>0</v>
      </c>
      <c r="AW870" s="973">
        <f t="shared" ca="1" si="1657"/>
        <v>0</v>
      </c>
      <c r="AX870" s="145">
        <f ca="1">SUM(INDIRECT(AX$1&amp;AX$2&amp;$A870):INDIRECT(AX$1&amp;AX$3&amp;$A870))+SUM(INDIRECT(AX$1&amp;AX$2&amp;$B870):INDIRECT(AX$1&amp;AX$3&amp;$B870))</f>
        <v>0</v>
      </c>
      <c r="AY870" s="912">
        <f t="shared" ca="1" si="1658"/>
        <v>0</v>
      </c>
      <c r="AZ870" s="973">
        <f t="shared" ca="1" si="1659"/>
        <v>0</v>
      </c>
      <c r="BB870" s="145">
        <f ca="1">SUM((INDIRECT(BB$2&amp;(ROW())):INDIRECT(BB$3&amp;(ROW()))))</f>
        <v>0</v>
      </c>
      <c r="BC870" s="145">
        <f ca="1">SUM(INDIRECT(BC$1&amp;BC$2&amp;$C870):INDIRECT(BC$1&amp;BC$3&amp;$C870))</f>
        <v>0</v>
      </c>
      <c r="BD870" s="912">
        <f t="shared" ca="1" si="1660"/>
        <v>0</v>
      </c>
      <c r="BE870" s="973">
        <f t="shared" ca="1" si="1661"/>
        <v>0</v>
      </c>
      <c r="BF870" s="145">
        <f ca="1">SUM(INDIRECT(BF$1&amp;BF$2&amp;$A870):INDIRECT(BF$1&amp;BF$3&amp;$A870))+SUM(INDIRECT(BF$1&amp;BF$2&amp;$B870):INDIRECT(BF$1&amp;BF$3&amp;$B870))</f>
        <v>0</v>
      </c>
      <c r="BG870" s="912">
        <f t="shared" ca="1" si="1662"/>
        <v>0</v>
      </c>
      <c r="BH870" s="973">
        <f t="shared" ca="1" si="1663"/>
        <v>0</v>
      </c>
    </row>
    <row r="871" spans="1:60" ht="14.5">
      <c r="A871" s="990">
        <f t="shared" si="1648"/>
        <v>784</v>
      </c>
      <c r="B871" s="990">
        <v>1</v>
      </c>
      <c r="C871" s="990">
        <f t="shared" si="1649"/>
        <v>868</v>
      </c>
      <c r="D871" s="1121" t="s">
        <v>887</v>
      </c>
      <c r="E871" s="1244">
        <v>1</v>
      </c>
      <c r="F871" s="75"/>
      <c r="G871" s="75"/>
      <c r="I871" s="212"/>
      <c r="J871" s="9" t="s">
        <v>389</v>
      </c>
      <c r="K871" s="9"/>
      <c r="L871" s="9"/>
      <c r="Q871" s="1847" t="str">
        <f>CHOOSE(2, "6722000003790", "FC COGS (5) DW-DX Included in COGS [TE(Service)]")</f>
        <v>FC COGS (5) DW-DX Included in COGS [TE(Service)]</v>
      </c>
      <c r="R871" s="2091">
        <v>0</v>
      </c>
      <c r="S871" s="2091">
        <v>0</v>
      </c>
      <c r="T871" s="2091">
        <v>0</v>
      </c>
      <c r="U871" s="2091">
        <v>0</v>
      </c>
      <c r="V871" s="2091">
        <v>0</v>
      </c>
      <c r="W871" s="2091">
        <v>0</v>
      </c>
      <c r="X871" s="2091">
        <v>0</v>
      </c>
      <c r="Y871" s="2091">
        <v>0</v>
      </c>
      <c r="Z871" s="2091">
        <v>0</v>
      </c>
      <c r="AA871" s="2091">
        <v>0</v>
      </c>
      <c r="AB871" s="2091">
        <v>0</v>
      </c>
      <c r="AC871" s="2091">
        <v>0</v>
      </c>
      <c r="AD871" s="144">
        <f>SUM(R871,S871,T871)</f>
        <v>0</v>
      </c>
      <c r="AE871" s="145">
        <f t="shared" si="1736"/>
        <v>0</v>
      </c>
      <c r="AF871" s="145">
        <f t="shared" si="1737"/>
        <v>0</v>
      </c>
      <c r="AG871" s="145">
        <f t="shared" si="1738"/>
        <v>0</v>
      </c>
      <c r="AH871" s="145">
        <f t="shared" si="1739"/>
        <v>0</v>
      </c>
      <c r="AI871" s="145">
        <f t="shared" si="1740"/>
        <v>0</v>
      </c>
      <c r="AJ871" s="145">
        <f t="shared" si="1741"/>
        <v>0</v>
      </c>
      <c r="AL871" s="145">
        <f ca="1">SUM((INDIRECT(AL$2&amp;(ROW())):INDIRECT(AL$3&amp;(ROW()))))</f>
        <v>0</v>
      </c>
      <c r="AM871" s="145">
        <f ca="1">SUM(INDIRECT(AM$1&amp;AM$2&amp;$C871):INDIRECT(AM$1&amp;AM$3&amp;$C871))</f>
        <v>0</v>
      </c>
      <c r="AN871" s="912">
        <f t="shared" ca="1" si="1652"/>
        <v>0</v>
      </c>
      <c r="AO871" s="973">
        <f t="shared" ca="1" si="1653"/>
        <v>0</v>
      </c>
      <c r="AP871" s="145">
        <f ca="1">SUM(INDIRECT(AP$1&amp;AP$2&amp;$A871):INDIRECT(AP$1&amp;AP$3&amp;$A871))+SUM(INDIRECT(AP$1&amp;AP$2&amp;$B871):INDIRECT(AP$1&amp;AP$3&amp;$B871))</f>
        <v>0</v>
      </c>
      <c r="AQ871" s="912">
        <f t="shared" ca="1" si="1654"/>
        <v>0</v>
      </c>
      <c r="AR871" s="973">
        <f t="shared" ca="1" si="1655"/>
        <v>0</v>
      </c>
      <c r="AT871" s="145">
        <f ca="1">SUM((INDIRECT(AT$2&amp;(ROW())):INDIRECT(AT$3&amp;(ROW()))))</f>
        <v>0</v>
      </c>
      <c r="AU871" s="145">
        <f ca="1">SUM(INDIRECT(AU$1&amp;AU$2&amp;$C871):INDIRECT(AU$1&amp;AU$3&amp;$C871))</f>
        <v>0</v>
      </c>
      <c r="AV871" s="912">
        <f t="shared" ca="1" si="1656"/>
        <v>0</v>
      </c>
      <c r="AW871" s="973">
        <f t="shared" ca="1" si="1657"/>
        <v>0</v>
      </c>
      <c r="AX871" s="145">
        <f ca="1">SUM(INDIRECT(AX$1&amp;AX$2&amp;$A871):INDIRECT(AX$1&amp;AX$3&amp;$A871))+SUM(INDIRECT(AX$1&amp;AX$2&amp;$B871):INDIRECT(AX$1&amp;AX$3&amp;$B871))</f>
        <v>0</v>
      </c>
      <c r="AY871" s="912">
        <f t="shared" ca="1" si="1658"/>
        <v>0</v>
      </c>
      <c r="AZ871" s="973">
        <f t="shared" ca="1" si="1659"/>
        <v>0</v>
      </c>
      <c r="BB871" s="145">
        <f ca="1">SUM((INDIRECT(BB$2&amp;(ROW())):INDIRECT(BB$3&amp;(ROW()))))</f>
        <v>0</v>
      </c>
      <c r="BC871" s="145">
        <f ca="1">SUM(INDIRECT(BC$1&amp;BC$2&amp;$C871):INDIRECT(BC$1&amp;BC$3&amp;$C871))</f>
        <v>0</v>
      </c>
      <c r="BD871" s="912">
        <f t="shared" ca="1" si="1660"/>
        <v>0</v>
      </c>
      <c r="BE871" s="973">
        <f t="shared" ca="1" si="1661"/>
        <v>0</v>
      </c>
      <c r="BF871" s="145">
        <f ca="1">SUM(INDIRECT(BF$1&amp;BF$2&amp;$A871):INDIRECT(BF$1&amp;BF$3&amp;$A871))+SUM(INDIRECT(BF$1&amp;BF$2&amp;$B871):INDIRECT(BF$1&amp;BF$3&amp;$B871))</f>
        <v>0</v>
      </c>
      <c r="BG871" s="912">
        <f t="shared" ca="1" si="1662"/>
        <v>0</v>
      </c>
      <c r="BH871" s="973">
        <f t="shared" ca="1" si="1663"/>
        <v>0</v>
      </c>
    </row>
    <row r="872" spans="1:60" ht="14.5">
      <c r="A872" s="990">
        <f t="shared" si="1648"/>
        <v>785</v>
      </c>
      <c r="B872" s="990">
        <v>1</v>
      </c>
      <c r="C872" s="990">
        <f t="shared" si="1649"/>
        <v>869</v>
      </c>
      <c r="D872" s="1121" t="s">
        <v>887</v>
      </c>
      <c r="E872" s="1244">
        <v>1</v>
      </c>
      <c r="F872" s="75"/>
      <c r="G872" s="75"/>
      <c r="I872" s="195"/>
      <c r="J872" s="9" t="s">
        <v>467</v>
      </c>
      <c r="Q872" s="1847" t="str">
        <f>CHOOSE(2, "6722000003791", "FC COGS (5) DW-DX Included in COGS [OFC(Service)]")</f>
        <v>FC COGS (5) DW-DX Included in COGS [OFC(Service)]</v>
      </c>
      <c r="R872" s="2091">
        <v>0</v>
      </c>
      <c r="S872" s="2091">
        <v>0</v>
      </c>
      <c r="T872" s="2091">
        <v>0</v>
      </c>
      <c r="U872" s="2091">
        <v>0</v>
      </c>
      <c r="V872" s="2091">
        <v>0</v>
      </c>
      <c r="W872" s="2091">
        <v>0</v>
      </c>
      <c r="X872" s="2091">
        <v>0</v>
      </c>
      <c r="Y872" s="2091">
        <v>0</v>
      </c>
      <c r="Z872" s="2091">
        <v>0</v>
      </c>
      <c r="AA872" s="2091">
        <v>0</v>
      </c>
      <c r="AB872" s="2091">
        <v>0</v>
      </c>
      <c r="AC872" s="2091">
        <v>0</v>
      </c>
      <c r="AD872" s="144">
        <f>SUM(R872,S872,T872)</f>
        <v>0</v>
      </c>
      <c r="AE872" s="145">
        <f t="shared" si="1736"/>
        <v>0</v>
      </c>
      <c r="AF872" s="145">
        <f t="shared" si="1737"/>
        <v>0</v>
      </c>
      <c r="AG872" s="145">
        <f t="shared" si="1738"/>
        <v>0</v>
      </c>
      <c r="AH872" s="145">
        <f t="shared" si="1739"/>
        <v>0</v>
      </c>
      <c r="AI872" s="145">
        <f t="shared" si="1740"/>
        <v>0</v>
      </c>
      <c r="AJ872" s="145">
        <f t="shared" si="1741"/>
        <v>0</v>
      </c>
      <c r="AL872" s="145">
        <f ca="1">SUM((INDIRECT(AL$2&amp;(ROW())):INDIRECT(AL$3&amp;(ROW()))))</f>
        <v>0</v>
      </c>
      <c r="AM872" s="145">
        <f ca="1">SUM(INDIRECT(AM$1&amp;AM$2&amp;$C872):INDIRECT(AM$1&amp;AM$3&amp;$C872))</f>
        <v>0</v>
      </c>
      <c r="AN872" s="912">
        <f t="shared" ca="1" si="1652"/>
        <v>0</v>
      </c>
      <c r="AO872" s="973">
        <f t="shared" ca="1" si="1653"/>
        <v>0</v>
      </c>
      <c r="AP872" s="145">
        <f ca="1">SUM(INDIRECT(AP$1&amp;AP$2&amp;$A872):INDIRECT(AP$1&amp;AP$3&amp;$A872))+SUM(INDIRECT(AP$1&amp;AP$2&amp;$B872):INDIRECT(AP$1&amp;AP$3&amp;$B872))</f>
        <v>0</v>
      </c>
      <c r="AQ872" s="912">
        <f t="shared" ca="1" si="1654"/>
        <v>0</v>
      </c>
      <c r="AR872" s="973">
        <f t="shared" ca="1" si="1655"/>
        <v>0</v>
      </c>
      <c r="AT872" s="145">
        <f ca="1">SUM((INDIRECT(AT$2&amp;(ROW())):INDIRECT(AT$3&amp;(ROW()))))</f>
        <v>0</v>
      </c>
      <c r="AU872" s="145">
        <f ca="1">SUM(INDIRECT(AU$1&amp;AU$2&amp;$C872):INDIRECT(AU$1&amp;AU$3&amp;$C872))</f>
        <v>0</v>
      </c>
      <c r="AV872" s="912">
        <f t="shared" ca="1" si="1656"/>
        <v>0</v>
      </c>
      <c r="AW872" s="973">
        <f t="shared" ca="1" si="1657"/>
        <v>0</v>
      </c>
      <c r="AX872" s="145">
        <f ca="1">SUM(INDIRECT(AX$1&amp;AX$2&amp;$A872):INDIRECT(AX$1&amp;AX$3&amp;$A872))+SUM(INDIRECT(AX$1&amp;AX$2&amp;$B872):INDIRECT(AX$1&amp;AX$3&amp;$B872))</f>
        <v>0</v>
      </c>
      <c r="AY872" s="912">
        <f t="shared" ca="1" si="1658"/>
        <v>0</v>
      </c>
      <c r="AZ872" s="973">
        <f t="shared" ca="1" si="1659"/>
        <v>0</v>
      </c>
      <c r="BB872" s="145">
        <f ca="1">SUM((INDIRECT(BB$2&amp;(ROW())):INDIRECT(BB$3&amp;(ROW()))))</f>
        <v>0</v>
      </c>
      <c r="BC872" s="145">
        <f ca="1">SUM(INDIRECT(BC$1&amp;BC$2&amp;$C872):INDIRECT(BC$1&amp;BC$3&amp;$C872))</f>
        <v>0</v>
      </c>
      <c r="BD872" s="912">
        <f t="shared" ca="1" si="1660"/>
        <v>0</v>
      </c>
      <c r="BE872" s="973">
        <f t="shared" ca="1" si="1661"/>
        <v>0</v>
      </c>
      <c r="BF872" s="145">
        <f ca="1">SUM(INDIRECT(BF$1&amp;BF$2&amp;$A872):INDIRECT(BF$1&amp;BF$3&amp;$A872))+SUM(INDIRECT(BF$1&amp;BF$2&amp;$B872):INDIRECT(BF$1&amp;BF$3&amp;$B872))</f>
        <v>0</v>
      </c>
      <c r="BG872" s="912">
        <f t="shared" ca="1" si="1662"/>
        <v>0</v>
      </c>
      <c r="BH872" s="973">
        <f t="shared" ca="1" si="1663"/>
        <v>0</v>
      </c>
    </row>
    <row r="873" spans="1:60" ht="14.5">
      <c r="A873" s="990">
        <f t="shared" si="1648"/>
        <v>786</v>
      </c>
      <c r="B873" s="990">
        <v>1</v>
      </c>
      <c r="C873" s="990">
        <f t="shared" si="1649"/>
        <v>870</v>
      </c>
      <c r="D873" s="1121" t="s">
        <v>887</v>
      </c>
      <c r="E873" s="1244">
        <v>1</v>
      </c>
      <c r="F873" s="75"/>
      <c r="G873" s="75"/>
      <c r="I873" s="194"/>
      <c r="J873" s="12" t="s">
        <v>525</v>
      </c>
      <c r="K873" s="18"/>
      <c r="L873" s="18"/>
      <c r="M873" s="12"/>
      <c r="N873" s="12"/>
      <c r="O873" s="12"/>
      <c r="P873" s="12"/>
      <c r="Q873" s="1847" t="str">
        <f>CHOOSE(2, "6722000003792", "FC COGS (5) DW-DX Included in COGS [D&amp;A]")</f>
        <v>FC COGS (5) DW-DX Included in COGS [D&amp;A]</v>
      </c>
      <c r="R873" s="2092">
        <v>0</v>
      </c>
      <c r="S873" s="2092">
        <v>0</v>
      </c>
      <c r="T873" s="2092">
        <v>0</v>
      </c>
      <c r="U873" s="2092">
        <v>0</v>
      </c>
      <c r="V873" s="2092">
        <v>0</v>
      </c>
      <c r="W873" s="2092">
        <v>0</v>
      </c>
      <c r="X873" s="2092">
        <v>0</v>
      </c>
      <c r="Y873" s="2092">
        <v>0</v>
      </c>
      <c r="Z873" s="2092">
        <v>0</v>
      </c>
      <c r="AA873" s="2092">
        <v>0</v>
      </c>
      <c r="AB873" s="2092">
        <v>0</v>
      </c>
      <c r="AC873" s="2092">
        <v>0</v>
      </c>
      <c r="AD873" s="141">
        <f>SUM(R873,S873,T873)</f>
        <v>0</v>
      </c>
      <c r="AE873" s="142">
        <f t="shared" si="1736"/>
        <v>0</v>
      </c>
      <c r="AF873" s="142">
        <f t="shared" si="1737"/>
        <v>0</v>
      </c>
      <c r="AG873" s="142">
        <f t="shared" si="1738"/>
        <v>0</v>
      </c>
      <c r="AH873" s="142">
        <f t="shared" si="1739"/>
        <v>0</v>
      </c>
      <c r="AI873" s="142">
        <f t="shared" si="1740"/>
        <v>0</v>
      </c>
      <c r="AJ873" s="142">
        <f t="shared" si="1741"/>
        <v>0</v>
      </c>
      <c r="AL873" s="142">
        <f ca="1">SUM((INDIRECT(AL$2&amp;(ROW())):INDIRECT(AL$3&amp;(ROW()))))</f>
        <v>0</v>
      </c>
      <c r="AM873" s="142">
        <f ca="1">SUM(INDIRECT(AM$1&amp;AM$2&amp;$C873):INDIRECT(AM$1&amp;AM$3&amp;$C873))</f>
        <v>0</v>
      </c>
      <c r="AN873" s="877">
        <f t="shared" ca="1" si="1652"/>
        <v>0</v>
      </c>
      <c r="AO873" s="928">
        <f t="shared" ca="1" si="1653"/>
        <v>0</v>
      </c>
      <c r="AP873" s="142">
        <f ca="1">SUM(INDIRECT(AP$1&amp;AP$2&amp;$A873):INDIRECT(AP$1&amp;AP$3&amp;$A873))+SUM(INDIRECT(AP$1&amp;AP$2&amp;$B873):INDIRECT(AP$1&amp;AP$3&amp;$B873))</f>
        <v>0</v>
      </c>
      <c r="AQ873" s="877">
        <f t="shared" ca="1" si="1654"/>
        <v>0</v>
      </c>
      <c r="AR873" s="928">
        <f t="shared" ca="1" si="1655"/>
        <v>0</v>
      </c>
      <c r="AT873" s="142">
        <f ca="1">SUM((INDIRECT(AT$2&amp;(ROW())):INDIRECT(AT$3&amp;(ROW()))))</f>
        <v>0</v>
      </c>
      <c r="AU873" s="142">
        <f ca="1">SUM(INDIRECT(AU$1&amp;AU$2&amp;$C873):INDIRECT(AU$1&amp;AU$3&amp;$C873))</f>
        <v>0</v>
      </c>
      <c r="AV873" s="877">
        <f t="shared" ca="1" si="1656"/>
        <v>0</v>
      </c>
      <c r="AW873" s="928">
        <f t="shared" ca="1" si="1657"/>
        <v>0</v>
      </c>
      <c r="AX873" s="142">
        <f ca="1">SUM(INDIRECT(AX$1&amp;AX$2&amp;$A873):INDIRECT(AX$1&amp;AX$3&amp;$A873))+SUM(INDIRECT(AX$1&amp;AX$2&amp;$B873):INDIRECT(AX$1&amp;AX$3&amp;$B873))</f>
        <v>0</v>
      </c>
      <c r="AY873" s="877">
        <f t="shared" ca="1" si="1658"/>
        <v>0</v>
      </c>
      <c r="AZ873" s="928">
        <f t="shared" ca="1" si="1659"/>
        <v>0</v>
      </c>
      <c r="BB873" s="142">
        <f ca="1">SUM((INDIRECT(BB$2&amp;(ROW())):INDIRECT(BB$3&amp;(ROW()))))</f>
        <v>0</v>
      </c>
      <c r="BC873" s="142">
        <f ca="1">SUM(INDIRECT(BC$1&amp;BC$2&amp;$C873):INDIRECT(BC$1&amp;BC$3&amp;$C873))</f>
        <v>0</v>
      </c>
      <c r="BD873" s="877">
        <f t="shared" ca="1" si="1660"/>
        <v>0</v>
      </c>
      <c r="BE873" s="928">
        <f t="shared" ca="1" si="1661"/>
        <v>0</v>
      </c>
      <c r="BF873" s="142">
        <f ca="1">SUM(INDIRECT(BF$1&amp;BF$2&amp;$A873):INDIRECT(BF$1&amp;BF$3&amp;$A873))+SUM(INDIRECT(BF$1&amp;BF$2&amp;$B873):INDIRECT(BF$1&amp;BF$3&amp;$B873))</f>
        <v>0</v>
      </c>
      <c r="BG873" s="877">
        <f t="shared" ca="1" si="1662"/>
        <v>0</v>
      </c>
      <c r="BH873" s="928">
        <f t="shared" ca="1" si="1663"/>
        <v>0</v>
      </c>
    </row>
    <row r="874" spans="1:60" s="75" customFormat="1" ht="14.5">
      <c r="A874" s="990">
        <f t="shared" si="1648"/>
        <v>787</v>
      </c>
      <c r="B874" s="990">
        <v>1</v>
      </c>
      <c r="C874" s="990">
        <f t="shared" si="1649"/>
        <v>871</v>
      </c>
      <c r="D874" s="1121" t="s">
        <v>887</v>
      </c>
      <c r="E874" s="1243">
        <v>1</v>
      </c>
      <c r="F874" s="9"/>
      <c r="G874" s="9"/>
      <c r="H874" s="5"/>
      <c r="I874" s="14"/>
      <c r="J874" s="31"/>
      <c r="K874" s="24"/>
      <c r="L874" s="24"/>
      <c r="M874" s="31"/>
      <c r="N874" s="4"/>
      <c r="O874" s="4"/>
      <c r="P874" s="4"/>
      <c r="Q874" s="1880" t="str">
        <f>CHOOSE(2, "6722000003793", "▷ Blank 24")</f>
        <v>▷ Blank 24</v>
      </c>
      <c r="R874" s="2222"/>
      <c r="S874" s="87"/>
      <c r="T874" s="87"/>
      <c r="U874" s="87"/>
      <c r="V874" s="87"/>
      <c r="W874" s="87"/>
      <c r="X874" s="87"/>
      <c r="Y874" s="87"/>
      <c r="Z874" s="87"/>
      <c r="AA874" s="87"/>
      <c r="AB874" s="87"/>
      <c r="AC874" s="87"/>
      <c r="AD874" s="87"/>
      <c r="AE874" s="87"/>
      <c r="AF874" s="87"/>
      <c r="AG874" s="87"/>
      <c r="AH874" s="87"/>
      <c r="AI874" s="87"/>
      <c r="AJ874" s="87"/>
      <c r="AL874" s="87"/>
      <c r="AM874" s="87"/>
      <c r="AN874" s="87"/>
      <c r="AO874" s="87"/>
      <c r="AP874" s="87"/>
      <c r="AQ874" s="87"/>
      <c r="AR874" s="87"/>
      <c r="AT874" s="87"/>
      <c r="AU874" s="87"/>
      <c r="AV874" s="87"/>
      <c r="AW874" s="87"/>
      <c r="AX874" s="87"/>
      <c r="AY874" s="87"/>
      <c r="AZ874" s="87"/>
      <c r="BB874" s="87"/>
      <c r="BC874" s="87"/>
      <c r="BD874" s="87"/>
      <c r="BE874" s="87"/>
      <c r="BF874" s="87"/>
      <c r="BG874" s="87"/>
      <c r="BH874" s="87"/>
    </row>
    <row r="875" spans="1:60" ht="14.5">
      <c r="A875" s="990">
        <f t="shared" si="1648"/>
        <v>788</v>
      </c>
      <c r="B875" s="990">
        <v>1</v>
      </c>
      <c r="C875" s="990">
        <f t="shared" si="1649"/>
        <v>872</v>
      </c>
      <c r="E875" s="1243">
        <v>1</v>
      </c>
      <c r="F875" s="5"/>
      <c r="G875" s="5"/>
      <c r="H875" s="5"/>
      <c r="I875" s="5"/>
      <c r="J875" s="4"/>
      <c r="K875" s="5"/>
      <c r="L875" s="5"/>
      <c r="M875" s="4"/>
      <c r="N875" s="4"/>
      <c r="O875" s="4"/>
      <c r="P875" s="4"/>
      <c r="Q875" s="1839" t="str">
        <f>CHOOSE(2, "6722000003794", "▷ Blank 25")</f>
        <v>▷ Blank 25</v>
      </c>
      <c r="R875" s="2225"/>
      <c r="S875" s="1151"/>
      <c r="T875" s="1151"/>
      <c r="U875" s="1151"/>
      <c r="V875" s="1151"/>
      <c r="W875" s="1151"/>
      <c r="AA875" s="163"/>
    </row>
    <row r="876" spans="1:60" ht="25">
      <c r="A876" s="990">
        <f t="shared" si="1648"/>
        <v>789</v>
      </c>
      <c r="B876" s="990">
        <v>1</v>
      </c>
      <c r="C876" s="990">
        <f t="shared" si="1649"/>
        <v>873</v>
      </c>
      <c r="D876" s="1121" t="s">
        <v>887</v>
      </c>
      <c r="E876" s="1243">
        <v>1</v>
      </c>
      <c r="F876" s="60" t="s">
        <v>396</v>
      </c>
      <c r="G876" s="60"/>
      <c r="H876" s="561"/>
      <c r="P876" s="291"/>
      <c r="Q876" s="1838" t="str">
        <f>CHOOSE(2, "6722000003795", "3. Headcount")</f>
        <v>3. Headcount</v>
      </c>
      <c r="R876" s="2200"/>
    </row>
    <row r="877" spans="1:60" s="38" customFormat="1" ht="15.5">
      <c r="A877" s="990">
        <f t="shared" si="1648"/>
        <v>790</v>
      </c>
      <c r="B877" s="990">
        <v>1</v>
      </c>
      <c r="C877" s="990">
        <f t="shared" si="1649"/>
        <v>874</v>
      </c>
      <c r="D877" s="1121" t="s">
        <v>887</v>
      </c>
      <c r="E877" s="1243">
        <v>1</v>
      </c>
      <c r="G877" s="315" t="s">
        <v>397</v>
      </c>
      <c r="H877" s="562"/>
      <c r="I877" s="5"/>
      <c r="J877" s="4"/>
      <c r="K877" s="5"/>
      <c r="L877" s="5"/>
      <c r="M877" s="4"/>
      <c r="N877" s="4"/>
      <c r="O877" s="4"/>
      <c r="P877" s="4"/>
      <c r="Q877" s="1839" t="str">
        <f>CHOOSE(2, "6722000003796", "3-1. Headcount Details")</f>
        <v>3-1. Headcount Details</v>
      </c>
      <c r="R877" s="2225"/>
      <c r="S877" s="1151"/>
      <c r="T877" s="1151"/>
      <c r="U877" s="1151"/>
      <c r="V877" s="1151"/>
      <c r="W877" s="1151"/>
      <c r="X877" s="2179"/>
      <c r="Y877" s="2179"/>
      <c r="Z877" s="2179"/>
      <c r="AA877" s="2179"/>
    </row>
    <row r="878" spans="1:60" s="38" customFormat="1" ht="14.5">
      <c r="A878" s="990">
        <f t="shared" si="1648"/>
        <v>791</v>
      </c>
      <c r="B878" s="990">
        <v>1</v>
      </c>
      <c r="C878" s="990">
        <f t="shared" si="1649"/>
        <v>875</v>
      </c>
      <c r="D878" s="1121" t="s">
        <v>887</v>
      </c>
      <c r="E878" s="1243">
        <v>1</v>
      </c>
      <c r="F878" s="5"/>
      <c r="G878" s="5"/>
      <c r="H878" s="5" t="s">
        <v>228</v>
      </c>
      <c r="I878" s="5"/>
      <c r="J878" s="4"/>
      <c r="K878" s="5"/>
      <c r="L878" s="5"/>
      <c r="M878" s="4"/>
      <c r="N878" s="4"/>
      <c r="O878" s="4"/>
      <c r="P878" s="4"/>
      <c r="Q878" s="1839" t="str">
        <f>CHOOSE(2, "6722000003797", "HC (0) Total")</f>
        <v>HC (0) Total</v>
      </c>
      <c r="R878" s="2225"/>
      <c r="S878" s="1151"/>
      <c r="T878" s="1151"/>
      <c r="U878" s="1151"/>
      <c r="V878" s="1151"/>
      <c r="W878" s="1151"/>
      <c r="X878" s="2179"/>
      <c r="Y878" s="2179"/>
      <c r="Z878" s="2179"/>
      <c r="AA878" s="2179"/>
    </row>
    <row r="879" spans="1:60" s="345" customFormat="1" ht="14.5">
      <c r="A879" s="990">
        <f t="shared" si="1648"/>
        <v>792</v>
      </c>
      <c r="B879" s="990">
        <v>1</v>
      </c>
      <c r="C879" s="990">
        <f t="shared" si="1649"/>
        <v>876</v>
      </c>
      <c r="D879" s="1121" t="s">
        <v>887</v>
      </c>
      <c r="E879" s="1243">
        <v>1</v>
      </c>
      <c r="F879" s="340"/>
      <c r="G879" s="340"/>
      <c r="H879" s="341"/>
      <c r="I879" s="346" t="s">
        <v>328</v>
      </c>
      <c r="J879" s="347"/>
      <c r="K879" s="348"/>
      <c r="L879" s="348"/>
      <c r="M879" s="348"/>
      <c r="N879" s="348"/>
      <c r="O879" s="348"/>
      <c r="P879" s="657"/>
      <c r="Q879" s="1885" t="str">
        <f>CHOOSE(2, "6722000003798", "HC FE/TTOC")</f>
        <v>HC FE/TTOC</v>
      </c>
      <c r="R879" s="2137">
        <f t="shared" ref="R879:AC879" si="1742">R880+R885+R891+R896+R902</f>
        <v>711</v>
      </c>
      <c r="S879" s="2012">
        <f t="shared" si="1742"/>
        <v>711</v>
      </c>
      <c r="T879" s="2012">
        <f t="shared" si="1742"/>
        <v>706</v>
      </c>
      <c r="U879" s="2012">
        <f t="shared" si="1742"/>
        <v>715</v>
      </c>
      <c r="V879" s="2012">
        <f t="shared" si="1742"/>
        <v>715</v>
      </c>
      <c r="W879" s="2012">
        <f t="shared" si="1742"/>
        <v>716</v>
      </c>
      <c r="X879" s="2012">
        <f t="shared" si="1742"/>
        <v>722</v>
      </c>
      <c r="Y879" s="2012">
        <f t="shared" si="1742"/>
        <v>725</v>
      </c>
      <c r="Z879" s="2012">
        <f t="shared" si="1742"/>
        <v>727</v>
      </c>
      <c r="AA879" s="2012">
        <f t="shared" si="1742"/>
        <v>732</v>
      </c>
      <c r="AB879" s="2012">
        <f t="shared" si="1742"/>
        <v>735</v>
      </c>
      <c r="AC879" s="2012">
        <f t="shared" si="1742"/>
        <v>732</v>
      </c>
      <c r="AD879" s="658">
        <f t="shared" ref="AD879:AJ879" si="1743">AD880+AD885+AD891+AD896+AD902</f>
        <v>706</v>
      </c>
      <c r="AE879" s="337">
        <f t="shared" si="1743"/>
        <v>716</v>
      </c>
      <c r="AF879" s="337">
        <f t="shared" si="1743"/>
        <v>727</v>
      </c>
      <c r="AG879" s="337">
        <f t="shared" si="1743"/>
        <v>732</v>
      </c>
      <c r="AH879" s="337">
        <f t="shared" si="1743"/>
        <v>716</v>
      </c>
      <c r="AI879" s="337">
        <f t="shared" si="1743"/>
        <v>732</v>
      </c>
      <c r="AJ879" s="337">
        <f t="shared" si="1743"/>
        <v>732</v>
      </c>
      <c r="AL879" s="2137">
        <f t="shared" ref="AL879:AL906" ca="1" si="1744">INDIRECT(AL$3&amp;(ROW()))</f>
        <v>732</v>
      </c>
      <c r="AM879" s="337">
        <f t="shared" ref="AM879:AM906" ca="1" si="1745">INDIRECT(AM$1&amp;AM$3&amp;$C879)</f>
        <v>0</v>
      </c>
      <c r="AN879" s="2562">
        <f t="shared" ref="AN879:AN906" ca="1" si="1746">AL879-AM879</f>
        <v>732</v>
      </c>
      <c r="AO879" s="1726">
        <f t="shared" ref="AO879:AO906" ca="1" si="1747">IFERROR(AL879/AM879,0)</f>
        <v>0</v>
      </c>
      <c r="AP879" s="337">
        <f t="shared" ref="AP879:AP906" ca="1" si="1748">INDIRECT(AP$1&amp;AP$3&amp;$A879)+INDIRECT(AP$1&amp;AP$3&amp;$B879)</f>
        <v>707</v>
      </c>
      <c r="AQ879" s="2562">
        <f t="shared" ref="AQ879:AQ906" ca="1" si="1749">AL879-AP879</f>
        <v>25</v>
      </c>
      <c r="AR879" s="1726">
        <f t="shared" ref="AR879:AR906" ca="1" si="1750">IFERROR(AL879/AP879,0)</f>
        <v>1.0353606789250354</v>
      </c>
      <c r="AT879" s="2137">
        <f t="shared" ref="AT879:AT906" ca="1" si="1751">INDIRECT(AT$3&amp;(ROW()))</f>
        <v>732</v>
      </c>
      <c r="AU879" s="337">
        <f t="shared" ref="AU879:AU906" ca="1" si="1752">INDIRECT(AU$1&amp;AU$3&amp;$C879)</f>
        <v>0</v>
      </c>
      <c r="AV879" s="2562">
        <f t="shared" ref="AV879:AV906" ca="1" si="1753">AT879-AU879</f>
        <v>732</v>
      </c>
      <c r="AW879" s="1726">
        <f t="shared" ref="AW879:AW906" ca="1" si="1754">IFERROR(AT879/AU879,0)</f>
        <v>0</v>
      </c>
      <c r="AX879" s="337">
        <f t="shared" ref="AX879:AX906" ca="1" si="1755">INDIRECT(AX$1&amp;AX$3&amp;$A879)+INDIRECT(AX$1&amp;AX$3&amp;$B879)</f>
        <v>707</v>
      </c>
      <c r="AY879" s="2562">
        <f t="shared" ref="AY879:AY906" ca="1" si="1756">AT879-AX879</f>
        <v>25</v>
      </c>
      <c r="AZ879" s="1726">
        <f t="shared" ref="AZ879:AZ906" ca="1" si="1757">IFERROR(AT879/AX879,0)</f>
        <v>1.0353606789250354</v>
      </c>
      <c r="BB879" s="2137">
        <f t="shared" ref="BB879:BB906" ca="1" si="1758">INDIRECT(BB$3&amp;(ROW()))</f>
        <v>732</v>
      </c>
      <c r="BC879" s="337">
        <f t="shared" ref="BC879:BC906" ca="1" si="1759">INDIRECT(BC$1&amp;BC$3&amp;$C879)</f>
        <v>0</v>
      </c>
      <c r="BD879" s="2562">
        <f t="shared" ref="BD879:BD906" ca="1" si="1760">BB879-BC879</f>
        <v>732</v>
      </c>
      <c r="BE879" s="1726">
        <f t="shared" ref="BE879:BE906" ca="1" si="1761">IFERROR(BB879/BC879,0)</f>
        <v>0</v>
      </c>
      <c r="BF879" s="337">
        <f t="shared" ref="BF879:BF906" ca="1" si="1762">INDIRECT(BF$1&amp;BF$3&amp;$A879)+INDIRECT(BF$1&amp;BF$3&amp;$B879)</f>
        <v>707</v>
      </c>
      <c r="BG879" s="2562">
        <f t="shared" ref="BG879:BG906" ca="1" si="1763">BB879-BF879</f>
        <v>25</v>
      </c>
      <c r="BH879" s="1726">
        <f t="shared" ref="BH879:BH906" ca="1" si="1764">IFERROR(BB879/BF879,0)</f>
        <v>1.0353606789250354</v>
      </c>
    </row>
    <row r="880" spans="1:60" s="38" customFormat="1" ht="14.5">
      <c r="A880" s="990">
        <f t="shared" si="1648"/>
        <v>793</v>
      </c>
      <c r="B880" s="990">
        <v>1</v>
      </c>
      <c r="C880" s="990">
        <f t="shared" si="1649"/>
        <v>877</v>
      </c>
      <c r="D880" s="1121" t="s">
        <v>887</v>
      </c>
      <c r="E880" s="1243">
        <v>1</v>
      </c>
      <c r="F880" s="5"/>
      <c r="G880" s="5"/>
      <c r="H880" s="5"/>
      <c r="I880" s="338"/>
      <c r="J880" s="52" t="s">
        <v>62</v>
      </c>
      <c r="K880" s="52"/>
      <c r="L880" s="52"/>
      <c r="M880" s="51"/>
      <c r="N880" s="51"/>
      <c r="O880" s="51"/>
      <c r="P880" s="51"/>
      <c r="Q880" s="1851" t="str">
        <f>CHOOSE(2, "6722000003799", "HC FE/TTOC Sales Total")</f>
        <v>HC FE/TTOC Sales Total</v>
      </c>
      <c r="R880" s="49">
        <f t="shared" ref="R880" si="1765">SUM(R881:R884)</f>
        <v>173</v>
      </c>
      <c r="S880" s="49">
        <f t="shared" ref="S880:AC880" si="1766">SUM(S881:S884)</f>
        <v>172</v>
      </c>
      <c r="T880" s="49">
        <f t="shared" si="1766"/>
        <v>169</v>
      </c>
      <c r="U880" s="49">
        <f t="shared" si="1766"/>
        <v>171</v>
      </c>
      <c r="V880" s="49">
        <f t="shared" si="1766"/>
        <v>171</v>
      </c>
      <c r="W880" s="49">
        <f t="shared" si="1766"/>
        <v>173</v>
      </c>
      <c r="X880" s="49">
        <f t="shared" si="1766"/>
        <v>176</v>
      </c>
      <c r="Y880" s="49">
        <f t="shared" si="1766"/>
        <v>175</v>
      </c>
      <c r="Z880" s="49">
        <f t="shared" si="1766"/>
        <v>177</v>
      </c>
      <c r="AA880" s="49">
        <f t="shared" si="1766"/>
        <v>179</v>
      </c>
      <c r="AB880" s="49">
        <f t="shared" si="1766"/>
        <v>181</v>
      </c>
      <c r="AC880" s="49">
        <f t="shared" si="1766"/>
        <v>176</v>
      </c>
      <c r="AD880" s="1553">
        <f t="shared" ref="AD880:AJ880" si="1767">SUM(AD881:AD884)</f>
        <v>169</v>
      </c>
      <c r="AE880" s="49">
        <f t="shared" si="1767"/>
        <v>173</v>
      </c>
      <c r="AF880" s="49">
        <f t="shared" si="1767"/>
        <v>177</v>
      </c>
      <c r="AG880" s="49">
        <f t="shared" si="1767"/>
        <v>176</v>
      </c>
      <c r="AH880" s="49">
        <f t="shared" si="1767"/>
        <v>173</v>
      </c>
      <c r="AI880" s="49">
        <f t="shared" si="1767"/>
        <v>176</v>
      </c>
      <c r="AJ880" s="49">
        <f t="shared" si="1767"/>
        <v>176</v>
      </c>
      <c r="AL880" s="49">
        <f t="shared" ca="1" si="1744"/>
        <v>176</v>
      </c>
      <c r="AM880" s="49">
        <f t="shared" ca="1" si="1745"/>
        <v>0</v>
      </c>
      <c r="AN880" s="913">
        <f t="shared" ca="1" si="1746"/>
        <v>176</v>
      </c>
      <c r="AO880" s="974">
        <f t="shared" ca="1" si="1747"/>
        <v>0</v>
      </c>
      <c r="AP880" s="49">
        <f t="shared" ca="1" si="1748"/>
        <v>172</v>
      </c>
      <c r="AQ880" s="913">
        <f t="shared" ca="1" si="1749"/>
        <v>4</v>
      </c>
      <c r="AR880" s="974">
        <f t="shared" ca="1" si="1750"/>
        <v>1.0232558139534884</v>
      </c>
      <c r="AT880" s="49">
        <f t="shared" ca="1" si="1751"/>
        <v>176</v>
      </c>
      <c r="AU880" s="49">
        <f t="shared" ca="1" si="1752"/>
        <v>0</v>
      </c>
      <c r="AV880" s="913">
        <f t="shared" ca="1" si="1753"/>
        <v>176</v>
      </c>
      <c r="AW880" s="974">
        <f t="shared" ca="1" si="1754"/>
        <v>0</v>
      </c>
      <c r="AX880" s="49">
        <f t="shared" ca="1" si="1755"/>
        <v>172</v>
      </c>
      <c r="AY880" s="913">
        <f t="shared" ca="1" si="1756"/>
        <v>4</v>
      </c>
      <c r="AZ880" s="974">
        <f t="shared" ca="1" si="1757"/>
        <v>1.0232558139534884</v>
      </c>
      <c r="BB880" s="49">
        <f t="shared" ca="1" si="1758"/>
        <v>176</v>
      </c>
      <c r="BC880" s="49">
        <f t="shared" ca="1" si="1759"/>
        <v>0</v>
      </c>
      <c r="BD880" s="913">
        <f t="shared" ca="1" si="1760"/>
        <v>176</v>
      </c>
      <c r="BE880" s="974">
        <f t="shared" ca="1" si="1761"/>
        <v>0</v>
      </c>
      <c r="BF880" s="49">
        <f t="shared" ca="1" si="1762"/>
        <v>172</v>
      </c>
      <c r="BG880" s="913">
        <f t="shared" ca="1" si="1763"/>
        <v>4</v>
      </c>
      <c r="BH880" s="974">
        <f t="shared" ca="1" si="1764"/>
        <v>1.0232558139534884</v>
      </c>
    </row>
    <row r="881" spans="1:60" s="38" customFormat="1" ht="14.5">
      <c r="A881" s="990">
        <f t="shared" si="1648"/>
        <v>794</v>
      </c>
      <c r="B881" s="990">
        <v>1</v>
      </c>
      <c r="C881" s="990">
        <f t="shared" si="1649"/>
        <v>878</v>
      </c>
      <c r="E881" s="1243">
        <v>1</v>
      </c>
      <c r="F881" s="5"/>
      <c r="G881" s="5"/>
      <c r="H881" s="5"/>
      <c r="I881" s="338"/>
      <c r="J881" s="5"/>
      <c r="K881" s="5"/>
      <c r="L881" s="5"/>
      <c r="M881" s="4"/>
      <c r="N881" s="45"/>
      <c r="O881" s="45" t="s">
        <v>125</v>
      </c>
      <c r="P881" s="4"/>
      <c r="Q881" s="1886" t="str">
        <f>CHOOSE(2, "6722000003800", "HC FE/TTOC Sales Total Direct sales rep.")</f>
        <v>HC FE/TTOC Sales Total Direct sales rep.</v>
      </c>
      <c r="R881" s="2047">
        <f t="shared" ref="R881:AC884" si="1768">R912+R1032+R942+R972+R1002</f>
        <v>104</v>
      </c>
      <c r="S881" s="2047">
        <f t="shared" si="1768"/>
        <v>104</v>
      </c>
      <c r="T881" s="2047">
        <f t="shared" si="1768"/>
        <v>101</v>
      </c>
      <c r="U881" s="2047">
        <f t="shared" si="1768"/>
        <v>103</v>
      </c>
      <c r="V881" s="2047">
        <f t="shared" si="1768"/>
        <v>104</v>
      </c>
      <c r="W881" s="2047">
        <f t="shared" si="1768"/>
        <v>108</v>
      </c>
      <c r="X881" s="2047">
        <f t="shared" si="1768"/>
        <v>109</v>
      </c>
      <c r="Y881" s="2047">
        <f t="shared" si="1768"/>
        <v>110</v>
      </c>
      <c r="Z881" s="2047">
        <f t="shared" si="1768"/>
        <v>110</v>
      </c>
      <c r="AA881" s="2047">
        <f t="shared" si="1768"/>
        <v>112</v>
      </c>
      <c r="AB881" s="2047">
        <f t="shared" si="1768"/>
        <v>112</v>
      </c>
      <c r="AC881" s="2047">
        <f t="shared" si="1768"/>
        <v>109</v>
      </c>
      <c r="AD881" s="1511">
        <f>T881</f>
        <v>101</v>
      </c>
      <c r="AE881" s="44">
        <f>W881</f>
        <v>108</v>
      </c>
      <c r="AF881" s="44">
        <f>Z881</f>
        <v>110</v>
      </c>
      <c r="AG881" s="44">
        <f>AC881</f>
        <v>109</v>
      </c>
      <c r="AH881" s="44">
        <f>AE881</f>
        <v>108</v>
      </c>
      <c r="AI881" s="44">
        <f>AG881</f>
        <v>109</v>
      </c>
      <c r="AJ881" s="44">
        <f>AI881</f>
        <v>109</v>
      </c>
      <c r="AL881" s="44">
        <f t="shared" ca="1" si="1744"/>
        <v>109</v>
      </c>
      <c r="AM881" s="44">
        <f t="shared" ca="1" si="1745"/>
        <v>0</v>
      </c>
      <c r="AN881" s="872">
        <f t="shared" ca="1" si="1746"/>
        <v>109</v>
      </c>
      <c r="AO881" s="922">
        <f t="shared" ca="1" si="1747"/>
        <v>0</v>
      </c>
      <c r="AP881" s="44">
        <f t="shared" ca="1" si="1748"/>
        <v>102</v>
      </c>
      <c r="AQ881" s="872">
        <f t="shared" ca="1" si="1749"/>
        <v>7</v>
      </c>
      <c r="AR881" s="922">
        <f t="shared" ca="1" si="1750"/>
        <v>1.0686274509803921</v>
      </c>
      <c r="AT881" s="44">
        <f t="shared" ca="1" si="1751"/>
        <v>109</v>
      </c>
      <c r="AU881" s="44">
        <f t="shared" ca="1" si="1752"/>
        <v>0</v>
      </c>
      <c r="AV881" s="872">
        <f t="shared" ca="1" si="1753"/>
        <v>109</v>
      </c>
      <c r="AW881" s="922">
        <f t="shared" ca="1" si="1754"/>
        <v>0</v>
      </c>
      <c r="AX881" s="44">
        <f t="shared" ca="1" si="1755"/>
        <v>102</v>
      </c>
      <c r="AY881" s="872">
        <f t="shared" ca="1" si="1756"/>
        <v>7</v>
      </c>
      <c r="AZ881" s="922">
        <f t="shared" ca="1" si="1757"/>
        <v>1.0686274509803921</v>
      </c>
      <c r="BB881" s="44">
        <f t="shared" ca="1" si="1758"/>
        <v>109</v>
      </c>
      <c r="BC881" s="44">
        <f t="shared" ca="1" si="1759"/>
        <v>0</v>
      </c>
      <c r="BD881" s="872">
        <f t="shared" ca="1" si="1760"/>
        <v>109</v>
      </c>
      <c r="BE881" s="922">
        <f t="shared" ca="1" si="1761"/>
        <v>0</v>
      </c>
      <c r="BF881" s="44">
        <f t="shared" ca="1" si="1762"/>
        <v>102</v>
      </c>
      <c r="BG881" s="872">
        <f t="shared" ca="1" si="1763"/>
        <v>7</v>
      </c>
      <c r="BH881" s="922">
        <f t="shared" ca="1" si="1764"/>
        <v>1.0686274509803921</v>
      </c>
    </row>
    <row r="882" spans="1:60" s="38" customFormat="1" ht="14.5">
      <c r="A882" s="990">
        <f t="shared" si="1648"/>
        <v>795</v>
      </c>
      <c r="B882" s="990">
        <v>1</v>
      </c>
      <c r="C882" s="990">
        <f t="shared" si="1649"/>
        <v>879</v>
      </c>
      <c r="E882" s="1243">
        <v>1</v>
      </c>
      <c r="F882" s="5"/>
      <c r="G882" s="5"/>
      <c r="H882" s="5"/>
      <c r="I882" s="338"/>
      <c r="J882" s="5"/>
      <c r="K882" s="5"/>
      <c r="L882" s="5"/>
      <c r="M882" s="4"/>
      <c r="N882" s="45"/>
      <c r="O882" s="45" t="s">
        <v>124</v>
      </c>
      <c r="P882" s="4"/>
      <c r="Q882" s="1886" t="str">
        <f>CHOOSE(2, "6722000003801", "HC FE/TTOC Sales Total Direct sales engineers")</f>
        <v>HC FE/TTOC Sales Total Direct sales engineers</v>
      </c>
      <c r="R882" s="2047">
        <f t="shared" si="1768"/>
        <v>7</v>
      </c>
      <c r="S882" s="2047">
        <f t="shared" si="1768"/>
        <v>7</v>
      </c>
      <c r="T882" s="2047">
        <f t="shared" si="1768"/>
        <v>7</v>
      </c>
      <c r="U882" s="2047">
        <f t="shared" si="1768"/>
        <v>7</v>
      </c>
      <c r="V882" s="2047">
        <f t="shared" si="1768"/>
        <v>7</v>
      </c>
      <c r="W882" s="2047">
        <f t="shared" si="1768"/>
        <v>7</v>
      </c>
      <c r="X882" s="2047">
        <f t="shared" si="1768"/>
        <v>7</v>
      </c>
      <c r="Y882" s="2047">
        <f t="shared" si="1768"/>
        <v>7</v>
      </c>
      <c r="Z882" s="2047">
        <f t="shared" si="1768"/>
        <v>7</v>
      </c>
      <c r="AA882" s="2047">
        <f t="shared" si="1768"/>
        <v>7</v>
      </c>
      <c r="AB882" s="2047">
        <f t="shared" si="1768"/>
        <v>7</v>
      </c>
      <c r="AC882" s="2047">
        <f t="shared" si="1768"/>
        <v>7</v>
      </c>
      <c r="AD882" s="1511">
        <f>T882</f>
        <v>7</v>
      </c>
      <c r="AE882" s="44">
        <f>W882</f>
        <v>7</v>
      </c>
      <c r="AF882" s="44">
        <f>Z882</f>
        <v>7</v>
      </c>
      <c r="AG882" s="44">
        <f>AC882</f>
        <v>7</v>
      </c>
      <c r="AH882" s="44">
        <f>AE882</f>
        <v>7</v>
      </c>
      <c r="AI882" s="44">
        <f>AG882</f>
        <v>7</v>
      </c>
      <c r="AJ882" s="44">
        <f>AI882</f>
        <v>7</v>
      </c>
      <c r="AL882" s="44">
        <f t="shared" ca="1" si="1744"/>
        <v>7</v>
      </c>
      <c r="AM882" s="44">
        <f t="shared" ca="1" si="1745"/>
        <v>0</v>
      </c>
      <c r="AN882" s="872">
        <f t="shared" ca="1" si="1746"/>
        <v>7</v>
      </c>
      <c r="AO882" s="922">
        <f t="shared" ca="1" si="1747"/>
        <v>0</v>
      </c>
      <c r="AP882" s="44">
        <f t="shared" ca="1" si="1748"/>
        <v>9</v>
      </c>
      <c r="AQ882" s="872">
        <f t="shared" ca="1" si="1749"/>
        <v>-2</v>
      </c>
      <c r="AR882" s="922">
        <f t="shared" ca="1" si="1750"/>
        <v>0.77777777777777779</v>
      </c>
      <c r="AT882" s="44">
        <f t="shared" ca="1" si="1751"/>
        <v>7</v>
      </c>
      <c r="AU882" s="44">
        <f t="shared" ca="1" si="1752"/>
        <v>0</v>
      </c>
      <c r="AV882" s="872">
        <f t="shared" ca="1" si="1753"/>
        <v>7</v>
      </c>
      <c r="AW882" s="922">
        <f t="shared" ca="1" si="1754"/>
        <v>0</v>
      </c>
      <c r="AX882" s="44">
        <f t="shared" ca="1" si="1755"/>
        <v>9</v>
      </c>
      <c r="AY882" s="872">
        <f t="shared" ca="1" si="1756"/>
        <v>-2</v>
      </c>
      <c r="AZ882" s="922">
        <f t="shared" ca="1" si="1757"/>
        <v>0.77777777777777779</v>
      </c>
      <c r="BB882" s="44">
        <f t="shared" ca="1" si="1758"/>
        <v>7</v>
      </c>
      <c r="BC882" s="44">
        <f t="shared" ca="1" si="1759"/>
        <v>0</v>
      </c>
      <c r="BD882" s="872">
        <f t="shared" ca="1" si="1760"/>
        <v>7</v>
      </c>
      <c r="BE882" s="922">
        <f t="shared" ca="1" si="1761"/>
        <v>0</v>
      </c>
      <c r="BF882" s="44">
        <f t="shared" ca="1" si="1762"/>
        <v>9</v>
      </c>
      <c r="BG882" s="872">
        <f t="shared" ca="1" si="1763"/>
        <v>-2</v>
      </c>
      <c r="BH882" s="922">
        <f t="shared" ca="1" si="1764"/>
        <v>0.77777777777777779</v>
      </c>
    </row>
    <row r="883" spans="1:60" s="38" customFormat="1" ht="14.5">
      <c r="A883" s="990">
        <f t="shared" si="1648"/>
        <v>796</v>
      </c>
      <c r="B883" s="990">
        <v>1</v>
      </c>
      <c r="C883" s="990">
        <f t="shared" si="1649"/>
        <v>880</v>
      </c>
      <c r="E883" s="1243">
        <v>1</v>
      </c>
      <c r="F883" s="5"/>
      <c r="G883" s="5"/>
      <c r="H883" s="5"/>
      <c r="I883" s="338"/>
      <c r="J883" s="5"/>
      <c r="K883" s="5"/>
      <c r="L883" s="5"/>
      <c r="M883" s="4"/>
      <c r="N883" s="45"/>
      <c r="O883" s="45" t="s">
        <v>123</v>
      </c>
      <c r="P883" s="4"/>
      <c r="Q883" s="1886" t="str">
        <f>CHOOSE(2, "6722000003802", "HC FE/TTOC Sales Total Dealer(Indirect) sales rep.")</f>
        <v>HC FE/TTOC Sales Total Dealer(Indirect) sales rep.</v>
      </c>
      <c r="R883" s="2047">
        <f t="shared" si="1768"/>
        <v>29</v>
      </c>
      <c r="S883" s="2047">
        <f t="shared" si="1768"/>
        <v>29</v>
      </c>
      <c r="T883" s="2047">
        <f t="shared" si="1768"/>
        <v>29</v>
      </c>
      <c r="U883" s="2047">
        <f t="shared" si="1768"/>
        <v>29</v>
      </c>
      <c r="V883" s="2047">
        <f t="shared" si="1768"/>
        <v>28</v>
      </c>
      <c r="W883" s="2047">
        <f t="shared" si="1768"/>
        <v>28</v>
      </c>
      <c r="X883" s="2047">
        <f t="shared" si="1768"/>
        <v>28</v>
      </c>
      <c r="Y883" s="2047">
        <f t="shared" si="1768"/>
        <v>28</v>
      </c>
      <c r="Z883" s="2047">
        <f t="shared" si="1768"/>
        <v>28</v>
      </c>
      <c r="AA883" s="2047">
        <f t="shared" si="1768"/>
        <v>28</v>
      </c>
      <c r="AB883" s="2047">
        <f t="shared" si="1768"/>
        <v>29</v>
      </c>
      <c r="AC883" s="2047">
        <f t="shared" si="1768"/>
        <v>28</v>
      </c>
      <c r="AD883" s="1511">
        <f>T883</f>
        <v>29</v>
      </c>
      <c r="AE883" s="44">
        <f>W883</f>
        <v>28</v>
      </c>
      <c r="AF883" s="44">
        <f>Z883</f>
        <v>28</v>
      </c>
      <c r="AG883" s="44">
        <f>AC883</f>
        <v>28</v>
      </c>
      <c r="AH883" s="44">
        <f>AE883</f>
        <v>28</v>
      </c>
      <c r="AI883" s="44">
        <f>AG883</f>
        <v>28</v>
      </c>
      <c r="AJ883" s="44">
        <f>AI883</f>
        <v>28</v>
      </c>
      <c r="AL883" s="44">
        <f t="shared" ca="1" si="1744"/>
        <v>28</v>
      </c>
      <c r="AM883" s="44">
        <f t="shared" ca="1" si="1745"/>
        <v>0</v>
      </c>
      <c r="AN883" s="872">
        <f t="shared" ca="1" si="1746"/>
        <v>28</v>
      </c>
      <c r="AO883" s="922">
        <f t="shared" ca="1" si="1747"/>
        <v>0</v>
      </c>
      <c r="AP883" s="44">
        <f t="shared" ca="1" si="1748"/>
        <v>29</v>
      </c>
      <c r="AQ883" s="872">
        <f t="shared" ca="1" si="1749"/>
        <v>-1</v>
      </c>
      <c r="AR883" s="922">
        <f t="shared" ca="1" si="1750"/>
        <v>0.96551724137931039</v>
      </c>
      <c r="AT883" s="44">
        <f t="shared" ca="1" si="1751"/>
        <v>28</v>
      </c>
      <c r="AU883" s="44">
        <f t="shared" ca="1" si="1752"/>
        <v>0</v>
      </c>
      <c r="AV883" s="872">
        <f t="shared" ca="1" si="1753"/>
        <v>28</v>
      </c>
      <c r="AW883" s="922">
        <f t="shared" ca="1" si="1754"/>
        <v>0</v>
      </c>
      <c r="AX883" s="44">
        <f t="shared" ca="1" si="1755"/>
        <v>29</v>
      </c>
      <c r="AY883" s="872">
        <f t="shared" ca="1" si="1756"/>
        <v>-1</v>
      </c>
      <c r="AZ883" s="922">
        <f t="shared" ca="1" si="1757"/>
        <v>0.96551724137931039</v>
      </c>
      <c r="BB883" s="44">
        <f t="shared" ca="1" si="1758"/>
        <v>28</v>
      </c>
      <c r="BC883" s="44">
        <f t="shared" ca="1" si="1759"/>
        <v>0</v>
      </c>
      <c r="BD883" s="872">
        <f t="shared" ca="1" si="1760"/>
        <v>28</v>
      </c>
      <c r="BE883" s="922">
        <f t="shared" ca="1" si="1761"/>
        <v>0</v>
      </c>
      <c r="BF883" s="44">
        <f t="shared" ca="1" si="1762"/>
        <v>29</v>
      </c>
      <c r="BG883" s="872">
        <f t="shared" ca="1" si="1763"/>
        <v>-1</v>
      </c>
      <c r="BH883" s="922">
        <f t="shared" ca="1" si="1764"/>
        <v>0.96551724137931039</v>
      </c>
    </row>
    <row r="884" spans="1:60" s="38" customFormat="1" ht="14.5">
      <c r="A884" s="990">
        <f t="shared" si="1648"/>
        <v>797</v>
      </c>
      <c r="B884" s="990">
        <v>1</v>
      </c>
      <c r="C884" s="990">
        <f t="shared" si="1649"/>
        <v>881</v>
      </c>
      <c r="E884" s="1243">
        <v>1</v>
      </c>
      <c r="F884" s="5"/>
      <c r="G884" s="5"/>
      <c r="H884" s="5"/>
      <c r="I884" s="338"/>
      <c r="J884" s="3"/>
      <c r="K884" s="3"/>
      <c r="L884" s="3"/>
      <c r="M884" s="2"/>
      <c r="N884" s="43"/>
      <c r="O884" s="43" t="s">
        <v>120</v>
      </c>
      <c r="P884" s="2"/>
      <c r="Q884" s="1886" t="str">
        <f>CHOOSE(2, "6722000003803", "HC FE/TTOC Sales Total Administration/Others")</f>
        <v>HC FE/TTOC Sales Total Administration/Others</v>
      </c>
      <c r="R884" s="2048">
        <f t="shared" si="1768"/>
        <v>33</v>
      </c>
      <c r="S884" s="2048">
        <f t="shared" si="1768"/>
        <v>32</v>
      </c>
      <c r="T884" s="2048">
        <f t="shared" si="1768"/>
        <v>32</v>
      </c>
      <c r="U884" s="2048">
        <f t="shared" si="1768"/>
        <v>32</v>
      </c>
      <c r="V884" s="2048">
        <f t="shared" si="1768"/>
        <v>32</v>
      </c>
      <c r="W884" s="2048">
        <f t="shared" si="1768"/>
        <v>30</v>
      </c>
      <c r="X884" s="2048">
        <f t="shared" si="1768"/>
        <v>32</v>
      </c>
      <c r="Y884" s="2048">
        <f t="shared" si="1768"/>
        <v>30</v>
      </c>
      <c r="Z884" s="2048">
        <f t="shared" si="1768"/>
        <v>32</v>
      </c>
      <c r="AA884" s="2048">
        <f t="shared" si="1768"/>
        <v>32</v>
      </c>
      <c r="AB884" s="2048">
        <f t="shared" si="1768"/>
        <v>33</v>
      </c>
      <c r="AC884" s="2048">
        <f t="shared" si="1768"/>
        <v>32</v>
      </c>
      <c r="AD884" s="1554">
        <f>T884</f>
        <v>32</v>
      </c>
      <c r="AE884" s="42">
        <f>W884</f>
        <v>30</v>
      </c>
      <c r="AF884" s="42">
        <f>Z884</f>
        <v>32</v>
      </c>
      <c r="AG884" s="42">
        <f>AC884</f>
        <v>32</v>
      </c>
      <c r="AH884" s="42">
        <f>AE884</f>
        <v>30</v>
      </c>
      <c r="AI884" s="42">
        <f>AG884</f>
        <v>32</v>
      </c>
      <c r="AJ884" s="42">
        <f>AI884</f>
        <v>32</v>
      </c>
      <c r="AL884" s="42">
        <f t="shared" ca="1" si="1744"/>
        <v>32</v>
      </c>
      <c r="AM884" s="42">
        <f t="shared" ca="1" si="1745"/>
        <v>0</v>
      </c>
      <c r="AN884" s="914">
        <f t="shared" ca="1" si="1746"/>
        <v>32</v>
      </c>
      <c r="AO884" s="975">
        <f t="shared" ca="1" si="1747"/>
        <v>0</v>
      </c>
      <c r="AP884" s="42">
        <f t="shared" ca="1" si="1748"/>
        <v>32</v>
      </c>
      <c r="AQ884" s="914">
        <f t="shared" ca="1" si="1749"/>
        <v>0</v>
      </c>
      <c r="AR884" s="975">
        <f t="shared" ca="1" si="1750"/>
        <v>1</v>
      </c>
      <c r="AT884" s="42">
        <f t="shared" ca="1" si="1751"/>
        <v>32</v>
      </c>
      <c r="AU884" s="42">
        <f t="shared" ca="1" si="1752"/>
        <v>0</v>
      </c>
      <c r="AV884" s="914">
        <f t="shared" ca="1" si="1753"/>
        <v>32</v>
      </c>
      <c r="AW884" s="975">
        <f t="shared" ca="1" si="1754"/>
        <v>0</v>
      </c>
      <c r="AX884" s="42">
        <f t="shared" ca="1" si="1755"/>
        <v>32</v>
      </c>
      <c r="AY884" s="914">
        <f t="shared" ca="1" si="1756"/>
        <v>0</v>
      </c>
      <c r="AZ884" s="975">
        <f t="shared" ca="1" si="1757"/>
        <v>1</v>
      </c>
      <c r="BB884" s="42">
        <f t="shared" ca="1" si="1758"/>
        <v>32</v>
      </c>
      <c r="BC884" s="42">
        <f t="shared" ca="1" si="1759"/>
        <v>0</v>
      </c>
      <c r="BD884" s="914">
        <f t="shared" ca="1" si="1760"/>
        <v>32</v>
      </c>
      <c r="BE884" s="975">
        <f t="shared" ca="1" si="1761"/>
        <v>0</v>
      </c>
      <c r="BF884" s="42">
        <f t="shared" ca="1" si="1762"/>
        <v>32</v>
      </c>
      <c r="BG884" s="914">
        <f t="shared" ca="1" si="1763"/>
        <v>0</v>
      </c>
      <c r="BH884" s="975">
        <f t="shared" ca="1" si="1764"/>
        <v>1</v>
      </c>
    </row>
    <row r="885" spans="1:60" s="38" customFormat="1" ht="14.5">
      <c r="A885" s="990">
        <f t="shared" si="1648"/>
        <v>798</v>
      </c>
      <c r="B885" s="990">
        <v>1</v>
      </c>
      <c r="C885" s="990">
        <f t="shared" si="1649"/>
        <v>882</v>
      </c>
      <c r="D885" s="1121" t="s">
        <v>887</v>
      </c>
      <c r="E885" s="1243">
        <v>1</v>
      </c>
      <c r="F885" s="5"/>
      <c r="G885" s="5"/>
      <c r="H885" s="5"/>
      <c r="I885" s="338"/>
      <c r="J885" s="52" t="s">
        <v>330</v>
      </c>
      <c r="K885" s="52"/>
      <c r="L885" s="52"/>
      <c r="M885" s="51"/>
      <c r="N885" s="51"/>
      <c r="O885" s="51"/>
      <c r="P885" s="51"/>
      <c r="Q885" s="1880" t="str">
        <f>CHOOSE(2, "6722000003804", "HC FE/TTOC Service Total")</f>
        <v>HC FE/TTOC Service Total</v>
      </c>
      <c r="R885" s="2059">
        <f>SUM(R886:R890)</f>
        <v>414</v>
      </c>
      <c r="S885" s="2059">
        <f t="shared" ref="S885:AC885" si="1769">SUM(S886:S890)</f>
        <v>415</v>
      </c>
      <c r="T885" s="2059">
        <f t="shared" si="1769"/>
        <v>410</v>
      </c>
      <c r="U885" s="2059">
        <f t="shared" si="1769"/>
        <v>416</v>
      </c>
      <c r="V885" s="2059">
        <f t="shared" si="1769"/>
        <v>417</v>
      </c>
      <c r="W885" s="2059">
        <f t="shared" si="1769"/>
        <v>416</v>
      </c>
      <c r="X885" s="2059">
        <f t="shared" si="1769"/>
        <v>419</v>
      </c>
      <c r="Y885" s="2059">
        <f t="shared" si="1769"/>
        <v>422</v>
      </c>
      <c r="Z885" s="2059">
        <f t="shared" si="1769"/>
        <v>421</v>
      </c>
      <c r="AA885" s="2059">
        <f t="shared" si="1769"/>
        <v>421</v>
      </c>
      <c r="AB885" s="2059">
        <f t="shared" si="1769"/>
        <v>420</v>
      </c>
      <c r="AC885" s="2059">
        <f t="shared" si="1769"/>
        <v>423</v>
      </c>
      <c r="AD885" s="1553">
        <f t="shared" ref="AD885:AJ885" si="1770">SUM(AD886:AD890)</f>
        <v>410</v>
      </c>
      <c r="AE885" s="49">
        <f t="shared" si="1770"/>
        <v>416</v>
      </c>
      <c r="AF885" s="49">
        <f t="shared" si="1770"/>
        <v>421</v>
      </c>
      <c r="AG885" s="49">
        <f t="shared" si="1770"/>
        <v>423</v>
      </c>
      <c r="AH885" s="49">
        <f t="shared" si="1770"/>
        <v>416</v>
      </c>
      <c r="AI885" s="49">
        <f t="shared" si="1770"/>
        <v>423</v>
      </c>
      <c r="AJ885" s="49">
        <f t="shared" si="1770"/>
        <v>423</v>
      </c>
      <c r="AL885" s="49">
        <f t="shared" ca="1" si="1744"/>
        <v>423</v>
      </c>
      <c r="AM885" s="49">
        <f t="shared" ca="1" si="1745"/>
        <v>0</v>
      </c>
      <c r="AN885" s="913">
        <f t="shared" ca="1" si="1746"/>
        <v>423</v>
      </c>
      <c r="AO885" s="974">
        <f t="shared" ca="1" si="1747"/>
        <v>0</v>
      </c>
      <c r="AP885" s="49">
        <f t="shared" ca="1" si="1748"/>
        <v>406</v>
      </c>
      <c r="AQ885" s="913">
        <f t="shared" ca="1" si="1749"/>
        <v>17</v>
      </c>
      <c r="AR885" s="974">
        <f t="shared" ca="1" si="1750"/>
        <v>1.041871921182266</v>
      </c>
      <c r="AT885" s="49">
        <f t="shared" ca="1" si="1751"/>
        <v>423</v>
      </c>
      <c r="AU885" s="49">
        <f t="shared" ca="1" si="1752"/>
        <v>0</v>
      </c>
      <c r="AV885" s="913">
        <f t="shared" ca="1" si="1753"/>
        <v>423</v>
      </c>
      <c r="AW885" s="974">
        <f t="shared" ca="1" si="1754"/>
        <v>0</v>
      </c>
      <c r="AX885" s="49">
        <f t="shared" ca="1" si="1755"/>
        <v>406</v>
      </c>
      <c r="AY885" s="913">
        <f t="shared" ca="1" si="1756"/>
        <v>17</v>
      </c>
      <c r="AZ885" s="974">
        <f t="shared" ca="1" si="1757"/>
        <v>1.041871921182266</v>
      </c>
      <c r="BB885" s="49">
        <f t="shared" ca="1" si="1758"/>
        <v>423</v>
      </c>
      <c r="BC885" s="49">
        <f t="shared" ca="1" si="1759"/>
        <v>0</v>
      </c>
      <c r="BD885" s="913">
        <f t="shared" ca="1" si="1760"/>
        <v>423</v>
      </c>
      <c r="BE885" s="974">
        <f t="shared" ca="1" si="1761"/>
        <v>0</v>
      </c>
      <c r="BF885" s="49">
        <f t="shared" ca="1" si="1762"/>
        <v>406</v>
      </c>
      <c r="BG885" s="913">
        <f t="shared" ca="1" si="1763"/>
        <v>17</v>
      </c>
      <c r="BH885" s="974">
        <f t="shared" ca="1" si="1764"/>
        <v>1.041871921182266</v>
      </c>
    </row>
    <row r="886" spans="1:60" s="38" customFormat="1" ht="14.5">
      <c r="A886" s="990">
        <f t="shared" si="1648"/>
        <v>799</v>
      </c>
      <c r="B886" s="990">
        <v>1</v>
      </c>
      <c r="C886" s="990">
        <f t="shared" si="1649"/>
        <v>883</v>
      </c>
      <c r="E886" s="1243">
        <v>1</v>
      </c>
      <c r="F886" s="5"/>
      <c r="G886" s="5"/>
      <c r="H886" s="5"/>
      <c r="I886" s="338"/>
      <c r="J886" s="5"/>
      <c r="K886" s="5"/>
      <c r="L886" s="5"/>
      <c r="M886" s="4"/>
      <c r="N886" s="45"/>
      <c r="O886" s="45" t="s">
        <v>67</v>
      </c>
      <c r="P886" s="4"/>
      <c r="Q886" s="1886" t="str">
        <f>CHOOSE(2, "6722000003805", "HC FE/TTOC Service Total Onsite Engineer")</f>
        <v>HC FE/TTOC Service Total Onsite Engineer</v>
      </c>
      <c r="R886" s="2047">
        <f t="shared" ref="R886:AC890" si="1771">R917+R1037+R947+R977+R1007</f>
        <v>336</v>
      </c>
      <c r="S886" s="2047">
        <f t="shared" si="1771"/>
        <v>335</v>
      </c>
      <c r="T886" s="2047">
        <f t="shared" si="1771"/>
        <v>332</v>
      </c>
      <c r="U886" s="2047">
        <f t="shared" si="1771"/>
        <v>337</v>
      </c>
      <c r="V886" s="2047">
        <f t="shared" si="1771"/>
        <v>337</v>
      </c>
      <c r="W886" s="2047">
        <f t="shared" si="1771"/>
        <v>336</v>
      </c>
      <c r="X886" s="2047">
        <f t="shared" si="1771"/>
        <v>339</v>
      </c>
      <c r="Y886" s="2047">
        <f t="shared" si="1771"/>
        <v>340</v>
      </c>
      <c r="Z886" s="2047">
        <f t="shared" si="1771"/>
        <v>340</v>
      </c>
      <c r="AA886" s="2047">
        <f t="shared" si="1771"/>
        <v>339</v>
      </c>
      <c r="AB886" s="2047">
        <f t="shared" si="1771"/>
        <v>337</v>
      </c>
      <c r="AC886" s="2047">
        <f t="shared" si="1771"/>
        <v>339</v>
      </c>
      <c r="AD886" s="1511">
        <f>T886</f>
        <v>332</v>
      </c>
      <c r="AE886" s="44">
        <f>W886</f>
        <v>336</v>
      </c>
      <c r="AF886" s="44">
        <f>Z886</f>
        <v>340</v>
      </c>
      <c r="AG886" s="44">
        <f>AC886</f>
        <v>339</v>
      </c>
      <c r="AH886" s="44">
        <f>AE886</f>
        <v>336</v>
      </c>
      <c r="AI886" s="44">
        <f>AG886</f>
        <v>339</v>
      </c>
      <c r="AJ886" s="44">
        <f>AI886</f>
        <v>339</v>
      </c>
      <c r="AL886" s="44">
        <f t="shared" ca="1" si="1744"/>
        <v>339</v>
      </c>
      <c r="AM886" s="44">
        <f t="shared" ca="1" si="1745"/>
        <v>0</v>
      </c>
      <c r="AN886" s="872">
        <f t="shared" ca="1" si="1746"/>
        <v>339</v>
      </c>
      <c r="AO886" s="922">
        <f t="shared" ca="1" si="1747"/>
        <v>0</v>
      </c>
      <c r="AP886" s="44">
        <f t="shared" ca="1" si="1748"/>
        <v>329</v>
      </c>
      <c r="AQ886" s="872">
        <f t="shared" ca="1" si="1749"/>
        <v>10</v>
      </c>
      <c r="AR886" s="922">
        <f t="shared" ca="1" si="1750"/>
        <v>1.0303951367781155</v>
      </c>
      <c r="AT886" s="44">
        <f t="shared" ca="1" si="1751"/>
        <v>339</v>
      </c>
      <c r="AU886" s="44">
        <f t="shared" ca="1" si="1752"/>
        <v>0</v>
      </c>
      <c r="AV886" s="872">
        <f t="shared" ca="1" si="1753"/>
        <v>339</v>
      </c>
      <c r="AW886" s="922">
        <f t="shared" ca="1" si="1754"/>
        <v>0</v>
      </c>
      <c r="AX886" s="44">
        <f t="shared" ca="1" si="1755"/>
        <v>329</v>
      </c>
      <c r="AY886" s="872">
        <f t="shared" ca="1" si="1756"/>
        <v>10</v>
      </c>
      <c r="AZ886" s="922">
        <f t="shared" ca="1" si="1757"/>
        <v>1.0303951367781155</v>
      </c>
      <c r="BB886" s="44">
        <f t="shared" ca="1" si="1758"/>
        <v>339</v>
      </c>
      <c r="BC886" s="44">
        <f t="shared" ca="1" si="1759"/>
        <v>0</v>
      </c>
      <c r="BD886" s="872">
        <f t="shared" ca="1" si="1760"/>
        <v>339</v>
      </c>
      <c r="BE886" s="922">
        <f t="shared" ca="1" si="1761"/>
        <v>0</v>
      </c>
      <c r="BF886" s="44">
        <f t="shared" ca="1" si="1762"/>
        <v>329</v>
      </c>
      <c r="BG886" s="872">
        <f t="shared" ca="1" si="1763"/>
        <v>10</v>
      </c>
      <c r="BH886" s="922">
        <f t="shared" ca="1" si="1764"/>
        <v>1.0303951367781155</v>
      </c>
    </row>
    <row r="887" spans="1:60" s="38" customFormat="1" ht="14.5">
      <c r="A887" s="990">
        <f t="shared" si="1648"/>
        <v>800</v>
      </c>
      <c r="B887" s="990">
        <v>1</v>
      </c>
      <c r="C887" s="990">
        <f t="shared" si="1649"/>
        <v>884</v>
      </c>
      <c r="E887" s="1243">
        <v>1</v>
      </c>
      <c r="F887" s="5"/>
      <c r="G887" s="5"/>
      <c r="H887" s="5"/>
      <c r="I887" s="338"/>
      <c r="J887" s="5"/>
      <c r="K887" s="5"/>
      <c r="L887" s="5"/>
      <c r="M887" s="4"/>
      <c r="N887" s="45"/>
      <c r="O887" s="45" t="s">
        <v>68</v>
      </c>
      <c r="P887" s="4"/>
      <c r="Q887" s="1886" t="str">
        <f>CHOOSE(2, "6722000003806", "HC FE/TTOC Service Total Remote Engineer")</f>
        <v>HC FE/TTOC Service Total Remote Engineer</v>
      </c>
      <c r="R887" s="2047">
        <f t="shared" si="1771"/>
        <v>1</v>
      </c>
      <c r="S887" s="2047">
        <f t="shared" si="1771"/>
        <v>1</v>
      </c>
      <c r="T887" s="2047">
        <f t="shared" si="1771"/>
        <v>1</v>
      </c>
      <c r="U887" s="2047">
        <f t="shared" si="1771"/>
        <v>1</v>
      </c>
      <c r="V887" s="2047">
        <f t="shared" si="1771"/>
        <v>1</v>
      </c>
      <c r="W887" s="2047">
        <f t="shared" si="1771"/>
        <v>1</v>
      </c>
      <c r="X887" s="2047">
        <f t="shared" si="1771"/>
        <v>1</v>
      </c>
      <c r="Y887" s="2047">
        <f t="shared" si="1771"/>
        <v>1</v>
      </c>
      <c r="Z887" s="2047">
        <f t="shared" si="1771"/>
        <v>1</v>
      </c>
      <c r="AA887" s="2047">
        <f t="shared" si="1771"/>
        <v>1</v>
      </c>
      <c r="AB887" s="2047">
        <f t="shared" si="1771"/>
        <v>1</v>
      </c>
      <c r="AC887" s="2047">
        <f t="shared" si="1771"/>
        <v>1</v>
      </c>
      <c r="AD887" s="1511">
        <f>T887</f>
        <v>1</v>
      </c>
      <c r="AE887" s="44">
        <f>W887</f>
        <v>1</v>
      </c>
      <c r="AF887" s="44">
        <f>Z887</f>
        <v>1</v>
      </c>
      <c r="AG887" s="44">
        <f>AC887</f>
        <v>1</v>
      </c>
      <c r="AH887" s="44">
        <f>AE887</f>
        <v>1</v>
      </c>
      <c r="AI887" s="44">
        <f>AG887</f>
        <v>1</v>
      </c>
      <c r="AJ887" s="44">
        <f>AI887</f>
        <v>1</v>
      </c>
      <c r="AL887" s="44">
        <f t="shared" ca="1" si="1744"/>
        <v>1</v>
      </c>
      <c r="AM887" s="44">
        <f t="shared" ca="1" si="1745"/>
        <v>0</v>
      </c>
      <c r="AN887" s="872">
        <f t="shared" ca="1" si="1746"/>
        <v>1</v>
      </c>
      <c r="AO887" s="922">
        <f t="shared" ca="1" si="1747"/>
        <v>0</v>
      </c>
      <c r="AP887" s="44">
        <f t="shared" ca="1" si="1748"/>
        <v>1</v>
      </c>
      <c r="AQ887" s="872">
        <f t="shared" ca="1" si="1749"/>
        <v>0</v>
      </c>
      <c r="AR887" s="922">
        <f t="shared" ca="1" si="1750"/>
        <v>1</v>
      </c>
      <c r="AT887" s="44">
        <f t="shared" ca="1" si="1751"/>
        <v>1</v>
      </c>
      <c r="AU887" s="44">
        <f t="shared" ca="1" si="1752"/>
        <v>0</v>
      </c>
      <c r="AV887" s="872">
        <f t="shared" ca="1" si="1753"/>
        <v>1</v>
      </c>
      <c r="AW887" s="922">
        <f t="shared" ca="1" si="1754"/>
        <v>0</v>
      </c>
      <c r="AX887" s="44">
        <f t="shared" ca="1" si="1755"/>
        <v>1</v>
      </c>
      <c r="AY887" s="872">
        <f t="shared" ca="1" si="1756"/>
        <v>0</v>
      </c>
      <c r="AZ887" s="922">
        <f t="shared" ca="1" si="1757"/>
        <v>1</v>
      </c>
      <c r="BB887" s="44">
        <f t="shared" ca="1" si="1758"/>
        <v>1</v>
      </c>
      <c r="BC887" s="44">
        <f t="shared" ca="1" si="1759"/>
        <v>0</v>
      </c>
      <c r="BD887" s="872">
        <f t="shared" ca="1" si="1760"/>
        <v>1</v>
      </c>
      <c r="BE887" s="922">
        <f t="shared" ca="1" si="1761"/>
        <v>0</v>
      </c>
      <c r="BF887" s="44">
        <f t="shared" ca="1" si="1762"/>
        <v>1</v>
      </c>
      <c r="BG887" s="872">
        <f t="shared" ca="1" si="1763"/>
        <v>0</v>
      </c>
      <c r="BH887" s="922">
        <f t="shared" ca="1" si="1764"/>
        <v>1</v>
      </c>
    </row>
    <row r="888" spans="1:60" s="38" customFormat="1" ht="14.5">
      <c r="A888" s="990">
        <f t="shared" si="1648"/>
        <v>801</v>
      </c>
      <c r="B888" s="990">
        <v>1</v>
      </c>
      <c r="C888" s="990">
        <f t="shared" si="1649"/>
        <v>885</v>
      </c>
      <c r="E888" s="1243">
        <v>1</v>
      </c>
      <c r="F888" s="5"/>
      <c r="G888" s="5"/>
      <c r="H888" s="5"/>
      <c r="I888" s="338"/>
      <c r="J888" s="5"/>
      <c r="K888" s="5"/>
      <c r="L888" s="5"/>
      <c r="M888" s="4"/>
      <c r="N888" s="45"/>
      <c r="O888" s="45" t="s">
        <v>122</v>
      </c>
      <c r="P888" s="4"/>
      <c r="Q888" s="1886" t="str">
        <f>CHOOSE(2, "6722000003807", "HC FE/TTOC Service Total Technical support")</f>
        <v>HC FE/TTOC Service Total Technical support</v>
      </c>
      <c r="R888" s="2047">
        <f t="shared" si="1771"/>
        <v>45</v>
      </c>
      <c r="S888" s="2047">
        <f t="shared" si="1771"/>
        <v>47</v>
      </c>
      <c r="T888" s="2047">
        <f t="shared" si="1771"/>
        <v>46</v>
      </c>
      <c r="U888" s="2047">
        <f t="shared" si="1771"/>
        <v>47</v>
      </c>
      <c r="V888" s="2047">
        <f t="shared" si="1771"/>
        <v>48</v>
      </c>
      <c r="W888" s="2047">
        <f t="shared" si="1771"/>
        <v>49</v>
      </c>
      <c r="X888" s="2047">
        <f t="shared" si="1771"/>
        <v>49</v>
      </c>
      <c r="Y888" s="2047">
        <f t="shared" si="1771"/>
        <v>49</v>
      </c>
      <c r="Z888" s="2047">
        <f t="shared" si="1771"/>
        <v>48</v>
      </c>
      <c r="AA888" s="2047">
        <f t="shared" si="1771"/>
        <v>49</v>
      </c>
      <c r="AB888" s="2047">
        <f t="shared" si="1771"/>
        <v>49</v>
      </c>
      <c r="AC888" s="2047">
        <f t="shared" si="1771"/>
        <v>49</v>
      </c>
      <c r="AD888" s="1511">
        <f>T888</f>
        <v>46</v>
      </c>
      <c r="AE888" s="44">
        <f>W888</f>
        <v>49</v>
      </c>
      <c r="AF888" s="44">
        <f>Z888</f>
        <v>48</v>
      </c>
      <c r="AG888" s="44">
        <f>AC888</f>
        <v>49</v>
      </c>
      <c r="AH888" s="44">
        <f>AE888</f>
        <v>49</v>
      </c>
      <c r="AI888" s="44">
        <f>AG888</f>
        <v>49</v>
      </c>
      <c r="AJ888" s="44">
        <f>AI888</f>
        <v>49</v>
      </c>
      <c r="AL888" s="44">
        <f t="shared" ca="1" si="1744"/>
        <v>49</v>
      </c>
      <c r="AM888" s="44">
        <f t="shared" ca="1" si="1745"/>
        <v>0</v>
      </c>
      <c r="AN888" s="872">
        <f t="shared" ca="1" si="1746"/>
        <v>49</v>
      </c>
      <c r="AO888" s="922">
        <f t="shared" ca="1" si="1747"/>
        <v>0</v>
      </c>
      <c r="AP888" s="44">
        <f t="shared" ca="1" si="1748"/>
        <v>45</v>
      </c>
      <c r="AQ888" s="872">
        <f t="shared" ca="1" si="1749"/>
        <v>4</v>
      </c>
      <c r="AR888" s="922">
        <f t="shared" ca="1" si="1750"/>
        <v>1.0888888888888888</v>
      </c>
      <c r="AT888" s="44">
        <f t="shared" ca="1" si="1751"/>
        <v>49</v>
      </c>
      <c r="AU888" s="44">
        <f t="shared" ca="1" si="1752"/>
        <v>0</v>
      </c>
      <c r="AV888" s="872">
        <f t="shared" ca="1" si="1753"/>
        <v>49</v>
      </c>
      <c r="AW888" s="922">
        <f t="shared" ca="1" si="1754"/>
        <v>0</v>
      </c>
      <c r="AX888" s="44">
        <f t="shared" ca="1" si="1755"/>
        <v>45</v>
      </c>
      <c r="AY888" s="872">
        <f t="shared" ca="1" si="1756"/>
        <v>4</v>
      </c>
      <c r="AZ888" s="922">
        <f t="shared" ca="1" si="1757"/>
        <v>1.0888888888888888</v>
      </c>
      <c r="BB888" s="44">
        <f t="shared" ca="1" si="1758"/>
        <v>49</v>
      </c>
      <c r="BC888" s="44">
        <f t="shared" ca="1" si="1759"/>
        <v>0</v>
      </c>
      <c r="BD888" s="872">
        <f t="shared" ca="1" si="1760"/>
        <v>49</v>
      </c>
      <c r="BE888" s="922">
        <f t="shared" ca="1" si="1761"/>
        <v>0</v>
      </c>
      <c r="BF888" s="44">
        <f t="shared" ca="1" si="1762"/>
        <v>45</v>
      </c>
      <c r="BG888" s="872">
        <f t="shared" ca="1" si="1763"/>
        <v>4</v>
      </c>
      <c r="BH888" s="922">
        <f t="shared" ca="1" si="1764"/>
        <v>1.0888888888888888</v>
      </c>
    </row>
    <row r="889" spans="1:60" s="38" customFormat="1" ht="14.5">
      <c r="A889" s="990">
        <f t="shared" si="1648"/>
        <v>802</v>
      </c>
      <c r="B889" s="990">
        <v>1</v>
      </c>
      <c r="C889" s="990">
        <f t="shared" si="1649"/>
        <v>886</v>
      </c>
      <c r="E889" s="1243">
        <v>1</v>
      </c>
      <c r="F889" s="5"/>
      <c r="G889" s="5"/>
      <c r="H889" s="5"/>
      <c r="I889" s="338"/>
      <c r="J889" s="5"/>
      <c r="K889" s="5"/>
      <c r="L889" s="5"/>
      <c r="M889" s="4"/>
      <c r="N889" s="45"/>
      <c r="O889" s="45" t="s">
        <v>121</v>
      </c>
      <c r="P889" s="4"/>
      <c r="Q889" s="1886" t="str">
        <f>CHOOSE(2, "6722000003808", "HC FE/TTOC Service Total Dealer(Indirect) support")</f>
        <v>HC FE/TTOC Service Total Dealer(Indirect) support</v>
      </c>
      <c r="R889" s="2047">
        <f t="shared" si="1771"/>
        <v>0</v>
      </c>
      <c r="S889" s="2047">
        <f t="shared" si="1771"/>
        <v>0</v>
      </c>
      <c r="T889" s="2047">
        <f t="shared" si="1771"/>
        <v>0</v>
      </c>
      <c r="U889" s="2047">
        <f t="shared" si="1771"/>
        <v>0</v>
      </c>
      <c r="V889" s="2047">
        <f t="shared" si="1771"/>
        <v>0</v>
      </c>
      <c r="W889" s="2047">
        <f t="shared" si="1771"/>
        <v>0</v>
      </c>
      <c r="X889" s="2047">
        <f t="shared" si="1771"/>
        <v>0</v>
      </c>
      <c r="Y889" s="2047">
        <f t="shared" si="1771"/>
        <v>0</v>
      </c>
      <c r="Z889" s="2047">
        <f t="shared" si="1771"/>
        <v>0</v>
      </c>
      <c r="AA889" s="2047">
        <f t="shared" si="1771"/>
        <v>0</v>
      </c>
      <c r="AB889" s="2047">
        <f t="shared" si="1771"/>
        <v>0</v>
      </c>
      <c r="AC889" s="2047">
        <f t="shared" si="1771"/>
        <v>0</v>
      </c>
      <c r="AD889" s="1511">
        <f>T889</f>
        <v>0</v>
      </c>
      <c r="AE889" s="44">
        <f>W889</f>
        <v>0</v>
      </c>
      <c r="AF889" s="44">
        <f>Z889</f>
        <v>0</v>
      </c>
      <c r="AG889" s="44">
        <f>AC889</f>
        <v>0</v>
      </c>
      <c r="AH889" s="44">
        <f>AE889</f>
        <v>0</v>
      </c>
      <c r="AI889" s="44">
        <f>AG889</f>
        <v>0</v>
      </c>
      <c r="AJ889" s="44">
        <f>AI889</f>
        <v>0</v>
      </c>
      <c r="AL889" s="44">
        <f t="shared" ca="1" si="1744"/>
        <v>0</v>
      </c>
      <c r="AM889" s="44">
        <f t="shared" ca="1" si="1745"/>
        <v>0</v>
      </c>
      <c r="AN889" s="872">
        <f t="shared" ca="1" si="1746"/>
        <v>0</v>
      </c>
      <c r="AO889" s="922">
        <f t="shared" ca="1" si="1747"/>
        <v>0</v>
      </c>
      <c r="AP889" s="44">
        <f t="shared" ca="1" si="1748"/>
        <v>0</v>
      </c>
      <c r="AQ889" s="872">
        <f t="shared" ca="1" si="1749"/>
        <v>0</v>
      </c>
      <c r="AR889" s="922">
        <f t="shared" ca="1" si="1750"/>
        <v>0</v>
      </c>
      <c r="AT889" s="44">
        <f t="shared" ca="1" si="1751"/>
        <v>0</v>
      </c>
      <c r="AU889" s="44">
        <f t="shared" ca="1" si="1752"/>
        <v>0</v>
      </c>
      <c r="AV889" s="872">
        <f t="shared" ca="1" si="1753"/>
        <v>0</v>
      </c>
      <c r="AW889" s="922">
        <f t="shared" ca="1" si="1754"/>
        <v>0</v>
      </c>
      <c r="AX889" s="44">
        <f t="shared" ca="1" si="1755"/>
        <v>0</v>
      </c>
      <c r="AY889" s="872">
        <f t="shared" ca="1" si="1756"/>
        <v>0</v>
      </c>
      <c r="AZ889" s="922">
        <f t="shared" ca="1" si="1757"/>
        <v>0</v>
      </c>
      <c r="BB889" s="44">
        <f t="shared" ca="1" si="1758"/>
        <v>0</v>
      </c>
      <c r="BC889" s="44">
        <f t="shared" ca="1" si="1759"/>
        <v>0</v>
      </c>
      <c r="BD889" s="872">
        <f t="shared" ca="1" si="1760"/>
        <v>0</v>
      </c>
      <c r="BE889" s="922">
        <f t="shared" ca="1" si="1761"/>
        <v>0</v>
      </c>
      <c r="BF889" s="44">
        <f t="shared" ca="1" si="1762"/>
        <v>0</v>
      </c>
      <c r="BG889" s="872">
        <f t="shared" ca="1" si="1763"/>
        <v>0</v>
      </c>
      <c r="BH889" s="922">
        <f t="shared" ca="1" si="1764"/>
        <v>0</v>
      </c>
    </row>
    <row r="890" spans="1:60" s="38" customFormat="1" ht="14.5">
      <c r="A890" s="990">
        <f t="shared" si="1648"/>
        <v>803</v>
      </c>
      <c r="B890" s="990">
        <v>1</v>
      </c>
      <c r="C890" s="990">
        <f t="shared" si="1649"/>
        <v>887</v>
      </c>
      <c r="E890" s="1243">
        <v>1</v>
      </c>
      <c r="F890" s="5"/>
      <c r="G890" s="5"/>
      <c r="H890" s="5"/>
      <c r="I890" s="338"/>
      <c r="J890" s="5"/>
      <c r="K890" s="5"/>
      <c r="L890" s="5"/>
      <c r="M890" s="4"/>
      <c r="N890" s="45"/>
      <c r="O890" s="45" t="s">
        <v>120</v>
      </c>
      <c r="P890" s="4"/>
      <c r="Q890" s="1886" t="str">
        <f>CHOOSE(2, "6722000003809", "HC FE/TTOC Service Total Administration/Others")</f>
        <v>HC FE/TTOC Service Total Administration/Others</v>
      </c>
      <c r="R890" s="2047">
        <f t="shared" si="1771"/>
        <v>32</v>
      </c>
      <c r="S890" s="2047">
        <f t="shared" si="1771"/>
        <v>32</v>
      </c>
      <c r="T890" s="2047">
        <f t="shared" si="1771"/>
        <v>31</v>
      </c>
      <c r="U890" s="2047">
        <f t="shared" si="1771"/>
        <v>31</v>
      </c>
      <c r="V890" s="2047">
        <f t="shared" si="1771"/>
        <v>31</v>
      </c>
      <c r="W890" s="2047">
        <f t="shared" si="1771"/>
        <v>30</v>
      </c>
      <c r="X890" s="2047">
        <f t="shared" si="1771"/>
        <v>30</v>
      </c>
      <c r="Y890" s="2047">
        <f t="shared" si="1771"/>
        <v>32</v>
      </c>
      <c r="Z890" s="2047">
        <f t="shared" si="1771"/>
        <v>32</v>
      </c>
      <c r="AA890" s="2047">
        <f t="shared" si="1771"/>
        <v>32</v>
      </c>
      <c r="AB890" s="2047">
        <f t="shared" si="1771"/>
        <v>33</v>
      </c>
      <c r="AC890" s="2047">
        <f t="shared" si="1771"/>
        <v>34</v>
      </c>
      <c r="AD890" s="1511">
        <f>T890</f>
        <v>31</v>
      </c>
      <c r="AE890" s="44">
        <f>W890</f>
        <v>30</v>
      </c>
      <c r="AF890" s="44">
        <f>Z890</f>
        <v>32</v>
      </c>
      <c r="AG890" s="44">
        <f>AC890</f>
        <v>34</v>
      </c>
      <c r="AH890" s="44">
        <f>AE890</f>
        <v>30</v>
      </c>
      <c r="AI890" s="44">
        <f>AG890</f>
        <v>34</v>
      </c>
      <c r="AJ890" s="44">
        <f>AI890</f>
        <v>34</v>
      </c>
      <c r="AL890" s="44">
        <f t="shared" ca="1" si="1744"/>
        <v>34</v>
      </c>
      <c r="AM890" s="44">
        <f t="shared" ca="1" si="1745"/>
        <v>0</v>
      </c>
      <c r="AN890" s="872">
        <f t="shared" ca="1" si="1746"/>
        <v>34</v>
      </c>
      <c r="AO890" s="922">
        <f t="shared" ca="1" si="1747"/>
        <v>0</v>
      </c>
      <c r="AP890" s="44">
        <f t="shared" ca="1" si="1748"/>
        <v>31</v>
      </c>
      <c r="AQ890" s="872">
        <f t="shared" ca="1" si="1749"/>
        <v>3</v>
      </c>
      <c r="AR890" s="922">
        <f t="shared" ca="1" si="1750"/>
        <v>1.096774193548387</v>
      </c>
      <c r="AT890" s="44">
        <f t="shared" ca="1" si="1751"/>
        <v>34</v>
      </c>
      <c r="AU890" s="44">
        <f t="shared" ca="1" si="1752"/>
        <v>0</v>
      </c>
      <c r="AV890" s="872">
        <f t="shared" ca="1" si="1753"/>
        <v>34</v>
      </c>
      <c r="AW890" s="922">
        <f t="shared" ca="1" si="1754"/>
        <v>0</v>
      </c>
      <c r="AX890" s="44">
        <f t="shared" ca="1" si="1755"/>
        <v>31</v>
      </c>
      <c r="AY890" s="872">
        <f t="shared" ca="1" si="1756"/>
        <v>3</v>
      </c>
      <c r="AZ890" s="922">
        <f t="shared" ca="1" si="1757"/>
        <v>1.096774193548387</v>
      </c>
      <c r="BB890" s="44">
        <f t="shared" ca="1" si="1758"/>
        <v>34</v>
      </c>
      <c r="BC890" s="44">
        <f t="shared" ca="1" si="1759"/>
        <v>0</v>
      </c>
      <c r="BD890" s="872">
        <f t="shared" ca="1" si="1760"/>
        <v>34</v>
      </c>
      <c r="BE890" s="922">
        <f t="shared" ca="1" si="1761"/>
        <v>0</v>
      </c>
      <c r="BF890" s="44">
        <f t="shared" ca="1" si="1762"/>
        <v>31</v>
      </c>
      <c r="BG890" s="872">
        <f t="shared" ca="1" si="1763"/>
        <v>3</v>
      </c>
      <c r="BH890" s="922">
        <f t="shared" ca="1" si="1764"/>
        <v>1.096774193548387</v>
      </c>
    </row>
    <row r="891" spans="1:60" s="38" customFormat="1" ht="14.5">
      <c r="A891" s="990">
        <f t="shared" si="1648"/>
        <v>804</v>
      </c>
      <c r="B891" s="990">
        <v>1</v>
      </c>
      <c r="C891" s="990">
        <f t="shared" si="1649"/>
        <v>888</v>
      </c>
      <c r="D891" s="1121" t="s">
        <v>887</v>
      </c>
      <c r="E891" s="1243">
        <v>1</v>
      </c>
      <c r="F891" s="5"/>
      <c r="G891" s="5"/>
      <c r="H891" s="5"/>
      <c r="I891" s="338"/>
      <c r="J891" s="324" t="s">
        <v>334</v>
      </c>
      <c r="K891" s="48"/>
      <c r="L891" s="48"/>
      <c r="M891" s="47"/>
      <c r="N891" s="47"/>
      <c r="O891" s="47"/>
      <c r="P891" s="323"/>
      <c r="Q891" s="1880" t="str">
        <f>CHOOSE(2, "6722000003810", "HC FE/TTOC Marketing")</f>
        <v>HC FE/TTOC Marketing</v>
      </c>
      <c r="R891" s="2193">
        <f t="shared" ref="R891" si="1772">SUM(R892:R895)</f>
        <v>18</v>
      </c>
      <c r="S891" s="2193">
        <f t="shared" ref="S891:AC891" si="1773">SUM(S892:S895)</f>
        <v>18</v>
      </c>
      <c r="T891" s="2193">
        <f t="shared" si="1773"/>
        <v>18</v>
      </c>
      <c r="U891" s="2193">
        <f t="shared" si="1773"/>
        <v>18</v>
      </c>
      <c r="V891" s="2193">
        <f t="shared" si="1773"/>
        <v>18</v>
      </c>
      <c r="W891" s="2193">
        <f t="shared" si="1773"/>
        <v>17</v>
      </c>
      <c r="X891" s="2193">
        <f t="shared" si="1773"/>
        <v>17</v>
      </c>
      <c r="Y891" s="2193">
        <f t="shared" si="1773"/>
        <v>16</v>
      </c>
      <c r="Z891" s="2193">
        <f t="shared" si="1773"/>
        <v>16</v>
      </c>
      <c r="AA891" s="2193">
        <f t="shared" si="1773"/>
        <v>16</v>
      </c>
      <c r="AB891" s="2193">
        <f t="shared" si="1773"/>
        <v>16</v>
      </c>
      <c r="AC891" s="2193">
        <f t="shared" si="1773"/>
        <v>16</v>
      </c>
      <c r="AD891" s="1278">
        <f t="shared" ref="AD891:AJ891" si="1774">SUM(AD892:AD895)</f>
        <v>18</v>
      </c>
      <c r="AE891" s="46">
        <f t="shared" si="1774"/>
        <v>17</v>
      </c>
      <c r="AF891" s="46">
        <f t="shared" si="1774"/>
        <v>16</v>
      </c>
      <c r="AG891" s="46">
        <f t="shared" si="1774"/>
        <v>16</v>
      </c>
      <c r="AH891" s="46">
        <f t="shared" si="1774"/>
        <v>17</v>
      </c>
      <c r="AI891" s="46">
        <f t="shared" si="1774"/>
        <v>16</v>
      </c>
      <c r="AJ891" s="46">
        <f t="shared" si="1774"/>
        <v>16</v>
      </c>
      <c r="AL891" s="325">
        <f t="shared" ca="1" si="1744"/>
        <v>16</v>
      </c>
      <c r="AM891" s="325">
        <f t="shared" ca="1" si="1745"/>
        <v>0</v>
      </c>
      <c r="AN891" s="915">
        <f t="shared" ca="1" si="1746"/>
        <v>16</v>
      </c>
      <c r="AO891" s="976">
        <f t="shared" ca="1" si="1747"/>
        <v>0</v>
      </c>
      <c r="AP891" s="325">
        <f t="shared" ca="1" si="1748"/>
        <v>18</v>
      </c>
      <c r="AQ891" s="915">
        <f t="shared" ca="1" si="1749"/>
        <v>-2</v>
      </c>
      <c r="AR891" s="976">
        <f t="shared" ca="1" si="1750"/>
        <v>0.88888888888888884</v>
      </c>
      <c r="AT891" s="325">
        <f t="shared" ca="1" si="1751"/>
        <v>16</v>
      </c>
      <c r="AU891" s="325">
        <f t="shared" ca="1" si="1752"/>
        <v>0</v>
      </c>
      <c r="AV891" s="915">
        <f t="shared" ca="1" si="1753"/>
        <v>16</v>
      </c>
      <c r="AW891" s="976">
        <f t="shared" ca="1" si="1754"/>
        <v>0</v>
      </c>
      <c r="AX891" s="325">
        <f t="shared" ca="1" si="1755"/>
        <v>18</v>
      </c>
      <c r="AY891" s="915">
        <f t="shared" ca="1" si="1756"/>
        <v>-2</v>
      </c>
      <c r="AZ891" s="976">
        <f t="shared" ca="1" si="1757"/>
        <v>0.88888888888888884</v>
      </c>
      <c r="BB891" s="325">
        <f t="shared" ca="1" si="1758"/>
        <v>16</v>
      </c>
      <c r="BC891" s="325">
        <f t="shared" ca="1" si="1759"/>
        <v>0</v>
      </c>
      <c r="BD891" s="915">
        <f t="shared" ca="1" si="1760"/>
        <v>16</v>
      </c>
      <c r="BE891" s="976">
        <f t="shared" ca="1" si="1761"/>
        <v>0</v>
      </c>
      <c r="BF891" s="325">
        <f t="shared" ca="1" si="1762"/>
        <v>18</v>
      </c>
      <c r="BG891" s="915">
        <f t="shared" ca="1" si="1763"/>
        <v>-2</v>
      </c>
      <c r="BH891" s="976">
        <f t="shared" ca="1" si="1764"/>
        <v>0.88888888888888884</v>
      </c>
    </row>
    <row r="892" spans="1:60" s="38" customFormat="1" ht="14.5">
      <c r="A892" s="990">
        <f t="shared" si="1648"/>
        <v>805</v>
      </c>
      <c r="B892" s="990">
        <v>1</v>
      </c>
      <c r="C892" s="990">
        <f t="shared" si="1649"/>
        <v>889</v>
      </c>
      <c r="E892" s="1243">
        <v>1</v>
      </c>
      <c r="F892" s="5"/>
      <c r="G892" s="5"/>
      <c r="H892" s="5"/>
      <c r="I892" s="338"/>
      <c r="J892" s="5"/>
      <c r="K892" s="5"/>
      <c r="L892" s="5"/>
      <c r="M892" s="4"/>
      <c r="N892" s="45"/>
      <c r="O892" s="45" t="s">
        <v>323</v>
      </c>
      <c r="P892" s="4"/>
      <c r="Q892" s="1886" t="str">
        <f>CHOOSE(2, "6722000003811", "HC FE/TTOC Marketing Business Development")</f>
        <v>HC FE/TTOC Marketing Business Development</v>
      </c>
      <c r="R892" s="2047">
        <f t="shared" ref="R892:AC895" si="1775">R923+R1043+R953+R983+R1013</f>
        <v>8</v>
      </c>
      <c r="S892" s="2047">
        <f t="shared" si="1775"/>
        <v>8</v>
      </c>
      <c r="T892" s="2047">
        <f t="shared" si="1775"/>
        <v>8</v>
      </c>
      <c r="U892" s="2047">
        <f t="shared" si="1775"/>
        <v>8</v>
      </c>
      <c r="V892" s="2047">
        <f t="shared" si="1775"/>
        <v>8</v>
      </c>
      <c r="W892" s="2047">
        <f t="shared" si="1775"/>
        <v>7</v>
      </c>
      <c r="X892" s="2047">
        <f t="shared" si="1775"/>
        <v>7</v>
      </c>
      <c r="Y892" s="2047">
        <f t="shared" si="1775"/>
        <v>7</v>
      </c>
      <c r="Z892" s="2047">
        <f t="shared" si="1775"/>
        <v>7</v>
      </c>
      <c r="AA892" s="2047">
        <f t="shared" si="1775"/>
        <v>7</v>
      </c>
      <c r="AB892" s="2047">
        <f t="shared" si="1775"/>
        <v>7</v>
      </c>
      <c r="AC892" s="2047">
        <f t="shared" si="1775"/>
        <v>7</v>
      </c>
      <c r="AD892" s="1511">
        <f>T892</f>
        <v>8</v>
      </c>
      <c r="AE892" s="44">
        <f>W892</f>
        <v>7</v>
      </c>
      <c r="AF892" s="44">
        <f>Z892</f>
        <v>7</v>
      </c>
      <c r="AG892" s="44">
        <f>AC892</f>
        <v>7</v>
      </c>
      <c r="AH892" s="44">
        <f>AE892</f>
        <v>7</v>
      </c>
      <c r="AI892" s="44">
        <f>AG892</f>
        <v>7</v>
      </c>
      <c r="AJ892" s="44">
        <f>AI892</f>
        <v>7</v>
      </c>
      <c r="AL892" s="44">
        <f t="shared" ca="1" si="1744"/>
        <v>7</v>
      </c>
      <c r="AM892" s="44">
        <f t="shared" ca="1" si="1745"/>
        <v>0</v>
      </c>
      <c r="AN892" s="872">
        <f t="shared" ca="1" si="1746"/>
        <v>7</v>
      </c>
      <c r="AO892" s="922">
        <f t="shared" ca="1" si="1747"/>
        <v>0</v>
      </c>
      <c r="AP892" s="44">
        <f t="shared" ca="1" si="1748"/>
        <v>8</v>
      </c>
      <c r="AQ892" s="872">
        <f t="shared" ca="1" si="1749"/>
        <v>-1</v>
      </c>
      <c r="AR892" s="922">
        <f t="shared" ca="1" si="1750"/>
        <v>0.875</v>
      </c>
      <c r="AT892" s="44">
        <f t="shared" ca="1" si="1751"/>
        <v>7</v>
      </c>
      <c r="AU892" s="44">
        <f t="shared" ca="1" si="1752"/>
        <v>0</v>
      </c>
      <c r="AV892" s="872">
        <f t="shared" ca="1" si="1753"/>
        <v>7</v>
      </c>
      <c r="AW892" s="922">
        <f t="shared" ca="1" si="1754"/>
        <v>0</v>
      </c>
      <c r="AX892" s="44">
        <f t="shared" ca="1" si="1755"/>
        <v>8</v>
      </c>
      <c r="AY892" s="872">
        <f t="shared" ca="1" si="1756"/>
        <v>-1</v>
      </c>
      <c r="AZ892" s="922">
        <f t="shared" ca="1" si="1757"/>
        <v>0.875</v>
      </c>
      <c r="BB892" s="44">
        <f t="shared" ca="1" si="1758"/>
        <v>7</v>
      </c>
      <c r="BC892" s="44">
        <f t="shared" ca="1" si="1759"/>
        <v>0</v>
      </c>
      <c r="BD892" s="872">
        <f t="shared" ca="1" si="1760"/>
        <v>7</v>
      </c>
      <c r="BE892" s="922">
        <f t="shared" ca="1" si="1761"/>
        <v>0</v>
      </c>
      <c r="BF892" s="44">
        <f t="shared" ca="1" si="1762"/>
        <v>8</v>
      </c>
      <c r="BG892" s="872">
        <f t="shared" ca="1" si="1763"/>
        <v>-1</v>
      </c>
      <c r="BH892" s="922">
        <f t="shared" ca="1" si="1764"/>
        <v>0.875</v>
      </c>
    </row>
    <row r="893" spans="1:60" s="38" customFormat="1" ht="14.5">
      <c r="A893" s="990">
        <f t="shared" si="1648"/>
        <v>806</v>
      </c>
      <c r="B893" s="990">
        <v>1</v>
      </c>
      <c r="C893" s="990">
        <f t="shared" si="1649"/>
        <v>890</v>
      </c>
      <c r="E893" s="1243">
        <v>1</v>
      </c>
      <c r="F893" s="5"/>
      <c r="G893" s="5"/>
      <c r="H893" s="5"/>
      <c r="I893" s="338"/>
      <c r="J893" s="5"/>
      <c r="K893" s="5"/>
      <c r="L893" s="5"/>
      <c r="M893" s="4"/>
      <c r="N893" s="45"/>
      <c r="O893" s="45" t="s">
        <v>324</v>
      </c>
      <c r="P893" s="4"/>
      <c r="Q893" s="1886" t="str">
        <f>CHOOSE(2, "6722000003812", "HC FE/TTOC Marketing Channel Marketing")</f>
        <v>HC FE/TTOC Marketing Channel Marketing</v>
      </c>
      <c r="R893" s="2047">
        <f t="shared" si="1775"/>
        <v>0</v>
      </c>
      <c r="S893" s="2047">
        <f t="shared" si="1775"/>
        <v>0</v>
      </c>
      <c r="T893" s="2047">
        <f t="shared" si="1775"/>
        <v>0</v>
      </c>
      <c r="U893" s="2047">
        <f t="shared" si="1775"/>
        <v>0</v>
      </c>
      <c r="V893" s="2047">
        <f t="shared" si="1775"/>
        <v>0</v>
      </c>
      <c r="W893" s="2047">
        <f t="shared" si="1775"/>
        <v>0</v>
      </c>
      <c r="X893" s="2047">
        <f t="shared" si="1775"/>
        <v>0</v>
      </c>
      <c r="Y893" s="2047">
        <f t="shared" si="1775"/>
        <v>0</v>
      </c>
      <c r="Z893" s="2047">
        <f t="shared" si="1775"/>
        <v>0</v>
      </c>
      <c r="AA893" s="2047">
        <f t="shared" si="1775"/>
        <v>0</v>
      </c>
      <c r="AB893" s="2047">
        <f t="shared" si="1775"/>
        <v>0</v>
      </c>
      <c r="AC893" s="2047">
        <f t="shared" si="1775"/>
        <v>0</v>
      </c>
      <c r="AD893" s="1511">
        <f>T893</f>
        <v>0</v>
      </c>
      <c r="AE893" s="44">
        <f>W893</f>
        <v>0</v>
      </c>
      <c r="AF893" s="44">
        <f>Z893</f>
        <v>0</v>
      </c>
      <c r="AG893" s="44">
        <f>AC893</f>
        <v>0</v>
      </c>
      <c r="AH893" s="44">
        <f>AE893</f>
        <v>0</v>
      </c>
      <c r="AI893" s="44">
        <f>AG893</f>
        <v>0</v>
      </c>
      <c r="AJ893" s="44">
        <f>AI893</f>
        <v>0</v>
      </c>
      <c r="AL893" s="44">
        <f t="shared" ca="1" si="1744"/>
        <v>0</v>
      </c>
      <c r="AM893" s="44">
        <f t="shared" ca="1" si="1745"/>
        <v>0</v>
      </c>
      <c r="AN893" s="872">
        <f t="shared" ca="1" si="1746"/>
        <v>0</v>
      </c>
      <c r="AO893" s="922">
        <f t="shared" ca="1" si="1747"/>
        <v>0</v>
      </c>
      <c r="AP893" s="44">
        <f t="shared" ca="1" si="1748"/>
        <v>0</v>
      </c>
      <c r="AQ893" s="872">
        <f t="shared" ca="1" si="1749"/>
        <v>0</v>
      </c>
      <c r="AR893" s="922">
        <f t="shared" ca="1" si="1750"/>
        <v>0</v>
      </c>
      <c r="AT893" s="44">
        <f t="shared" ca="1" si="1751"/>
        <v>0</v>
      </c>
      <c r="AU893" s="44">
        <f t="shared" ca="1" si="1752"/>
        <v>0</v>
      </c>
      <c r="AV893" s="872">
        <f t="shared" ca="1" si="1753"/>
        <v>0</v>
      </c>
      <c r="AW893" s="922">
        <f t="shared" ca="1" si="1754"/>
        <v>0</v>
      </c>
      <c r="AX893" s="44">
        <f t="shared" ca="1" si="1755"/>
        <v>0</v>
      </c>
      <c r="AY893" s="872">
        <f t="shared" ca="1" si="1756"/>
        <v>0</v>
      </c>
      <c r="AZ893" s="922">
        <f t="shared" ca="1" si="1757"/>
        <v>0</v>
      </c>
      <c r="BB893" s="44">
        <f t="shared" ca="1" si="1758"/>
        <v>0</v>
      </c>
      <c r="BC893" s="44">
        <f t="shared" ca="1" si="1759"/>
        <v>0</v>
      </c>
      <c r="BD893" s="872">
        <f t="shared" ca="1" si="1760"/>
        <v>0</v>
      </c>
      <c r="BE893" s="922">
        <f t="shared" ca="1" si="1761"/>
        <v>0</v>
      </c>
      <c r="BF893" s="44">
        <f t="shared" ca="1" si="1762"/>
        <v>0</v>
      </c>
      <c r="BG893" s="872">
        <f t="shared" ca="1" si="1763"/>
        <v>0</v>
      </c>
      <c r="BH893" s="922">
        <f t="shared" ca="1" si="1764"/>
        <v>0</v>
      </c>
    </row>
    <row r="894" spans="1:60" s="38" customFormat="1" ht="14.5">
      <c r="A894" s="990">
        <f t="shared" si="1648"/>
        <v>807</v>
      </c>
      <c r="B894" s="990">
        <v>1</v>
      </c>
      <c r="C894" s="990">
        <f t="shared" si="1649"/>
        <v>891</v>
      </c>
      <c r="E894" s="1243">
        <v>1</v>
      </c>
      <c r="F894" s="5"/>
      <c r="G894" s="5"/>
      <c r="H894" s="5"/>
      <c r="I894" s="338"/>
      <c r="J894" s="5"/>
      <c r="K894" s="5"/>
      <c r="L894" s="5"/>
      <c r="M894" s="4"/>
      <c r="N894" s="45"/>
      <c r="O894" s="45" t="s">
        <v>325</v>
      </c>
      <c r="P894" s="4"/>
      <c r="Q894" s="1886" t="str">
        <f>CHOOSE(2, "6722000003813", "HC FE/TTOC Marketing Product Marketing")</f>
        <v>HC FE/TTOC Marketing Product Marketing</v>
      </c>
      <c r="R894" s="2047">
        <f t="shared" si="1775"/>
        <v>8</v>
      </c>
      <c r="S894" s="2047">
        <f t="shared" si="1775"/>
        <v>8</v>
      </c>
      <c r="T894" s="2047">
        <f t="shared" si="1775"/>
        <v>8</v>
      </c>
      <c r="U894" s="2047">
        <f t="shared" si="1775"/>
        <v>8</v>
      </c>
      <c r="V894" s="2047">
        <f t="shared" si="1775"/>
        <v>8</v>
      </c>
      <c r="W894" s="2047">
        <f t="shared" si="1775"/>
        <v>8</v>
      </c>
      <c r="X894" s="2047">
        <f t="shared" si="1775"/>
        <v>8</v>
      </c>
      <c r="Y894" s="2047">
        <f t="shared" si="1775"/>
        <v>7</v>
      </c>
      <c r="Z894" s="2047">
        <f t="shared" si="1775"/>
        <v>7</v>
      </c>
      <c r="AA894" s="2047">
        <f t="shared" si="1775"/>
        <v>7</v>
      </c>
      <c r="AB894" s="2047">
        <f t="shared" si="1775"/>
        <v>7</v>
      </c>
      <c r="AC894" s="2047">
        <f t="shared" si="1775"/>
        <v>7</v>
      </c>
      <c r="AD894" s="1511">
        <f>T894</f>
        <v>8</v>
      </c>
      <c r="AE894" s="44">
        <f>W894</f>
        <v>8</v>
      </c>
      <c r="AF894" s="44">
        <f>Z894</f>
        <v>7</v>
      </c>
      <c r="AG894" s="44">
        <f>AC894</f>
        <v>7</v>
      </c>
      <c r="AH894" s="44">
        <f>AE894</f>
        <v>8</v>
      </c>
      <c r="AI894" s="44">
        <f>AG894</f>
        <v>7</v>
      </c>
      <c r="AJ894" s="44">
        <f>AI894</f>
        <v>7</v>
      </c>
      <c r="AL894" s="44">
        <f t="shared" ca="1" si="1744"/>
        <v>7</v>
      </c>
      <c r="AM894" s="44">
        <f t="shared" ca="1" si="1745"/>
        <v>0</v>
      </c>
      <c r="AN894" s="872">
        <f t="shared" ca="1" si="1746"/>
        <v>7</v>
      </c>
      <c r="AO894" s="922">
        <f t="shared" ca="1" si="1747"/>
        <v>0</v>
      </c>
      <c r="AP894" s="44">
        <f t="shared" ca="1" si="1748"/>
        <v>8</v>
      </c>
      <c r="AQ894" s="872">
        <f t="shared" ca="1" si="1749"/>
        <v>-1</v>
      </c>
      <c r="AR894" s="922">
        <f t="shared" ca="1" si="1750"/>
        <v>0.875</v>
      </c>
      <c r="AT894" s="44">
        <f t="shared" ca="1" si="1751"/>
        <v>7</v>
      </c>
      <c r="AU894" s="44">
        <f t="shared" ca="1" si="1752"/>
        <v>0</v>
      </c>
      <c r="AV894" s="872">
        <f t="shared" ca="1" si="1753"/>
        <v>7</v>
      </c>
      <c r="AW894" s="922">
        <f t="shared" ca="1" si="1754"/>
        <v>0</v>
      </c>
      <c r="AX894" s="44">
        <f t="shared" ca="1" si="1755"/>
        <v>8</v>
      </c>
      <c r="AY894" s="872">
        <f t="shared" ca="1" si="1756"/>
        <v>-1</v>
      </c>
      <c r="AZ894" s="922">
        <f t="shared" ca="1" si="1757"/>
        <v>0.875</v>
      </c>
      <c r="BB894" s="44">
        <f t="shared" ca="1" si="1758"/>
        <v>7</v>
      </c>
      <c r="BC894" s="44">
        <f t="shared" ca="1" si="1759"/>
        <v>0</v>
      </c>
      <c r="BD894" s="872">
        <f t="shared" ca="1" si="1760"/>
        <v>7</v>
      </c>
      <c r="BE894" s="922">
        <f t="shared" ca="1" si="1761"/>
        <v>0</v>
      </c>
      <c r="BF894" s="44">
        <f t="shared" ca="1" si="1762"/>
        <v>8</v>
      </c>
      <c r="BG894" s="872">
        <f t="shared" ca="1" si="1763"/>
        <v>-1</v>
      </c>
      <c r="BH894" s="922">
        <f t="shared" ca="1" si="1764"/>
        <v>0.875</v>
      </c>
    </row>
    <row r="895" spans="1:60" s="38" customFormat="1" ht="14.5">
      <c r="A895" s="990">
        <f t="shared" si="1648"/>
        <v>808</v>
      </c>
      <c r="B895" s="990">
        <v>1</v>
      </c>
      <c r="C895" s="990">
        <f t="shared" si="1649"/>
        <v>892</v>
      </c>
      <c r="E895" s="1243">
        <v>1</v>
      </c>
      <c r="F895" s="5"/>
      <c r="G895" s="5"/>
      <c r="H895" s="5"/>
      <c r="I895" s="338"/>
      <c r="J895" s="3"/>
      <c r="K895" s="3"/>
      <c r="L895" s="3"/>
      <c r="M895" s="2"/>
      <c r="N895" s="43"/>
      <c r="O895" s="43" t="s">
        <v>326</v>
      </c>
      <c r="P895" s="2"/>
      <c r="Q895" s="1886" t="str">
        <f>CHOOSE(2, "6722000003814", "HC FE/TTOC Marketing MC / O")</f>
        <v>HC FE/TTOC Marketing MC / O</v>
      </c>
      <c r="R895" s="2048">
        <f t="shared" si="1775"/>
        <v>2</v>
      </c>
      <c r="S895" s="2048">
        <f t="shared" si="1775"/>
        <v>2</v>
      </c>
      <c r="T895" s="2048">
        <f t="shared" si="1775"/>
        <v>2</v>
      </c>
      <c r="U895" s="2048">
        <f t="shared" si="1775"/>
        <v>2</v>
      </c>
      <c r="V895" s="2048">
        <f t="shared" si="1775"/>
        <v>2</v>
      </c>
      <c r="W895" s="2048">
        <f t="shared" si="1775"/>
        <v>2</v>
      </c>
      <c r="X895" s="2048">
        <f t="shared" si="1775"/>
        <v>2</v>
      </c>
      <c r="Y895" s="2048">
        <f t="shared" si="1775"/>
        <v>2</v>
      </c>
      <c r="Z895" s="2048">
        <f t="shared" si="1775"/>
        <v>2</v>
      </c>
      <c r="AA895" s="2048">
        <f t="shared" si="1775"/>
        <v>2</v>
      </c>
      <c r="AB895" s="2048">
        <f t="shared" si="1775"/>
        <v>2</v>
      </c>
      <c r="AC895" s="2048">
        <f t="shared" si="1775"/>
        <v>2</v>
      </c>
      <c r="AD895" s="1554">
        <f>T895</f>
        <v>2</v>
      </c>
      <c r="AE895" s="42">
        <f>W895</f>
        <v>2</v>
      </c>
      <c r="AF895" s="42">
        <f>Z895</f>
        <v>2</v>
      </c>
      <c r="AG895" s="42">
        <f>AC895</f>
        <v>2</v>
      </c>
      <c r="AH895" s="42">
        <f>AE895</f>
        <v>2</v>
      </c>
      <c r="AI895" s="42">
        <f>AG895</f>
        <v>2</v>
      </c>
      <c r="AJ895" s="42">
        <f>AI895</f>
        <v>2</v>
      </c>
      <c r="AL895" s="42">
        <f t="shared" ca="1" si="1744"/>
        <v>2</v>
      </c>
      <c r="AM895" s="42">
        <f t="shared" ca="1" si="1745"/>
        <v>0</v>
      </c>
      <c r="AN895" s="914">
        <f t="shared" ca="1" si="1746"/>
        <v>2</v>
      </c>
      <c r="AO895" s="975">
        <f t="shared" ca="1" si="1747"/>
        <v>0</v>
      </c>
      <c r="AP895" s="42">
        <f t="shared" ca="1" si="1748"/>
        <v>2</v>
      </c>
      <c r="AQ895" s="914">
        <f t="shared" ca="1" si="1749"/>
        <v>0</v>
      </c>
      <c r="AR895" s="975">
        <f t="shared" ca="1" si="1750"/>
        <v>1</v>
      </c>
      <c r="AT895" s="42">
        <f t="shared" ca="1" si="1751"/>
        <v>2</v>
      </c>
      <c r="AU895" s="42">
        <f t="shared" ca="1" si="1752"/>
        <v>0</v>
      </c>
      <c r="AV895" s="914">
        <f t="shared" ca="1" si="1753"/>
        <v>2</v>
      </c>
      <c r="AW895" s="975">
        <f t="shared" ca="1" si="1754"/>
        <v>0</v>
      </c>
      <c r="AX895" s="42">
        <f t="shared" ca="1" si="1755"/>
        <v>2</v>
      </c>
      <c r="AY895" s="914">
        <f t="shared" ca="1" si="1756"/>
        <v>0</v>
      </c>
      <c r="AZ895" s="975">
        <f t="shared" ca="1" si="1757"/>
        <v>1</v>
      </c>
      <c r="BB895" s="42">
        <f t="shared" ca="1" si="1758"/>
        <v>2</v>
      </c>
      <c r="BC895" s="42">
        <f t="shared" ca="1" si="1759"/>
        <v>0</v>
      </c>
      <c r="BD895" s="914">
        <f t="shared" ca="1" si="1760"/>
        <v>2</v>
      </c>
      <c r="BE895" s="975">
        <f t="shared" ca="1" si="1761"/>
        <v>0</v>
      </c>
      <c r="BF895" s="42">
        <f t="shared" ca="1" si="1762"/>
        <v>2</v>
      </c>
      <c r="BG895" s="914">
        <f t="shared" ca="1" si="1763"/>
        <v>0</v>
      </c>
      <c r="BH895" s="975">
        <f t="shared" ca="1" si="1764"/>
        <v>1</v>
      </c>
    </row>
    <row r="896" spans="1:60" s="38" customFormat="1" ht="14.5">
      <c r="A896" s="990">
        <f t="shared" si="1648"/>
        <v>809</v>
      </c>
      <c r="B896" s="990">
        <v>1</v>
      </c>
      <c r="C896" s="990">
        <f t="shared" si="1649"/>
        <v>893</v>
      </c>
      <c r="D896" s="1121" t="s">
        <v>887</v>
      </c>
      <c r="E896" s="1243">
        <v>1</v>
      </c>
      <c r="F896" s="5"/>
      <c r="G896" s="5"/>
      <c r="H896" s="5"/>
      <c r="I896" s="338"/>
      <c r="J896" s="52" t="s">
        <v>73</v>
      </c>
      <c r="K896" s="52"/>
      <c r="L896" s="52"/>
      <c r="M896" s="51"/>
      <c r="N896" s="51"/>
      <c r="O896" s="51"/>
      <c r="P896" s="51"/>
      <c r="Q896" s="1880" t="str">
        <f>CHOOSE(2, "6722000003815", "HC FE/TTOC Administration Total")</f>
        <v>HC FE/TTOC Administration Total</v>
      </c>
      <c r="R896" s="2059">
        <f>SUM(R897:R901)</f>
        <v>71</v>
      </c>
      <c r="S896" s="2059">
        <f t="shared" ref="S896:AC896" si="1776">SUM(S897:S901)</f>
        <v>73</v>
      </c>
      <c r="T896" s="2059">
        <f t="shared" si="1776"/>
        <v>73</v>
      </c>
      <c r="U896" s="2059">
        <f t="shared" si="1776"/>
        <v>73</v>
      </c>
      <c r="V896" s="2059">
        <f t="shared" si="1776"/>
        <v>72</v>
      </c>
      <c r="W896" s="2059">
        <f t="shared" si="1776"/>
        <v>73</v>
      </c>
      <c r="X896" s="2059">
        <f t="shared" si="1776"/>
        <v>73</v>
      </c>
      <c r="Y896" s="2059">
        <f t="shared" si="1776"/>
        <v>74</v>
      </c>
      <c r="Z896" s="2059">
        <f t="shared" si="1776"/>
        <v>74</v>
      </c>
      <c r="AA896" s="2059">
        <f t="shared" si="1776"/>
        <v>77</v>
      </c>
      <c r="AB896" s="2059">
        <f t="shared" si="1776"/>
        <v>79</v>
      </c>
      <c r="AC896" s="2059">
        <f t="shared" si="1776"/>
        <v>78</v>
      </c>
      <c r="AD896" s="1553">
        <f t="shared" ref="AD896:AJ896" si="1777">SUM(AD897:AD901)</f>
        <v>73</v>
      </c>
      <c r="AE896" s="49">
        <f t="shared" si="1777"/>
        <v>73</v>
      </c>
      <c r="AF896" s="49">
        <f t="shared" si="1777"/>
        <v>74</v>
      </c>
      <c r="AG896" s="49">
        <f t="shared" si="1777"/>
        <v>78</v>
      </c>
      <c r="AH896" s="49">
        <f t="shared" si="1777"/>
        <v>73</v>
      </c>
      <c r="AI896" s="49">
        <f t="shared" si="1777"/>
        <v>78</v>
      </c>
      <c r="AJ896" s="49">
        <f t="shared" si="1777"/>
        <v>78</v>
      </c>
      <c r="AL896" s="49">
        <f t="shared" ca="1" si="1744"/>
        <v>78</v>
      </c>
      <c r="AM896" s="49">
        <f t="shared" ca="1" si="1745"/>
        <v>0</v>
      </c>
      <c r="AN896" s="913">
        <f t="shared" ca="1" si="1746"/>
        <v>78</v>
      </c>
      <c r="AO896" s="974">
        <f t="shared" ca="1" si="1747"/>
        <v>0</v>
      </c>
      <c r="AP896" s="49">
        <f t="shared" ca="1" si="1748"/>
        <v>73</v>
      </c>
      <c r="AQ896" s="913">
        <f t="shared" ca="1" si="1749"/>
        <v>5</v>
      </c>
      <c r="AR896" s="974">
        <f t="shared" ca="1" si="1750"/>
        <v>1.0684931506849316</v>
      </c>
      <c r="AT896" s="49">
        <f t="shared" ca="1" si="1751"/>
        <v>78</v>
      </c>
      <c r="AU896" s="49">
        <f t="shared" ca="1" si="1752"/>
        <v>0</v>
      </c>
      <c r="AV896" s="913">
        <f t="shared" ca="1" si="1753"/>
        <v>78</v>
      </c>
      <c r="AW896" s="974">
        <f t="shared" ca="1" si="1754"/>
        <v>0</v>
      </c>
      <c r="AX896" s="49">
        <f t="shared" ca="1" si="1755"/>
        <v>73</v>
      </c>
      <c r="AY896" s="913">
        <f t="shared" ca="1" si="1756"/>
        <v>5</v>
      </c>
      <c r="AZ896" s="974">
        <f t="shared" ca="1" si="1757"/>
        <v>1.0684931506849316</v>
      </c>
      <c r="BB896" s="49">
        <f t="shared" ca="1" si="1758"/>
        <v>78</v>
      </c>
      <c r="BC896" s="49">
        <f t="shared" ca="1" si="1759"/>
        <v>0</v>
      </c>
      <c r="BD896" s="913">
        <f t="shared" ca="1" si="1760"/>
        <v>78</v>
      </c>
      <c r="BE896" s="974">
        <f t="shared" ca="1" si="1761"/>
        <v>0</v>
      </c>
      <c r="BF896" s="49">
        <f t="shared" ca="1" si="1762"/>
        <v>73</v>
      </c>
      <c r="BG896" s="913">
        <f t="shared" ca="1" si="1763"/>
        <v>5</v>
      </c>
      <c r="BH896" s="974">
        <f t="shared" ca="1" si="1764"/>
        <v>1.0684931506849316</v>
      </c>
    </row>
    <row r="897" spans="1:60" s="38" customFormat="1" ht="14.5">
      <c r="A897" s="990">
        <f t="shared" ref="A897:A960" si="1778">A896+1</f>
        <v>810</v>
      </c>
      <c r="B897" s="990">
        <v>1</v>
      </c>
      <c r="C897" s="990">
        <f t="shared" si="1649"/>
        <v>894</v>
      </c>
      <c r="E897" s="1243">
        <v>1</v>
      </c>
      <c r="F897" s="5"/>
      <c r="G897" s="5"/>
      <c r="H897" s="5"/>
      <c r="I897" s="338"/>
      <c r="J897" s="5"/>
      <c r="K897" s="5"/>
      <c r="L897" s="4"/>
      <c r="M897" s="4"/>
      <c r="N897" s="45"/>
      <c r="O897" s="45" t="s">
        <v>119</v>
      </c>
      <c r="P897" s="45"/>
      <c r="Q897" s="1886" t="str">
        <f>CHOOSE(2, "6722000003816", "HC FE/TTOC Administration Total Information Technology")</f>
        <v>HC FE/TTOC Administration Total Information Technology</v>
      </c>
      <c r="R897" s="2047">
        <f t="shared" ref="R897:AC901" si="1779">R928+R1048+R958+R988+R1018</f>
        <v>7</v>
      </c>
      <c r="S897" s="2047">
        <f t="shared" si="1779"/>
        <v>7</v>
      </c>
      <c r="T897" s="2047">
        <f t="shared" si="1779"/>
        <v>7</v>
      </c>
      <c r="U897" s="2047">
        <f t="shared" si="1779"/>
        <v>7</v>
      </c>
      <c r="V897" s="2047">
        <f t="shared" si="1779"/>
        <v>7</v>
      </c>
      <c r="W897" s="2047">
        <f t="shared" si="1779"/>
        <v>7</v>
      </c>
      <c r="X897" s="2047">
        <f t="shared" si="1779"/>
        <v>7</v>
      </c>
      <c r="Y897" s="2047">
        <f t="shared" si="1779"/>
        <v>7</v>
      </c>
      <c r="Z897" s="2047">
        <f t="shared" si="1779"/>
        <v>8</v>
      </c>
      <c r="AA897" s="2047">
        <f t="shared" si="1779"/>
        <v>8</v>
      </c>
      <c r="AB897" s="2047">
        <f t="shared" si="1779"/>
        <v>8</v>
      </c>
      <c r="AC897" s="2047">
        <f t="shared" si="1779"/>
        <v>8</v>
      </c>
      <c r="AD897" s="1511">
        <f>T897</f>
        <v>7</v>
      </c>
      <c r="AE897" s="44">
        <f>W897</f>
        <v>7</v>
      </c>
      <c r="AF897" s="44">
        <f>Z897</f>
        <v>8</v>
      </c>
      <c r="AG897" s="44">
        <f>AC897</f>
        <v>8</v>
      </c>
      <c r="AH897" s="44">
        <f>AE897</f>
        <v>7</v>
      </c>
      <c r="AI897" s="44">
        <f>AG897</f>
        <v>8</v>
      </c>
      <c r="AJ897" s="44">
        <f>AI897</f>
        <v>8</v>
      </c>
      <c r="AL897" s="44">
        <f t="shared" ca="1" si="1744"/>
        <v>8</v>
      </c>
      <c r="AM897" s="44">
        <f t="shared" ca="1" si="1745"/>
        <v>0</v>
      </c>
      <c r="AN897" s="872">
        <f t="shared" ca="1" si="1746"/>
        <v>8</v>
      </c>
      <c r="AO897" s="922">
        <f t="shared" ca="1" si="1747"/>
        <v>0</v>
      </c>
      <c r="AP897" s="44">
        <f t="shared" ca="1" si="1748"/>
        <v>7</v>
      </c>
      <c r="AQ897" s="872">
        <f t="shared" ca="1" si="1749"/>
        <v>1</v>
      </c>
      <c r="AR897" s="922">
        <f t="shared" ca="1" si="1750"/>
        <v>1.1428571428571428</v>
      </c>
      <c r="AT897" s="44">
        <f t="shared" ca="1" si="1751"/>
        <v>8</v>
      </c>
      <c r="AU897" s="44">
        <f t="shared" ca="1" si="1752"/>
        <v>0</v>
      </c>
      <c r="AV897" s="872">
        <f t="shared" ca="1" si="1753"/>
        <v>8</v>
      </c>
      <c r="AW897" s="922">
        <f t="shared" ca="1" si="1754"/>
        <v>0</v>
      </c>
      <c r="AX897" s="44">
        <f t="shared" ca="1" si="1755"/>
        <v>7</v>
      </c>
      <c r="AY897" s="872">
        <f t="shared" ca="1" si="1756"/>
        <v>1</v>
      </c>
      <c r="AZ897" s="922">
        <f t="shared" ca="1" si="1757"/>
        <v>1.1428571428571428</v>
      </c>
      <c r="BB897" s="44">
        <f t="shared" ca="1" si="1758"/>
        <v>8</v>
      </c>
      <c r="BC897" s="44">
        <f t="shared" ca="1" si="1759"/>
        <v>0</v>
      </c>
      <c r="BD897" s="872">
        <f t="shared" ca="1" si="1760"/>
        <v>8</v>
      </c>
      <c r="BE897" s="922">
        <f t="shared" ca="1" si="1761"/>
        <v>0</v>
      </c>
      <c r="BF897" s="44">
        <f t="shared" ca="1" si="1762"/>
        <v>7</v>
      </c>
      <c r="BG897" s="872">
        <f t="shared" ca="1" si="1763"/>
        <v>1</v>
      </c>
      <c r="BH897" s="922">
        <f t="shared" ca="1" si="1764"/>
        <v>1.1428571428571428</v>
      </c>
    </row>
    <row r="898" spans="1:60" s="38" customFormat="1" ht="14.5">
      <c r="A898" s="990">
        <f t="shared" si="1778"/>
        <v>811</v>
      </c>
      <c r="B898" s="990">
        <v>1</v>
      </c>
      <c r="C898" s="990">
        <f t="shared" ref="C898:C961" si="1780">ROW()-3</f>
        <v>895</v>
      </c>
      <c r="E898" s="1243">
        <v>1</v>
      </c>
      <c r="F898" s="5"/>
      <c r="G898" s="5"/>
      <c r="H898" s="5"/>
      <c r="I898" s="338"/>
      <c r="J898" s="5"/>
      <c r="K898" s="5"/>
      <c r="L898" s="4"/>
      <c r="M898" s="4"/>
      <c r="N898" s="45"/>
      <c r="O898" s="45" t="s">
        <v>75</v>
      </c>
      <c r="P898" s="45"/>
      <c r="Q898" s="1886" t="str">
        <f>CHOOSE(2, "6722000003817", "HC FE/TTOC Administration Total Finance")</f>
        <v>HC FE/TTOC Administration Total Finance</v>
      </c>
      <c r="R898" s="2047">
        <f t="shared" si="1779"/>
        <v>41</v>
      </c>
      <c r="S898" s="2047">
        <f t="shared" si="1779"/>
        <v>41</v>
      </c>
      <c r="T898" s="2047">
        <f t="shared" si="1779"/>
        <v>41</v>
      </c>
      <c r="U898" s="2047">
        <f t="shared" si="1779"/>
        <v>41</v>
      </c>
      <c r="V898" s="2047">
        <f t="shared" si="1779"/>
        <v>40</v>
      </c>
      <c r="W898" s="2047">
        <f t="shared" si="1779"/>
        <v>42</v>
      </c>
      <c r="X898" s="2047">
        <f t="shared" si="1779"/>
        <v>43</v>
      </c>
      <c r="Y898" s="2047">
        <f t="shared" si="1779"/>
        <v>42</v>
      </c>
      <c r="Z898" s="2047">
        <f t="shared" si="1779"/>
        <v>40</v>
      </c>
      <c r="AA898" s="2047">
        <f t="shared" si="1779"/>
        <v>41</v>
      </c>
      <c r="AB898" s="2047">
        <f t="shared" si="1779"/>
        <v>43</v>
      </c>
      <c r="AC898" s="2047">
        <f t="shared" si="1779"/>
        <v>43</v>
      </c>
      <c r="AD898" s="1511">
        <f>T898</f>
        <v>41</v>
      </c>
      <c r="AE898" s="44">
        <f>W898</f>
        <v>42</v>
      </c>
      <c r="AF898" s="44">
        <f>Z898</f>
        <v>40</v>
      </c>
      <c r="AG898" s="44">
        <f>AC898</f>
        <v>43</v>
      </c>
      <c r="AH898" s="44">
        <f>AE898</f>
        <v>42</v>
      </c>
      <c r="AI898" s="44">
        <f>AG898</f>
        <v>43</v>
      </c>
      <c r="AJ898" s="44">
        <f>AI898</f>
        <v>43</v>
      </c>
      <c r="AL898" s="44">
        <f t="shared" ca="1" si="1744"/>
        <v>43</v>
      </c>
      <c r="AM898" s="44">
        <f t="shared" ca="1" si="1745"/>
        <v>0</v>
      </c>
      <c r="AN898" s="872">
        <f t="shared" ca="1" si="1746"/>
        <v>43</v>
      </c>
      <c r="AO898" s="922">
        <f t="shared" ca="1" si="1747"/>
        <v>0</v>
      </c>
      <c r="AP898" s="44">
        <f t="shared" ca="1" si="1748"/>
        <v>42</v>
      </c>
      <c r="AQ898" s="872">
        <f t="shared" ca="1" si="1749"/>
        <v>1</v>
      </c>
      <c r="AR898" s="922">
        <f t="shared" ca="1" si="1750"/>
        <v>1.0238095238095237</v>
      </c>
      <c r="AT898" s="44">
        <f t="shared" ca="1" si="1751"/>
        <v>43</v>
      </c>
      <c r="AU898" s="44">
        <f t="shared" ca="1" si="1752"/>
        <v>0</v>
      </c>
      <c r="AV898" s="872">
        <f t="shared" ca="1" si="1753"/>
        <v>43</v>
      </c>
      <c r="AW898" s="922">
        <f t="shared" ca="1" si="1754"/>
        <v>0</v>
      </c>
      <c r="AX898" s="44">
        <f t="shared" ca="1" si="1755"/>
        <v>42</v>
      </c>
      <c r="AY898" s="872">
        <f t="shared" ca="1" si="1756"/>
        <v>1</v>
      </c>
      <c r="AZ898" s="922">
        <f t="shared" ca="1" si="1757"/>
        <v>1.0238095238095237</v>
      </c>
      <c r="BB898" s="44">
        <f t="shared" ca="1" si="1758"/>
        <v>43</v>
      </c>
      <c r="BC898" s="44">
        <f t="shared" ca="1" si="1759"/>
        <v>0</v>
      </c>
      <c r="BD898" s="872">
        <f t="shared" ca="1" si="1760"/>
        <v>43</v>
      </c>
      <c r="BE898" s="922">
        <f t="shared" ca="1" si="1761"/>
        <v>0</v>
      </c>
      <c r="BF898" s="44">
        <f t="shared" ca="1" si="1762"/>
        <v>42</v>
      </c>
      <c r="BG898" s="872">
        <f t="shared" ca="1" si="1763"/>
        <v>1</v>
      </c>
      <c r="BH898" s="922">
        <f t="shared" ca="1" si="1764"/>
        <v>1.0238095238095237</v>
      </c>
    </row>
    <row r="899" spans="1:60" s="38" customFormat="1" ht="14.5">
      <c r="A899" s="990">
        <f t="shared" si="1778"/>
        <v>812</v>
      </c>
      <c r="B899" s="990">
        <v>1</v>
      </c>
      <c r="C899" s="990">
        <f t="shared" si="1780"/>
        <v>896</v>
      </c>
      <c r="E899" s="1243">
        <v>1</v>
      </c>
      <c r="F899" s="5"/>
      <c r="G899" s="5"/>
      <c r="H899" s="5"/>
      <c r="I899" s="338"/>
      <c r="J899" s="5"/>
      <c r="K899" s="5"/>
      <c r="L899" s="4"/>
      <c r="M899" s="4"/>
      <c r="N899" s="45"/>
      <c r="O899" s="45" t="s">
        <v>76</v>
      </c>
      <c r="P899" s="45"/>
      <c r="Q899" s="1886" t="str">
        <f>CHOOSE(2, "6722000003818", "HC FE/TTOC Administration Total HR")</f>
        <v>HC FE/TTOC Administration Total HR</v>
      </c>
      <c r="R899" s="2047">
        <f t="shared" si="1779"/>
        <v>7</v>
      </c>
      <c r="S899" s="2047">
        <f t="shared" si="1779"/>
        <v>7</v>
      </c>
      <c r="T899" s="2047">
        <f t="shared" si="1779"/>
        <v>7</v>
      </c>
      <c r="U899" s="2047">
        <f t="shared" si="1779"/>
        <v>8</v>
      </c>
      <c r="V899" s="2047">
        <f t="shared" si="1779"/>
        <v>8</v>
      </c>
      <c r="W899" s="2047">
        <f t="shared" si="1779"/>
        <v>7</v>
      </c>
      <c r="X899" s="2047">
        <f t="shared" si="1779"/>
        <v>7</v>
      </c>
      <c r="Y899" s="2047">
        <f t="shared" si="1779"/>
        <v>7</v>
      </c>
      <c r="Z899" s="2047">
        <f t="shared" si="1779"/>
        <v>8</v>
      </c>
      <c r="AA899" s="2047">
        <f t="shared" si="1779"/>
        <v>8</v>
      </c>
      <c r="AB899" s="2047">
        <f t="shared" si="1779"/>
        <v>8</v>
      </c>
      <c r="AC899" s="2047">
        <f t="shared" si="1779"/>
        <v>7</v>
      </c>
      <c r="AD899" s="1511">
        <f>T899</f>
        <v>7</v>
      </c>
      <c r="AE899" s="44">
        <f>W899</f>
        <v>7</v>
      </c>
      <c r="AF899" s="44">
        <f>Z899</f>
        <v>8</v>
      </c>
      <c r="AG899" s="44">
        <f>AC899</f>
        <v>7</v>
      </c>
      <c r="AH899" s="44">
        <f>AE899</f>
        <v>7</v>
      </c>
      <c r="AI899" s="44">
        <f>AG899</f>
        <v>7</v>
      </c>
      <c r="AJ899" s="44">
        <f>AI899</f>
        <v>7</v>
      </c>
      <c r="AL899" s="44">
        <f t="shared" ca="1" si="1744"/>
        <v>7</v>
      </c>
      <c r="AM899" s="44">
        <f t="shared" ca="1" si="1745"/>
        <v>0</v>
      </c>
      <c r="AN899" s="872">
        <f t="shared" ca="1" si="1746"/>
        <v>7</v>
      </c>
      <c r="AO899" s="922">
        <f t="shared" ca="1" si="1747"/>
        <v>0</v>
      </c>
      <c r="AP899" s="44">
        <f t="shared" ca="1" si="1748"/>
        <v>7</v>
      </c>
      <c r="AQ899" s="872">
        <f t="shared" ca="1" si="1749"/>
        <v>0</v>
      </c>
      <c r="AR899" s="922">
        <f t="shared" ca="1" si="1750"/>
        <v>1</v>
      </c>
      <c r="AT899" s="44">
        <f t="shared" ca="1" si="1751"/>
        <v>7</v>
      </c>
      <c r="AU899" s="44">
        <f t="shared" ca="1" si="1752"/>
        <v>0</v>
      </c>
      <c r="AV899" s="872">
        <f t="shared" ca="1" si="1753"/>
        <v>7</v>
      </c>
      <c r="AW899" s="922">
        <f t="shared" ca="1" si="1754"/>
        <v>0</v>
      </c>
      <c r="AX899" s="44">
        <f t="shared" ca="1" si="1755"/>
        <v>7</v>
      </c>
      <c r="AY899" s="872">
        <f t="shared" ca="1" si="1756"/>
        <v>0</v>
      </c>
      <c r="AZ899" s="922">
        <f t="shared" ca="1" si="1757"/>
        <v>1</v>
      </c>
      <c r="BB899" s="44">
        <f t="shared" ca="1" si="1758"/>
        <v>7</v>
      </c>
      <c r="BC899" s="44">
        <f t="shared" ca="1" si="1759"/>
        <v>0</v>
      </c>
      <c r="BD899" s="872">
        <f t="shared" ca="1" si="1760"/>
        <v>7</v>
      </c>
      <c r="BE899" s="922">
        <f t="shared" ca="1" si="1761"/>
        <v>0</v>
      </c>
      <c r="BF899" s="44">
        <f t="shared" ca="1" si="1762"/>
        <v>7</v>
      </c>
      <c r="BG899" s="872">
        <f t="shared" ca="1" si="1763"/>
        <v>0</v>
      </c>
      <c r="BH899" s="922">
        <f t="shared" ca="1" si="1764"/>
        <v>1</v>
      </c>
    </row>
    <row r="900" spans="1:60" s="38" customFormat="1" ht="14.5">
      <c r="A900" s="990">
        <f t="shared" si="1778"/>
        <v>813</v>
      </c>
      <c r="B900" s="990">
        <v>1</v>
      </c>
      <c r="C900" s="990">
        <f t="shared" si="1780"/>
        <v>897</v>
      </c>
      <c r="E900" s="1243">
        <v>1</v>
      </c>
      <c r="F900" s="5"/>
      <c r="G900" s="5"/>
      <c r="H900" s="5"/>
      <c r="I900" s="338"/>
      <c r="J900" s="5"/>
      <c r="K900" s="5"/>
      <c r="L900" s="4"/>
      <c r="M900" s="4"/>
      <c r="N900" s="45"/>
      <c r="O900" s="45" t="s">
        <v>77</v>
      </c>
      <c r="P900" s="45"/>
      <c r="Q900" s="1886" t="str">
        <f>CHOOSE(2, "6722000003819", "HC FE/TTOC Administration Total Training")</f>
        <v>HC FE/TTOC Administration Total Training</v>
      </c>
      <c r="R900" s="2047">
        <f t="shared" si="1779"/>
        <v>0</v>
      </c>
      <c r="S900" s="2047">
        <f t="shared" si="1779"/>
        <v>0</v>
      </c>
      <c r="T900" s="2047">
        <f t="shared" si="1779"/>
        <v>0</v>
      </c>
      <c r="U900" s="2047">
        <f t="shared" si="1779"/>
        <v>0</v>
      </c>
      <c r="V900" s="2047">
        <f t="shared" si="1779"/>
        <v>0</v>
      </c>
      <c r="W900" s="2047">
        <f t="shared" si="1779"/>
        <v>0</v>
      </c>
      <c r="X900" s="2047">
        <f t="shared" si="1779"/>
        <v>0</v>
      </c>
      <c r="Y900" s="2047">
        <f t="shared" si="1779"/>
        <v>0</v>
      </c>
      <c r="Z900" s="2047">
        <f t="shared" si="1779"/>
        <v>0</v>
      </c>
      <c r="AA900" s="2047">
        <f t="shared" si="1779"/>
        <v>0</v>
      </c>
      <c r="AB900" s="2047">
        <f t="shared" si="1779"/>
        <v>0</v>
      </c>
      <c r="AC900" s="2047">
        <f t="shared" si="1779"/>
        <v>0</v>
      </c>
      <c r="AD900" s="1511">
        <f>T900</f>
        <v>0</v>
      </c>
      <c r="AE900" s="44">
        <f>W900</f>
        <v>0</v>
      </c>
      <c r="AF900" s="44">
        <f>Z900</f>
        <v>0</v>
      </c>
      <c r="AG900" s="44">
        <f>AC900</f>
        <v>0</v>
      </c>
      <c r="AH900" s="44">
        <f>AE900</f>
        <v>0</v>
      </c>
      <c r="AI900" s="44">
        <f>AG900</f>
        <v>0</v>
      </c>
      <c r="AJ900" s="44">
        <f>AI900</f>
        <v>0</v>
      </c>
      <c r="AL900" s="44">
        <f t="shared" ca="1" si="1744"/>
        <v>0</v>
      </c>
      <c r="AM900" s="44">
        <f t="shared" ca="1" si="1745"/>
        <v>0</v>
      </c>
      <c r="AN900" s="872">
        <f t="shared" ca="1" si="1746"/>
        <v>0</v>
      </c>
      <c r="AO900" s="922">
        <f t="shared" ca="1" si="1747"/>
        <v>0</v>
      </c>
      <c r="AP900" s="44">
        <f t="shared" ca="1" si="1748"/>
        <v>0</v>
      </c>
      <c r="AQ900" s="872">
        <f t="shared" ca="1" si="1749"/>
        <v>0</v>
      </c>
      <c r="AR900" s="922">
        <f t="shared" ca="1" si="1750"/>
        <v>0</v>
      </c>
      <c r="AT900" s="44">
        <f t="shared" ca="1" si="1751"/>
        <v>0</v>
      </c>
      <c r="AU900" s="44">
        <f t="shared" ca="1" si="1752"/>
        <v>0</v>
      </c>
      <c r="AV900" s="872">
        <f t="shared" ca="1" si="1753"/>
        <v>0</v>
      </c>
      <c r="AW900" s="922">
        <f t="shared" ca="1" si="1754"/>
        <v>0</v>
      </c>
      <c r="AX900" s="44">
        <f t="shared" ca="1" si="1755"/>
        <v>0</v>
      </c>
      <c r="AY900" s="872">
        <f t="shared" ca="1" si="1756"/>
        <v>0</v>
      </c>
      <c r="AZ900" s="922">
        <f t="shared" ca="1" si="1757"/>
        <v>0</v>
      </c>
      <c r="BB900" s="44">
        <f t="shared" ca="1" si="1758"/>
        <v>0</v>
      </c>
      <c r="BC900" s="44">
        <f t="shared" ca="1" si="1759"/>
        <v>0</v>
      </c>
      <c r="BD900" s="872">
        <f t="shared" ca="1" si="1760"/>
        <v>0</v>
      </c>
      <c r="BE900" s="922">
        <f t="shared" ca="1" si="1761"/>
        <v>0</v>
      </c>
      <c r="BF900" s="44">
        <f t="shared" ca="1" si="1762"/>
        <v>0</v>
      </c>
      <c r="BG900" s="872">
        <f t="shared" ca="1" si="1763"/>
        <v>0</v>
      </c>
      <c r="BH900" s="922">
        <f t="shared" ca="1" si="1764"/>
        <v>0</v>
      </c>
    </row>
    <row r="901" spans="1:60" s="38" customFormat="1" ht="14.5">
      <c r="A901" s="990">
        <f t="shared" si="1778"/>
        <v>814</v>
      </c>
      <c r="B901" s="990">
        <v>1</v>
      </c>
      <c r="C901" s="990">
        <f t="shared" si="1780"/>
        <v>898</v>
      </c>
      <c r="E901" s="1243">
        <v>1</v>
      </c>
      <c r="F901" s="5"/>
      <c r="G901" s="5"/>
      <c r="H901" s="5"/>
      <c r="I901" s="338"/>
      <c r="J901" s="5"/>
      <c r="K901" s="5"/>
      <c r="L901" s="4"/>
      <c r="M901" s="4"/>
      <c r="N901" s="45"/>
      <c r="O901" s="45" t="s">
        <v>11</v>
      </c>
      <c r="P901" s="45"/>
      <c r="Q901" s="1886" t="str">
        <f>CHOOSE(2, "6722000003820", "HC FE/TTOC Administration Total Others")</f>
        <v>HC FE/TTOC Administration Total Others</v>
      </c>
      <c r="R901" s="2047">
        <f t="shared" si="1779"/>
        <v>16</v>
      </c>
      <c r="S901" s="2047">
        <f t="shared" si="1779"/>
        <v>18</v>
      </c>
      <c r="T901" s="2047">
        <f t="shared" si="1779"/>
        <v>18</v>
      </c>
      <c r="U901" s="2047">
        <f t="shared" si="1779"/>
        <v>17</v>
      </c>
      <c r="V901" s="2047">
        <f t="shared" si="1779"/>
        <v>17</v>
      </c>
      <c r="W901" s="2047">
        <f t="shared" si="1779"/>
        <v>17</v>
      </c>
      <c r="X901" s="2047">
        <f t="shared" si="1779"/>
        <v>16</v>
      </c>
      <c r="Y901" s="2047">
        <f t="shared" si="1779"/>
        <v>18</v>
      </c>
      <c r="Z901" s="2047">
        <f t="shared" si="1779"/>
        <v>18</v>
      </c>
      <c r="AA901" s="2047">
        <f t="shared" si="1779"/>
        <v>20</v>
      </c>
      <c r="AB901" s="2047">
        <f t="shared" si="1779"/>
        <v>20</v>
      </c>
      <c r="AC901" s="2047">
        <f t="shared" si="1779"/>
        <v>20</v>
      </c>
      <c r="AD901" s="1511">
        <f>T901</f>
        <v>18</v>
      </c>
      <c r="AE901" s="44">
        <f>W901</f>
        <v>17</v>
      </c>
      <c r="AF901" s="44">
        <f>Z901</f>
        <v>18</v>
      </c>
      <c r="AG901" s="44">
        <f>AC901</f>
        <v>20</v>
      </c>
      <c r="AH901" s="44">
        <f>AE901</f>
        <v>17</v>
      </c>
      <c r="AI901" s="44">
        <f>AG901</f>
        <v>20</v>
      </c>
      <c r="AJ901" s="44">
        <f>AI901</f>
        <v>20</v>
      </c>
      <c r="AL901" s="44">
        <f t="shared" ca="1" si="1744"/>
        <v>20</v>
      </c>
      <c r="AM901" s="44">
        <f t="shared" ca="1" si="1745"/>
        <v>0</v>
      </c>
      <c r="AN901" s="872">
        <f t="shared" ca="1" si="1746"/>
        <v>20</v>
      </c>
      <c r="AO901" s="922">
        <f t="shared" ca="1" si="1747"/>
        <v>0</v>
      </c>
      <c r="AP901" s="44">
        <f t="shared" ca="1" si="1748"/>
        <v>17</v>
      </c>
      <c r="AQ901" s="872">
        <f t="shared" ca="1" si="1749"/>
        <v>3</v>
      </c>
      <c r="AR901" s="922">
        <f t="shared" ca="1" si="1750"/>
        <v>1.1764705882352942</v>
      </c>
      <c r="AT901" s="44">
        <f t="shared" ca="1" si="1751"/>
        <v>20</v>
      </c>
      <c r="AU901" s="44">
        <f t="shared" ca="1" si="1752"/>
        <v>0</v>
      </c>
      <c r="AV901" s="872">
        <f t="shared" ca="1" si="1753"/>
        <v>20</v>
      </c>
      <c r="AW901" s="922">
        <f t="shared" ca="1" si="1754"/>
        <v>0</v>
      </c>
      <c r="AX901" s="44">
        <f t="shared" ca="1" si="1755"/>
        <v>17</v>
      </c>
      <c r="AY901" s="872">
        <f t="shared" ca="1" si="1756"/>
        <v>3</v>
      </c>
      <c r="AZ901" s="922">
        <f t="shared" ca="1" si="1757"/>
        <v>1.1764705882352942</v>
      </c>
      <c r="BB901" s="44">
        <f t="shared" ca="1" si="1758"/>
        <v>20</v>
      </c>
      <c r="BC901" s="44">
        <f t="shared" ca="1" si="1759"/>
        <v>0</v>
      </c>
      <c r="BD901" s="872">
        <f t="shared" ca="1" si="1760"/>
        <v>20</v>
      </c>
      <c r="BE901" s="922">
        <f t="shared" ca="1" si="1761"/>
        <v>0</v>
      </c>
      <c r="BF901" s="44">
        <f t="shared" ca="1" si="1762"/>
        <v>17</v>
      </c>
      <c r="BG901" s="872">
        <f t="shared" ca="1" si="1763"/>
        <v>3</v>
      </c>
      <c r="BH901" s="922">
        <f t="shared" ca="1" si="1764"/>
        <v>1.1764705882352942</v>
      </c>
    </row>
    <row r="902" spans="1:60" s="38" customFormat="1" ht="14.5">
      <c r="A902" s="990">
        <f t="shared" si="1778"/>
        <v>815</v>
      </c>
      <c r="B902" s="990">
        <v>1</v>
      </c>
      <c r="C902" s="990">
        <f t="shared" si="1780"/>
        <v>899</v>
      </c>
      <c r="D902" s="1121" t="s">
        <v>887</v>
      </c>
      <c r="E902" s="1243">
        <v>1</v>
      </c>
      <c r="F902" s="5"/>
      <c r="G902" s="5"/>
      <c r="H902" s="5"/>
      <c r="I902" s="338"/>
      <c r="J902" s="324" t="s">
        <v>332</v>
      </c>
      <c r="K902" s="48"/>
      <c r="L902" s="48"/>
      <c r="M902" s="47"/>
      <c r="N902" s="47"/>
      <c r="O902" s="47"/>
      <c r="P902" s="323"/>
      <c r="Q902" s="1880" t="str">
        <f>CHOOSE(2, "6722000003821", "HC FE/TTOC Logistics Total")</f>
        <v>HC FE/TTOC Logistics Total</v>
      </c>
      <c r="R902" s="2193">
        <f>SUM(R903:R905)</f>
        <v>35</v>
      </c>
      <c r="S902" s="2193">
        <f t="shared" ref="S902:AC902" si="1781">SUM(S903:S905)</f>
        <v>33</v>
      </c>
      <c r="T902" s="2193">
        <f t="shared" si="1781"/>
        <v>36</v>
      </c>
      <c r="U902" s="2193">
        <f t="shared" si="1781"/>
        <v>37</v>
      </c>
      <c r="V902" s="2193">
        <f t="shared" si="1781"/>
        <v>37</v>
      </c>
      <c r="W902" s="2193">
        <f t="shared" si="1781"/>
        <v>37</v>
      </c>
      <c r="X902" s="2193">
        <f t="shared" si="1781"/>
        <v>37</v>
      </c>
      <c r="Y902" s="2193">
        <f t="shared" si="1781"/>
        <v>38</v>
      </c>
      <c r="Z902" s="2193">
        <f t="shared" si="1781"/>
        <v>39</v>
      </c>
      <c r="AA902" s="2193">
        <f t="shared" si="1781"/>
        <v>39</v>
      </c>
      <c r="AB902" s="2193">
        <f t="shared" si="1781"/>
        <v>39</v>
      </c>
      <c r="AC902" s="2193">
        <f t="shared" si="1781"/>
        <v>39</v>
      </c>
      <c r="AD902" s="1278">
        <f t="shared" ref="AD902:AJ902" si="1782">SUM(AD903:AD905)</f>
        <v>36</v>
      </c>
      <c r="AE902" s="46">
        <f t="shared" si="1782"/>
        <v>37</v>
      </c>
      <c r="AF902" s="46">
        <f t="shared" si="1782"/>
        <v>39</v>
      </c>
      <c r="AG902" s="46">
        <f t="shared" si="1782"/>
        <v>39</v>
      </c>
      <c r="AH902" s="46">
        <f t="shared" si="1782"/>
        <v>37</v>
      </c>
      <c r="AI902" s="46">
        <f t="shared" si="1782"/>
        <v>39</v>
      </c>
      <c r="AJ902" s="46">
        <f t="shared" si="1782"/>
        <v>39</v>
      </c>
      <c r="AL902" s="325">
        <f t="shared" ca="1" si="1744"/>
        <v>39</v>
      </c>
      <c r="AM902" s="325">
        <f t="shared" ca="1" si="1745"/>
        <v>0</v>
      </c>
      <c r="AN902" s="915">
        <f t="shared" ca="1" si="1746"/>
        <v>39</v>
      </c>
      <c r="AO902" s="976">
        <f t="shared" ca="1" si="1747"/>
        <v>0</v>
      </c>
      <c r="AP902" s="325">
        <f t="shared" ca="1" si="1748"/>
        <v>38</v>
      </c>
      <c r="AQ902" s="915">
        <f t="shared" ca="1" si="1749"/>
        <v>1</v>
      </c>
      <c r="AR902" s="976">
        <f t="shared" ca="1" si="1750"/>
        <v>1.0263157894736843</v>
      </c>
      <c r="AT902" s="325">
        <f t="shared" ca="1" si="1751"/>
        <v>39</v>
      </c>
      <c r="AU902" s="325">
        <f t="shared" ca="1" si="1752"/>
        <v>0</v>
      </c>
      <c r="AV902" s="915">
        <f t="shared" ca="1" si="1753"/>
        <v>39</v>
      </c>
      <c r="AW902" s="976">
        <f t="shared" ca="1" si="1754"/>
        <v>0</v>
      </c>
      <c r="AX902" s="325">
        <f t="shared" ca="1" si="1755"/>
        <v>38</v>
      </c>
      <c r="AY902" s="915">
        <f t="shared" ca="1" si="1756"/>
        <v>1</v>
      </c>
      <c r="AZ902" s="976">
        <f t="shared" ca="1" si="1757"/>
        <v>1.0263157894736843</v>
      </c>
      <c r="BB902" s="325">
        <f t="shared" ca="1" si="1758"/>
        <v>39</v>
      </c>
      <c r="BC902" s="325">
        <f t="shared" ca="1" si="1759"/>
        <v>0</v>
      </c>
      <c r="BD902" s="915">
        <f t="shared" ca="1" si="1760"/>
        <v>39</v>
      </c>
      <c r="BE902" s="976">
        <f t="shared" ca="1" si="1761"/>
        <v>0</v>
      </c>
      <c r="BF902" s="325">
        <f t="shared" ca="1" si="1762"/>
        <v>38</v>
      </c>
      <c r="BG902" s="915">
        <f t="shared" ca="1" si="1763"/>
        <v>1</v>
      </c>
      <c r="BH902" s="976">
        <f t="shared" ca="1" si="1764"/>
        <v>1.0263157894736843</v>
      </c>
    </row>
    <row r="903" spans="1:60" s="38" customFormat="1" ht="14.5">
      <c r="A903" s="990">
        <f t="shared" si="1778"/>
        <v>816</v>
      </c>
      <c r="B903" s="990">
        <v>1</v>
      </c>
      <c r="C903" s="990">
        <f t="shared" si="1780"/>
        <v>900</v>
      </c>
      <c r="E903" s="1243">
        <v>1</v>
      </c>
      <c r="F903" s="5"/>
      <c r="G903" s="5"/>
      <c r="H903" s="5"/>
      <c r="I903" s="338"/>
      <c r="J903" s="5"/>
      <c r="K903" s="5"/>
      <c r="L903" s="4"/>
      <c r="M903" s="4"/>
      <c r="N903" s="45"/>
      <c r="O903" s="45" t="s">
        <v>79</v>
      </c>
      <c r="P903" s="45"/>
      <c r="Q903" s="1886" t="str">
        <f>CHOOSE(2, "6722000003822", "HC FE/TTOC Logistics Total Administration")</f>
        <v>HC FE/TTOC Logistics Total Administration</v>
      </c>
      <c r="R903" s="2047">
        <f t="shared" ref="R903:AC906" si="1783">R934+R1054+R964+R994+R1024</f>
        <v>13</v>
      </c>
      <c r="S903" s="2047">
        <f t="shared" si="1783"/>
        <v>12</v>
      </c>
      <c r="T903" s="2047">
        <f t="shared" si="1783"/>
        <v>13</v>
      </c>
      <c r="U903" s="2047">
        <f t="shared" si="1783"/>
        <v>13</v>
      </c>
      <c r="V903" s="2047">
        <f t="shared" si="1783"/>
        <v>13</v>
      </c>
      <c r="W903" s="2047">
        <f t="shared" si="1783"/>
        <v>14</v>
      </c>
      <c r="X903" s="2047">
        <f t="shared" si="1783"/>
        <v>14</v>
      </c>
      <c r="Y903" s="2047">
        <f t="shared" si="1783"/>
        <v>13</v>
      </c>
      <c r="Z903" s="2047">
        <f t="shared" si="1783"/>
        <v>14</v>
      </c>
      <c r="AA903" s="2047">
        <f t="shared" si="1783"/>
        <v>14</v>
      </c>
      <c r="AB903" s="2047">
        <f t="shared" si="1783"/>
        <v>14</v>
      </c>
      <c r="AC903" s="2047">
        <f t="shared" si="1783"/>
        <v>14</v>
      </c>
      <c r="AD903" s="1511">
        <f>T903</f>
        <v>13</v>
      </c>
      <c r="AE903" s="44">
        <f>W903</f>
        <v>14</v>
      </c>
      <c r="AF903" s="44">
        <f>Z903</f>
        <v>14</v>
      </c>
      <c r="AG903" s="44">
        <f>AC903</f>
        <v>14</v>
      </c>
      <c r="AH903" s="44">
        <f>AE903</f>
        <v>14</v>
      </c>
      <c r="AI903" s="44">
        <f>AG903</f>
        <v>14</v>
      </c>
      <c r="AJ903" s="44">
        <f>AI903</f>
        <v>14</v>
      </c>
      <c r="AL903" s="44">
        <f t="shared" ca="1" si="1744"/>
        <v>14</v>
      </c>
      <c r="AM903" s="44">
        <f t="shared" ca="1" si="1745"/>
        <v>0</v>
      </c>
      <c r="AN903" s="872">
        <f t="shared" ca="1" si="1746"/>
        <v>14</v>
      </c>
      <c r="AO903" s="922">
        <f t="shared" ca="1" si="1747"/>
        <v>0</v>
      </c>
      <c r="AP903" s="44">
        <f t="shared" ca="1" si="1748"/>
        <v>14</v>
      </c>
      <c r="AQ903" s="872">
        <f t="shared" ca="1" si="1749"/>
        <v>0</v>
      </c>
      <c r="AR903" s="922">
        <f t="shared" ca="1" si="1750"/>
        <v>1</v>
      </c>
      <c r="AT903" s="44">
        <f t="shared" ca="1" si="1751"/>
        <v>14</v>
      </c>
      <c r="AU903" s="44">
        <f t="shared" ca="1" si="1752"/>
        <v>0</v>
      </c>
      <c r="AV903" s="872">
        <f t="shared" ca="1" si="1753"/>
        <v>14</v>
      </c>
      <c r="AW903" s="922">
        <f t="shared" ca="1" si="1754"/>
        <v>0</v>
      </c>
      <c r="AX903" s="44">
        <f t="shared" ca="1" si="1755"/>
        <v>14</v>
      </c>
      <c r="AY903" s="872">
        <f t="shared" ca="1" si="1756"/>
        <v>0</v>
      </c>
      <c r="AZ903" s="922">
        <f t="shared" ca="1" si="1757"/>
        <v>1</v>
      </c>
      <c r="BB903" s="44">
        <f t="shared" ca="1" si="1758"/>
        <v>14</v>
      </c>
      <c r="BC903" s="44">
        <f t="shared" ca="1" si="1759"/>
        <v>0</v>
      </c>
      <c r="BD903" s="872">
        <f t="shared" ca="1" si="1760"/>
        <v>14</v>
      </c>
      <c r="BE903" s="922">
        <f t="shared" ca="1" si="1761"/>
        <v>0</v>
      </c>
      <c r="BF903" s="44">
        <f t="shared" ca="1" si="1762"/>
        <v>14</v>
      </c>
      <c r="BG903" s="872">
        <f t="shared" ca="1" si="1763"/>
        <v>0</v>
      </c>
      <c r="BH903" s="922">
        <f t="shared" ca="1" si="1764"/>
        <v>1</v>
      </c>
    </row>
    <row r="904" spans="1:60" s="38" customFormat="1" ht="14.5">
      <c r="A904" s="990">
        <f t="shared" si="1778"/>
        <v>817</v>
      </c>
      <c r="B904" s="990">
        <v>1</v>
      </c>
      <c r="C904" s="990">
        <f t="shared" si="1780"/>
        <v>901</v>
      </c>
      <c r="E904" s="1243">
        <v>1</v>
      </c>
      <c r="F904" s="5"/>
      <c r="G904" s="5"/>
      <c r="H904" s="5"/>
      <c r="I904" s="338"/>
      <c r="J904" s="5"/>
      <c r="K904" s="5"/>
      <c r="L904" s="4"/>
      <c r="M904" s="4"/>
      <c r="N904" s="45"/>
      <c r="O904" s="45" t="s">
        <v>80</v>
      </c>
      <c r="P904" s="45"/>
      <c r="Q904" s="1886" t="str">
        <f>CHOOSE(2, "6722000003823", "HC FE/TTOC Logistics Total Warehouse")</f>
        <v>HC FE/TTOC Logistics Total Warehouse</v>
      </c>
      <c r="R904" s="2047">
        <f t="shared" si="1783"/>
        <v>22</v>
      </c>
      <c r="S904" s="2047">
        <f t="shared" si="1783"/>
        <v>21</v>
      </c>
      <c r="T904" s="2047">
        <f t="shared" si="1783"/>
        <v>23</v>
      </c>
      <c r="U904" s="2047">
        <f t="shared" si="1783"/>
        <v>24</v>
      </c>
      <c r="V904" s="2047">
        <f t="shared" si="1783"/>
        <v>24</v>
      </c>
      <c r="W904" s="2047">
        <f t="shared" si="1783"/>
        <v>23</v>
      </c>
      <c r="X904" s="2047">
        <f t="shared" si="1783"/>
        <v>23</v>
      </c>
      <c r="Y904" s="2047">
        <f t="shared" si="1783"/>
        <v>25</v>
      </c>
      <c r="Z904" s="2047">
        <f t="shared" si="1783"/>
        <v>25</v>
      </c>
      <c r="AA904" s="2047">
        <f t="shared" si="1783"/>
        <v>25</v>
      </c>
      <c r="AB904" s="2047">
        <f t="shared" si="1783"/>
        <v>25</v>
      </c>
      <c r="AC904" s="2047">
        <f t="shared" si="1783"/>
        <v>25</v>
      </c>
      <c r="AD904" s="1511">
        <f>T904</f>
        <v>23</v>
      </c>
      <c r="AE904" s="44">
        <f>W904</f>
        <v>23</v>
      </c>
      <c r="AF904" s="44">
        <f>Z904</f>
        <v>25</v>
      </c>
      <c r="AG904" s="44">
        <f>AC904</f>
        <v>25</v>
      </c>
      <c r="AH904" s="44">
        <f>AE904</f>
        <v>23</v>
      </c>
      <c r="AI904" s="44">
        <f>AG904</f>
        <v>25</v>
      </c>
      <c r="AJ904" s="44">
        <f>AI904</f>
        <v>25</v>
      </c>
      <c r="AL904" s="44">
        <f t="shared" ca="1" si="1744"/>
        <v>25</v>
      </c>
      <c r="AM904" s="44">
        <f t="shared" ca="1" si="1745"/>
        <v>0</v>
      </c>
      <c r="AN904" s="872">
        <f t="shared" ca="1" si="1746"/>
        <v>25</v>
      </c>
      <c r="AO904" s="922">
        <f t="shared" ca="1" si="1747"/>
        <v>0</v>
      </c>
      <c r="AP904" s="44">
        <f t="shared" ca="1" si="1748"/>
        <v>24</v>
      </c>
      <c r="AQ904" s="872">
        <f t="shared" ca="1" si="1749"/>
        <v>1</v>
      </c>
      <c r="AR904" s="922">
        <f t="shared" ca="1" si="1750"/>
        <v>1.0416666666666667</v>
      </c>
      <c r="AT904" s="44">
        <f t="shared" ca="1" si="1751"/>
        <v>25</v>
      </c>
      <c r="AU904" s="44">
        <f t="shared" ca="1" si="1752"/>
        <v>0</v>
      </c>
      <c r="AV904" s="872">
        <f t="shared" ca="1" si="1753"/>
        <v>25</v>
      </c>
      <c r="AW904" s="922">
        <f t="shared" ca="1" si="1754"/>
        <v>0</v>
      </c>
      <c r="AX904" s="44">
        <f t="shared" ca="1" si="1755"/>
        <v>24</v>
      </c>
      <c r="AY904" s="872">
        <f t="shared" ca="1" si="1756"/>
        <v>1</v>
      </c>
      <c r="AZ904" s="922">
        <f t="shared" ca="1" si="1757"/>
        <v>1.0416666666666667</v>
      </c>
      <c r="BB904" s="44">
        <f t="shared" ca="1" si="1758"/>
        <v>25</v>
      </c>
      <c r="BC904" s="44">
        <f t="shared" ca="1" si="1759"/>
        <v>0</v>
      </c>
      <c r="BD904" s="872">
        <f t="shared" ca="1" si="1760"/>
        <v>25</v>
      </c>
      <c r="BE904" s="922">
        <f t="shared" ca="1" si="1761"/>
        <v>0</v>
      </c>
      <c r="BF904" s="44">
        <f t="shared" ca="1" si="1762"/>
        <v>24</v>
      </c>
      <c r="BG904" s="872">
        <f t="shared" ca="1" si="1763"/>
        <v>1</v>
      </c>
      <c r="BH904" s="922">
        <f t="shared" ca="1" si="1764"/>
        <v>1.0416666666666667</v>
      </c>
    </row>
    <row r="905" spans="1:60" s="38" customFormat="1" ht="14.5">
      <c r="A905" s="990">
        <f t="shared" si="1778"/>
        <v>818</v>
      </c>
      <c r="B905" s="990">
        <v>1</v>
      </c>
      <c r="C905" s="990">
        <f t="shared" si="1780"/>
        <v>902</v>
      </c>
      <c r="E905" s="1243">
        <v>1</v>
      </c>
      <c r="F905" s="5"/>
      <c r="G905" s="5"/>
      <c r="H905" s="5"/>
      <c r="I905" s="339"/>
      <c r="J905" s="3"/>
      <c r="K905" s="3"/>
      <c r="L905" s="2"/>
      <c r="M905" s="2"/>
      <c r="N905" s="43"/>
      <c r="O905" s="43" t="s">
        <v>81</v>
      </c>
      <c r="P905" s="43"/>
      <c r="Q905" s="1886" t="str">
        <f>CHOOSE(2, "6722000003824", "HC FE/TTOC Logistics Total Workshop")</f>
        <v>HC FE/TTOC Logistics Total Workshop</v>
      </c>
      <c r="R905" s="2048">
        <f t="shared" si="1783"/>
        <v>0</v>
      </c>
      <c r="S905" s="2048">
        <f t="shared" si="1783"/>
        <v>0</v>
      </c>
      <c r="T905" s="2048">
        <f t="shared" si="1783"/>
        <v>0</v>
      </c>
      <c r="U905" s="2048">
        <f t="shared" si="1783"/>
        <v>0</v>
      </c>
      <c r="V905" s="2048">
        <f t="shared" si="1783"/>
        <v>0</v>
      </c>
      <c r="W905" s="2048">
        <f t="shared" si="1783"/>
        <v>0</v>
      </c>
      <c r="X905" s="2048">
        <f t="shared" si="1783"/>
        <v>0</v>
      </c>
      <c r="Y905" s="2048">
        <f t="shared" si="1783"/>
        <v>0</v>
      </c>
      <c r="Z905" s="2048">
        <f t="shared" si="1783"/>
        <v>0</v>
      </c>
      <c r="AA905" s="2048">
        <f t="shared" si="1783"/>
        <v>0</v>
      </c>
      <c r="AB905" s="2048">
        <f t="shared" si="1783"/>
        <v>0</v>
      </c>
      <c r="AC905" s="2048">
        <f t="shared" si="1783"/>
        <v>0</v>
      </c>
      <c r="AD905" s="1554">
        <f>T905</f>
        <v>0</v>
      </c>
      <c r="AE905" s="42">
        <f>W905</f>
        <v>0</v>
      </c>
      <c r="AF905" s="42">
        <f>Z905</f>
        <v>0</v>
      </c>
      <c r="AG905" s="42">
        <f>AC905</f>
        <v>0</v>
      </c>
      <c r="AH905" s="42">
        <f>AE905</f>
        <v>0</v>
      </c>
      <c r="AI905" s="42">
        <f>AG905</f>
        <v>0</v>
      </c>
      <c r="AJ905" s="42">
        <f>AI905</f>
        <v>0</v>
      </c>
      <c r="AL905" s="42">
        <f t="shared" ca="1" si="1744"/>
        <v>0</v>
      </c>
      <c r="AM905" s="42">
        <f t="shared" ca="1" si="1745"/>
        <v>0</v>
      </c>
      <c r="AN905" s="914">
        <f t="shared" ca="1" si="1746"/>
        <v>0</v>
      </c>
      <c r="AO905" s="975">
        <f t="shared" ca="1" si="1747"/>
        <v>0</v>
      </c>
      <c r="AP905" s="42">
        <f t="shared" ca="1" si="1748"/>
        <v>0</v>
      </c>
      <c r="AQ905" s="914">
        <f t="shared" ca="1" si="1749"/>
        <v>0</v>
      </c>
      <c r="AR905" s="975">
        <f t="shared" ca="1" si="1750"/>
        <v>0</v>
      </c>
      <c r="AT905" s="42">
        <f t="shared" ca="1" si="1751"/>
        <v>0</v>
      </c>
      <c r="AU905" s="42">
        <f t="shared" ca="1" si="1752"/>
        <v>0</v>
      </c>
      <c r="AV905" s="914">
        <f t="shared" ca="1" si="1753"/>
        <v>0</v>
      </c>
      <c r="AW905" s="975">
        <f t="shared" ca="1" si="1754"/>
        <v>0</v>
      </c>
      <c r="AX905" s="42">
        <f t="shared" ca="1" si="1755"/>
        <v>0</v>
      </c>
      <c r="AY905" s="914">
        <f t="shared" ca="1" si="1756"/>
        <v>0</v>
      </c>
      <c r="AZ905" s="975">
        <f t="shared" ca="1" si="1757"/>
        <v>0</v>
      </c>
      <c r="BB905" s="42">
        <f t="shared" ca="1" si="1758"/>
        <v>0</v>
      </c>
      <c r="BC905" s="42">
        <f t="shared" ca="1" si="1759"/>
        <v>0</v>
      </c>
      <c r="BD905" s="914">
        <f t="shared" ca="1" si="1760"/>
        <v>0</v>
      </c>
      <c r="BE905" s="975">
        <f t="shared" ca="1" si="1761"/>
        <v>0</v>
      </c>
      <c r="BF905" s="42">
        <f t="shared" ca="1" si="1762"/>
        <v>0</v>
      </c>
      <c r="BG905" s="914">
        <f t="shared" ca="1" si="1763"/>
        <v>0</v>
      </c>
      <c r="BH905" s="975">
        <f t="shared" ca="1" si="1764"/>
        <v>0</v>
      </c>
    </row>
    <row r="906" spans="1:60" s="38" customFormat="1" ht="14.5">
      <c r="A906" s="990">
        <f t="shared" si="1778"/>
        <v>819</v>
      </c>
      <c r="B906" s="990">
        <v>1</v>
      </c>
      <c r="C906" s="990">
        <f t="shared" si="1780"/>
        <v>903</v>
      </c>
      <c r="D906" s="1121" t="s">
        <v>887</v>
      </c>
      <c r="E906" s="1243">
        <v>1</v>
      </c>
      <c r="F906" s="5"/>
      <c r="G906" s="5"/>
      <c r="H906" s="5"/>
      <c r="I906" s="318" t="s">
        <v>333</v>
      </c>
      <c r="J906" s="319"/>
      <c r="K906" s="320"/>
      <c r="L906" s="320"/>
      <c r="M906" s="319"/>
      <c r="N906" s="319"/>
      <c r="O906" s="319"/>
      <c r="P906" s="319"/>
      <c r="Q906" s="1880" t="str">
        <f>CHOOSE(2, "6722000003825", "HC Semi-Full-Time/Part-Time Employees /Contractors")</f>
        <v>HC Semi-Full-Time/Part-Time Employees /Contractors</v>
      </c>
      <c r="R906" s="2060">
        <f t="shared" si="1783"/>
        <v>19</v>
      </c>
      <c r="S906" s="2060">
        <f t="shared" si="1783"/>
        <v>19</v>
      </c>
      <c r="T906" s="2060">
        <f t="shared" si="1783"/>
        <v>18</v>
      </c>
      <c r="U906" s="2060">
        <f>U937+U1057+U967+U997+U1027</f>
        <v>17</v>
      </c>
      <c r="V906" s="2060">
        <f t="shared" si="1783"/>
        <v>17</v>
      </c>
      <c r="W906" s="2060">
        <f t="shared" si="1783"/>
        <v>22</v>
      </c>
      <c r="X906" s="2060">
        <f t="shared" si="1783"/>
        <v>25</v>
      </c>
      <c r="Y906" s="2060">
        <f t="shared" si="1783"/>
        <v>25</v>
      </c>
      <c r="Z906" s="2060">
        <f t="shared" si="1783"/>
        <v>27</v>
      </c>
      <c r="AA906" s="2060">
        <f t="shared" si="1783"/>
        <v>28</v>
      </c>
      <c r="AB906" s="2060">
        <f t="shared" si="1783"/>
        <v>28</v>
      </c>
      <c r="AC906" s="2060">
        <f t="shared" si="1783"/>
        <v>28</v>
      </c>
      <c r="AD906" s="1555">
        <f>T906</f>
        <v>18</v>
      </c>
      <c r="AE906" s="322">
        <f>W906</f>
        <v>22</v>
      </c>
      <c r="AF906" s="322">
        <f>Z906</f>
        <v>27</v>
      </c>
      <c r="AG906" s="322">
        <f>AC906</f>
        <v>28</v>
      </c>
      <c r="AH906" s="322">
        <f>AE906</f>
        <v>22</v>
      </c>
      <c r="AI906" s="322">
        <f>AG906</f>
        <v>28</v>
      </c>
      <c r="AJ906" s="322">
        <f>AI906</f>
        <v>28</v>
      </c>
      <c r="AL906" s="2527">
        <f t="shared" ca="1" si="1744"/>
        <v>28</v>
      </c>
      <c r="AM906" s="2527">
        <f t="shared" ca="1" si="1745"/>
        <v>0</v>
      </c>
      <c r="AN906" s="2528">
        <f t="shared" ca="1" si="1746"/>
        <v>28</v>
      </c>
      <c r="AO906" s="2529">
        <f t="shared" ca="1" si="1747"/>
        <v>0</v>
      </c>
      <c r="AP906" s="2527">
        <f t="shared" ca="1" si="1748"/>
        <v>18</v>
      </c>
      <c r="AQ906" s="2528">
        <f t="shared" ca="1" si="1749"/>
        <v>10</v>
      </c>
      <c r="AR906" s="2529">
        <f t="shared" ca="1" si="1750"/>
        <v>1.5555555555555556</v>
      </c>
      <c r="AT906" s="2527">
        <f t="shared" ca="1" si="1751"/>
        <v>28</v>
      </c>
      <c r="AU906" s="2527">
        <f t="shared" ca="1" si="1752"/>
        <v>0</v>
      </c>
      <c r="AV906" s="2528">
        <f t="shared" ca="1" si="1753"/>
        <v>28</v>
      </c>
      <c r="AW906" s="2529">
        <f t="shared" ca="1" si="1754"/>
        <v>0</v>
      </c>
      <c r="AX906" s="2527">
        <f t="shared" ca="1" si="1755"/>
        <v>18</v>
      </c>
      <c r="AY906" s="2528">
        <f t="shared" ca="1" si="1756"/>
        <v>10</v>
      </c>
      <c r="AZ906" s="2529">
        <f t="shared" ca="1" si="1757"/>
        <v>1.5555555555555556</v>
      </c>
      <c r="BB906" s="2527">
        <f t="shared" ca="1" si="1758"/>
        <v>28</v>
      </c>
      <c r="BC906" s="2527">
        <f t="shared" ca="1" si="1759"/>
        <v>0</v>
      </c>
      <c r="BD906" s="2528">
        <f t="shared" ca="1" si="1760"/>
        <v>28</v>
      </c>
      <c r="BE906" s="2529">
        <f t="shared" ca="1" si="1761"/>
        <v>0</v>
      </c>
      <c r="BF906" s="2527">
        <f t="shared" ca="1" si="1762"/>
        <v>18</v>
      </c>
      <c r="BG906" s="2528">
        <f t="shared" ca="1" si="1763"/>
        <v>10</v>
      </c>
      <c r="BH906" s="2529">
        <f t="shared" ca="1" si="1764"/>
        <v>1.5555555555555556</v>
      </c>
    </row>
    <row r="907" spans="1:60" s="38" customFormat="1" ht="14.5">
      <c r="A907" s="990">
        <f t="shared" si="1778"/>
        <v>820</v>
      </c>
      <c r="B907" s="990">
        <v>1</v>
      </c>
      <c r="C907" s="990">
        <f t="shared" si="1780"/>
        <v>904</v>
      </c>
      <c r="D907" s="1121" t="s">
        <v>887</v>
      </c>
      <c r="E907" s="1243">
        <v>1</v>
      </c>
      <c r="F907" s="5"/>
      <c r="G907" s="5"/>
      <c r="H907" s="5"/>
      <c r="I907" s="5"/>
      <c r="J907" s="4"/>
      <c r="K907" s="5"/>
      <c r="L907" s="5"/>
      <c r="M907" s="4"/>
      <c r="N907" s="4"/>
      <c r="O907" s="4"/>
      <c r="P907" s="4"/>
      <c r="Q907" s="1839" t="str">
        <f>CHOOSE(2, "6722000003826", "▷ Blank 27")</f>
        <v>▷ Blank 27</v>
      </c>
      <c r="R907" s="1994"/>
      <c r="S907" s="2180"/>
      <c r="T907" s="2180"/>
      <c r="U907" s="2180"/>
      <c r="V907" s="2180"/>
      <c r="W907" s="2180"/>
      <c r="X907" s="2180"/>
      <c r="Y907" s="2180"/>
      <c r="Z907" s="2180"/>
      <c r="AA907" s="2180"/>
    </row>
    <row r="908" spans="1:60" s="38" customFormat="1" ht="15.5">
      <c r="A908" s="990">
        <f t="shared" si="1778"/>
        <v>821</v>
      </c>
      <c r="B908" s="990">
        <v>1</v>
      </c>
      <c r="C908" s="990">
        <f t="shared" si="1780"/>
        <v>905</v>
      </c>
      <c r="D908" s="1121" t="s">
        <v>887</v>
      </c>
      <c r="E908" s="1243">
        <v>1</v>
      </c>
      <c r="G908" s="315" t="s">
        <v>398</v>
      </c>
      <c r="H908" s="562"/>
      <c r="I908" s="5"/>
      <c r="J908" s="4"/>
      <c r="K908" s="5"/>
      <c r="L908" s="5"/>
      <c r="M908" s="4"/>
      <c r="N908" s="4"/>
      <c r="O908" s="4"/>
      <c r="P908" s="4"/>
      <c r="Q908" s="1839" t="str">
        <f>CHOOSE(2, "6722000003827", "3-2. Headcount by BU")</f>
        <v>3-2. Headcount by BU</v>
      </c>
      <c r="R908" s="1934"/>
      <c r="S908" s="2181"/>
      <c r="T908" s="2181"/>
      <c r="U908" s="2181"/>
      <c r="V908" s="2181"/>
      <c r="W908" s="2181"/>
      <c r="X908" s="2181"/>
      <c r="Y908" s="2181"/>
      <c r="Z908" s="2181"/>
      <c r="AA908" s="2181"/>
    </row>
    <row r="909" spans="1:60" s="38" customFormat="1" ht="14.5">
      <c r="A909" s="990">
        <f t="shared" si="1778"/>
        <v>822</v>
      </c>
      <c r="B909" s="990">
        <v>1</v>
      </c>
      <c r="C909" s="990">
        <f t="shared" si="1780"/>
        <v>906</v>
      </c>
      <c r="D909" s="1121" t="s">
        <v>887</v>
      </c>
      <c r="E909" s="1243">
        <v>1</v>
      </c>
      <c r="F909" s="5"/>
      <c r="G909" s="5"/>
      <c r="H909" s="5" t="s">
        <v>98</v>
      </c>
      <c r="I909" s="5"/>
      <c r="J909" s="4"/>
      <c r="K909" s="5"/>
      <c r="L909" s="5"/>
      <c r="M909" s="4"/>
      <c r="N909" s="4"/>
      <c r="O909" s="4"/>
      <c r="P909" s="4"/>
      <c r="Q909" s="1839" t="str">
        <f>CHOOSE(2, "6722000003828", "HC (1) Office")</f>
        <v>HC (1) Office</v>
      </c>
      <c r="R909" s="2224"/>
      <c r="S909" s="2034"/>
      <c r="T909" s="2034"/>
      <c r="U909" s="2034"/>
      <c r="V909" s="2034"/>
      <c r="W909" s="2034"/>
      <c r="X909" s="2034"/>
      <c r="Y909" s="2034"/>
      <c r="Z909" s="2034"/>
      <c r="AA909" s="2034"/>
    </row>
    <row r="910" spans="1:60" s="345" customFormat="1" ht="14.5">
      <c r="A910" s="990">
        <f t="shared" si="1778"/>
        <v>823</v>
      </c>
      <c r="B910" s="990">
        <v>1</v>
      </c>
      <c r="C910" s="990">
        <f t="shared" si="1780"/>
        <v>907</v>
      </c>
      <c r="D910" s="1121" t="s">
        <v>887</v>
      </c>
      <c r="E910" s="1243">
        <v>1</v>
      </c>
      <c r="F910" s="340"/>
      <c r="G910" s="340"/>
      <c r="H910" s="341"/>
      <c r="I910" s="342" t="s">
        <v>374</v>
      </c>
      <c r="J910" s="343"/>
      <c r="K910" s="344"/>
      <c r="L910" s="344"/>
      <c r="M910" s="344"/>
      <c r="N910" s="344"/>
      <c r="O910" s="344"/>
      <c r="P910" s="1501"/>
      <c r="Q910" s="1853" t="str">
        <f>CHOOSE(2, "6722000003829", "HC Office FE/TTOC")</f>
        <v>HC Office FE/TTOC</v>
      </c>
      <c r="R910" s="2062">
        <f t="shared" ref="R910:AC910" si="1784">R911+R916+R922+R927+R933</f>
        <v>223</v>
      </c>
      <c r="S910" s="2010">
        <f t="shared" si="1784"/>
        <v>225</v>
      </c>
      <c r="T910" s="2010">
        <f t="shared" si="1784"/>
        <v>224</v>
      </c>
      <c r="U910" s="2010">
        <f t="shared" si="1784"/>
        <v>227</v>
      </c>
      <c r="V910" s="2010">
        <f t="shared" si="1784"/>
        <v>228</v>
      </c>
      <c r="W910" s="2010">
        <f t="shared" si="1784"/>
        <v>229</v>
      </c>
      <c r="X910" s="2010">
        <f t="shared" si="1784"/>
        <v>231</v>
      </c>
      <c r="Y910" s="2010">
        <f t="shared" si="1784"/>
        <v>233</v>
      </c>
      <c r="Z910" s="2010">
        <f t="shared" si="1784"/>
        <v>237</v>
      </c>
      <c r="AA910" s="2010">
        <f t="shared" si="1784"/>
        <v>238</v>
      </c>
      <c r="AB910" s="2010">
        <f t="shared" si="1784"/>
        <v>241</v>
      </c>
      <c r="AC910" s="2010">
        <f t="shared" si="1784"/>
        <v>241</v>
      </c>
      <c r="AD910" s="1519">
        <f t="shared" ref="AD910:AJ910" si="1785">AD911+AD916+AD922+AD927+AD933</f>
        <v>224</v>
      </c>
      <c r="AE910" s="137">
        <f t="shared" si="1785"/>
        <v>229</v>
      </c>
      <c r="AF910" s="137">
        <f t="shared" si="1785"/>
        <v>237</v>
      </c>
      <c r="AG910" s="137">
        <f t="shared" si="1785"/>
        <v>241</v>
      </c>
      <c r="AH910" s="137">
        <f t="shared" si="1785"/>
        <v>229</v>
      </c>
      <c r="AI910" s="137">
        <f t="shared" si="1785"/>
        <v>241</v>
      </c>
      <c r="AJ910" s="137">
        <f t="shared" si="1785"/>
        <v>241</v>
      </c>
      <c r="AL910" s="2062">
        <f t="shared" ref="AL910:AL937" ca="1" si="1786">INDIRECT(AL$3&amp;(ROW()))</f>
        <v>241</v>
      </c>
      <c r="AM910" s="137">
        <f t="shared" ref="AM910:AM937" ca="1" si="1787">INDIRECT(AM$1&amp;AM$3&amp;$C910)</f>
        <v>0</v>
      </c>
      <c r="AN910" s="2500">
        <f t="shared" ref="AN910:AN937" ca="1" si="1788">AL910-AM910</f>
        <v>241</v>
      </c>
      <c r="AO910" s="1710">
        <f t="shared" ref="AO910:AO937" ca="1" si="1789">IFERROR(AL910/AM910,0)</f>
        <v>0</v>
      </c>
      <c r="AP910" s="137">
        <f t="shared" ref="AP910:AP937" ca="1" si="1790">INDIRECT(AP$1&amp;AP$3&amp;$A910)+INDIRECT(AP$1&amp;AP$3&amp;$B910)</f>
        <v>222</v>
      </c>
      <c r="AQ910" s="2500">
        <f t="shared" ref="AQ910:AQ937" ca="1" si="1791">AL910-AP910</f>
        <v>19</v>
      </c>
      <c r="AR910" s="1710">
        <f t="shared" ref="AR910:AR937" ca="1" si="1792">IFERROR(AL910/AP910,0)</f>
        <v>1.0855855855855856</v>
      </c>
      <c r="AT910" s="2062">
        <f t="shared" ref="AT910:AT937" ca="1" si="1793">INDIRECT(AT$3&amp;(ROW()))</f>
        <v>241</v>
      </c>
      <c r="AU910" s="137">
        <f t="shared" ref="AU910:AU937" ca="1" si="1794">INDIRECT(AU$1&amp;AU$3&amp;$C910)</f>
        <v>0</v>
      </c>
      <c r="AV910" s="2500">
        <f t="shared" ref="AV910:AV937" ca="1" si="1795">AT910-AU910</f>
        <v>241</v>
      </c>
      <c r="AW910" s="1710">
        <f t="shared" ref="AW910:AW937" ca="1" si="1796">IFERROR(AT910/AU910,0)</f>
        <v>0</v>
      </c>
      <c r="AX910" s="137">
        <f t="shared" ref="AX910:AX937" ca="1" si="1797">INDIRECT(AX$1&amp;AX$3&amp;$A910)+INDIRECT(AX$1&amp;AX$3&amp;$B910)</f>
        <v>222</v>
      </c>
      <c r="AY910" s="2500">
        <f t="shared" ref="AY910:AY937" ca="1" si="1798">AT910-AX910</f>
        <v>19</v>
      </c>
      <c r="AZ910" s="1710">
        <f t="shared" ref="AZ910:AZ937" ca="1" si="1799">IFERROR(AT910/AX910,0)</f>
        <v>1.0855855855855856</v>
      </c>
      <c r="BB910" s="2062">
        <f t="shared" ref="BB910:BB937" ca="1" si="1800">INDIRECT(BB$3&amp;(ROW()))</f>
        <v>241</v>
      </c>
      <c r="BC910" s="137">
        <f t="shared" ref="BC910:BC937" ca="1" si="1801">INDIRECT(BC$1&amp;BC$3&amp;$C910)</f>
        <v>0</v>
      </c>
      <c r="BD910" s="2500">
        <f t="shared" ref="BD910:BD937" ca="1" si="1802">BB910-BC910</f>
        <v>241</v>
      </c>
      <c r="BE910" s="1710">
        <f t="shared" ref="BE910:BE937" ca="1" si="1803">IFERROR(BB910/BC910,0)</f>
        <v>0</v>
      </c>
      <c r="BF910" s="137">
        <f t="shared" ref="BF910:BF937" ca="1" si="1804">INDIRECT(BF$1&amp;BF$3&amp;$A910)+INDIRECT(BF$1&amp;BF$3&amp;$B910)</f>
        <v>222</v>
      </c>
      <c r="BG910" s="2500">
        <f t="shared" ref="BG910:BG937" ca="1" si="1805">BB910-BF910</f>
        <v>19</v>
      </c>
      <c r="BH910" s="1710">
        <f t="shared" ref="BH910:BH937" ca="1" si="1806">IFERROR(BB910/BF910,0)</f>
        <v>1.0855855855855856</v>
      </c>
    </row>
    <row r="911" spans="1:60" s="38" customFormat="1" ht="14.5">
      <c r="A911" s="990">
        <f t="shared" si="1778"/>
        <v>824</v>
      </c>
      <c r="B911" s="990">
        <v>1</v>
      </c>
      <c r="C911" s="990">
        <f t="shared" si="1780"/>
        <v>908</v>
      </c>
      <c r="D911" s="1121" t="s">
        <v>887</v>
      </c>
      <c r="E911" s="1243">
        <v>1</v>
      </c>
      <c r="F911" s="5"/>
      <c r="G911" s="5"/>
      <c r="H911" s="5"/>
      <c r="I911" s="335"/>
      <c r="J911" s="52" t="s">
        <v>62</v>
      </c>
      <c r="K911" s="52"/>
      <c r="L911" s="52"/>
      <c r="M911" s="51"/>
      <c r="N911" s="51"/>
      <c r="O911" s="51"/>
      <c r="P911" s="51"/>
      <c r="Q911" s="1851" t="str">
        <f>CHOOSE(2, "6722000003830", "HC Office FE/TTOC Sales Total")</f>
        <v>HC Office FE/TTOC Sales Total</v>
      </c>
      <c r="R911" s="49">
        <f>SUM(R912:R915)</f>
        <v>95</v>
      </c>
      <c r="S911" s="49">
        <f t="shared" ref="S911:AC911" si="1807">SUM(S912:S915)</f>
        <v>95</v>
      </c>
      <c r="T911" s="49">
        <f t="shared" si="1807"/>
        <v>93</v>
      </c>
      <c r="U911" s="49">
        <f t="shared" si="1807"/>
        <v>94</v>
      </c>
      <c r="V911" s="49">
        <f t="shared" si="1807"/>
        <v>94</v>
      </c>
      <c r="W911" s="49">
        <f t="shared" si="1807"/>
        <v>94</v>
      </c>
      <c r="X911" s="49">
        <f t="shared" si="1807"/>
        <v>95</v>
      </c>
      <c r="Y911" s="49">
        <f t="shared" si="1807"/>
        <v>94</v>
      </c>
      <c r="Z911" s="49">
        <f t="shared" si="1807"/>
        <v>96</v>
      </c>
      <c r="AA911" s="49">
        <f t="shared" si="1807"/>
        <v>97</v>
      </c>
      <c r="AB911" s="49">
        <f t="shared" si="1807"/>
        <v>99</v>
      </c>
      <c r="AC911" s="49">
        <f t="shared" si="1807"/>
        <v>98</v>
      </c>
      <c r="AD911" s="1553">
        <f t="shared" ref="AD911:AJ911" si="1808">SUM(AD912:AD915)</f>
        <v>93</v>
      </c>
      <c r="AE911" s="49">
        <f t="shared" si="1808"/>
        <v>94</v>
      </c>
      <c r="AF911" s="49">
        <f t="shared" si="1808"/>
        <v>96</v>
      </c>
      <c r="AG911" s="49">
        <f t="shared" si="1808"/>
        <v>98</v>
      </c>
      <c r="AH911" s="49">
        <f t="shared" si="1808"/>
        <v>94</v>
      </c>
      <c r="AI911" s="49">
        <f t="shared" si="1808"/>
        <v>98</v>
      </c>
      <c r="AJ911" s="49">
        <f t="shared" si="1808"/>
        <v>98</v>
      </c>
      <c r="AL911" s="49">
        <f t="shared" ca="1" si="1786"/>
        <v>98</v>
      </c>
      <c r="AM911" s="49">
        <f t="shared" ca="1" si="1787"/>
        <v>0</v>
      </c>
      <c r="AN911" s="913">
        <f t="shared" ca="1" si="1788"/>
        <v>98</v>
      </c>
      <c r="AO911" s="974">
        <f t="shared" ca="1" si="1789"/>
        <v>0</v>
      </c>
      <c r="AP911" s="49">
        <f t="shared" ca="1" si="1790"/>
        <v>94</v>
      </c>
      <c r="AQ911" s="913">
        <f t="shared" ca="1" si="1791"/>
        <v>4</v>
      </c>
      <c r="AR911" s="974">
        <f t="shared" ca="1" si="1792"/>
        <v>1.0425531914893618</v>
      </c>
      <c r="AT911" s="49">
        <f t="shared" ca="1" si="1793"/>
        <v>98</v>
      </c>
      <c r="AU911" s="49">
        <f t="shared" ca="1" si="1794"/>
        <v>0</v>
      </c>
      <c r="AV911" s="913">
        <f t="shared" ca="1" si="1795"/>
        <v>98</v>
      </c>
      <c r="AW911" s="974">
        <f t="shared" ca="1" si="1796"/>
        <v>0</v>
      </c>
      <c r="AX911" s="49">
        <f t="shared" ca="1" si="1797"/>
        <v>94</v>
      </c>
      <c r="AY911" s="913">
        <f t="shared" ca="1" si="1798"/>
        <v>4</v>
      </c>
      <c r="AZ911" s="974">
        <f t="shared" ca="1" si="1799"/>
        <v>1.0425531914893618</v>
      </c>
      <c r="BB911" s="49">
        <f t="shared" ca="1" si="1800"/>
        <v>98</v>
      </c>
      <c r="BC911" s="49">
        <f t="shared" ca="1" si="1801"/>
        <v>0</v>
      </c>
      <c r="BD911" s="913">
        <f t="shared" ca="1" si="1802"/>
        <v>98</v>
      </c>
      <c r="BE911" s="974">
        <f t="shared" ca="1" si="1803"/>
        <v>0</v>
      </c>
      <c r="BF911" s="49">
        <f t="shared" ca="1" si="1804"/>
        <v>94</v>
      </c>
      <c r="BG911" s="913">
        <f t="shared" ca="1" si="1805"/>
        <v>4</v>
      </c>
      <c r="BH911" s="974">
        <f t="shared" ca="1" si="1806"/>
        <v>1.0425531914893618</v>
      </c>
    </row>
    <row r="912" spans="1:60" s="38" customFormat="1" ht="14.5">
      <c r="A912" s="990">
        <f t="shared" si="1778"/>
        <v>825</v>
      </c>
      <c r="B912" s="990">
        <v>1</v>
      </c>
      <c r="C912" s="990">
        <f t="shared" si="1780"/>
        <v>909</v>
      </c>
      <c r="E912" s="1243">
        <v>1</v>
      </c>
      <c r="F912" s="5"/>
      <c r="G912" s="5"/>
      <c r="H912" s="5"/>
      <c r="I912" s="335"/>
      <c r="J912" s="5"/>
      <c r="K912" s="5"/>
      <c r="L912" s="5"/>
      <c r="M912" s="4"/>
      <c r="N912" s="45"/>
      <c r="O912" s="45" t="s">
        <v>125</v>
      </c>
      <c r="P912" s="4"/>
      <c r="Q912" s="1844" t="str">
        <f>CHOOSE(2, "6722000003831", "HC Office FE/TTOC Sales Total Direct sales rep.")</f>
        <v>HC Office FE/TTOC Sales Total Direct sales rep.</v>
      </c>
      <c r="R912" s="2789">
        <v>44</v>
      </c>
      <c r="S912" s="2030">
        <f>43</f>
        <v>43</v>
      </c>
      <c r="T912" s="2030">
        <v>41</v>
      </c>
      <c r="U912" s="2030">
        <v>42</v>
      </c>
      <c r="V912" s="2030">
        <v>43</v>
      </c>
      <c r="W912" s="2030">
        <v>45</v>
      </c>
      <c r="X912" s="2030">
        <v>45</v>
      </c>
      <c r="Y912" s="2030">
        <v>46</v>
      </c>
      <c r="Z912" s="2030">
        <v>46</v>
      </c>
      <c r="AA912" s="2030">
        <v>47</v>
      </c>
      <c r="AB912" s="2030">
        <v>47</v>
      </c>
      <c r="AC912" s="2030">
        <v>48</v>
      </c>
      <c r="AD912" s="1511">
        <f>T912</f>
        <v>41</v>
      </c>
      <c r="AE912" s="44">
        <f>W912</f>
        <v>45</v>
      </c>
      <c r="AF912" s="44">
        <f>Z912</f>
        <v>46</v>
      </c>
      <c r="AG912" s="44">
        <f>AC912</f>
        <v>48</v>
      </c>
      <c r="AH912" s="44">
        <f>AE912</f>
        <v>45</v>
      </c>
      <c r="AI912" s="44">
        <f>AG912</f>
        <v>48</v>
      </c>
      <c r="AJ912" s="44">
        <f>AI912</f>
        <v>48</v>
      </c>
      <c r="AL912" s="44">
        <f t="shared" ca="1" si="1786"/>
        <v>48</v>
      </c>
      <c r="AM912" s="44">
        <f t="shared" ca="1" si="1787"/>
        <v>0</v>
      </c>
      <c r="AN912" s="872">
        <f t="shared" ca="1" si="1788"/>
        <v>48</v>
      </c>
      <c r="AO912" s="922">
        <f t="shared" ca="1" si="1789"/>
        <v>0</v>
      </c>
      <c r="AP912" s="44">
        <f t="shared" ca="1" si="1790"/>
        <v>43</v>
      </c>
      <c r="AQ912" s="872">
        <f t="shared" ca="1" si="1791"/>
        <v>5</v>
      </c>
      <c r="AR912" s="922">
        <f t="shared" ca="1" si="1792"/>
        <v>1.1162790697674418</v>
      </c>
      <c r="AT912" s="44">
        <f t="shared" ca="1" si="1793"/>
        <v>48</v>
      </c>
      <c r="AU912" s="44">
        <f t="shared" ca="1" si="1794"/>
        <v>0</v>
      </c>
      <c r="AV912" s="872">
        <f t="shared" ca="1" si="1795"/>
        <v>48</v>
      </c>
      <c r="AW912" s="922">
        <f t="shared" ca="1" si="1796"/>
        <v>0</v>
      </c>
      <c r="AX912" s="44">
        <f t="shared" ca="1" si="1797"/>
        <v>43</v>
      </c>
      <c r="AY912" s="872">
        <f t="shared" ca="1" si="1798"/>
        <v>5</v>
      </c>
      <c r="AZ912" s="922">
        <f t="shared" ca="1" si="1799"/>
        <v>1.1162790697674418</v>
      </c>
      <c r="BB912" s="44">
        <f t="shared" ca="1" si="1800"/>
        <v>48</v>
      </c>
      <c r="BC912" s="44">
        <f t="shared" ca="1" si="1801"/>
        <v>0</v>
      </c>
      <c r="BD912" s="872">
        <f t="shared" ca="1" si="1802"/>
        <v>48</v>
      </c>
      <c r="BE912" s="922">
        <f t="shared" ca="1" si="1803"/>
        <v>0</v>
      </c>
      <c r="BF912" s="44">
        <f t="shared" ca="1" si="1804"/>
        <v>43</v>
      </c>
      <c r="BG912" s="872">
        <f t="shared" ca="1" si="1805"/>
        <v>5</v>
      </c>
      <c r="BH912" s="922">
        <f t="shared" ca="1" si="1806"/>
        <v>1.1162790697674418</v>
      </c>
    </row>
    <row r="913" spans="1:60" s="38" customFormat="1" ht="14.5">
      <c r="A913" s="990">
        <f t="shared" si="1778"/>
        <v>826</v>
      </c>
      <c r="B913" s="990">
        <v>1</v>
      </c>
      <c r="C913" s="990">
        <f t="shared" si="1780"/>
        <v>910</v>
      </c>
      <c r="E913" s="1243">
        <v>1</v>
      </c>
      <c r="F913" s="5"/>
      <c r="G913" s="5"/>
      <c r="H913" s="5"/>
      <c r="I913" s="335"/>
      <c r="J913" s="5"/>
      <c r="K913" s="5"/>
      <c r="L913" s="5"/>
      <c r="M913" s="4"/>
      <c r="N913" s="45"/>
      <c r="O913" s="45" t="s">
        <v>124</v>
      </c>
      <c r="P913" s="4"/>
      <c r="Q913" s="1844" t="str">
        <f>CHOOSE(2, "6722000003832", "HC Office FE/TTOC Sales Total Direct sales engineers")</f>
        <v>HC Office FE/TTOC Sales Total Direct sales engineers</v>
      </c>
      <c r="R913" s="2789">
        <v>4</v>
      </c>
      <c r="S913" s="2030">
        <v>5</v>
      </c>
      <c r="T913" s="2030">
        <v>5</v>
      </c>
      <c r="U913" s="2030">
        <v>5</v>
      </c>
      <c r="V913" s="2030">
        <v>5</v>
      </c>
      <c r="W913" s="2030">
        <v>5</v>
      </c>
      <c r="X913" s="2030">
        <v>5</v>
      </c>
      <c r="Y913" s="2030">
        <v>5</v>
      </c>
      <c r="Z913" s="2030">
        <v>5</v>
      </c>
      <c r="AA913" s="2030">
        <v>5</v>
      </c>
      <c r="AB913" s="2030">
        <v>5</v>
      </c>
      <c r="AC913" s="2030">
        <v>5</v>
      </c>
      <c r="AD913" s="1511">
        <f>T913</f>
        <v>5</v>
      </c>
      <c r="AE913" s="44">
        <f>W913</f>
        <v>5</v>
      </c>
      <c r="AF913" s="44">
        <f>Z913</f>
        <v>5</v>
      </c>
      <c r="AG913" s="44">
        <f>AC913</f>
        <v>5</v>
      </c>
      <c r="AH913" s="44">
        <f>AE913</f>
        <v>5</v>
      </c>
      <c r="AI913" s="44">
        <f>AG913</f>
        <v>5</v>
      </c>
      <c r="AJ913" s="44">
        <f>AI913</f>
        <v>5</v>
      </c>
      <c r="AL913" s="44">
        <f t="shared" ca="1" si="1786"/>
        <v>5</v>
      </c>
      <c r="AM913" s="44">
        <f t="shared" ca="1" si="1787"/>
        <v>0</v>
      </c>
      <c r="AN913" s="872">
        <f t="shared" ca="1" si="1788"/>
        <v>5</v>
      </c>
      <c r="AO913" s="922">
        <f t="shared" ca="1" si="1789"/>
        <v>0</v>
      </c>
      <c r="AP913" s="44">
        <f t="shared" ca="1" si="1790"/>
        <v>4</v>
      </c>
      <c r="AQ913" s="872">
        <f t="shared" ca="1" si="1791"/>
        <v>1</v>
      </c>
      <c r="AR913" s="922">
        <f t="shared" ca="1" si="1792"/>
        <v>1.25</v>
      </c>
      <c r="AT913" s="44">
        <f t="shared" ca="1" si="1793"/>
        <v>5</v>
      </c>
      <c r="AU913" s="44">
        <f t="shared" ca="1" si="1794"/>
        <v>0</v>
      </c>
      <c r="AV913" s="872">
        <f t="shared" ca="1" si="1795"/>
        <v>5</v>
      </c>
      <c r="AW913" s="922">
        <f t="shared" ca="1" si="1796"/>
        <v>0</v>
      </c>
      <c r="AX913" s="44">
        <f t="shared" ca="1" si="1797"/>
        <v>4</v>
      </c>
      <c r="AY913" s="872">
        <f t="shared" ca="1" si="1798"/>
        <v>1</v>
      </c>
      <c r="AZ913" s="922">
        <f t="shared" ca="1" si="1799"/>
        <v>1.25</v>
      </c>
      <c r="BB913" s="44">
        <f t="shared" ca="1" si="1800"/>
        <v>5</v>
      </c>
      <c r="BC913" s="44">
        <f t="shared" ca="1" si="1801"/>
        <v>0</v>
      </c>
      <c r="BD913" s="872">
        <f t="shared" ca="1" si="1802"/>
        <v>5</v>
      </c>
      <c r="BE913" s="922">
        <f t="shared" ca="1" si="1803"/>
        <v>0</v>
      </c>
      <c r="BF913" s="44">
        <f t="shared" ca="1" si="1804"/>
        <v>4</v>
      </c>
      <c r="BG913" s="872">
        <f t="shared" ca="1" si="1805"/>
        <v>1</v>
      </c>
      <c r="BH913" s="922">
        <f t="shared" ca="1" si="1806"/>
        <v>1.25</v>
      </c>
    </row>
    <row r="914" spans="1:60" s="38" customFormat="1" ht="14.5">
      <c r="A914" s="990">
        <f t="shared" si="1778"/>
        <v>827</v>
      </c>
      <c r="B914" s="990">
        <v>1</v>
      </c>
      <c r="C914" s="990">
        <f t="shared" si="1780"/>
        <v>911</v>
      </c>
      <c r="E914" s="1243">
        <v>1</v>
      </c>
      <c r="F914" s="5"/>
      <c r="G914" s="5"/>
      <c r="H914" s="5"/>
      <c r="I914" s="335"/>
      <c r="J914" s="5"/>
      <c r="K914" s="5"/>
      <c r="L914" s="5"/>
      <c r="M914" s="4"/>
      <c r="N914" s="45"/>
      <c r="O914" s="45" t="s">
        <v>123</v>
      </c>
      <c r="P914" s="4"/>
      <c r="Q914" s="1844" t="str">
        <f>CHOOSE(2, "6722000003833", "HC Office FE/TTOC Sales Total Dealer(Indirect) sales rep.")</f>
        <v>HC Office FE/TTOC Sales Total Dealer(Indirect) sales rep.</v>
      </c>
      <c r="R914" s="2789">
        <v>28</v>
      </c>
      <c r="S914" s="2030">
        <v>28</v>
      </c>
      <c r="T914" s="2030">
        <v>28</v>
      </c>
      <c r="U914" s="2030">
        <v>28</v>
      </c>
      <c r="V914" s="2030">
        <v>27</v>
      </c>
      <c r="W914" s="2030">
        <v>27</v>
      </c>
      <c r="X914" s="2030">
        <v>27</v>
      </c>
      <c r="Y914" s="2030">
        <v>27</v>
      </c>
      <c r="Z914" s="2030">
        <v>27</v>
      </c>
      <c r="AA914" s="2030">
        <v>27</v>
      </c>
      <c r="AB914" s="2030">
        <v>28</v>
      </c>
      <c r="AC914" s="2030">
        <v>27</v>
      </c>
      <c r="AD914" s="1511">
        <f>T914</f>
        <v>28</v>
      </c>
      <c r="AE914" s="44">
        <f>W914</f>
        <v>27</v>
      </c>
      <c r="AF914" s="44">
        <f>Z914</f>
        <v>27</v>
      </c>
      <c r="AG914" s="44">
        <f>AC914</f>
        <v>27</v>
      </c>
      <c r="AH914" s="44">
        <f>AE914</f>
        <v>27</v>
      </c>
      <c r="AI914" s="44">
        <f>AG914</f>
        <v>27</v>
      </c>
      <c r="AJ914" s="44">
        <f>AI914</f>
        <v>27</v>
      </c>
      <c r="AL914" s="44">
        <f t="shared" ca="1" si="1786"/>
        <v>27</v>
      </c>
      <c r="AM914" s="44">
        <f t="shared" ca="1" si="1787"/>
        <v>0</v>
      </c>
      <c r="AN914" s="872">
        <f t="shared" ca="1" si="1788"/>
        <v>27</v>
      </c>
      <c r="AO914" s="922">
        <f t="shared" ca="1" si="1789"/>
        <v>0</v>
      </c>
      <c r="AP914" s="44">
        <f t="shared" ca="1" si="1790"/>
        <v>28</v>
      </c>
      <c r="AQ914" s="872">
        <f t="shared" ca="1" si="1791"/>
        <v>-1</v>
      </c>
      <c r="AR914" s="922">
        <f t="shared" ca="1" si="1792"/>
        <v>0.9642857142857143</v>
      </c>
      <c r="AT914" s="44">
        <f t="shared" ca="1" si="1793"/>
        <v>27</v>
      </c>
      <c r="AU914" s="44">
        <f t="shared" ca="1" si="1794"/>
        <v>0</v>
      </c>
      <c r="AV914" s="872">
        <f t="shared" ca="1" si="1795"/>
        <v>27</v>
      </c>
      <c r="AW914" s="922">
        <f t="shared" ca="1" si="1796"/>
        <v>0</v>
      </c>
      <c r="AX914" s="44">
        <f t="shared" ca="1" si="1797"/>
        <v>28</v>
      </c>
      <c r="AY914" s="872">
        <f t="shared" ca="1" si="1798"/>
        <v>-1</v>
      </c>
      <c r="AZ914" s="922">
        <f t="shared" ca="1" si="1799"/>
        <v>0.9642857142857143</v>
      </c>
      <c r="BB914" s="44">
        <f t="shared" ca="1" si="1800"/>
        <v>27</v>
      </c>
      <c r="BC914" s="44">
        <f t="shared" ca="1" si="1801"/>
        <v>0</v>
      </c>
      <c r="BD914" s="872">
        <f t="shared" ca="1" si="1802"/>
        <v>27</v>
      </c>
      <c r="BE914" s="922">
        <f t="shared" ca="1" si="1803"/>
        <v>0</v>
      </c>
      <c r="BF914" s="44">
        <f t="shared" ca="1" si="1804"/>
        <v>28</v>
      </c>
      <c r="BG914" s="872">
        <f t="shared" ca="1" si="1805"/>
        <v>-1</v>
      </c>
      <c r="BH914" s="922">
        <f t="shared" ca="1" si="1806"/>
        <v>0.9642857142857143</v>
      </c>
    </row>
    <row r="915" spans="1:60" s="38" customFormat="1" ht="14.5">
      <c r="A915" s="990">
        <f t="shared" si="1778"/>
        <v>828</v>
      </c>
      <c r="B915" s="990">
        <v>1</v>
      </c>
      <c r="C915" s="990">
        <f t="shared" si="1780"/>
        <v>912</v>
      </c>
      <c r="E915" s="1243">
        <v>1</v>
      </c>
      <c r="F915" s="5"/>
      <c r="G915" s="5"/>
      <c r="H915" s="5"/>
      <c r="I915" s="335"/>
      <c r="J915" s="3"/>
      <c r="K915" s="3"/>
      <c r="L915" s="3"/>
      <c r="M915" s="2"/>
      <c r="N915" s="43"/>
      <c r="O915" s="43" t="s">
        <v>120</v>
      </c>
      <c r="P915" s="2"/>
      <c r="Q915" s="1844" t="str">
        <f>CHOOSE(2, "6722000003834", "HC Office FE/TTOC Sales Total Administration/Others")</f>
        <v>HC Office FE/TTOC Sales Total Administration/Others</v>
      </c>
      <c r="R915" s="2790">
        <v>19</v>
      </c>
      <c r="S915" s="2029">
        <v>19</v>
      </c>
      <c r="T915" s="2029">
        <v>19</v>
      </c>
      <c r="U915" s="2029">
        <v>19</v>
      </c>
      <c r="V915" s="2029">
        <v>19</v>
      </c>
      <c r="W915" s="2029">
        <v>17</v>
      </c>
      <c r="X915" s="2029">
        <v>18</v>
      </c>
      <c r="Y915" s="2029">
        <v>16</v>
      </c>
      <c r="Z915" s="2029">
        <v>18</v>
      </c>
      <c r="AA915" s="2029">
        <v>18</v>
      </c>
      <c r="AB915" s="2029">
        <v>19</v>
      </c>
      <c r="AC915" s="2029">
        <v>18</v>
      </c>
      <c r="AD915" s="1554">
        <f>T915</f>
        <v>19</v>
      </c>
      <c r="AE915" s="42">
        <f>W915</f>
        <v>17</v>
      </c>
      <c r="AF915" s="42">
        <f>Z915</f>
        <v>18</v>
      </c>
      <c r="AG915" s="42">
        <f>AC915</f>
        <v>18</v>
      </c>
      <c r="AH915" s="42">
        <f>AE915</f>
        <v>17</v>
      </c>
      <c r="AI915" s="42">
        <f>AG915</f>
        <v>18</v>
      </c>
      <c r="AJ915" s="42">
        <f>AI915</f>
        <v>18</v>
      </c>
      <c r="AL915" s="42">
        <f t="shared" ca="1" si="1786"/>
        <v>18</v>
      </c>
      <c r="AM915" s="42">
        <f t="shared" ca="1" si="1787"/>
        <v>0</v>
      </c>
      <c r="AN915" s="914">
        <f t="shared" ca="1" si="1788"/>
        <v>18</v>
      </c>
      <c r="AO915" s="975">
        <f t="shared" ca="1" si="1789"/>
        <v>0</v>
      </c>
      <c r="AP915" s="42">
        <f t="shared" ca="1" si="1790"/>
        <v>19</v>
      </c>
      <c r="AQ915" s="914">
        <f t="shared" ca="1" si="1791"/>
        <v>-1</v>
      </c>
      <c r="AR915" s="975">
        <f t="shared" ca="1" si="1792"/>
        <v>0.94736842105263153</v>
      </c>
      <c r="AT915" s="42">
        <f t="shared" ca="1" si="1793"/>
        <v>18</v>
      </c>
      <c r="AU915" s="42">
        <f t="shared" ca="1" si="1794"/>
        <v>0</v>
      </c>
      <c r="AV915" s="914">
        <f t="shared" ca="1" si="1795"/>
        <v>18</v>
      </c>
      <c r="AW915" s="975">
        <f t="shared" ca="1" si="1796"/>
        <v>0</v>
      </c>
      <c r="AX915" s="42">
        <f t="shared" ca="1" si="1797"/>
        <v>19</v>
      </c>
      <c r="AY915" s="914">
        <f t="shared" ca="1" si="1798"/>
        <v>-1</v>
      </c>
      <c r="AZ915" s="975">
        <f t="shared" ca="1" si="1799"/>
        <v>0.94736842105263153</v>
      </c>
      <c r="BB915" s="42">
        <f t="shared" ca="1" si="1800"/>
        <v>18</v>
      </c>
      <c r="BC915" s="42">
        <f t="shared" ca="1" si="1801"/>
        <v>0</v>
      </c>
      <c r="BD915" s="914">
        <f t="shared" ca="1" si="1802"/>
        <v>18</v>
      </c>
      <c r="BE915" s="975">
        <f t="shared" ca="1" si="1803"/>
        <v>0</v>
      </c>
      <c r="BF915" s="42">
        <f t="shared" ca="1" si="1804"/>
        <v>19</v>
      </c>
      <c r="BG915" s="914">
        <f t="shared" ca="1" si="1805"/>
        <v>-1</v>
      </c>
      <c r="BH915" s="975">
        <f t="shared" ca="1" si="1806"/>
        <v>0.94736842105263153</v>
      </c>
    </row>
    <row r="916" spans="1:60" s="38" customFormat="1" ht="14.5">
      <c r="A916" s="990">
        <f t="shared" si="1778"/>
        <v>829</v>
      </c>
      <c r="B916" s="990">
        <v>1</v>
      </c>
      <c r="C916" s="990">
        <f t="shared" si="1780"/>
        <v>913</v>
      </c>
      <c r="D916" s="1121" t="s">
        <v>887</v>
      </c>
      <c r="E916" s="1243">
        <v>1</v>
      </c>
      <c r="F916" s="5"/>
      <c r="G916" s="5"/>
      <c r="H916" s="5"/>
      <c r="I916" s="335"/>
      <c r="J916" s="52" t="s">
        <v>330</v>
      </c>
      <c r="K916" s="52"/>
      <c r="L916" s="52"/>
      <c r="M916" s="51"/>
      <c r="N916" s="51"/>
      <c r="O916" s="51"/>
      <c r="P916" s="51"/>
      <c r="Q916" s="1851" t="str">
        <f>CHOOSE(2, "6722000003835", "HC Office FE/TTOC Service Total")</f>
        <v>HC Office FE/TTOC Service Total</v>
      </c>
      <c r="R916" s="49">
        <f>SUM(R917:R921)</f>
        <v>88</v>
      </c>
      <c r="S916" s="49">
        <f t="shared" ref="S916:AC916" si="1809">SUM(S917:S921)</f>
        <v>87</v>
      </c>
      <c r="T916" s="49">
        <f t="shared" si="1809"/>
        <v>86</v>
      </c>
      <c r="U916" s="49">
        <f t="shared" si="1809"/>
        <v>88</v>
      </c>
      <c r="V916" s="49">
        <f t="shared" si="1809"/>
        <v>90</v>
      </c>
      <c r="W916" s="49">
        <f t="shared" si="1809"/>
        <v>91</v>
      </c>
      <c r="X916" s="49">
        <f t="shared" si="1809"/>
        <v>91</v>
      </c>
      <c r="Y916" s="49">
        <f t="shared" si="1809"/>
        <v>92</v>
      </c>
      <c r="Z916" s="49">
        <f t="shared" si="1809"/>
        <v>93</v>
      </c>
      <c r="AA916" s="49">
        <f t="shared" si="1809"/>
        <v>92</v>
      </c>
      <c r="AB916" s="49">
        <f t="shared" si="1809"/>
        <v>91</v>
      </c>
      <c r="AC916" s="49">
        <f t="shared" si="1809"/>
        <v>93</v>
      </c>
      <c r="AD916" s="1553">
        <f t="shared" ref="AD916:AJ916" si="1810">SUM(AD917:AD921)</f>
        <v>86</v>
      </c>
      <c r="AE916" s="49">
        <f t="shared" si="1810"/>
        <v>91</v>
      </c>
      <c r="AF916" s="49">
        <f t="shared" si="1810"/>
        <v>93</v>
      </c>
      <c r="AG916" s="49">
        <f t="shared" si="1810"/>
        <v>93</v>
      </c>
      <c r="AH916" s="49">
        <f t="shared" si="1810"/>
        <v>91</v>
      </c>
      <c r="AI916" s="49">
        <f t="shared" si="1810"/>
        <v>93</v>
      </c>
      <c r="AJ916" s="49">
        <f t="shared" si="1810"/>
        <v>93</v>
      </c>
      <c r="AL916" s="49">
        <f t="shared" ca="1" si="1786"/>
        <v>93</v>
      </c>
      <c r="AM916" s="49">
        <f t="shared" ca="1" si="1787"/>
        <v>0</v>
      </c>
      <c r="AN916" s="913">
        <f t="shared" ca="1" si="1788"/>
        <v>93</v>
      </c>
      <c r="AO916" s="974">
        <f t="shared" ca="1" si="1789"/>
        <v>0</v>
      </c>
      <c r="AP916" s="49">
        <f t="shared" ca="1" si="1790"/>
        <v>86</v>
      </c>
      <c r="AQ916" s="913">
        <f t="shared" ca="1" si="1791"/>
        <v>7</v>
      </c>
      <c r="AR916" s="974">
        <f t="shared" ca="1" si="1792"/>
        <v>1.0813953488372092</v>
      </c>
      <c r="AT916" s="49">
        <f t="shared" ca="1" si="1793"/>
        <v>93</v>
      </c>
      <c r="AU916" s="49">
        <f t="shared" ca="1" si="1794"/>
        <v>0</v>
      </c>
      <c r="AV916" s="913">
        <f t="shared" ca="1" si="1795"/>
        <v>93</v>
      </c>
      <c r="AW916" s="974">
        <f t="shared" ca="1" si="1796"/>
        <v>0</v>
      </c>
      <c r="AX916" s="49">
        <f t="shared" ca="1" si="1797"/>
        <v>86</v>
      </c>
      <c r="AY916" s="913">
        <f t="shared" ca="1" si="1798"/>
        <v>7</v>
      </c>
      <c r="AZ916" s="974">
        <f t="shared" ca="1" si="1799"/>
        <v>1.0813953488372092</v>
      </c>
      <c r="BB916" s="49">
        <f t="shared" ca="1" si="1800"/>
        <v>93</v>
      </c>
      <c r="BC916" s="49">
        <f t="shared" ca="1" si="1801"/>
        <v>0</v>
      </c>
      <c r="BD916" s="913">
        <f t="shared" ca="1" si="1802"/>
        <v>93</v>
      </c>
      <c r="BE916" s="974">
        <f t="shared" ca="1" si="1803"/>
        <v>0</v>
      </c>
      <c r="BF916" s="49">
        <f t="shared" ca="1" si="1804"/>
        <v>86</v>
      </c>
      <c r="BG916" s="913">
        <f t="shared" ca="1" si="1805"/>
        <v>7</v>
      </c>
      <c r="BH916" s="974">
        <f t="shared" ca="1" si="1806"/>
        <v>1.0813953488372092</v>
      </c>
    </row>
    <row r="917" spans="1:60" s="38" customFormat="1" ht="14.5">
      <c r="A917" s="990">
        <f t="shared" si="1778"/>
        <v>830</v>
      </c>
      <c r="B917" s="990">
        <v>1</v>
      </c>
      <c r="C917" s="990">
        <f t="shared" si="1780"/>
        <v>914</v>
      </c>
      <c r="E917" s="1243">
        <v>1</v>
      </c>
      <c r="F917" s="5"/>
      <c r="G917" s="5"/>
      <c r="H917" s="5"/>
      <c r="I917" s="335"/>
      <c r="J917" s="5"/>
      <c r="K917" s="5"/>
      <c r="L917" s="5"/>
      <c r="M917" s="4"/>
      <c r="N917" s="45"/>
      <c r="O917" s="45" t="s">
        <v>67</v>
      </c>
      <c r="P917" s="4"/>
      <c r="Q917" s="1844" t="str">
        <f>CHOOSE(2, "6722000003836", "HC Office FE/TTOC Service Total Onsite Engineer")</f>
        <v>HC Office FE/TTOC Service Total Onsite Engineer</v>
      </c>
      <c r="R917" s="2789">
        <v>50</v>
      </c>
      <c r="S917" s="2030">
        <v>50</v>
      </c>
      <c r="T917" s="2030">
        <v>49</v>
      </c>
      <c r="U917" s="2030">
        <v>51</v>
      </c>
      <c r="V917" s="2030">
        <v>52</v>
      </c>
      <c r="W917" s="2030">
        <v>53</v>
      </c>
      <c r="X917" s="2030">
        <v>53</v>
      </c>
      <c r="Y917" s="2030">
        <v>53</v>
      </c>
      <c r="Z917" s="2030">
        <v>54</v>
      </c>
      <c r="AA917" s="2030">
        <v>53</v>
      </c>
      <c r="AB917" s="2030">
        <v>52</v>
      </c>
      <c r="AC917" s="2030">
        <v>53</v>
      </c>
      <c r="AD917" s="1511">
        <f>T917</f>
        <v>49</v>
      </c>
      <c r="AE917" s="44">
        <f>W917</f>
        <v>53</v>
      </c>
      <c r="AF917" s="44">
        <f>Z917</f>
        <v>54</v>
      </c>
      <c r="AG917" s="44">
        <f>AC917</f>
        <v>53</v>
      </c>
      <c r="AH917" s="44">
        <f>AE917</f>
        <v>53</v>
      </c>
      <c r="AI917" s="44">
        <f>AG917</f>
        <v>53</v>
      </c>
      <c r="AJ917" s="44">
        <f>AI917</f>
        <v>53</v>
      </c>
      <c r="AL917" s="44">
        <f t="shared" ca="1" si="1786"/>
        <v>53</v>
      </c>
      <c r="AM917" s="44">
        <f t="shared" ca="1" si="1787"/>
        <v>0</v>
      </c>
      <c r="AN917" s="872">
        <f t="shared" ca="1" si="1788"/>
        <v>53</v>
      </c>
      <c r="AO917" s="922">
        <f t="shared" ca="1" si="1789"/>
        <v>0</v>
      </c>
      <c r="AP917" s="44">
        <f t="shared" ca="1" si="1790"/>
        <v>48</v>
      </c>
      <c r="AQ917" s="872">
        <f t="shared" ca="1" si="1791"/>
        <v>5</v>
      </c>
      <c r="AR917" s="922">
        <f t="shared" ca="1" si="1792"/>
        <v>1.1041666666666667</v>
      </c>
      <c r="AT917" s="44">
        <f t="shared" ca="1" si="1793"/>
        <v>53</v>
      </c>
      <c r="AU917" s="44">
        <f t="shared" ca="1" si="1794"/>
        <v>0</v>
      </c>
      <c r="AV917" s="872">
        <f t="shared" ca="1" si="1795"/>
        <v>53</v>
      </c>
      <c r="AW917" s="922">
        <f t="shared" ca="1" si="1796"/>
        <v>0</v>
      </c>
      <c r="AX917" s="44">
        <f t="shared" ca="1" si="1797"/>
        <v>48</v>
      </c>
      <c r="AY917" s="872">
        <f t="shared" ca="1" si="1798"/>
        <v>5</v>
      </c>
      <c r="AZ917" s="922">
        <f t="shared" ca="1" si="1799"/>
        <v>1.1041666666666667</v>
      </c>
      <c r="BB917" s="44">
        <f t="shared" ca="1" si="1800"/>
        <v>53</v>
      </c>
      <c r="BC917" s="44">
        <f t="shared" ca="1" si="1801"/>
        <v>0</v>
      </c>
      <c r="BD917" s="872">
        <f t="shared" ca="1" si="1802"/>
        <v>53</v>
      </c>
      <c r="BE917" s="922">
        <f t="shared" ca="1" si="1803"/>
        <v>0</v>
      </c>
      <c r="BF917" s="44">
        <f t="shared" ca="1" si="1804"/>
        <v>48</v>
      </c>
      <c r="BG917" s="872">
        <f t="shared" ca="1" si="1805"/>
        <v>5</v>
      </c>
      <c r="BH917" s="922">
        <f t="shared" ca="1" si="1806"/>
        <v>1.1041666666666667</v>
      </c>
    </row>
    <row r="918" spans="1:60" s="38" customFormat="1" ht="14.5">
      <c r="A918" s="990">
        <f t="shared" si="1778"/>
        <v>831</v>
      </c>
      <c r="B918" s="990">
        <v>1</v>
      </c>
      <c r="C918" s="990">
        <f t="shared" si="1780"/>
        <v>915</v>
      </c>
      <c r="E918" s="1243">
        <v>1</v>
      </c>
      <c r="F918" s="5"/>
      <c r="G918" s="5"/>
      <c r="H918" s="5"/>
      <c r="I918" s="335"/>
      <c r="J918" s="5"/>
      <c r="K918" s="5"/>
      <c r="L918" s="5"/>
      <c r="M918" s="4"/>
      <c r="N918" s="45"/>
      <c r="O918" s="45" t="s">
        <v>68</v>
      </c>
      <c r="P918" s="4"/>
      <c r="Q918" s="1844" t="str">
        <f>CHOOSE(2, "6722000003837", "HC Office FE/TTOC Service Total Remote Engineer")</f>
        <v>HC Office FE/TTOC Service Total Remote Engineer</v>
      </c>
      <c r="R918" s="2789">
        <v>1</v>
      </c>
      <c r="S918" s="2030">
        <v>1</v>
      </c>
      <c r="T918" s="2030">
        <v>1</v>
      </c>
      <c r="U918" s="2030">
        <v>1</v>
      </c>
      <c r="V918" s="2030">
        <v>1</v>
      </c>
      <c r="W918" s="2030">
        <v>1</v>
      </c>
      <c r="X918" s="2030">
        <v>1</v>
      </c>
      <c r="Y918" s="2030">
        <v>1</v>
      </c>
      <c r="Z918" s="2030">
        <v>1</v>
      </c>
      <c r="AA918" s="2030">
        <v>1</v>
      </c>
      <c r="AB918" s="2030">
        <v>1</v>
      </c>
      <c r="AC918" s="2030">
        <v>1</v>
      </c>
      <c r="AD918" s="1511">
        <f>T918</f>
        <v>1</v>
      </c>
      <c r="AE918" s="44">
        <f>W918</f>
        <v>1</v>
      </c>
      <c r="AF918" s="44">
        <f>Z918</f>
        <v>1</v>
      </c>
      <c r="AG918" s="44">
        <f>AC918</f>
        <v>1</v>
      </c>
      <c r="AH918" s="44">
        <f>AE918</f>
        <v>1</v>
      </c>
      <c r="AI918" s="44">
        <f>AG918</f>
        <v>1</v>
      </c>
      <c r="AJ918" s="44">
        <f>AI918</f>
        <v>1</v>
      </c>
      <c r="AL918" s="44">
        <f t="shared" ca="1" si="1786"/>
        <v>1</v>
      </c>
      <c r="AM918" s="44">
        <f t="shared" ca="1" si="1787"/>
        <v>0</v>
      </c>
      <c r="AN918" s="872">
        <f t="shared" ca="1" si="1788"/>
        <v>1</v>
      </c>
      <c r="AO918" s="922">
        <f t="shared" ca="1" si="1789"/>
        <v>0</v>
      </c>
      <c r="AP918" s="44">
        <f t="shared" ca="1" si="1790"/>
        <v>1</v>
      </c>
      <c r="AQ918" s="872">
        <f t="shared" ca="1" si="1791"/>
        <v>0</v>
      </c>
      <c r="AR918" s="922">
        <f t="shared" ca="1" si="1792"/>
        <v>1</v>
      </c>
      <c r="AT918" s="44">
        <f t="shared" ca="1" si="1793"/>
        <v>1</v>
      </c>
      <c r="AU918" s="44">
        <f t="shared" ca="1" si="1794"/>
        <v>0</v>
      </c>
      <c r="AV918" s="872">
        <f t="shared" ca="1" si="1795"/>
        <v>1</v>
      </c>
      <c r="AW918" s="922">
        <f t="shared" ca="1" si="1796"/>
        <v>0</v>
      </c>
      <c r="AX918" s="44">
        <f t="shared" ca="1" si="1797"/>
        <v>1</v>
      </c>
      <c r="AY918" s="872">
        <f t="shared" ca="1" si="1798"/>
        <v>0</v>
      </c>
      <c r="AZ918" s="922">
        <f t="shared" ca="1" si="1799"/>
        <v>1</v>
      </c>
      <c r="BB918" s="44">
        <f t="shared" ca="1" si="1800"/>
        <v>1</v>
      </c>
      <c r="BC918" s="44">
        <f t="shared" ca="1" si="1801"/>
        <v>0</v>
      </c>
      <c r="BD918" s="872">
        <f t="shared" ca="1" si="1802"/>
        <v>1</v>
      </c>
      <c r="BE918" s="922">
        <f t="shared" ca="1" si="1803"/>
        <v>0</v>
      </c>
      <c r="BF918" s="44">
        <f t="shared" ca="1" si="1804"/>
        <v>1</v>
      </c>
      <c r="BG918" s="872">
        <f t="shared" ca="1" si="1805"/>
        <v>0</v>
      </c>
      <c r="BH918" s="922">
        <f t="shared" ca="1" si="1806"/>
        <v>1</v>
      </c>
    </row>
    <row r="919" spans="1:60" s="38" customFormat="1" ht="14.5">
      <c r="A919" s="990">
        <f t="shared" si="1778"/>
        <v>832</v>
      </c>
      <c r="B919" s="990">
        <v>1</v>
      </c>
      <c r="C919" s="990">
        <f t="shared" si="1780"/>
        <v>916</v>
      </c>
      <c r="E919" s="1243">
        <v>1</v>
      </c>
      <c r="F919" s="5"/>
      <c r="G919" s="5"/>
      <c r="H919" s="5"/>
      <c r="I919" s="335"/>
      <c r="J919" s="5"/>
      <c r="K919" s="5"/>
      <c r="L919" s="5"/>
      <c r="M919" s="4"/>
      <c r="N919" s="45"/>
      <c r="O919" s="45" t="s">
        <v>122</v>
      </c>
      <c r="P919" s="4"/>
      <c r="Q919" s="1844" t="str">
        <f>CHOOSE(2, "6722000003838", "HC Office FE/TTOC Service Total Technical support")</f>
        <v>HC Office FE/TTOC Service Total Technical support</v>
      </c>
      <c r="R919" s="2789">
        <v>17</v>
      </c>
      <c r="S919" s="2030">
        <v>17</v>
      </c>
      <c r="T919" s="2030">
        <v>17</v>
      </c>
      <c r="U919" s="2030">
        <v>17</v>
      </c>
      <c r="V919" s="2030">
        <v>18</v>
      </c>
      <c r="W919" s="2030">
        <v>18</v>
      </c>
      <c r="X919" s="2030">
        <v>18</v>
      </c>
      <c r="Y919" s="2030">
        <v>18</v>
      </c>
      <c r="Z919" s="2030">
        <v>18</v>
      </c>
      <c r="AA919" s="2030">
        <v>18</v>
      </c>
      <c r="AB919" s="2030">
        <v>18</v>
      </c>
      <c r="AC919" s="2030">
        <v>18</v>
      </c>
      <c r="AD919" s="1511">
        <f>T919</f>
        <v>17</v>
      </c>
      <c r="AE919" s="44">
        <f>W919</f>
        <v>18</v>
      </c>
      <c r="AF919" s="44">
        <f>Z919</f>
        <v>18</v>
      </c>
      <c r="AG919" s="44">
        <f>AC919</f>
        <v>18</v>
      </c>
      <c r="AH919" s="44">
        <f>AE919</f>
        <v>18</v>
      </c>
      <c r="AI919" s="44">
        <f>AG919</f>
        <v>18</v>
      </c>
      <c r="AJ919" s="44">
        <f>AI919</f>
        <v>18</v>
      </c>
      <c r="AL919" s="44">
        <f t="shared" ca="1" si="1786"/>
        <v>18</v>
      </c>
      <c r="AM919" s="44">
        <f t="shared" ca="1" si="1787"/>
        <v>0</v>
      </c>
      <c r="AN919" s="872">
        <f t="shared" ca="1" si="1788"/>
        <v>18</v>
      </c>
      <c r="AO919" s="922">
        <f t="shared" ca="1" si="1789"/>
        <v>0</v>
      </c>
      <c r="AP919" s="44">
        <f t="shared" ca="1" si="1790"/>
        <v>17</v>
      </c>
      <c r="AQ919" s="872">
        <f t="shared" ca="1" si="1791"/>
        <v>1</v>
      </c>
      <c r="AR919" s="922">
        <f t="shared" ca="1" si="1792"/>
        <v>1.0588235294117647</v>
      </c>
      <c r="AT919" s="44">
        <f t="shared" ca="1" si="1793"/>
        <v>18</v>
      </c>
      <c r="AU919" s="44">
        <f t="shared" ca="1" si="1794"/>
        <v>0</v>
      </c>
      <c r="AV919" s="872">
        <f t="shared" ca="1" si="1795"/>
        <v>18</v>
      </c>
      <c r="AW919" s="922">
        <f t="shared" ca="1" si="1796"/>
        <v>0</v>
      </c>
      <c r="AX919" s="44">
        <f t="shared" ca="1" si="1797"/>
        <v>17</v>
      </c>
      <c r="AY919" s="872">
        <f t="shared" ca="1" si="1798"/>
        <v>1</v>
      </c>
      <c r="AZ919" s="922">
        <f t="shared" ca="1" si="1799"/>
        <v>1.0588235294117647</v>
      </c>
      <c r="BB919" s="44">
        <f t="shared" ca="1" si="1800"/>
        <v>18</v>
      </c>
      <c r="BC919" s="44">
        <f t="shared" ca="1" si="1801"/>
        <v>0</v>
      </c>
      <c r="BD919" s="872">
        <f t="shared" ca="1" si="1802"/>
        <v>18</v>
      </c>
      <c r="BE919" s="922">
        <f t="shared" ca="1" si="1803"/>
        <v>0</v>
      </c>
      <c r="BF919" s="44">
        <f t="shared" ca="1" si="1804"/>
        <v>17</v>
      </c>
      <c r="BG919" s="872">
        <f t="shared" ca="1" si="1805"/>
        <v>1</v>
      </c>
      <c r="BH919" s="922">
        <f t="shared" ca="1" si="1806"/>
        <v>1.0588235294117647</v>
      </c>
    </row>
    <row r="920" spans="1:60" s="38" customFormat="1" ht="14.5">
      <c r="A920" s="990">
        <f t="shared" si="1778"/>
        <v>833</v>
      </c>
      <c r="B920" s="990">
        <v>1</v>
      </c>
      <c r="C920" s="990">
        <f t="shared" si="1780"/>
        <v>917</v>
      </c>
      <c r="E920" s="1243">
        <v>1</v>
      </c>
      <c r="F920" s="5"/>
      <c r="G920" s="5"/>
      <c r="H920" s="5"/>
      <c r="I920" s="335"/>
      <c r="J920" s="5"/>
      <c r="K920" s="5"/>
      <c r="L920" s="5"/>
      <c r="M920" s="4"/>
      <c r="N920" s="45"/>
      <c r="O920" s="45" t="s">
        <v>121</v>
      </c>
      <c r="P920" s="4"/>
      <c r="Q920" s="1844" t="str">
        <f>CHOOSE(2, "6722000003839", "HC Office FE/TTOC Service Total Dealer(Indirect) support")</f>
        <v>HC Office FE/TTOC Service Total Dealer(Indirect) support</v>
      </c>
      <c r="R920" s="2789">
        <v>0</v>
      </c>
      <c r="S920" s="2030">
        <v>0</v>
      </c>
      <c r="T920" s="2030">
        <v>0</v>
      </c>
      <c r="U920" s="2030">
        <v>0</v>
      </c>
      <c r="V920" s="2030">
        <v>0</v>
      </c>
      <c r="W920" s="2030">
        <v>0</v>
      </c>
      <c r="X920" s="2030">
        <v>0</v>
      </c>
      <c r="Y920" s="2030">
        <v>0</v>
      </c>
      <c r="Z920" s="2030">
        <v>0</v>
      </c>
      <c r="AA920" s="2030">
        <v>0</v>
      </c>
      <c r="AB920" s="2030">
        <v>0</v>
      </c>
      <c r="AC920" s="2030">
        <v>0</v>
      </c>
      <c r="AD920" s="1511">
        <f>T920</f>
        <v>0</v>
      </c>
      <c r="AE920" s="44">
        <f>W920</f>
        <v>0</v>
      </c>
      <c r="AF920" s="44">
        <f>Z920</f>
        <v>0</v>
      </c>
      <c r="AG920" s="44">
        <f>AC920</f>
        <v>0</v>
      </c>
      <c r="AH920" s="44">
        <f>AE920</f>
        <v>0</v>
      </c>
      <c r="AI920" s="44">
        <f>AG920</f>
        <v>0</v>
      </c>
      <c r="AJ920" s="44">
        <f>AI920</f>
        <v>0</v>
      </c>
      <c r="AL920" s="44">
        <f t="shared" ca="1" si="1786"/>
        <v>0</v>
      </c>
      <c r="AM920" s="44">
        <f t="shared" ca="1" si="1787"/>
        <v>0</v>
      </c>
      <c r="AN920" s="872">
        <f t="shared" ca="1" si="1788"/>
        <v>0</v>
      </c>
      <c r="AO920" s="922">
        <f t="shared" ca="1" si="1789"/>
        <v>0</v>
      </c>
      <c r="AP920" s="44">
        <f t="shared" ca="1" si="1790"/>
        <v>0</v>
      </c>
      <c r="AQ920" s="872">
        <f t="shared" ca="1" si="1791"/>
        <v>0</v>
      </c>
      <c r="AR920" s="922">
        <f t="shared" ca="1" si="1792"/>
        <v>0</v>
      </c>
      <c r="AT920" s="44">
        <f t="shared" ca="1" si="1793"/>
        <v>0</v>
      </c>
      <c r="AU920" s="44">
        <f t="shared" ca="1" si="1794"/>
        <v>0</v>
      </c>
      <c r="AV920" s="872">
        <f t="shared" ca="1" si="1795"/>
        <v>0</v>
      </c>
      <c r="AW920" s="922">
        <f t="shared" ca="1" si="1796"/>
        <v>0</v>
      </c>
      <c r="AX920" s="44">
        <f t="shared" ca="1" si="1797"/>
        <v>0</v>
      </c>
      <c r="AY920" s="872">
        <f t="shared" ca="1" si="1798"/>
        <v>0</v>
      </c>
      <c r="AZ920" s="922">
        <f t="shared" ca="1" si="1799"/>
        <v>0</v>
      </c>
      <c r="BB920" s="44">
        <f t="shared" ca="1" si="1800"/>
        <v>0</v>
      </c>
      <c r="BC920" s="44">
        <f t="shared" ca="1" si="1801"/>
        <v>0</v>
      </c>
      <c r="BD920" s="872">
        <f t="shared" ca="1" si="1802"/>
        <v>0</v>
      </c>
      <c r="BE920" s="922">
        <f t="shared" ca="1" si="1803"/>
        <v>0</v>
      </c>
      <c r="BF920" s="44">
        <f t="shared" ca="1" si="1804"/>
        <v>0</v>
      </c>
      <c r="BG920" s="872">
        <f t="shared" ca="1" si="1805"/>
        <v>0</v>
      </c>
      <c r="BH920" s="922">
        <f t="shared" ca="1" si="1806"/>
        <v>0</v>
      </c>
    </row>
    <row r="921" spans="1:60" s="38" customFormat="1" ht="14.5">
      <c r="A921" s="990">
        <f t="shared" si="1778"/>
        <v>834</v>
      </c>
      <c r="B921" s="990">
        <v>1</v>
      </c>
      <c r="C921" s="990">
        <f t="shared" si="1780"/>
        <v>918</v>
      </c>
      <c r="E921" s="1243">
        <v>1</v>
      </c>
      <c r="F921" s="5"/>
      <c r="G921" s="5"/>
      <c r="H921" s="5"/>
      <c r="I921" s="335"/>
      <c r="J921" s="5"/>
      <c r="K921" s="5"/>
      <c r="L921" s="5"/>
      <c r="M921" s="4"/>
      <c r="N921" s="45"/>
      <c r="O921" s="45" t="s">
        <v>120</v>
      </c>
      <c r="P921" s="4"/>
      <c r="Q921" s="1844" t="str">
        <f>CHOOSE(2, "6722000003840", "HC Office FE/TTOC Service Total Administration/Others")</f>
        <v>HC Office FE/TTOC Service Total Administration/Others</v>
      </c>
      <c r="R921" s="2789">
        <v>20</v>
      </c>
      <c r="S921" s="2030">
        <v>19</v>
      </c>
      <c r="T921" s="2030">
        <v>19</v>
      </c>
      <c r="U921" s="2030">
        <v>19</v>
      </c>
      <c r="V921" s="2030">
        <v>19</v>
      </c>
      <c r="W921" s="2030">
        <v>19</v>
      </c>
      <c r="X921" s="2030">
        <v>19</v>
      </c>
      <c r="Y921" s="2030">
        <v>20</v>
      </c>
      <c r="Z921" s="2030">
        <v>20</v>
      </c>
      <c r="AA921" s="2030">
        <v>20</v>
      </c>
      <c r="AB921" s="2030">
        <v>20</v>
      </c>
      <c r="AC921" s="2030">
        <v>21</v>
      </c>
      <c r="AD921" s="1511">
        <f>T921</f>
        <v>19</v>
      </c>
      <c r="AE921" s="44">
        <f>W921</f>
        <v>19</v>
      </c>
      <c r="AF921" s="44">
        <f>Z921</f>
        <v>20</v>
      </c>
      <c r="AG921" s="44">
        <f>AC921</f>
        <v>21</v>
      </c>
      <c r="AH921" s="44">
        <f>AE921</f>
        <v>19</v>
      </c>
      <c r="AI921" s="44">
        <f>AG921</f>
        <v>21</v>
      </c>
      <c r="AJ921" s="44">
        <f>AI921</f>
        <v>21</v>
      </c>
      <c r="AL921" s="44">
        <f t="shared" ca="1" si="1786"/>
        <v>21</v>
      </c>
      <c r="AM921" s="44">
        <f t="shared" ca="1" si="1787"/>
        <v>0</v>
      </c>
      <c r="AN921" s="872">
        <f t="shared" ca="1" si="1788"/>
        <v>21</v>
      </c>
      <c r="AO921" s="922">
        <f t="shared" ca="1" si="1789"/>
        <v>0</v>
      </c>
      <c r="AP921" s="44">
        <f t="shared" ca="1" si="1790"/>
        <v>20</v>
      </c>
      <c r="AQ921" s="872">
        <f t="shared" ca="1" si="1791"/>
        <v>1</v>
      </c>
      <c r="AR921" s="922">
        <f t="shared" ca="1" si="1792"/>
        <v>1.05</v>
      </c>
      <c r="AT921" s="44">
        <f t="shared" ca="1" si="1793"/>
        <v>21</v>
      </c>
      <c r="AU921" s="44">
        <f t="shared" ca="1" si="1794"/>
        <v>0</v>
      </c>
      <c r="AV921" s="872">
        <f t="shared" ca="1" si="1795"/>
        <v>21</v>
      </c>
      <c r="AW921" s="922">
        <f t="shared" ca="1" si="1796"/>
        <v>0</v>
      </c>
      <c r="AX921" s="44">
        <f t="shared" ca="1" si="1797"/>
        <v>20</v>
      </c>
      <c r="AY921" s="872">
        <f t="shared" ca="1" si="1798"/>
        <v>1</v>
      </c>
      <c r="AZ921" s="922">
        <f t="shared" ca="1" si="1799"/>
        <v>1.05</v>
      </c>
      <c r="BB921" s="44">
        <f t="shared" ca="1" si="1800"/>
        <v>21</v>
      </c>
      <c r="BC921" s="44">
        <f t="shared" ca="1" si="1801"/>
        <v>0</v>
      </c>
      <c r="BD921" s="872">
        <f t="shared" ca="1" si="1802"/>
        <v>21</v>
      </c>
      <c r="BE921" s="922">
        <f t="shared" ca="1" si="1803"/>
        <v>0</v>
      </c>
      <c r="BF921" s="44">
        <f t="shared" ca="1" si="1804"/>
        <v>20</v>
      </c>
      <c r="BG921" s="872">
        <f t="shared" ca="1" si="1805"/>
        <v>1</v>
      </c>
      <c r="BH921" s="922">
        <f t="shared" ca="1" si="1806"/>
        <v>1.05</v>
      </c>
    </row>
    <row r="922" spans="1:60" s="38" customFormat="1" ht="14.5">
      <c r="A922" s="990">
        <f t="shared" si="1778"/>
        <v>835</v>
      </c>
      <c r="B922" s="990">
        <v>1</v>
      </c>
      <c r="C922" s="990">
        <f t="shared" si="1780"/>
        <v>919</v>
      </c>
      <c r="D922" s="1121" t="s">
        <v>887</v>
      </c>
      <c r="E922" s="1243">
        <v>1</v>
      </c>
      <c r="F922" s="5"/>
      <c r="G922" s="5"/>
      <c r="H922" s="5"/>
      <c r="I922" s="335"/>
      <c r="J922" s="324" t="s">
        <v>331</v>
      </c>
      <c r="K922" s="48"/>
      <c r="L922" s="48"/>
      <c r="M922" s="47"/>
      <c r="N922" s="47"/>
      <c r="O922" s="47"/>
      <c r="P922" s="323"/>
      <c r="Q922" s="1851" t="str">
        <f>CHOOSE(2, "6722000003841", "HC Office FE/TTOC Marketing Total")</f>
        <v>HC Office FE/TTOC Marketing Total</v>
      </c>
      <c r="R922" s="325">
        <f>SUM(R923:R926)</f>
        <v>4</v>
      </c>
      <c r="S922" s="325">
        <f t="shared" ref="S922:AC922" si="1811">SUM(S923:S926)</f>
        <v>4</v>
      </c>
      <c r="T922" s="325">
        <f t="shared" si="1811"/>
        <v>4</v>
      </c>
      <c r="U922" s="325">
        <f t="shared" si="1811"/>
        <v>4</v>
      </c>
      <c r="V922" s="325">
        <f t="shared" si="1811"/>
        <v>4</v>
      </c>
      <c r="W922" s="325">
        <f t="shared" si="1811"/>
        <v>4</v>
      </c>
      <c r="X922" s="325">
        <f t="shared" si="1811"/>
        <v>4</v>
      </c>
      <c r="Y922" s="325">
        <f t="shared" si="1811"/>
        <v>4</v>
      </c>
      <c r="Z922" s="325">
        <f t="shared" si="1811"/>
        <v>4</v>
      </c>
      <c r="AA922" s="325">
        <f t="shared" si="1811"/>
        <v>4</v>
      </c>
      <c r="AB922" s="325">
        <f t="shared" si="1811"/>
        <v>4</v>
      </c>
      <c r="AC922" s="325">
        <f t="shared" si="1811"/>
        <v>4</v>
      </c>
      <c r="AD922" s="1278">
        <f t="shared" ref="AD922:AJ922" si="1812">SUM(AD923:AD926)</f>
        <v>4</v>
      </c>
      <c r="AE922" s="46">
        <f t="shared" si="1812"/>
        <v>4</v>
      </c>
      <c r="AF922" s="46">
        <f t="shared" si="1812"/>
        <v>4</v>
      </c>
      <c r="AG922" s="46">
        <f t="shared" si="1812"/>
        <v>4</v>
      </c>
      <c r="AH922" s="46">
        <f t="shared" si="1812"/>
        <v>4</v>
      </c>
      <c r="AI922" s="46">
        <f t="shared" si="1812"/>
        <v>4</v>
      </c>
      <c r="AJ922" s="46">
        <f t="shared" si="1812"/>
        <v>4</v>
      </c>
      <c r="AL922" s="325">
        <f t="shared" ca="1" si="1786"/>
        <v>4</v>
      </c>
      <c r="AM922" s="325">
        <f t="shared" ca="1" si="1787"/>
        <v>0</v>
      </c>
      <c r="AN922" s="915">
        <f t="shared" ca="1" si="1788"/>
        <v>4</v>
      </c>
      <c r="AO922" s="976">
        <f t="shared" ca="1" si="1789"/>
        <v>0</v>
      </c>
      <c r="AP922" s="325">
        <f t="shared" ca="1" si="1790"/>
        <v>4</v>
      </c>
      <c r="AQ922" s="915">
        <f t="shared" ca="1" si="1791"/>
        <v>0</v>
      </c>
      <c r="AR922" s="976">
        <f t="shared" ca="1" si="1792"/>
        <v>1</v>
      </c>
      <c r="AT922" s="325">
        <f t="shared" ca="1" si="1793"/>
        <v>4</v>
      </c>
      <c r="AU922" s="325">
        <f t="shared" ca="1" si="1794"/>
        <v>0</v>
      </c>
      <c r="AV922" s="915">
        <f t="shared" ca="1" si="1795"/>
        <v>4</v>
      </c>
      <c r="AW922" s="976">
        <f t="shared" ca="1" si="1796"/>
        <v>0</v>
      </c>
      <c r="AX922" s="325">
        <f t="shared" ca="1" si="1797"/>
        <v>4</v>
      </c>
      <c r="AY922" s="915">
        <f t="shared" ca="1" si="1798"/>
        <v>0</v>
      </c>
      <c r="AZ922" s="976">
        <f t="shared" ca="1" si="1799"/>
        <v>1</v>
      </c>
      <c r="BB922" s="325">
        <f t="shared" ca="1" si="1800"/>
        <v>4</v>
      </c>
      <c r="BC922" s="325">
        <f t="shared" ca="1" si="1801"/>
        <v>0</v>
      </c>
      <c r="BD922" s="915">
        <f t="shared" ca="1" si="1802"/>
        <v>4</v>
      </c>
      <c r="BE922" s="976">
        <f t="shared" ca="1" si="1803"/>
        <v>0</v>
      </c>
      <c r="BF922" s="325">
        <f t="shared" ca="1" si="1804"/>
        <v>4</v>
      </c>
      <c r="BG922" s="915">
        <f t="shared" ca="1" si="1805"/>
        <v>0</v>
      </c>
      <c r="BH922" s="976">
        <f t="shared" ca="1" si="1806"/>
        <v>1</v>
      </c>
    </row>
    <row r="923" spans="1:60" s="38" customFormat="1" ht="14.5">
      <c r="A923" s="990">
        <f t="shared" si="1778"/>
        <v>836</v>
      </c>
      <c r="B923" s="990">
        <v>1</v>
      </c>
      <c r="C923" s="990">
        <f t="shared" si="1780"/>
        <v>920</v>
      </c>
      <c r="E923" s="1243">
        <v>1</v>
      </c>
      <c r="F923" s="5"/>
      <c r="G923" s="5"/>
      <c r="H923" s="5"/>
      <c r="I923" s="335"/>
      <c r="J923" s="5"/>
      <c r="K923" s="5"/>
      <c r="L923" s="5"/>
      <c r="M923" s="4"/>
      <c r="N923" s="45"/>
      <c r="O923" s="45" t="s">
        <v>323</v>
      </c>
      <c r="P923" s="4"/>
      <c r="Q923" s="1844" t="str">
        <f>CHOOSE(2, "6722000003842", "HC Office FE/TTOC Marketing Total Business Development")</f>
        <v>HC Office FE/TTOC Marketing Total Business Development</v>
      </c>
      <c r="R923" s="2030">
        <v>0</v>
      </c>
      <c r="S923" s="2030">
        <v>0</v>
      </c>
      <c r="T923" s="2030">
        <v>0</v>
      </c>
      <c r="U923" s="2030">
        <v>0</v>
      </c>
      <c r="V923" s="2030">
        <v>0</v>
      </c>
      <c r="W923" s="2030">
        <v>0</v>
      </c>
      <c r="X923" s="2030">
        <v>0</v>
      </c>
      <c r="Y923" s="2030">
        <v>0</v>
      </c>
      <c r="Z923" s="2030">
        <v>0</v>
      </c>
      <c r="AA923" s="2030">
        <v>0</v>
      </c>
      <c r="AB923" s="2030">
        <v>0</v>
      </c>
      <c r="AC923" s="2030">
        <v>0</v>
      </c>
      <c r="AD923" s="1511">
        <f>T923</f>
        <v>0</v>
      </c>
      <c r="AE923" s="44">
        <f>W923</f>
        <v>0</v>
      </c>
      <c r="AF923" s="44">
        <f>Z923</f>
        <v>0</v>
      </c>
      <c r="AG923" s="44">
        <f>AC923</f>
        <v>0</v>
      </c>
      <c r="AH923" s="44">
        <f>AE923</f>
        <v>0</v>
      </c>
      <c r="AI923" s="44">
        <f>AG923</f>
        <v>0</v>
      </c>
      <c r="AJ923" s="44">
        <f>AI923</f>
        <v>0</v>
      </c>
      <c r="AL923" s="44">
        <f t="shared" ca="1" si="1786"/>
        <v>0</v>
      </c>
      <c r="AM923" s="44">
        <f t="shared" ca="1" si="1787"/>
        <v>0</v>
      </c>
      <c r="AN923" s="872">
        <f t="shared" ca="1" si="1788"/>
        <v>0</v>
      </c>
      <c r="AO923" s="922">
        <f t="shared" ca="1" si="1789"/>
        <v>0</v>
      </c>
      <c r="AP923" s="44">
        <f t="shared" ca="1" si="1790"/>
        <v>0</v>
      </c>
      <c r="AQ923" s="872">
        <f t="shared" ca="1" si="1791"/>
        <v>0</v>
      </c>
      <c r="AR923" s="922">
        <f t="shared" ca="1" si="1792"/>
        <v>0</v>
      </c>
      <c r="AT923" s="44">
        <f t="shared" ca="1" si="1793"/>
        <v>0</v>
      </c>
      <c r="AU923" s="44">
        <f t="shared" ca="1" si="1794"/>
        <v>0</v>
      </c>
      <c r="AV923" s="872">
        <f t="shared" ca="1" si="1795"/>
        <v>0</v>
      </c>
      <c r="AW923" s="922">
        <f t="shared" ca="1" si="1796"/>
        <v>0</v>
      </c>
      <c r="AX923" s="44">
        <f t="shared" ca="1" si="1797"/>
        <v>0</v>
      </c>
      <c r="AY923" s="872">
        <f t="shared" ca="1" si="1798"/>
        <v>0</v>
      </c>
      <c r="AZ923" s="922">
        <f t="shared" ca="1" si="1799"/>
        <v>0</v>
      </c>
      <c r="BB923" s="44">
        <f t="shared" ca="1" si="1800"/>
        <v>0</v>
      </c>
      <c r="BC923" s="44">
        <f t="shared" ca="1" si="1801"/>
        <v>0</v>
      </c>
      <c r="BD923" s="872">
        <f t="shared" ca="1" si="1802"/>
        <v>0</v>
      </c>
      <c r="BE923" s="922">
        <f t="shared" ca="1" si="1803"/>
        <v>0</v>
      </c>
      <c r="BF923" s="44">
        <f t="shared" ca="1" si="1804"/>
        <v>0</v>
      </c>
      <c r="BG923" s="872">
        <f t="shared" ca="1" si="1805"/>
        <v>0</v>
      </c>
      <c r="BH923" s="922">
        <f t="shared" ca="1" si="1806"/>
        <v>0</v>
      </c>
    </row>
    <row r="924" spans="1:60" s="38" customFormat="1" ht="14.5">
      <c r="A924" s="990">
        <f t="shared" si="1778"/>
        <v>837</v>
      </c>
      <c r="B924" s="990">
        <v>1</v>
      </c>
      <c r="C924" s="990">
        <f t="shared" si="1780"/>
        <v>921</v>
      </c>
      <c r="E924" s="1243">
        <v>1</v>
      </c>
      <c r="F924" s="5"/>
      <c r="G924" s="5"/>
      <c r="H924" s="5"/>
      <c r="I924" s="335"/>
      <c r="J924" s="5"/>
      <c r="K924" s="5"/>
      <c r="L924" s="5"/>
      <c r="M924" s="4"/>
      <c r="N924" s="45"/>
      <c r="O924" s="45" t="s">
        <v>324</v>
      </c>
      <c r="P924" s="4"/>
      <c r="Q924" s="1844" t="str">
        <f>CHOOSE(2, "6722000003843", "HC Office FE/TTOC Marketing Total Channel Marketing")</f>
        <v>HC Office FE/TTOC Marketing Total Channel Marketing</v>
      </c>
      <c r="R924" s="2030">
        <v>0</v>
      </c>
      <c r="S924" s="2030">
        <v>0</v>
      </c>
      <c r="T924" s="2030">
        <v>0</v>
      </c>
      <c r="U924" s="2030">
        <v>0</v>
      </c>
      <c r="V924" s="2030">
        <v>0</v>
      </c>
      <c r="W924" s="2030">
        <v>0</v>
      </c>
      <c r="X924" s="2030">
        <v>0</v>
      </c>
      <c r="Y924" s="2030">
        <v>0</v>
      </c>
      <c r="Z924" s="2030">
        <v>0</v>
      </c>
      <c r="AA924" s="2030">
        <v>0</v>
      </c>
      <c r="AB924" s="2030">
        <v>0</v>
      </c>
      <c r="AC924" s="2030">
        <v>0</v>
      </c>
      <c r="AD924" s="1511">
        <f>T924</f>
        <v>0</v>
      </c>
      <c r="AE924" s="44">
        <f>W924</f>
        <v>0</v>
      </c>
      <c r="AF924" s="44">
        <f>Z924</f>
        <v>0</v>
      </c>
      <c r="AG924" s="44">
        <f>AC924</f>
        <v>0</v>
      </c>
      <c r="AH924" s="44">
        <f>AE924</f>
        <v>0</v>
      </c>
      <c r="AI924" s="44">
        <f>AG924</f>
        <v>0</v>
      </c>
      <c r="AJ924" s="44">
        <f>AI924</f>
        <v>0</v>
      </c>
      <c r="AL924" s="44">
        <f t="shared" ca="1" si="1786"/>
        <v>0</v>
      </c>
      <c r="AM924" s="44">
        <f t="shared" ca="1" si="1787"/>
        <v>0</v>
      </c>
      <c r="AN924" s="872">
        <f t="shared" ca="1" si="1788"/>
        <v>0</v>
      </c>
      <c r="AO924" s="922">
        <f t="shared" ca="1" si="1789"/>
        <v>0</v>
      </c>
      <c r="AP924" s="44">
        <f t="shared" ca="1" si="1790"/>
        <v>0</v>
      </c>
      <c r="AQ924" s="872">
        <f t="shared" ca="1" si="1791"/>
        <v>0</v>
      </c>
      <c r="AR924" s="922">
        <f t="shared" ca="1" si="1792"/>
        <v>0</v>
      </c>
      <c r="AT924" s="44">
        <f t="shared" ca="1" si="1793"/>
        <v>0</v>
      </c>
      <c r="AU924" s="44">
        <f t="shared" ca="1" si="1794"/>
        <v>0</v>
      </c>
      <c r="AV924" s="872">
        <f t="shared" ca="1" si="1795"/>
        <v>0</v>
      </c>
      <c r="AW924" s="922">
        <f t="shared" ca="1" si="1796"/>
        <v>0</v>
      </c>
      <c r="AX924" s="44">
        <f t="shared" ca="1" si="1797"/>
        <v>0</v>
      </c>
      <c r="AY924" s="872">
        <f t="shared" ca="1" si="1798"/>
        <v>0</v>
      </c>
      <c r="AZ924" s="922">
        <f t="shared" ca="1" si="1799"/>
        <v>0</v>
      </c>
      <c r="BB924" s="44">
        <f t="shared" ca="1" si="1800"/>
        <v>0</v>
      </c>
      <c r="BC924" s="44">
        <f t="shared" ca="1" si="1801"/>
        <v>0</v>
      </c>
      <c r="BD924" s="872">
        <f t="shared" ca="1" si="1802"/>
        <v>0</v>
      </c>
      <c r="BE924" s="922">
        <f t="shared" ca="1" si="1803"/>
        <v>0</v>
      </c>
      <c r="BF924" s="44">
        <f t="shared" ca="1" si="1804"/>
        <v>0</v>
      </c>
      <c r="BG924" s="872">
        <f t="shared" ca="1" si="1805"/>
        <v>0</v>
      </c>
      <c r="BH924" s="922">
        <f t="shared" ca="1" si="1806"/>
        <v>0</v>
      </c>
    </row>
    <row r="925" spans="1:60" s="38" customFormat="1" ht="14.5">
      <c r="A925" s="990">
        <f t="shared" si="1778"/>
        <v>838</v>
      </c>
      <c r="B925" s="990">
        <v>1</v>
      </c>
      <c r="C925" s="990">
        <f t="shared" si="1780"/>
        <v>922</v>
      </c>
      <c r="E925" s="1243">
        <v>1</v>
      </c>
      <c r="F925" s="5"/>
      <c r="G925" s="5"/>
      <c r="H925" s="5"/>
      <c r="I925" s="335"/>
      <c r="J925" s="5"/>
      <c r="K925" s="5"/>
      <c r="L925" s="5"/>
      <c r="M925" s="4"/>
      <c r="N925" s="45"/>
      <c r="O925" s="45" t="s">
        <v>325</v>
      </c>
      <c r="P925" s="4"/>
      <c r="Q925" s="1844" t="str">
        <f>CHOOSE(2, "6722000003844", "HC Office FE/TTOC Marketing Total Product Marketing")</f>
        <v>HC Office FE/TTOC Marketing Total Product Marketing</v>
      </c>
      <c r="R925" s="2789">
        <v>4</v>
      </c>
      <c r="S925" s="2030">
        <f>2+2</f>
        <v>4</v>
      </c>
      <c r="T925" s="2030">
        <v>4</v>
      </c>
      <c r="U925" s="2030">
        <v>4</v>
      </c>
      <c r="V925" s="2030">
        <v>4</v>
      </c>
      <c r="W925" s="2030">
        <v>4</v>
      </c>
      <c r="X925" s="2030">
        <v>4</v>
      </c>
      <c r="Y925" s="2030">
        <v>4</v>
      </c>
      <c r="Z925" s="2030">
        <v>4</v>
      </c>
      <c r="AA925" s="2030">
        <v>4</v>
      </c>
      <c r="AB925" s="2030">
        <f>2+2</f>
        <v>4</v>
      </c>
      <c r="AC925" s="2030">
        <v>4</v>
      </c>
      <c r="AD925" s="1511">
        <f>T925</f>
        <v>4</v>
      </c>
      <c r="AE925" s="44">
        <f>W925</f>
        <v>4</v>
      </c>
      <c r="AF925" s="44">
        <f>Z925</f>
        <v>4</v>
      </c>
      <c r="AG925" s="44">
        <f>AC925</f>
        <v>4</v>
      </c>
      <c r="AH925" s="44">
        <f>AE925</f>
        <v>4</v>
      </c>
      <c r="AI925" s="44">
        <f>AG925</f>
        <v>4</v>
      </c>
      <c r="AJ925" s="44">
        <f>AI925</f>
        <v>4</v>
      </c>
      <c r="AL925" s="44">
        <f t="shared" ca="1" si="1786"/>
        <v>4</v>
      </c>
      <c r="AM925" s="44">
        <f t="shared" ca="1" si="1787"/>
        <v>0</v>
      </c>
      <c r="AN925" s="872">
        <f t="shared" ca="1" si="1788"/>
        <v>4</v>
      </c>
      <c r="AO925" s="922">
        <f t="shared" ca="1" si="1789"/>
        <v>0</v>
      </c>
      <c r="AP925" s="44">
        <f t="shared" ca="1" si="1790"/>
        <v>4</v>
      </c>
      <c r="AQ925" s="872">
        <f t="shared" ca="1" si="1791"/>
        <v>0</v>
      </c>
      <c r="AR925" s="922">
        <f t="shared" ca="1" si="1792"/>
        <v>1</v>
      </c>
      <c r="AT925" s="44">
        <f t="shared" ca="1" si="1793"/>
        <v>4</v>
      </c>
      <c r="AU925" s="44">
        <f t="shared" ca="1" si="1794"/>
        <v>0</v>
      </c>
      <c r="AV925" s="872">
        <f t="shared" ca="1" si="1795"/>
        <v>4</v>
      </c>
      <c r="AW925" s="922">
        <f t="shared" ca="1" si="1796"/>
        <v>0</v>
      </c>
      <c r="AX925" s="44">
        <f t="shared" ca="1" si="1797"/>
        <v>4</v>
      </c>
      <c r="AY925" s="872">
        <f t="shared" ca="1" si="1798"/>
        <v>0</v>
      </c>
      <c r="AZ925" s="922">
        <f t="shared" ca="1" si="1799"/>
        <v>1</v>
      </c>
      <c r="BB925" s="44">
        <f t="shared" ca="1" si="1800"/>
        <v>4</v>
      </c>
      <c r="BC925" s="44">
        <f t="shared" ca="1" si="1801"/>
        <v>0</v>
      </c>
      <c r="BD925" s="872">
        <f t="shared" ca="1" si="1802"/>
        <v>4</v>
      </c>
      <c r="BE925" s="922">
        <f t="shared" ca="1" si="1803"/>
        <v>0</v>
      </c>
      <c r="BF925" s="44">
        <f t="shared" ca="1" si="1804"/>
        <v>4</v>
      </c>
      <c r="BG925" s="872">
        <f t="shared" ca="1" si="1805"/>
        <v>0</v>
      </c>
      <c r="BH925" s="922">
        <f t="shared" ca="1" si="1806"/>
        <v>1</v>
      </c>
    </row>
    <row r="926" spans="1:60" s="38" customFormat="1" ht="14.5">
      <c r="A926" s="990">
        <f t="shared" si="1778"/>
        <v>839</v>
      </c>
      <c r="B926" s="990">
        <v>1</v>
      </c>
      <c r="C926" s="990">
        <f t="shared" si="1780"/>
        <v>923</v>
      </c>
      <c r="E926" s="1243">
        <v>1</v>
      </c>
      <c r="F926" s="5"/>
      <c r="G926" s="5"/>
      <c r="H926" s="5"/>
      <c r="I926" s="335"/>
      <c r="J926" s="3"/>
      <c r="K926" s="3"/>
      <c r="L926" s="3"/>
      <c r="M926" s="2"/>
      <c r="N926" s="43"/>
      <c r="O926" s="43" t="s">
        <v>326</v>
      </c>
      <c r="P926" s="2"/>
      <c r="Q926" s="1844" t="str">
        <f>CHOOSE(2, "6722000003845", "HC Office FE/TTOC Marketing Total MC / O")</f>
        <v>HC Office FE/TTOC Marketing Total MC / O</v>
      </c>
      <c r="R926" s="2029">
        <v>0</v>
      </c>
      <c r="S926" s="2029">
        <v>0</v>
      </c>
      <c r="T926" s="2029">
        <v>0</v>
      </c>
      <c r="U926" s="2029">
        <v>0</v>
      </c>
      <c r="V926" s="2029">
        <v>0</v>
      </c>
      <c r="W926" s="2029">
        <v>0</v>
      </c>
      <c r="X926" s="2029">
        <v>0</v>
      </c>
      <c r="Y926" s="2029">
        <v>0</v>
      </c>
      <c r="Z926" s="2029">
        <v>0</v>
      </c>
      <c r="AA926" s="2029">
        <v>0</v>
      </c>
      <c r="AB926" s="2029">
        <v>0</v>
      </c>
      <c r="AC926" s="2029">
        <v>0</v>
      </c>
      <c r="AD926" s="1554">
        <f>T926</f>
        <v>0</v>
      </c>
      <c r="AE926" s="42">
        <f>W926</f>
        <v>0</v>
      </c>
      <c r="AF926" s="42">
        <f>Z926</f>
        <v>0</v>
      </c>
      <c r="AG926" s="42">
        <f>AC926</f>
        <v>0</v>
      </c>
      <c r="AH926" s="42">
        <f>AE926</f>
        <v>0</v>
      </c>
      <c r="AI926" s="42">
        <f>AG926</f>
        <v>0</v>
      </c>
      <c r="AJ926" s="42">
        <f>AI926</f>
        <v>0</v>
      </c>
      <c r="AL926" s="42">
        <f t="shared" ca="1" si="1786"/>
        <v>0</v>
      </c>
      <c r="AM926" s="42">
        <f t="shared" ca="1" si="1787"/>
        <v>0</v>
      </c>
      <c r="AN926" s="914">
        <f t="shared" ca="1" si="1788"/>
        <v>0</v>
      </c>
      <c r="AO926" s="975">
        <f t="shared" ca="1" si="1789"/>
        <v>0</v>
      </c>
      <c r="AP926" s="42">
        <f t="shared" ca="1" si="1790"/>
        <v>0</v>
      </c>
      <c r="AQ926" s="914">
        <f t="shared" ca="1" si="1791"/>
        <v>0</v>
      </c>
      <c r="AR926" s="975">
        <f t="shared" ca="1" si="1792"/>
        <v>0</v>
      </c>
      <c r="AT926" s="42">
        <f t="shared" ca="1" si="1793"/>
        <v>0</v>
      </c>
      <c r="AU926" s="42">
        <f t="shared" ca="1" si="1794"/>
        <v>0</v>
      </c>
      <c r="AV926" s="914">
        <f t="shared" ca="1" si="1795"/>
        <v>0</v>
      </c>
      <c r="AW926" s="975">
        <f t="shared" ca="1" si="1796"/>
        <v>0</v>
      </c>
      <c r="AX926" s="42">
        <f t="shared" ca="1" si="1797"/>
        <v>0</v>
      </c>
      <c r="AY926" s="914">
        <f t="shared" ca="1" si="1798"/>
        <v>0</v>
      </c>
      <c r="AZ926" s="975">
        <f t="shared" ca="1" si="1799"/>
        <v>0</v>
      </c>
      <c r="BB926" s="42">
        <f t="shared" ca="1" si="1800"/>
        <v>0</v>
      </c>
      <c r="BC926" s="42">
        <f t="shared" ca="1" si="1801"/>
        <v>0</v>
      </c>
      <c r="BD926" s="914">
        <f t="shared" ca="1" si="1802"/>
        <v>0</v>
      </c>
      <c r="BE926" s="975">
        <f t="shared" ca="1" si="1803"/>
        <v>0</v>
      </c>
      <c r="BF926" s="42">
        <f t="shared" ca="1" si="1804"/>
        <v>0</v>
      </c>
      <c r="BG926" s="914">
        <f t="shared" ca="1" si="1805"/>
        <v>0</v>
      </c>
      <c r="BH926" s="975">
        <f t="shared" ca="1" si="1806"/>
        <v>0</v>
      </c>
    </row>
    <row r="927" spans="1:60" s="38" customFormat="1" ht="14.5">
      <c r="A927" s="990">
        <f t="shared" si="1778"/>
        <v>840</v>
      </c>
      <c r="B927" s="990">
        <v>1</v>
      </c>
      <c r="C927" s="990">
        <f t="shared" si="1780"/>
        <v>924</v>
      </c>
      <c r="D927" s="1121" t="s">
        <v>887</v>
      </c>
      <c r="E927" s="1243">
        <v>1</v>
      </c>
      <c r="F927" s="5"/>
      <c r="G927" s="5"/>
      <c r="H927" s="5"/>
      <c r="I927" s="335"/>
      <c r="J927" s="52" t="s">
        <v>73</v>
      </c>
      <c r="K927" s="52"/>
      <c r="L927" s="52"/>
      <c r="M927" s="51"/>
      <c r="N927" s="51"/>
      <c r="O927" s="51"/>
      <c r="P927" s="51"/>
      <c r="Q927" s="1851" t="str">
        <f>CHOOSE(2, "6722000003846", "HC Office FE/TTOC Administration Total")</f>
        <v>HC Office FE/TTOC Administration Total</v>
      </c>
      <c r="R927" s="49">
        <f>SUM(R928:R932)</f>
        <v>23</v>
      </c>
      <c r="S927" s="49">
        <f t="shared" ref="S927:AC927" si="1813">SUM(S928:S932)</f>
        <v>26</v>
      </c>
      <c r="T927" s="49">
        <f t="shared" si="1813"/>
        <v>26</v>
      </c>
      <c r="U927" s="49">
        <f t="shared" si="1813"/>
        <v>26</v>
      </c>
      <c r="V927" s="49">
        <f t="shared" si="1813"/>
        <v>25</v>
      </c>
      <c r="W927" s="49">
        <f t="shared" si="1813"/>
        <v>25</v>
      </c>
      <c r="X927" s="49">
        <f t="shared" si="1813"/>
        <v>26</v>
      </c>
      <c r="Y927" s="49">
        <f t="shared" si="1813"/>
        <v>28</v>
      </c>
      <c r="Z927" s="49">
        <f t="shared" si="1813"/>
        <v>28</v>
      </c>
      <c r="AA927" s="49">
        <f t="shared" si="1813"/>
        <v>29</v>
      </c>
      <c r="AB927" s="49">
        <f t="shared" si="1813"/>
        <v>31</v>
      </c>
      <c r="AC927" s="49">
        <f t="shared" si="1813"/>
        <v>30</v>
      </c>
      <c r="AD927" s="1553">
        <f t="shared" ref="AD927:AJ927" si="1814">SUM(AD928:AD932)</f>
        <v>26</v>
      </c>
      <c r="AE927" s="49">
        <f t="shared" si="1814"/>
        <v>25</v>
      </c>
      <c r="AF927" s="49">
        <f t="shared" si="1814"/>
        <v>28</v>
      </c>
      <c r="AG927" s="49">
        <f t="shared" si="1814"/>
        <v>30</v>
      </c>
      <c r="AH927" s="49">
        <f t="shared" si="1814"/>
        <v>25</v>
      </c>
      <c r="AI927" s="49">
        <f t="shared" si="1814"/>
        <v>30</v>
      </c>
      <c r="AJ927" s="49">
        <f t="shared" si="1814"/>
        <v>30</v>
      </c>
      <c r="AL927" s="49">
        <f t="shared" ca="1" si="1786"/>
        <v>30</v>
      </c>
      <c r="AM927" s="49">
        <f t="shared" ca="1" si="1787"/>
        <v>0</v>
      </c>
      <c r="AN927" s="913">
        <f t="shared" ca="1" si="1788"/>
        <v>30</v>
      </c>
      <c r="AO927" s="974">
        <f t="shared" ca="1" si="1789"/>
        <v>0</v>
      </c>
      <c r="AP927" s="49">
        <f t="shared" ca="1" si="1790"/>
        <v>24</v>
      </c>
      <c r="AQ927" s="913">
        <f t="shared" ca="1" si="1791"/>
        <v>6</v>
      </c>
      <c r="AR927" s="974">
        <f t="shared" ca="1" si="1792"/>
        <v>1.25</v>
      </c>
      <c r="AT927" s="49">
        <f t="shared" ca="1" si="1793"/>
        <v>30</v>
      </c>
      <c r="AU927" s="49">
        <f t="shared" ca="1" si="1794"/>
        <v>0</v>
      </c>
      <c r="AV927" s="913">
        <f t="shared" ca="1" si="1795"/>
        <v>30</v>
      </c>
      <c r="AW927" s="974">
        <f t="shared" ca="1" si="1796"/>
        <v>0</v>
      </c>
      <c r="AX927" s="49">
        <f t="shared" ca="1" si="1797"/>
        <v>24</v>
      </c>
      <c r="AY927" s="913">
        <f t="shared" ca="1" si="1798"/>
        <v>6</v>
      </c>
      <c r="AZ927" s="974">
        <f t="shared" ca="1" si="1799"/>
        <v>1.25</v>
      </c>
      <c r="BB927" s="49">
        <f t="shared" ca="1" si="1800"/>
        <v>30</v>
      </c>
      <c r="BC927" s="49">
        <f t="shared" ca="1" si="1801"/>
        <v>0</v>
      </c>
      <c r="BD927" s="913">
        <f t="shared" ca="1" si="1802"/>
        <v>30</v>
      </c>
      <c r="BE927" s="974">
        <f t="shared" ca="1" si="1803"/>
        <v>0</v>
      </c>
      <c r="BF927" s="49">
        <f t="shared" ca="1" si="1804"/>
        <v>24</v>
      </c>
      <c r="BG927" s="913">
        <f t="shared" ca="1" si="1805"/>
        <v>6</v>
      </c>
      <c r="BH927" s="974">
        <f t="shared" ca="1" si="1806"/>
        <v>1.25</v>
      </c>
    </row>
    <row r="928" spans="1:60" s="38" customFormat="1" ht="14.5">
      <c r="A928" s="990">
        <f t="shared" si="1778"/>
        <v>841</v>
      </c>
      <c r="B928" s="990">
        <v>1</v>
      </c>
      <c r="C928" s="990">
        <f t="shared" si="1780"/>
        <v>925</v>
      </c>
      <c r="E928" s="1243">
        <v>1</v>
      </c>
      <c r="F928" s="5"/>
      <c r="G928" s="5"/>
      <c r="H928" s="5"/>
      <c r="I928" s="335"/>
      <c r="J928" s="5"/>
      <c r="K928" s="5"/>
      <c r="L928" s="4"/>
      <c r="M928" s="4"/>
      <c r="N928" s="45"/>
      <c r="O928" s="45" t="s">
        <v>119</v>
      </c>
      <c r="P928" s="45"/>
      <c r="Q928" s="1844" t="str">
        <f>CHOOSE(2, "6722000003847", "HC Office FE/TTOC Administration Total IT")</f>
        <v>HC Office FE/TTOC Administration Total IT</v>
      </c>
      <c r="R928" s="2789">
        <v>2</v>
      </c>
      <c r="S928" s="2030">
        <v>2</v>
      </c>
      <c r="T928" s="2030">
        <v>2</v>
      </c>
      <c r="U928" s="2030">
        <v>2</v>
      </c>
      <c r="V928" s="2030">
        <v>2</v>
      </c>
      <c r="W928" s="2030">
        <v>2</v>
      </c>
      <c r="X928" s="2030">
        <v>2</v>
      </c>
      <c r="Y928" s="2030">
        <v>2</v>
      </c>
      <c r="Z928" s="2030">
        <v>2</v>
      </c>
      <c r="AA928" s="2030">
        <v>2</v>
      </c>
      <c r="AB928" s="2030">
        <v>2</v>
      </c>
      <c r="AC928" s="2030">
        <v>2</v>
      </c>
      <c r="AD928" s="1511">
        <f>T928</f>
        <v>2</v>
      </c>
      <c r="AE928" s="44">
        <f>W928</f>
        <v>2</v>
      </c>
      <c r="AF928" s="44">
        <f>Z928</f>
        <v>2</v>
      </c>
      <c r="AG928" s="44">
        <f>AC928</f>
        <v>2</v>
      </c>
      <c r="AH928" s="44">
        <f>AE928</f>
        <v>2</v>
      </c>
      <c r="AI928" s="44">
        <f>AG928</f>
        <v>2</v>
      </c>
      <c r="AJ928" s="44">
        <f>AI928</f>
        <v>2</v>
      </c>
      <c r="AL928" s="44">
        <f t="shared" ca="1" si="1786"/>
        <v>2</v>
      </c>
      <c r="AM928" s="44">
        <f t="shared" ca="1" si="1787"/>
        <v>0</v>
      </c>
      <c r="AN928" s="872">
        <f t="shared" ca="1" si="1788"/>
        <v>2</v>
      </c>
      <c r="AO928" s="922">
        <f t="shared" ca="1" si="1789"/>
        <v>0</v>
      </c>
      <c r="AP928" s="44">
        <f t="shared" ca="1" si="1790"/>
        <v>2</v>
      </c>
      <c r="AQ928" s="872">
        <f t="shared" ca="1" si="1791"/>
        <v>0</v>
      </c>
      <c r="AR928" s="922">
        <f t="shared" ca="1" si="1792"/>
        <v>1</v>
      </c>
      <c r="AT928" s="44">
        <f t="shared" ca="1" si="1793"/>
        <v>2</v>
      </c>
      <c r="AU928" s="44">
        <f t="shared" ca="1" si="1794"/>
        <v>0</v>
      </c>
      <c r="AV928" s="872">
        <f t="shared" ca="1" si="1795"/>
        <v>2</v>
      </c>
      <c r="AW928" s="922">
        <f t="shared" ca="1" si="1796"/>
        <v>0</v>
      </c>
      <c r="AX928" s="44">
        <f t="shared" ca="1" si="1797"/>
        <v>2</v>
      </c>
      <c r="AY928" s="872">
        <f t="shared" ca="1" si="1798"/>
        <v>0</v>
      </c>
      <c r="AZ928" s="922">
        <f t="shared" ca="1" si="1799"/>
        <v>1</v>
      </c>
      <c r="BB928" s="44">
        <f t="shared" ca="1" si="1800"/>
        <v>2</v>
      </c>
      <c r="BC928" s="44">
        <f t="shared" ca="1" si="1801"/>
        <v>0</v>
      </c>
      <c r="BD928" s="872">
        <f t="shared" ca="1" si="1802"/>
        <v>2</v>
      </c>
      <c r="BE928" s="922">
        <f t="shared" ca="1" si="1803"/>
        <v>0</v>
      </c>
      <c r="BF928" s="44">
        <f t="shared" ca="1" si="1804"/>
        <v>2</v>
      </c>
      <c r="BG928" s="872">
        <f t="shared" ca="1" si="1805"/>
        <v>0</v>
      </c>
      <c r="BH928" s="922">
        <f t="shared" ca="1" si="1806"/>
        <v>1</v>
      </c>
    </row>
    <row r="929" spans="1:60" s="38" customFormat="1" ht="14.5">
      <c r="A929" s="990">
        <f t="shared" si="1778"/>
        <v>842</v>
      </c>
      <c r="B929" s="990">
        <v>1</v>
      </c>
      <c r="C929" s="990">
        <f t="shared" si="1780"/>
        <v>926</v>
      </c>
      <c r="E929" s="1243">
        <v>1</v>
      </c>
      <c r="F929" s="5"/>
      <c r="G929" s="5"/>
      <c r="H929" s="5"/>
      <c r="I929" s="335"/>
      <c r="J929" s="5"/>
      <c r="K929" s="5"/>
      <c r="L929" s="4"/>
      <c r="M929" s="4"/>
      <c r="N929" s="45"/>
      <c r="O929" s="45" t="s">
        <v>75</v>
      </c>
      <c r="P929" s="45"/>
      <c r="Q929" s="1844" t="str">
        <f>CHOOSE(2, "6722000003848", "HC Office FE/TTOC Administration Total Finance")</f>
        <v>HC Office FE/TTOC Administration Total Finance</v>
      </c>
      <c r="R929" s="2789">
        <v>13</v>
      </c>
      <c r="S929" s="2030">
        <v>13</v>
      </c>
      <c r="T929" s="2030">
        <v>13</v>
      </c>
      <c r="U929" s="2030">
        <v>13</v>
      </c>
      <c r="V929" s="2030">
        <v>12</v>
      </c>
      <c r="W929" s="2030">
        <v>13</v>
      </c>
      <c r="X929" s="2030">
        <v>14</v>
      </c>
      <c r="Y929" s="2030">
        <v>14</v>
      </c>
      <c r="Z929" s="2030">
        <v>13</v>
      </c>
      <c r="AA929" s="2030">
        <v>14</v>
      </c>
      <c r="AB929" s="2030">
        <v>16</v>
      </c>
      <c r="AC929" s="2030">
        <v>16</v>
      </c>
      <c r="AD929" s="1511">
        <f>T929</f>
        <v>13</v>
      </c>
      <c r="AE929" s="44">
        <f>W929</f>
        <v>13</v>
      </c>
      <c r="AF929" s="44">
        <f>Z929</f>
        <v>13</v>
      </c>
      <c r="AG929" s="44">
        <f>AC929</f>
        <v>16</v>
      </c>
      <c r="AH929" s="44">
        <f>AE929</f>
        <v>13</v>
      </c>
      <c r="AI929" s="44">
        <f>AG929</f>
        <v>16</v>
      </c>
      <c r="AJ929" s="44">
        <f>AI929</f>
        <v>16</v>
      </c>
      <c r="AL929" s="44">
        <f t="shared" ca="1" si="1786"/>
        <v>16</v>
      </c>
      <c r="AM929" s="44">
        <f t="shared" ca="1" si="1787"/>
        <v>0</v>
      </c>
      <c r="AN929" s="872">
        <f t="shared" ca="1" si="1788"/>
        <v>16</v>
      </c>
      <c r="AO929" s="922">
        <f t="shared" ca="1" si="1789"/>
        <v>0</v>
      </c>
      <c r="AP929" s="44">
        <f t="shared" ca="1" si="1790"/>
        <v>14</v>
      </c>
      <c r="AQ929" s="872">
        <f t="shared" ca="1" si="1791"/>
        <v>2</v>
      </c>
      <c r="AR929" s="922">
        <f t="shared" ca="1" si="1792"/>
        <v>1.1428571428571428</v>
      </c>
      <c r="AT929" s="44">
        <f t="shared" ca="1" si="1793"/>
        <v>16</v>
      </c>
      <c r="AU929" s="44">
        <f t="shared" ca="1" si="1794"/>
        <v>0</v>
      </c>
      <c r="AV929" s="872">
        <f t="shared" ca="1" si="1795"/>
        <v>16</v>
      </c>
      <c r="AW929" s="922">
        <f t="shared" ca="1" si="1796"/>
        <v>0</v>
      </c>
      <c r="AX929" s="44">
        <f t="shared" ca="1" si="1797"/>
        <v>14</v>
      </c>
      <c r="AY929" s="872">
        <f t="shared" ca="1" si="1798"/>
        <v>2</v>
      </c>
      <c r="AZ929" s="922">
        <f t="shared" ca="1" si="1799"/>
        <v>1.1428571428571428</v>
      </c>
      <c r="BB929" s="44">
        <f t="shared" ca="1" si="1800"/>
        <v>16</v>
      </c>
      <c r="BC929" s="44">
        <f t="shared" ca="1" si="1801"/>
        <v>0</v>
      </c>
      <c r="BD929" s="872">
        <f t="shared" ca="1" si="1802"/>
        <v>16</v>
      </c>
      <c r="BE929" s="922">
        <f t="shared" ca="1" si="1803"/>
        <v>0</v>
      </c>
      <c r="BF929" s="44">
        <f t="shared" ca="1" si="1804"/>
        <v>14</v>
      </c>
      <c r="BG929" s="872">
        <f t="shared" ca="1" si="1805"/>
        <v>2</v>
      </c>
      <c r="BH929" s="922">
        <f t="shared" ca="1" si="1806"/>
        <v>1.1428571428571428</v>
      </c>
    </row>
    <row r="930" spans="1:60" s="38" customFormat="1" ht="14.5">
      <c r="A930" s="990">
        <f t="shared" si="1778"/>
        <v>843</v>
      </c>
      <c r="B930" s="990">
        <v>1</v>
      </c>
      <c r="C930" s="990">
        <f t="shared" si="1780"/>
        <v>927</v>
      </c>
      <c r="E930" s="1243">
        <v>1</v>
      </c>
      <c r="F930" s="5"/>
      <c r="G930" s="5"/>
      <c r="H930" s="5"/>
      <c r="I930" s="335"/>
      <c r="J930" s="5"/>
      <c r="K930" s="5"/>
      <c r="L930" s="4"/>
      <c r="M930" s="4"/>
      <c r="N930" s="45"/>
      <c r="O930" s="45" t="s">
        <v>76</v>
      </c>
      <c r="P930" s="45"/>
      <c r="Q930" s="1844" t="str">
        <f>CHOOSE(2, "6722000003849", "HC Office FE/TTOC Administration Total HR")</f>
        <v>HC Office FE/TTOC Administration Total HR</v>
      </c>
      <c r="R930" s="2789">
        <v>3</v>
      </c>
      <c r="S930" s="2030">
        <v>3</v>
      </c>
      <c r="T930" s="2030">
        <v>3</v>
      </c>
      <c r="U930" s="2030">
        <v>4</v>
      </c>
      <c r="V930" s="2030">
        <v>4</v>
      </c>
      <c r="W930" s="2030">
        <v>3</v>
      </c>
      <c r="X930" s="2030">
        <v>3</v>
      </c>
      <c r="Y930" s="2030">
        <v>3</v>
      </c>
      <c r="Z930" s="2030">
        <v>4</v>
      </c>
      <c r="AA930" s="2030">
        <v>4</v>
      </c>
      <c r="AB930" s="2030">
        <v>4</v>
      </c>
      <c r="AC930" s="2030">
        <v>4</v>
      </c>
      <c r="AD930" s="1511">
        <f>T930</f>
        <v>3</v>
      </c>
      <c r="AE930" s="44">
        <f>W930</f>
        <v>3</v>
      </c>
      <c r="AF930" s="44">
        <f>Z930</f>
        <v>4</v>
      </c>
      <c r="AG930" s="44">
        <f>AC930</f>
        <v>4</v>
      </c>
      <c r="AH930" s="44">
        <f>AE930</f>
        <v>3</v>
      </c>
      <c r="AI930" s="44">
        <f>AG930</f>
        <v>4</v>
      </c>
      <c r="AJ930" s="44">
        <f>AI930</f>
        <v>4</v>
      </c>
      <c r="AL930" s="44">
        <f t="shared" ca="1" si="1786"/>
        <v>4</v>
      </c>
      <c r="AM930" s="44">
        <f t="shared" ca="1" si="1787"/>
        <v>0</v>
      </c>
      <c r="AN930" s="872">
        <f t="shared" ca="1" si="1788"/>
        <v>4</v>
      </c>
      <c r="AO930" s="922">
        <f t="shared" ca="1" si="1789"/>
        <v>0</v>
      </c>
      <c r="AP930" s="44">
        <f t="shared" ca="1" si="1790"/>
        <v>3</v>
      </c>
      <c r="AQ930" s="872">
        <f t="shared" ca="1" si="1791"/>
        <v>1</v>
      </c>
      <c r="AR930" s="922">
        <f t="shared" ca="1" si="1792"/>
        <v>1.3333333333333333</v>
      </c>
      <c r="AT930" s="44">
        <f t="shared" ca="1" si="1793"/>
        <v>4</v>
      </c>
      <c r="AU930" s="44">
        <f t="shared" ca="1" si="1794"/>
        <v>0</v>
      </c>
      <c r="AV930" s="872">
        <f t="shared" ca="1" si="1795"/>
        <v>4</v>
      </c>
      <c r="AW930" s="922">
        <f t="shared" ca="1" si="1796"/>
        <v>0</v>
      </c>
      <c r="AX930" s="44">
        <f t="shared" ca="1" si="1797"/>
        <v>3</v>
      </c>
      <c r="AY930" s="872">
        <f t="shared" ca="1" si="1798"/>
        <v>1</v>
      </c>
      <c r="AZ930" s="922">
        <f t="shared" ca="1" si="1799"/>
        <v>1.3333333333333333</v>
      </c>
      <c r="BB930" s="44">
        <f t="shared" ca="1" si="1800"/>
        <v>4</v>
      </c>
      <c r="BC930" s="44">
        <f t="shared" ca="1" si="1801"/>
        <v>0</v>
      </c>
      <c r="BD930" s="872">
        <f t="shared" ca="1" si="1802"/>
        <v>4</v>
      </c>
      <c r="BE930" s="922">
        <f t="shared" ca="1" si="1803"/>
        <v>0</v>
      </c>
      <c r="BF930" s="44">
        <f t="shared" ca="1" si="1804"/>
        <v>3</v>
      </c>
      <c r="BG930" s="872">
        <f t="shared" ca="1" si="1805"/>
        <v>1</v>
      </c>
      <c r="BH930" s="922">
        <f t="shared" ca="1" si="1806"/>
        <v>1.3333333333333333</v>
      </c>
    </row>
    <row r="931" spans="1:60" s="38" customFormat="1" ht="14.5">
      <c r="A931" s="990">
        <f t="shared" si="1778"/>
        <v>844</v>
      </c>
      <c r="B931" s="990">
        <v>1</v>
      </c>
      <c r="C931" s="990">
        <f t="shared" si="1780"/>
        <v>928</v>
      </c>
      <c r="E931" s="1243">
        <v>1</v>
      </c>
      <c r="F931" s="5"/>
      <c r="G931" s="5"/>
      <c r="H931" s="5"/>
      <c r="I931" s="335"/>
      <c r="J931" s="5"/>
      <c r="K931" s="5"/>
      <c r="L931" s="4"/>
      <c r="M931" s="4"/>
      <c r="N931" s="45"/>
      <c r="O931" s="45" t="s">
        <v>77</v>
      </c>
      <c r="P931" s="45"/>
      <c r="Q931" s="1844" t="str">
        <f>CHOOSE(2, "6722000003850", "HC Office FE/TTOC Administration Total Training")</f>
        <v>HC Office FE/TTOC Administration Total Training</v>
      </c>
      <c r="R931" s="2789">
        <v>0</v>
      </c>
      <c r="S931" s="2030">
        <v>0</v>
      </c>
      <c r="T931" s="2030">
        <v>0</v>
      </c>
      <c r="U931" s="2030">
        <v>0</v>
      </c>
      <c r="V931" s="2030">
        <v>0</v>
      </c>
      <c r="W931" s="2030">
        <v>0</v>
      </c>
      <c r="X931" s="2030">
        <v>0</v>
      </c>
      <c r="Y931" s="2030">
        <v>0</v>
      </c>
      <c r="Z931" s="2030">
        <v>0</v>
      </c>
      <c r="AA931" s="2030">
        <v>0</v>
      </c>
      <c r="AB931" s="2030">
        <v>0</v>
      </c>
      <c r="AC931" s="2030">
        <v>0</v>
      </c>
      <c r="AD931" s="1511">
        <f>T931</f>
        <v>0</v>
      </c>
      <c r="AE931" s="44">
        <f>W931</f>
        <v>0</v>
      </c>
      <c r="AF931" s="44">
        <f>Z931</f>
        <v>0</v>
      </c>
      <c r="AG931" s="44">
        <f>AC931</f>
        <v>0</v>
      </c>
      <c r="AH931" s="44">
        <f>AE931</f>
        <v>0</v>
      </c>
      <c r="AI931" s="44">
        <f>AG931</f>
        <v>0</v>
      </c>
      <c r="AJ931" s="44">
        <f>AI931</f>
        <v>0</v>
      </c>
      <c r="AL931" s="44">
        <f t="shared" ca="1" si="1786"/>
        <v>0</v>
      </c>
      <c r="AM931" s="44">
        <f t="shared" ca="1" si="1787"/>
        <v>0</v>
      </c>
      <c r="AN931" s="872">
        <f t="shared" ca="1" si="1788"/>
        <v>0</v>
      </c>
      <c r="AO931" s="922">
        <f t="shared" ca="1" si="1789"/>
        <v>0</v>
      </c>
      <c r="AP931" s="44">
        <f t="shared" ca="1" si="1790"/>
        <v>0</v>
      </c>
      <c r="AQ931" s="872">
        <f t="shared" ca="1" si="1791"/>
        <v>0</v>
      </c>
      <c r="AR931" s="922">
        <f t="shared" ca="1" si="1792"/>
        <v>0</v>
      </c>
      <c r="AT931" s="44">
        <f t="shared" ca="1" si="1793"/>
        <v>0</v>
      </c>
      <c r="AU931" s="44">
        <f t="shared" ca="1" si="1794"/>
        <v>0</v>
      </c>
      <c r="AV931" s="872">
        <f t="shared" ca="1" si="1795"/>
        <v>0</v>
      </c>
      <c r="AW931" s="922">
        <f t="shared" ca="1" si="1796"/>
        <v>0</v>
      </c>
      <c r="AX931" s="44">
        <f t="shared" ca="1" si="1797"/>
        <v>0</v>
      </c>
      <c r="AY931" s="872">
        <f t="shared" ca="1" si="1798"/>
        <v>0</v>
      </c>
      <c r="AZ931" s="922">
        <f t="shared" ca="1" si="1799"/>
        <v>0</v>
      </c>
      <c r="BB931" s="44">
        <f t="shared" ca="1" si="1800"/>
        <v>0</v>
      </c>
      <c r="BC931" s="44">
        <f t="shared" ca="1" si="1801"/>
        <v>0</v>
      </c>
      <c r="BD931" s="872">
        <f t="shared" ca="1" si="1802"/>
        <v>0</v>
      </c>
      <c r="BE931" s="922">
        <f t="shared" ca="1" si="1803"/>
        <v>0</v>
      </c>
      <c r="BF931" s="44">
        <f t="shared" ca="1" si="1804"/>
        <v>0</v>
      </c>
      <c r="BG931" s="872">
        <f t="shared" ca="1" si="1805"/>
        <v>0</v>
      </c>
      <c r="BH931" s="922">
        <f t="shared" ca="1" si="1806"/>
        <v>0</v>
      </c>
    </row>
    <row r="932" spans="1:60" s="38" customFormat="1" ht="14.5">
      <c r="A932" s="990">
        <f t="shared" si="1778"/>
        <v>845</v>
      </c>
      <c r="B932" s="990">
        <v>1</v>
      </c>
      <c r="C932" s="990">
        <f t="shared" si="1780"/>
        <v>929</v>
      </c>
      <c r="E932" s="1243">
        <v>1</v>
      </c>
      <c r="F932" s="5"/>
      <c r="G932" s="5"/>
      <c r="H932" s="5"/>
      <c r="I932" s="335"/>
      <c r="J932" s="5"/>
      <c r="K932" s="5"/>
      <c r="L932" s="4"/>
      <c r="M932" s="4"/>
      <c r="N932" s="45"/>
      <c r="O932" s="45" t="s">
        <v>11</v>
      </c>
      <c r="P932" s="45"/>
      <c r="Q932" s="1844" t="str">
        <f>CHOOSE(2, "6722000003851", "HC Office FE/TTOC Administration Total Others")</f>
        <v>HC Office FE/TTOC Administration Total Others</v>
      </c>
      <c r="R932" s="2789">
        <v>5</v>
      </c>
      <c r="S932" s="2030">
        <v>8</v>
      </c>
      <c r="T932" s="2030">
        <v>8</v>
      </c>
      <c r="U932" s="2030">
        <v>7</v>
      </c>
      <c r="V932" s="2030">
        <v>7</v>
      </c>
      <c r="W932" s="2030">
        <v>7</v>
      </c>
      <c r="X932" s="2030">
        <v>7</v>
      </c>
      <c r="Y932" s="2030">
        <v>9</v>
      </c>
      <c r="Z932" s="2030">
        <v>9</v>
      </c>
      <c r="AA932" s="2030">
        <v>9</v>
      </c>
      <c r="AB932" s="2030">
        <v>9</v>
      </c>
      <c r="AC932" s="2030">
        <v>8</v>
      </c>
      <c r="AD932" s="1511">
        <f>T932</f>
        <v>8</v>
      </c>
      <c r="AE932" s="44">
        <f>W932</f>
        <v>7</v>
      </c>
      <c r="AF932" s="44">
        <f>Z932</f>
        <v>9</v>
      </c>
      <c r="AG932" s="44">
        <f>AC932</f>
        <v>8</v>
      </c>
      <c r="AH932" s="44">
        <f>AE932</f>
        <v>7</v>
      </c>
      <c r="AI932" s="44">
        <f>AG932</f>
        <v>8</v>
      </c>
      <c r="AJ932" s="44">
        <f>AI932</f>
        <v>8</v>
      </c>
      <c r="AL932" s="44">
        <f t="shared" ca="1" si="1786"/>
        <v>8</v>
      </c>
      <c r="AM932" s="44">
        <f t="shared" ca="1" si="1787"/>
        <v>0</v>
      </c>
      <c r="AN932" s="872">
        <f t="shared" ca="1" si="1788"/>
        <v>8</v>
      </c>
      <c r="AO932" s="922">
        <f t="shared" ca="1" si="1789"/>
        <v>0</v>
      </c>
      <c r="AP932" s="44">
        <f t="shared" ca="1" si="1790"/>
        <v>5</v>
      </c>
      <c r="AQ932" s="872">
        <f t="shared" ca="1" si="1791"/>
        <v>3</v>
      </c>
      <c r="AR932" s="922">
        <f t="shared" ca="1" si="1792"/>
        <v>1.6</v>
      </c>
      <c r="AT932" s="44">
        <f t="shared" ca="1" si="1793"/>
        <v>8</v>
      </c>
      <c r="AU932" s="44">
        <f t="shared" ca="1" si="1794"/>
        <v>0</v>
      </c>
      <c r="AV932" s="872">
        <f t="shared" ca="1" si="1795"/>
        <v>8</v>
      </c>
      <c r="AW932" s="922">
        <f t="shared" ca="1" si="1796"/>
        <v>0</v>
      </c>
      <c r="AX932" s="44">
        <f t="shared" ca="1" si="1797"/>
        <v>5</v>
      </c>
      <c r="AY932" s="872">
        <f t="shared" ca="1" si="1798"/>
        <v>3</v>
      </c>
      <c r="AZ932" s="922">
        <f t="shared" ca="1" si="1799"/>
        <v>1.6</v>
      </c>
      <c r="BB932" s="44">
        <f t="shared" ca="1" si="1800"/>
        <v>8</v>
      </c>
      <c r="BC932" s="44">
        <f t="shared" ca="1" si="1801"/>
        <v>0</v>
      </c>
      <c r="BD932" s="872">
        <f t="shared" ca="1" si="1802"/>
        <v>8</v>
      </c>
      <c r="BE932" s="922">
        <f t="shared" ca="1" si="1803"/>
        <v>0</v>
      </c>
      <c r="BF932" s="44">
        <f t="shared" ca="1" si="1804"/>
        <v>5</v>
      </c>
      <c r="BG932" s="872">
        <f t="shared" ca="1" si="1805"/>
        <v>3</v>
      </c>
      <c r="BH932" s="922">
        <f t="shared" ca="1" si="1806"/>
        <v>1.6</v>
      </c>
    </row>
    <row r="933" spans="1:60" s="38" customFormat="1" ht="14.5">
      <c r="A933" s="990">
        <f t="shared" si="1778"/>
        <v>846</v>
      </c>
      <c r="B933" s="990">
        <v>1</v>
      </c>
      <c r="C933" s="990">
        <f t="shared" si="1780"/>
        <v>930</v>
      </c>
      <c r="D933" s="1121" t="s">
        <v>887</v>
      </c>
      <c r="E933" s="1243">
        <v>1</v>
      </c>
      <c r="F933" s="5"/>
      <c r="G933" s="5"/>
      <c r="H933" s="5"/>
      <c r="I933" s="335"/>
      <c r="J933" s="324" t="s">
        <v>332</v>
      </c>
      <c r="K933" s="48"/>
      <c r="L933" s="48"/>
      <c r="M933" s="47"/>
      <c r="N933" s="47"/>
      <c r="O933" s="47"/>
      <c r="P933" s="323"/>
      <c r="Q933" s="1851" t="str">
        <f>CHOOSE(2, "6722000003852", "HC Office FE/TTOC Logistics Total")</f>
        <v>HC Office FE/TTOC Logistics Total</v>
      </c>
      <c r="R933" s="325">
        <f>SUM(R934:R936)</f>
        <v>13</v>
      </c>
      <c r="S933" s="325">
        <f t="shared" ref="S933:AC933" si="1815">SUM(S934:S936)</f>
        <v>13</v>
      </c>
      <c r="T933" s="325">
        <f t="shared" si="1815"/>
        <v>15</v>
      </c>
      <c r="U933" s="325">
        <f t="shared" si="1815"/>
        <v>15</v>
      </c>
      <c r="V933" s="325">
        <f t="shared" si="1815"/>
        <v>15</v>
      </c>
      <c r="W933" s="325">
        <f t="shared" si="1815"/>
        <v>15</v>
      </c>
      <c r="X933" s="325">
        <f t="shared" si="1815"/>
        <v>15</v>
      </c>
      <c r="Y933" s="325">
        <f t="shared" si="1815"/>
        <v>15</v>
      </c>
      <c r="Z933" s="325">
        <f t="shared" si="1815"/>
        <v>16</v>
      </c>
      <c r="AA933" s="325">
        <f t="shared" si="1815"/>
        <v>16</v>
      </c>
      <c r="AB933" s="325">
        <f t="shared" si="1815"/>
        <v>16</v>
      </c>
      <c r="AC933" s="325">
        <f t="shared" si="1815"/>
        <v>16</v>
      </c>
      <c r="AD933" s="1278">
        <f t="shared" ref="AD933:AJ933" si="1816">SUM(AD934:AD936)</f>
        <v>15</v>
      </c>
      <c r="AE933" s="46">
        <f t="shared" si="1816"/>
        <v>15</v>
      </c>
      <c r="AF933" s="46">
        <f t="shared" si="1816"/>
        <v>16</v>
      </c>
      <c r="AG933" s="46">
        <f t="shared" si="1816"/>
        <v>16</v>
      </c>
      <c r="AH933" s="46">
        <f t="shared" si="1816"/>
        <v>15</v>
      </c>
      <c r="AI933" s="46">
        <f t="shared" si="1816"/>
        <v>16</v>
      </c>
      <c r="AJ933" s="46">
        <f t="shared" si="1816"/>
        <v>16</v>
      </c>
      <c r="AL933" s="325">
        <f t="shared" ca="1" si="1786"/>
        <v>16</v>
      </c>
      <c r="AM933" s="325">
        <f t="shared" ca="1" si="1787"/>
        <v>0</v>
      </c>
      <c r="AN933" s="915">
        <f t="shared" ca="1" si="1788"/>
        <v>16</v>
      </c>
      <c r="AO933" s="976">
        <f t="shared" ca="1" si="1789"/>
        <v>0</v>
      </c>
      <c r="AP933" s="325">
        <f t="shared" ca="1" si="1790"/>
        <v>14</v>
      </c>
      <c r="AQ933" s="915">
        <f t="shared" ca="1" si="1791"/>
        <v>2</v>
      </c>
      <c r="AR933" s="976">
        <f t="shared" ca="1" si="1792"/>
        <v>1.1428571428571428</v>
      </c>
      <c r="AT933" s="325">
        <f t="shared" ca="1" si="1793"/>
        <v>16</v>
      </c>
      <c r="AU933" s="325">
        <f t="shared" ca="1" si="1794"/>
        <v>0</v>
      </c>
      <c r="AV933" s="915">
        <f t="shared" ca="1" si="1795"/>
        <v>16</v>
      </c>
      <c r="AW933" s="976">
        <f t="shared" ca="1" si="1796"/>
        <v>0</v>
      </c>
      <c r="AX933" s="325">
        <f t="shared" ca="1" si="1797"/>
        <v>14</v>
      </c>
      <c r="AY933" s="915">
        <f t="shared" ca="1" si="1798"/>
        <v>2</v>
      </c>
      <c r="AZ933" s="976">
        <f t="shared" ca="1" si="1799"/>
        <v>1.1428571428571428</v>
      </c>
      <c r="BB933" s="325">
        <f t="shared" ca="1" si="1800"/>
        <v>16</v>
      </c>
      <c r="BC933" s="325">
        <f t="shared" ca="1" si="1801"/>
        <v>0</v>
      </c>
      <c r="BD933" s="915">
        <f t="shared" ca="1" si="1802"/>
        <v>16</v>
      </c>
      <c r="BE933" s="976">
        <f t="shared" ca="1" si="1803"/>
        <v>0</v>
      </c>
      <c r="BF933" s="325">
        <f t="shared" ca="1" si="1804"/>
        <v>14</v>
      </c>
      <c r="BG933" s="915">
        <f t="shared" ca="1" si="1805"/>
        <v>2</v>
      </c>
      <c r="BH933" s="976">
        <f t="shared" ca="1" si="1806"/>
        <v>1.1428571428571428</v>
      </c>
    </row>
    <row r="934" spans="1:60" s="38" customFormat="1" ht="14.5">
      <c r="A934" s="990">
        <f t="shared" si="1778"/>
        <v>847</v>
      </c>
      <c r="B934" s="990">
        <v>1</v>
      </c>
      <c r="C934" s="990">
        <f t="shared" si="1780"/>
        <v>931</v>
      </c>
      <c r="E934" s="1243">
        <v>1</v>
      </c>
      <c r="F934" s="5"/>
      <c r="G934" s="5"/>
      <c r="H934" s="5"/>
      <c r="I934" s="335"/>
      <c r="J934" s="5"/>
      <c r="K934" s="5"/>
      <c r="L934" s="4"/>
      <c r="M934" s="4"/>
      <c r="N934" s="45"/>
      <c r="O934" s="45" t="s">
        <v>79</v>
      </c>
      <c r="P934" s="45"/>
      <c r="Q934" s="1844" t="str">
        <f>CHOOSE(2, "6722000003853", "HC Office FE/TTOC Logistics Total Administration")</f>
        <v>HC Office FE/TTOC Logistics Total Administration</v>
      </c>
      <c r="R934" s="2789">
        <v>4</v>
      </c>
      <c r="S934" s="2030">
        <v>4</v>
      </c>
      <c r="T934" s="2030">
        <v>5</v>
      </c>
      <c r="U934" s="2030">
        <v>5</v>
      </c>
      <c r="V934" s="2030">
        <v>5</v>
      </c>
      <c r="W934" s="2030">
        <v>6</v>
      </c>
      <c r="X934" s="2030">
        <v>6</v>
      </c>
      <c r="Y934" s="2030">
        <v>6</v>
      </c>
      <c r="Z934" s="2030">
        <v>7</v>
      </c>
      <c r="AA934" s="2030">
        <v>7</v>
      </c>
      <c r="AB934" s="2030">
        <v>7</v>
      </c>
      <c r="AC934" s="2030">
        <v>7</v>
      </c>
      <c r="AD934" s="1511">
        <f>T934</f>
        <v>5</v>
      </c>
      <c r="AE934" s="44">
        <f>W934</f>
        <v>6</v>
      </c>
      <c r="AF934" s="44">
        <f>Z934</f>
        <v>7</v>
      </c>
      <c r="AG934" s="44">
        <f>AC934</f>
        <v>7</v>
      </c>
      <c r="AH934" s="44">
        <f>AE934</f>
        <v>6</v>
      </c>
      <c r="AI934" s="44">
        <f>AG934</f>
        <v>7</v>
      </c>
      <c r="AJ934" s="44">
        <f>AI934</f>
        <v>7</v>
      </c>
      <c r="AL934" s="44">
        <f t="shared" ca="1" si="1786"/>
        <v>7</v>
      </c>
      <c r="AM934" s="44">
        <f t="shared" ca="1" si="1787"/>
        <v>0</v>
      </c>
      <c r="AN934" s="872">
        <f t="shared" ca="1" si="1788"/>
        <v>7</v>
      </c>
      <c r="AO934" s="922">
        <f t="shared" ca="1" si="1789"/>
        <v>0</v>
      </c>
      <c r="AP934" s="44">
        <f t="shared" ca="1" si="1790"/>
        <v>4</v>
      </c>
      <c r="AQ934" s="872">
        <f t="shared" ca="1" si="1791"/>
        <v>3</v>
      </c>
      <c r="AR934" s="922">
        <f t="shared" ca="1" si="1792"/>
        <v>1.75</v>
      </c>
      <c r="AT934" s="44">
        <f t="shared" ca="1" si="1793"/>
        <v>7</v>
      </c>
      <c r="AU934" s="44">
        <f t="shared" ca="1" si="1794"/>
        <v>0</v>
      </c>
      <c r="AV934" s="872">
        <f t="shared" ca="1" si="1795"/>
        <v>7</v>
      </c>
      <c r="AW934" s="922">
        <f t="shared" ca="1" si="1796"/>
        <v>0</v>
      </c>
      <c r="AX934" s="44">
        <f t="shared" ca="1" si="1797"/>
        <v>4</v>
      </c>
      <c r="AY934" s="872">
        <f t="shared" ca="1" si="1798"/>
        <v>3</v>
      </c>
      <c r="AZ934" s="922">
        <f t="shared" ca="1" si="1799"/>
        <v>1.75</v>
      </c>
      <c r="BB934" s="44">
        <f t="shared" ca="1" si="1800"/>
        <v>7</v>
      </c>
      <c r="BC934" s="44">
        <f t="shared" ca="1" si="1801"/>
        <v>0</v>
      </c>
      <c r="BD934" s="872">
        <f t="shared" ca="1" si="1802"/>
        <v>7</v>
      </c>
      <c r="BE934" s="922">
        <f t="shared" ca="1" si="1803"/>
        <v>0</v>
      </c>
      <c r="BF934" s="44">
        <f t="shared" ca="1" si="1804"/>
        <v>4</v>
      </c>
      <c r="BG934" s="872">
        <f t="shared" ca="1" si="1805"/>
        <v>3</v>
      </c>
      <c r="BH934" s="922">
        <f t="shared" ca="1" si="1806"/>
        <v>1.75</v>
      </c>
    </row>
    <row r="935" spans="1:60" s="38" customFormat="1" ht="14.5">
      <c r="A935" s="990">
        <f t="shared" si="1778"/>
        <v>848</v>
      </c>
      <c r="B935" s="990">
        <v>1</v>
      </c>
      <c r="C935" s="990">
        <f t="shared" si="1780"/>
        <v>932</v>
      </c>
      <c r="E935" s="1243">
        <v>1</v>
      </c>
      <c r="F935" s="5"/>
      <c r="G935" s="5"/>
      <c r="H935" s="5"/>
      <c r="I935" s="335"/>
      <c r="J935" s="5"/>
      <c r="K935" s="5"/>
      <c r="L935" s="4"/>
      <c r="M935" s="4"/>
      <c r="N935" s="45"/>
      <c r="O935" s="45" t="s">
        <v>80</v>
      </c>
      <c r="P935" s="45"/>
      <c r="Q935" s="1844" t="str">
        <f>CHOOSE(2, "6722000003854", "HC Office FE/TTOC Logistics Total Warehouse")</f>
        <v>HC Office FE/TTOC Logistics Total Warehouse</v>
      </c>
      <c r="R935" s="2789">
        <v>9</v>
      </c>
      <c r="S935" s="2030">
        <v>9</v>
      </c>
      <c r="T935" s="2030">
        <v>10</v>
      </c>
      <c r="U935" s="2030">
        <v>10</v>
      </c>
      <c r="V935" s="2030">
        <v>10</v>
      </c>
      <c r="W935" s="2030">
        <v>9</v>
      </c>
      <c r="X935" s="2030">
        <v>9</v>
      </c>
      <c r="Y935" s="2030">
        <v>9</v>
      </c>
      <c r="Z935" s="2030">
        <v>9</v>
      </c>
      <c r="AA935" s="2030">
        <v>9</v>
      </c>
      <c r="AB935" s="2030">
        <v>9</v>
      </c>
      <c r="AC935" s="2030">
        <v>9</v>
      </c>
      <c r="AD935" s="1511">
        <f>T935</f>
        <v>10</v>
      </c>
      <c r="AE935" s="44">
        <f>W935</f>
        <v>9</v>
      </c>
      <c r="AF935" s="44">
        <f>Z935</f>
        <v>9</v>
      </c>
      <c r="AG935" s="44">
        <f>AC935</f>
        <v>9</v>
      </c>
      <c r="AH935" s="44">
        <f>AE935</f>
        <v>9</v>
      </c>
      <c r="AI935" s="44">
        <f>AG935</f>
        <v>9</v>
      </c>
      <c r="AJ935" s="44">
        <f>AI935</f>
        <v>9</v>
      </c>
      <c r="AL935" s="44">
        <f t="shared" ca="1" si="1786"/>
        <v>9</v>
      </c>
      <c r="AM935" s="44">
        <f t="shared" ca="1" si="1787"/>
        <v>0</v>
      </c>
      <c r="AN935" s="872">
        <f t="shared" ca="1" si="1788"/>
        <v>9</v>
      </c>
      <c r="AO935" s="922">
        <f t="shared" ca="1" si="1789"/>
        <v>0</v>
      </c>
      <c r="AP935" s="44">
        <f t="shared" ca="1" si="1790"/>
        <v>10</v>
      </c>
      <c r="AQ935" s="872">
        <f t="shared" ca="1" si="1791"/>
        <v>-1</v>
      </c>
      <c r="AR935" s="922">
        <f t="shared" ca="1" si="1792"/>
        <v>0.9</v>
      </c>
      <c r="AT935" s="44">
        <f t="shared" ca="1" si="1793"/>
        <v>9</v>
      </c>
      <c r="AU935" s="44">
        <f t="shared" ca="1" si="1794"/>
        <v>0</v>
      </c>
      <c r="AV935" s="872">
        <f t="shared" ca="1" si="1795"/>
        <v>9</v>
      </c>
      <c r="AW935" s="922">
        <f t="shared" ca="1" si="1796"/>
        <v>0</v>
      </c>
      <c r="AX935" s="44">
        <f t="shared" ca="1" si="1797"/>
        <v>10</v>
      </c>
      <c r="AY935" s="872">
        <f t="shared" ca="1" si="1798"/>
        <v>-1</v>
      </c>
      <c r="AZ935" s="922">
        <f t="shared" ca="1" si="1799"/>
        <v>0.9</v>
      </c>
      <c r="BB935" s="44">
        <f t="shared" ca="1" si="1800"/>
        <v>9</v>
      </c>
      <c r="BC935" s="44">
        <f t="shared" ca="1" si="1801"/>
        <v>0</v>
      </c>
      <c r="BD935" s="872">
        <f t="shared" ca="1" si="1802"/>
        <v>9</v>
      </c>
      <c r="BE935" s="922">
        <f t="shared" ca="1" si="1803"/>
        <v>0</v>
      </c>
      <c r="BF935" s="44">
        <f t="shared" ca="1" si="1804"/>
        <v>10</v>
      </c>
      <c r="BG935" s="872">
        <f t="shared" ca="1" si="1805"/>
        <v>-1</v>
      </c>
      <c r="BH935" s="922">
        <f t="shared" ca="1" si="1806"/>
        <v>0.9</v>
      </c>
    </row>
    <row r="936" spans="1:60" s="38" customFormat="1" ht="14.5">
      <c r="A936" s="990">
        <f t="shared" si="1778"/>
        <v>849</v>
      </c>
      <c r="B936" s="990">
        <v>1</v>
      </c>
      <c r="C936" s="990">
        <f t="shared" si="1780"/>
        <v>933</v>
      </c>
      <c r="E936" s="1243">
        <v>1</v>
      </c>
      <c r="F936" s="5"/>
      <c r="G936" s="5"/>
      <c r="H936" s="5"/>
      <c r="I936" s="336"/>
      <c r="J936" s="3"/>
      <c r="K936" s="3"/>
      <c r="L936" s="2"/>
      <c r="M936" s="2"/>
      <c r="N936" s="43"/>
      <c r="O936" s="43" t="s">
        <v>81</v>
      </c>
      <c r="P936" s="43"/>
      <c r="Q936" s="1844" t="str">
        <f>CHOOSE(2, "6722000003855", "HC Office FE/TTOC Logistics Total Workshop")</f>
        <v>HC Office FE/TTOC Logistics Total Workshop</v>
      </c>
      <c r="R936" s="2029">
        <v>0</v>
      </c>
      <c r="S936" s="2029">
        <v>0</v>
      </c>
      <c r="T936" s="2029">
        <v>0</v>
      </c>
      <c r="U936" s="2029">
        <v>0</v>
      </c>
      <c r="V936" s="2029">
        <v>0</v>
      </c>
      <c r="W936" s="2029">
        <v>0</v>
      </c>
      <c r="X936" s="2029">
        <v>0</v>
      </c>
      <c r="Y936" s="2029">
        <v>0</v>
      </c>
      <c r="Z936" s="2029">
        <v>0</v>
      </c>
      <c r="AA936" s="2029">
        <v>0</v>
      </c>
      <c r="AB936" s="2029">
        <v>0</v>
      </c>
      <c r="AC936" s="2029">
        <v>0</v>
      </c>
      <c r="AD936" s="1554">
        <f>T936</f>
        <v>0</v>
      </c>
      <c r="AE936" s="42">
        <f>W936</f>
        <v>0</v>
      </c>
      <c r="AF936" s="42">
        <f>Z936</f>
        <v>0</v>
      </c>
      <c r="AG936" s="42">
        <f>AC936</f>
        <v>0</v>
      </c>
      <c r="AH936" s="42">
        <f>AE936</f>
        <v>0</v>
      </c>
      <c r="AI936" s="42">
        <f>AG936</f>
        <v>0</v>
      </c>
      <c r="AJ936" s="42">
        <f>AI936</f>
        <v>0</v>
      </c>
      <c r="AL936" s="42">
        <f t="shared" ca="1" si="1786"/>
        <v>0</v>
      </c>
      <c r="AM936" s="42">
        <f t="shared" ca="1" si="1787"/>
        <v>0</v>
      </c>
      <c r="AN936" s="914">
        <f t="shared" ca="1" si="1788"/>
        <v>0</v>
      </c>
      <c r="AO936" s="975">
        <f t="shared" ca="1" si="1789"/>
        <v>0</v>
      </c>
      <c r="AP936" s="42">
        <f t="shared" ca="1" si="1790"/>
        <v>0</v>
      </c>
      <c r="AQ936" s="914">
        <f t="shared" ca="1" si="1791"/>
        <v>0</v>
      </c>
      <c r="AR936" s="975">
        <f t="shared" ca="1" si="1792"/>
        <v>0</v>
      </c>
      <c r="AT936" s="42">
        <f t="shared" ca="1" si="1793"/>
        <v>0</v>
      </c>
      <c r="AU936" s="42">
        <f t="shared" ca="1" si="1794"/>
        <v>0</v>
      </c>
      <c r="AV936" s="914">
        <f t="shared" ca="1" si="1795"/>
        <v>0</v>
      </c>
      <c r="AW936" s="975">
        <f t="shared" ca="1" si="1796"/>
        <v>0</v>
      </c>
      <c r="AX936" s="42">
        <f t="shared" ca="1" si="1797"/>
        <v>0</v>
      </c>
      <c r="AY936" s="914">
        <f t="shared" ca="1" si="1798"/>
        <v>0</v>
      </c>
      <c r="AZ936" s="975">
        <f t="shared" ca="1" si="1799"/>
        <v>0</v>
      </c>
      <c r="BB936" s="42">
        <f t="shared" ca="1" si="1800"/>
        <v>0</v>
      </c>
      <c r="BC936" s="42">
        <f t="shared" ca="1" si="1801"/>
        <v>0</v>
      </c>
      <c r="BD936" s="914">
        <f t="shared" ca="1" si="1802"/>
        <v>0</v>
      </c>
      <c r="BE936" s="975">
        <f t="shared" ca="1" si="1803"/>
        <v>0</v>
      </c>
      <c r="BF936" s="42">
        <f t="shared" ca="1" si="1804"/>
        <v>0</v>
      </c>
      <c r="BG936" s="914">
        <f t="shared" ca="1" si="1805"/>
        <v>0</v>
      </c>
      <c r="BH936" s="975">
        <f t="shared" ca="1" si="1806"/>
        <v>0</v>
      </c>
    </row>
    <row r="937" spans="1:60" s="38" customFormat="1" ht="14.5">
      <c r="A937" s="990">
        <f t="shared" si="1778"/>
        <v>850</v>
      </c>
      <c r="B937" s="990">
        <v>1</v>
      </c>
      <c r="C937" s="990">
        <f t="shared" si="1780"/>
        <v>934</v>
      </c>
      <c r="D937" s="1121" t="s">
        <v>887</v>
      </c>
      <c r="E937" s="1243">
        <v>1</v>
      </c>
      <c r="F937" s="5"/>
      <c r="G937" s="5"/>
      <c r="H937" s="5"/>
      <c r="I937" s="318" t="s">
        <v>296</v>
      </c>
      <c r="J937" s="319"/>
      <c r="K937" s="320"/>
      <c r="L937" s="320"/>
      <c r="M937" s="319"/>
      <c r="N937" s="319"/>
      <c r="O937" s="319"/>
      <c r="P937" s="319"/>
      <c r="Q937" s="1855" t="str">
        <f>CHOOSE(2, "6722000003856", "HC Office Semi-Full-Time/Part-Time Employees /Contractors")</f>
        <v>HC Office Semi-Full-Time/Part-Time Employees /Contractors</v>
      </c>
      <c r="R937" s="2050">
        <v>18</v>
      </c>
      <c r="S937" s="2050">
        <v>18</v>
      </c>
      <c r="T937" s="2050">
        <v>17</v>
      </c>
      <c r="U937" s="2050">
        <v>16</v>
      </c>
      <c r="V937" s="2050">
        <v>16</v>
      </c>
      <c r="W937" s="2050">
        <v>21</v>
      </c>
      <c r="X937" s="2050">
        <v>24</v>
      </c>
      <c r="Y937" s="2050">
        <v>24</v>
      </c>
      <c r="Z937" s="2050">
        <v>26</v>
      </c>
      <c r="AA937" s="2050">
        <v>27</v>
      </c>
      <c r="AB937" s="2050">
        <v>27</v>
      </c>
      <c r="AC937" s="2050">
        <v>27</v>
      </c>
      <c r="AD937" s="1555">
        <f>T937</f>
        <v>17</v>
      </c>
      <c r="AE937" s="322">
        <f>W937</f>
        <v>21</v>
      </c>
      <c r="AF937" s="322">
        <f>Z937</f>
        <v>26</v>
      </c>
      <c r="AG937" s="322">
        <f>AC937</f>
        <v>27</v>
      </c>
      <c r="AH937" s="322">
        <f>AE937</f>
        <v>21</v>
      </c>
      <c r="AI937" s="322">
        <f>AG937</f>
        <v>27</v>
      </c>
      <c r="AJ937" s="322">
        <f>AI937</f>
        <v>27</v>
      </c>
      <c r="AL937" s="2527">
        <f t="shared" ca="1" si="1786"/>
        <v>27</v>
      </c>
      <c r="AM937" s="2527">
        <f t="shared" ca="1" si="1787"/>
        <v>0</v>
      </c>
      <c r="AN937" s="2528">
        <f t="shared" ca="1" si="1788"/>
        <v>27</v>
      </c>
      <c r="AO937" s="2529">
        <f t="shared" ca="1" si="1789"/>
        <v>0</v>
      </c>
      <c r="AP937" s="2527">
        <f t="shared" ca="1" si="1790"/>
        <v>17</v>
      </c>
      <c r="AQ937" s="2528">
        <f t="shared" ca="1" si="1791"/>
        <v>10</v>
      </c>
      <c r="AR937" s="2529">
        <f t="shared" ca="1" si="1792"/>
        <v>1.588235294117647</v>
      </c>
      <c r="AT937" s="2527">
        <f t="shared" ca="1" si="1793"/>
        <v>27</v>
      </c>
      <c r="AU937" s="2527">
        <f t="shared" ca="1" si="1794"/>
        <v>0</v>
      </c>
      <c r="AV937" s="2528">
        <f t="shared" ca="1" si="1795"/>
        <v>27</v>
      </c>
      <c r="AW937" s="2529">
        <f t="shared" ca="1" si="1796"/>
        <v>0</v>
      </c>
      <c r="AX937" s="2527">
        <f t="shared" ca="1" si="1797"/>
        <v>17</v>
      </c>
      <c r="AY937" s="2528">
        <f t="shared" ca="1" si="1798"/>
        <v>10</v>
      </c>
      <c r="AZ937" s="2529">
        <f t="shared" ca="1" si="1799"/>
        <v>1.588235294117647</v>
      </c>
      <c r="BB937" s="2527">
        <f t="shared" ca="1" si="1800"/>
        <v>27</v>
      </c>
      <c r="BC937" s="2527">
        <f t="shared" ca="1" si="1801"/>
        <v>0</v>
      </c>
      <c r="BD937" s="2528">
        <f t="shared" ca="1" si="1802"/>
        <v>27</v>
      </c>
      <c r="BE937" s="2529">
        <f t="shared" ca="1" si="1803"/>
        <v>0</v>
      </c>
      <c r="BF937" s="2527">
        <f t="shared" ca="1" si="1804"/>
        <v>17</v>
      </c>
      <c r="BG937" s="2528">
        <f t="shared" ca="1" si="1805"/>
        <v>10</v>
      </c>
      <c r="BH937" s="2529">
        <f t="shared" ca="1" si="1806"/>
        <v>1.588235294117647</v>
      </c>
    </row>
    <row r="938" spans="1:60" s="38" customFormat="1" ht="14.5">
      <c r="A938" s="990">
        <f t="shared" si="1778"/>
        <v>851</v>
      </c>
      <c r="B938" s="990">
        <v>1</v>
      </c>
      <c r="C938" s="990">
        <f t="shared" si="1780"/>
        <v>935</v>
      </c>
      <c r="D938" s="1121" t="s">
        <v>887</v>
      </c>
      <c r="E938" s="1243">
        <v>1</v>
      </c>
      <c r="F938" s="5"/>
      <c r="G938" s="5"/>
      <c r="H938" s="5"/>
      <c r="I938" s="5"/>
      <c r="J938" s="4"/>
      <c r="K938" s="5"/>
      <c r="L938" s="5"/>
      <c r="M938" s="4"/>
      <c r="N938" s="4"/>
      <c r="O938" s="4"/>
      <c r="P938" s="4"/>
      <c r="Q938" s="1839" t="str">
        <f>CHOOSE(2, "6722000003857", "▷ Blank 28")</f>
        <v>▷ Blank 28</v>
      </c>
      <c r="R938" s="2225"/>
      <c r="S938" s="1151"/>
      <c r="T938" s="1151"/>
      <c r="U938" s="1151"/>
      <c r="V938" s="1151"/>
      <c r="W938" s="1151"/>
      <c r="X938" s="1151"/>
      <c r="Y938" s="1151"/>
      <c r="Z938" s="1151"/>
      <c r="AA938" s="1151"/>
    </row>
    <row r="939" spans="1:60" s="38" customFormat="1" ht="14.5">
      <c r="A939" s="990">
        <f t="shared" si="1778"/>
        <v>852</v>
      </c>
      <c r="B939" s="990">
        <v>1</v>
      </c>
      <c r="C939" s="990">
        <f t="shared" si="1780"/>
        <v>936</v>
      </c>
      <c r="D939" s="1121" t="s">
        <v>887</v>
      </c>
      <c r="E939" s="1243">
        <v>1</v>
      </c>
      <c r="F939" s="5"/>
      <c r="G939" s="5"/>
      <c r="H939" s="5" t="s">
        <v>484</v>
      </c>
      <c r="I939" s="5"/>
      <c r="J939" s="4"/>
      <c r="K939" s="5"/>
      <c r="L939" s="5"/>
      <c r="M939" s="4"/>
      <c r="N939" s="4"/>
      <c r="O939" s="4"/>
      <c r="P939" s="4"/>
      <c r="Q939" s="1839" t="str">
        <f>CHOOSE(2, "6722000003858", "HC (2) PP")</f>
        <v>HC (2) PP</v>
      </c>
      <c r="R939" s="2225"/>
      <c r="S939" s="1151"/>
      <c r="T939" s="1151"/>
      <c r="U939" s="1151"/>
      <c r="V939" s="1151"/>
      <c r="W939" s="1151"/>
      <c r="X939" s="1151"/>
      <c r="Y939" s="1151"/>
      <c r="Z939" s="1151"/>
      <c r="AA939" s="1151"/>
    </row>
    <row r="940" spans="1:60" s="345" customFormat="1" ht="14.5">
      <c r="A940" s="990">
        <f t="shared" si="1778"/>
        <v>853</v>
      </c>
      <c r="B940" s="990">
        <v>1</v>
      </c>
      <c r="C940" s="990">
        <f t="shared" si="1780"/>
        <v>937</v>
      </c>
      <c r="D940" s="1121" t="s">
        <v>887</v>
      </c>
      <c r="E940" s="1243">
        <v>1</v>
      </c>
      <c r="F940" s="340"/>
      <c r="G940" s="340"/>
      <c r="H940" s="341"/>
      <c r="I940" s="352" t="s">
        <v>328</v>
      </c>
      <c r="J940" s="353"/>
      <c r="K940" s="354"/>
      <c r="L940" s="354"/>
      <c r="M940" s="354"/>
      <c r="N940" s="354"/>
      <c r="O940" s="354"/>
      <c r="P940" s="1502"/>
      <c r="Q940" s="1887" t="str">
        <f>CHOOSE(2, "6722000003859", "HC PP FE/TTOC")</f>
        <v>HC PP FE/TTOC</v>
      </c>
      <c r="R940" s="2121">
        <f>R941+R946+R952+R957+R963</f>
        <v>458</v>
      </c>
      <c r="S940" s="2008">
        <f t="shared" ref="S940:AC940" si="1817">S941+S946+S952+S957+S963</f>
        <v>457</v>
      </c>
      <c r="T940" s="2008">
        <f t="shared" si="1817"/>
        <v>454</v>
      </c>
      <c r="U940" s="2008">
        <f t="shared" si="1817"/>
        <v>460</v>
      </c>
      <c r="V940" s="2008">
        <f t="shared" si="1817"/>
        <v>459</v>
      </c>
      <c r="W940" s="2008">
        <f t="shared" si="1817"/>
        <v>459</v>
      </c>
      <c r="X940" s="2008">
        <f t="shared" si="1817"/>
        <v>463</v>
      </c>
      <c r="Y940" s="2008">
        <f t="shared" si="1817"/>
        <v>465</v>
      </c>
      <c r="Z940" s="2008">
        <f t="shared" si="1817"/>
        <v>463</v>
      </c>
      <c r="AA940" s="2008">
        <f t="shared" si="1817"/>
        <v>467</v>
      </c>
      <c r="AB940" s="2008">
        <f t="shared" si="1817"/>
        <v>467</v>
      </c>
      <c r="AC940" s="2008">
        <f t="shared" si="1817"/>
        <v>465</v>
      </c>
      <c r="AD940" s="1526">
        <f t="shared" ref="AD940:AJ940" si="1818">AD941+AD946+AD952+AD957+AD963</f>
        <v>454</v>
      </c>
      <c r="AE940" s="129">
        <f t="shared" si="1818"/>
        <v>459</v>
      </c>
      <c r="AF940" s="129">
        <f t="shared" si="1818"/>
        <v>463</v>
      </c>
      <c r="AG940" s="129">
        <f t="shared" si="1818"/>
        <v>465</v>
      </c>
      <c r="AH940" s="129">
        <f t="shared" si="1818"/>
        <v>459</v>
      </c>
      <c r="AI940" s="129">
        <f t="shared" si="1818"/>
        <v>465</v>
      </c>
      <c r="AJ940" s="129">
        <f t="shared" si="1818"/>
        <v>465</v>
      </c>
      <c r="AL940" s="2121">
        <f t="shared" ref="AL940:AL967" ca="1" si="1819">INDIRECT(AL$3&amp;(ROW()))</f>
        <v>465</v>
      </c>
      <c r="AM940" s="129">
        <f t="shared" ref="AM940:AM967" ca="1" si="1820">INDIRECT(AM$1&amp;AM$3&amp;$C940)</f>
        <v>0</v>
      </c>
      <c r="AN940" s="2519">
        <f t="shared" ref="AN940:AN967" ca="1" si="1821">AL940-AM940</f>
        <v>465</v>
      </c>
      <c r="AO940" s="1714">
        <f t="shared" ref="AO940:AO967" ca="1" si="1822">IFERROR(AL940/AM940,0)</f>
        <v>0</v>
      </c>
      <c r="AP940" s="129">
        <f t="shared" ref="AP940:AP967" ca="1" si="1823">INDIRECT(AP$1&amp;AP$3&amp;$A940)+INDIRECT(AP$1&amp;AP$3&amp;$B940)</f>
        <v>455</v>
      </c>
      <c r="AQ940" s="2519">
        <f t="shared" ref="AQ940:AQ967" ca="1" si="1824">AL940-AP940</f>
        <v>10</v>
      </c>
      <c r="AR940" s="1714">
        <f t="shared" ref="AR940:AR967" ca="1" si="1825">IFERROR(AL940/AP940,0)</f>
        <v>1.0219780219780219</v>
      </c>
      <c r="AT940" s="2121">
        <f t="shared" ref="AT940:AT967" ca="1" si="1826">INDIRECT(AT$3&amp;(ROW()))</f>
        <v>465</v>
      </c>
      <c r="AU940" s="129">
        <f t="shared" ref="AU940:AU967" ca="1" si="1827">INDIRECT(AU$1&amp;AU$3&amp;$C940)</f>
        <v>0</v>
      </c>
      <c r="AV940" s="2519">
        <f t="shared" ref="AV940:AV967" ca="1" si="1828">AT940-AU940</f>
        <v>465</v>
      </c>
      <c r="AW940" s="1714">
        <f t="shared" ref="AW940:AW967" ca="1" si="1829">IFERROR(AT940/AU940,0)</f>
        <v>0</v>
      </c>
      <c r="AX940" s="129">
        <f t="shared" ref="AX940:AX967" ca="1" si="1830">INDIRECT(AX$1&amp;AX$3&amp;$A940)+INDIRECT(AX$1&amp;AX$3&amp;$B940)</f>
        <v>455</v>
      </c>
      <c r="AY940" s="2519">
        <f t="shared" ref="AY940:AY967" ca="1" si="1831">AT940-AX940</f>
        <v>10</v>
      </c>
      <c r="AZ940" s="1714">
        <f t="shared" ref="AZ940:AZ967" ca="1" si="1832">IFERROR(AT940/AX940,0)</f>
        <v>1.0219780219780219</v>
      </c>
      <c r="BB940" s="2121">
        <f t="shared" ref="BB940:BB967" ca="1" si="1833">INDIRECT(BB$3&amp;(ROW()))</f>
        <v>465</v>
      </c>
      <c r="BC940" s="129">
        <f t="shared" ref="BC940:BC967" ca="1" si="1834">INDIRECT(BC$1&amp;BC$3&amp;$C940)</f>
        <v>0</v>
      </c>
      <c r="BD940" s="2519">
        <f t="shared" ref="BD940:BD967" ca="1" si="1835">BB940-BC940</f>
        <v>465</v>
      </c>
      <c r="BE940" s="1714">
        <f t="shared" ref="BE940:BE967" ca="1" si="1836">IFERROR(BB940/BC940,0)</f>
        <v>0</v>
      </c>
      <c r="BF940" s="129">
        <f t="shared" ref="BF940:BF967" ca="1" si="1837">INDIRECT(BF$1&amp;BF$3&amp;$A940)+INDIRECT(BF$1&amp;BF$3&amp;$B940)</f>
        <v>455</v>
      </c>
      <c r="BG940" s="2519">
        <f t="shared" ref="BG940:BG967" ca="1" si="1838">BB940-BF940</f>
        <v>10</v>
      </c>
      <c r="BH940" s="1714">
        <f t="shared" ref="BH940:BH967" ca="1" si="1839">IFERROR(BB940/BF940,0)</f>
        <v>1.0219780219780219</v>
      </c>
    </row>
    <row r="941" spans="1:60" s="38" customFormat="1" ht="14.5">
      <c r="A941" s="990">
        <f t="shared" si="1778"/>
        <v>854</v>
      </c>
      <c r="B941" s="990">
        <v>1</v>
      </c>
      <c r="C941" s="990">
        <f t="shared" si="1780"/>
        <v>938</v>
      </c>
      <c r="D941" s="1121" t="s">
        <v>887</v>
      </c>
      <c r="E941" s="1243">
        <v>1</v>
      </c>
      <c r="F941" s="5"/>
      <c r="G941" s="5"/>
      <c r="H941" s="5"/>
      <c r="I941" s="331"/>
      <c r="J941" s="52" t="s">
        <v>126</v>
      </c>
      <c r="K941" s="52"/>
      <c r="L941" s="52"/>
      <c r="M941" s="51"/>
      <c r="N941" s="51"/>
      <c r="O941" s="51"/>
      <c r="P941" s="51"/>
      <c r="Q941" s="1851" t="str">
        <f>CHOOSE(2, "6722000003860", "HC PP FE/TTOC Sales Total")</f>
        <v>HC PP FE/TTOC Sales Total</v>
      </c>
      <c r="R941" s="49">
        <f>SUM(R942:R945)</f>
        <v>67</v>
      </c>
      <c r="S941" s="49">
        <f t="shared" ref="S941:AC941" si="1840">SUM(S942:S945)</f>
        <v>67</v>
      </c>
      <c r="T941" s="49">
        <f t="shared" si="1840"/>
        <v>66</v>
      </c>
      <c r="U941" s="49">
        <f>SUM(U942:U945)</f>
        <v>67</v>
      </c>
      <c r="V941" s="49">
        <f t="shared" si="1840"/>
        <v>67</v>
      </c>
      <c r="W941" s="49">
        <f t="shared" si="1840"/>
        <v>68</v>
      </c>
      <c r="X941" s="49">
        <f t="shared" si="1840"/>
        <v>70</v>
      </c>
      <c r="Y941" s="49">
        <f t="shared" si="1840"/>
        <v>70</v>
      </c>
      <c r="Z941" s="49">
        <f t="shared" si="1840"/>
        <v>70</v>
      </c>
      <c r="AA941" s="49">
        <f t="shared" si="1840"/>
        <v>71</v>
      </c>
      <c r="AB941" s="49">
        <f t="shared" si="1840"/>
        <v>71</v>
      </c>
      <c r="AC941" s="49">
        <f t="shared" si="1840"/>
        <v>68</v>
      </c>
      <c r="AD941" s="1553">
        <f t="shared" ref="AD941:AJ941" si="1841">SUM(AD942:AD945)</f>
        <v>66</v>
      </c>
      <c r="AE941" s="49">
        <f t="shared" si="1841"/>
        <v>68</v>
      </c>
      <c r="AF941" s="49">
        <f t="shared" si="1841"/>
        <v>70</v>
      </c>
      <c r="AG941" s="49">
        <f t="shared" si="1841"/>
        <v>68</v>
      </c>
      <c r="AH941" s="49">
        <f t="shared" si="1841"/>
        <v>68</v>
      </c>
      <c r="AI941" s="49">
        <f t="shared" si="1841"/>
        <v>68</v>
      </c>
      <c r="AJ941" s="49">
        <f t="shared" si="1841"/>
        <v>68</v>
      </c>
      <c r="AL941" s="49">
        <f t="shared" ca="1" si="1819"/>
        <v>68</v>
      </c>
      <c r="AM941" s="49">
        <f t="shared" ca="1" si="1820"/>
        <v>0</v>
      </c>
      <c r="AN941" s="913">
        <f t="shared" ca="1" si="1821"/>
        <v>68</v>
      </c>
      <c r="AO941" s="974">
        <f t="shared" ca="1" si="1822"/>
        <v>0</v>
      </c>
      <c r="AP941" s="49">
        <f t="shared" ca="1" si="1823"/>
        <v>66</v>
      </c>
      <c r="AQ941" s="913">
        <f t="shared" ca="1" si="1824"/>
        <v>2</v>
      </c>
      <c r="AR941" s="974">
        <f t="shared" ca="1" si="1825"/>
        <v>1.0303030303030303</v>
      </c>
      <c r="AT941" s="49">
        <f t="shared" ca="1" si="1826"/>
        <v>68</v>
      </c>
      <c r="AU941" s="49">
        <f t="shared" ca="1" si="1827"/>
        <v>0</v>
      </c>
      <c r="AV941" s="913">
        <f t="shared" ca="1" si="1828"/>
        <v>68</v>
      </c>
      <c r="AW941" s="974">
        <f t="shared" ca="1" si="1829"/>
        <v>0</v>
      </c>
      <c r="AX941" s="49">
        <f t="shared" ca="1" si="1830"/>
        <v>66</v>
      </c>
      <c r="AY941" s="913">
        <f t="shared" ca="1" si="1831"/>
        <v>2</v>
      </c>
      <c r="AZ941" s="974">
        <f t="shared" ca="1" si="1832"/>
        <v>1.0303030303030303</v>
      </c>
      <c r="BB941" s="49">
        <f t="shared" ca="1" si="1833"/>
        <v>68</v>
      </c>
      <c r="BC941" s="49">
        <f t="shared" ca="1" si="1834"/>
        <v>0</v>
      </c>
      <c r="BD941" s="913">
        <f t="shared" ca="1" si="1835"/>
        <v>68</v>
      </c>
      <c r="BE941" s="974">
        <f t="shared" ca="1" si="1836"/>
        <v>0</v>
      </c>
      <c r="BF941" s="49">
        <f t="shared" ca="1" si="1837"/>
        <v>66</v>
      </c>
      <c r="BG941" s="913">
        <f t="shared" ca="1" si="1838"/>
        <v>2</v>
      </c>
      <c r="BH941" s="974">
        <f t="shared" ca="1" si="1839"/>
        <v>1.0303030303030303</v>
      </c>
    </row>
    <row r="942" spans="1:60" s="38" customFormat="1" ht="14.5">
      <c r="A942" s="990">
        <f t="shared" si="1778"/>
        <v>855</v>
      </c>
      <c r="B942" s="990">
        <v>1</v>
      </c>
      <c r="C942" s="990">
        <f t="shared" si="1780"/>
        <v>939</v>
      </c>
      <c r="E942" s="1243">
        <v>1</v>
      </c>
      <c r="F942" s="5"/>
      <c r="G942" s="5"/>
      <c r="H942" s="5"/>
      <c r="I942" s="331"/>
      <c r="J942" s="5"/>
      <c r="K942" s="5"/>
      <c r="L942" s="5"/>
      <c r="M942" s="4"/>
      <c r="N942" s="45"/>
      <c r="O942" s="45" t="s">
        <v>125</v>
      </c>
      <c r="P942" s="4"/>
      <c r="Q942" s="1844" t="str">
        <f>CHOOSE(2, "6722000003861", "HC PP FE/TTOC Sales Total Direct sales rep.")</f>
        <v>HC PP FE/TTOC Sales Total Direct sales rep.</v>
      </c>
      <c r="R942" s="2789">
        <v>53</v>
      </c>
      <c r="S942" s="2030">
        <v>54</v>
      </c>
      <c r="T942" s="2030">
        <v>53</v>
      </c>
      <c r="U942" s="2030">
        <v>54</v>
      </c>
      <c r="V942" s="2030">
        <v>54</v>
      </c>
      <c r="W942" s="2030">
        <v>55</v>
      </c>
      <c r="X942" s="2030">
        <v>56</v>
      </c>
      <c r="Y942" s="2030">
        <v>56</v>
      </c>
      <c r="Z942" s="2030">
        <v>56</v>
      </c>
      <c r="AA942" s="2030">
        <v>57</v>
      </c>
      <c r="AB942" s="2030">
        <v>57</v>
      </c>
      <c r="AC942" s="2030">
        <v>54</v>
      </c>
      <c r="AD942" s="1511">
        <f>T942</f>
        <v>53</v>
      </c>
      <c r="AE942" s="44">
        <f>W942</f>
        <v>55</v>
      </c>
      <c r="AF942" s="44">
        <f>Z942</f>
        <v>56</v>
      </c>
      <c r="AG942" s="44">
        <f>AC942</f>
        <v>54</v>
      </c>
      <c r="AH942" s="44">
        <f>AE942</f>
        <v>55</v>
      </c>
      <c r="AI942" s="44">
        <f>AG942</f>
        <v>54</v>
      </c>
      <c r="AJ942" s="44">
        <f>AI942</f>
        <v>54</v>
      </c>
      <c r="AL942" s="44">
        <f t="shared" ca="1" si="1819"/>
        <v>54</v>
      </c>
      <c r="AM942" s="44">
        <f t="shared" ca="1" si="1820"/>
        <v>0</v>
      </c>
      <c r="AN942" s="872">
        <f t="shared" ca="1" si="1821"/>
        <v>54</v>
      </c>
      <c r="AO942" s="922">
        <f t="shared" ca="1" si="1822"/>
        <v>0</v>
      </c>
      <c r="AP942" s="44">
        <f t="shared" ca="1" si="1823"/>
        <v>53</v>
      </c>
      <c r="AQ942" s="872">
        <f t="shared" ca="1" si="1824"/>
        <v>1</v>
      </c>
      <c r="AR942" s="922">
        <f t="shared" ca="1" si="1825"/>
        <v>1.0188679245283019</v>
      </c>
      <c r="AT942" s="44">
        <f t="shared" ca="1" si="1826"/>
        <v>54</v>
      </c>
      <c r="AU942" s="44">
        <f t="shared" ca="1" si="1827"/>
        <v>0</v>
      </c>
      <c r="AV942" s="872">
        <f t="shared" ca="1" si="1828"/>
        <v>54</v>
      </c>
      <c r="AW942" s="922">
        <f t="shared" ca="1" si="1829"/>
        <v>0</v>
      </c>
      <c r="AX942" s="44">
        <f t="shared" ca="1" si="1830"/>
        <v>53</v>
      </c>
      <c r="AY942" s="872">
        <f t="shared" ca="1" si="1831"/>
        <v>1</v>
      </c>
      <c r="AZ942" s="922">
        <f t="shared" ca="1" si="1832"/>
        <v>1.0188679245283019</v>
      </c>
      <c r="BB942" s="44">
        <f t="shared" ca="1" si="1833"/>
        <v>54</v>
      </c>
      <c r="BC942" s="44">
        <f t="shared" ca="1" si="1834"/>
        <v>0</v>
      </c>
      <c r="BD942" s="872">
        <f t="shared" ca="1" si="1835"/>
        <v>54</v>
      </c>
      <c r="BE942" s="922">
        <f t="shared" ca="1" si="1836"/>
        <v>0</v>
      </c>
      <c r="BF942" s="44">
        <f t="shared" ca="1" si="1837"/>
        <v>53</v>
      </c>
      <c r="BG942" s="872">
        <f t="shared" ca="1" si="1838"/>
        <v>1</v>
      </c>
      <c r="BH942" s="922">
        <f t="shared" ca="1" si="1839"/>
        <v>1.0188679245283019</v>
      </c>
    </row>
    <row r="943" spans="1:60" s="38" customFormat="1" ht="14.5">
      <c r="A943" s="990">
        <f t="shared" si="1778"/>
        <v>856</v>
      </c>
      <c r="B943" s="990">
        <v>1</v>
      </c>
      <c r="C943" s="990">
        <f t="shared" si="1780"/>
        <v>940</v>
      </c>
      <c r="E943" s="1243">
        <v>1</v>
      </c>
      <c r="F943" s="5"/>
      <c r="G943" s="5"/>
      <c r="H943" s="5"/>
      <c r="I943" s="331"/>
      <c r="J943" s="5"/>
      <c r="K943" s="5"/>
      <c r="L943" s="5"/>
      <c r="M943" s="4"/>
      <c r="N943" s="45"/>
      <c r="O943" s="45" t="s">
        <v>124</v>
      </c>
      <c r="P943" s="4"/>
      <c r="Q943" s="1844" t="str">
        <f>CHOOSE(2, "6722000003862", "HC PP FE/TTOC Sales Total Direct sales engineers")</f>
        <v>HC PP FE/TTOC Sales Total Direct sales engineers</v>
      </c>
      <c r="R943" s="2789">
        <v>0</v>
      </c>
      <c r="S943" s="2030">
        <v>0</v>
      </c>
      <c r="T943" s="2030">
        <v>0</v>
      </c>
      <c r="U943" s="2030">
        <v>0</v>
      </c>
      <c r="V943" s="2030">
        <v>0</v>
      </c>
      <c r="W943" s="2030">
        <v>0</v>
      </c>
      <c r="X943" s="2030">
        <v>0</v>
      </c>
      <c r="Y943" s="2030">
        <v>0</v>
      </c>
      <c r="Z943" s="2030">
        <v>0</v>
      </c>
      <c r="AA943" s="2030">
        <v>0</v>
      </c>
      <c r="AB943" s="2030">
        <v>0</v>
      </c>
      <c r="AC943" s="2030">
        <v>0</v>
      </c>
      <c r="AD943" s="1511">
        <f>T943</f>
        <v>0</v>
      </c>
      <c r="AE943" s="44">
        <f>W943</f>
        <v>0</v>
      </c>
      <c r="AF943" s="44">
        <f>Z943</f>
        <v>0</v>
      </c>
      <c r="AG943" s="44">
        <f>AC943</f>
        <v>0</v>
      </c>
      <c r="AH943" s="44">
        <f>AE943</f>
        <v>0</v>
      </c>
      <c r="AI943" s="44">
        <f>AG943</f>
        <v>0</v>
      </c>
      <c r="AJ943" s="44">
        <f>AI943</f>
        <v>0</v>
      </c>
      <c r="AL943" s="44">
        <f t="shared" ca="1" si="1819"/>
        <v>0</v>
      </c>
      <c r="AM943" s="44">
        <f t="shared" ca="1" si="1820"/>
        <v>0</v>
      </c>
      <c r="AN943" s="872">
        <f t="shared" ca="1" si="1821"/>
        <v>0</v>
      </c>
      <c r="AO943" s="922">
        <f t="shared" ca="1" si="1822"/>
        <v>0</v>
      </c>
      <c r="AP943" s="44">
        <f t="shared" ca="1" si="1823"/>
        <v>0</v>
      </c>
      <c r="AQ943" s="872">
        <f t="shared" ca="1" si="1824"/>
        <v>0</v>
      </c>
      <c r="AR943" s="922">
        <f t="shared" ca="1" si="1825"/>
        <v>0</v>
      </c>
      <c r="AT943" s="44">
        <f t="shared" ca="1" si="1826"/>
        <v>0</v>
      </c>
      <c r="AU943" s="44">
        <f t="shared" ca="1" si="1827"/>
        <v>0</v>
      </c>
      <c r="AV943" s="872">
        <f t="shared" ca="1" si="1828"/>
        <v>0</v>
      </c>
      <c r="AW943" s="922">
        <f t="shared" ca="1" si="1829"/>
        <v>0</v>
      </c>
      <c r="AX943" s="44">
        <f t="shared" ca="1" si="1830"/>
        <v>0</v>
      </c>
      <c r="AY943" s="872">
        <f t="shared" ca="1" si="1831"/>
        <v>0</v>
      </c>
      <c r="AZ943" s="922">
        <f t="shared" ca="1" si="1832"/>
        <v>0</v>
      </c>
      <c r="BB943" s="44">
        <f t="shared" ca="1" si="1833"/>
        <v>0</v>
      </c>
      <c r="BC943" s="44">
        <f t="shared" ca="1" si="1834"/>
        <v>0</v>
      </c>
      <c r="BD943" s="872">
        <f t="shared" ca="1" si="1835"/>
        <v>0</v>
      </c>
      <c r="BE943" s="922">
        <f t="shared" ca="1" si="1836"/>
        <v>0</v>
      </c>
      <c r="BF943" s="44">
        <f t="shared" ca="1" si="1837"/>
        <v>0</v>
      </c>
      <c r="BG943" s="872">
        <f t="shared" ca="1" si="1838"/>
        <v>0</v>
      </c>
      <c r="BH943" s="922">
        <f t="shared" ca="1" si="1839"/>
        <v>0</v>
      </c>
    </row>
    <row r="944" spans="1:60" s="38" customFormat="1" ht="14.5">
      <c r="A944" s="990">
        <f t="shared" si="1778"/>
        <v>857</v>
      </c>
      <c r="B944" s="990">
        <v>1</v>
      </c>
      <c r="C944" s="990">
        <f t="shared" si="1780"/>
        <v>941</v>
      </c>
      <c r="E944" s="1243">
        <v>1</v>
      </c>
      <c r="F944" s="5"/>
      <c r="G944" s="5"/>
      <c r="H944" s="5"/>
      <c r="I944" s="331"/>
      <c r="J944" s="5"/>
      <c r="K944" s="5"/>
      <c r="L944" s="5"/>
      <c r="M944" s="4"/>
      <c r="N944" s="45"/>
      <c r="O944" s="45" t="s">
        <v>123</v>
      </c>
      <c r="P944" s="4"/>
      <c r="Q944" s="1844" t="str">
        <f>CHOOSE(2, "6722000003863", "HC PP FE/TTOC Sales Total Dealer(Indirect) sales rep.")</f>
        <v>HC PP FE/TTOC Sales Total Dealer(Indirect) sales rep.</v>
      </c>
      <c r="R944" s="2789">
        <v>0</v>
      </c>
      <c r="S944" s="2030">
        <v>0</v>
      </c>
      <c r="T944" s="2030">
        <v>0</v>
      </c>
      <c r="U944" s="2030">
        <v>0</v>
      </c>
      <c r="V944" s="2030">
        <v>0</v>
      </c>
      <c r="W944" s="2030">
        <v>0</v>
      </c>
      <c r="X944" s="2030">
        <v>0</v>
      </c>
      <c r="Y944" s="2030">
        <v>0</v>
      </c>
      <c r="Z944" s="2030">
        <v>0</v>
      </c>
      <c r="AA944" s="2030">
        <v>0</v>
      </c>
      <c r="AB944" s="2030">
        <v>0</v>
      </c>
      <c r="AC944" s="2030">
        <v>0</v>
      </c>
      <c r="AD944" s="1511">
        <f>T944</f>
        <v>0</v>
      </c>
      <c r="AE944" s="44">
        <f>W944</f>
        <v>0</v>
      </c>
      <c r="AF944" s="44">
        <f>Z944</f>
        <v>0</v>
      </c>
      <c r="AG944" s="44">
        <f>AC944</f>
        <v>0</v>
      </c>
      <c r="AH944" s="44">
        <f>AE944</f>
        <v>0</v>
      </c>
      <c r="AI944" s="44">
        <f>AG944</f>
        <v>0</v>
      </c>
      <c r="AJ944" s="44">
        <f>AI944</f>
        <v>0</v>
      </c>
      <c r="AL944" s="44">
        <f t="shared" ca="1" si="1819"/>
        <v>0</v>
      </c>
      <c r="AM944" s="44">
        <f t="shared" ca="1" si="1820"/>
        <v>0</v>
      </c>
      <c r="AN944" s="872">
        <f t="shared" ca="1" si="1821"/>
        <v>0</v>
      </c>
      <c r="AO944" s="922">
        <f t="shared" ca="1" si="1822"/>
        <v>0</v>
      </c>
      <c r="AP944" s="44">
        <f t="shared" ca="1" si="1823"/>
        <v>0</v>
      </c>
      <c r="AQ944" s="872">
        <f t="shared" ca="1" si="1824"/>
        <v>0</v>
      </c>
      <c r="AR944" s="922">
        <f t="shared" ca="1" si="1825"/>
        <v>0</v>
      </c>
      <c r="AT944" s="44">
        <f t="shared" ca="1" si="1826"/>
        <v>0</v>
      </c>
      <c r="AU944" s="44">
        <f t="shared" ca="1" si="1827"/>
        <v>0</v>
      </c>
      <c r="AV944" s="872">
        <f t="shared" ca="1" si="1828"/>
        <v>0</v>
      </c>
      <c r="AW944" s="922">
        <f t="shared" ca="1" si="1829"/>
        <v>0</v>
      </c>
      <c r="AX944" s="44">
        <f t="shared" ca="1" si="1830"/>
        <v>0</v>
      </c>
      <c r="AY944" s="872">
        <f t="shared" ca="1" si="1831"/>
        <v>0</v>
      </c>
      <c r="AZ944" s="922">
        <f t="shared" ca="1" si="1832"/>
        <v>0</v>
      </c>
      <c r="BB944" s="44">
        <f t="shared" ca="1" si="1833"/>
        <v>0</v>
      </c>
      <c r="BC944" s="44">
        <f t="shared" ca="1" si="1834"/>
        <v>0</v>
      </c>
      <c r="BD944" s="872">
        <f t="shared" ca="1" si="1835"/>
        <v>0</v>
      </c>
      <c r="BE944" s="922">
        <f t="shared" ca="1" si="1836"/>
        <v>0</v>
      </c>
      <c r="BF944" s="44">
        <f t="shared" ca="1" si="1837"/>
        <v>0</v>
      </c>
      <c r="BG944" s="872">
        <f t="shared" ca="1" si="1838"/>
        <v>0</v>
      </c>
      <c r="BH944" s="922">
        <f t="shared" ca="1" si="1839"/>
        <v>0</v>
      </c>
    </row>
    <row r="945" spans="1:60" s="38" customFormat="1" ht="14.5">
      <c r="A945" s="990">
        <f t="shared" si="1778"/>
        <v>858</v>
      </c>
      <c r="B945" s="990">
        <v>1</v>
      </c>
      <c r="C945" s="990">
        <f t="shared" si="1780"/>
        <v>942</v>
      </c>
      <c r="E945" s="1243">
        <v>1</v>
      </c>
      <c r="F945" s="5"/>
      <c r="G945" s="5"/>
      <c r="H945" s="5"/>
      <c r="I945" s="331"/>
      <c r="J945" s="3"/>
      <c r="K945" s="3"/>
      <c r="L945" s="3"/>
      <c r="M945" s="2"/>
      <c r="N945" s="43"/>
      <c r="O945" s="43" t="s">
        <v>120</v>
      </c>
      <c r="P945" s="2"/>
      <c r="Q945" s="1844" t="str">
        <f>CHOOSE(2, "6722000003864", "HC PP FE/TTOC Sales Total Administration/Others")</f>
        <v>HC PP FE/TTOC Sales Total Administration/Others</v>
      </c>
      <c r="R945" s="2790">
        <v>14</v>
      </c>
      <c r="S945" s="2029">
        <v>13</v>
      </c>
      <c r="T945" s="2029">
        <v>13</v>
      </c>
      <c r="U945" s="2029">
        <v>13</v>
      </c>
      <c r="V945" s="2029">
        <v>13</v>
      </c>
      <c r="W945" s="2029">
        <v>13</v>
      </c>
      <c r="X945" s="2029">
        <v>14</v>
      </c>
      <c r="Y945" s="2029">
        <v>14</v>
      </c>
      <c r="Z945" s="2029">
        <v>14</v>
      </c>
      <c r="AA945" s="2029">
        <v>14</v>
      </c>
      <c r="AB945" s="2029">
        <v>14</v>
      </c>
      <c r="AC945" s="2029">
        <v>14</v>
      </c>
      <c r="AD945" s="1554">
        <f>T945</f>
        <v>13</v>
      </c>
      <c r="AE945" s="42">
        <f>W945</f>
        <v>13</v>
      </c>
      <c r="AF945" s="42">
        <f>Z945</f>
        <v>14</v>
      </c>
      <c r="AG945" s="42">
        <f>AC945</f>
        <v>14</v>
      </c>
      <c r="AH945" s="42">
        <f>AE945</f>
        <v>13</v>
      </c>
      <c r="AI945" s="42">
        <f>AG945</f>
        <v>14</v>
      </c>
      <c r="AJ945" s="42">
        <f>AI945</f>
        <v>14</v>
      </c>
      <c r="AL945" s="42">
        <f t="shared" ca="1" si="1819"/>
        <v>14</v>
      </c>
      <c r="AM945" s="42">
        <f t="shared" ca="1" si="1820"/>
        <v>0</v>
      </c>
      <c r="AN945" s="914">
        <f t="shared" ca="1" si="1821"/>
        <v>14</v>
      </c>
      <c r="AO945" s="975">
        <f t="shared" ca="1" si="1822"/>
        <v>0</v>
      </c>
      <c r="AP945" s="42">
        <f t="shared" ca="1" si="1823"/>
        <v>13</v>
      </c>
      <c r="AQ945" s="914">
        <f t="shared" ca="1" si="1824"/>
        <v>1</v>
      </c>
      <c r="AR945" s="975">
        <f t="shared" ca="1" si="1825"/>
        <v>1.0769230769230769</v>
      </c>
      <c r="AT945" s="42">
        <f t="shared" ca="1" si="1826"/>
        <v>14</v>
      </c>
      <c r="AU945" s="42">
        <f t="shared" ca="1" si="1827"/>
        <v>0</v>
      </c>
      <c r="AV945" s="914">
        <f t="shared" ca="1" si="1828"/>
        <v>14</v>
      </c>
      <c r="AW945" s="975">
        <f t="shared" ca="1" si="1829"/>
        <v>0</v>
      </c>
      <c r="AX945" s="42">
        <f t="shared" ca="1" si="1830"/>
        <v>13</v>
      </c>
      <c r="AY945" s="914">
        <f t="shared" ca="1" si="1831"/>
        <v>1</v>
      </c>
      <c r="AZ945" s="975">
        <f t="shared" ca="1" si="1832"/>
        <v>1.0769230769230769</v>
      </c>
      <c r="BB945" s="42">
        <f t="shared" ca="1" si="1833"/>
        <v>14</v>
      </c>
      <c r="BC945" s="42">
        <f t="shared" ca="1" si="1834"/>
        <v>0</v>
      </c>
      <c r="BD945" s="914">
        <f t="shared" ca="1" si="1835"/>
        <v>14</v>
      </c>
      <c r="BE945" s="975">
        <f t="shared" ca="1" si="1836"/>
        <v>0</v>
      </c>
      <c r="BF945" s="42">
        <f t="shared" ca="1" si="1837"/>
        <v>13</v>
      </c>
      <c r="BG945" s="914">
        <f t="shared" ca="1" si="1838"/>
        <v>1</v>
      </c>
      <c r="BH945" s="975">
        <f t="shared" ca="1" si="1839"/>
        <v>1.0769230769230769</v>
      </c>
    </row>
    <row r="946" spans="1:60" s="38" customFormat="1" ht="14.5">
      <c r="A946" s="990">
        <f t="shared" si="1778"/>
        <v>859</v>
      </c>
      <c r="B946" s="990">
        <v>1</v>
      </c>
      <c r="C946" s="990">
        <f t="shared" si="1780"/>
        <v>943</v>
      </c>
      <c r="D946" s="1121" t="s">
        <v>887</v>
      </c>
      <c r="E946" s="1243">
        <v>1</v>
      </c>
      <c r="F946" s="5"/>
      <c r="G946" s="5"/>
      <c r="H946" s="5"/>
      <c r="I946" s="331"/>
      <c r="J946" s="52" t="s">
        <v>230</v>
      </c>
      <c r="K946" s="52"/>
      <c r="L946" s="52"/>
      <c r="M946" s="51"/>
      <c r="N946" s="51"/>
      <c r="O946" s="51"/>
      <c r="P946" s="51"/>
      <c r="Q946" s="1851" t="str">
        <f>CHOOSE(2, "6722000003865", "HC PP FE/TTOC Service Total")</f>
        <v>HC PP FE/TTOC Service Total</v>
      </c>
      <c r="R946" s="49">
        <f>SUM(R947:R951)</f>
        <v>313</v>
      </c>
      <c r="S946" s="49">
        <f t="shared" ref="S946:AC946" si="1842">SUM(S947:S951)</f>
        <v>314</v>
      </c>
      <c r="T946" s="49">
        <f t="shared" si="1842"/>
        <v>311</v>
      </c>
      <c r="U946" s="49">
        <f t="shared" si="1842"/>
        <v>315</v>
      </c>
      <c r="V946" s="49">
        <f t="shared" si="1842"/>
        <v>314</v>
      </c>
      <c r="W946" s="49">
        <f t="shared" si="1842"/>
        <v>312</v>
      </c>
      <c r="X946" s="49">
        <f t="shared" si="1842"/>
        <v>315</v>
      </c>
      <c r="Y946" s="49">
        <f t="shared" si="1842"/>
        <v>317</v>
      </c>
      <c r="Z946" s="49">
        <f t="shared" si="1842"/>
        <v>315</v>
      </c>
      <c r="AA946" s="49">
        <f t="shared" si="1842"/>
        <v>316</v>
      </c>
      <c r="AB946" s="49">
        <f t="shared" si="1842"/>
        <v>316</v>
      </c>
      <c r="AC946" s="49">
        <f t="shared" si="1842"/>
        <v>317</v>
      </c>
      <c r="AD946" s="1553">
        <f t="shared" ref="AD946:AJ946" si="1843">SUM(AD947:AD951)</f>
        <v>311</v>
      </c>
      <c r="AE946" s="49">
        <f t="shared" si="1843"/>
        <v>312</v>
      </c>
      <c r="AF946" s="49">
        <f t="shared" si="1843"/>
        <v>315</v>
      </c>
      <c r="AG946" s="49">
        <f t="shared" si="1843"/>
        <v>317</v>
      </c>
      <c r="AH946" s="49">
        <f t="shared" si="1843"/>
        <v>312</v>
      </c>
      <c r="AI946" s="49">
        <f t="shared" si="1843"/>
        <v>317</v>
      </c>
      <c r="AJ946" s="49">
        <f t="shared" si="1843"/>
        <v>317</v>
      </c>
      <c r="AL946" s="49">
        <f t="shared" ca="1" si="1819"/>
        <v>317</v>
      </c>
      <c r="AM946" s="49">
        <f t="shared" ca="1" si="1820"/>
        <v>0</v>
      </c>
      <c r="AN946" s="913">
        <f t="shared" ca="1" si="1821"/>
        <v>317</v>
      </c>
      <c r="AO946" s="974">
        <f t="shared" ca="1" si="1822"/>
        <v>0</v>
      </c>
      <c r="AP946" s="49">
        <f t="shared" ca="1" si="1823"/>
        <v>308</v>
      </c>
      <c r="AQ946" s="913">
        <f t="shared" ca="1" si="1824"/>
        <v>9</v>
      </c>
      <c r="AR946" s="974">
        <f t="shared" ca="1" si="1825"/>
        <v>1.0292207792207793</v>
      </c>
      <c r="AT946" s="49">
        <f t="shared" ca="1" si="1826"/>
        <v>317</v>
      </c>
      <c r="AU946" s="49">
        <f t="shared" ca="1" si="1827"/>
        <v>0</v>
      </c>
      <c r="AV946" s="913">
        <f t="shared" ca="1" si="1828"/>
        <v>317</v>
      </c>
      <c r="AW946" s="974">
        <f t="shared" ca="1" si="1829"/>
        <v>0</v>
      </c>
      <c r="AX946" s="49">
        <f t="shared" ca="1" si="1830"/>
        <v>308</v>
      </c>
      <c r="AY946" s="913">
        <f t="shared" ca="1" si="1831"/>
        <v>9</v>
      </c>
      <c r="AZ946" s="974">
        <f t="shared" ca="1" si="1832"/>
        <v>1.0292207792207793</v>
      </c>
      <c r="BB946" s="49">
        <f t="shared" ca="1" si="1833"/>
        <v>317</v>
      </c>
      <c r="BC946" s="49">
        <f t="shared" ca="1" si="1834"/>
        <v>0</v>
      </c>
      <c r="BD946" s="913">
        <f t="shared" ca="1" si="1835"/>
        <v>317</v>
      </c>
      <c r="BE946" s="974">
        <f t="shared" ca="1" si="1836"/>
        <v>0</v>
      </c>
      <c r="BF946" s="49">
        <f t="shared" ca="1" si="1837"/>
        <v>308</v>
      </c>
      <c r="BG946" s="913">
        <f t="shared" ca="1" si="1838"/>
        <v>9</v>
      </c>
      <c r="BH946" s="974">
        <f t="shared" ca="1" si="1839"/>
        <v>1.0292207792207793</v>
      </c>
    </row>
    <row r="947" spans="1:60" s="38" customFormat="1" ht="14.5">
      <c r="A947" s="990">
        <f t="shared" si="1778"/>
        <v>860</v>
      </c>
      <c r="B947" s="990">
        <v>1</v>
      </c>
      <c r="C947" s="990">
        <f t="shared" si="1780"/>
        <v>944</v>
      </c>
      <c r="E947" s="1243">
        <v>1</v>
      </c>
      <c r="F947" s="5"/>
      <c r="G947" s="5"/>
      <c r="H947" s="5"/>
      <c r="I947" s="331"/>
      <c r="J947" s="5"/>
      <c r="K947" s="5"/>
      <c r="L947" s="5"/>
      <c r="M947" s="4"/>
      <c r="N947" s="45"/>
      <c r="O947" s="45" t="s">
        <v>67</v>
      </c>
      <c r="P947" s="4"/>
      <c r="Q947" s="1844" t="str">
        <f>CHOOSE(2, "6722000003866", "HC PP FE/TTOC Service Total Onsite Engineer")</f>
        <v>HC PP FE/TTOC Service Total Onsite Engineer</v>
      </c>
      <c r="R947" s="2789">
        <v>273</v>
      </c>
      <c r="S947" s="2030">
        <v>271</v>
      </c>
      <c r="T947" s="2030">
        <v>270</v>
      </c>
      <c r="U947" s="2030">
        <v>273</v>
      </c>
      <c r="V947" s="2030">
        <v>272</v>
      </c>
      <c r="W947" s="2030">
        <v>270</v>
      </c>
      <c r="X947" s="2030">
        <v>273</v>
      </c>
      <c r="Y947" s="2030">
        <v>274</v>
      </c>
      <c r="Z947" s="2030">
        <v>273</v>
      </c>
      <c r="AA947" s="2030">
        <v>273</v>
      </c>
      <c r="AB947" s="2030">
        <v>272</v>
      </c>
      <c r="AC947" s="2030">
        <v>273</v>
      </c>
      <c r="AD947" s="1511">
        <f>T947</f>
        <v>270</v>
      </c>
      <c r="AE947" s="44">
        <f>W947</f>
        <v>270</v>
      </c>
      <c r="AF947" s="44">
        <f>Z947</f>
        <v>273</v>
      </c>
      <c r="AG947" s="44">
        <f>AC947</f>
        <v>273</v>
      </c>
      <c r="AH947" s="44">
        <f>AE947</f>
        <v>270</v>
      </c>
      <c r="AI947" s="44">
        <f>AG947</f>
        <v>273</v>
      </c>
      <c r="AJ947" s="44">
        <f>AI947</f>
        <v>273</v>
      </c>
      <c r="AL947" s="44">
        <f t="shared" ca="1" si="1819"/>
        <v>273</v>
      </c>
      <c r="AM947" s="44">
        <f t="shared" ca="1" si="1820"/>
        <v>0</v>
      </c>
      <c r="AN947" s="872">
        <f t="shared" ca="1" si="1821"/>
        <v>273</v>
      </c>
      <c r="AO947" s="922">
        <f t="shared" ca="1" si="1822"/>
        <v>0</v>
      </c>
      <c r="AP947" s="44">
        <f t="shared" ca="1" si="1823"/>
        <v>269</v>
      </c>
      <c r="AQ947" s="872">
        <f t="shared" ca="1" si="1824"/>
        <v>4</v>
      </c>
      <c r="AR947" s="922">
        <f t="shared" ca="1" si="1825"/>
        <v>1.0148698884758365</v>
      </c>
      <c r="AT947" s="44">
        <f t="shared" ca="1" si="1826"/>
        <v>273</v>
      </c>
      <c r="AU947" s="44">
        <f t="shared" ca="1" si="1827"/>
        <v>0</v>
      </c>
      <c r="AV947" s="872">
        <f t="shared" ca="1" si="1828"/>
        <v>273</v>
      </c>
      <c r="AW947" s="922">
        <f t="shared" ca="1" si="1829"/>
        <v>0</v>
      </c>
      <c r="AX947" s="44">
        <f t="shared" ca="1" si="1830"/>
        <v>269</v>
      </c>
      <c r="AY947" s="872">
        <f t="shared" ca="1" si="1831"/>
        <v>4</v>
      </c>
      <c r="AZ947" s="922">
        <f t="shared" ca="1" si="1832"/>
        <v>1.0148698884758365</v>
      </c>
      <c r="BB947" s="44">
        <f t="shared" ca="1" si="1833"/>
        <v>273</v>
      </c>
      <c r="BC947" s="44">
        <f t="shared" ca="1" si="1834"/>
        <v>0</v>
      </c>
      <c r="BD947" s="872">
        <f t="shared" ca="1" si="1835"/>
        <v>273</v>
      </c>
      <c r="BE947" s="922">
        <f t="shared" ca="1" si="1836"/>
        <v>0</v>
      </c>
      <c r="BF947" s="44">
        <f t="shared" ca="1" si="1837"/>
        <v>269</v>
      </c>
      <c r="BG947" s="872">
        <f t="shared" ca="1" si="1838"/>
        <v>4</v>
      </c>
      <c r="BH947" s="922">
        <f t="shared" ca="1" si="1839"/>
        <v>1.0148698884758365</v>
      </c>
    </row>
    <row r="948" spans="1:60" s="38" customFormat="1" ht="14.5">
      <c r="A948" s="990">
        <f t="shared" si="1778"/>
        <v>861</v>
      </c>
      <c r="B948" s="990">
        <v>1</v>
      </c>
      <c r="C948" s="990">
        <f t="shared" si="1780"/>
        <v>945</v>
      </c>
      <c r="E948" s="1243">
        <v>1</v>
      </c>
      <c r="F948" s="5"/>
      <c r="G948" s="5"/>
      <c r="H948" s="5"/>
      <c r="I948" s="331"/>
      <c r="J948" s="5"/>
      <c r="K948" s="5"/>
      <c r="L948" s="5"/>
      <c r="M948" s="4"/>
      <c r="N948" s="45"/>
      <c r="O948" s="45" t="s">
        <v>68</v>
      </c>
      <c r="P948" s="4"/>
      <c r="Q948" s="1844" t="str">
        <f>CHOOSE(2, "6722000003867", "HC PP FE/TTOC Service Total Remote Engineer")</f>
        <v>HC PP FE/TTOC Service Total Remote Engineer</v>
      </c>
      <c r="R948" s="2789">
        <v>0</v>
      </c>
      <c r="S948" s="2030">
        <v>0</v>
      </c>
      <c r="T948" s="2030">
        <v>0</v>
      </c>
      <c r="U948" s="2030">
        <v>0</v>
      </c>
      <c r="V948" s="2030">
        <v>0</v>
      </c>
      <c r="W948" s="2030">
        <v>0</v>
      </c>
      <c r="X948" s="2030">
        <v>0</v>
      </c>
      <c r="Y948" s="2030">
        <v>0</v>
      </c>
      <c r="Z948" s="2030">
        <v>0</v>
      </c>
      <c r="AA948" s="2030">
        <v>0</v>
      </c>
      <c r="AB948" s="2030">
        <v>0</v>
      </c>
      <c r="AC948" s="2030">
        <v>0</v>
      </c>
      <c r="AD948" s="1511">
        <f>T948</f>
        <v>0</v>
      </c>
      <c r="AE948" s="44">
        <f>W948</f>
        <v>0</v>
      </c>
      <c r="AF948" s="44">
        <f>Z948</f>
        <v>0</v>
      </c>
      <c r="AG948" s="44">
        <f>AC948</f>
        <v>0</v>
      </c>
      <c r="AH948" s="44">
        <f>AE948</f>
        <v>0</v>
      </c>
      <c r="AI948" s="44">
        <f>AG948</f>
        <v>0</v>
      </c>
      <c r="AJ948" s="44">
        <f>AI948</f>
        <v>0</v>
      </c>
      <c r="AL948" s="44">
        <f t="shared" ca="1" si="1819"/>
        <v>0</v>
      </c>
      <c r="AM948" s="44">
        <f t="shared" ca="1" si="1820"/>
        <v>0</v>
      </c>
      <c r="AN948" s="872">
        <f t="shared" ca="1" si="1821"/>
        <v>0</v>
      </c>
      <c r="AO948" s="922">
        <f t="shared" ca="1" si="1822"/>
        <v>0</v>
      </c>
      <c r="AP948" s="44">
        <f t="shared" ca="1" si="1823"/>
        <v>0</v>
      </c>
      <c r="AQ948" s="872">
        <f t="shared" ca="1" si="1824"/>
        <v>0</v>
      </c>
      <c r="AR948" s="922">
        <f t="shared" ca="1" si="1825"/>
        <v>0</v>
      </c>
      <c r="AT948" s="44">
        <f t="shared" ca="1" si="1826"/>
        <v>0</v>
      </c>
      <c r="AU948" s="44">
        <f t="shared" ca="1" si="1827"/>
        <v>0</v>
      </c>
      <c r="AV948" s="872">
        <f t="shared" ca="1" si="1828"/>
        <v>0</v>
      </c>
      <c r="AW948" s="922">
        <f t="shared" ca="1" si="1829"/>
        <v>0</v>
      </c>
      <c r="AX948" s="44">
        <f t="shared" ca="1" si="1830"/>
        <v>0</v>
      </c>
      <c r="AY948" s="872">
        <f t="shared" ca="1" si="1831"/>
        <v>0</v>
      </c>
      <c r="AZ948" s="922">
        <f t="shared" ca="1" si="1832"/>
        <v>0</v>
      </c>
      <c r="BB948" s="44">
        <f t="shared" ca="1" si="1833"/>
        <v>0</v>
      </c>
      <c r="BC948" s="44">
        <f t="shared" ca="1" si="1834"/>
        <v>0</v>
      </c>
      <c r="BD948" s="872">
        <f t="shared" ca="1" si="1835"/>
        <v>0</v>
      </c>
      <c r="BE948" s="922">
        <f t="shared" ca="1" si="1836"/>
        <v>0</v>
      </c>
      <c r="BF948" s="44">
        <f t="shared" ca="1" si="1837"/>
        <v>0</v>
      </c>
      <c r="BG948" s="872">
        <f t="shared" ca="1" si="1838"/>
        <v>0</v>
      </c>
      <c r="BH948" s="922">
        <f t="shared" ca="1" si="1839"/>
        <v>0</v>
      </c>
    </row>
    <row r="949" spans="1:60" s="38" customFormat="1" ht="14.5">
      <c r="A949" s="990">
        <f t="shared" si="1778"/>
        <v>862</v>
      </c>
      <c r="B949" s="990">
        <v>1</v>
      </c>
      <c r="C949" s="990">
        <f t="shared" si="1780"/>
        <v>946</v>
      </c>
      <c r="E949" s="1243">
        <v>1</v>
      </c>
      <c r="F949" s="5"/>
      <c r="G949" s="5"/>
      <c r="H949" s="5"/>
      <c r="I949" s="331"/>
      <c r="J949" s="5"/>
      <c r="K949" s="5"/>
      <c r="L949" s="5"/>
      <c r="M949" s="4"/>
      <c r="N949" s="45"/>
      <c r="O949" s="45" t="s">
        <v>122</v>
      </c>
      <c r="P949" s="4"/>
      <c r="Q949" s="1844" t="str">
        <f>CHOOSE(2, "6722000003868", "HC PP FE/TTOC Service Total Technical support")</f>
        <v>HC PP FE/TTOC Service Total Technical support</v>
      </c>
      <c r="R949" s="2789">
        <v>28</v>
      </c>
      <c r="S949" s="2030">
        <v>30</v>
      </c>
      <c r="T949" s="2030">
        <v>29</v>
      </c>
      <c r="U949" s="2030">
        <v>30</v>
      </c>
      <c r="V949" s="2030">
        <v>30</v>
      </c>
      <c r="W949" s="2030">
        <v>31</v>
      </c>
      <c r="X949" s="2030">
        <v>31</v>
      </c>
      <c r="Y949" s="2030">
        <v>31</v>
      </c>
      <c r="Z949" s="2030">
        <v>30</v>
      </c>
      <c r="AA949" s="2030">
        <v>31</v>
      </c>
      <c r="AB949" s="2030">
        <v>31</v>
      </c>
      <c r="AC949" s="2030">
        <v>31</v>
      </c>
      <c r="AD949" s="1511">
        <f>T949</f>
        <v>29</v>
      </c>
      <c r="AE949" s="44">
        <f>W949</f>
        <v>31</v>
      </c>
      <c r="AF949" s="44">
        <f>Z949</f>
        <v>30</v>
      </c>
      <c r="AG949" s="44">
        <f>AC949</f>
        <v>31</v>
      </c>
      <c r="AH949" s="44">
        <f>AE949</f>
        <v>31</v>
      </c>
      <c r="AI949" s="44">
        <f>AG949</f>
        <v>31</v>
      </c>
      <c r="AJ949" s="44">
        <f>AI949</f>
        <v>31</v>
      </c>
      <c r="AL949" s="44">
        <f t="shared" ca="1" si="1819"/>
        <v>31</v>
      </c>
      <c r="AM949" s="44">
        <f t="shared" ca="1" si="1820"/>
        <v>0</v>
      </c>
      <c r="AN949" s="872">
        <f t="shared" ca="1" si="1821"/>
        <v>31</v>
      </c>
      <c r="AO949" s="922">
        <f t="shared" ca="1" si="1822"/>
        <v>0</v>
      </c>
      <c r="AP949" s="44">
        <f t="shared" ca="1" si="1823"/>
        <v>28</v>
      </c>
      <c r="AQ949" s="872">
        <f t="shared" ca="1" si="1824"/>
        <v>3</v>
      </c>
      <c r="AR949" s="922">
        <f t="shared" ca="1" si="1825"/>
        <v>1.1071428571428572</v>
      </c>
      <c r="AT949" s="44">
        <f t="shared" ca="1" si="1826"/>
        <v>31</v>
      </c>
      <c r="AU949" s="44">
        <f t="shared" ca="1" si="1827"/>
        <v>0</v>
      </c>
      <c r="AV949" s="872">
        <f t="shared" ca="1" si="1828"/>
        <v>31</v>
      </c>
      <c r="AW949" s="922">
        <f t="shared" ca="1" si="1829"/>
        <v>0</v>
      </c>
      <c r="AX949" s="44">
        <f t="shared" ca="1" si="1830"/>
        <v>28</v>
      </c>
      <c r="AY949" s="872">
        <f t="shared" ca="1" si="1831"/>
        <v>3</v>
      </c>
      <c r="AZ949" s="922">
        <f t="shared" ca="1" si="1832"/>
        <v>1.1071428571428572</v>
      </c>
      <c r="BB949" s="44">
        <f t="shared" ca="1" si="1833"/>
        <v>31</v>
      </c>
      <c r="BC949" s="44">
        <f t="shared" ca="1" si="1834"/>
        <v>0</v>
      </c>
      <c r="BD949" s="872">
        <f t="shared" ca="1" si="1835"/>
        <v>31</v>
      </c>
      <c r="BE949" s="922">
        <f t="shared" ca="1" si="1836"/>
        <v>0</v>
      </c>
      <c r="BF949" s="44">
        <f t="shared" ca="1" si="1837"/>
        <v>28</v>
      </c>
      <c r="BG949" s="872">
        <f t="shared" ca="1" si="1838"/>
        <v>3</v>
      </c>
      <c r="BH949" s="922">
        <f t="shared" ca="1" si="1839"/>
        <v>1.1071428571428572</v>
      </c>
    </row>
    <row r="950" spans="1:60" s="38" customFormat="1" ht="14.5">
      <c r="A950" s="990">
        <f t="shared" si="1778"/>
        <v>863</v>
      </c>
      <c r="B950" s="990">
        <v>1</v>
      </c>
      <c r="C950" s="990">
        <f t="shared" si="1780"/>
        <v>947</v>
      </c>
      <c r="E950" s="1243">
        <v>1</v>
      </c>
      <c r="F950" s="5"/>
      <c r="G950" s="5"/>
      <c r="H950" s="5"/>
      <c r="I950" s="331"/>
      <c r="J950" s="5"/>
      <c r="K950" s="5"/>
      <c r="L950" s="5"/>
      <c r="M950" s="4"/>
      <c r="N950" s="45"/>
      <c r="O950" s="45" t="s">
        <v>121</v>
      </c>
      <c r="P950" s="4"/>
      <c r="Q950" s="1844" t="str">
        <f>CHOOSE(2, "6722000003869", "HC PP FE/TTOC Service Total Dealer(Indirect) support")</f>
        <v>HC PP FE/TTOC Service Total Dealer(Indirect) support</v>
      </c>
      <c r="R950" s="2789">
        <v>0</v>
      </c>
      <c r="S950" s="2030">
        <v>0</v>
      </c>
      <c r="T950" s="2030">
        <v>0</v>
      </c>
      <c r="U950" s="2030">
        <v>0</v>
      </c>
      <c r="V950" s="2030">
        <v>0</v>
      </c>
      <c r="W950" s="2030">
        <v>0</v>
      </c>
      <c r="X950" s="2030">
        <v>0</v>
      </c>
      <c r="Y950" s="2030">
        <v>0</v>
      </c>
      <c r="Z950" s="2030">
        <v>0</v>
      </c>
      <c r="AA950" s="2030">
        <v>0</v>
      </c>
      <c r="AB950" s="2030">
        <v>0</v>
      </c>
      <c r="AC950" s="2030">
        <v>0</v>
      </c>
      <c r="AD950" s="1511">
        <f>T950</f>
        <v>0</v>
      </c>
      <c r="AE950" s="44">
        <f>W950</f>
        <v>0</v>
      </c>
      <c r="AF950" s="44">
        <f>Z950</f>
        <v>0</v>
      </c>
      <c r="AG950" s="44">
        <f>AC950</f>
        <v>0</v>
      </c>
      <c r="AH950" s="44">
        <f>AE950</f>
        <v>0</v>
      </c>
      <c r="AI950" s="44">
        <f>AG950</f>
        <v>0</v>
      </c>
      <c r="AJ950" s="44">
        <f>AI950</f>
        <v>0</v>
      </c>
      <c r="AL950" s="44">
        <f t="shared" ca="1" si="1819"/>
        <v>0</v>
      </c>
      <c r="AM950" s="44">
        <f t="shared" ca="1" si="1820"/>
        <v>0</v>
      </c>
      <c r="AN950" s="872">
        <f t="shared" ca="1" si="1821"/>
        <v>0</v>
      </c>
      <c r="AO950" s="922">
        <f t="shared" ca="1" si="1822"/>
        <v>0</v>
      </c>
      <c r="AP950" s="44">
        <f t="shared" ca="1" si="1823"/>
        <v>0</v>
      </c>
      <c r="AQ950" s="872">
        <f t="shared" ca="1" si="1824"/>
        <v>0</v>
      </c>
      <c r="AR950" s="922">
        <f t="shared" ca="1" si="1825"/>
        <v>0</v>
      </c>
      <c r="AT950" s="44">
        <f t="shared" ca="1" si="1826"/>
        <v>0</v>
      </c>
      <c r="AU950" s="44">
        <f t="shared" ca="1" si="1827"/>
        <v>0</v>
      </c>
      <c r="AV950" s="872">
        <f t="shared" ca="1" si="1828"/>
        <v>0</v>
      </c>
      <c r="AW950" s="922">
        <f t="shared" ca="1" si="1829"/>
        <v>0</v>
      </c>
      <c r="AX950" s="44">
        <f t="shared" ca="1" si="1830"/>
        <v>0</v>
      </c>
      <c r="AY950" s="872">
        <f t="shared" ca="1" si="1831"/>
        <v>0</v>
      </c>
      <c r="AZ950" s="922">
        <f t="shared" ca="1" si="1832"/>
        <v>0</v>
      </c>
      <c r="BB950" s="44">
        <f t="shared" ca="1" si="1833"/>
        <v>0</v>
      </c>
      <c r="BC950" s="44">
        <f t="shared" ca="1" si="1834"/>
        <v>0</v>
      </c>
      <c r="BD950" s="872">
        <f t="shared" ca="1" si="1835"/>
        <v>0</v>
      </c>
      <c r="BE950" s="922">
        <f t="shared" ca="1" si="1836"/>
        <v>0</v>
      </c>
      <c r="BF950" s="44">
        <f t="shared" ca="1" si="1837"/>
        <v>0</v>
      </c>
      <c r="BG950" s="872">
        <f t="shared" ca="1" si="1838"/>
        <v>0</v>
      </c>
      <c r="BH950" s="922">
        <f t="shared" ca="1" si="1839"/>
        <v>0</v>
      </c>
    </row>
    <row r="951" spans="1:60" s="38" customFormat="1" ht="14.5">
      <c r="A951" s="990">
        <f t="shared" si="1778"/>
        <v>864</v>
      </c>
      <c r="B951" s="990">
        <v>1</v>
      </c>
      <c r="C951" s="990">
        <f t="shared" si="1780"/>
        <v>948</v>
      </c>
      <c r="E951" s="1243">
        <v>1</v>
      </c>
      <c r="F951" s="5"/>
      <c r="G951" s="5"/>
      <c r="H951" s="5"/>
      <c r="I951" s="331"/>
      <c r="J951" s="5"/>
      <c r="K951" s="5"/>
      <c r="L951" s="5"/>
      <c r="M951" s="4"/>
      <c r="N951" s="45"/>
      <c r="O951" s="45" t="s">
        <v>120</v>
      </c>
      <c r="P951" s="4"/>
      <c r="Q951" s="1844" t="str">
        <f>CHOOSE(2, "6722000003870", "HC PP FE/TTOC Service Total Administration/Others")</f>
        <v>HC PP FE/TTOC Service Total Administration/Others</v>
      </c>
      <c r="R951" s="2789">
        <v>12</v>
      </c>
      <c r="S951" s="2030">
        <v>13</v>
      </c>
      <c r="T951" s="2030">
        <v>12</v>
      </c>
      <c r="U951" s="2030">
        <v>12</v>
      </c>
      <c r="V951" s="2030">
        <v>12</v>
      </c>
      <c r="W951" s="2030">
        <v>11</v>
      </c>
      <c r="X951" s="2030">
        <v>11</v>
      </c>
      <c r="Y951" s="2030">
        <v>12</v>
      </c>
      <c r="Z951" s="2030">
        <v>12</v>
      </c>
      <c r="AA951" s="2030">
        <v>12</v>
      </c>
      <c r="AB951" s="2030">
        <v>13</v>
      </c>
      <c r="AC951" s="2030">
        <v>13</v>
      </c>
      <c r="AD951" s="1511">
        <f>T951</f>
        <v>12</v>
      </c>
      <c r="AE951" s="44">
        <f>W951</f>
        <v>11</v>
      </c>
      <c r="AF951" s="44">
        <f>Z951</f>
        <v>12</v>
      </c>
      <c r="AG951" s="44">
        <f>AC951</f>
        <v>13</v>
      </c>
      <c r="AH951" s="44">
        <f>AE951</f>
        <v>11</v>
      </c>
      <c r="AI951" s="44">
        <f>AG951</f>
        <v>13</v>
      </c>
      <c r="AJ951" s="44">
        <f>AI951</f>
        <v>13</v>
      </c>
      <c r="AL951" s="44">
        <f t="shared" ca="1" si="1819"/>
        <v>13</v>
      </c>
      <c r="AM951" s="44">
        <f t="shared" ca="1" si="1820"/>
        <v>0</v>
      </c>
      <c r="AN951" s="872">
        <f t="shared" ca="1" si="1821"/>
        <v>13</v>
      </c>
      <c r="AO951" s="922">
        <f t="shared" ca="1" si="1822"/>
        <v>0</v>
      </c>
      <c r="AP951" s="44">
        <f t="shared" ca="1" si="1823"/>
        <v>11</v>
      </c>
      <c r="AQ951" s="872">
        <f t="shared" ca="1" si="1824"/>
        <v>2</v>
      </c>
      <c r="AR951" s="922">
        <f t="shared" ca="1" si="1825"/>
        <v>1.1818181818181819</v>
      </c>
      <c r="AT951" s="44">
        <f t="shared" ca="1" si="1826"/>
        <v>13</v>
      </c>
      <c r="AU951" s="44">
        <f t="shared" ca="1" si="1827"/>
        <v>0</v>
      </c>
      <c r="AV951" s="872">
        <f t="shared" ca="1" si="1828"/>
        <v>13</v>
      </c>
      <c r="AW951" s="922">
        <f t="shared" ca="1" si="1829"/>
        <v>0</v>
      </c>
      <c r="AX951" s="44">
        <f t="shared" ca="1" si="1830"/>
        <v>11</v>
      </c>
      <c r="AY951" s="872">
        <f t="shared" ca="1" si="1831"/>
        <v>2</v>
      </c>
      <c r="AZ951" s="922">
        <f t="shared" ca="1" si="1832"/>
        <v>1.1818181818181819</v>
      </c>
      <c r="BB951" s="44">
        <f t="shared" ca="1" si="1833"/>
        <v>13</v>
      </c>
      <c r="BC951" s="44">
        <f t="shared" ca="1" si="1834"/>
        <v>0</v>
      </c>
      <c r="BD951" s="872">
        <f t="shared" ca="1" si="1835"/>
        <v>13</v>
      </c>
      <c r="BE951" s="922">
        <f t="shared" ca="1" si="1836"/>
        <v>0</v>
      </c>
      <c r="BF951" s="44">
        <f t="shared" ca="1" si="1837"/>
        <v>11</v>
      </c>
      <c r="BG951" s="872">
        <f t="shared" ca="1" si="1838"/>
        <v>2</v>
      </c>
      <c r="BH951" s="922">
        <f t="shared" ca="1" si="1839"/>
        <v>1.1818181818181819</v>
      </c>
    </row>
    <row r="952" spans="1:60" s="38" customFormat="1" ht="14.5">
      <c r="A952" s="990">
        <f t="shared" si="1778"/>
        <v>865</v>
      </c>
      <c r="B952" s="990">
        <v>1</v>
      </c>
      <c r="C952" s="990">
        <f t="shared" si="1780"/>
        <v>949</v>
      </c>
      <c r="D952" s="1121" t="s">
        <v>887</v>
      </c>
      <c r="E952" s="1243">
        <v>1</v>
      </c>
      <c r="F952" s="5"/>
      <c r="G952" s="5"/>
      <c r="H952" s="5"/>
      <c r="I952" s="331"/>
      <c r="J952" s="324" t="s">
        <v>276</v>
      </c>
      <c r="K952" s="48"/>
      <c r="L952" s="48"/>
      <c r="M952" s="47"/>
      <c r="N952" s="47"/>
      <c r="O952" s="47"/>
      <c r="P952" s="323"/>
      <c r="Q952" s="1851" t="str">
        <f>CHOOSE(2, "6722000003871", "HC PP FE/TTOC Marketing Total")</f>
        <v>HC PP FE/TTOC Marketing Total</v>
      </c>
      <c r="R952" s="325">
        <f>SUM(R953:R956)</f>
        <v>9</v>
      </c>
      <c r="S952" s="325">
        <f t="shared" ref="S952:AC952" si="1844">SUM(S953:S956)</f>
        <v>9</v>
      </c>
      <c r="T952" s="325">
        <f t="shared" si="1844"/>
        <v>9</v>
      </c>
      <c r="U952" s="325">
        <f t="shared" si="1844"/>
        <v>9</v>
      </c>
      <c r="V952" s="325">
        <f t="shared" si="1844"/>
        <v>9</v>
      </c>
      <c r="W952" s="325">
        <f t="shared" si="1844"/>
        <v>9</v>
      </c>
      <c r="X952" s="325">
        <f t="shared" si="1844"/>
        <v>9</v>
      </c>
      <c r="Y952" s="325">
        <f t="shared" si="1844"/>
        <v>9</v>
      </c>
      <c r="Z952" s="325">
        <f t="shared" si="1844"/>
        <v>9</v>
      </c>
      <c r="AA952" s="325">
        <f t="shared" si="1844"/>
        <v>9</v>
      </c>
      <c r="AB952" s="325">
        <f t="shared" si="1844"/>
        <v>9</v>
      </c>
      <c r="AC952" s="325">
        <f t="shared" si="1844"/>
        <v>9</v>
      </c>
      <c r="AD952" s="1278">
        <f t="shared" ref="AD952:AJ952" si="1845">SUM(AD953:AD956)</f>
        <v>9</v>
      </c>
      <c r="AE952" s="46">
        <f t="shared" si="1845"/>
        <v>9</v>
      </c>
      <c r="AF952" s="46">
        <f t="shared" si="1845"/>
        <v>9</v>
      </c>
      <c r="AG952" s="46">
        <f t="shared" si="1845"/>
        <v>9</v>
      </c>
      <c r="AH952" s="46">
        <f t="shared" si="1845"/>
        <v>9</v>
      </c>
      <c r="AI952" s="46">
        <f t="shared" si="1845"/>
        <v>9</v>
      </c>
      <c r="AJ952" s="46">
        <f t="shared" si="1845"/>
        <v>9</v>
      </c>
      <c r="AL952" s="325">
        <f t="shared" ca="1" si="1819"/>
        <v>9</v>
      </c>
      <c r="AM952" s="325">
        <f t="shared" ca="1" si="1820"/>
        <v>0</v>
      </c>
      <c r="AN952" s="915">
        <f t="shared" ca="1" si="1821"/>
        <v>9</v>
      </c>
      <c r="AO952" s="976">
        <f t="shared" ca="1" si="1822"/>
        <v>0</v>
      </c>
      <c r="AP952" s="325">
        <f t="shared" ca="1" si="1823"/>
        <v>9</v>
      </c>
      <c r="AQ952" s="915">
        <f t="shared" ca="1" si="1824"/>
        <v>0</v>
      </c>
      <c r="AR952" s="976">
        <f t="shared" ca="1" si="1825"/>
        <v>1</v>
      </c>
      <c r="AT952" s="325">
        <f t="shared" ca="1" si="1826"/>
        <v>9</v>
      </c>
      <c r="AU952" s="325">
        <f t="shared" ca="1" si="1827"/>
        <v>0</v>
      </c>
      <c r="AV952" s="915">
        <f t="shared" ca="1" si="1828"/>
        <v>9</v>
      </c>
      <c r="AW952" s="976">
        <f t="shared" ca="1" si="1829"/>
        <v>0</v>
      </c>
      <c r="AX952" s="325">
        <f t="shared" ca="1" si="1830"/>
        <v>9</v>
      </c>
      <c r="AY952" s="915">
        <f t="shared" ca="1" si="1831"/>
        <v>0</v>
      </c>
      <c r="AZ952" s="976">
        <f t="shared" ca="1" si="1832"/>
        <v>1</v>
      </c>
      <c r="BB952" s="325">
        <f t="shared" ca="1" si="1833"/>
        <v>9</v>
      </c>
      <c r="BC952" s="325">
        <f t="shared" ca="1" si="1834"/>
        <v>0</v>
      </c>
      <c r="BD952" s="915">
        <f t="shared" ca="1" si="1835"/>
        <v>9</v>
      </c>
      <c r="BE952" s="976">
        <f t="shared" ca="1" si="1836"/>
        <v>0</v>
      </c>
      <c r="BF952" s="325">
        <f t="shared" ca="1" si="1837"/>
        <v>9</v>
      </c>
      <c r="BG952" s="915">
        <f t="shared" ca="1" si="1838"/>
        <v>0</v>
      </c>
      <c r="BH952" s="976">
        <f t="shared" ca="1" si="1839"/>
        <v>1</v>
      </c>
    </row>
    <row r="953" spans="1:60" s="38" customFormat="1" ht="14.5">
      <c r="A953" s="990">
        <f t="shared" si="1778"/>
        <v>866</v>
      </c>
      <c r="B953" s="990">
        <v>1</v>
      </c>
      <c r="C953" s="990">
        <f t="shared" si="1780"/>
        <v>950</v>
      </c>
      <c r="E953" s="1243">
        <v>1</v>
      </c>
      <c r="F953" s="5"/>
      <c r="G953" s="5"/>
      <c r="H953" s="5"/>
      <c r="I953" s="331"/>
      <c r="J953" s="5"/>
      <c r="K953" s="5"/>
      <c r="L953" s="5"/>
      <c r="M953" s="4"/>
      <c r="N953" s="45"/>
      <c r="O953" s="45" t="s">
        <v>323</v>
      </c>
      <c r="P953" s="4"/>
      <c r="Q953" s="1844" t="str">
        <f>CHOOSE(2, "6722000003872", "HC PP FE/TTOC Marketing Total Business Development")</f>
        <v>HC PP FE/TTOC Marketing Total Business Development</v>
      </c>
      <c r="R953" s="2789">
        <v>6</v>
      </c>
      <c r="S953" s="2030">
        <v>6</v>
      </c>
      <c r="T953" s="2030">
        <v>6</v>
      </c>
      <c r="U953" s="2030">
        <v>6</v>
      </c>
      <c r="V953" s="2030">
        <v>6</v>
      </c>
      <c r="W953" s="2030">
        <v>6</v>
      </c>
      <c r="X953" s="2030">
        <v>6</v>
      </c>
      <c r="Y953" s="2030">
        <v>6</v>
      </c>
      <c r="Z953" s="2030">
        <v>6</v>
      </c>
      <c r="AA953" s="2030">
        <v>6</v>
      </c>
      <c r="AB953" s="2030">
        <v>6</v>
      </c>
      <c r="AC953" s="2030">
        <v>6</v>
      </c>
      <c r="AD953" s="1511">
        <f>T953</f>
        <v>6</v>
      </c>
      <c r="AE953" s="44">
        <f>W953</f>
        <v>6</v>
      </c>
      <c r="AF953" s="44">
        <f>Z953</f>
        <v>6</v>
      </c>
      <c r="AG953" s="44">
        <f>AC953</f>
        <v>6</v>
      </c>
      <c r="AH953" s="44">
        <f>AE953</f>
        <v>6</v>
      </c>
      <c r="AI953" s="44">
        <f>AG953</f>
        <v>6</v>
      </c>
      <c r="AJ953" s="44">
        <f>AI953</f>
        <v>6</v>
      </c>
      <c r="AL953" s="44">
        <f t="shared" ca="1" si="1819"/>
        <v>6</v>
      </c>
      <c r="AM953" s="44">
        <f t="shared" ca="1" si="1820"/>
        <v>0</v>
      </c>
      <c r="AN953" s="872">
        <f t="shared" ca="1" si="1821"/>
        <v>6</v>
      </c>
      <c r="AO953" s="922">
        <f t="shared" ca="1" si="1822"/>
        <v>0</v>
      </c>
      <c r="AP953" s="44">
        <f t="shared" ca="1" si="1823"/>
        <v>6</v>
      </c>
      <c r="AQ953" s="872">
        <f t="shared" ca="1" si="1824"/>
        <v>0</v>
      </c>
      <c r="AR953" s="922">
        <f t="shared" ca="1" si="1825"/>
        <v>1</v>
      </c>
      <c r="AT953" s="44">
        <f t="shared" ca="1" si="1826"/>
        <v>6</v>
      </c>
      <c r="AU953" s="44">
        <f t="shared" ca="1" si="1827"/>
        <v>0</v>
      </c>
      <c r="AV953" s="872">
        <f t="shared" ca="1" si="1828"/>
        <v>6</v>
      </c>
      <c r="AW953" s="922">
        <f t="shared" ca="1" si="1829"/>
        <v>0</v>
      </c>
      <c r="AX953" s="44">
        <f t="shared" ca="1" si="1830"/>
        <v>6</v>
      </c>
      <c r="AY953" s="872">
        <f t="shared" ca="1" si="1831"/>
        <v>0</v>
      </c>
      <c r="AZ953" s="922">
        <f t="shared" ca="1" si="1832"/>
        <v>1</v>
      </c>
      <c r="BB953" s="44">
        <f t="shared" ca="1" si="1833"/>
        <v>6</v>
      </c>
      <c r="BC953" s="44">
        <f t="shared" ca="1" si="1834"/>
        <v>0</v>
      </c>
      <c r="BD953" s="872">
        <f t="shared" ca="1" si="1835"/>
        <v>6</v>
      </c>
      <c r="BE953" s="922">
        <f t="shared" ca="1" si="1836"/>
        <v>0</v>
      </c>
      <c r="BF953" s="44">
        <f t="shared" ca="1" si="1837"/>
        <v>6</v>
      </c>
      <c r="BG953" s="872">
        <f t="shared" ca="1" si="1838"/>
        <v>0</v>
      </c>
      <c r="BH953" s="922">
        <f t="shared" ca="1" si="1839"/>
        <v>1</v>
      </c>
    </row>
    <row r="954" spans="1:60" s="38" customFormat="1" ht="14.5">
      <c r="A954" s="990">
        <f t="shared" si="1778"/>
        <v>867</v>
      </c>
      <c r="B954" s="990">
        <v>1</v>
      </c>
      <c r="C954" s="990">
        <f t="shared" si="1780"/>
        <v>951</v>
      </c>
      <c r="E954" s="1243">
        <v>1</v>
      </c>
      <c r="F954" s="5"/>
      <c r="G954" s="5"/>
      <c r="H954" s="5"/>
      <c r="I954" s="331"/>
      <c r="J954" s="5"/>
      <c r="K954" s="5"/>
      <c r="L954" s="5"/>
      <c r="M954" s="4"/>
      <c r="N954" s="45"/>
      <c r="O954" s="45" t="s">
        <v>324</v>
      </c>
      <c r="P954" s="4"/>
      <c r="Q954" s="1844" t="str">
        <f>CHOOSE(2, "6722000003873", "HC PP FE/TTOC Marketing Total Channel Marketing")</f>
        <v>HC PP FE/TTOC Marketing Total Channel Marketing</v>
      </c>
      <c r="R954" s="2789">
        <v>0</v>
      </c>
      <c r="S954" s="2030">
        <v>0</v>
      </c>
      <c r="T954" s="2030">
        <v>0</v>
      </c>
      <c r="U954" s="2030">
        <v>0</v>
      </c>
      <c r="V954" s="2030">
        <v>0</v>
      </c>
      <c r="W954" s="2030">
        <v>0</v>
      </c>
      <c r="X954" s="2030">
        <v>0</v>
      </c>
      <c r="Y954" s="2030">
        <v>0</v>
      </c>
      <c r="Z954" s="2030">
        <v>0</v>
      </c>
      <c r="AA954" s="2030">
        <v>0</v>
      </c>
      <c r="AB954" s="2030">
        <v>0</v>
      </c>
      <c r="AC954" s="2030">
        <v>0</v>
      </c>
      <c r="AD954" s="1511">
        <f>T954</f>
        <v>0</v>
      </c>
      <c r="AE954" s="44">
        <f>W954</f>
        <v>0</v>
      </c>
      <c r="AF954" s="44">
        <f>Z954</f>
        <v>0</v>
      </c>
      <c r="AG954" s="44">
        <f>AC954</f>
        <v>0</v>
      </c>
      <c r="AH954" s="44">
        <f>AE954</f>
        <v>0</v>
      </c>
      <c r="AI954" s="44">
        <f>AG954</f>
        <v>0</v>
      </c>
      <c r="AJ954" s="44">
        <f>AI954</f>
        <v>0</v>
      </c>
      <c r="AL954" s="44">
        <f t="shared" ca="1" si="1819"/>
        <v>0</v>
      </c>
      <c r="AM954" s="44">
        <f t="shared" ca="1" si="1820"/>
        <v>0</v>
      </c>
      <c r="AN954" s="872">
        <f t="shared" ca="1" si="1821"/>
        <v>0</v>
      </c>
      <c r="AO954" s="922">
        <f t="shared" ca="1" si="1822"/>
        <v>0</v>
      </c>
      <c r="AP954" s="44">
        <f t="shared" ca="1" si="1823"/>
        <v>0</v>
      </c>
      <c r="AQ954" s="872">
        <f t="shared" ca="1" si="1824"/>
        <v>0</v>
      </c>
      <c r="AR954" s="922">
        <f t="shared" ca="1" si="1825"/>
        <v>0</v>
      </c>
      <c r="AT954" s="44">
        <f t="shared" ca="1" si="1826"/>
        <v>0</v>
      </c>
      <c r="AU954" s="44">
        <f t="shared" ca="1" si="1827"/>
        <v>0</v>
      </c>
      <c r="AV954" s="872">
        <f t="shared" ca="1" si="1828"/>
        <v>0</v>
      </c>
      <c r="AW954" s="922">
        <f t="shared" ca="1" si="1829"/>
        <v>0</v>
      </c>
      <c r="AX954" s="44">
        <f t="shared" ca="1" si="1830"/>
        <v>0</v>
      </c>
      <c r="AY954" s="872">
        <f t="shared" ca="1" si="1831"/>
        <v>0</v>
      </c>
      <c r="AZ954" s="922">
        <f t="shared" ca="1" si="1832"/>
        <v>0</v>
      </c>
      <c r="BB954" s="44">
        <f t="shared" ca="1" si="1833"/>
        <v>0</v>
      </c>
      <c r="BC954" s="44">
        <f t="shared" ca="1" si="1834"/>
        <v>0</v>
      </c>
      <c r="BD954" s="872">
        <f t="shared" ca="1" si="1835"/>
        <v>0</v>
      </c>
      <c r="BE954" s="922">
        <f t="shared" ca="1" si="1836"/>
        <v>0</v>
      </c>
      <c r="BF954" s="44">
        <f t="shared" ca="1" si="1837"/>
        <v>0</v>
      </c>
      <c r="BG954" s="872">
        <f t="shared" ca="1" si="1838"/>
        <v>0</v>
      </c>
      <c r="BH954" s="922">
        <f t="shared" ca="1" si="1839"/>
        <v>0</v>
      </c>
    </row>
    <row r="955" spans="1:60" s="38" customFormat="1" ht="14.5">
      <c r="A955" s="990">
        <f t="shared" si="1778"/>
        <v>868</v>
      </c>
      <c r="B955" s="990">
        <v>1</v>
      </c>
      <c r="C955" s="990">
        <f t="shared" si="1780"/>
        <v>952</v>
      </c>
      <c r="E955" s="1243">
        <v>1</v>
      </c>
      <c r="F955" s="5"/>
      <c r="G955" s="5"/>
      <c r="H955" s="5"/>
      <c r="I955" s="331"/>
      <c r="J955" s="5"/>
      <c r="K955" s="5"/>
      <c r="L955" s="5"/>
      <c r="M955" s="4"/>
      <c r="N955" s="45"/>
      <c r="O955" s="45" t="s">
        <v>325</v>
      </c>
      <c r="P955" s="4"/>
      <c r="Q955" s="1844" t="str">
        <f>CHOOSE(2, "6722000003874", "HC PP FE/TTOC Marketing Total Product Marketing")</f>
        <v>HC PP FE/TTOC Marketing Total Product Marketing</v>
      </c>
      <c r="R955" s="2789">
        <v>1</v>
      </c>
      <c r="S955" s="2030">
        <v>1</v>
      </c>
      <c r="T955" s="2030">
        <v>1</v>
      </c>
      <c r="U955" s="2030">
        <v>1</v>
      </c>
      <c r="V955" s="2030">
        <v>1</v>
      </c>
      <c r="W955" s="2030">
        <v>1</v>
      </c>
      <c r="X955" s="2030">
        <v>1</v>
      </c>
      <c r="Y955" s="2030">
        <v>1</v>
      </c>
      <c r="Z955" s="2030">
        <v>1</v>
      </c>
      <c r="AA955" s="2030">
        <v>1</v>
      </c>
      <c r="AB955" s="2030">
        <v>1</v>
      </c>
      <c r="AC955" s="2030">
        <v>1</v>
      </c>
      <c r="AD955" s="1511">
        <f>T955</f>
        <v>1</v>
      </c>
      <c r="AE955" s="44">
        <f>W955</f>
        <v>1</v>
      </c>
      <c r="AF955" s="44">
        <f>Z955</f>
        <v>1</v>
      </c>
      <c r="AG955" s="44">
        <f>AC955</f>
        <v>1</v>
      </c>
      <c r="AH955" s="44">
        <f>AE955</f>
        <v>1</v>
      </c>
      <c r="AI955" s="44">
        <f>AG955</f>
        <v>1</v>
      </c>
      <c r="AJ955" s="44">
        <f>AI955</f>
        <v>1</v>
      </c>
      <c r="AL955" s="44">
        <f t="shared" ca="1" si="1819"/>
        <v>1</v>
      </c>
      <c r="AM955" s="44">
        <f t="shared" ca="1" si="1820"/>
        <v>0</v>
      </c>
      <c r="AN955" s="872">
        <f t="shared" ca="1" si="1821"/>
        <v>1</v>
      </c>
      <c r="AO955" s="922">
        <f t="shared" ca="1" si="1822"/>
        <v>0</v>
      </c>
      <c r="AP955" s="44">
        <f t="shared" ca="1" si="1823"/>
        <v>1</v>
      </c>
      <c r="AQ955" s="872">
        <f t="shared" ca="1" si="1824"/>
        <v>0</v>
      </c>
      <c r="AR955" s="922">
        <f t="shared" ca="1" si="1825"/>
        <v>1</v>
      </c>
      <c r="AT955" s="44">
        <f t="shared" ca="1" si="1826"/>
        <v>1</v>
      </c>
      <c r="AU955" s="44">
        <f t="shared" ca="1" si="1827"/>
        <v>0</v>
      </c>
      <c r="AV955" s="872">
        <f t="shared" ca="1" si="1828"/>
        <v>1</v>
      </c>
      <c r="AW955" s="922">
        <f t="shared" ca="1" si="1829"/>
        <v>0</v>
      </c>
      <c r="AX955" s="44">
        <f t="shared" ca="1" si="1830"/>
        <v>1</v>
      </c>
      <c r="AY955" s="872">
        <f t="shared" ca="1" si="1831"/>
        <v>0</v>
      </c>
      <c r="AZ955" s="922">
        <f t="shared" ca="1" si="1832"/>
        <v>1</v>
      </c>
      <c r="BB955" s="44">
        <f t="shared" ca="1" si="1833"/>
        <v>1</v>
      </c>
      <c r="BC955" s="44">
        <f t="shared" ca="1" si="1834"/>
        <v>0</v>
      </c>
      <c r="BD955" s="872">
        <f t="shared" ca="1" si="1835"/>
        <v>1</v>
      </c>
      <c r="BE955" s="922">
        <f t="shared" ca="1" si="1836"/>
        <v>0</v>
      </c>
      <c r="BF955" s="44">
        <f t="shared" ca="1" si="1837"/>
        <v>1</v>
      </c>
      <c r="BG955" s="872">
        <f t="shared" ca="1" si="1838"/>
        <v>0</v>
      </c>
      <c r="BH955" s="922">
        <f t="shared" ca="1" si="1839"/>
        <v>1</v>
      </c>
    </row>
    <row r="956" spans="1:60" s="38" customFormat="1" ht="14.5">
      <c r="A956" s="990">
        <f t="shared" si="1778"/>
        <v>869</v>
      </c>
      <c r="B956" s="990">
        <v>1</v>
      </c>
      <c r="C956" s="990">
        <f t="shared" si="1780"/>
        <v>953</v>
      </c>
      <c r="E956" s="1243">
        <v>1</v>
      </c>
      <c r="F956" s="5"/>
      <c r="G956" s="5"/>
      <c r="H956" s="5"/>
      <c r="I956" s="331"/>
      <c r="J956" s="3"/>
      <c r="K956" s="3"/>
      <c r="L956" s="3"/>
      <c r="M956" s="2"/>
      <c r="N956" s="43"/>
      <c r="O956" s="43" t="s">
        <v>326</v>
      </c>
      <c r="P956" s="2"/>
      <c r="Q956" s="1844" t="str">
        <f>CHOOSE(2, "6722000003875", "HC PP FE/TTOC Marketing Total MC / O")</f>
        <v>HC PP FE/TTOC Marketing Total MC / O</v>
      </c>
      <c r="R956" s="2790">
        <v>2</v>
      </c>
      <c r="S956" s="2029">
        <v>2</v>
      </c>
      <c r="T956" s="2029">
        <v>2</v>
      </c>
      <c r="U956" s="2029">
        <v>2</v>
      </c>
      <c r="V956" s="2029">
        <v>2</v>
      </c>
      <c r="W956" s="2029">
        <v>2</v>
      </c>
      <c r="X956" s="2029">
        <v>2</v>
      </c>
      <c r="Y956" s="2029">
        <v>2</v>
      </c>
      <c r="Z956" s="2029">
        <v>2</v>
      </c>
      <c r="AA956" s="2029">
        <v>2</v>
      </c>
      <c r="AB956" s="2029">
        <v>2</v>
      </c>
      <c r="AC956" s="2029">
        <v>2</v>
      </c>
      <c r="AD956" s="1554">
        <f>T956</f>
        <v>2</v>
      </c>
      <c r="AE956" s="42">
        <f>W956</f>
        <v>2</v>
      </c>
      <c r="AF956" s="42">
        <f>Z956</f>
        <v>2</v>
      </c>
      <c r="AG956" s="42">
        <f>AC956</f>
        <v>2</v>
      </c>
      <c r="AH956" s="42">
        <f>AE956</f>
        <v>2</v>
      </c>
      <c r="AI956" s="42">
        <f>AG956</f>
        <v>2</v>
      </c>
      <c r="AJ956" s="42">
        <f>AI956</f>
        <v>2</v>
      </c>
      <c r="AL956" s="42">
        <f t="shared" ca="1" si="1819"/>
        <v>2</v>
      </c>
      <c r="AM956" s="42">
        <f t="shared" ca="1" si="1820"/>
        <v>0</v>
      </c>
      <c r="AN956" s="914">
        <f t="shared" ca="1" si="1821"/>
        <v>2</v>
      </c>
      <c r="AO956" s="975">
        <f t="shared" ca="1" si="1822"/>
        <v>0</v>
      </c>
      <c r="AP956" s="42">
        <f t="shared" ca="1" si="1823"/>
        <v>2</v>
      </c>
      <c r="AQ956" s="914">
        <f t="shared" ca="1" si="1824"/>
        <v>0</v>
      </c>
      <c r="AR956" s="975">
        <f t="shared" ca="1" si="1825"/>
        <v>1</v>
      </c>
      <c r="AT956" s="42">
        <f t="shared" ca="1" si="1826"/>
        <v>2</v>
      </c>
      <c r="AU956" s="42">
        <f t="shared" ca="1" si="1827"/>
        <v>0</v>
      </c>
      <c r="AV956" s="914">
        <f t="shared" ca="1" si="1828"/>
        <v>2</v>
      </c>
      <c r="AW956" s="975">
        <f t="shared" ca="1" si="1829"/>
        <v>0</v>
      </c>
      <c r="AX956" s="42">
        <f t="shared" ca="1" si="1830"/>
        <v>2</v>
      </c>
      <c r="AY956" s="914">
        <f t="shared" ca="1" si="1831"/>
        <v>0</v>
      </c>
      <c r="AZ956" s="975">
        <f t="shared" ca="1" si="1832"/>
        <v>1</v>
      </c>
      <c r="BB956" s="42">
        <f t="shared" ca="1" si="1833"/>
        <v>2</v>
      </c>
      <c r="BC956" s="42">
        <f t="shared" ca="1" si="1834"/>
        <v>0</v>
      </c>
      <c r="BD956" s="914">
        <f t="shared" ca="1" si="1835"/>
        <v>2</v>
      </c>
      <c r="BE956" s="975">
        <f t="shared" ca="1" si="1836"/>
        <v>0</v>
      </c>
      <c r="BF956" s="42">
        <f t="shared" ca="1" si="1837"/>
        <v>2</v>
      </c>
      <c r="BG956" s="914">
        <f t="shared" ca="1" si="1838"/>
        <v>0</v>
      </c>
      <c r="BH956" s="975">
        <f t="shared" ca="1" si="1839"/>
        <v>1</v>
      </c>
    </row>
    <row r="957" spans="1:60" s="38" customFormat="1" ht="14.5">
      <c r="A957" s="990">
        <f t="shared" si="1778"/>
        <v>870</v>
      </c>
      <c r="B957" s="990">
        <v>1</v>
      </c>
      <c r="C957" s="990">
        <f t="shared" si="1780"/>
        <v>954</v>
      </c>
      <c r="D957" s="1121" t="s">
        <v>887</v>
      </c>
      <c r="E957" s="1243">
        <v>1</v>
      </c>
      <c r="F957" s="5"/>
      <c r="G957" s="5"/>
      <c r="H957" s="5"/>
      <c r="I957" s="331"/>
      <c r="J957" s="52" t="s">
        <v>231</v>
      </c>
      <c r="K957" s="52"/>
      <c r="L957" s="52"/>
      <c r="M957" s="51"/>
      <c r="N957" s="51"/>
      <c r="O957" s="51"/>
      <c r="P957" s="51"/>
      <c r="Q957" s="1851" t="str">
        <f>CHOOSE(2, "6722000003876", "HC PP FE/TTOC Administration Total")</f>
        <v>HC PP FE/TTOC Administration Total</v>
      </c>
      <c r="R957" s="49">
        <f>SUM(R958:R962)</f>
        <v>47</v>
      </c>
      <c r="S957" s="49">
        <f t="shared" ref="S957:AC957" si="1846">SUM(S958:S962)</f>
        <v>47</v>
      </c>
      <c r="T957" s="49">
        <f t="shared" si="1846"/>
        <v>47</v>
      </c>
      <c r="U957" s="49">
        <f t="shared" si="1846"/>
        <v>47</v>
      </c>
      <c r="V957" s="49">
        <f t="shared" si="1846"/>
        <v>47</v>
      </c>
      <c r="W957" s="49">
        <f t="shared" si="1846"/>
        <v>48</v>
      </c>
      <c r="X957" s="49">
        <f t="shared" si="1846"/>
        <v>47</v>
      </c>
      <c r="Y957" s="49">
        <f t="shared" si="1846"/>
        <v>46</v>
      </c>
      <c r="Z957" s="49">
        <f t="shared" si="1846"/>
        <v>46</v>
      </c>
      <c r="AA957" s="49">
        <f t="shared" si="1846"/>
        <v>48</v>
      </c>
      <c r="AB957" s="49">
        <f t="shared" si="1846"/>
        <v>48</v>
      </c>
      <c r="AC957" s="49">
        <f t="shared" si="1846"/>
        <v>48</v>
      </c>
      <c r="AD957" s="1553">
        <f t="shared" ref="AD957:AJ957" si="1847">SUM(AD958:AD962)</f>
        <v>47</v>
      </c>
      <c r="AE957" s="49">
        <f t="shared" si="1847"/>
        <v>48</v>
      </c>
      <c r="AF957" s="49">
        <f t="shared" si="1847"/>
        <v>46</v>
      </c>
      <c r="AG957" s="49">
        <f t="shared" si="1847"/>
        <v>48</v>
      </c>
      <c r="AH957" s="49">
        <f t="shared" si="1847"/>
        <v>48</v>
      </c>
      <c r="AI957" s="49">
        <f t="shared" si="1847"/>
        <v>48</v>
      </c>
      <c r="AJ957" s="49">
        <f t="shared" si="1847"/>
        <v>48</v>
      </c>
      <c r="AL957" s="49">
        <f t="shared" ca="1" si="1819"/>
        <v>48</v>
      </c>
      <c r="AM957" s="49">
        <f t="shared" ca="1" si="1820"/>
        <v>0</v>
      </c>
      <c r="AN957" s="913">
        <f t="shared" ca="1" si="1821"/>
        <v>48</v>
      </c>
      <c r="AO957" s="974">
        <f t="shared" ca="1" si="1822"/>
        <v>0</v>
      </c>
      <c r="AP957" s="49">
        <f t="shared" ca="1" si="1823"/>
        <v>48</v>
      </c>
      <c r="AQ957" s="913">
        <f t="shared" ca="1" si="1824"/>
        <v>0</v>
      </c>
      <c r="AR957" s="974">
        <f t="shared" ca="1" si="1825"/>
        <v>1</v>
      </c>
      <c r="AT957" s="49">
        <f t="shared" ca="1" si="1826"/>
        <v>48</v>
      </c>
      <c r="AU957" s="49">
        <f t="shared" ca="1" si="1827"/>
        <v>0</v>
      </c>
      <c r="AV957" s="913">
        <f t="shared" ca="1" si="1828"/>
        <v>48</v>
      </c>
      <c r="AW957" s="974">
        <f t="shared" ca="1" si="1829"/>
        <v>0</v>
      </c>
      <c r="AX957" s="49">
        <f t="shared" ca="1" si="1830"/>
        <v>48</v>
      </c>
      <c r="AY957" s="913">
        <f t="shared" ca="1" si="1831"/>
        <v>0</v>
      </c>
      <c r="AZ957" s="974">
        <f t="shared" ca="1" si="1832"/>
        <v>1</v>
      </c>
      <c r="BB957" s="49">
        <f t="shared" ca="1" si="1833"/>
        <v>48</v>
      </c>
      <c r="BC957" s="49">
        <f t="shared" ca="1" si="1834"/>
        <v>0</v>
      </c>
      <c r="BD957" s="913">
        <f t="shared" ca="1" si="1835"/>
        <v>48</v>
      </c>
      <c r="BE957" s="974">
        <f t="shared" ca="1" si="1836"/>
        <v>0</v>
      </c>
      <c r="BF957" s="49">
        <f t="shared" ca="1" si="1837"/>
        <v>48</v>
      </c>
      <c r="BG957" s="913">
        <f t="shared" ca="1" si="1838"/>
        <v>0</v>
      </c>
      <c r="BH957" s="974">
        <f t="shared" ca="1" si="1839"/>
        <v>1</v>
      </c>
    </row>
    <row r="958" spans="1:60" s="38" customFormat="1" ht="14.5">
      <c r="A958" s="990">
        <f t="shared" si="1778"/>
        <v>871</v>
      </c>
      <c r="B958" s="990">
        <v>1</v>
      </c>
      <c r="C958" s="990">
        <f t="shared" si="1780"/>
        <v>955</v>
      </c>
      <c r="E958" s="1243">
        <v>1</v>
      </c>
      <c r="F958" s="5"/>
      <c r="G958" s="5"/>
      <c r="H958" s="5"/>
      <c r="I958" s="331"/>
      <c r="J958" s="5"/>
      <c r="K958" s="5"/>
      <c r="L958" s="4"/>
      <c r="M958" s="4"/>
      <c r="N958" s="45"/>
      <c r="O958" s="45" t="s">
        <v>119</v>
      </c>
      <c r="P958" s="45"/>
      <c r="Q958" s="1844" t="str">
        <f>CHOOSE(2, "6722000003877", "HC PP FE/TTOC Administration Total IT")</f>
        <v>HC PP FE/TTOC Administration Total IT</v>
      </c>
      <c r="R958" s="2789">
        <v>5</v>
      </c>
      <c r="S958" s="2030">
        <v>5</v>
      </c>
      <c r="T958" s="2030">
        <v>5</v>
      </c>
      <c r="U958" s="2030">
        <v>5</v>
      </c>
      <c r="V958" s="2030">
        <v>5</v>
      </c>
      <c r="W958" s="2030">
        <v>5</v>
      </c>
      <c r="X958" s="2030">
        <v>5</v>
      </c>
      <c r="Y958" s="2030">
        <v>5</v>
      </c>
      <c r="Z958" s="2030">
        <v>6</v>
      </c>
      <c r="AA958" s="2030">
        <v>6</v>
      </c>
      <c r="AB958" s="2030">
        <v>6</v>
      </c>
      <c r="AC958" s="2030">
        <v>6</v>
      </c>
      <c r="AD958" s="1511">
        <f>T958</f>
        <v>5</v>
      </c>
      <c r="AE958" s="44">
        <f>W958</f>
        <v>5</v>
      </c>
      <c r="AF958" s="44">
        <f>Z958</f>
        <v>6</v>
      </c>
      <c r="AG958" s="44">
        <f>AC958</f>
        <v>6</v>
      </c>
      <c r="AH958" s="44">
        <f>AE958</f>
        <v>5</v>
      </c>
      <c r="AI958" s="44">
        <f>AG958</f>
        <v>6</v>
      </c>
      <c r="AJ958" s="44">
        <f>AI958</f>
        <v>6</v>
      </c>
      <c r="AL958" s="44">
        <f t="shared" ca="1" si="1819"/>
        <v>6</v>
      </c>
      <c r="AM958" s="44">
        <f t="shared" ca="1" si="1820"/>
        <v>0</v>
      </c>
      <c r="AN958" s="872">
        <f t="shared" ca="1" si="1821"/>
        <v>6</v>
      </c>
      <c r="AO958" s="922">
        <f t="shared" ca="1" si="1822"/>
        <v>0</v>
      </c>
      <c r="AP958" s="44">
        <f t="shared" ca="1" si="1823"/>
        <v>5</v>
      </c>
      <c r="AQ958" s="872">
        <f t="shared" ca="1" si="1824"/>
        <v>1</v>
      </c>
      <c r="AR958" s="922">
        <f t="shared" ca="1" si="1825"/>
        <v>1.2</v>
      </c>
      <c r="AT958" s="44">
        <f t="shared" ca="1" si="1826"/>
        <v>6</v>
      </c>
      <c r="AU958" s="44">
        <f t="shared" ca="1" si="1827"/>
        <v>0</v>
      </c>
      <c r="AV958" s="872">
        <f t="shared" ca="1" si="1828"/>
        <v>6</v>
      </c>
      <c r="AW958" s="922">
        <f t="shared" ca="1" si="1829"/>
        <v>0</v>
      </c>
      <c r="AX958" s="44">
        <f t="shared" ca="1" si="1830"/>
        <v>5</v>
      </c>
      <c r="AY958" s="872">
        <f t="shared" ca="1" si="1831"/>
        <v>1</v>
      </c>
      <c r="AZ958" s="922">
        <f t="shared" ca="1" si="1832"/>
        <v>1.2</v>
      </c>
      <c r="BB958" s="44">
        <f t="shared" ca="1" si="1833"/>
        <v>6</v>
      </c>
      <c r="BC958" s="44">
        <f t="shared" ca="1" si="1834"/>
        <v>0</v>
      </c>
      <c r="BD958" s="872">
        <f t="shared" ca="1" si="1835"/>
        <v>6</v>
      </c>
      <c r="BE958" s="922">
        <f t="shared" ca="1" si="1836"/>
        <v>0</v>
      </c>
      <c r="BF958" s="44">
        <f t="shared" ca="1" si="1837"/>
        <v>5</v>
      </c>
      <c r="BG958" s="872">
        <f t="shared" ca="1" si="1838"/>
        <v>1</v>
      </c>
      <c r="BH958" s="922">
        <f t="shared" ca="1" si="1839"/>
        <v>1.2</v>
      </c>
    </row>
    <row r="959" spans="1:60" s="38" customFormat="1" ht="14.5">
      <c r="A959" s="990">
        <f t="shared" si="1778"/>
        <v>872</v>
      </c>
      <c r="B959" s="990">
        <v>1</v>
      </c>
      <c r="C959" s="990">
        <f t="shared" si="1780"/>
        <v>956</v>
      </c>
      <c r="E959" s="1243">
        <v>1</v>
      </c>
      <c r="F959" s="5"/>
      <c r="G959" s="5"/>
      <c r="H959" s="5"/>
      <c r="I959" s="331"/>
      <c r="J959" s="5"/>
      <c r="K959" s="5"/>
      <c r="L959" s="4"/>
      <c r="M959" s="4"/>
      <c r="N959" s="45"/>
      <c r="O959" s="45" t="s">
        <v>75</v>
      </c>
      <c r="P959" s="45"/>
      <c r="Q959" s="1844" t="str">
        <f>CHOOSE(2, "6722000003878", "HC PP FE/TTOC Administration Total Finance")</f>
        <v>HC PP FE/TTOC Administration Total Finance</v>
      </c>
      <c r="R959" s="2789">
        <v>28</v>
      </c>
      <c r="S959" s="2030">
        <v>28</v>
      </c>
      <c r="T959" s="2030">
        <v>28</v>
      </c>
      <c r="U959" s="2030">
        <v>28</v>
      </c>
      <c r="V959" s="2030">
        <v>28</v>
      </c>
      <c r="W959" s="2030">
        <v>29</v>
      </c>
      <c r="X959" s="2030">
        <v>29</v>
      </c>
      <c r="Y959" s="2030">
        <v>28</v>
      </c>
      <c r="Z959" s="2030">
        <v>27</v>
      </c>
      <c r="AA959" s="2030">
        <v>27</v>
      </c>
      <c r="AB959" s="2030">
        <v>27</v>
      </c>
      <c r="AC959" s="2030">
        <v>27</v>
      </c>
      <c r="AD959" s="1511">
        <f>T959</f>
        <v>28</v>
      </c>
      <c r="AE959" s="44">
        <f>W959</f>
        <v>29</v>
      </c>
      <c r="AF959" s="44">
        <f>Z959</f>
        <v>27</v>
      </c>
      <c r="AG959" s="44">
        <f>AC959</f>
        <v>27</v>
      </c>
      <c r="AH959" s="44">
        <f>AE959</f>
        <v>29</v>
      </c>
      <c r="AI959" s="44">
        <f>AG959</f>
        <v>27</v>
      </c>
      <c r="AJ959" s="44">
        <f>AI959</f>
        <v>27</v>
      </c>
      <c r="AL959" s="44">
        <f t="shared" ca="1" si="1819"/>
        <v>27</v>
      </c>
      <c r="AM959" s="44">
        <f t="shared" ca="1" si="1820"/>
        <v>0</v>
      </c>
      <c r="AN959" s="872">
        <f t="shared" ca="1" si="1821"/>
        <v>27</v>
      </c>
      <c r="AO959" s="922">
        <f t="shared" ca="1" si="1822"/>
        <v>0</v>
      </c>
      <c r="AP959" s="44">
        <f t="shared" ca="1" si="1823"/>
        <v>28</v>
      </c>
      <c r="AQ959" s="872">
        <f t="shared" ca="1" si="1824"/>
        <v>-1</v>
      </c>
      <c r="AR959" s="922">
        <f t="shared" ca="1" si="1825"/>
        <v>0.9642857142857143</v>
      </c>
      <c r="AT959" s="44">
        <f t="shared" ca="1" si="1826"/>
        <v>27</v>
      </c>
      <c r="AU959" s="44">
        <f t="shared" ca="1" si="1827"/>
        <v>0</v>
      </c>
      <c r="AV959" s="872">
        <f t="shared" ca="1" si="1828"/>
        <v>27</v>
      </c>
      <c r="AW959" s="922">
        <f t="shared" ca="1" si="1829"/>
        <v>0</v>
      </c>
      <c r="AX959" s="44">
        <f t="shared" ca="1" si="1830"/>
        <v>28</v>
      </c>
      <c r="AY959" s="872">
        <f t="shared" ca="1" si="1831"/>
        <v>-1</v>
      </c>
      <c r="AZ959" s="922">
        <f t="shared" ca="1" si="1832"/>
        <v>0.9642857142857143</v>
      </c>
      <c r="BB959" s="44">
        <f t="shared" ca="1" si="1833"/>
        <v>27</v>
      </c>
      <c r="BC959" s="44">
        <f t="shared" ca="1" si="1834"/>
        <v>0</v>
      </c>
      <c r="BD959" s="872">
        <f t="shared" ca="1" si="1835"/>
        <v>27</v>
      </c>
      <c r="BE959" s="922">
        <f t="shared" ca="1" si="1836"/>
        <v>0</v>
      </c>
      <c r="BF959" s="44">
        <f t="shared" ca="1" si="1837"/>
        <v>28</v>
      </c>
      <c r="BG959" s="872">
        <f t="shared" ca="1" si="1838"/>
        <v>-1</v>
      </c>
      <c r="BH959" s="922">
        <f t="shared" ca="1" si="1839"/>
        <v>0.9642857142857143</v>
      </c>
    </row>
    <row r="960" spans="1:60" s="38" customFormat="1" ht="14.5">
      <c r="A960" s="990">
        <f t="shared" si="1778"/>
        <v>873</v>
      </c>
      <c r="B960" s="990">
        <v>1</v>
      </c>
      <c r="C960" s="990">
        <f t="shared" si="1780"/>
        <v>957</v>
      </c>
      <c r="E960" s="1243">
        <v>1</v>
      </c>
      <c r="F960" s="5"/>
      <c r="G960" s="5"/>
      <c r="H960" s="5"/>
      <c r="I960" s="331"/>
      <c r="J960" s="5"/>
      <c r="K960" s="5"/>
      <c r="L960" s="4"/>
      <c r="M960" s="4"/>
      <c r="N960" s="45"/>
      <c r="O960" s="45" t="s">
        <v>76</v>
      </c>
      <c r="P960" s="45"/>
      <c r="Q960" s="1844" t="str">
        <f>CHOOSE(2, "6722000003879", "HC PP FE/TTOC Administration Total HR")</f>
        <v>HC PP FE/TTOC Administration Total HR</v>
      </c>
      <c r="R960" s="2789">
        <v>4</v>
      </c>
      <c r="S960" s="2030">
        <v>4</v>
      </c>
      <c r="T960" s="2030">
        <v>4</v>
      </c>
      <c r="U960" s="2030">
        <v>4</v>
      </c>
      <c r="V960" s="2030">
        <v>4</v>
      </c>
      <c r="W960" s="2030">
        <v>4</v>
      </c>
      <c r="X960" s="2030">
        <v>4</v>
      </c>
      <c r="Y960" s="2030">
        <v>4</v>
      </c>
      <c r="Z960" s="2030">
        <v>4</v>
      </c>
      <c r="AA960" s="2030">
        <v>4</v>
      </c>
      <c r="AB960" s="2030">
        <v>4</v>
      </c>
      <c r="AC960" s="2030">
        <v>3</v>
      </c>
      <c r="AD960" s="1511">
        <f>T960</f>
        <v>4</v>
      </c>
      <c r="AE960" s="44">
        <f>W960</f>
        <v>4</v>
      </c>
      <c r="AF960" s="44">
        <f>Z960</f>
        <v>4</v>
      </c>
      <c r="AG960" s="44">
        <f>AC960</f>
        <v>3</v>
      </c>
      <c r="AH960" s="44">
        <f>AE960</f>
        <v>4</v>
      </c>
      <c r="AI960" s="44">
        <f>AG960</f>
        <v>3</v>
      </c>
      <c r="AJ960" s="44">
        <f>AI960</f>
        <v>3</v>
      </c>
      <c r="AL960" s="44">
        <f t="shared" ca="1" si="1819"/>
        <v>3</v>
      </c>
      <c r="AM960" s="44">
        <f t="shared" ca="1" si="1820"/>
        <v>0</v>
      </c>
      <c r="AN960" s="872">
        <f t="shared" ca="1" si="1821"/>
        <v>3</v>
      </c>
      <c r="AO960" s="922">
        <f t="shared" ca="1" si="1822"/>
        <v>0</v>
      </c>
      <c r="AP960" s="44">
        <f t="shared" ca="1" si="1823"/>
        <v>4</v>
      </c>
      <c r="AQ960" s="872">
        <f t="shared" ca="1" si="1824"/>
        <v>-1</v>
      </c>
      <c r="AR960" s="922">
        <f t="shared" ca="1" si="1825"/>
        <v>0.75</v>
      </c>
      <c r="AT960" s="44">
        <f t="shared" ca="1" si="1826"/>
        <v>3</v>
      </c>
      <c r="AU960" s="44">
        <f t="shared" ca="1" si="1827"/>
        <v>0</v>
      </c>
      <c r="AV960" s="872">
        <f t="shared" ca="1" si="1828"/>
        <v>3</v>
      </c>
      <c r="AW960" s="922">
        <f t="shared" ca="1" si="1829"/>
        <v>0</v>
      </c>
      <c r="AX960" s="44">
        <f t="shared" ca="1" si="1830"/>
        <v>4</v>
      </c>
      <c r="AY960" s="872">
        <f t="shared" ca="1" si="1831"/>
        <v>-1</v>
      </c>
      <c r="AZ960" s="922">
        <f t="shared" ca="1" si="1832"/>
        <v>0.75</v>
      </c>
      <c r="BB960" s="44">
        <f t="shared" ca="1" si="1833"/>
        <v>3</v>
      </c>
      <c r="BC960" s="44">
        <f t="shared" ca="1" si="1834"/>
        <v>0</v>
      </c>
      <c r="BD960" s="872">
        <f t="shared" ca="1" si="1835"/>
        <v>3</v>
      </c>
      <c r="BE960" s="922">
        <f t="shared" ca="1" si="1836"/>
        <v>0</v>
      </c>
      <c r="BF960" s="44">
        <f t="shared" ca="1" si="1837"/>
        <v>4</v>
      </c>
      <c r="BG960" s="872">
        <f t="shared" ca="1" si="1838"/>
        <v>-1</v>
      </c>
      <c r="BH960" s="922">
        <f t="shared" ca="1" si="1839"/>
        <v>0.75</v>
      </c>
    </row>
    <row r="961" spans="1:60" s="38" customFormat="1" ht="14.5">
      <c r="A961" s="990">
        <f t="shared" ref="A961:A1024" si="1848">A960+1</f>
        <v>874</v>
      </c>
      <c r="B961" s="990">
        <v>1</v>
      </c>
      <c r="C961" s="990">
        <f t="shared" si="1780"/>
        <v>958</v>
      </c>
      <c r="E961" s="1243">
        <v>1</v>
      </c>
      <c r="F961" s="5"/>
      <c r="G961" s="5"/>
      <c r="H961" s="5"/>
      <c r="I961" s="331"/>
      <c r="J961" s="5"/>
      <c r="K961" s="5"/>
      <c r="L961" s="4"/>
      <c r="M961" s="4"/>
      <c r="N961" s="45"/>
      <c r="O961" s="45" t="s">
        <v>77</v>
      </c>
      <c r="P961" s="45"/>
      <c r="Q961" s="1844" t="str">
        <f>CHOOSE(2, "6722000003880", "HC PP FE/TTOC Administration Total Training")</f>
        <v>HC PP FE/TTOC Administration Total Training</v>
      </c>
      <c r="R961" s="2789">
        <v>0</v>
      </c>
      <c r="S961" s="2030">
        <v>0</v>
      </c>
      <c r="T961" s="2030">
        <v>0</v>
      </c>
      <c r="U961" s="2030">
        <v>0</v>
      </c>
      <c r="V961" s="2030">
        <v>0</v>
      </c>
      <c r="W961" s="2030">
        <v>0</v>
      </c>
      <c r="X961" s="2030">
        <v>0</v>
      </c>
      <c r="Y961" s="2030">
        <v>0</v>
      </c>
      <c r="Z961" s="2030">
        <v>0</v>
      </c>
      <c r="AA961" s="2030">
        <v>0</v>
      </c>
      <c r="AB961" s="2030">
        <v>0</v>
      </c>
      <c r="AC961" s="2030">
        <v>0</v>
      </c>
      <c r="AD961" s="1511">
        <f>T961</f>
        <v>0</v>
      </c>
      <c r="AE961" s="44">
        <f>W961</f>
        <v>0</v>
      </c>
      <c r="AF961" s="44">
        <f>Z961</f>
        <v>0</v>
      </c>
      <c r="AG961" s="44">
        <f>AC961</f>
        <v>0</v>
      </c>
      <c r="AH961" s="44">
        <f>AE961</f>
        <v>0</v>
      </c>
      <c r="AI961" s="44">
        <f>AG961</f>
        <v>0</v>
      </c>
      <c r="AJ961" s="44">
        <f>AI961</f>
        <v>0</v>
      </c>
      <c r="AL961" s="44">
        <f t="shared" ca="1" si="1819"/>
        <v>0</v>
      </c>
      <c r="AM961" s="44">
        <f t="shared" ca="1" si="1820"/>
        <v>0</v>
      </c>
      <c r="AN961" s="872">
        <f t="shared" ca="1" si="1821"/>
        <v>0</v>
      </c>
      <c r="AO961" s="922">
        <f t="shared" ca="1" si="1822"/>
        <v>0</v>
      </c>
      <c r="AP961" s="44">
        <f t="shared" ca="1" si="1823"/>
        <v>0</v>
      </c>
      <c r="AQ961" s="872">
        <f t="shared" ca="1" si="1824"/>
        <v>0</v>
      </c>
      <c r="AR961" s="922">
        <f t="shared" ca="1" si="1825"/>
        <v>0</v>
      </c>
      <c r="AT961" s="44">
        <f t="shared" ca="1" si="1826"/>
        <v>0</v>
      </c>
      <c r="AU961" s="44">
        <f t="shared" ca="1" si="1827"/>
        <v>0</v>
      </c>
      <c r="AV961" s="872">
        <f t="shared" ca="1" si="1828"/>
        <v>0</v>
      </c>
      <c r="AW961" s="922">
        <f t="shared" ca="1" si="1829"/>
        <v>0</v>
      </c>
      <c r="AX961" s="44">
        <f t="shared" ca="1" si="1830"/>
        <v>0</v>
      </c>
      <c r="AY961" s="872">
        <f t="shared" ca="1" si="1831"/>
        <v>0</v>
      </c>
      <c r="AZ961" s="922">
        <f t="shared" ca="1" si="1832"/>
        <v>0</v>
      </c>
      <c r="BB961" s="44">
        <f t="shared" ca="1" si="1833"/>
        <v>0</v>
      </c>
      <c r="BC961" s="44">
        <f t="shared" ca="1" si="1834"/>
        <v>0</v>
      </c>
      <c r="BD961" s="872">
        <f t="shared" ca="1" si="1835"/>
        <v>0</v>
      </c>
      <c r="BE961" s="922">
        <f t="shared" ca="1" si="1836"/>
        <v>0</v>
      </c>
      <c r="BF961" s="44">
        <f t="shared" ca="1" si="1837"/>
        <v>0</v>
      </c>
      <c r="BG961" s="872">
        <f t="shared" ca="1" si="1838"/>
        <v>0</v>
      </c>
      <c r="BH961" s="922">
        <f t="shared" ca="1" si="1839"/>
        <v>0</v>
      </c>
    </row>
    <row r="962" spans="1:60" s="38" customFormat="1" ht="14.5">
      <c r="A962" s="990">
        <f t="shared" si="1848"/>
        <v>875</v>
      </c>
      <c r="B962" s="990">
        <v>1</v>
      </c>
      <c r="C962" s="990">
        <f t="shared" ref="C962:C1025" si="1849">ROW()-3</f>
        <v>959</v>
      </c>
      <c r="E962" s="1243">
        <v>1</v>
      </c>
      <c r="F962" s="5"/>
      <c r="G962" s="5"/>
      <c r="H962" s="5"/>
      <c r="I962" s="331"/>
      <c r="J962" s="5"/>
      <c r="K962" s="5"/>
      <c r="L962" s="4"/>
      <c r="M962" s="4"/>
      <c r="N962" s="45"/>
      <c r="O962" s="45" t="s">
        <v>11</v>
      </c>
      <c r="P962" s="45"/>
      <c r="Q962" s="1844" t="str">
        <f>CHOOSE(2, "6722000003881", "HC PP FE/TTOC Administration Total Others")</f>
        <v>HC PP FE/TTOC Administration Total Others</v>
      </c>
      <c r="R962" s="2789">
        <v>10</v>
      </c>
      <c r="S962" s="2030">
        <v>10</v>
      </c>
      <c r="T962" s="2030">
        <v>10</v>
      </c>
      <c r="U962" s="2030">
        <v>10</v>
      </c>
      <c r="V962" s="2030">
        <v>10</v>
      </c>
      <c r="W962" s="2030">
        <v>10</v>
      </c>
      <c r="X962" s="2030">
        <v>9</v>
      </c>
      <c r="Y962" s="2030">
        <v>9</v>
      </c>
      <c r="Z962" s="2030">
        <v>9</v>
      </c>
      <c r="AA962" s="2030">
        <v>11</v>
      </c>
      <c r="AB962" s="2030">
        <v>11</v>
      </c>
      <c r="AC962" s="2030">
        <v>12</v>
      </c>
      <c r="AD962" s="1511">
        <f>T962</f>
        <v>10</v>
      </c>
      <c r="AE962" s="44">
        <f>W962</f>
        <v>10</v>
      </c>
      <c r="AF962" s="44">
        <f>Z962</f>
        <v>9</v>
      </c>
      <c r="AG962" s="44">
        <f>AC962</f>
        <v>12</v>
      </c>
      <c r="AH962" s="44">
        <f>AE962</f>
        <v>10</v>
      </c>
      <c r="AI962" s="44">
        <f>AG962</f>
        <v>12</v>
      </c>
      <c r="AJ962" s="44">
        <f>AI962</f>
        <v>12</v>
      </c>
      <c r="AL962" s="44">
        <f t="shared" ca="1" si="1819"/>
        <v>12</v>
      </c>
      <c r="AM962" s="44">
        <f t="shared" ca="1" si="1820"/>
        <v>0</v>
      </c>
      <c r="AN962" s="872">
        <f t="shared" ca="1" si="1821"/>
        <v>12</v>
      </c>
      <c r="AO962" s="922">
        <f t="shared" ca="1" si="1822"/>
        <v>0</v>
      </c>
      <c r="AP962" s="44">
        <f t="shared" ca="1" si="1823"/>
        <v>11</v>
      </c>
      <c r="AQ962" s="872">
        <f t="shared" ca="1" si="1824"/>
        <v>1</v>
      </c>
      <c r="AR962" s="922">
        <f t="shared" ca="1" si="1825"/>
        <v>1.0909090909090908</v>
      </c>
      <c r="AT962" s="44">
        <f t="shared" ca="1" si="1826"/>
        <v>12</v>
      </c>
      <c r="AU962" s="44">
        <f t="shared" ca="1" si="1827"/>
        <v>0</v>
      </c>
      <c r="AV962" s="872">
        <f t="shared" ca="1" si="1828"/>
        <v>12</v>
      </c>
      <c r="AW962" s="922">
        <f t="shared" ca="1" si="1829"/>
        <v>0</v>
      </c>
      <c r="AX962" s="44">
        <f t="shared" ca="1" si="1830"/>
        <v>11</v>
      </c>
      <c r="AY962" s="872">
        <f t="shared" ca="1" si="1831"/>
        <v>1</v>
      </c>
      <c r="AZ962" s="922">
        <f t="shared" ca="1" si="1832"/>
        <v>1.0909090909090908</v>
      </c>
      <c r="BB962" s="44">
        <f t="shared" ca="1" si="1833"/>
        <v>12</v>
      </c>
      <c r="BC962" s="44">
        <f t="shared" ca="1" si="1834"/>
        <v>0</v>
      </c>
      <c r="BD962" s="872">
        <f t="shared" ca="1" si="1835"/>
        <v>12</v>
      </c>
      <c r="BE962" s="922">
        <f t="shared" ca="1" si="1836"/>
        <v>0</v>
      </c>
      <c r="BF962" s="44">
        <f t="shared" ca="1" si="1837"/>
        <v>11</v>
      </c>
      <c r="BG962" s="872">
        <f t="shared" ca="1" si="1838"/>
        <v>1</v>
      </c>
      <c r="BH962" s="922">
        <f t="shared" ca="1" si="1839"/>
        <v>1.0909090909090908</v>
      </c>
    </row>
    <row r="963" spans="1:60" s="38" customFormat="1" ht="14.5">
      <c r="A963" s="990">
        <f t="shared" si="1848"/>
        <v>876</v>
      </c>
      <c r="B963" s="990">
        <v>1</v>
      </c>
      <c r="C963" s="990">
        <f t="shared" si="1849"/>
        <v>960</v>
      </c>
      <c r="D963" s="1121" t="s">
        <v>887</v>
      </c>
      <c r="E963" s="1243">
        <v>1</v>
      </c>
      <c r="F963" s="5"/>
      <c r="G963" s="5"/>
      <c r="H963" s="5"/>
      <c r="I963" s="331"/>
      <c r="J963" s="324" t="s">
        <v>232</v>
      </c>
      <c r="K963" s="48"/>
      <c r="L963" s="48"/>
      <c r="M963" s="47"/>
      <c r="N963" s="47"/>
      <c r="O963" s="47"/>
      <c r="P963" s="323"/>
      <c r="Q963" s="1851" t="str">
        <f>CHOOSE(2, "6722000003882", "HC PP FE/TTOC Logistics Total")</f>
        <v>HC PP FE/TTOC Logistics Total</v>
      </c>
      <c r="R963" s="325">
        <f>SUM(R964:R966)</f>
        <v>22</v>
      </c>
      <c r="S963" s="325">
        <f t="shared" ref="S963:AC963" si="1850">SUM(S964:S966)</f>
        <v>20</v>
      </c>
      <c r="T963" s="325">
        <f t="shared" si="1850"/>
        <v>21</v>
      </c>
      <c r="U963" s="325">
        <f t="shared" si="1850"/>
        <v>22</v>
      </c>
      <c r="V963" s="325">
        <f t="shared" si="1850"/>
        <v>22</v>
      </c>
      <c r="W963" s="325">
        <f t="shared" si="1850"/>
        <v>22</v>
      </c>
      <c r="X963" s="325">
        <f t="shared" si="1850"/>
        <v>22</v>
      </c>
      <c r="Y963" s="325">
        <f t="shared" si="1850"/>
        <v>23</v>
      </c>
      <c r="Z963" s="325">
        <f t="shared" si="1850"/>
        <v>23</v>
      </c>
      <c r="AA963" s="325">
        <f t="shared" si="1850"/>
        <v>23</v>
      </c>
      <c r="AB963" s="325">
        <f t="shared" si="1850"/>
        <v>23</v>
      </c>
      <c r="AC963" s="325">
        <f t="shared" si="1850"/>
        <v>23</v>
      </c>
      <c r="AD963" s="1278">
        <f t="shared" ref="AD963:AJ963" si="1851">SUM(AD964:AD966)</f>
        <v>21</v>
      </c>
      <c r="AE963" s="46">
        <f t="shared" si="1851"/>
        <v>22</v>
      </c>
      <c r="AF963" s="46">
        <f t="shared" si="1851"/>
        <v>23</v>
      </c>
      <c r="AG963" s="46">
        <f t="shared" si="1851"/>
        <v>23</v>
      </c>
      <c r="AH963" s="46">
        <f t="shared" si="1851"/>
        <v>22</v>
      </c>
      <c r="AI963" s="46">
        <f t="shared" si="1851"/>
        <v>23</v>
      </c>
      <c r="AJ963" s="46">
        <f t="shared" si="1851"/>
        <v>23</v>
      </c>
      <c r="AL963" s="325">
        <f t="shared" ca="1" si="1819"/>
        <v>23</v>
      </c>
      <c r="AM963" s="325">
        <f t="shared" ca="1" si="1820"/>
        <v>0</v>
      </c>
      <c r="AN963" s="915">
        <f t="shared" ca="1" si="1821"/>
        <v>23</v>
      </c>
      <c r="AO963" s="976">
        <f t="shared" ca="1" si="1822"/>
        <v>0</v>
      </c>
      <c r="AP963" s="325">
        <f t="shared" ca="1" si="1823"/>
        <v>24</v>
      </c>
      <c r="AQ963" s="915">
        <f t="shared" ca="1" si="1824"/>
        <v>-1</v>
      </c>
      <c r="AR963" s="976">
        <f t="shared" ca="1" si="1825"/>
        <v>0.95833333333333337</v>
      </c>
      <c r="AT963" s="325">
        <f t="shared" ca="1" si="1826"/>
        <v>23</v>
      </c>
      <c r="AU963" s="325">
        <f t="shared" ca="1" si="1827"/>
        <v>0</v>
      </c>
      <c r="AV963" s="915">
        <f t="shared" ca="1" si="1828"/>
        <v>23</v>
      </c>
      <c r="AW963" s="976">
        <f t="shared" ca="1" si="1829"/>
        <v>0</v>
      </c>
      <c r="AX963" s="325">
        <f t="shared" ca="1" si="1830"/>
        <v>24</v>
      </c>
      <c r="AY963" s="915">
        <f t="shared" ca="1" si="1831"/>
        <v>-1</v>
      </c>
      <c r="AZ963" s="976">
        <f t="shared" ca="1" si="1832"/>
        <v>0.95833333333333337</v>
      </c>
      <c r="BB963" s="325">
        <f t="shared" ca="1" si="1833"/>
        <v>23</v>
      </c>
      <c r="BC963" s="325">
        <f t="shared" ca="1" si="1834"/>
        <v>0</v>
      </c>
      <c r="BD963" s="915">
        <f t="shared" ca="1" si="1835"/>
        <v>23</v>
      </c>
      <c r="BE963" s="976">
        <f t="shared" ca="1" si="1836"/>
        <v>0</v>
      </c>
      <c r="BF963" s="325">
        <f t="shared" ca="1" si="1837"/>
        <v>24</v>
      </c>
      <c r="BG963" s="915">
        <f t="shared" ca="1" si="1838"/>
        <v>-1</v>
      </c>
      <c r="BH963" s="976">
        <f t="shared" ca="1" si="1839"/>
        <v>0.95833333333333337</v>
      </c>
    </row>
    <row r="964" spans="1:60" s="38" customFormat="1" ht="14.5">
      <c r="A964" s="990">
        <f t="shared" si="1848"/>
        <v>877</v>
      </c>
      <c r="B964" s="990">
        <v>1</v>
      </c>
      <c r="C964" s="990">
        <f t="shared" si="1849"/>
        <v>961</v>
      </c>
      <c r="E964" s="1243">
        <v>1</v>
      </c>
      <c r="F964" s="5"/>
      <c r="G964" s="5"/>
      <c r="H964" s="5"/>
      <c r="I964" s="331"/>
      <c r="J964" s="5"/>
      <c r="K964" s="5"/>
      <c r="L964" s="4"/>
      <c r="M964" s="4"/>
      <c r="N964" s="45"/>
      <c r="O964" s="45" t="s">
        <v>79</v>
      </c>
      <c r="P964" s="45"/>
      <c r="Q964" s="1844" t="str">
        <f>CHOOSE(2, "6722000003883", "HC PP FE/TTOC Logistics Total Administration")</f>
        <v>HC PP FE/TTOC Logistics Total Administration</v>
      </c>
      <c r="R964" s="2789">
        <v>9</v>
      </c>
      <c r="S964" s="2030">
        <v>8</v>
      </c>
      <c r="T964" s="2030">
        <v>8</v>
      </c>
      <c r="U964" s="2030">
        <v>8</v>
      </c>
      <c r="V964" s="2030">
        <v>8</v>
      </c>
      <c r="W964" s="2030">
        <v>8</v>
      </c>
      <c r="X964" s="2030">
        <v>8</v>
      </c>
      <c r="Y964" s="2030">
        <v>7</v>
      </c>
      <c r="Z964" s="2030">
        <v>7</v>
      </c>
      <c r="AA964" s="2030">
        <v>7</v>
      </c>
      <c r="AB964" s="2030">
        <v>7</v>
      </c>
      <c r="AC964" s="2030">
        <v>7</v>
      </c>
      <c r="AD964" s="1511">
        <f>T964</f>
        <v>8</v>
      </c>
      <c r="AE964" s="44">
        <f>W964</f>
        <v>8</v>
      </c>
      <c r="AF964" s="44">
        <f>Z964</f>
        <v>7</v>
      </c>
      <c r="AG964" s="44">
        <f>AC964</f>
        <v>7</v>
      </c>
      <c r="AH964" s="44">
        <f>AE964</f>
        <v>8</v>
      </c>
      <c r="AI964" s="44">
        <f>AG964</f>
        <v>7</v>
      </c>
      <c r="AJ964" s="44">
        <f>AI964</f>
        <v>7</v>
      </c>
      <c r="AL964" s="44">
        <f t="shared" ca="1" si="1819"/>
        <v>7</v>
      </c>
      <c r="AM964" s="44">
        <f t="shared" ca="1" si="1820"/>
        <v>0</v>
      </c>
      <c r="AN964" s="872">
        <f t="shared" ca="1" si="1821"/>
        <v>7</v>
      </c>
      <c r="AO964" s="922">
        <f t="shared" ca="1" si="1822"/>
        <v>0</v>
      </c>
      <c r="AP964" s="44">
        <f t="shared" ca="1" si="1823"/>
        <v>10</v>
      </c>
      <c r="AQ964" s="872">
        <f t="shared" ca="1" si="1824"/>
        <v>-3</v>
      </c>
      <c r="AR964" s="922">
        <f t="shared" ca="1" si="1825"/>
        <v>0.7</v>
      </c>
      <c r="AT964" s="44">
        <f t="shared" ca="1" si="1826"/>
        <v>7</v>
      </c>
      <c r="AU964" s="44">
        <f t="shared" ca="1" si="1827"/>
        <v>0</v>
      </c>
      <c r="AV964" s="872">
        <f t="shared" ca="1" si="1828"/>
        <v>7</v>
      </c>
      <c r="AW964" s="922">
        <f t="shared" ca="1" si="1829"/>
        <v>0</v>
      </c>
      <c r="AX964" s="44">
        <f t="shared" ca="1" si="1830"/>
        <v>10</v>
      </c>
      <c r="AY964" s="872">
        <f t="shared" ca="1" si="1831"/>
        <v>-3</v>
      </c>
      <c r="AZ964" s="922">
        <f t="shared" ca="1" si="1832"/>
        <v>0.7</v>
      </c>
      <c r="BB964" s="44">
        <f t="shared" ca="1" si="1833"/>
        <v>7</v>
      </c>
      <c r="BC964" s="44">
        <f t="shared" ca="1" si="1834"/>
        <v>0</v>
      </c>
      <c r="BD964" s="872">
        <f t="shared" ca="1" si="1835"/>
        <v>7</v>
      </c>
      <c r="BE964" s="922">
        <f t="shared" ca="1" si="1836"/>
        <v>0</v>
      </c>
      <c r="BF964" s="44">
        <f t="shared" ca="1" si="1837"/>
        <v>10</v>
      </c>
      <c r="BG964" s="872">
        <f t="shared" ca="1" si="1838"/>
        <v>-3</v>
      </c>
      <c r="BH964" s="922">
        <f t="shared" ca="1" si="1839"/>
        <v>0.7</v>
      </c>
    </row>
    <row r="965" spans="1:60" s="38" customFormat="1" ht="14.5">
      <c r="A965" s="990">
        <f t="shared" si="1848"/>
        <v>878</v>
      </c>
      <c r="B965" s="990">
        <v>1</v>
      </c>
      <c r="C965" s="990">
        <f t="shared" si="1849"/>
        <v>962</v>
      </c>
      <c r="E965" s="1243">
        <v>1</v>
      </c>
      <c r="F965" s="5"/>
      <c r="G965" s="5"/>
      <c r="H965" s="5"/>
      <c r="I965" s="331"/>
      <c r="J965" s="5"/>
      <c r="K965" s="5"/>
      <c r="L965" s="4"/>
      <c r="M965" s="4"/>
      <c r="N965" s="45"/>
      <c r="O965" s="45" t="s">
        <v>80</v>
      </c>
      <c r="P965" s="45"/>
      <c r="Q965" s="1844" t="str">
        <f>CHOOSE(2, "6722000003884", "HC PP FE/TTOC Logistics Total Warehouse")</f>
        <v>HC PP FE/TTOC Logistics Total Warehouse</v>
      </c>
      <c r="R965" s="2789">
        <v>13</v>
      </c>
      <c r="S965" s="2030">
        <v>12</v>
      </c>
      <c r="T965" s="2030">
        <v>13</v>
      </c>
      <c r="U965" s="2030">
        <v>14</v>
      </c>
      <c r="V965" s="2030">
        <v>14</v>
      </c>
      <c r="W965" s="2030">
        <v>14</v>
      </c>
      <c r="X965" s="2030">
        <v>14</v>
      </c>
      <c r="Y965" s="2030">
        <v>16</v>
      </c>
      <c r="Z965" s="2030">
        <v>16</v>
      </c>
      <c r="AA965" s="2030">
        <v>16</v>
      </c>
      <c r="AB965" s="2030">
        <v>16</v>
      </c>
      <c r="AC965" s="2030">
        <v>16</v>
      </c>
      <c r="AD965" s="1511">
        <f>T965</f>
        <v>13</v>
      </c>
      <c r="AE965" s="44">
        <f>W965</f>
        <v>14</v>
      </c>
      <c r="AF965" s="44">
        <f>Z965</f>
        <v>16</v>
      </c>
      <c r="AG965" s="44">
        <f>AC965</f>
        <v>16</v>
      </c>
      <c r="AH965" s="44">
        <f>AE965</f>
        <v>14</v>
      </c>
      <c r="AI965" s="44">
        <f>AG965</f>
        <v>16</v>
      </c>
      <c r="AJ965" s="44">
        <f>AI965</f>
        <v>16</v>
      </c>
      <c r="AL965" s="44">
        <f t="shared" ca="1" si="1819"/>
        <v>16</v>
      </c>
      <c r="AM965" s="44">
        <f t="shared" ca="1" si="1820"/>
        <v>0</v>
      </c>
      <c r="AN965" s="872">
        <f t="shared" ca="1" si="1821"/>
        <v>16</v>
      </c>
      <c r="AO965" s="922">
        <f t="shared" ca="1" si="1822"/>
        <v>0</v>
      </c>
      <c r="AP965" s="44">
        <f t="shared" ca="1" si="1823"/>
        <v>14</v>
      </c>
      <c r="AQ965" s="872">
        <f t="shared" ca="1" si="1824"/>
        <v>2</v>
      </c>
      <c r="AR965" s="922">
        <f t="shared" ca="1" si="1825"/>
        <v>1.1428571428571428</v>
      </c>
      <c r="AT965" s="44">
        <f t="shared" ca="1" si="1826"/>
        <v>16</v>
      </c>
      <c r="AU965" s="44">
        <f t="shared" ca="1" si="1827"/>
        <v>0</v>
      </c>
      <c r="AV965" s="872">
        <f t="shared" ca="1" si="1828"/>
        <v>16</v>
      </c>
      <c r="AW965" s="922">
        <f t="shared" ca="1" si="1829"/>
        <v>0</v>
      </c>
      <c r="AX965" s="44">
        <f t="shared" ca="1" si="1830"/>
        <v>14</v>
      </c>
      <c r="AY965" s="872">
        <f t="shared" ca="1" si="1831"/>
        <v>2</v>
      </c>
      <c r="AZ965" s="922">
        <f t="shared" ca="1" si="1832"/>
        <v>1.1428571428571428</v>
      </c>
      <c r="BB965" s="44">
        <f t="shared" ca="1" si="1833"/>
        <v>16</v>
      </c>
      <c r="BC965" s="44">
        <f t="shared" ca="1" si="1834"/>
        <v>0</v>
      </c>
      <c r="BD965" s="872">
        <f t="shared" ca="1" si="1835"/>
        <v>16</v>
      </c>
      <c r="BE965" s="922">
        <f t="shared" ca="1" si="1836"/>
        <v>0</v>
      </c>
      <c r="BF965" s="44">
        <f t="shared" ca="1" si="1837"/>
        <v>14</v>
      </c>
      <c r="BG965" s="872">
        <f t="shared" ca="1" si="1838"/>
        <v>2</v>
      </c>
      <c r="BH965" s="922">
        <f t="shared" ca="1" si="1839"/>
        <v>1.1428571428571428</v>
      </c>
    </row>
    <row r="966" spans="1:60" s="38" customFormat="1" ht="14.5">
      <c r="A966" s="990">
        <f t="shared" si="1848"/>
        <v>879</v>
      </c>
      <c r="B966" s="990">
        <v>1</v>
      </c>
      <c r="C966" s="990">
        <f t="shared" si="1849"/>
        <v>963</v>
      </c>
      <c r="E966" s="1243">
        <v>1</v>
      </c>
      <c r="F966" s="5"/>
      <c r="G966" s="5"/>
      <c r="H966" s="5"/>
      <c r="I966" s="332"/>
      <c r="J966" s="3"/>
      <c r="K966" s="3"/>
      <c r="L966" s="2"/>
      <c r="M966" s="2"/>
      <c r="N966" s="43"/>
      <c r="O966" s="43" t="s">
        <v>81</v>
      </c>
      <c r="P966" s="43"/>
      <c r="Q966" s="1844" t="str">
        <f>CHOOSE(2, "6722000003885", "HC PP FE/TTOC Logistics Total Workshop")</f>
        <v>HC PP FE/TTOC Logistics Total Workshop</v>
      </c>
      <c r="R966" s="2029">
        <v>0</v>
      </c>
      <c r="S966" s="2029">
        <v>0</v>
      </c>
      <c r="T966" s="2029">
        <v>0</v>
      </c>
      <c r="U966" s="2029">
        <v>0</v>
      </c>
      <c r="V966" s="2029">
        <v>0</v>
      </c>
      <c r="W966" s="2029">
        <v>0</v>
      </c>
      <c r="X966" s="2029">
        <v>0</v>
      </c>
      <c r="Y966" s="2029">
        <v>0</v>
      </c>
      <c r="Z966" s="2029">
        <v>0</v>
      </c>
      <c r="AA966" s="2029">
        <v>0</v>
      </c>
      <c r="AB966" s="2029">
        <v>0</v>
      </c>
      <c r="AC966" s="2029">
        <v>0</v>
      </c>
      <c r="AD966" s="1554">
        <f>T966</f>
        <v>0</v>
      </c>
      <c r="AE966" s="42">
        <f>W966</f>
        <v>0</v>
      </c>
      <c r="AF966" s="42">
        <f>Z966</f>
        <v>0</v>
      </c>
      <c r="AG966" s="42">
        <f>AC966</f>
        <v>0</v>
      </c>
      <c r="AH966" s="42">
        <f>AE966</f>
        <v>0</v>
      </c>
      <c r="AI966" s="42">
        <f>AG966</f>
        <v>0</v>
      </c>
      <c r="AJ966" s="42">
        <f>AI966</f>
        <v>0</v>
      </c>
      <c r="AL966" s="42">
        <f t="shared" ca="1" si="1819"/>
        <v>0</v>
      </c>
      <c r="AM966" s="42">
        <f t="shared" ca="1" si="1820"/>
        <v>0</v>
      </c>
      <c r="AN966" s="914">
        <f t="shared" ca="1" si="1821"/>
        <v>0</v>
      </c>
      <c r="AO966" s="975">
        <f t="shared" ca="1" si="1822"/>
        <v>0</v>
      </c>
      <c r="AP966" s="42">
        <f t="shared" ca="1" si="1823"/>
        <v>0</v>
      </c>
      <c r="AQ966" s="914">
        <f t="shared" ca="1" si="1824"/>
        <v>0</v>
      </c>
      <c r="AR966" s="975">
        <f t="shared" ca="1" si="1825"/>
        <v>0</v>
      </c>
      <c r="AT966" s="42">
        <f t="shared" ca="1" si="1826"/>
        <v>0</v>
      </c>
      <c r="AU966" s="42">
        <f t="shared" ca="1" si="1827"/>
        <v>0</v>
      </c>
      <c r="AV966" s="914">
        <f t="shared" ca="1" si="1828"/>
        <v>0</v>
      </c>
      <c r="AW966" s="975">
        <f t="shared" ca="1" si="1829"/>
        <v>0</v>
      </c>
      <c r="AX966" s="42">
        <f t="shared" ca="1" si="1830"/>
        <v>0</v>
      </c>
      <c r="AY966" s="914">
        <f t="shared" ca="1" si="1831"/>
        <v>0</v>
      </c>
      <c r="AZ966" s="975">
        <f t="shared" ca="1" si="1832"/>
        <v>0</v>
      </c>
      <c r="BB966" s="42">
        <f t="shared" ca="1" si="1833"/>
        <v>0</v>
      </c>
      <c r="BC966" s="42">
        <f t="shared" ca="1" si="1834"/>
        <v>0</v>
      </c>
      <c r="BD966" s="914">
        <f t="shared" ca="1" si="1835"/>
        <v>0</v>
      </c>
      <c r="BE966" s="975">
        <f t="shared" ca="1" si="1836"/>
        <v>0</v>
      </c>
      <c r="BF966" s="42">
        <f t="shared" ca="1" si="1837"/>
        <v>0</v>
      </c>
      <c r="BG966" s="914">
        <f t="shared" ca="1" si="1838"/>
        <v>0</v>
      </c>
      <c r="BH966" s="975">
        <f t="shared" ca="1" si="1839"/>
        <v>0</v>
      </c>
    </row>
    <row r="967" spans="1:60" s="38" customFormat="1" ht="14.5">
      <c r="A967" s="990">
        <f t="shared" si="1848"/>
        <v>880</v>
      </c>
      <c r="B967" s="990">
        <v>1</v>
      </c>
      <c r="C967" s="990">
        <f t="shared" si="1849"/>
        <v>964</v>
      </c>
      <c r="D967" s="1121" t="s">
        <v>887</v>
      </c>
      <c r="E967" s="1243">
        <v>1</v>
      </c>
      <c r="F967" s="5"/>
      <c r="G967" s="5"/>
      <c r="H967" s="5"/>
      <c r="I967" s="318" t="s">
        <v>296</v>
      </c>
      <c r="J967" s="319"/>
      <c r="K967" s="320"/>
      <c r="L967" s="320"/>
      <c r="M967" s="319"/>
      <c r="N967" s="319"/>
      <c r="O967" s="319"/>
      <c r="P967" s="319"/>
      <c r="Q967" s="1855" t="str">
        <f>CHOOSE(2, "6722000003886", "HC PP Semi-Full-Time/Part-Time Employees /Contractors")</f>
        <v>HC PP Semi-Full-Time/Part-Time Employees /Contractors</v>
      </c>
      <c r="R967" s="2050">
        <v>1</v>
      </c>
      <c r="S967" s="2050">
        <v>1</v>
      </c>
      <c r="T967" s="2050">
        <v>1</v>
      </c>
      <c r="U967" s="2050">
        <v>1</v>
      </c>
      <c r="V967" s="2050">
        <v>1</v>
      </c>
      <c r="W967" s="2050">
        <v>1</v>
      </c>
      <c r="X967" s="2050">
        <v>1</v>
      </c>
      <c r="Y967" s="2050">
        <v>1</v>
      </c>
      <c r="Z967" s="2050">
        <v>1</v>
      </c>
      <c r="AA967" s="2050">
        <v>1</v>
      </c>
      <c r="AB967" s="2050">
        <v>1</v>
      </c>
      <c r="AC967" s="2050">
        <v>1</v>
      </c>
      <c r="AD967" s="1555">
        <f>T967</f>
        <v>1</v>
      </c>
      <c r="AE967" s="322">
        <f>W967</f>
        <v>1</v>
      </c>
      <c r="AF967" s="322">
        <f>Z967</f>
        <v>1</v>
      </c>
      <c r="AG967" s="322">
        <f>AC967</f>
        <v>1</v>
      </c>
      <c r="AH967" s="322">
        <f>AE967</f>
        <v>1</v>
      </c>
      <c r="AI967" s="322">
        <f>AG967</f>
        <v>1</v>
      </c>
      <c r="AJ967" s="322">
        <f>AI967</f>
        <v>1</v>
      </c>
      <c r="AL967" s="2527">
        <f t="shared" ca="1" si="1819"/>
        <v>1</v>
      </c>
      <c r="AM967" s="2527">
        <f t="shared" ca="1" si="1820"/>
        <v>0</v>
      </c>
      <c r="AN967" s="2528">
        <f t="shared" ca="1" si="1821"/>
        <v>1</v>
      </c>
      <c r="AO967" s="2529">
        <f t="shared" ca="1" si="1822"/>
        <v>0</v>
      </c>
      <c r="AP967" s="2527">
        <f t="shared" ca="1" si="1823"/>
        <v>1</v>
      </c>
      <c r="AQ967" s="2528">
        <f t="shared" ca="1" si="1824"/>
        <v>0</v>
      </c>
      <c r="AR967" s="2529">
        <f t="shared" ca="1" si="1825"/>
        <v>1</v>
      </c>
      <c r="AT967" s="2527">
        <f t="shared" ca="1" si="1826"/>
        <v>1</v>
      </c>
      <c r="AU967" s="2527">
        <f t="shared" ca="1" si="1827"/>
        <v>0</v>
      </c>
      <c r="AV967" s="2528">
        <f t="shared" ca="1" si="1828"/>
        <v>1</v>
      </c>
      <c r="AW967" s="2529">
        <f t="shared" ca="1" si="1829"/>
        <v>0</v>
      </c>
      <c r="AX967" s="2527">
        <f t="shared" ca="1" si="1830"/>
        <v>1</v>
      </c>
      <c r="AY967" s="2528">
        <f t="shared" ca="1" si="1831"/>
        <v>0</v>
      </c>
      <c r="AZ967" s="2529">
        <f t="shared" ca="1" si="1832"/>
        <v>1</v>
      </c>
      <c r="BB967" s="2527">
        <f t="shared" ca="1" si="1833"/>
        <v>1</v>
      </c>
      <c r="BC967" s="2527">
        <f t="shared" ca="1" si="1834"/>
        <v>0</v>
      </c>
      <c r="BD967" s="2528">
        <f t="shared" ca="1" si="1835"/>
        <v>1</v>
      </c>
      <c r="BE967" s="2529">
        <f t="shared" ca="1" si="1836"/>
        <v>0</v>
      </c>
      <c r="BF967" s="2527">
        <f t="shared" ca="1" si="1837"/>
        <v>1</v>
      </c>
      <c r="BG967" s="2528">
        <f t="shared" ca="1" si="1838"/>
        <v>0</v>
      </c>
      <c r="BH967" s="2529">
        <f t="shared" ca="1" si="1839"/>
        <v>1</v>
      </c>
    </row>
    <row r="968" spans="1:60" s="38" customFormat="1" ht="14.5">
      <c r="A968" s="990">
        <f t="shared" si="1848"/>
        <v>881</v>
      </c>
      <c r="B968" s="990">
        <v>1</v>
      </c>
      <c r="C968" s="990">
        <f t="shared" si="1849"/>
        <v>965</v>
      </c>
      <c r="D968" s="1121" t="s">
        <v>887</v>
      </c>
      <c r="E968" s="1243">
        <v>1</v>
      </c>
      <c r="F968" s="5"/>
      <c r="G968" s="5"/>
      <c r="H968" s="5"/>
      <c r="I968" s="5"/>
      <c r="J968" s="4"/>
      <c r="K968" s="5"/>
      <c r="L968" s="5"/>
      <c r="M968" s="4"/>
      <c r="N968" s="4"/>
      <c r="O968" s="4"/>
      <c r="P968" s="4"/>
      <c r="Q968" s="1839" t="str">
        <f>CHOOSE(2, "6722000003887", "▷ Blank 29")</f>
        <v>▷ Blank 29</v>
      </c>
      <c r="R968" s="2225"/>
      <c r="S968" s="1151"/>
      <c r="T968" s="1151"/>
      <c r="U968" s="1151"/>
      <c r="V968" s="1151"/>
      <c r="W968" s="1151"/>
      <c r="X968" s="1151"/>
      <c r="Y968" s="1151"/>
      <c r="Z968" s="1151"/>
      <c r="AA968" s="1151"/>
    </row>
    <row r="969" spans="1:60" s="38" customFormat="1" ht="14.5">
      <c r="A969" s="990">
        <f t="shared" si="1848"/>
        <v>882</v>
      </c>
      <c r="B969" s="990">
        <v>1</v>
      </c>
      <c r="C969" s="990">
        <f t="shared" si="1849"/>
        <v>966</v>
      </c>
      <c r="D969" s="1121" t="s">
        <v>887</v>
      </c>
      <c r="E969" s="1243">
        <v>1</v>
      </c>
      <c r="F969" s="5"/>
      <c r="G969" s="5"/>
      <c r="H969" s="5" t="s">
        <v>487</v>
      </c>
      <c r="I969" s="5"/>
      <c r="J969" s="4"/>
      <c r="K969" s="5"/>
      <c r="L969" s="5"/>
      <c r="M969" s="4"/>
      <c r="N969" s="4"/>
      <c r="O969" s="4"/>
      <c r="P969" s="4"/>
      <c r="Q969" s="1839" t="str">
        <f>CHOOSE(2, "6722000004515", "HC (3) IP")</f>
        <v>HC (3) IP</v>
      </c>
      <c r="R969" s="2225"/>
      <c r="S969" s="1151"/>
      <c r="T969" s="1151"/>
      <c r="U969" s="1151"/>
      <c r="V969" s="1151"/>
      <c r="W969" s="1151"/>
      <c r="X969" s="1151"/>
      <c r="Y969" s="1151"/>
      <c r="Z969" s="1151"/>
      <c r="AA969" s="1151"/>
    </row>
    <row r="970" spans="1:60" s="345" customFormat="1" ht="14.5">
      <c r="A970" s="990">
        <f t="shared" si="1848"/>
        <v>883</v>
      </c>
      <c r="B970" s="990">
        <v>1</v>
      </c>
      <c r="C970" s="990">
        <f t="shared" si="1849"/>
        <v>967</v>
      </c>
      <c r="D970" s="1121" t="s">
        <v>887</v>
      </c>
      <c r="E970" s="1243">
        <v>1</v>
      </c>
      <c r="F970" s="340"/>
      <c r="G970" s="340"/>
      <c r="H970" s="341"/>
      <c r="I970" s="452" t="s">
        <v>328</v>
      </c>
      <c r="J970" s="453"/>
      <c r="K970" s="454"/>
      <c r="L970" s="454"/>
      <c r="M970" s="454"/>
      <c r="N970" s="454"/>
      <c r="O970" s="454"/>
      <c r="P970" s="1503"/>
      <c r="Q970" s="1860" t="str">
        <f>CHOOSE(2, "6722000003889", "HC IP FE/TTOC")</f>
        <v>HC IP FE/TTOC</v>
      </c>
      <c r="R970" s="2123">
        <f>R971+R976+R982+R987+R993</f>
        <v>22</v>
      </c>
      <c r="S970" s="2014">
        <f t="shared" ref="S970:AC970" si="1852">S971+S976+S982+S987+S993</f>
        <v>23</v>
      </c>
      <c r="T970" s="2014">
        <f t="shared" si="1852"/>
        <v>22</v>
      </c>
      <c r="U970" s="2014">
        <f t="shared" si="1852"/>
        <v>22</v>
      </c>
      <c r="V970" s="2014">
        <f t="shared" si="1852"/>
        <v>22</v>
      </c>
      <c r="W970" s="2014">
        <f t="shared" si="1852"/>
        <v>22</v>
      </c>
      <c r="X970" s="2014">
        <f t="shared" si="1852"/>
        <v>22</v>
      </c>
      <c r="Y970" s="2014">
        <f t="shared" si="1852"/>
        <v>21</v>
      </c>
      <c r="Z970" s="2014">
        <f t="shared" si="1852"/>
        <v>21</v>
      </c>
      <c r="AA970" s="2014">
        <f t="shared" si="1852"/>
        <v>21</v>
      </c>
      <c r="AB970" s="2014">
        <f t="shared" si="1852"/>
        <v>21</v>
      </c>
      <c r="AC970" s="2014">
        <f t="shared" si="1852"/>
        <v>21</v>
      </c>
      <c r="AD970" s="1527">
        <f t="shared" ref="AD970:AJ970" si="1853">AD971+AD976+AD982+AD987+AD993</f>
        <v>22</v>
      </c>
      <c r="AE970" s="455">
        <f t="shared" si="1853"/>
        <v>22</v>
      </c>
      <c r="AF970" s="455">
        <f t="shared" si="1853"/>
        <v>21</v>
      </c>
      <c r="AG970" s="455">
        <f t="shared" si="1853"/>
        <v>21</v>
      </c>
      <c r="AH970" s="455">
        <f t="shared" si="1853"/>
        <v>22</v>
      </c>
      <c r="AI970" s="455">
        <f t="shared" si="1853"/>
        <v>21</v>
      </c>
      <c r="AJ970" s="455">
        <f t="shared" si="1853"/>
        <v>21</v>
      </c>
      <c r="AL970" s="2123">
        <f t="shared" ref="AL970:AL997" ca="1" si="1854">INDIRECT(AL$3&amp;(ROW()))</f>
        <v>21</v>
      </c>
      <c r="AM970" s="455">
        <f t="shared" ref="AM970:AM997" ca="1" si="1855">INDIRECT(AM$1&amp;AM$3&amp;$C970)</f>
        <v>0</v>
      </c>
      <c r="AN970" s="2520">
        <f t="shared" ref="AN970:AN997" ca="1" si="1856">AL970-AM970</f>
        <v>21</v>
      </c>
      <c r="AO970" s="1715">
        <f t="shared" ref="AO970:AO997" ca="1" si="1857">IFERROR(AL970/AM970,0)</f>
        <v>0</v>
      </c>
      <c r="AP970" s="455">
        <f t="shared" ref="AP970:AP997" ca="1" si="1858">INDIRECT(AP$1&amp;AP$3&amp;$A970)+INDIRECT(AP$1&amp;AP$3&amp;$B970)</f>
        <v>21</v>
      </c>
      <c r="AQ970" s="2520">
        <f t="shared" ref="AQ970:AQ997" ca="1" si="1859">AL970-AP970</f>
        <v>0</v>
      </c>
      <c r="AR970" s="1715">
        <f t="shared" ref="AR970:AR997" ca="1" si="1860">IFERROR(AL970/AP970,0)</f>
        <v>1</v>
      </c>
      <c r="AT970" s="2123">
        <f t="shared" ref="AT970:AT997" ca="1" si="1861">INDIRECT(AT$3&amp;(ROW()))</f>
        <v>21</v>
      </c>
      <c r="AU970" s="455">
        <f t="shared" ref="AU970:AU997" ca="1" si="1862">INDIRECT(AU$1&amp;AU$3&amp;$C970)</f>
        <v>0</v>
      </c>
      <c r="AV970" s="2520">
        <f t="shared" ref="AV970:AV997" ca="1" si="1863">AT970-AU970</f>
        <v>21</v>
      </c>
      <c r="AW970" s="1715">
        <f t="shared" ref="AW970:AW997" ca="1" si="1864">IFERROR(AT970/AU970,0)</f>
        <v>0</v>
      </c>
      <c r="AX970" s="455">
        <f t="shared" ref="AX970:AX997" ca="1" si="1865">INDIRECT(AX$1&amp;AX$3&amp;$A970)+INDIRECT(AX$1&amp;AX$3&amp;$B970)</f>
        <v>21</v>
      </c>
      <c r="AY970" s="2520">
        <f t="shared" ref="AY970:AY997" ca="1" si="1866">AT970-AX970</f>
        <v>0</v>
      </c>
      <c r="AZ970" s="1715">
        <f t="shared" ref="AZ970:AZ997" ca="1" si="1867">IFERROR(AT970/AX970,0)</f>
        <v>1</v>
      </c>
      <c r="BB970" s="2123">
        <f t="shared" ref="BB970:BB997" ca="1" si="1868">INDIRECT(BB$3&amp;(ROW()))</f>
        <v>21</v>
      </c>
      <c r="BC970" s="455">
        <f t="shared" ref="BC970:BC997" ca="1" si="1869">INDIRECT(BC$1&amp;BC$3&amp;$C970)</f>
        <v>0</v>
      </c>
      <c r="BD970" s="2520">
        <f t="shared" ref="BD970:BD997" ca="1" si="1870">BB970-BC970</f>
        <v>21</v>
      </c>
      <c r="BE970" s="1715">
        <f t="shared" ref="BE970:BE997" ca="1" si="1871">IFERROR(BB970/BC970,0)</f>
        <v>0</v>
      </c>
      <c r="BF970" s="455">
        <f t="shared" ref="BF970:BF997" ca="1" si="1872">INDIRECT(BF$1&amp;BF$3&amp;$A970)+INDIRECT(BF$1&amp;BF$3&amp;$B970)</f>
        <v>21</v>
      </c>
      <c r="BG970" s="2520">
        <f t="shared" ref="BG970:BG997" ca="1" si="1873">BB970-BF970</f>
        <v>0</v>
      </c>
      <c r="BH970" s="1715">
        <f t="shared" ref="BH970:BH997" ca="1" si="1874">IFERROR(BB970/BF970,0)</f>
        <v>1</v>
      </c>
    </row>
    <row r="971" spans="1:60" s="38" customFormat="1" ht="14.5">
      <c r="A971" s="990">
        <f t="shared" si="1848"/>
        <v>884</v>
      </c>
      <c r="B971" s="990">
        <v>1</v>
      </c>
      <c r="C971" s="990">
        <f t="shared" si="1849"/>
        <v>968</v>
      </c>
      <c r="D971" s="1121" t="s">
        <v>887</v>
      </c>
      <c r="E971" s="1243">
        <v>1</v>
      </c>
      <c r="F971" s="5"/>
      <c r="G971" s="5"/>
      <c r="H971" s="5"/>
      <c r="I971" s="456"/>
      <c r="J971" s="52" t="s">
        <v>126</v>
      </c>
      <c r="K971" s="51"/>
      <c r="L971" s="52"/>
      <c r="M971" s="52"/>
      <c r="N971" s="51"/>
      <c r="O971" s="51"/>
      <c r="P971" s="51"/>
      <c r="Q971" s="1851" t="str">
        <f>CHOOSE(2, "6722000003890", "HC IP FE/TTOC Sales Total")</f>
        <v>HC IP FE/TTOC Sales Total</v>
      </c>
      <c r="R971" s="49">
        <f>SUM(R972:R975)</f>
        <v>5</v>
      </c>
      <c r="S971" s="49">
        <f t="shared" ref="S971:AC971" si="1875">SUM(S972:S975)</f>
        <v>5</v>
      </c>
      <c r="T971" s="49">
        <f t="shared" si="1875"/>
        <v>5</v>
      </c>
      <c r="U971" s="49">
        <f t="shared" si="1875"/>
        <v>5</v>
      </c>
      <c r="V971" s="49">
        <f t="shared" si="1875"/>
        <v>5</v>
      </c>
      <c r="W971" s="49">
        <f t="shared" si="1875"/>
        <v>6</v>
      </c>
      <c r="X971" s="49">
        <f t="shared" si="1875"/>
        <v>6</v>
      </c>
      <c r="Y971" s="49">
        <f t="shared" si="1875"/>
        <v>6</v>
      </c>
      <c r="Z971" s="49">
        <f t="shared" si="1875"/>
        <v>6</v>
      </c>
      <c r="AA971" s="49">
        <f t="shared" si="1875"/>
        <v>6</v>
      </c>
      <c r="AB971" s="49">
        <f t="shared" si="1875"/>
        <v>6</v>
      </c>
      <c r="AC971" s="49">
        <f t="shared" si="1875"/>
        <v>6</v>
      </c>
      <c r="AD971" s="1553">
        <f t="shared" ref="AD971:AJ971" si="1876">SUM(AD972:AD975)</f>
        <v>5</v>
      </c>
      <c r="AE971" s="49">
        <f t="shared" si="1876"/>
        <v>6</v>
      </c>
      <c r="AF971" s="49">
        <f t="shared" si="1876"/>
        <v>6</v>
      </c>
      <c r="AG971" s="49">
        <f t="shared" si="1876"/>
        <v>6</v>
      </c>
      <c r="AH971" s="49">
        <f t="shared" si="1876"/>
        <v>6</v>
      </c>
      <c r="AI971" s="49">
        <f t="shared" si="1876"/>
        <v>6</v>
      </c>
      <c r="AJ971" s="49">
        <f t="shared" si="1876"/>
        <v>6</v>
      </c>
      <c r="AL971" s="49">
        <f t="shared" ca="1" si="1854"/>
        <v>6</v>
      </c>
      <c r="AM971" s="49">
        <f t="shared" ca="1" si="1855"/>
        <v>0</v>
      </c>
      <c r="AN971" s="913">
        <f t="shared" ca="1" si="1856"/>
        <v>6</v>
      </c>
      <c r="AO971" s="974">
        <f t="shared" ca="1" si="1857"/>
        <v>0</v>
      </c>
      <c r="AP971" s="49">
        <f t="shared" ca="1" si="1858"/>
        <v>5</v>
      </c>
      <c r="AQ971" s="913">
        <f t="shared" ca="1" si="1859"/>
        <v>1</v>
      </c>
      <c r="AR971" s="974">
        <f t="shared" ca="1" si="1860"/>
        <v>1.2</v>
      </c>
      <c r="AT971" s="49">
        <f t="shared" ca="1" si="1861"/>
        <v>6</v>
      </c>
      <c r="AU971" s="49">
        <f t="shared" ca="1" si="1862"/>
        <v>0</v>
      </c>
      <c r="AV971" s="913">
        <f t="shared" ca="1" si="1863"/>
        <v>6</v>
      </c>
      <c r="AW971" s="974">
        <f t="shared" ca="1" si="1864"/>
        <v>0</v>
      </c>
      <c r="AX971" s="49">
        <f t="shared" ca="1" si="1865"/>
        <v>5</v>
      </c>
      <c r="AY971" s="913">
        <f t="shared" ca="1" si="1866"/>
        <v>1</v>
      </c>
      <c r="AZ971" s="974">
        <f t="shared" ca="1" si="1867"/>
        <v>1.2</v>
      </c>
      <c r="BB971" s="49">
        <f t="shared" ca="1" si="1868"/>
        <v>6</v>
      </c>
      <c r="BC971" s="49">
        <f t="shared" ca="1" si="1869"/>
        <v>0</v>
      </c>
      <c r="BD971" s="913">
        <f t="shared" ca="1" si="1870"/>
        <v>6</v>
      </c>
      <c r="BE971" s="974">
        <f t="shared" ca="1" si="1871"/>
        <v>0</v>
      </c>
      <c r="BF971" s="49">
        <f t="shared" ca="1" si="1872"/>
        <v>5</v>
      </c>
      <c r="BG971" s="913">
        <f t="shared" ca="1" si="1873"/>
        <v>1</v>
      </c>
      <c r="BH971" s="974">
        <f t="shared" ca="1" si="1874"/>
        <v>1.2</v>
      </c>
    </row>
    <row r="972" spans="1:60" s="38" customFormat="1" ht="14.5">
      <c r="A972" s="990">
        <f t="shared" si="1848"/>
        <v>885</v>
      </c>
      <c r="B972" s="990">
        <v>1</v>
      </c>
      <c r="C972" s="990">
        <f t="shared" si="1849"/>
        <v>969</v>
      </c>
      <c r="E972" s="1243">
        <v>1</v>
      </c>
      <c r="F972" s="5"/>
      <c r="G972" s="5"/>
      <c r="H972" s="5"/>
      <c r="I972" s="456"/>
      <c r="J972" s="5"/>
      <c r="K972" s="4"/>
      <c r="L972" s="5"/>
      <c r="M972" s="5"/>
      <c r="N972" s="45"/>
      <c r="O972" s="45" t="s">
        <v>125</v>
      </c>
      <c r="P972" s="4"/>
      <c r="Q972" s="1844" t="str">
        <f>CHOOSE(2, "6722000003891", "HC IP FE/TTOC Sales Total Direct sales rep.")</f>
        <v>HC IP FE/TTOC Sales Total Direct sales rep.</v>
      </c>
      <c r="R972" s="2789">
        <v>4</v>
      </c>
      <c r="S972" s="2030">
        <v>4</v>
      </c>
      <c r="T972" s="2030">
        <v>4</v>
      </c>
      <c r="U972" s="2030">
        <v>4</v>
      </c>
      <c r="V972" s="2030">
        <v>4</v>
      </c>
      <c r="W972" s="2030">
        <v>5</v>
      </c>
      <c r="X972" s="2030">
        <v>5</v>
      </c>
      <c r="Y972" s="2030">
        <v>5</v>
      </c>
      <c r="Z972" s="2030">
        <v>5</v>
      </c>
      <c r="AA972" s="2030">
        <v>5</v>
      </c>
      <c r="AB972" s="2030">
        <v>5</v>
      </c>
      <c r="AC972" s="2030">
        <v>5</v>
      </c>
      <c r="AD972" s="1511">
        <f>T972</f>
        <v>4</v>
      </c>
      <c r="AE972" s="44">
        <f>W972</f>
        <v>5</v>
      </c>
      <c r="AF972" s="44">
        <f>Z972</f>
        <v>5</v>
      </c>
      <c r="AG972" s="44">
        <f>AC972</f>
        <v>5</v>
      </c>
      <c r="AH972" s="44">
        <f>AE972</f>
        <v>5</v>
      </c>
      <c r="AI972" s="44">
        <f>AG972</f>
        <v>5</v>
      </c>
      <c r="AJ972" s="44">
        <f>AI972</f>
        <v>5</v>
      </c>
      <c r="AL972" s="44">
        <f t="shared" ca="1" si="1854"/>
        <v>5</v>
      </c>
      <c r="AM972" s="44">
        <f t="shared" ca="1" si="1855"/>
        <v>0</v>
      </c>
      <c r="AN972" s="872">
        <f t="shared" ca="1" si="1856"/>
        <v>5</v>
      </c>
      <c r="AO972" s="922">
        <f t="shared" ca="1" si="1857"/>
        <v>0</v>
      </c>
      <c r="AP972" s="44">
        <f t="shared" ca="1" si="1858"/>
        <v>4</v>
      </c>
      <c r="AQ972" s="872">
        <f t="shared" ca="1" si="1859"/>
        <v>1</v>
      </c>
      <c r="AR972" s="922">
        <f t="shared" ca="1" si="1860"/>
        <v>1.25</v>
      </c>
      <c r="AT972" s="44">
        <f t="shared" ca="1" si="1861"/>
        <v>5</v>
      </c>
      <c r="AU972" s="44">
        <f t="shared" ca="1" si="1862"/>
        <v>0</v>
      </c>
      <c r="AV972" s="872">
        <f t="shared" ca="1" si="1863"/>
        <v>5</v>
      </c>
      <c r="AW972" s="922">
        <f t="shared" ca="1" si="1864"/>
        <v>0</v>
      </c>
      <c r="AX972" s="44">
        <f t="shared" ca="1" si="1865"/>
        <v>4</v>
      </c>
      <c r="AY972" s="872">
        <f t="shared" ca="1" si="1866"/>
        <v>1</v>
      </c>
      <c r="AZ972" s="922">
        <f t="shared" ca="1" si="1867"/>
        <v>1.25</v>
      </c>
      <c r="BB972" s="44">
        <f t="shared" ca="1" si="1868"/>
        <v>5</v>
      </c>
      <c r="BC972" s="44">
        <f t="shared" ca="1" si="1869"/>
        <v>0</v>
      </c>
      <c r="BD972" s="872">
        <f t="shared" ca="1" si="1870"/>
        <v>5</v>
      </c>
      <c r="BE972" s="922">
        <f t="shared" ca="1" si="1871"/>
        <v>0</v>
      </c>
      <c r="BF972" s="44">
        <f t="shared" ca="1" si="1872"/>
        <v>4</v>
      </c>
      <c r="BG972" s="872">
        <f t="shared" ca="1" si="1873"/>
        <v>1</v>
      </c>
      <c r="BH972" s="922">
        <f t="shared" ca="1" si="1874"/>
        <v>1.25</v>
      </c>
    </row>
    <row r="973" spans="1:60" s="38" customFormat="1" ht="14.5">
      <c r="A973" s="990">
        <f t="shared" si="1848"/>
        <v>886</v>
      </c>
      <c r="B973" s="990">
        <v>1</v>
      </c>
      <c r="C973" s="990">
        <f t="shared" si="1849"/>
        <v>970</v>
      </c>
      <c r="E973" s="1243">
        <v>1</v>
      </c>
      <c r="F973" s="5"/>
      <c r="G973" s="5"/>
      <c r="H973" s="5"/>
      <c r="I973" s="456"/>
      <c r="J973" s="5"/>
      <c r="K973" s="4"/>
      <c r="L973" s="5"/>
      <c r="M973" s="5"/>
      <c r="N973" s="45"/>
      <c r="O973" s="45" t="s">
        <v>124</v>
      </c>
      <c r="P973" s="4"/>
      <c r="Q973" s="1844" t="str">
        <f>CHOOSE(2, "6722000003892", "HC IP FE/TTOC Sales Total Direct sales engineers")</f>
        <v>HC IP FE/TTOC Sales Total Direct sales engineers</v>
      </c>
      <c r="R973" s="2789">
        <v>0</v>
      </c>
      <c r="S973" s="2030">
        <v>0</v>
      </c>
      <c r="T973" s="2030">
        <v>0</v>
      </c>
      <c r="U973" s="2030">
        <v>0</v>
      </c>
      <c r="V973" s="2030">
        <v>0</v>
      </c>
      <c r="W973" s="2030">
        <v>0</v>
      </c>
      <c r="X973" s="2030">
        <v>0</v>
      </c>
      <c r="Y973" s="2030">
        <v>0</v>
      </c>
      <c r="Z973" s="2030">
        <v>0</v>
      </c>
      <c r="AA973" s="2030">
        <v>0</v>
      </c>
      <c r="AB973" s="2030">
        <v>0</v>
      </c>
      <c r="AC973" s="2030">
        <v>0</v>
      </c>
      <c r="AD973" s="1511">
        <f>T973</f>
        <v>0</v>
      </c>
      <c r="AE973" s="44">
        <f>W973</f>
        <v>0</v>
      </c>
      <c r="AF973" s="44">
        <f>Z973</f>
        <v>0</v>
      </c>
      <c r="AG973" s="44">
        <f>AC973</f>
        <v>0</v>
      </c>
      <c r="AH973" s="44">
        <f>AE973</f>
        <v>0</v>
      </c>
      <c r="AI973" s="44">
        <f>AG973</f>
        <v>0</v>
      </c>
      <c r="AJ973" s="44">
        <f>AI973</f>
        <v>0</v>
      </c>
      <c r="AL973" s="44">
        <f t="shared" ca="1" si="1854"/>
        <v>0</v>
      </c>
      <c r="AM973" s="44">
        <f t="shared" ca="1" si="1855"/>
        <v>0</v>
      </c>
      <c r="AN973" s="872">
        <f t="shared" ca="1" si="1856"/>
        <v>0</v>
      </c>
      <c r="AO973" s="922">
        <f t="shared" ca="1" si="1857"/>
        <v>0</v>
      </c>
      <c r="AP973" s="44">
        <f t="shared" ca="1" si="1858"/>
        <v>0</v>
      </c>
      <c r="AQ973" s="872">
        <f t="shared" ca="1" si="1859"/>
        <v>0</v>
      </c>
      <c r="AR973" s="922">
        <f t="shared" ca="1" si="1860"/>
        <v>0</v>
      </c>
      <c r="AT973" s="44">
        <f t="shared" ca="1" si="1861"/>
        <v>0</v>
      </c>
      <c r="AU973" s="44">
        <f t="shared" ca="1" si="1862"/>
        <v>0</v>
      </c>
      <c r="AV973" s="872">
        <f t="shared" ca="1" si="1863"/>
        <v>0</v>
      </c>
      <c r="AW973" s="922">
        <f t="shared" ca="1" si="1864"/>
        <v>0</v>
      </c>
      <c r="AX973" s="44">
        <f t="shared" ca="1" si="1865"/>
        <v>0</v>
      </c>
      <c r="AY973" s="872">
        <f t="shared" ca="1" si="1866"/>
        <v>0</v>
      </c>
      <c r="AZ973" s="922">
        <f t="shared" ca="1" si="1867"/>
        <v>0</v>
      </c>
      <c r="BB973" s="44">
        <f t="shared" ca="1" si="1868"/>
        <v>0</v>
      </c>
      <c r="BC973" s="44">
        <f t="shared" ca="1" si="1869"/>
        <v>0</v>
      </c>
      <c r="BD973" s="872">
        <f t="shared" ca="1" si="1870"/>
        <v>0</v>
      </c>
      <c r="BE973" s="922">
        <f t="shared" ca="1" si="1871"/>
        <v>0</v>
      </c>
      <c r="BF973" s="44">
        <f t="shared" ca="1" si="1872"/>
        <v>0</v>
      </c>
      <c r="BG973" s="872">
        <f t="shared" ca="1" si="1873"/>
        <v>0</v>
      </c>
      <c r="BH973" s="922">
        <f t="shared" ca="1" si="1874"/>
        <v>0</v>
      </c>
    </row>
    <row r="974" spans="1:60" s="38" customFormat="1" ht="14.5">
      <c r="A974" s="990">
        <f t="shared" si="1848"/>
        <v>887</v>
      </c>
      <c r="B974" s="990">
        <v>1</v>
      </c>
      <c r="C974" s="990">
        <f t="shared" si="1849"/>
        <v>971</v>
      </c>
      <c r="E974" s="1243">
        <v>1</v>
      </c>
      <c r="F974" s="5"/>
      <c r="G974" s="5"/>
      <c r="H974" s="5"/>
      <c r="I974" s="456"/>
      <c r="J974" s="5"/>
      <c r="K974" s="4"/>
      <c r="L974" s="5"/>
      <c r="M974" s="5"/>
      <c r="N974" s="45"/>
      <c r="O974" s="45" t="s">
        <v>123</v>
      </c>
      <c r="P974" s="4"/>
      <c r="Q974" s="1844" t="str">
        <f>CHOOSE(2, "6722000003893", "HC IP FE/TTOC Sales Total Dealer(Indirect) sales rep.")</f>
        <v>HC IP FE/TTOC Sales Total Dealer(Indirect) sales rep.</v>
      </c>
      <c r="R974" s="2789">
        <v>1</v>
      </c>
      <c r="S974" s="2030">
        <v>1</v>
      </c>
      <c r="T974" s="2030">
        <v>1</v>
      </c>
      <c r="U974" s="2030">
        <v>1</v>
      </c>
      <c r="V974" s="2030">
        <v>1</v>
      </c>
      <c r="W974" s="2030">
        <v>1</v>
      </c>
      <c r="X974" s="2030">
        <v>1</v>
      </c>
      <c r="Y974" s="2030">
        <v>1</v>
      </c>
      <c r="Z974" s="2030">
        <v>1</v>
      </c>
      <c r="AA974" s="2030">
        <v>1</v>
      </c>
      <c r="AB974" s="2030">
        <v>1</v>
      </c>
      <c r="AC974" s="2030">
        <v>1</v>
      </c>
      <c r="AD974" s="1511">
        <f>T974</f>
        <v>1</v>
      </c>
      <c r="AE974" s="44">
        <f>W974</f>
        <v>1</v>
      </c>
      <c r="AF974" s="44">
        <f>Z974</f>
        <v>1</v>
      </c>
      <c r="AG974" s="44">
        <f>AC974</f>
        <v>1</v>
      </c>
      <c r="AH974" s="44">
        <f>AE974</f>
        <v>1</v>
      </c>
      <c r="AI974" s="44">
        <f>AG974</f>
        <v>1</v>
      </c>
      <c r="AJ974" s="44">
        <f>AI974</f>
        <v>1</v>
      </c>
      <c r="AL974" s="44">
        <f t="shared" ca="1" si="1854"/>
        <v>1</v>
      </c>
      <c r="AM974" s="44">
        <f t="shared" ca="1" si="1855"/>
        <v>0</v>
      </c>
      <c r="AN974" s="872">
        <f t="shared" ca="1" si="1856"/>
        <v>1</v>
      </c>
      <c r="AO974" s="922">
        <f t="shared" ca="1" si="1857"/>
        <v>0</v>
      </c>
      <c r="AP974" s="44">
        <f t="shared" ca="1" si="1858"/>
        <v>1</v>
      </c>
      <c r="AQ974" s="872">
        <f t="shared" ca="1" si="1859"/>
        <v>0</v>
      </c>
      <c r="AR974" s="922">
        <f t="shared" ca="1" si="1860"/>
        <v>1</v>
      </c>
      <c r="AT974" s="44">
        <f t="shared" ca="1" si="1861"/>
        <v>1</v>
      </c>
      <c r="AU974" s="44">
        <f t="shared" ca="1" si="1862"/>
        <v>0</v>
      </c>
      <c r="AV974" s="872">
        <f t="shared" ca="1" si="1863"/>
        <v>1</v>
      </c>
      <c r="AW974" s="922">
        <f t="shared" ca="1" si="1864"/>
        <v>0</v>
      </c>
      <c r="AX974" s="44">
        <f t="shared" ca="1" si="1865"/>
        <v>1</v>
      </c>
      <c r="AY974" s="872">
        <f t="shared" ca="1" si="1866"/>
        <v>0</v>
      </c>
      <c r="AZ974" s="922">
        <f t="shared" ca="1" si="1867"/>
        <v>1</v>
      </c>
      <c r="BB974" s="44">
        <f t="shared" ca="1" si="1868"/>
        <v>1</v>
      </c>
      <c r="BC974" s="44">
        <f t="shared" ca="1" si="1869"/>
        <v>0</v>
      </c>
      <c r="BD974" s="872">
        <f t="shared" ca="1" si="1870"/>
        <v>1</v>
      </c>
      <c r="BE974" s="922">
        <f t="shared" ca="1" si="1871"/>
        <v>0</v>
      </c>
      <c r="BF974" s="44">
        <f t="shared" ca="1" si="1872"/>
        <v>1</v>
      </c>
      <c r="BG974" s="872">
        <f t="shared" ca="1" si="1873"/>
        <v>0</v>
      </c>
      <c r="BH974" s="922">
        <f t="shared" ca="1" si="1874"/>
        <v>1</v>
      </c>
    </row>
    <row r="975" spans="1:60" s="38" customFormat="1" ht="14.5">
      <c r="A975" s="990">
        <f t="shared" si="1848"/>
        <v>888</v>
      </c>
      <c r="B975" s="990">
        <v>1</v>
      </c>
      <c r="C975" s="990">
        <f t="shared" si="1849"/>
        <v>972</v>
      </c>
      <c r="E975" s="1243">
        <v>1</v>
      </c>
      <c r="F975" s="5"/>
      <c r="G975" s="5"/>
      <c r="H975" s="5"/>
      <c r="I975" s="456"/>
      <c r="J975" s="3"/>
      <c r="K975" s="2"/>
      <c r="L975" s="3"/>
      <c r="M975" s="3"/>
      <c r="N975" s="43"/>
      <c r="O975" s="43" t="s">
        <v>120</v>
      </c>
      <c r="P975" s="2"/>
      <c r="Q975" s="1844" t="str">
        <f>CHOOSE(2, "6722000003894", "HC IP FE/TTOC Sales Total Administration/Others")</f>
        <v>HC IP FE/TTOC Sales Total Administration/Others</v>
      </c>
      <c r="R975" s="2029">
        <v>0</v>
      </c>
      <c r="S975" s="2029">
        <v>0</v>
      </c>
      <c r="T975" s="2029">
        <v>0</v>
      </c>
      <c r="U975" s="2029">
        <v>0</v>
      </c>
      <c r="V975" s="2029">
        <v>0</v>
      </c>
      <c r="W975" s="2029">
        <v>0</v>
      </c>
      <c r="X975" s="2029">
        <v>0</v>
      </c>
      <c r="Y975" s="2029">
        <v>0</v>
      </c>
      <c r="Z975" s="2029">
        <v>0</v>
      </c>
      <c r="AA975" s="2029">
        <v>0</v>
      </c>
      <c r="AB975" s="2029">
        <v>0</v>
      </c>
      <c r="AC975" s="2029">
        <v>0</v>
      </c>
      <c r="AD975" s="1554">
        <f>T975</f>
        <v>0</v>
      </c>
      <c r="AE975" s="42">
        <f>W975</f>
        <v>0</v>
      </c>
      <c r="AF975" s="42">
        <f>Z975</f>
        <v>0</v>
      </c>
      <c r="AG975" s="42">
        <f>AC975</f>
        <v>0</v>
      </c>
      <c r="AH975" s="42">
        <f>AE975</f>
        <v>0</v>
      </c>
      <c r="AI975" s="42">
        <f>AG975</f>
        <v>0</v>
      </c>
      <c r="AJ975" s="42">
        <f>AI975</f>
        <v>0</v>
      </c>
      <c r="AL975" s="42">
        <f t="shared" ca="1" si="1854"/>
        <v>0</v>
      </c>
      <c r="AM975" s="42">
        <f t="shared" ca="1" si="1855"/>
        <v>0</v>
      </c>
      <c r="AN975" s="914">
        <f t="shared" ca="1" si="1856"/>
        <v>0</v>
      </c>
      <c r="AO975" s="975">
        <f t="shared" ca="1" si="1857"/>
        <v>0</v>
      </c>
      <c r="AP975" s="42">
        <f t="shared" ca="1" si="1858"/>
        <v>0</v>
      </c>
      <c r="AQ975" s="914">
        <f t="shared" ca="1" si="1859"/>
        <v>0</v>
      </c>
      <c r="AR975" s="975">
        <f t="shared" ca="1" si="1860"/>
        <v>0</v>
      </c>
      <c r="AT975" s="42">
        <f t="shared" ca="1" si="1861"/>
        <v>0</v>
      </c>
      <c r="AU975" s="42">
        <f t="shared" ca="1" si="1862"/>
        <v>0</v>
      </c>
      <c r="AV975" s="914">
        <f t="shared" ca="1" si="1863"/>
        <v>0</v>
      </c>
      <c r="AW975" s="975">
        <f t="shared" ca="1" si="1864"/>
        <v>0</v>
      </c>
      <c r="AX975" s="42">
        <f t="shared" ca="1" si="1865"/>
        <v>0</v>
      </c>
      <c r="AY975" s="914">
        <f t="shared" ca="1" si="1866"/>
        <v>0</v>
      </c>
      <c r="AZ975" s="975">
        <f t="shared" ca="1" si="1867"/>
        <v>0</v>
      </c>
      <c r="BB975" s="42">
        <f t="shared" ca="1" si="1868"/>
        <v>0</v>
      </c>
      <c r="BC975" s="42">
        <f t="shared" ca="1" si="1869"/>
        <v>0</v>
      </c>
      <c r="BD975" s="914">
        <f t="shared" ca="1" si="1870"/>
        <v>0</v>
      </c>
      <c r="BE975" s="975">
        <f t="shared" ca="1" si="1871"/>
        <v>0</v>
      </c>
      <c r="BF975" s="42">
        <f t="shared" ca="1" si="1872"/>
        <v>0</v>
      </c>
      <c r="BG975" s="914">
        <f t="shared" ca="1" si="1873"/>
        <v>0</v>
      </c>
      <c r="BH975" s="975">
        <f t="shared" ca="1" si="1874"/>
        <v>0</v>
      </c>
    </row>
    <row r="976" spans="1:60" s="38" customFormat="1" ht="14.5">
      <c r="A976" s="990">
        <f t="shared" si="1848"/>
        <v>889</v>
      </c>
      <c r="B976" s="990">
        <v>1</v>
      </c>
      <c r="C976" s="990">
        <f t="shared" si="1849"/>
        <v>973</v>
      </c>
      <c r="D976" s="1121" t="s">
        <v>887</v>
      </c>
      <c r="E976" s="1243">
        <v>1</v>
      </c>
      <c r="F976" s="5"/>
      <c r="G976" s="5"/>
      <c r="H976" s="5"/>
      <c r="I976" s="456"/>
      <c r="J976" s="52" t="s">
        <v>230</v>
      </c>
      <c r="K976" s="51"/>
      <c r="L976" s="52"/>
      <c r="M976" s="52"/>
      <c r="N976" s="51"/>
      <c r="O976" s="51"/>
      <c r="P976" s="51"/>
      <c r="Q976" s="1851" t="str">
        <f>CHOOSE(2, "6722000003895", "HC IP FE/TTOC Service Total")</f>
        <v>HC IP FE/TTOC Service Total</v>
      </c>
      <c r="R976" s="49">
        <f>SUM(R977:R981)</f>
        <v>13</v>
      </c>
      <c r="S976" s="49">
        <f t="shared" ref="S976:AC976" si="1877">SUM(S977:S981)</f>
        <v>14</v>
      </c>
      <c r="T976" s="49">
        <f t="shared" si="1877"/>
        <v>13</v>
      </c>
      <c r="U976" s="49">
        <f t="shared" si="1877"/>
        <v>13</v>
      </c>
      <c r="V976" s="49">
        <f t="shared" si="1877"/>
        <v>13</v>
      </c>
      <c r="W976" s="49">
        <f t="shared" si="1877"/>
        <v>13</v>
      </c>
      <c r="X976" s="49">
        <f t="shared" si="1877"/>
        <v>13</v>
      </c>
      <c r="Y976" s="49">
        <f t="shared" si="1877"/>
        <v>13</v>
      </c>
      <c r="Z976" s="49">
        <f t="shared" si="1877"/>
        <v>13</v>
      </c>
      <c r="AA976" s="49">
        <f t="shared" si="1877"/>
        <v>13</v>
      </c>
      <c r="AB976" s="49">
        <f t="shared" si="1877"/>
        <v>13</v>
      </c>
      <c r="AC976" s="49">
        <f t="shared" si="1877"/>
        <v>13</v>
      </c>
      <c r="AD976" s="1553">
        <f t="shared" ref="AD976:AJ976" si="1878">SUM(AD977:AD981)</f>
        <v>13</v>
      </c>
      <c r="AE976" s="49">
        <f t="shared" si="1878"/>
        <v>13</v>
      </c>
      <c r="AF976" s="49">
        <f t="shared" si="1878"/>
        <v>13</v>
      </c>
      <c r="AG976" s="49">
        <f t="shared" si="1878"/>
        <v>13</v>
      </c>
      <c r="AH976" s="49">
        <f t="shared" si="1878"/>
        <v>13</v>
      </c>
      <c r="AI976" s="49">
        <f t="shared" si="1878"/>
        <v>13</v>
      </c>
      <c r="AJ976" s="49">
        <f t="shared" si="1878"/>
        <v>13</v>
      </c>
      <c r="AL976" s="49">
        <f t="shared" ca="1" si="1854"/>
        <v>13</v>
      </c>
      <c r="AM976" s="49">
        <f t="shared" ca="1" si="1855"/>
        <v>0</v>
      </c>
      <c r="AN976" s="913">
        <f t="shared" ca="1" si="1856"/>
        <v>13</v>
      </c>
      <c r="AO976" s="974">
        <f t="shared" ca="1" si="1857"/>
        <v>0</v>
      </c>
      <c r="AP976" s="49">
        <f t="shared" ca="1" si="1858"/>
        <v>12</v>
      </c>
      <c r="AQ976" s="913">
        <f t="shared" ca="1" si="1859"/>
        <v>1</v>
      </c>
      <c r="AR976" s="974">
        <f t="shared" ca="1" si="1860"/>
        <v>1.0833333333333333</v>
      </c>
      <c r="AT976" s="49">
        <f t="shared" ca="1" si="1861"/>
        <v>13</v>
      </c>
      <c r="AU976" s="49">
        <f t="shared" ca="1" si="1862"/>
        <v>0</v>
      </c>
      <c r="AV976" s="913">
        <f t="shared" ca="1" si="1863"/>
        <v>13</v>
      </c>
      <c r="AW976" s="974">
        <f t="shared" ca="1" si="1864"/>
        <v>0</v>
      </c>
      <c r="AX976" s="49">
        <f t="shared" ca="1" si="1865"/>
        <v>12</v>
      </c>
      <c r="AY976" s="913">
        <f t="shared" ca="1" si="1866"/>
        <v>1</v>
      </c>
      <c r="AZ976" s="974">
        <f t="shared" ca="1" si="1867"/>
        <v>1.0833333333333333</v>
      </c>
      <c r="BB976" s="49">
        <f t="shared" ca="1" si="1868"/>
        <v>13</v>
      </c>
      <c r="BC976" s="49">
        <f t="shared" ca="1" si="1869"/>
        <v>0</v>
      </c>
      <c r="BD976" s="913">
        <f t="shared" ca="1" si="1870"/>
        <v>13</v>
      </c>
      <c r="BE976" s="974">
        <f t="shared" ca="1" si="1871"/>
        <v>0</v>
      </c>
      <c r="BF976" s="49">
        <f t="shared" ca="1" si="1872"/>
        <v>12</v>
      </c>
      <c r="BG976" s="913">
        <f t="shared" ca="1" si="1873"/>
        <v>1</v>
      </c>
      <c r="BH976" s="974">
        <f t="shared" ca="1" si="1874"/>
        <v>1.0833333333333333</v>
      </c>
    </row>
    <row r="977" spans="1:60" s="38" customFormat="1" ht="14.5">
      <c r="A977" s="990">
        <f t="shared" si="1848"/>
        <v>890</v>
      </c>
      <c r="B977" s="990">
        <v>1</v>
      </c>
      <c r="C977" s="990">
        <f t="shared" si="1849"/>
        <v>974</v>
      </c>
      <c r="E977" s="1243">
        <v>1</v>
      </c>
      <c r="F977" s="5"/>
      <c r="G977" s="5"/>
      <c r="H977" s="5"/>
      <c r="I977" s="456"/>
      <c r="J977" s="5"/>
      <c r="K977" s="4"/>
      <c r="L977" s="5"/>
      <c r="M977" s="5"/>
      <c r="N977" s="45"/>
      <c r="O977" s="45" t="s">
        <v>67</v>
      </c>
      <c r="P977" s="4"/>
      <c r="Q977" s="1844" t="str">
        <f>CHOOSE(2, "6722000003896", "HC IP FE/TTOC Service Total Onsite Engineer")</f>
        <v>HC IP FE/TTOC Service Total Onsite Engineer</v>
      </c>
      <c r="R977" s="2789">
        <v>13</v>
      </c>
      <c r="S977" s="2030">
        <v>14</v>
      </c>
      <c r="T977" s="2030">
        <v>13</v>
      </c>
      <c r="U977" s="2030">
        <v>13</v>
      </c>
      <c r="V977" s="2030">
        <v>13</v>
      </c>
      <c r="W977" s="2030">
        <v>13</v>
      </c>
      <c r="X977" s="2030">
        <v>13</v>
      </c>
      <c r="Y977" s="2030">
        <v>13</v>
      </c>
      <c r="Z977" s="2030">
        <v>13</v>
      </c>
      <c r="AA977" s="2030">
        <v>13</v>
      </c>
      <c r="AB977" s="2030">
        <v>13</v>
      </c>
      <c r="AC977" s="2030">
        <v>13</v>
      </c>
      <c r="AD977" s="1511">
        <f>T977</f>
        <v>13</v>
      </c>
      <c r="AE977" s="44">
        <f>W977</f>
        <v>13</v>
      </c>
      <c r="AF977" s="44">
        <f>Z977</f>
        <v>13</v>
      </c>
      <c r="AG977" s="44">
        <f>AC977</f>
        <v>13</v>
      </c>
      <c r="AH977" s="44">
        <f>AE977</f>
        <v>13</v>
      </c>
      <c r="AI977" s="44">
        <f>AG977</f>
        <v>13</v>
      </c>
      <c r="AJ977" s="44">
        <f>AI977</f>
        <v>13</v>
      </c>
      <c r="AL977" s="44">
        <f t="shared" ca="1" si="1854"/>
        <v>13</v>
      </c>
      <c r="AM977" s="44">
        <f t="shared" ca="1" si="1855"/>
        <v>0</v>
      </c>
      <c r="AN977" s="872">
        <f t="shared" ca="1" si="1856"/>
        <v>13</v>
      </c>
      <c r="AO977" s="922">
        <f t="shared" ca="1" si="1857"/>
        <v>0</v>
      </c>
      <c r="AP977" s="44">
        <f t="shared" ca="1" si="1858"/>
        <v>12</v>
      </c>
      <c r="AQ977" s="872">
        <f t="shared" ca="1" si="1859"/>
        <v>1</v>
      </c>
      <c r="AR977" s="922">
        <f t="shared" ca="1" si="1860"/>
        <v>1.0833333333333333</v>
      </c>
      <c r="AT977" s="44">
        <f t="shared" ca="1" si="1861"/>
        <v>13</v>
      </c>
      <c r="AU977" s="44">
        <f t="shared" ca="1" si="1862"/>
        <v>0</v>
      </c>
      <c r="AV977" s="872">
        <f t="shared" ca="1" si="1863"/>
        <v>13</v>
      </c>
      <c r="AW977" s="922">
        <f t="shared" ca="1" si="1864"/>
        <v>0</v>
      </c>
      <c r="AX977" s="44">
        <f t="shared" ca="1" si="1865"/>
        <v>12</v>
      </c>
      <c r="AY977" s="872">
        <f t="shared" ca="1" si="1866"/>
        <v>1</v>
      </c>
      <c r="AZ977" s="922">
        <f t="shared" ca="1" si="1867"/>
        <v>1.0833333333333333</v>
      </c>
      <c r="BB977" s="44">
        <f t="shared" ca="1" si="1868"/>
        <v>13</v>
      </c>
      <c r="BC977" s="44">
        <f t="shared" ca="1" si="1869"/>
        <v>0</v>
      </c>
      <c r="BD977" s="872">
        <f t="shared" ca="1" si="1870"/>
        <v>13</v>
      </c>
      <c r="BE977" s="922">
        <f t="shared" ca="1" si="1871"/>
        <v>0</v>
      </c>
      <c r="BF977" s="44">
        <f t="shared" ca="1" si="1872"/>
        <v>12</v>
      </c>
      <c r="BG977" s="872">
        <f t="shared" ca="1" si="1873"/>
        <v>1</v>
      </c>
      <c r="BH977" s="922">
        <f t="shared" ca="1" si="1874"/>
        <v>1.0833333333333333</v>
      </c>
    </row>
    <row r="978" spans="1:60" s="38" customFormat="1" ht="14.5">
      <c r="A978" s="990">
        <f t="shared" si="1848"/>
        <v>891</v>
      </c>
      <c r="B978" s="990">
        <v>1</v>
      </c>
      <c r="C978" s="990">
        <f t="shared" si="1849"/>
        <v>975</v>
      </c>
      <c r="E978" s="1243">
        <v>1</v>
      </c>
      <c r="F978" s="5"/>
      <c r="G978" s="5"/>
      <c r="H978" s="5"/>
      <c r="I978" s="456"/>
      <c r="J978" s="5"/>
      <c r="K978" s="4"/>
      <c r="L978" s="5"/>
      <c r="M978" s="5"/>
      <c r="N978" s="45"/>
      <c r="O978" s="45" t="s">
        <v>68</v>
      </c>
      <c r="P978" s="4"/>
      <c r="Q978" s="1844" t="str">
        <f>CHOOSE(2, "6722000003897", "HC IP FE/TTOC Service Total Remote Engineer")</f>
        <v>HC IP FE/TTOC Service Total Remote Engineer</v>
      </c>
      <c r="R978" s="2030">
        <v>0</v>
      </c>
      <c r="S978" s="2030">
        <v>0</v>
      </c>
      <c r="T978" s="2030">
        <v>0</v>
      </c>
      <c r="U978" s="2030">
        <v>0</v>
      </c>
      <c r="V978" s="2030">
        <v>0</v>
      </c>
      <c r="W978" s="2030">
        <v>0</v>
      </c>
      <c r="X978" s="2030">
        <v>0</v>
      </c>
      <c r="Y978" s="2030">
        <v>0</v>
      </c>
      <c r="Z978" s="2030">
        <v>0</v>
      </c>
      <c r="AA978" s="2030">
        <v>0</v>
      </c>
      <c r="AB978" s="2030">
        <v>0</v>
      </c>
      <c r="AC978" s="2030">
        <v>0</v>
      </c>
      <c r="AD978" s="1511">
        <f>T978</f>
        <v>0</v>
      </c>
      <c r="AE978" s="44">
        <f>W978</f>
        <v>0</v>
      </c>
      <c r="AF978" s="44">
        <f>Z978</f>
        <v>0</v>
      </c>
      <c r="AG978" s="44">
        <f>AC978</f>
        <v>0</v>
      </c>
      <c r="AH978" s="44">
        <f>AE978</f>
        <v>0</v>
      </c>
      <c r="AI978" s="44">
        <f>AG978</f>
        <v>0</v>
      </c>
      <c r="AJ978" s="44">
        <f>AI978</f>
        <v>0</v>
      </c>
      <c r="AL978" s="44">
        <f t="shared" ca="1" si="1854"/>
        <v>0</v>
      </c>
      <c r="AM978" s="44">
        <f t="shared" ca="1" si="1855"/>
        <v>0</v>
      </c>
      <c r="AN978" s="872">
        <f t="shared" ca="1" si="1856"/>
        <v>0</v>
      </c>
      <c r="AO978" s="922">
        <f t="shared" ca="1" si="1857"/>
        <v>0</v>
      </c>
      <c r="AP978" s="44">
        <f t="shared" ca="1" si="1858"/>
        <v>0</v>
      </c>
      <c r="AQ978" s="872">
        <f t="shared" ca="1" si="1859"/>
        <v>0</v>
      </c>
      <c r="AR978" s="922">
        <f t="shared" ca="1" si="1860"/>
        <v>0</v>
      </c>
      <c r="AT978" s="44">
        <f t="shared" ca="1" si="1861"/>
        <v>0</v>
      </c>
      <c r="AU978" s="44">
        <f t="shared" ca="1" si="1862"/>
        <v>0</v>
      </c>
      <c r="AV978" s="872">
        <f t="shared" ca="1" si="1863"/>
        <v>0</v>
      </c>
      <c r="AW978" s="922">
        <f t="shared" ca="1" si="1864"/>
        <v>0</v>
      </c>
      <c r="AX978" s="44">
        <f t="shared" ca="1" si="1865"/>
        <v>0</v>
      </c>
      <c r="AY978" s="872">
        <f t="shared" ca="1" si="1866"/>
        <v>0</v>
      </c>
      <c r="AZ978" s="922">
        <f t="shared" ca="1" si="1867"/>
        <v>0</v>
      </c>
      <c r="BB978" s="44">
        <f t="shared" ca="1" si="1868"/>
        <v>0</v>
      </c>
      <c r="BC978" s="44">
        <f t="shared" ca="1" si="1869"/>
        <v>0</v>
      </c>
      <c r="BD978" s="872">
        <f t="shared" ca="1" si="1870"/>
        <v>0</v>
      </c>
      <c r="BE978" s="922">
        <f t="shared" ca="1" si="1871"/>
        <v>0</v>
      </c>
      <c r="BF978" s="44">
        <f t="shared" ca="1" si="1872"/>
        <v>0</v>
      </c>
      <c r="BG978" s="872">
        <f t="shared" ca="1" si="1873"/>
        <v>0</v>
      </c>
      <c r="BH978" s="922">
        <f t="shared" ca="1" si="1874"/>
        <v>0</v>
      </c>
    </row>
    <row r="979" spans="1:60" s="38" customFormat="1" ht="14.5">
      <c r="A979" s="990">
        <f t="shared" si="1848"/>
        <v>892</v>
      </c>
      <c r="B979" s="990">
        <v>1</v>
      </c>
      <c r="C979" s="990">
        <f t="shared" si="1849"/>
        <v>976</v>
      </c>
      <c r="E979" s="1243">
        <v>1</v>
      </c>
      <c r="F979" s="5"/>
      <c r="G979" s="5"/>
      <c r="H979" s="5"/>
      <c r="I979" s="456"/>
      <c r="J979" s="5"/>
      <c r="K979" s="4"/>
      <c r="L979" s="5"/>
      <c r="M979" s="5"/>
      <c r="N979" s="45"/>
      <c r="O979" s="45" t="s">
        <v>122</v>
      </c>
      <c r="P979" s="4"/>
      <c r="Q979" s="1844" t="str">
        <f>CHOOSE(2, "6722000003898", "HC IP FE/TTOC Service Total Technical support")</f>
        <v>HC IP FE/TTOC Service Total Technical support</v>
      </c>
      <c r="R979" s="2030">
        <v>0</v>
      </c>
      <c r="S979" s="2030">
        <v>0</v>
      </c>
      <c r="T979" s="2030">
        <v>0</v>
      </c>
      <c r="U979" s="2030">
        <v>0</v>
      </c>
      <c r="V979" s="2030">
        <v>0</v>
      </c>
      <c r="W979" s="2030">
        <v>0</v>
      </c>
      <c r="X979" s="2030">
        <v>0</v>
      </c>
      <c r="Y979" s="2030">
        <v>0</v>
      </c>
      <c r="Z979" s="2030">
        <v>0</v>
      </c>
      <c r="AA979" s="2030">
        <v>0</v>
      </c>
      <c r="AB979" s="2030">
        <v>0</v>
      </c>
      <c r="AC979" s="2030">
        <v>0</v>
      </c>
      <c r="AD979" s="1511">
        <f>T979</f>
        <v>0</v>
      </c>
      <c r="AE979" s="44">
        <f>W979</f>
        <v>0</v>
      </c>
      <c r="AF979" s="44">
        <f>Z979</f>
        <v>0</v>
      </c>
      <c r="AG979" s="44">
        <f>AC979</f>
        <v>0</v>
      </c>
      <c r="AH979" s="44">
        <f>AE979</f>
        <v>0</v>
      </c>
      <c r="AI979" s="44">
        <f>AG979</f>
        <v>0</v>
      </c>
      <c r="AJ979" s="44">
        <f>AI979</f>
        <v>0</v>
      </c>
      <c r="AL979" s="44">
        <f t="shared" ca="1" si="1854"/>
        <v>0</v>
      </c>
      <c r="AM979" s="44">
        <f t="shared" ca="1" si="1855"/>
        <v>0</v>
      </c>
      <c r="AN979" s="872">
        <f t="shared" ca="1" si="1856"/>
        <v>0</v>
      </c>
      <c r="AO979" s="922">
        <f t="shared" ca="1" si="1857"/>
        <v>0</v>
      </c>
      <c r="AP979" s="44">
        <f t="shared" ca="1" si="1858"/>
        <v>0</v>
      </c>
      <c r="AQ979" s="872">
        <f t="shared" ca="1" si="1859"/>
        <v>0</v>
      </c>
      <c r="AR979" s="922">
        <f t="shared" ca="1" si="1860"/>
        <v>0</v>
      </c>
      <c r="AT979" s="44">
        <f t="shared" ca="1" si="1861"/>
        <v>0</v>
      </c>
      <c r="AU979" s="44">
        <f t="shared" ca="1" si="1862"/>
        <v>0</v>
      </c>
      <c r="AV979" s="872">
        <f t="shared" ca="1" si="1863"/>
        <v>0</v>
      </c>
      <c r="AW979" s="922">
        <f t="shared" ca="1" si="1864"/>
        <v>0</v>
      </c>
      <c r="AX979" s="44">
        <f t="shared" ca="1" si="1865"/>
        <v>0</v>
      </c>
      <c r="AY979" s="872">
        <f t="shared" ca="1" si="1866"/>
        <v>0</v>
      </c>
      <c r="AZ979" s="922">
        <f t="shared" ca="1" si="1867"/>
        <v>0</v>
      </c>
      <c r="BB979" s="44">
        <f t="shared" ca="1" si="1868"/>
        <v>0</v>
      </c>
      <c r="BC979" s="44">
        <f t="shared" ca="1" si="1869"/>
        <v>0</v>
      </c>
      <c r="BD979" s="872">
        <f t="shared" ca="1" si="1870"/>
        <v>0</v>
      </c>
      <c r="BE979" s="922">
        <f t="shared" ca="1" si="1871"/>
        <v>0</v>
      </c>
      <c r="BF979" s="44">
        <f t="shared" ca="1" si="1872"/>
        <v>0</v>
      </c>
      <c r="BG979" s="872">
        <f t="shared" ca="1" si="1873"/>
        <v>0</v>
      </c>
      <c r="BH979" s="922">
        <f t="shared" ca="1" si="1874"/>
        <v>0</v>
      </c>
    </row>
    <row r="980" spans="1:60" s="38" customFormat="1" ht="14.5">
      <c r="A980" s="990">
        <f t="shared" si="1848"/>
        <v>893</v>
      </c>
      <c r="B980" s="990">
        <v>1</v>
      </c>
      <c r="C980" s="990">
        <f t="shared" si="1849"/>
        <v>977</v>
      </c>
      <c r="E980" s="1243">
        <v>1</v>
      </c>
      <c r="F980" s="5"/>
      <c r="G980" s="5"/>
      <c r="H980" s="5"/>
      <c r="I980" s="456"/>
      <c r="J980" s="5"/>
      <c r="K980" s="4"/>
      <c r="L980" s="5"/>
      <c r="M980" s="5"/>
      <c r="N980" s="45"/>
      <c r="O980" s="45" t="s">
        <v>121</v>
      </c>
      <c r="P980" s="4"/>
      <c r="Q980" s="1844" t="str">
        <f>CHOOSE(2, "6722000003899", "HC IP FE/TTOC Service Total Dealer(Indirect) support")</f>
        <v>HC IP FE/TTOC Service Total Dealer(Indirect) support</v>
      </c>
      <c r="R980" s="2030">
        <v>0</v>
      </c>
      <c r="S980" s="2030">
        <v>0</v>
      </c>
      <c r="T980" s="2030">
        <v>0</v>
      </c>
      <c r="U980" s="2030">
        <v>0</v>
      </c>
      <c r="V980" s="2030">
        <v>0</v>
      </c>
      <c r="W980" s="2030">
        <v>0</v>
      </c>
      <c r="X980" s="2030">
        <v>0</v>
      </c>
      <c r="Y980" s="2030">
        <v>0</v>
      </c>
      <c r="Z980" s="2030">
        <v>0</v>
      </c>
      <c r="AA980" s="2030">
        <v>0</v>
      </c>
      <c r="AB980" s="2030">
        <v>0</v>
      </c>
      <c r="AC980" s="2030">
        <v>0</v>
      </c>
      <c r="AD980" s="1511">
        <f>T980</f>
        <v>0</v>
      </c>
      <c r="AE980" s="44">
        <f>W980</f>
        <v>0</v>
      </c>
      <c r="AF980" s="44">
        <f>Z980</f>
        <v>0</v>
      </c>
      <c r="AG980" s="44">
        <f>AC980</f>
        <v>0</v>
      </c>
      <c r="AH980" s="44">
        <f>AE980</f>
        <v>0</v>
      </c>
      <c r="AI980" s="44">
        <f>AG980</f>
        <v>0</v>
      </c>
      <c r="AJ980" s="44">
        <f>AI980</f>
        <v>0</v>
      </c>
      <c r="AL980" s="44">
        <f t="shared" ca="1" si="1854"/>
        <v>0</v>
      </c>
      <c r="AM980" s="44">
        <f t="shared" ca="1" si="1855"/>
        <v>0</v>
      </c>
      <c r="AN980" s="872">
        <f t="shared" ca="1" si="1856"/>
        <v>0</v>
      </c>
      <c r="AO980" s="922">
        <f t="shared" ca="1" si="1857"/>
        <v>0</v>
      </c>
      <c r="AP980" s="44">
        <f t="shared" ca="1" si="1858"/>
        <v>0</v>
      </c>
      <c r="AQ980" s="872">
        <f t="shared" ca="1" si="1859"/>
        <v>0</v>
      </c>
      <c r="AR980" s="922">
        <f t="shared" ca="1" si="1860"/>
        <v>0</v>
      </c>
      <c r="AT980" s="44">
        <f t="shared" ca="1" si="1861"/>
        <v>0</v>
      </c>
      <c r="AU980" s="44">
        <f t="shared" ca="1" si="1862"/>
        <v>0</v>
      </c>
      <c r="AV980" s="872">
        <f t="shared" ca="1" si="1863"/>
        <v>0</v>
      </c>
      <c r="AW980" s="922">
        <f t="shared" ca="1" si="1864"/>
        <v>0</v>
      </c>
      <c r="AX980" s="44">
        <f t="shared" ca="1" si="1865"/>
        <v>0</v>
      </c>
      <c r="AY980" s="872">
        <f t="shared" ca="1" si="1866"/>
        <v>0</v>
      </c>
      <c r="AZ980" s="922">
        <f t="shared" ca="1" si="1867"/>
        <v>0</v>
      </c>
      <c r="BB980" s="44">
        <f t="shared" ca="1" si="1868"/>
        <v>0</v>
      </c>
      <c r="BC980" s="44">
        <f t="shared" ca="1" si="1869"/>
        <v>0</v>
      </c>
      <c r="BD980" s="872">
        <f t="shared" ca="1" si="1870"/>
        <v>0</v>
      </c>
      <c r="BE980" s="922">
        <f t="shared" ca="1" si="1871"/>
        <v>0</v>
      </c>
      <c r="BF980" s="44">
        <f t="shared" ca="1" si="1872"/>
        <v>0</v>
      </c>
      <c r="BG980" s="872">
        <f t="shared" ca="1" si="1873"/>
        <v>0</v>
      </c>
      <c r="BH980" s="922">
        <f t="shared" ca="1" si="1874"/>
        <v>0</v>
      </c>
    </row>
    <row r="981" spans="1:60" s="38" customFormat="1" ht="14.5">
      <c r="A981" s="990">
        <f t="shared" si="1848"/>
        <v>894</v>
      </c>
      <c r="B981" s="990">
        <v>1</v>
      </c>
      <c r="C981" s="990">
        <f t="shared" si="1849"/>
        <v>978</v>
      </c>
      <c r="E981" s="1243">
        <v>1</v>
      </c>
      <c r="F981" s="5"/>
      <c r="G981" s="5"/>
      <c r="H981" s="5"/>
      <c r="I981" s="456"/>
      <c r="J981" s="5"/>
      <c r="K981" s="4"/>
      <c r="L981" s="5"/>
      <c r="M981" s="5"/>
      <c r="N981" s="45"/>
      <c r="O981" s="45" t="s">
        <v>120</v>
      </c>
      <c r="P981" s="4"/>
      <c r="Q981" s="1844" t="str">
        <f>CHOOSE(2, "6722000003900", "HC IP FE/TTOC Service Total Administration/Others")</f>
        <v>HC IP FE/TTOC Service Total Administration/Others</v>
      </c>
      <c r="R981" s="2030">
        <v>0</v>
      </c>
      <c r="S981" s="2030">
        <v>0</v>
      </c>
      <c r="T981" s="2030">
        <v>0</v>
      </c>
      <c r="U981" s="2030">
        <v>0</v>
      </c>
      <c r="V981" s="2030">
        <v>0</v>
      </c>
      <c r="W981" s="2030">
        <v>0</v>
      </c>
      <c r="X981" s="2030">
        <v>0</v>
      </c>
      <c r="Y981" s="2030">
        <v>0</v>
      </c>
      <c r="Z981" s="2030">
        <v>0</v>
      </c>
      <c r="AA981" s="2030">
        <v>0</v>
      </c>
      <c r="AB981" s="2030">
        <v>0</v>
      </c>
      <c r="AC981" s="2030">
        <v>0</v>
      </c>
      <c r="AD981" s="1511">
        <f>T981</f>
        <v>0</v>
      </c>
      <c r="AE981" s="44">
        <f>W981</f>
        <v>0</v>
      </c>
      <c r="AF981" s="44">
        <f>Z981</f>
        <v>0</v>
      </c>
      <c r="AG981" s="44">
        <f>AC981</f>
        <v>0</v>
      </c>
      <c r="AH981" s="44">
        <f>AE981</f>
        <v>0</v>
      </c>
      <c r="AI981" s="44">
        <f>AG981</f>
        <v>0</v>
      </c>
      <c r="AJ981" s="44">
        <f>AI981</f>
        <v>0</v>
      </c>
      <c r="AL981" s="44">
        <f t="shared" ca="1" si="1854"/>
        <v>0</v>
      </c>
      <c r="AM981" s="44">
        <f t="shared" ca="1" si="1855"/>
        <v>0</v>
      </c>
      <c r="AN981" s="872">
        <f t="shared" ca="1" si="1856"/>
        <v>0</v>
      </c>
      <c r="AO981" s="922">
        <f t="shared" ca="1" si="1857"/>
        <v>0</v>
      </c>
      <c r="AP981" s="44">
        <f t="shared" ca="1" si="1858"/>
        <v>0</v>
      </c>
      <c r="AQ981" s="872">
        <f t="shared" ca="1" si="1859"/>
        <v>0</v>
      </c>
      <c r="AR981" s="922">
        <f t="shared" ca="1" si="1860"/>
        <v>0</v>
      </c>
      <c r="AT981" s="44">
        <f t="shared" ca="1" si="1861"/>
        <v>0</v>
      </c>
      <c r="AU981" s="44">
        <f t="shared" ca="1" si="1862"/>
        <v>0</v>
      </c>
      <c r="AV981" s="872">
        <f t="shared" ca="1" si="1863"/>
        <v>0</v>
      </c>
      <c r="AW981" s="922">
        <f t="shared" ca="1" si="1864"/>
        <v>0</v>
      </c>
      <c r="AX981" s="44">
        <f t="shared" ca="1" si="1865"/>
        <v>0</v>
      </c>
      <c r="AY981" s="872">
        <f t="shared" ca="1" si="1866"/>
        <v>0</v>
      </c>
      <c r="AZ981" s="922">
        <f t="shared" ca="1" si="1867"/>
        <v>0</v>
      </c>
      <c r="BB981" s="44">
        <f t="shared" ca="1" si="1868"/>
        <v>0</v>
      </c>
      <c r="BC981" s="44">
        <f t="shared" ca="1" si="1869"/>
        <v>0</v>
      </c>
      <c r="BD981" s="872">
        <f t="shared" ca="1" si="1870"/>
        <v>0</v>
      </c>
      <c r="BE981" s="922">
        <f t="shared" ca="1" si="1871"/>
        <v>0</v>
      </c>
      <c r="BF981" s="44">
        <f t="shared" ca="1" si="1872"/>
        <v>0</v>
      </c>
      <c r="BG981" s="872">
        <f t="shared" ca="1" si="1873"/>
        <v>0</v>
      </c>
      <c r="BH981" s="922">
        <f t="shared" ca="1" si="1874"/>
        <v>0</v>
      </c>
    </row>
    <row r="982" spans="1:60" s="38" customFormat="1" ht="14.5">
      <c r="A982" s="990">
        <f t="shared" si="1848"/>
        <v>895</v>
      </c>
      <c r="B982" s="990">
        <v>1</v>
      </c>
      <c r="C982" s="990">
        <f t="shared" si="1849"/>
        <v>979</v>
      </c>
      <c r="D982" s="1121" t="s">
        <v>887</v>
      </c>
      <c r="E982" s="1243">
        <v>1</v>
      </c>
      <c r="F982" s="5"/>
      <c r="G982" s="5"/>
      <c r="H982" s="5"/>
      <c r="I982" s="456"/>
      <c r="J982" s="324" t="s">
        <v>276</v>
      </c>
      <c r="K982" s="323"/>
      <c r="L982" s="324"/>
      <c r="M982" s="324"/>
      <c r="N982" s="323"/>
      <c r="O982" s="47"/>
      <c r="P982" s="323"/>
      <c r="Q982" s="1851" t="str">
        <f>CHOOSE(2, "6722000003901", "HC IP FE/TTOC Marketing Total")</f>
        <v>HC IP FE/TTOC Marketing Total</v>
      </c>
      <c r="R982" s="325">
        <f>SUM(R983:R986)</f>
        <v>4</v>
      </c>
      <c r="S982" s="325">
        <f t="shared" ref="S982:AC982" si="1879">SUM(S983:S986)</f>
        <v>4</v>
      </c>
      <c r="T982" s="325">
        <f t="shared" si="1879"/>
        <v>4</v>
      </c>
      <c r="U982" s="325">
        <f t="shared" si="1879"/>
        <v>4</v>
      </c>
      <c r="V982" s="325">
        <f t="shared" si="1879"/>
        <v>4</v>
      </c>
      <c r="W982" s="325">
        <f t="shared" si="1879"/>
        <v>3</v>
      </c>
      <c r="X982" s="325">
        <f t="shared" si="1879"/>
        <v>3</v>
      </c>
      <c r="Y982" s="325">
        <f t="shared" si="1879"/>
        <v>2</v>
      </c>
      <c r="Z982" s="325">
        <f t="shared" si="1879"/>
        <v>2</v>
      </c>
      <c r="AA982" s="325">
        <f t="shared" si="1879"/>
        <v>2</v>
      </c>
      <c r="AB982" s="325">
        <f t="shared" si="1879"/>
        <v>2</v>
      </c>
      <c r="AC982" s="325">
        <f t="shared" si="1879"/>
        <v>2</v>
      </c>
      <c r="AD982" s="1278">
        <f t="shared" ref="AD982:AJ982" si="1880">SUM(AD983:AD986)</f>
        <v>4</v>
      </c>
      <c r="AE982" s="325">
        <f t="shared" si="1880"/>
        <v>3</v>
      </c>
      <c r="AF982" s="325">
        <f t="shared" si="1880"/>
        <v>2</v>
      </c>
      <c r="AG982" s="325">
        <f t="shared" si="1880"/>
        <v>2</v>
      </c>
      <c r="AH982" s="325">
        <f t="shared" si="1880"/>
        <v>3</v>
      </c>
      <c r="AI982" s="325">
        <f t="shared" si="1880"/>
        <v>2</v>
      </c>
      <c r="AJ982" s="325">
        <f t="shared" si="1880"/>
        <v>2</v>
      </c>
      <c r="AL982" s="325">
        <f t="shared" ca="1" si="1854"/>
        <v>2</v>
      </c>
      <c r="AM982" s="325">
        <f t="shared" ca="1" si="1855"/>
        <v>0</v>
      </c>
      <c r="AN982" s="915">
        <f t="shared" ca="1" si="1856"/>
        <v>2</v>
      </c>
      <c r="AO982" s="976">
        <f t="shared" ca="1" si="1857"/>
        <v>0</v>
      </c>
      <c r="AP982" s="325">
        <f t="shared" ca="1" si="1858"/>
        <v>4</v>
      </c>
      <c r="AQ982" s="915">
        <f t="shared" ca="1" si="1859"/>
        <v>-2</v>
      </c>
      <c r="AR982" s="976">
        <f t="shared" ca="1" si="1860"/>
        <v>0.5</v>
      </c>
      <c r="AT982" s="325">
        <f t="shared" ca="1" si="1861"/>
        <v>2</v>
      </c>
      <c r="AU982" s="325">
        <f t="shared" ca="1" si="1862"/>
        <v>0</v>
      </c>
      <c r="AV982" s="915">
        <f t="shared" ca="1" si="1863"/>
        <v>2</v>
      </c>
      <c r="AW982" s="976">
        <f t="shared" ca="1" si="1864"/>
        <v>0</v>
      </c>
      <c r="AX982" s="325">
        <f t="shared" ca="1" si="1865"/>
        <v>4</v>
      </c>
      <c r="AY982" s="915">
        <f t="shared" ca="1" si="1866"/>
        <v>-2</v>
      </c>
      <c r="AZ982" s="976">
        <f t="shared" ca="1" si="1867"/>
        <v>0.5</v>
      </c>
      <c r="BB982" s="325">
        <f t="shared" ca="1" si="1868"/>
        <v>2</v>
      </c>
      <c r="BC982" s="325">
        <f t="shared" ca="1" si="1869"/>
        <v>0</v>
      </c>
      <c r="BD982" s="915">
        <f t="shared" ca="1" si="1870"/>
        <v>2</v>
      </c>
      <c r="BE982" s="976">
        <f t="shared" ca="1" si="1871"/>
        <v>0</v>
      </c>
      <c r="BF982" s="325">
        <f t="shared" ca="1" si="1872"/>
        <v>4</v>
      </c>
      <c r="BG982" s="915">
        <f t="shared" ca="1" si="1873"/>
        <v>-2</v>
      </c>
      <c r="BH982" s="976">
        <f t="shared" ca="1" si="1874"/>
        <v>0.5</v>
      </c>
    </row>
    <row r="983" spans="1:60" s="38" customFormat="1" ht="14.5">
      <c r="A983" s="990">
        <f t="shared" si="1848"/>
        <v>896</v>
      </c>
      <c r="B983" s="990">
        <v>1</v>
      </c>
      <c r="C983" s="990">
        <f t="shared" si="1849"/>
        <v>980</v>
      </c>
      <c r="E983" s="1243">
        <v>1</v>
      </c>
      <c r="F983" s="5"/>
      <c r="G983" s="5"/>
      <c r="H983" s="5"/>
      <c r="I983" s="456"/>
      <c r="J983" s="5"/>
      <c r="K983" s="4"/>
      <c r="L983" s="5"/>
      <c r="M983" s="5"/>
      <c r="N983" s="45"/>
      <c r="O983" s="45" t="s">
        <v>323</v>
      </c>
      <c r="P983" s="4"/>
      <c r="Q983" s="1844" t="str">
        <f>CHOOSE(2, "6722000003902", "HC IP FE/TTOC Marketing Total Business Development")</f>
        <v>HC IP FE/TTOC Marketing Total Business Development</v>
      </c>
      <c r="R983" s="2789">
        <v>2</v>
      </c>
      <c r="S983" s="2030">
        <v>2</v>
      </c>
      <c r="T983" s="2030">
        <v>2</v>
      </c>
      <c r="U983" s="2030">
        <v>2</v>
      </c>
      <c r="V983" s="2030">
        <v>2</v>
      </c>
      <c r="W983" s="2030">
        <v>1</v>
      </c>
      <c r="X983" s="2030">
        <v>1</v>
      </c>
      <c r="Y983" s="2030">
        <v>1</v>
      </c>
      <c r="Z983" s="2030">
        <v>1</v>
      </c>
      <c r="AA983" s="2030">
        <v>1</v>
      </c>
      <c r="AB983" s="2030">
        <v>1</v>
      </c>
      <c r="AC983" s="2030">
        <v>1</v>
      </c>
      <c r="AD983" s="1511">
        <f>T983</f>
        <v>2</v>
      </c>
      <c r="AE983" s="44">
        <f>W983</f>
        <v>1</v>
      </c>
      <c r="AF983" s="44">
        <f>Z983</f>
        <v>1</v>
      </c>
      <c r="AG983" s="44">
        <f>AC983</f>
        <v>1</v>
      </c>
      <c r="AH983" s="44">
        <f>AE983</f>
        <v>1</v>
      </c>
      <c r="AI983" s="44">
        <f>AG983</f>
        <v>1</v>
      </c>
      <c r="AJ983" s="44">
        <f>AI983</f>
        <v>1</v>
      </c>
      <c r="AL983" s="44">
        <f t="shared" ca="1" si="1854"/>
        <v>1</v>
      </c>
      <c r="AM983" s="44">
        <f t="shared" ca="1" si="1855"/>
        <v>0</v>
      </c>
      <c r="AN983" s="872">
        <f t="shared" ca="1" si="1856"/>
        <v>1</v>
      </c>
      <c r="AO983" s="922">
        <f t="shared" ca="1" si="1857"/>
        <v>0</v>
      </c>
      <c r="AP983" s="44">
        <f t="shared" ca="1" si="1858"/>
        <v>2</v>
      </c>
      <c r="AQ983" s="872">
        <f t="shared" ca="1" si="1859"/>
        <v>-1</v>
      </c>
      <c r="AR983" s="922">
        <f t="shared" ca="1" si="1860"/>
        <v>0.5</v>
      </c>
      <c r="AT983" s="44">
        <f t="shared" ca="1" si="1861"/>
        <v>1</v>
      </c>
      <c r="AU983" s="44">
        <f t="shared" ca="1" si="1862"/>
        <v>0</v>
      </c>
      <c r="AV983" s="872">
        <f t="shared" ca="1" si="1863"/>
        <v>1</v>
      </c>
      <c r="AW983" s="922">
        <f t="shared" ca="1" si="1864"/>
        <v>0</v>
      </c>
      <c r="AX983" s="44">
        <f t="shared" ca="1" si="1865"/>
        <v>2</v>
      </c>
      <c r="AY983" s="872">
        <f t="shared" ca="1" si="1866"/>
        <v>-1</v>
      </c>
      <c r="AZ983" s="922">
        <f t="shared" ca="1" si="1867"/>
        <v>0.5</v>
      </c>
      <c r="BB983" s="44">
        <f t="shared" ca="1" si="1868"/>
        <v>1</v>
      </c>
      <c r="BC983" s="44">
        <f t="shared" ca="1" si="1869"/>
        <v>0</v>
      </c>
      <c r="BD983" s="872">
        <f t="shared" ca="1" si="1870"/>
        <v>1</v>
      </c>
      <c r="BE983" s="922">
        <f t="shared" ca="1" si="1871"/>
        <v>0</v>
      </c>
      <c r="BF983" s="44">
        <f t="shared" ca="1" si="1872"/>
        <v>2</v>
      </c>
      <c r="BG983" s="872">
        <f t="shared" ca="1" si="1873"/>
        <v>-1</v>
      </c>
      <c r="BH983" s="922">
        <f t="shared" ca="1" si="1874"/>
        <v>0.5</v>
      </c>
    </row>
    <row r="984" spans="1:60" s="38" customFormat="1" ht="14.5">
      <c r="A984" s="990">
        <f t="shared" si="1848"/>
        <v>897</v>
      </c>
      <c r="B984" s="990">
        <v>1</v>
      </c>
      <c r="C984" s="990">
        <f t="shared" si="1849"/>
        <v>981</v>
      </c>
      <c r="E984" s="1243">
        <v>1</v>
      </c>
      <c r="F984" s="5"/>
      <c r="G984" s="5"/>
      <c r="H984" s="5"/>
      <c r="I984" s="456"/>
      <c r="J984" s="5"/>
      <c r="K984" s="4"/>
      <c r="L984" s="5"/>
      <c r="M984" s="5"/>
      <c r="N984" s="45"/>
      <c r="O984" s="45" t="s">
        <v>324</v>
      </c>
      <c r="P984" s="4"/>
      <c r="Q984" s="1844" t="str">
        <f>CHOOSE(2, "6722000003903", "HC IP FE/TTOC Marketing Total Channel Marketing")</f>
        <v>HC IP FE/TTOC Marketing Total Channel Marketing</v>
      </c>
      <c r="R984" s="2789">
        <v>0</v>
      </c>
      <c r="S984" s="2030">
        <v>0</v>
      </c>
      <c r="T984" s="2030">
        <v>0</v>
      </c>
      <c r="U984" s="2030">
        <v>0</v>
      </c>
      <c r="V984" s="2030">
        <v>0</v>
      </c>
      <c r="W984" s="2030">
        <v>0</v>
      </c>
      <c r="X984" s="2030">
        <v>0</v>
      </c>
      <c r="Y984" s="2030">
        <v>0</v>
      </c>
      <c r="Z984" s="2030">
        <v>0</v>
      </c>
      <c r="AA984" s="2030">
        <v>0</v>
      </c>
      <c r="AB984" s="2030">
        <v>0</v>
      </c>
      <c r="AC984" s="2030">
        <v>0</v>
      </c>
      <c r="AD984" s="1511">
        <f>T984</f>
        <v>0</v>
      </c>
      <c r="AE984" s="44">
        <f>W984</f>
        <v>0</v>
      </c>
      <c r="AF984" s="44">
        <f>Z984</f>
        <v>0</v>
      </c>
      <c r="AG984" s="44">
        <f>AC984</f>
        <v>0</v>
      </c>
      <c r="AH984" s="44">
        <f>AE984</f>
        <v>0</v>
      </c>
      <c r="AI984" s="44">
        <f>AG984</f>
        <v>0</v>
      </c>
      <c r="AJ984" s="44">
        <f>AI984</f>
        <v>0</v>
      </c>
      <c r="AL984" s="44">
        <f t="shared" ca="1" si="1854"/>
        <v>0</v>
      </c>
      <c r="AM984" s="44">
        <f t="shared" ca="1" si="1855"/>
        <v>0</v>
      </c>
      <c r="AN984" s="872">
        <f t="shared" ca="1" si="1856"/>
        <v>0</v>
      </c>
      <c r="AO984" s="922">
        <f t="shared" ca="1" si="1857"/>
        <v>0</v>
      </c>
      <c r="AP984" s="44">
        <f t="shared" ca="1" si="1858"/>
        <v>0</v>
      </c>
      <c r="AQ984" s="872">
        <f t="shared" ca="1" si="1859"/>
        <v>0</v>
      </c>
      <c r="AR984" s="922">
        <f t="shared" ca="1" si="1860"/>
        <v>0</v>
      </c>
      <c r="AT984" s="44">
        <f t="shared" ca="1" si="1861"/>
        <v>0</v>
      </c>
      <c r="AU984" s="44">
        <f t="shared" ca="1" si="1862"/>
        <v>0</v>
      </c>
      <c r="AV984" s="872">
        <f t="shared" ca="1" si="1863"/>
        <v>0</v>
      </c>
      <c r="AW984" s="922">
        <f t="shared" ca="1" si="1864"/>
        <v>0</v>
      </c>
      <c r="AX984" s="44">
        <f t="shared" ca="1" si="1865"/>
        <v>0</v>
      </c>
      <c r="AY984" s="872">
        <f t="shared" ca="1" si="1866"/>
        <v>0</v>
      </c>
      <c r="AZ984" s="922">
        <f t="shared" ca="1" si="1867"/>
        <v>0</v>
      </c>
      <c r="BB984" s="44">
        <f t="shared" ca="1" si="1868"/>
        <v>0</v>
      </c>
      <c r="BC984" s="44">
        <f t="shared" ca="1" si="1869"/>
        <v>0</v>
      </c>
      <c r="BD984" s="872">
        <f t="shared" ca="1" si="1870"/>
        <v>0</v>
      </c>
      <c r="BE984" s="922">
        <f t="shared" ca="1" si="1871"/>
        <v>0</v>
      </c>
      <c r="BF984" s="44">
        <f t="shared" ca="1" si="1872"/>
        <v>0</v>
      </c>
      <c r="BG984" s="872">
        <f t="shared" ca="1" si="1873"/>
        <v>0</v>
      </c>
      <c r="BH984" s="922">
        <f t="shared" ca="1" si="1874"/>
        <v>0</v>
      </c>
    </row>
    <row r="985" spans="1:60" s="38" customFormat="1" ht="14.5">
      <c r="A985" s="990">
        <f t="shared" si="1848"/>
        <v>898</v>
      </c>
      <c r="B985" s="990">
        <v>1</v>
      </c>
      <c r="C985" s="990">
        <f t="shared" si="1849"/>
        <v>982</v>
      </c>
      <c r="E985" s="1243">
        <v>1</v>
      </c>
      <c r="F985" s="5"/>
      <c r="G985" s="5"/>
      <c r="H985" s="5"/>
      <c r="I985" s="456"/>
      <c r="J985" s="5"/>
      <c r="K985" s="4"/>
      <c r="L985" s="5"/>
      <c r="M985" s="5"/>
      <c r="N985" s="45"/>
      <c r="O985" s="45" t="s">
        <v>325</v>
      </c>
      <c r="P985" s="4"/>
      <c r="Q985" s="1844" t="str">
        <f>CHOOSE(2, "6722000003904", "HC IP FE/TTOC Marketing Total Product Marketing")</f>
        <v>HC IP FE/TTOC Marketing Total Product Marketing</v>
      </c>
      <c r="R985" s="2789">
        <v>2</v>
      </c>
      <c r="S985" s="2030">
        <v>2</v>
      </c>
      <c r="T985" s="2030">
        <v>2</v>
      </c>
      <c r="U985" s="2030">
        <v>2</v>
      </c>
      <c r="V985" s="2030">
        <v>2</v>
      </c>
      <c r="W985" s="2030">
        <v>2</v>
      </c>
      <c r="X985" s="2030">
        <v>2</v>
      </c>
      <c r="Y985" s="2030">
        <v>1</v>
      </c>
      <c r="Z985" s="2030">
        <v>1</v>
      </c>
      <c r="AA985" s="2030">
        <v>1</v>
      </c>
      <c r="AB985" s="2030">
        <v>1</v>
      </c>
      <c r="AC985" s="2030">
        <v>1</v>
      </c>
      <c r="AD985" s="1511">
        <f>T985</f>
        <v>2</v>
      </c>
      <c r="AE985" s="44">
        <f>W985</f>
        <v>2</v>
      </c>
      <c r="AF985" s="44">
        <f>Z985</f>
        <v>1</v>
      </c>
      <c r="AG985" s="44">
        <f>AC985</f>
        <v>1</v>
      </c>
      <c r="AH985" s="44">
        <f>AE985</f>
        <v>2</v>
      </c>
      <c r="AI985" s="44">
        <f>AG985</f>
        <v>1</v>
      </c>
      <c r="AJ985" s="44">
        <f>AI985</f>
        <v>1</v>
      </c>
      <c r="AL985" s="44">
        <f t="shared" ca="1" si="1854"/>
        <v>1</v>
      </c>
      <c r="AM985" s="44">
        <f t="shared" ca="1" si="1855"/>
        <v>0</v>
      </c>
      <c r="AN985" s="872">
        <f t="shared" ca="1" si="1856"/>
        <v>1</v>
      </c>
      <c r="AO985" s="922">
        <f t="shared" ca="1" si="1857"/>
        <v>0</v>
      </c>
      <c r="AP985" s="44">
        <f t="shared" ca="1" si="1858"/>
        <v>2</v>
      </c>
      <c r="AQ985" s="872">
        <f t="shared" ca="1" si="1859"/>
        <v>-1</v>
      </c>
      <c r="AR985" s="922">
        <f t="shared" ca="1" si="1860"/>
        <v>0.5</v>
      </c>
      <c r="AT985" s="44">
        <f t="shared" ca="1" si="1861"/>
        <v>1</v>
      </c>
      <c r="AU985" s="44">
        <f t="shared" ca="1" si="1862"/>
        <v>0</v>
      </c>
      <c r="AV985" s="872">
        <f t="shared" ca="1" si="1863"/>
        <v>1</v>
      </c>
      <c r="AW985" s="922">
        <f t="shared" ca="1" si="1864"/>
        <v>0</v>
      </c>
      <c r="AX985" s="44">
        <f t="shared" ca="1" si="1865"/>
        <v>2</v>
      </c>
      <c r="AY985" s="872">
        <f t="shared" ca="1" si="1866"/>
        <v>-1</v>
      </c>
      <c r="AZ985" s="922">
        <f t="shared" ca="1" si="1867"/>
        <v>0.5</v>
      </c>
      <c r="BB985" s="44">
        <f t="shared" ca="1" si="1868"/>
        <v>1</v>
      </c>
      <c r="BC985" s="44">
        <f t="shared" ca="1" si="1869"/>
        <v>0</v>
      </c>
      <c r="BD985" s="872">
        <f t="shared" ca="1" si="1870"/>
        <v>1</v>
      </c>
      <c r="BE985" s="922">
        <f t="shared" ca="1" si="1871"/>
        <v>0</v>
      </c>
      <c r="BF985" s="44">
        <f t="shared" ca="1" si="1872"/>
        <v>2</v>
      </c>
      <c r="BG985" s="872">
        <f t="shared" ca="1" si="1873"/>
        <v>-1</v>
      </c>
      <c r="BH985" s="922">
        <f t="shared" ca="1" si="1874"/>
        <v>0.5</v>
      </c>
    </row>
    <row r="986" spans="1:60" s="38" customFormat="1" ht="14.5">
      <c r="A986" s="990">
        <f t="shared" si="1848"/>
        <v>899</v>
      </c>
      <c r="B986" s="990">
        <v>1</v>
      </c>
      <c r="C986" s="990">
        <f t="shared" si="1849"/>
        <v>983</v>
      </c>
      <c r="E986" s="1243">
        <v>1</v>
      </c>
      <c r="F986" s="5"/>
      <c r="G986" s="5"/>
      <c r="H986" s="5"/>
      <c r="I986" s="456"/>
      <c r="J986" s="3"/>
      <c r="K986" s="2"/>
      <c r="L986" s="3"/>
      <c r="M986" s="3"/>
      <c r="N986" s="43"/>
      <c r="O986" s="43" t="s">
        <v>326</v>
      </c>
      <c r="P986" s="2"/>
      <c r="Q986" s="1844" t="str">
        <f>CHOOSE(2, "6722000003905", "HC IP FE/TTOC Marketing Total MC / O")</f>
        <v>HC IP FE/TTOC Marketing Total MC / O</v>
      </c>
      <c r="R986" s="2029">
        <v>0</v>
      </c>
      <c r="S986" s="2029">
        <v>0</v>
      </c>
      <c r="T986" s="2029">
        <v>0</v>
      </c>
      <c r="U986" s="2029">
        <v>0</v>
      </c>
      <c r="V986" s="2029">
        <v>0</v>
      </c>
      <c r="W986" s="2029">
        <v>0</v>
      </c>
      <c r="X986" s="2029">
        <v>0</v>
      </c>
      <c r="Y986" s="2029">
        <v>0</v>
      </c>
      <c r="Z986" s="2029">
        <v>0</v>
      </c>
      <c r="AA986" s="2029">
        <v>0</v>
      </c>
      <c r="AB986" s="2029">
        <v>0</v>
      </c>
      <c r="AC986" s="2029">
        <v>0</v>
      </c>
      <c r="AD986" s="1554">
        <f>T986</f>
        <v>0</v>
      </c>
      <c r="AE986" s="42">
        <f>W986</f>
        <v>0</v>
      </c>
      <c r="AF986" s="42">
        <f>Z986</f>
        <v>0</v>
      </c>
      <c r="AG986" s="42">
        <f>AC986</f>
        <v>0</v>
      </c>
      <c r="AH986" s="42">
        <f>AE986</f>
        <v>0</v>
      </c>
      <c r="AI986" s="42">
        <f>AG986</f>
        <v>0</v>
      </c>
      <c r="AJ986" s="42">
        <f>AI986</f>
        <v>0</v>
      </c>
      <c r="AL986" s="42">
        <f t="shared" ca="1" si="1854"/>
        <v>0</v>
      </c>
      <c r="AM986" s="42">
        <f t="shared" ca="1" si="1855"/>
        <v>0</v>
      </c>
      <c r="AN986" s="914">
        <f t="shared" ca="1" si="1856"/>
        <v>0</v>
      </c>
      <c r="AO986" s="975">
        <f t="shared" ca="1" si="1857"/>
        <v>0</v>
      </c>
      <c r="AP986" s="42">
        <f t="shared" ca="1" si="1858"/>
        <v>0</v>
      </c>
      <c r="AQ986" s="914">
        <f t="shared" ca="1" si="1859"/>
        <v>0</v>
      </c>
      <c r="AR986" s="975">
        <f t="shared" ca="1" si="1860"/>
        <v>0</v>
      </c>
      <c r="AT986" s="42">
        <f t="shared" ca="1" si="1861"/>
        <v>0</v>
      </c>
      <c r="AU986" s="42">
        <f t="shared" ca="1" si="1862"/>
        <v>0</v>
      </c>
      <c r="AV986" s="914">
        <f t="shared" ca="1" si="1863"/>
        <v>0</v>
      </c>
      <c r="AW986" s="975">
        <f t="shared" ca="1" si="1864"/>
        <v>0</v>
      </c>
      <c r="AX986" s="42">
        <f t="shared" ca="1" si="1865"/>
        <v>0</v>
      </c>
      <c r="AY986" s="914">
        <f t="shared" ca="1" si="1866"/>
        <v>0</v>
      </c>
      <c r="AZ986" s="975">
        <f t="shared" ca="1" si="1867"/>
        <v>0</v>
      </c>
      <c r="BB986" s="42">
        <f t="shared" ca="1" si="1868"/>
        <v>0</v>
      </c>
      <c r="BC986" s="42">
        <f t="shared" ca="1" si="1869"/>
        <v>0</v>
      </c>
      <c r="BD986" s="914">
        <f t="shared" ca="1" si="1870"/>
        <v>0</v>
      </c>
      <c r="BE986" s="975">
        <f t="shared" ca="1" si="1871"/>
        <v>0</v>
      </c>
      <c r="BF986" s="42">
        <f t="shared" ca="1" si="1872"/>
        <v>0</v>
      </c>
      <c r="BG986" s="914">
        <f t="shared" ca="1" si="1873"/>
        <v>0</v>
      </c>
      <c r="BH986" s="975">
        <f t="shared" ca="1" si="1874"/>
        <v>0</v>
      </c>
    </row>
    <row r="987" spans="1:60" s="38" customFormat="1" ht="14.5">
      <c r="A987" s="990">
        <f t="shared" si="1848"/>
        <v>900</v>
      </c>
      <c r="B987" s="990">
        <v>1</v>
      </c>
      <c r="C987" s="990">
        <f t="shared" si="1849"/>
        <v>984</v>
      </c>
      <c r="D987" s="1121" t="s">
        <v>887</v>
      </c>
      <c r="E987" s="1243">
        <v>1</v>
      </c>
      <c r="F987" s="5"/>
      <c r="G987" s="5"/>
      <c r="H987" s="5"/>
      <c r="I987" s="456"/>
      <c r="J987" s="52" t="s">
        <v>231</v>
      </c>
      <c r="K987" s="51"/>
      <c r="L987" s="52"/>
      <c r="M987" s="52"/>
      <c r="N987" s="51"/>
      <c r="O987" s="51"/>
      <c r="P987" s="51"/>
      <c r="Q987" s="1851" t="str">
        <f>CHOOSE(2, "6722000003906", "HC IP FE/TTOC Administration Total")</f>
        <v>HC IP FE/TTOC Administration Total</v>
      </c>
      <c r="R987" s="49">
        <f>SUM(R988:R992)</f>
        <v>0</v>
      </c>
      <c r="S987" s="49">
        <f t="shared" ref="S987:AC987" si="1881">SUM(S988:S992)</f>
        <v>0</v>
      </c>
      <c r="T987" s="49">
        <f t="shared" si="1881"/>
        <v>0</v>
      </c>
      <c r="U987" s="49">
        <f t="shared" si="1881"/>
        <v>0</v>
      </c>
      <c r="V987" s="49">
        <f t="shared" si="1881"/>
        <v>0</v>
      </c>
      <c r="W987" s="49">
        <f t="shared" si="1881"/>
        <v>0</v>
      </c>
      <c r="X987" s="49">
        <f t="shared" si="1881"/>
        <v>0</v>
      </c>
      <c r="Y987" s="49">
        <f t="shared" si="1881"/>
        <v>0</v>
      </c>
      <c r="Z987" s="49">
        <f t="shared" si="1881"/>
        <v>0</v>
      </c>
      <c r="AA987" s="49">
        <f t="shared" si="1881"/>
        <v>0</v>
      </c>
      <c r="AB987" s="49">
        <f t="shared" si="1881"/>
        <v>0</v>
      </c>
      <c r="AC987" s="49">
        <f t="shared" si="1881"/>
        <v>0</v>
      </c>
      <c r="AD987" s="1553">
        <f t="shared" ref="AD987:AJ987" si="1882">SUM(AD988:AD992)</f>
        <v>0</v>
      </c>
      <c r="AE987" s="49">
        <f t="shared" si="1882"/>
        <v>0</v>
      </c>
      <c r="AF987" s="49">
        <f t="shared" si="1882"/>
        <v>0</v>
      </c>
      <c r="AG987" s="49">
        <f t="shared" si="1882"/>
        <v>0</v>
      </c>
      <c r="AH987" s="49">
        <f t="shared" si="1882"/>
        <v>0</v>
      </c>
      <c r="AI987" s="49">
        <f t="shared" si="1882"/>
        <v>0</v>
      </c>
      <c r="AJ987" s="49">
        <f t="shared" si="1882"/>
        <v>0</v>
      </c>
      <c r="AL987" s="49">
        <f t="shared" ca="1" si="1854"/>
        <v>0</v>
      </c>
      <c r="AM987" s="49">
        <f t="shared" ca="1" si="1855"/>
        <v>0</v>
      </c>
      <c r="AN987" s="913">
        <f t="shared" ca="1" si="1856"/>
        <v>0</v>
      </c>
      <c r="AO987" s="974">
        <f t="shared" ca="1" si="1857"/>
        <v>0</v>
      </c>
      <c r="AP987" s="49">
        <f t="shared" ca="1" si="1858"/>
        <v>0</v>
      </c>
      <c r="AQ987" s="913">
        <f t="shared" ca="1" si="1859"/>
        <v>0</v>
      </c>
      <c r="AR987" s="974">
        <f t="shared" ca="1" si="1860"/>
        <v>0</v>
      </c>
      <c r="AT987" s="49">
        <f t="shared" ca="1" si="1861"/>
        <v>0</v>
      </c>
      <c r="AU987" s="49">
        <f t="shared" ca="1" si="1862"/>
        <v>0</v>
      </c>
      <c r="AV987" s="913">
        <f t="shared" ca="1" si="1863"/>
        <v>0</v>
      </c>
      <c r="AW987" s="974">
        <f t="shared" ca="1" si="1864"/>
        <v>0</v>
      </c>
      <c r="AX987" s="49">
        <f t="shared" ca="1" si="1865"/>
        <v>0</v>
      </c>
      <c r="AY987" s="913">
        <f t="shared" ca="1" si="1866"/>
        <v>0</v>
      </c>
      <c r="AZ987" s="974">
        <f t="shared" ca="1" si="1867"/>
        <v>0</v>
      </c>
      <c r="BB987" s="49">
        <f t="shared" ca="1" si="1868"/>
        <v>0</v>
      </c>
      <c r="BC987" s="49">
        <f t="shared" ca="1" si="1869"/>
        <v>0</v>
      </c>
      <c r="BD987" s="913">
        <f t="shared" ca="1" si="1870"/>
        <v>0</v>
      </c>
      <c r="BE987" s="974">
        <f t="shared" ca="1" si="1871"/>
        <v>0</v>
      </c>
      <c r="BF987" s="49">
        <f t="shared" ca="1" si="1872"/>
        <v>0</v>
      </c>
      <c r="BG987" s="913">
        <f t="shared" ca="1" si="1873"/>
        <v>0</v>
      </c>
      <c r="BH987" s="974">
        <f t="shared" ca="1" si="1874"/>
        <v>0</v>
      </c>
    </row>
    <row r="988" spans="1:60" s="38" customFormat="1" ht="14.5">
      <c r="A988" s="990">
        <f t="shared" si="1848"/>
        <v>901</v>
      </c>
      <c r="B988" s="990">
        <v>1</v>
      </c>
      <c r="C988" s="990">
        <f t="shared" si="1849"/>
        <v>985</v>
      </c>
      <c r="E988" s="1243">
        <v>1</v>
      </c>
      <c r="F988" s="5"/>
      <c r="G988" s="5"/>
      <c r="H988" s="5"/>
      <c r="I988" s="456"/>
      <c r="J988" s="5"/>
      <c r="K988" s="4"/>
      <c r="L988" s="5"/>
      <c r="M988" s="4"/>
      <c r="N988" s="45"/>
      <c r="O988" s="45" t="s">
        <v>119</v>
      </c>
      <c r="P988" s="45"/>
      <c r="Q988" s="1844" t="str">
        <f>CHOOSE(2, "6722000003907", "HC IP FE/TTOC Administration Total IT")</f>
        <v>HC IP FE/TTOC Administration Total IT</v>
      </c>
      <c r="R988" s="2030">
        <v>0</v>
      </c>
      <c r="S988" s="2030">
        <v>0</v>
      </c>
      <c r="T988" s="2030">
        <v>0</v>
      </c>
      <c r="U988" s="2030">
        <v>0</v>
      </c>
      <c r="V988" s="2030">
        <v>0</v>
      </c>
      <c r="W988" s="2030">
        <v>0</v>
      </c>
      <c r="X988" s="2030">
        <v>0</v>
      </c>
      <c r="Y988" s="2030">
        <v>0</v>
      </c>
      <c r="Z988" s="2030">
        <v>0</v>
      </c>
      <c r="AA988" s="2030">
        <v>0</v>
      </c>
      <c r="AB988" s="2030">
        <v>0</v>
      </c>
      <c r="AC988" s="2030">
        <v>0</v>
      </c>
      <c r="AD988" s="1511">
        <f>T988</f>
        <v>0</v>
      </c>
      <c r="AE988" s="44">
        <f>W988</f>
        <v>0</v>
      </c>
      <c r="AF988" s="44">
        <f>Z988</f>
        <v>0</v>
      </c>
      <c r="AG988" s="44">
        <f>AC988</f>
        <v>0</v>
      </c>
      <c r="AH988" s="44">
        <f>AE988</f>
        <v>0</v>
      </c>
      <c r="AI988" s="44">
        <f>AG988</f>
        <v>0</v>
      </c>
      <c r="AJ988" s="44">
        <f>AI988</f>
        <v>0</v>
      </c>
      <c r="AL988" s="44">
        <f t="shared" ca="1" si="1854"/>
        <v>0</v>
      </c>
      <c r="AM988" s="44">
        <f t="shared" ca="1" si="1855"/>
        <v>0</v>
      </c>
      <c r="AN988" s="872">
        <f t="shared" ca="1" si="1856"/>
        <v>0</v>
      </c>
      <c r="AO988" s="922">
        <f t="shared" ca="1" si="1857"/>
        <v>0</v>
      </c>
      <c r="AP988" s="44">
        <f t="shared" ca="1" si="1858"/>
        <v>0</v>
      </c>
      <c r="AQ988" s="872">
        <f t="shared" ca="1" si="1859"/>
        <v>0</v>
      </c>
      <c r="AR988" s="922">
        <f t="shared" ca="1" si="1860"/>
        <v>0</v>
      </c>
      <c r="AT988" s="44">
        <f t="shared" ca="1" si="1861"/>
        <v>0</v>
      </c>
      <c r="AU988" s="44">
        <f t="shared" ca="1" si="1862"/>
        <v>0</v>
      </c>
      <c r="AV988" s="872">
        <f t="shared" ca="1" si="1863"/>
        <v>0</v>
      </c>
      <c r="AW988" s="922">
        <f t="shared" ca="1" si="1864"/>
        <v>0</v>
      </c>
      <c r="AX988" s="44">
        <f t="shared" ca="1" si="1865"/>
        <v>0</v>
      </c>
      <c r="AY988" s="872">
        <f t="shared" ca="1" si="1866"/>
        <v>0</v>
      </c>
      <c r="AZ988" s="922">
        <f t="shared" ca="1" si="1867"/>
        <v>0</v>
      </c>
      <c r="BB988" s="44">
        <f t="shared" ca="1" si="1868"/>
        <v>0</v>
      </c>
      <c r="BC988" s="44">
        <f t="shared" ca="1" si="1869"/>
        <v>0</v>
      </c>
      <c r="BD988" s="872">
        <f t="shared" ca="1" si="1870"/>
        <v>0</v>
      </c>
      <c r="BE988" s="922">
        <f t="shared" ca="1" si="1871"/>
        <v>0</v>
      </c>
      <c r="BF988" s="44">
        <f t="shared" ca="1" si="1872"/>
        <v>0</v>
      </c>
      <c r="BG988" s="872">
        <f t="shared" ca="1" si="1873"/>
        <v>0</v>
      </c>
      <c r="BH988" s="922">
        <f t="shared" ca="1" si="1874"/>
        <v>0</v>
      </c>
    </row>
    <row r="989" spans="1:60" s="38" customFormat="1" ht="14.5">
      <c r="A989" s="990">
        <f t="shared" si="1848"/>
        <v>902</v>
      </c>
      <c r="B989" s="990">
        <v>1</v>
      </c>
      <c r="C989" s="990">
        <f t="shared" si="1849"/>
        <v>986</v>
      </c>
      <c r="E989" s="1243">
        <v>1</v>
      </c>
      <c r="F989" s="5"/>
      <c r="G989" s="5"/>
      <c r="H989" s="5"/>
      <c r="I989" s="456"/>
      <c r="J989" s="5"/>
      <c r="K989" s="4"/>
      <c r="L989" s="5"/>
      <c r="M989" s="4"/>
      <c r="N989" s="45"/>
      <c r="O989" s="45" t="s">
        <v>75</v>
      </c>
      <c r="P989" s="45"/>
      <c r="Q989" s="1844" t="str">
        <f>CHOOSE(2, "6722000003908", "HC IP FE/TTOC Administration Total Finance")</f>
        <v>HC IP FE/TTOC Administration Total Finance</v>
      </c>
      <c r="R989" s="2030">
        <v>0</v>
      </c>
      <c r="S989" s="2030">
        <v>0</v>
      </c>
      <c r="T989" s="2030">
        <v>0</v>
      </c>
      <c r="U989" s="2030">
        <v>0</v>
      </c>
      <c r="V989" s="2030">
        <v>0</v>
      </c>
      <c r="W989" s="2030">
        <v>0</v>
      </c>
      <c r="X989" s="2030">
        <v>0</v>
      </c>
      <c r="Y989" s="2030">
        <v>0</v>
      </c>
      <c r="Z989" s="2030">
        <v>0</v>
      </c>
      <c r="AA989" s="2030">
        <v>0</v>
      </c>
      <c r="AB989" s="2030">
        <v>0</v>
      </c>
      <c r="AC989" s="2030">
        <v>0</v>
      </c>
      <c r="AD989" s="1511">
        <f>T989</f>
        <v>0</v>
      </c>
      <c r="AE989" s="44">
        <f>W989</f>
        <v>0</v>
      </c>
      <c r="AF989" s="44">
        <f>Z989</f>
        <v>0</v>
      </c>
      <c r="AG989" s="44">
        <f>AC989</f>
        <v>0</v>
      </c>
      <c r="AH989" s="44">
        <f>AE989</f>
        <v>0</v>
      </c>
      <c r="AI989" s="44">
        <f>AG989</f>
        <v>0</v>
      </c>
      <c r="AJ989" s="44">
        <f>AI989</f>
        <v>0</v>
      </c>
      <c r="AL989" s="44">
        <f t="shared" ca="1" si="1854"/>
        <v>0</v>
      </c>
      <c r="AM989" s="44">
        <f t="shared" ca="1" si="1855"/>
        <v>0</v>
      </c>
      <c r="AN989" s="872">
        <f t="shared" ca="1" si="1856"/>
        <v>0</v>
      </c>
      <c r="AO989" s="922">
        <f t="shared" ca="1" si="1857"/>
        <v>0</v>
      </c>
      <c r="AP989" s="44">
        <f t="shared" ca="1" si="1858"/>
        <v>0</v>
      </c>
      <c r="AQ989" s="872">
        <f t="shared" ca="1" si="1859"/>
        <v>0</v>
      </c>
      <c r="AR989" s="922">
        <f t="shared" ca="1" si="1860"/>
        <v>0</v>
      </c>
      <c r="AT989" s="44">
        <f t="shared" ca="1" si="1861"/>
        <v>0</v>
      </c>
      <c r="AU989" s="44">
        <f t="shared" ca="1" si="1862"/>
        <v>0</v>
      </c>
      <c r="AV989" s="872">
        <f t="shared" ca="1" si="1863"/>
        <v>0</v>
      </c>
      <c r="AW989" s="922">
        <f t="shared" ca="1" si="1864"/>
        <v>0</v>
      </c>
      <c r="AX989" s="44">
        <f t="shared" ca="1" si="1865"/>
        <v>0</v>
      </c>
      <c r="AY989" s="872">
        <f t="shared" ca="1" si="1866"/>
        <v>0</v>
      </c>
      <c r="AZ989" s="922">
        <f t="shared" ca="1" si="1867"/>
        <v>0</v>
      </c>
      <c r="BB989" s="44">
        <f t="shared" ca="1" si="1868"/>
        <v>0</v>
      </c>
      <c r="BC989" s="44">
        <f t="shared" ca="1" si="1869"/>
        <v>0</v>
      </c>
      <c r="BD989" s="872">
        <f t="shared" ca="1" si="1870"/>
        <v>0</v>
      </c>
      <c r="BE989" s="922">
        <f t="shared" ca="1" si="1871"/>
        <v>0</v>
      </c>
      <c r="BF989" s="44">
        <f t="shared" ca="1" si="1872"/>
        <v>0</v>
      </c>
      <c r="BG989" s="872">
        <f t="shared" ca="1" si="1873"/>
        <v>0</v>
      </c>
      <c r="BH989" s="922">
        <f t="shared" ca="1" si="1874"/>
        <v>0</v>
      </c>
    </row>
    <row r="990" spans="1:60" s="38" customFormat="1" ht="14.5">
      <c r="A990" s="990">
        <f t="shared" si="1848"/>
        <v>903</v>
      </c>
      <c r="B990" s="990">
        <v>1</v>
      </c>
      <c r="C990" s="990">
        <f t="shared" si="1849"/>
        <v>987</v>
      </c>
      <c r="E990" s="1243">
        <v>1</v>
      </c>
      <c r="F990" s="5"/>
      <c r="G990" s="5"/>
      <c r="H990" s="5"/>
      <c r="I990" s="456"/>
      <c r="J990" s="5"/>
      <c r="K990" s="4"/>
      <c r="L990" s="5"/>
      <c r="M990" s="4"/>
      <c r="N990" s="45"/>
      <c r="O990" s="45" t="s">
        <v>76</v>
      </c>
      <c r="P990" s="45"/>
      <c r="Q990" s="1844" t="str">
        <f>CHOOSE(2, "6722000003909", "HC IP FE/TTOC Administration Total HR")</f>
        <v>HC IP FE/TTOC Administration Total HR</v>
      </c>
      <c r="R990" s="2030">
        <v>0</v>
      </c>
      <c r="S990" s="2030">
        <v>0</v>
      </c>
      <c r="T990" s="2030">
        <v>0</v>
      </c>
      <c r="U990" s="2030">
        <v>0</v>
      </c>
      <c r="V990" s="2030">
        <v>0</v>
      </c>
      <c r="W990" s="2030">
        <v>0</v>
      </c>
      <c r="X990" s="2030">
        <v>0</v>
      </c>
      <c r="Y990" s="2030">
        <v>0</v>
      </c>
      <c r="Z990" s="2030">
        <v>0</v>
      </c>
      <c r="AA990" s="2030">
        <v>0</v>
      </c>
      <c r="AB990" s="2030">
        <v>0</v>
      </c>
      <c r="AC990" s="2030">
        <v>0</v>
      </c>
      <c r="AD990" s="1511">
        <f>T990</f>
        <v>0</v>
      </c>
      <c r="AE990" s="44">
        <f>W990</f>
        <v>0</v>
      </c>
      <c r="AF990" s="44">
        <f>Z990</f>
        <v>0</v>
      </c>
      <c r="AG990" s="44">
        <f>AC990</f>
        <v>0</v>
      </c>
      <c r="AH990" s="44">
        <f>AE990</f>
        <v>0</v>
      </c>
      <c r="AI990" s="44">
        <f>AG990</f>
        <v>0</v>
      </c>
      <c r="AJ990" s="44">
        <f>AI990</f>
        <v>0</v>
      </c>
      <c r="AL990" s="44">
        <f t="shared" ca="1" si="1854"/>
        <v>0</v>
      </c>
      <c r="AM990" s="44">
        <f t="shared" ca="1" si="1855"/>
        <v>0</v>
      </c>
      <c r="AN990" s="872">
        <f t="shared" ca="1" si="1856"/>
        <v>0</v>
      </c>
      <c r="AO990" s="922">
        <f t="shared" ca="1" si="1857"/>
        <v>0</v>
      </c>
      <c r="AP990" s="44">
        <f t="shared" ca="1" si="1858"/>
        <v>0</v>
      </c>
      <c r="AQ990" s="872">
        <f t="shared" ca="1" si="1859"/>
        <v>0</v>
      </c>
      <c r="AR990" s="922">
        <f t="shared" ca="1" si="1860"/>
        <v>0</v>
      </c>
      <c r="AT990" s="44">
        <f t="shared" ca="1" si="1861"/>
        <v>0</v>
      </c>
      <c r="AU990" s="44">
        <f t="shared" ca="1" si="1862"/>
        <v>0</v>
      </c>
      <c r="AV990" s="872">
        <f t="shared" ca="1" si="1863"/>
        <v>0</v>
      </c>
      <c r="AW990" s="922">
        <f t="shared" ca="1" si="1864"/>
        <v>0</v>
      </c>
      <c r="AX990" s="44">
        <f t="shared" ca="1" si="1865"/>
        <v>0</v>
      </c>
      <c r="AY990" s="872">
        <f t="shared" ca="1" si="1866"/>
        <v>0</v>
      </c>
      <c r="AZ990" s="922">
        <f t="shared" ca="1" si="1867"/>
        <v>0</v>
      </c>
      <c r="BB990" s="44">
        <f t="shared" ca="1" si="1868"/>
        <v>0</v>
      </c>
      <c r="BC990" s="44">
        <f t="shared" ca="1" si="1869"/>
        <v>0</v>
      </c>
      <c r="BD990" s="872">
        <f t="shared" ca="1" si="1870"/>
        <v>0</v>
      </c>
      <c r="BE990" s="922">
        <f t="shared" ca="1" si="1871"/>
        <v>0</v>
      </c>
      <c r="BF990" s="44">
        <f t="shared" ca="1" si="1872"/>
        <v>0</v>
      </c>
      <c r="BG990" s="872">
        <f t="shared" ca="1" si="1873"/>
        <v>0</v>
      </c>
      <c r="BH990" s="922">
        <f t="shared" ca="1" si="1874"/>
        <v>0</v>
      </c>
    </row>
    <row r="991" spans="1:60" s="38" customFormat="1" ht="14.5">
      <c r="A991" s="990">
        <f t="shared" si="1848"/>
        <v>904</v>
      </c>
      <c r="B991" s="990">
        <v>1</v>
      </c>
      <c r="C991" s="990">
        <f t="shared" si="1849"/>
        <v>988</v>
      </c>
      <c r="E991" s="1243">
        <v>1</v>
      </c>
      <c r="F991" s="5"/>
      <c r="G991" s="5"/>
      <c r="H991" s="5"/>
      <c r="I991" s="456"/>
      <c r="J991" s="5"/>
      <c r="K991" s="4"/>
      <c r="L991" s="5"/>
      <c r="M991" s="4"/>
      <c r="N991" s="45"/>
      <c r="O991" s="45" t="s">
        <v>77</v>
      </c>
      <c r="P991" s="45"/>
      <c r="Q991" s="1844" t="str">
        <f>CHOOSE(2, "6722000003910", "HC IP FE/TTOC Administration Total Training")</f>
        <v>HC IP FE/TTOC Administration Total Training</v>
      </c>
      <c r="R991" s="2030">
        <v>0</v>
      </c>
      <c r="S991" s="2030">
        <v>0</v>
      </c>
      <c r="T991" s="2030">
        <v>0</v>
      </c>
      <c r="U991" s="2030">
        <v>0</v>
      </c>
      <c r="V991" s="2030">
        <v>0</v>
      </c>
      <c r="W991" s="2030">
        <v>0</v>
      </c>
      <c r="X991" s="2030">
        <v>0</v>
      </c>
      <c r="Y991" s="2030">
        <v>0</v>
      </c>
      <c r="Z991" s="2030">
        <v>0</v>
      </c>
      <c r="AA991" s="2030">
        <v>0</v>
      </c>
      <c r="AB991" s="2030">
        <v>0</v>
      </c>
      <c r="AC991" s="2030">
        <v>0</v>
      </c>
      <c r="AD991" s="1511">
        <f>T991</f>
        <v>0</v>
      </c>
      <c r="AE991" s="44">
        <f>W991</f>
        <v>0</v>
      </c>
      <c r="AF991" s="44">
        <f>Z991</f>
        <v>0</v>
      </c>
      <c r="AG991" s="44">
        <f>AC991</f>
        <v>0</v>
      </c>
      <c r="AH991" s="44">
        <f>AE991</f>
        <v>0</v>
      </c>
      <c r="AI991" s="44">
        <f>AG991</f>
        <v>0</v>
      </c>
      <c r="AJ991" s="44">
        <f>AI991</f>
        <v>0</v>
      </c>
      <c r="AL991" s="44">
        <f t="shared" ca="1" si="1854"/>
        <v>0</v>
      </c>
      <c r="AM991" s="44">
        <f t="shared" ca="1" si="1855"/>
        <v>0</v>
      </c>
      <c r="AN991" s="872">
        <f t="shared" ca="1" si="1856"/>
        <v>0</v>
      </c>
      <c r="AO991" s="922">
        <f t="shared" ca="1" si="1857"/>
        <v>0</v>
      </c>
      <c r="AP991" s="44">
        <f t="shared" ca="1" si="1858"/>
        <v>0</v>
      </c>
      <c r="AQ991" s="872">
        <f t="shared" ca="1" si="1859"/>
        <v>0</v>
      </c>
      <c r="AR991" s="922">
        <f t="shared" ca="1" si="1860"/>
        <v>0</v>
      </c>
      <c r="AT991" s="44">
        <f t="shared" ca="1" si="1861"/>
        <v>0</v>
      </c>
      <c r="AU991" s="44">
        <f t="shared" ca="1" si="1862"/>
        <v>0</v>
      </c>
      <c r="AV991" s="872">
        <f t="shared" ca="1" si="1863"/>
        <v>0</v>
      </c>
      <c r="AW991" s="922">
        <f t="shared" ca="1" si="1864"/>
        <v>0</v>
      </c>
      <c r="AX991" s="44">
        <f t="shared" ca="1" si="1865"/>
        <v>0</v>
      </c>
      <c r="AY991" s="872">
        <f t="shared" ca="1" si="1866"/>
        <v>0</v>
      </c>
      <c r="AZ991" s="922">
        <f t="shared" ca="1" si="1867"/>
        <v>0</v>
      </c>
      <c r="BB991" s="44">
        <f t="shared" ca="1" si="1868"/>
        <v>0</v>
      </c>
      <c r="BC991" s="44">
        <f t="shared" ca="1" si="1869"/>
        <v>0</v>
      </c>
      <c r="BD991" s="872">
        <f t="shared" ca="1" si="1870"/>
        <v>0</v>
      </c>
      <c r="BE991" s="922">
        <f t="shared" ca="1" si="1871"/>
        <v>0</v>
      </c>
      <c r="BF991" s="44">
        <f t="shared" ca="1" si="1872"/>
        <v>0</v>
      </c>
      <c r="BG991" s="872">
        <f t="shared" ca="1" si="1873"/>
        <v>0</v>
      </c>
      <c r="BH991" s="922">
        <f t="shared" ca="1" si="1874"/>
        <v>0</v>
      </c>
    </row>
    <row r="992" spans="1:60" s="38" customFormat="1" ht="14.5">
      <c r="A992" s="990">
        <f t="shared" si="1848"/>
        <v>905</v>
      </c>
      <c r="B992" s="990">
        <v>1</v>
      </c>
      <c r="C992" s="990">
        <f t="shared" si="1849"/>
        <v>989</v>
      </c>
      <c r="E992" s="1243">
        <v>1</v>
      </c>
      <c r="F992" s="5"/>
      <c r="G992" s="5"/>
      <c r="H992" s="5"/>
      <c r="I992" s="456"/>
      <c r="J992" s="5"/>
      <c r="K992" s="4"/>
      <c r="L992" s="5"/>
      <c r="M992" s="4"/>
      <c r="N992" s="45"/>
      <c r="O992" s="45" t="s">
        <v>11</v>
      </c>
      <c r="P992" s="45"/>
      <c r="Q992" s="1844" t="str">
        <f>CHOOSE(2, "6722000003911", "HC IP FE/TTOC Administration Total Others")</f>
        <v>HC IP FE/TTOC Administration Total Others</v>
      </c>
      <c r="R992" s="2030">
        <v>0</v>
      </c>
      <c r="S992" s="2030">
        <v>0</v>
      </c>
      <c r="T992" s="2030">
        <v>0</v>
      </c>
      <c r="U992" s="2030">
        <v>0</v>
      </c>
      <c r="V992" s="2030">
        <v>0</v>
      </c>
      <c r="W992" s="2030">
        <v>0</v>
      </c>
      <c r="X992" s="2030">
        <v>0</v>
      </c>
      <c r="Y992" s="2030">
        <v>0</v>
      </c>
      <c r="Z992" s="2030">
        <v>0</v>
      </c>
      <c r="AA992" s="2030">
        <v>0</v>
      </c>
      <c r="AB992" s="2030">
        <v>0</v>
      </c>
      <c r="AC992" s="2030">
        <v>0</v>
      </c>
      <c r="AD992" s="1511">
        <f>T992</f>
        <v>0</v>
      </c>
      <c r="AE992" s="44">
        <f>W992</f>
        <v>0</v>
      </c>
      <c r="AF992" s="44">
        <f>Z992</f>
        <v>0</v>
      </c>
      <c r="AG992" s="44">
        <f>AC992</f>
        <v>0</v>
      </c>
      <c r="AH992" s="44">
        <f>AE992</f>
        <v>0</v>
      </c>
      <c r="AI992" s="44">
        <f>AG992</f>
        <v>0</v>
      </c>
      <c r="AJ992" s="44">
        <f>AI992</f>
        <v>0</v>
      </c>
      <c r="AL992" s="44">
        <f t="shared" ca="1" si="1854"/>
        <v>0</v>
      </c>
      <c r="AM992" s="44">
        <f t="shared" ca="1" si="1855"/>
        <v>0</v>
      </c>
      <c r="AN992" s="872">
        <f t="shared" ca="1" si="1856"/>
        <v>0</v>
      </c>
      <c r="AO992" s="922">
        <f t="shared" ca="1" si="1857"/>
        <v>0</v>
      </c>
      <c r="AP992" s="44">
        <f t="shared" ca="1" si="1858"/>
        <v>0</v>
      </c>
      <c r="AQ992" s="872">
        <f t="shared" ca="1" si="1859"/>
        <v>0</v>
      </c>
      <c r="AR992" s="922">
        <f t="shared" ca="1" si="1860"/>
        <v>0</v>
      </c>
      <c r="AT992" s="44">
        <f t="shared" ca="1" si="1861"/>
        <v>0</v>
      </c>
      <c r="AU992" s="44">
        <f t="shared" ca="1" si="1862"/>
        <v>0</v>
      </c>
      <c r="AV992" s="872">
        <f t="shared" ca="1" si="1863"/>
        <v>0</v>
      </c>
      <c r="AW992" s="922">
        <f t="shared" ca="1" si="1864"/>
        <v>0</v>
      </c>
      <c r="AX992" s="44">
        <f t="shared" ca="1" si="1865"/>
        <v>0</v>
      </c>
      <c r="AY992" s="872">
        <f t="shared" ca="1" si="1866"/>
        <v>0</v>
      </c>
      <c r="AZ992" s="922">
        <f t="shared" ca="1" si="1867"/>
        <v>0</v>
      </c>
      <c r="BB992" s="44">
        <f t="shared" ca="1" si="1868"/>
        <v>0</v>
      </c>
      <c r="BC992" s="44">
        <f t="shared" ca="1" si="1869"/>
        <v>0</v>
      </c>
      <c r="BD992" s="872">
        <f t="shared" ca="1" si="1870"/>
        <v>0</v>
      </c>
      <c r="BE992" s="922">
        <f t="shared" ca="1" si="1871"/>
        <v>0</v>
      </c>
      <c r="BF992" s="44">
        <f t="shared" ca="1" si="1872"/>
        <v>0</v>
      </c>
      <c r="BG992" s="872">
        <f t="shared" ca="1" si="1873"/>
        <v>0</v>
      </c>
      <c r="BH992" s="922">
        <f t="shared" ca="1" si="1874"/>
        <v>0</v>
      </c>
    </row>
    <row r="993" spans="1:60" s="38" customFormat="1" ht="14.5">
      <c r="A993" s="990">
        <f t="shared" si="1848"/>
        <v>906</v>
      </c>
      <c r="B993" s="990">
        <v>1</v>
      </c>
      <c r="C993" s="990">
        <f t="shared" si="1849"/>
        <v>990</v>
      </c>
      <c r="D993" s="1121" t="s">
        <v>887</v>
      </c>
      <c r="E993" s="1243">
        <v>1</v>
      </c>
      <c r="F993" s="5"/>
      <c r="G993" s="5"/>
      <c r="H993" s="5"/>
      <c r="I993" s="456"/>
      <c r="J993" s="324" t="s">
        <v>232</v>
      </c>
      <c r="K993" s="323"/>
      <c r="L993" s="324"/>
      <c r="M993" s="324"/>
      <c r="N993" s="323"/>
      <c r="O993" s="47"/>
      <c r="P993" s="323"/>
      <c r="Q993" s="1851" t="str">
        <f>CHOOSE(2, "6722000003912", "HC IP FE/TTOC Logistics Total")</f>
        <v>HC IP FE/TTOC Logistics Total</v>
      </c>
      <c r="R993" s="325">
        <f>SUM(R994:R996)</f>
        <v>0</v>
      </c>
      <c r="S993" s="325">
        <f t="shared" ref="S993:AC993" si="1883">SUM(S994:S996)</f>
        <v>0</v>
      </c>
      <c r="T993" s="325">
        <f t="shared" si="1883"/>
        <v>0</v>
      </c>
      <c r="U993" s="325">
        <f t="shared" si="1883"/>
        <v>0</v>
      </c>
      <c r="V993" s="325">
        <f t="shared" si="1883"/>
        <v>0</v>
      </c>
      <c r="W993" s="325">
        <f t="shared" si="1883"/>
        <v>0</v>
      </c>
      <c r="X993" s="325">
        <f t="shared" si="1883"/>
        <v>0</v>
      </c>
      <c r="Y993" s="325">
        <f t="shared" si="1883"/>
        <v>0</v>
      </c>
      <c r="Z993" s="325">
        <f t="shared" si="1883"/>
        <v>0</v>
      </c>
      <c r="AA993" s="325">
        <f t="shared" si="1883"/>
        <v>0</v>
      </c>
      <c r="AB993" s="325">
        <f t="shared" si="1883"/>
        <v>0</v>
      </c>
      <c r="AC993" s="325">
        <f t="shared" si="1883"/>
        <v>0</v>
      </c>
      <c r="AD993" s="1278">
        <f t="shared" ref="AD993:AJ993" si="1884">SUM(AD994:AD996)</f>
        <v>0</v>
      </c>
      <c r="AE993" s="325">
        <f t="shared" si="1884"/>
        <v>0</v>
      </c>
      <c r="AF993" s="325">
        <f t="shared" si="1884"/>
        <v>0</v>
      </c>
      <c r="AG993" s="325">
        <f t="shared" si="1884"/>
        <v>0</v>
      </c>
      <c r="AH993" s="325">
        <f t="shared" si="1884"/>
        <v>0</v>
      </c>
      <c r="AI993" s="325">
        <f t="shared" si="1884"/>
        <v>0</v>
      </c>
      <c r="AJ993" s="325">
        <f t="shared" si="1884"/>
        <v>0</v>
      </c>
      <c r="AL993" s="325">
        <f t="shared" ca="1" si="1854"/>
        <v>0</v>
      </c>
      <c r="AM993" s="325">
        <f t="shared" ca="1" si="1855"/>
        <v>0</v>
      </c>
      <c r="AN993" s="915">
        <f t="shared" ca="1" si="1856"/>
        <v>0</v>
      </c>
      <c r="AO993" s="976">
        <f t="shared" ca="1" si="1857"/>
        <v>0</v>
      </c>
      <c r="AP993" s="325">
        <f t="shared" ca="1" si="1858"/>
        <v>0</v>
      </c>
      <c r="AQ993" s="915">
        <f t="shared" ca="1" si="1859"/>
        <v>0</v>
      </c>
      <c r="AR993" s="976">
        <f t="shared" ca="1" si="1860"/>
        <v>0</v>
      </c>
      <c r="AT993" s="325">
        <f t="shared" ca="1" si="1861"/>
        <v>0</v>
      </c>
      <c r="AU993" s="325">
        <f t="shared" ca="1" si="1862"/>
        <v>0</v>
      </c>
      <c r="AV993" s="915">
        <f t="shared" ca="1" si="1863"/>
        <v>0</v>
      </c>
      <c r="AW993" s="976">
        <f t="shared" ca="1" si="1864"/>
        <v>0</v>
      </c>
      <c r="AX993" s="325">
        <f t="shared" ca="1" si="1865"/>
        <v>0</v>
      </c>
      <c r="AY993" s="915">
        <f t="shared" ca="1" si="1866"/>
        <v>0</v>
      </c>
      <c r="AZ993" s="976">
        <f t="shared" ca="1" si="1867"/>
        <v>0</v>
      </c>
      <c r="BB993" s="325">
        <f t="shared" ca="1" si="1868"/>
        <v>0</v>
      </c>
      <c r="BC993" s="325">
        <f t="shared" ca="1" si="1869"/>
        <v>0</v>
      </c>
      <c r="BD993" s="915">
        <f t="shared" ca="1" si="1870"/>
        <v>0</v>
      </c>
      <c r="BE993" s="976">
        <f t="shared" ca="1" si="1871"/>
        <v>0</v>
      </c>
      <c r="BF993" s="325">
        <f t="shared" ca="1" si="1872"/>
        <v>0</v>
      </c>
      <c r="BG993" s="915">
        <f t="shared" ca="1" si="1873"/>
        <v>0</v>
      </c>
      <c r="BH993" s="976">
        <f t="shared" ca="1" si="1874"/>
        <v>0</v>
      </c>
    </row>
    <row r="994" spans="1:60" s="38" customFormat="1" ht="14.5">
      <c r="A994" s="990">
        <f t="shared" si="1848"/>
        <v>907</v>
      </c>
      <c r="B994" s="990">
        <v>1</v>
      </c>
      <c r="C994" s="990">
        <f t="shared" si="1849"/>
        <v>991</v>
      </c>
      <c r="E994" s="1243">
        <v>1</v>
      </c>
      <c r="F994" s="5"/>
      <c r="G994" s="5"/>
      <c r="H994" s="5"/>
      <c r="I994" s="456"/>
      <c r="J994" s="5"/>
      <c r="K994" s="4"/>
      <c r="L994" s="5"/>
      <c r="M994" s="4"/>
      <c r="N994" s="45"/>
      <c r="O994" s="45" t="s">
        <v>79</v>
      </c>
      <c r="P994" s="45"/>
      <c r="Q994" s="1844" t="str">
        <f>CHOOSE(2, "6722000003913", "HC IP FE/TTOC Logistics Total Administration")</f>
        <v>HC IP FE/TTOC Logistics Total Administration</v>
      </c>
      <c r="R994" s="2030">
        <v>0</v>
      </c>
      <c r="S994" s="2030">
        <v>0</v>
      </c>
      <c r="T994" s="2030">
        <v>0</v>
      </c>
      <c r="U994" s="2030">
        <v>0</v>
      </c>
      <c r="V994" s="2030">
        <v>0</v>
      </c>
      <c r="W994" s="2030">
        <v>0</v>
      </c>
      <c r="X994" s="2030">
        <v>0</v>
      </c>
      <c r="Y994" s="2030">
        <v>0</v>
      </c>
      <c r="Z994" s="2030">
        <v>0</v>
      </c>
      <c r="AA994" s="2030">
        <v>0</v>
      </c>
      <c r="AB994" s="2030">
        <v>0</v>
      </c>
      <c r="AC994" s="2030">
        <v>0</v>
      </c>
      <c r="AD994" s="1511">
        <f>T994</f>
        <v>0</v>
      </c>
      <c r="AE994" s="44">
        <f>W994</f>
        <v>0</v>
      </c>
      <c r="AF994" s="44">
        <f>Z994</f>
        <v>0</v>
      </c>
      <c r="AG994" s="44">
        <f>AC994</f>
        <v>0</v>
      </c>
      <c r="AH994" s="44">
        <f>AE994</f>
        <v>0</v>
      </c>
      <c r="AI994" s="44">
        <f>AG994</f>
        <v>0</v>
      </c>
      <c r="AJ994" s="44">
        <f>AI994</f>
        <v>0</v>
      </c>
      <c r="AL994" s="44">
        <f t="shared" ca="1" si="1854"/>
        <v>0</v>
      </c>
      <c r="AM994" s="44">
        <f t="shared" ca="1" si="1855"/>
        <v>0</v>
      </c>
      <c r="AN994" s="872">
        <f t="shared" ca="1" si="1856"/>
        <v>0</v>
      </c>
      <c r="AO994" s="922">
        <f t="shared" ca="1" si="1857"/>
        <v>0</v>
      </c>
      <c r="AP994" s="44">
        <f t="shared" ca="1" si="1858"/>
        <v>0</v>
      </c>
      <c r="AQ994" s="872">
        <f t="shared" ca="1" si="1859"/>
        <v>0</v>
      </c>
      <c r="AR994" s="922">
        <f t="shared" ca="1" si="1860"/>
        <v>0</v>
      </c>
      <c r="AT994" s="44">
        <f t="shared" ca="1" si="1861"/>
        <v>0</v>
      </c>
      <c r="AU994" s="44">
        <f t="shared" ca="1" si="1862"/>
        <v>0</v>
      </c>
      <c r="AV994" s="872">
        <f t="shared" ca="1" si="1863"/>
        <v>0</v>
      </c>
      <c r="AW994" s="922">
        <f t="shared" ca="1" si="1864"/>
        <v>0</v>
      </c>
      <c r="AX994" s="44">
        <f t="shared" ca="1" si="1865"/>
        <v>0</v>
      </c>
      <c r="AY994" s="872">
        <f t="shared" ca="1" si="1866"/>
        <v>0</v>
      </c>
      <c r="AZ994" s="922">
        <f t="shared" ca="1" si="1867"/>
        <v>0</v>
      </c>
      <c r="BB994" s="44">
        <f t="shared" ca="1" si="1868"/>
        <v>0</v>
      </c>
      <c r="BC994" s="44">
        <f t="shared" ca="1" si="1869"/>
        <v>0</v>
      </c>
      <c r="BD994" s="872">
        <f t="shared" ca="1" si="1870"/>
        <v>0</v>
      </c>
      <c r="BE994" s="922">
        <f t="shared" ca="1" si="1871"/>
        <v>0</v>
      </c>
      <c r="BF994" s="44">
        <f t="shared" ca="1" si="1872"/>
        <v>0</v>
      </c>
      <c r="BG994" s="872">
        <f t="shared" ca="1" si="1873"/>
        <v>0</v>
      </c>
      <c r="BH994" s="922">
        <f t="shared" ca="1" si="1874"/>
        <v>0</v>
      </c>
    </row>
    <row r="995" spans="1:60" s="38" customFormat="1" ht="14.5">
      <c r="A995" s="990">
        <f t="shared" si="1848"/>
        <v>908</v>
      </c>
      <c r="B995" s="990">
        <v>1</v>
      </c>
      <c r="C995" s="990">
        <f t="shared" si="1849"/>
        <v>992</v>
      </c>
      <c r="E995" s="1243">
        <v>1</v>
      </c>
      <c r="F995" s="5"/>
      <c r="G995" s="5"/>
      <c r="H995" s="5"/>
      <c r="I995" s="456"/>
      <c r="J995" s="5"/>
      <c r="K995" s="4"/>
      <c r="L995" s="5"/>
      <c r="M995" s="4"/>
      <c r="N995" s="45"/>
      <c r="O995" s="45" t="s">
        <v>80</v>
      </c>
      <c r="P995" s="45"/>
      <c r="Q995" s="1844" t="str">
        <f>CHOOSE(2, "6722000003914", "HC IP FE/TTOC Logistics Total Warehouse")</f>
        <v>HC IP FE/TTOC Logistics Total Warehouse</v>
      </c>
      <c r="R995" s="2030">
        <v>0</v>
      </c>
      <c r="S995" s="2030">
        <v>0</v>
      </c>
      <c r="T995" s="2030">
        <v>0</v>
      </c>
      <c r="U995" s="2030">
        <v>0</v>
      </c>
      <c r="V995" s="2030">
        <v>0</v>
      </c>
      <c r="W995" s="2030">
        <v>0</v>
      </c>
      <c r="X995" s="2030">
        <v>0</v>
      </c>
      <c r="Y995" s="2030">
        <v>0</v>
      </c>
      <c r="Z995" s="2030">
        <v>0</v>
      </c>
      <c r="AA995" s="2030">
        <v>0</v>
      </c>
      <c r="AB995" s="2030">
        <v>0</v>
      </c>
      <c r="AC995" s="2030">
        <v>0</v>
      </c>
      <c r="AD995" s="1511">
        <f>T995</f>
        <v>0</v>
      </c>
      <c r="AE995" s="44">
        <f>W995</f>
        <v>0</v>
      </c>
      <c r="AF995" s="44">
        <f>Z995</f>
        <v>0</v>
      </c>
      <c r="AG995" s="44">
        <f>AC995</f>
        <v>0</v>
      </c>
      <c r="AH995" s="44">
        <f>AE995</f>
        <v>0</v>
      </c>
      <c r="AI995" s="44">
        <f>AG995</f>
        <v>0</v>
      </c>
      <c r="AJ995" s="44">
        <f>AI995</f>
        <v>0</v>
      </c>
      <c r="AL995" s="44">
        <f t="shared" ca="1" si="1854"/>
        <v>0</v>
      </c>
      <c r="AM995" s="44">
        <f t="shared" ca="1" si="1855"/>
        <v>0</v>
      </c>
      <c r="AN995" s="872">
        <f t="shared" ca="1" si="1856"/>
        <v>0</v>
      </c>
      <c r="AO995" s="922">
        <f t="shared" ca="1" si="1857"/>
        <v>0</v>
      </c>
      <c r="AP995" s="44">
        <f t="shared" ca="1" si="1858"/>
        <v>0</v>
      </c>
      <c r="AQ995" s="872">
        <f t="shared" ca="1" si="1859"/>
        <v>0</v>
      </c>
      <c r="AR995" s="922">
        <f t="shared" ca="1" si="1860"/>
        <v>0</v>
      </c>
      <c r="AT995" s="44">
        <f t="shared" ca="1" si="1861"/>
        <v>0</v>
      </c>
      <c r="AU995" s="44">
        <f t="shared" ca="1" si="1862"/>
        <v>0</v>
      </c>
      <c r="AV995" s="872">
        <f t="shared" ca="1" si="1863"/>
        <v>0</v>
      </c>
      <c r="AW995" s="922">
        <f t="shared" ca="1" si="1864"/>
        <v>0</v>
      </c>
      <c r="AX995" s="44">
        <f t="shared" ca="1" si="1865"/>
        <v>0</v>
      </c>
      <c r="AY995" s="872">
        <f t="shared" ca="1" si="1866"/>
        <v>0</v>
      </c>
      <c r="AZ995" s="922">
        <f t="shared" ca="1" si="1867"/>
        <v>0</v>
      </c>
      <c r="BB995" s="44">
        <f t="shared" ca="1" si="1868"/>
        <v>0</v>
      </c>
      <c r="BC995" s="44">
        <f t="shared" ca="1" si="1869"/>
        <v>0</v>
      </c>
      <c r="BD995" s="872">
        <f t="shared" ca="1" si="1870"/>
        <v>0</v>
      </c>
      <c r="BE995" s="922">
        <f t="shared" ca="1" si="1871"/>
        <v>0</v>
      </c>
      <c r="BF995" s="44">
        <f t="shared" ca="1" si="1872"/>
        <v>0</v>
      </c>
      <c r="BG995" s="872">
        <f t="shared" ca="1" si="1873"/>
        <v>0</v>
      </c>
      <c r="BH995" s="922">
        <f t="shared" ca="1" si="1874"/>
        <v>0</v>
      </c>
    </row>
    <row r="996" spans="1:60" s="38" customFormat="1" ht="14.5">
      <c r="A996" s="990">
        <f t="shared" si="1848"/>
        <v>909</v>
      </c>
      <c r="B996" s="990">
        <v>1</v>
      </c>
      <c r="C996" s="990">
        <f t="shared" si="1849"/>
        <v>993</v>
      </c>
      <c r="E996" s="1243">
        <v>1</v>
      </c>
      <c r="F996" s="5"/>
      <c r="G996" s="5"/>
      <c r="H996" s="5"/>
      <c r="I996" s="457"/>
      <c r="J996" s="3"/>
      <c r="K996" s="2"/>
      <c r="L996" s="3"/>
      <c r="M996" s="2"/>
      <c r="N996" s="43"/>
      <c r="O996" s="43" t="s">
        <v>81</v>
      </c>
      <c r="P996" s="43"/>
      <c r="Q996" s="1844" t="str">
        <f>CHOOSE(2, "6722000003915", "HC IP FE/TTOC Logistics Total Workshop")</f>
        <v>HC IP FE/TTOC Logistics Total Workshop</v>
      </c>
      <c r="R996" s="2029">
        <v>0</v>
      </c>
      <c r="S996" s="2029">
        <v>0</v>
      </c>
      <c r="T996" s="2029">
        <v>0</v>
      </c>
      <c r="U996" s="2029">
        <v>0</v>
      </c>
      <c r="V996" s="2029">
        <v>0</v>
      </c>
      <c r="W996" s="2029">
        <v>0</v>
      </c>
      <c r="X996" s="2029">
        <v>0</v>
      </c>
      <c r="Y996" s="2029">
        <v>0</v>
      </c>
      <c r="Z996" s="2029">
        <v>0</v>
      </c>
      <c r="AA996" s="2029">
        <v>0</v>
      </c>
      <c r="AB996" s="2029">
        <v>0</v>
      </c>
      <c r="AC996" s="2029">
        <v>0</v>
      </c>
      <c r="AD996" s="1554">
        <f>T996</f>
        <v>0</v>
      </c>
      <c r="AE996" s="42">
        <f>W996</f>
        <v>0</v>
      </c>
      <c r="AF996" s="42">
        <f>Z996</f>
        <v>0</v>
      </c>
      <c r="AG996" s="42">
        <f>AC996</f>
        <v>0</v>
      </c>
      <c r="AH996" s="42">
        <f>AE996</f>
        <v>0</v>
      </c>
      <c r="AI996" s="42">
        <f>AG996</f>
        <v>0</v>
      </c>
      <c r="AJ996" s="42">
        <f>AI996</f>
        <v>0</v>
      </c>
      <c r="AL996" s="42">
        <f t="shared" ca="1" si="1854"/>
        <v>0</v>
      </c>
      <c r="AM996" s="42">
        <f t="shared" ca="1" si="1855"/>
        <v>0</v>
      </c>
      <c r="AN996" s="914">
        <f t="shared" ca="1" si="1856"/>
        <v>0</v>
      </c>
      <c r="AO996" s="975">
        <f t="shared" ca="1" si="1857"/>
        <v>0</v>
      </c>
      <c r="AP996" s="42">
        <f t="shared" ca="1" si="1858"/>
        <v>0</v>
      </c>
      <c r="AQ996" s="914">
        <f t="shared" ca="1" si="1859"/>
        <v>0</v>
      </c>
      <c r="AR996" s="975">
        <f t="shared" ca="1" si="1860"/>
        <v>0</v>
      </c>
      <c r="AT996" s="42">
        <f t="shared" ca="1" si="1861"/>
        <v>0</v>
      </c>
      <c r="AU996" s="42">
        <f t="shared" ca="1" si="1862"/>
        <v>0</v>
      </c>
      <c r="AV996" s="914">
        <f t="shared" ca="1" si="1863"/>
        <v>0</v>
      </c>
      <c r="AW996" s="975">
        <f t="shared" ca="1" si="1864"/>
        <v>0</v>
      </c>
      <c r="AX996" s="42">
        <f t="shared" ca="1" si="1865"/>
        <v>0</v>
      </c>
      <c r="AY996" s="914">
        <f t="shared" ca="1" si="1866"/>
        <v>0</v>
      </c>
      <c r="AZ996" s="975">
        <f t="shared" ca="1" si="1867"/>
        <v>0</v>
      </c>
      <c r="BB996" s="42">
        <f t="shared" ca="1" si="1868"/>
        <v>0</v>
      </c>
      <c r="BC996" s="42">
        <f t="shared" ca="1" si="1869"/>
        <v>0</v>
      </c>
      <c r="BD996" s="914">
        <f t="shared" ca="1" si="1870"/>
        <v>0</v>
      </c>
      <c r="BE996" s="975">
        <f t="shared" ca="1" si="1871"/>
        <v>0</v>
      </c>
      <c r="BF996" s="42">
        <f t="shared" ca="1" si="1872"/>
        <v>0</v>
      </c>
      <c r="BG996" s="914">
        <f t="shared" ca="1" si="1873"/>
        <v>0</v>
      </c>
      <c r="BH996" s="975">
        <f t="shared" ca="1" si="1874"/>
        <v>0</v>
      </c>
    </row>
    <row r="997" spans="1:60" s="38" customFormat="1" ht="14.5">
      <c r="A997" s="990">
        <f t="shared" si="1848"/>
        <v>910</v>
      </c>
      <c r="B997" s="990">
        <v>1</v>
      </c>
      <c r="C997" s="990">
        <f t="shared" si="1849"/>
        <v>994</v>
      </c>
      <c r="D997" s="1121" t="s">
        <v>887</v>
      </c>
      <c r="E997" s="1243">
        <v>1</v>
      </c>
      <c r="F997" s="5"/>
      <c r="G997" s="5"/>
      <c r="H997" s="5"/>
      <c r="I997" s="318" t="s">
        <v>296</v>
      </c>
      <c r="J997" s="319"/>
      <c r="K997" s="320"/>
      <c r="L997" s="320"/>
      <c r="M997" s="319"/>
      <c r="N997" s="319"/>
      <c r="O997" s="319"/>
      <c r="P997" s="319"/>
      <c r="Q997" s="1855" t="str">
        <f>CHOOSE(2, "6722000003916", "HC IP Semi-Full-Time/Part-Time Employees /Contractors")</f>
        <v>HC IP Semi-Full-Time/Part-Time Employees /Contractors</v>
      </c>
      <c r="R997" s="2050">
        <v>0</v>
      </c>
      <c r="S997" s="2050">
        <v>0</v>
      </c>
      <c r="T997" s="2050">
        <v>0</v>
      </c>
      <c r="U997" s="2050">
        <v>0</v>
      </c>
      <c r="V997" s="2050">
        <v>0</v>
      </c>
      <c r="W997" s="2050">
        <v>0</v>
      </c>
      <c r="X997" s="2050">
        <v>0</v>
      </c>
      <c r="Y997" s="2050">
        <v>0</v>
      </c>
      <c r="Z997" s="2050">
        <v>0</v>
      </c>
      <c r="AA997" s="2050">
        <v>0</v>
      </c>
      <c r="AB997" s="2050">
        <v>0</v>
      </c>
      <c r="AC997" s="2050">
        <v>0</v>
      </c>
      <c r="AD997" s="1555">
        <f>T997</f>
        <v>0</v>
      </c>
      <c r="AE997" s="322">
        <f>W997</f>
        <v>0</v>
      </c>
      <c r="AF997" s="322">
        <f>Z997</f>
        <v>0</v>
      </c>
      <c r="AG997" s="322">
        <f>AC997</f>
        <v>0</v>
      </c>
      <c r="AH997" s="322">
        <f>AE997</f>
        <v>0</v>
      </c>
      <c r="AI997" s="322">
        <f>AG997</f>
        <v>0</v>
      </c>
      <c r="AJ997" s="322">
        <f>AI997</f>
        <v>0</v>
      </c>
      <c r="AL997" s="2527">
        <f t="shared" ca="1" si="1854"/>
        <v>0</v>
      </c>
      <c r="AM997" s="2527">
        <f t="shared" ca="1" si="1855"/>
        <v>0</v>
      </c>
      <c r="AN997" s="2528">
        <f t="shared" ca="1" si="1856"/>
        <v>0</v>
      </c>
      <c r="AO997" s="2529">
        <f t="shared" ca="1" si="1857"/>
        <v>0</v>
      </c>
      <c r="AP997" s="2527">
        <f t="shared" ca="1" si="1858"/>
        <v>0</v>
      </c>
      <c r="AQ997" s="2528">
        <f t="shared" ca="1" si="1859"/>
        <v>0</v>
      </c>
      <c r="AR997" s="2529">
        <f t="shared" ca="1" si="1860"/>
        <v>0</v>
      </c>
      <c r="AT997" s="2527">
        <f t="shared" ca="1" si="1861"/>
        <v>0</v>
      </c>
      <c r="AU997" s="2527">
        <f t="shared" ca="1" si="1862"/>
        <v>0</v>
      </c>
      <c r="AV997" s="2528">
        <f t="shared" ca="1" si="1863"/>
        <v>0</v>
      </c>
      <c r="AW997" s="2529">
        <f t="shared" ca="1" si="1864"/>
        <v>0</v>
      </c>
      <c r="AX997" s="2527">
        <f t="shared" ca="1" si="1865"/>
        <v>0</v>
      </c>
      <c r="AY997" s="2528">
        <f t="shared" ca="1" si="1866"/>
        <v>0</v>
      </c>
      <c r="AZ997" s="2529">
        <f t="shared" ca="1" si="1867"/>
        <v>0</v>
      </c>
      <c r="BB997" s="2527">
        <f t="shared" ca="1" si="1868"/>
        <v>0</v>
      </c>
      <c r="BC997" s="2527">
        <f t="shared" ca="1" si="1869"/>
        <v>0</v>
      </c>
      <c r="BD997" s="2528">
        <f t="shared" ca="1" si="1870"/>
        <v>0</v>
      </c>
      <c r="BE997" s="2529">
        <f t="shared" ca="1" si="1871"/>
        <v>0</v>
      </c>
      <c r="BF997" s="2527">
        <f t="shared" ca="1" si="1872"/>
        <v>0</v>
      </c>
      <c r="BG997" s="2528">
        <f t="shared" ca="1" si="1873"/>
        <v>0</v>
      </c>
      <c r="BH997" s="2529">
        <f t="shared" ca="1" si="1874"/>
        <v>0</v>
      </c>
    </row>
    <row r="998" spans="1:60" s="38" customFormat="1" ht="14.5">
      <c r="A998" s="990">
        <f t="shared" si="1848"/>
        <v>911</v>
      </c>
      <c r="B998" s="990">
        <v>1</v>
      </c>
      <c r="C998" s="990">
        <f t="shared" si="1849"/>
        <v>995</v>
      </c>
      <c r="D998" s="1121" t="s">
        <v>887</v>
      </c>
      <c r="E998" s="1243">
        <v>1</v>
      </c>
      <c r="F998" s="39"/>
      <c r="G998" s="39"/>
      <c r="H998" s="5"/>
      <c r="I998" s="39"/>
      <c r="J998" s="40"/>
      <c r="K998" s="39"/>
      <c r="L998" s="39"/>
      <c r="M998" s="39"/>
      <c r="N998" s="39"/>
      <c r="O998" s="39"/>
      <c r="P998" s="39"/>
      <c r="Q998" s="1839" t="str">
        <f>CHOOSE(2, "6722000003917", "▷ Blank 30")</f>
        <v>▷ Blank 30</v>
      </c>
      <c r="R998" s="2225"/>
      <c r="S998" s="1151"/>
      <c r="T998" s="1151"/>
      <c r="U998" s="1151"/>
      <c r="V998" s="1151"/>
      <c r="W998" s="1151"/>
      <c r="X998" s="2179"/>
      <c r="Y998" s="2179"/>
      <c r="Z998" s="2179"/>
      <c r="AA998" s="2179"/>
    </row>
    <row r="999" spans="1:60" s="38" customFormat="1" ht="14.5">
      <c r="A999" s="990">
        <f t="shared" si="1848"/>
        <v>912</v>
      </c>
      <c r="B999" s="990">
        <v>1</v>
      </c>
      <c r="C999" s="990">
        <f t="shared" si="1849"/>
        <v>996</v>
      </c>
      <c r="D999" s="1121" t="s">
        <v>887</v>
      </c>
      <c r="E999" s="1243">
        <v>1</v>
      </c>
      <c r="F999" s="5"/>
      <c r="G999" s="5"/>
      <c r="H999" s="5" t="s">
        <v>488</v>
      </c>
      <c r="I999" s="5"/>
      <c r="J999" s="4"/>
      <c r="K999" s="5"/>
      <c r="L999" s="5"/>
      <c r="M999" s="4"/>
      <c r="N999" s="4"/>
      <c r="O999" s="4"/>
      <c r="P999" s="4"/>
      <c r="Q999" s="1839" t="str">
        <f>CHOOSE(2, "6722000003918", "HC (4) MS (Marketing Service)")</f>
        <v>HC (4) MS (Marketing Service)</v>
      </c>
      <c r="R999" s="2225"/>
      <c r="S999" s="1151"/>
      <c r="T999" s="1151"/>
      <c r="U999" s="1151"/>
      <c r="V999" s="1151"/>
      <c r="W999" s="1151"/>
      <c r="X999" s="1151"/>
      <c r="Y999" s="1151"/>
      <c r="Z999" s="1151"/>
      <c r="AA999" s="1151"/>
    </row>
    <row r="1000" spans="1:60" s="38" customFormat="1" ht="14.5">
      <c r="A1000" s="990">
        <f t="shared" si="1848"/>
        <v>913</v>
      </c>
      <c r="B1000" s="990">
        <v>1</v>
      </c>
      <c r="C1000" s="990">
        <f t="shared" si="1849"/>
        <v>997</v>
      </c>
      <c r="D1000" s="1121" t="s">
        <v>887</v>
      </c>
      <c r="E1000" s="1243">
        <v>1</v>
      </c>
      <c r="F1000" s="5"/>
      <c r="G1000" s="5"/>
      <c r="H1000" s="341"/>
      <c r="I1000" s="326" t="s">
        <v>329</v>
      </c>
      <c r="J1000" s="327"/>
      <c r="K1000" s="328"/>
      <c r="L1000" s="328"/>
      <c r="M1000" s="327"/>
      <c r="N1000" s="327"/>
      <c r="O1000" s="327"/>
      <c r="P1000" s="829"/>
      <c r="Q1000" s="1872" t="str">
        <f>CHOOSE(2, "6722000003919", "HC MS FE/TTOC")</f>
        <v>HC MS FE/TTOC</v>
      </c>
      <c r="R1000" s="2130">
        <f t="shared" ref="R1000:AC1000" si="1885">R1001+R1006+R1012+R1017+R1023</f>
        <v>0</v>
      </c>
      <c r="S1000" s="2007">
        <f t="shared" si="1885"/>
        <v>0</v>
      </c>
      <c r="T1000" s="2007">
        <f t="shared" si="1885"/>
        <v>0</v>
      </c>
      <c r="U1000" s="2007">
        <f t="shared" si="1885"/>
        <v>0</v>
      </c>
      <c r="V1000" s="2007">
        <f t="shared" si="1885"/>
        <v>0</v>
      </c>
      <c r="W1000" s="2007">
        <f t="shared" si="1885"/>
        <v>0</v>
      </c>
      <c r="X1000" s="2007">
        <f t="shared" si="1885"/>
        <v>0</v>
      </c>
      <c r="Y1000" s="2007">
        <f t="shared" si="1885"/>
        <v>0</v>
      </c>
      <c r="Z1000" s="2007">
        <f t="shared" si="1885"/>
        <v>0</v>
      </c>
      <c r="AA1000" s="2007">
        <f t="shared" si="1885"/>
        <v>0</v>
      </c>
      <c r="AB1000" s="2007">
        <f t="shared" si="1885"/>
        <v>0</v>
      </c>
      <c r="AC1000" s="2007">
        <f t="shared" si="1885"/>
        <v>0</v>
      </c>
      <c r="AD1000" s="673">
        <f t="shared" ref="AD1000:AJ1000" si="1886">AD1001+AD1006+AD1012+AD1017+AD1023</f>
        <v>0</v>
      </c>
      <c r="AE1000" s="125">
        <f t="shared" si="1886"/>
        <v>0</v>
      </c>
      <c r="AF1000" s="125">
        <f t="shared" si="1886"/>
        <v>0</v>
      </c>
      <c r="AG1000" s="125">
        <f t="shared" si="1886"/>
        <v>0</v>
      </c>
      <c r="AH1000" s="125">
        <f t="shared" si="1886"/>
        <v>0</v>
      </c>
      <c r="AI1000" s="125">
        <f t="shared" si="1886"/>
        <v>0</v>
      </c>
      <c r="AJ1000" s="125">
        <f t="shared" si="1886"/>
        <v>0</v>
      </c>
      <c r="AL1000" s="2130">
        <f t="shared" ref="AL1000:AL1027" ca="1" si="1887">INDIRECT(AL$3&amp;(ROW()))</f>
        <v>0</v>
      </c>
      <c r="AM1000" s="125">
        <f t="shared" ref="AM1000:AM1027" ca="1" si="1888">INDIRECT(AM$1&amp;AM$3&amp;$C1000)</f>
        <v>0</v>
      </c>
      <c r="AN1000" s="2521">
        <f t="shared" ref="AN1000:AN1027" ca="1" si="1889">AL1000-AM1000</f>
        <v>0</v>
      </c>
      <c r="AO1000" s="1717">
        <f t="shared" ref="AO1000:AO1027" ca="1" si="1890">IFERROR(AL1000/AM1000,0)</f>
        <v>0</v>
      </c>
      <c r="AP1000" s="125">
        <f t="shared" ref="AP1000:AP1027" ca="1" si="1891">INDIRECT(AP$1&amp;AP$3&amp;$A1000)+INDIRECT(AP$1&amp;AP$3&amp;$B1000)</f>
        <v>0</v>
      </c>
      <c r="AQ1000" s="2521">
        <f t="shared" ref="AQ1000:AQ1027" ca="1" si="1892">AL1000-AP1000</f>
        <v>0</v>
      </c>
      <c r="AR1000" s="1717">
        <f t="shared" ref="AR1000:AR1027" ca="1" si="1893">IFERROR(AL1000/AP1000,0)</f>
        <v>0</v>
      </c>
      <c r="AT1000" s="2130">
        <f t="shared" ref="AT1000:AT1027" ca="1" si="1894">INDIRECT(AT$3&amp;(ROW()))</f>
        <v>0</v>
      </c>
      <c r="AU1000" s="125">
        <f t="shared" ref="AU1000:AU1027" ca="1" si="1895">INDIRECT(AU$1&amp;AU$3&amp;$C1000)</f>
        <v>0</v>
      </c>
      <c r="AV1000" s="2521">
        <f t="shared" ref="AV1000:AV1027" ca="1" si="1896">AT1000-AU1000</f>
        <v>0</v>
      </c>
      <c r="AW1000" s="1717">
        <f t="shared" ref="AW1000:AW1027" ca="1" si="1897">IFERROR(AT1000/AU1000,0)</f>
        <v>0</v>
      </c>
      <c r="AX1000" s="125">
        <f t="shared" ref="AX1000:AX1027" ca="1" si="1898">INDIRECT(AX$1&amp;AX$3&amp;$A1000)+INDIRECT(AX$1&amp;AX$3&amp;$B1000)</f>
        <v>0</v>
      </c>
      <c r="AY1000" s="2521">
        <f t="shared" ref="AY1000:AY1027" ca="1" si="1899">AT1000-AX1000</f>
        <v>0</v>
      </c>
      <c r="AZ1000" s="1717">
        <f t="shared" ref="AZ1000:AZ1027" ca="1" si="1900">IFERROR(AT1000/AX1000,0)</f>
        <v>0</v>
      </c>
      <c r="BB1000" s="2130">
        <f t="shared" ref="BB1000:BB1027" ca="1" si="1901">INDIRECT(BB$3&amp;(ROW()))</f>
        <v>0</v>
      </c>
      <c r="BC1000" s="125">
        <f t="shared" ref="BC1000:BC1027" ca="1" si="1902">INDIRECT(BC$1&amp;BC$3&amp;$C1000)</f>
        <v>0</v>
      </c>
      <c r="BD1000" s="2521">
        <f t="shared" ref="BD1000:BD1027" ca="1" si="1903">BB1000-BC1000</f>
        <v>0</v>
      </c>
      <c r="BE1000" s="1717">
        <f t="shared" ref="BE1000:BE1027" ca="1" si="1904">IFERROR(BB1000/BC1000,0)</f>
        <v>0</v>
      </c>
      <c r="BF1000" s="125">
        <f t="shared" ref="BF1000:BF1027" ca="1" si="1905">INDIRECT(BF$1&amp;BF$3&amp;$A1000)+INDIRECT(BF$1&amp;BF$3&amp;$B1000)</f>
        <v>0</v>
      </c>
      <c r="BG1000" s="2521">
        <f t="shared" ref="BG1000:BG1027" ca="1" si="1906">BB1000-BF1000</f>
        <v>0</v>
      </c>
      <c r="BH1000" s="1717">
        <f t="shared" ref="BH1000:BH1027" ca="1" si="1907">IFERROR(BB1000/BF1000,0)</f>
        <v>0</v>
      </c>
    </row>
    <row r="1001" spans="1:60" s="38" customFormat="1" ht="14.5">
      <c r="A1001" s="990">
        <f t="shared" si="1848"/>
        <v>914</v>
      </c>
      <c r="B1001" s="990">
        <v>1</v>
      </c>
      <c r="C1001" s="990">
        <f t="shared" si="1849"/>
        <v>998</v>
      </c>
      <c r="D1001" s="1121" t="s">
        <v>887</v>
      </c>
      <c r="E1001" s="1243">
        <v>1</v>
      </c>
      <c r="F1001" s="5"/>
      <c r="G1001" s="5"/>
      <c r="H1001" s="5"/>
      <c r="I1001" s="329"/>
      <c r="J1001" s="52" t="s">
        <v>234</v>
      </c>
      <c r="K1001" s="51"/>
      <c r="L1001" s="52"/>
      <c r="M1001" s="52"/>
      <c r="N1001" s="51"/>
      <c r="O1001" s="51"/>
      <c r="P1001" s="51"/>
      <c r="Q1001" s="1851" t="str">
        <f>CHOOSE(2, "6722000003920", "HC MS FE/TTOC Sales Total")</f>
        <v>HC MS FE/TTOC Sales Total</v>
      </c>
      <c r="R1001" s="49">
        <f>SUM(R1002:R1005)</f>
        <v>0</v>
      </c>
      <c r="S1001" s="49">
        <f t="shared" ref="S1001:AC1001" si="1908">SUM(S1002:S1005)</f>
        <v>0</v>
      </c>
      <c r="T1001" s="49">
        <f t="shared" si="1908"/>
        <v>0</v>
      </c>
      <c r="U1001" s="49">
        <f t="shared" si="1908"/>
        <v>0</v>
      </c>
      <c r="V1001" s="49">
        <f t="shared" si="1908"/>
        <v>0</v>
      </c>
      <c r="W1001" s="49">
        <f t="shared" si="1908"/>
        <v>0</v>
      </c>
      <c r="X1001" s="49">
        <f t="shared" si="1908"/>
        <v>0</v>
      </c>
      <c r="Y1001" s="49">
        <f t="shared" si="1908"/>
        <v>0</v>
      </c>
      <c r="Z1001" s="49">
        <f t="shared" si="1908"/>
        <v>0</v>
      </c>
      <c r="AA1001" s="49">
        <f t="shared" si="1908"/>
        <v>0</v>
      </c>
      <c r="AB1001" s="49">
        <f t="shared" si="1908"/>
        <v>0</v>
      </c>
      <c r="AC1001" s="49">
        <f t="shared" si="1908"/>
        <v>0</v>
      </c>
      <c r="AD1001" s="1553">
        <f t="shared" ref="AD1001:AJ1001" si="1909">SUM(AD1002:AD1005)</f>
        <v>0</v>
      </c>
      <c r="AE1001" s="49">
        <f t="shared" si="1909"/>
        <v>0</v>
      </c>
      <c r="AF1001" s="49">
        <f t="shared" si="1909"/>
        <v>0</v>
      </c>
      <c r="AG1001" s="49">
        <f t="shared" si="1909"/>
        <v>0</v>
      </c>
      <c r="AH1001" s="49">
        <f t="shared" si="1909"/>
        <v>0</v>
      </c>
      <c r="AI1001" s="49">
        <f t="shared" si="1909"/>
        <v>0</v>
      </c>
      <c r="AJ1001" s="49">
        <f t="shared" si="1909"/>
        <v>0</v>
      </c>
      <c r="AL1001" s="49">
        <f t="shared" ca="1" si="1887"/>
        <v>0</v>
      </c>
      <c r="AM1001" s="49">
        <f t="shared" ca="1" si="1888"/>
        <v>0</v>
      </c>
      <c r="AN1001" s="913">
        <f t="shared" ca="1" si="1889"/>
        <v>0</v>
      </c>
      <c r="AO1001" s="974">
        <f t="shared" ca="1" si="1890"/>
        <v>0</v>
      </c>
      <c r="AP1001" s="49">
        <f t="shared" ca="1" si="1891"/>
        <v>0</v>
      </c>
      <c r="AQ1001" s="913">
        <f t="shared" ca="1" si="1892"/>
        <v>0</v>
      </c>
      <c r="AR1001" s="974">
        <f t="shared" ca="1" si="1893"/>
        <v>0</v>
      </c>
      <c r="AT1001" s="49">
        <f t="shared" ca="1" si="1894"/>
        <v>0</v>
      </c>
      <c r="AU1001" s="49">
        <f t="shared" ca="1" si="1895"/>
        <v>0</v>
      </c>
      <c r="AV1001" s="913">
        <f t="shared" ca="1" si="1896"/>
        <v>0</v>
      </c>
      <c r="AW1001" s="974">
        <f t="shared" ca="1" si="1897"/>
        <v>0</v>
      </c>
      <c r="AX1001" s="49">
        <f t="shared" ca="1" si="1898"/>
        <v>0</v>
      </c>
      <c r="AY1001" s="913">
        <f t="shared" ca="1" si="1899"/>
        <v>0</v>
      </c>
      <c r="AZ1001" s="974">
        <f t="shared" ca="1" si="1900"/>
        <v>0</v>
      </c>
      <c r="BB1001" s="49">
        <f t="shared" ca="1" si="1901"/>
        <v>0</v>
      </c>
      <c r="BC1001" s="49">
        <f t="shared" ca="1" si="1902"/>
        <v>0</v>
      </c>
      <c r="BD1001" s="913">
        <f t="shared" ca="1" si="1903"/>
        <v>0</v>
      </c>
      <c r="BE1001" s="974">
        <f t="shared" ca="1" si="1904"/>
        <v>0</v>
      </c>
      <c r="BF1001" s="49">
        <f t="shared" ca="1" si="1905"/>
        <v>0</v>
      </c>
      <c r="BG1001" s="913">
        <f t="shared" ca="1" si="1906"/>
        <v>0</v>
      </c>
      <c r="BH1001" s="974">
        <f t="shared" ca="1" si="1907"/>
        <v>0</v>
      </c>
    </row>
    <row r="1002" spans="1:60" s="38" customFormat="1" ht="14.5">
      <c r="A1002" s="990">
        <f t="shared" si="1848"/>
        <v>915</v>
      </c>
      <c r="B1002" s="990">
        <v>1</v>
      </c>
      <c r="C1002" s="990">
        <f t="shared" si="1849"/>
        <v>999</v>
      </c>
      <c r="E1002" s="1243">
        <v>1</v>
      </c>
      <c r="F1002" s="5"/>
      <c r="G1002" s="5"/>
      <c r="H1002" s="5"/>
      <c r="I1002" s="329"/>
      <c r="J1002" s="5"/>
      <c r="K1002" s="4"/>
      <c r="L1002" s="5"/>
      <c r="M1002" s="5"/>
      <c r="N1002" s="45"/>
      <c r="O1002" s="45" t="s">
        <v>125</v>
      </c>
      <c r="P1002" s="4"/>
      <c r="Q1002" s="1844" t="str">
        <f>CHOOSE(2, "6722000003921", "HC MS FE/TTOC Sales Total Direct sales rep.")</f>
        <v>HC MS FE/TTOC Sales Total Direct sales rep.</v>
      </c>
      <c r="R1002" s="2030">
        <v>0</v>
      </c>
      <c r="S1002" s="2030">
        <v>0</v>
      </c>
      <c r="T1002" s="2030">
        <v>0</v>
      </c>
      <c r="U1002" s="2030">
        <v>0</v>
      </c>
      <c r="V1002" s="2030">
        <v>0</v>
      </c>
      <c r="W1002" s="2030">
        <v>0</v>
      </c>
      <c r="X1002" s="2030">
        <v>0</v>
      </c>
      <c r="Y1002" s="2030">
        <v>0</v>
      </c>
      <c r="Z1002" s="2030">
        <v>0</v>
      </c>
      <c r="AA1002" s="2030">
        <v>0</v>
      </c>
      <c r="AB1002" s="2030">
        <v>0</v>
      </c>
      <c r="AC1002" s="2030">
        <v>0</v>
      </c>
      <c r="AD1002" s="1511">
        <f>T1002</f>
        <v>0</v>
      </c>
      <c r="AE1002" s="44">
        <f>W1002</f>
        <v>0</v>
      </c>
      <c r="AF1002" s="44">
        <f>Z1002</f>
        <v>0</v>
      </c>
      <c r="AG1002" s="44">
        <f>AC1002</f>
        <v>0</v>
      </c>
      <c r="AH1002" s="44">
        <f>AE1002</f>
        <v>0</v>
      </c>
      <c r="AI1002" s="44">
        <f>AG1002</f>
        <v>0</v>
      </c>
      <c r="AJ1002" s="44">
        <f>AI1002</f>
        <v>0</v>
      </c>
      <c r="AL1002" s="44">
        <f t="shared" ca="1" si="1887"/>
        <v>0</v>
      </c>
      <c r="AM1002" s="44">
        <f t="shared" ca="1" si="1888"/>
        <v>0</v>
      </c>
      <c r="AN1002" s="872">
        <f t="shared" ca="1" si="1889"/>
        <v>0</v>
      </c>
      <c r="AO1002" s="922">
        <f t="shared" ca="1" si="1890"/>
        <v>0</v>
      </c>
      <c r="AP1002" s="44">
        <f t="shared" ca="1" si="1891"/>
        <v>0</v>
      </c>
      <c r="AQ1002" s="872">
        <f t="shared" ca="1" si="1892"/>
        <v>0</v>
      </c>
      <c r="AR1002" s="922">
        <f t="shared" ca="1" si="1893"/>
        <v>0</v>
      </c>
      <c r="AT1002" s="44">
        <f t="shared" ca="1" si="1894"/>
        <v>0</v>
      </c>
      <c r="AU1002" s="44">
        <f t="shared" ca="1" si="1895"/>
        <v>0</v>
      </c>
      <c r="AV1002" s="872">
        <f t="shared" ca="1" si="1896"/>
        <v>0</v>
      </c>
      <c r="AW1002" s="922">
        <f t="shared" ca="1" si="1897"/>
        <v>0</v>
      </c>
      <c r="AX1002" s="44">
        <f t="shared" ca="1" si="1898"/>
        <v>0</v>
      </c>
      <c r="AY1002" s="872">
        <f t="shared" ca="1" si="1899"/>
        <v>0</v>
      </c>
      <c r="AZ1002" s="922">
        <f t="shared" ca="1" si="1900"/>
        <v>0</v>
      </c>
      <c r="BB1002" s="44">
        <f t="shared" ca="1" si="1901"/>
        <v>0</v>
      </c>
      <c r="BC1002" s="44">
        <f t="shared" ca="1" si="1902"/>
        <v>0</v>
      </c>
      <c r="BD1002" s="872">
        <f t="shared" ca="1" si="1903"/>
        <v>0</v>
      </c>
      <c r="BE1002" s="922">
        <f t="shared" ca="1" si="1904"/>
        <v>0</v>
      </c>
      <c r="BF1002" s="44">
        <f t="shared" ca="1" si="1905"/>
        <v>0</v>
      </c>
      <c r="BG1002" s="872">
        <f t="shared" ca="1" si="1906"/>
        <v>0</v>
      </c>
      <c r="BH1002" s="922">
        <f t="shared" ca="1" si="1907"/>
        <v>0</v>
      </c>
    </row>
    <row r="1003" spans="1:60" s="38" customFormat="1" ht="14.5">
      <c r="A1003" s="990">
        <f t="shared" si="1848"/>
        <v>916</v>
      </c>
      <c r="B1003" s="990">
        <v>1</v>
      </c>
      <c r="C1003" s="990">
        <f t="shared" si="1849"/>
        <v>1000</v>
      </c>
      <c r="E1003" s="1243">
        <v>1</v>
      </c>
      <c r="F1003" s="5"/>
      <c r="G1003" s="5"/>
      <c r="H1003" s="5"/>
      <c r="I1003" s="329"/>
      <c r="J1003" s="5"/>
      <c r="K1003" s="4"/>
      <c r="L1003" s="5"/>
      <c r="M1003" s="5"/>
      <c r="N1003" s="45"/>
      <c r="O1003" s="45" t="s">
        <v>124</v>
      </c>
      <c r="P1003" s="4"/>
      <c r="Q1003" s="1844" t="str">
        <f>CHOOSE(2, "6722000003922", "HC MS FE/TTOC Sales Total Direct sales engineers")</f>
        <v>HC MS FE/TTOC Sales Total Direct sales engineers</v>
      </c>
      <c r="R1003" s="2030">
        <v>0</v>
      </c>
      <c r="S1003" s="2030">
        <v>0</v>
      </c>
      <c r="T1003" s="2030">
        <v>0</v>
      </c>
      <c r="U1003" s="2030">
        <v>0</v>
      </c>
      <c r="V1003" s="2030">
        <v>0</v>
      </c>
      <c r="W1003" s="2030">
        <v>0</v>
      </c>
      <c r="X1003" s="2030">
        <v>0</v>
      </c>
      <c r="Y1003" s="2030">
        <v>0</v>
      </c>
      <c r="Z1003" s="2030">
        <v>0</v>
      </c>
      <c r="AA1003" s="2030">
        <v>0</v>
      </c>
      <c r="AB1003" s="2030">
        <v>0</v>
      </c>
      <c r="AC1003" s="2030">
        <v>0</v>
      </c>
      <c r="AD1003" s="1511">
        <f>T1003</f>
        <v>0</v>
      </c>
      <c r="AE1003" s="44">
        <f>W1003</f>
        <v>0</v>
      </c>
      <c r="AF1003" s="44">
        <f>Z1003</f>
        <v>0</v>
      </c>
      <c r="AG1003" s="44">
        <f>AC1003</f>
        <v>0</v>
      </c>
      <c r="AH1003" s="44">
        <f>AE1003</f>
        <v>0</v>
      </c>
      <c r="AI1003" s="44">
        <f>AG1003</f>
        <v>0</v>
      </c>
      <c r="AJ1003" s="44">
        <f>AI1003</f>
        <v>0</v>
      </c>
      <c r="AL1003" s="44">
        <f t="shared" ca="1" si="1887"/>
        <v>0</v>
      </c>
      <c r="AM1003" s="44">
        <f t="shared" ca="1" si="1888"/>
        <v>0</v>
      </c>
      <c r="AN1003" s="872">
        <f t="shared" ca="1" si="1889"/>
        <v>0</v>
      </c>
      <c r="AO1003" s="922">
        <f t="shared" ca="1" si="1890"/>
        <v>0</v>
      </c>
      <c r="AP1003" s="44">
        <f t="shared" ca="1" si="1891"/>
        <v>0</v>
      </c>
      <c r="AQ1003" s="872">
        <f t="shared" ca="1" si="1892"/>
        <v>0</v>
      </c>
      <c r="AR1003" s="922">
        <f t="shared" ca="1" si="1893"/>
        <v>0</v>
      </c>
      <c r="AT1003" s="44">
        <f t="shared" ca="1" si="1894"/>
        <v>0</v>
      </c>
      <c r="AU1003" s="44">
        <f t="shared" ca="1" si="1895"/>
        <v>0</v>
      </c>
      <c r="AV1003" s="872">
        <f t="shared" ca="1" si="1896"/>
        <v>0</v>
      </c>
      <c r="AW1003" s="922">
        <f t="shared" ca="1" si="1897"/>
        <v>0</v>
      </c>
      <c r="AX1003" s="44">
        <f t="shared" ca="1" si="1898"/>
        <v>0</v>
      </c>
      <c r="AY1003" s="872">
        <f t="shared" ca="1" si="1899"/>
        <v>0</v>
      </c>
      <c r="AZ1003" s="922">
        <f t="shared" ca="1" si="1900"/>
        <v>0</v>
      </c>
      <c r="BB1003" s="44">
        <f t="shared" ca="1" si="1901"/>
        <v>0</v>
      </c>
      <c r="BC1003" s="44">
        <f t="shared" ca="1" si="1902"/>
        <v>0</v>
      </c>
      <c r="BD1003" s="872">
        <f t="shared" ca="1" si="1903"/>
        <v>0</v>
      </c>
      <c r="BE1003" s="922">
        <f t="shared" ca="1" si="1904"/>
        <v>0</v>
      </c>
      <c r="BF1003" s="44">
        <f t="shared" ca="1" si="1905"/>
        <v>0</v>
      </c>
      <c r="BG1003" s="872">
        <f t="shared" ca="1" si="1906"/>
        <v>0</v>
      </c>
      <c r="BH1003" s="922">
        <f t="shared" ca="1" si="1907"/>
        <v>0</v>
      </c>
    </row>
    <row r="1004" spans="1:60" s="38" customFormat="1" ht="14.5">
      <c r="A1004" s="990">
        <f t="shared" si="1848"/>
        <v>917</v>
      </c>
      <c r="B1004" s="990">
        <v>1</v>
      </c>
      <c r="C1004" s="990">
        <f t="shared" si="1849"/>
        <v>1001</v>
      </c>
      <c r="E1004" s="1243">
        <v>1</v>
      </c>
      <c r="F1004" s="5"/>
      <c r="G1004" s="5"/>
      <c r="H1004" s="5"/>
      <c r="I1004" s="329"/>
      <c r="J1004" s="5"/>
      <c r="K1004" s="4"/>
      <c r="L1004" s="5"/>
      <c r="M1004" s="5"/>
      <c r="N1004" s="45"/>
      <c r="O1004" s="45" t="s">
        <v>123</v>
      </c>
      <c r="P1004" s="4"/>
      <c r="Q1004" s="1844" t="str">
        <f>CHOOSE(2, "6722000003923", "HC MS FE/TTOC Sales Total Dealer(Indirect) sales rep.")</f>
        <v>HC MS FE/TTOC Sales Total Dealer(Indirect) sales rep.</v>
      </c>
      <c r="R1004" s="2030">
        <v>0</v>
      </c>
      <c r="S1004" s="2030">
        <v>0</v>
      </c>
      <c r="T1004" s="2030">
        <v>0</v>
      </c>
      <c r="U1004" s="2030">
        <v>0</v>
      </c>
      <c r="V1004" s="2030">
        <v>0</v>
      </c>
      <c r="W1004" s="2030">
        <v>0</v>
      </c>
      <c r="X1004" s="2030">
        <v>0</v>
      </c>
      <c r="Y1004" s="2030">
        <v>0</v>
      </c>
      <c r="Z1004" s="2030">
        <v>0</v>
      </c>
      <c r="AA1004" s="2030">
        <v>0</v>
      </c>
      <c r="AB1004" s="2030">
        <v>0</v>
      </c>
      <c r="AC1004" s="2030">
        <v>0</v>
      </c>
      <c r="AD1004" s="1511">
        <f>T1004</f>
        <v>0</v>
      </c>
      <c r="AE1004" s="44">
        <f>W1004</f>
        <v>0</v>
      </c>
      <c r="AF1004" s="44">
        <f>Z1004</f>
        <v>0</v>
      </c>
      <c r="AG1004" s="44">
        <f>AC1004</f>
        <v>0</v>
      </c>
      <c r="AH1004" s="44">
        <f>AE1004</f>
        <v>0</v>
      </c>
      <c r="AI1004" s="44">
        <f>AG1004</f>
        <v>0</v>
      </c>
      <c r="AJ1004" s="44">
        <f>AI1004</f>
        <v>0</v>
      </c>
      <c r="AL1004" s="44">
        <f t="shared" ca="1" si="1887"/>
        <v>0</v>
      </c>
      <c r="AM1004" s="44">
        <f t="shared" ca="1" si="1888"/>
        <v>0</v>
      </c>
      <c r="AN1004" s="872">
        <f t="shared" ca="1" si="1889"/>
        <v>0</v>
      </c>
      <c r="AO1004" s="922">
        <f t="shared" ca="1" si="1890"/>
        <v>0</v>
      </c>
      <c r="AP1004" s="44">
        <f t="shared" ca="1" si="1891"/>
        <v>0</v>
      </c>
      <c r="AQ1004" s="872">
        <f t="shared" ca="1" si="1892"/>
        <v>0</v>
      </c>
      <c r="AR1004" s="922">
        <f t="shared" ca="1" si="1893"/>
        <v>0</v>
      </c>
      <c r="AT1004" s="44">
        <f t="shared" ca="1" si="1894"/>
        <v>0</v>
      </c>
      <c r="AU1004" s="44">
        <f t="shared" ca="1" si="1895"/>
        <v>0</v>
      </c>
      <c r="AV1004" s="872">
        <f t="shared" ca="1" si="1896"/>
        <v>0</v>
      </c>
      <c r="AW1004" s="922">
        <f t="shared" ca="1" si="1897"/>
        <v>0</v>
      </c>
      <c r="AX1004" s="44">
        <f t="shared" ca="1" si="1898"/>
        <v>0</v>
      </c>
      <c r="AY1004" s="872">
        <f t="shared" ca="1" si="1899"/>
        <v>0</v>
      </c>
      <c r="AZ1004" s="922">
        <f t="shared" ca="1" si="1900"/>
        <v>0</v>
      </c>
      <c r="BB1004" s="44">
        <f t="shared" ca="1" si="1901"/>
        <v>0</v>
      </c>
      <c r="BC1004" s="44">
        <f t="shared" ca="1" si="1902"/>
        <v>0</v>
      </c>
      <c r="BD1004" s="872">
        <f t="shared" ca="1" si="1903"/>
        <v>0</v>
      </c>
      <c r="BE1004" s="922">
        <f t="shared" ca="1" si="1904"/>
        <v>0</v>
      </c>
      <c r="BF1004" s="44">
        <f t="shared" ca="1" si="1905"/>
        <v>0</v>
      </c>
      <c r="BG1004" s="872">
        <f t="shared" ca="1" si="1906"/>
        <v>0</v>
      </c>
      <c r="BH1004" s="922">
        <f t="shared" ca="1" si="1907"/>
        <v>0</v>
      </c>
    </row>
    <row r="1005" spans="1:60" s="38" customFormat="1" ht="14.5">
      <c r="A1005" s="990">
        <f t="shared" si="1848"/>
        <v>918</v>
      </c>
      <c r="B1005" s="990">
        <v>1</v>
      </c>
      <c r="C1005" s="990">
        <f t="shared" si="1849"/>
        <v>1002</v>
      </c>
      <c r="E1005" s="1243">
        <v>1</v>
      </c>
      <c r="F1005" s="5"/>
      <c r="G1005" s="5"/>
      <c r="H1005" s="5"/>
      <c r="I1005" s="329"/>
      <c r="J1005" s="3"/>
      <c r="K1005" s="2"/>
      <c r="L1005" s="3"/>
      <c r="M1005" s="3"/>
      <c r="N1005" s="43"/>
      <c r="O1005" s="43" t="s">
        <v>120</v>
      </c>
      <c r="P1005" s="2"/>
      <c r="Q1005" s="1844" t="str">
        <f>CHOOSE(2, "6722000003924", "HC MS FE/TTOC Sales Total Administration/Others")</f>
        <v>HC MS FE/TTOC Sales Total Administration/Others</v>
      </c>
      <c r="R1005" s="2029">
        <v>0</v>
      </c>
      <c r="S1005" s="2029">
        <v>0</v>
      </c>
      <c r="T1005" s="2029">
        <v>0</v>
      </c>
      <c r="U1005" s="2029">
        <v>0</v>
      </c>
      <c r="V1005" s="2029">
        <v>0</v>
      </c>
      <c r="W1005" s="2029">
        <v>0</v>
      </c>
      <c r="X1005" s="2029">
        <v>0</v>
      </c>
      <c r="Y1005" s="2029">
        <v>0</v>
      </c>
      <c r="Z1005" s="2029">
        <v>0</v>
      </c>
      <c r="AA1005" s="2029">
        <v>0</v>
      </c>
      <c r="AB1005" s="2029">
        <v>0</v>
      </c>
      <c r="AC1005" s="2029">
        <v>0</v>
      </c>
      <c r="AD1005" s="1554">
        <f>T1005</f>
        <v>0</v>
      </c>
      <c r="AE1005" s="42">
        <f>W1005</f>
        <v>0</v>
      </c>
      <c r="AF1005" s="42">
        <f>Z1005</f>
        <v>0</v>
      </c>
      <c r="AG1005" s="42">
        <f>AC1005</f>
        <v>0</v>
      </c>
      <c r="AH1005" s="42">
        <f>AE1005</f>
        <v>0</v>
      </c>
      <c r="AI1005" s="42">
        <f>AG1005</f>
        <v>0</v>
      </c>
      <c r="AJ1005" s="42">
        <f>AI1005</f>
        <v>0</v>
      </c>
      <c r="AL1005" s="42">
        <f t="shared" ca="1" si="1887"/>
        <v>0</v>
      </c>
      <c r="AM1005" s="42">
        <f t="shared" ca="1" si="1888"/>
        <v>0</v>
      </c>
      <c r="AN1005" s="914">
        <f t="shared" ca="1" si="1889"/>
        <v>0</v>
      </c>
      <c r="AO1005" s="975">
        <f t="shared" ca="1" si="1890"/>
        <v>0</v>
      </c>
      <c r="AP1005" s="42">
        <f t="shared" ca="1" si="1891"/>
        <v>0</v>
      </c>
      <c r="AQ1005" s="914">
        <f t="shared" ca="1" si="1892"/>
        <v>0</v>
      </c>
      <c r="AR1005" s="975">
        <f t="shared" ca="1" si="1893"/>
        <v>0</v>
      </c>
      <c r="AT1005" s="42">
        <f t="shared" ca="1" si="1894"/>
        <v>0</v>
      </c>
      <c r="AU1005" s="42">
        <f t="shared" ca="1" si="1895"/>
        <v>0</v>
      </c>
      <c r="AV1005" s="914">
        <f t="shared" ca="1" si="1896"/>
        <v>0</v>
      </c>
      <c r="AW1005" s="975">
        <f t="shared" ca="1" si="1897"/>
        <v>0</v>
      </c>
      <c r="AX1005" s="42">
        <f t="shared" ca="1" si="1898"/>
        <v>0</v>
      </c>
      <c r="AY1005" s="914">
        <f t="shared" ca="1" si="1899"/>
        <v>0</v>
      </c>
      <c r="AZ1005" s="975">
        <f t="shared" ca="1" si="1900"/>
        <v>0</v>
      </c>
      <c r="BB1005" s="42">
        <f t="shared" ca="1" si="1901"/>
        <v>0</v>
      </c>
      <c r="BC1005" s="42">
        <f t="shared" ca="1" si="1902"/>
        <v>0</v>
      </c>
      <c r="BD1005" s="914">
        <f t="shared" ca="1" si="1903"/>
        <v>0</v>
      </c>
      <c r="BE1005" s="975">
        <f t="shared" ca="1" si="1904"/>
        <v>0</v>
      </c>
      <c r="BF1005" s="42">
        <f t="shared" ca="1" si="1905"/>
        <v>0</v>
      </c>
      <c r="BG1005" s="914">
        <f t="shared" ca="1" si="1906"/>
        <v>0</v>
      </c>
      <c r="BH1005" s="975">
        <f t="shared" ca="1" si="1907"/>
        <v>0</v>
      </c>
    </row>
    <row r="1006" spans="1:60" s="38" customFormat="1" ht="14.5">
      <c r="A1006" s="990">
        <f t="shared" si="1848"/>
        <v>919</v>
      </c>
      <c r="B1006" s="990">
        <v>1</v>
      </c>
      <c r="C1006" s="990">
        <f t="shared" si="1849"/>
        <v>1003</v>
      </c>
      <c r="D1006" s="1121" t="s">
        <v>887</v>
      </c>
      <c r="E1006" s="1243">
        <v>1</v>
      </c>
      <c r="F1006" s="5"/>
      <c r="G1006" s="5"/>
      <c r="H1006" s="5"/>
      <c r="I1006" s="329"/>
      <c r="J1006" s="52" t="s">
        <v>235</v>
      </c>
      <c r="K1006" s="51"/>
      <c r="L1006" s="52"/>
      <c r="M1006" s="52"/>
      <c r="N1006" s="51"/>
      <c r="O1006" s="51"/>
      <c r="P1006" s="51"/>
      <c r="Q1006" s="1851" t="str">
        <f>CHOOSE(2, "6722000003925", "HC MS FE/TTOC Service Total")</f>
        <v>HC MS FE/TTOC Service Total</v>
      </c>
      <c r="R1006" s="49">
        <f>SUM(R1007:R1011)</f>
        <v>0</v>
      </c>
      <c r="S1006" s="49">
        <f t="shared" ref="S1006:AC1006" si="1910">SUM(S1007:S1011)</f>
        <v>0</v>
      </c>
      <c r="T1006" s="49">
        <f t="shared" si="1910"/>
        <v>0</v>
      </c>
      <c r="U1006" s="49">
        <f t="shared" si="1910"/>
        <v>0</v>
      </c>
      <c r="V1006" s="49">
        <f t="shared" si="1910"/>
        <v>0</v>
      </c>
      <c r="W1006" s="49">
        <f t="shared" si="1910"/>
        <v>0</v>
      </c>
      <c r="X1006" s="49">
        <f t="shared" si="1910"/>
        <v>0</v>
      </c>
      <c r="Y1006" s="49">
        <f t="shared" si="1910"/>
        <v>0</v>
      </c>
      <c r="Z1006" s="49">
        <f t="shared" si="1910"/>
        <v>0</v>
      </c>
      <c r="AA1006" s="49">
        <f t="shared" si="1910"/>
        <v>0</v>
      </c>
      <c r="AB1006" s="49">
        <f t="shared" si="1910"/>
        <v>0</v>
      </c>
      <c r="AC1006" s="49">
        <f t="shared" si="1910"/>
        <v>0</v>
      </c>
      <c r="AD1006" s="1553">
        <f t="shared" ref="AD1006:AJ1006" si="1911">SUM(AD1007:AD1011)</f>
        <v>0</v>
      </c>
      <c r="AE1006" s="49">
        <f t="shared" si="1911"/>
        <v>0</v>
      </c>
      <c r="AF1006" s="49">
        <f t="shared" si="1911"/>
        <v>0</v>
      </c>
      <c r="AG1006" s="49">
        <f t="shared" si="1911"/>
        <v>0</v>
      </c>
      <c r="AH1006" s="49">
        <f t="shared" si="1911"/>
        <v>0</v>
      </c>
      <c r="AI1006" s="49">
        <f t="shared" si="1911"/>
        <v>0</v>
      </c>
      <c r="AJ1006" s="49">
        <f t="shared" si="1911"/>
        <v>0</v>
      </c>
      <c r="AL1006" s="49">
        <f t="shared" ca="1" si="1887"/>
        <v>0</v>
      </c>
      <c r="AM1006" s="49">
        <f t="shared" ca="1" si="1888"/>
        <v>0</v>
      </c>
      <c r="AN1006" s="913">
        <f t="shared" ca="1" si="1889"/>
        <v>0</v>
      </c>
      <c r="AO1006" s="974">
        <f t="shared" ca="1" si="1890"/>
        <v>0</v>
      </c>
      <c r="AP1006" s="49">
        <f t="shared" ca="1" si="1891"/>
        <v>0</v>
      </c>
      <c r="AQ1006" s="913">
        <f t="shared" ca="1" si="1892"/>
        <v>0</v>
      </c>
      <c r="AR1006" s="974">
        <f t="shared" ca="1" si="1893"/>
        <v>0</v>
      </c>
      <c r="AT1006" s="49">
        <f t="shared" ca="1" si="1894"/>
        <v>0</v>
      </c>
      <c r="AU1006" s="49">
        <f t="shared" ca="1" si="1895"/>
        <v>0</v>
      </c>
      <c r="AV1006" s="913">
        <f t="shared" ca="1" si="1896"/>
        <v>0</v>
      </c>
      <c r="AW1006" s="974">
        <f t="shared" ca="1" si="1897"/>
        <v>0</v>
      </c>
      <c r="AX1006" s="49">
        <f t="shared" ca="1" si="1898"/>
        <v>0</v>
      </c>
      <c r="AY1006" s="913">
        <f t="shared" ca="1" si="1899"/>
        <v>0</v>
      </c>
      <c r="AZ1006" s="974">
        <f t="shared" ca="1" si="1900"/>
        <v>0</v>
      </c>
      <c r="BB1006" s="49">
        <f t="shared" ca="1" si="1901"/>
        <v>0</v>
      </c>
      <c r="BC1006" s="49">
        <f t="shared" ca="1" si="1902"/>
        <v>0</v>
      </c>
      <c r="BD1006" s="913">
        <f t="shared" ca="1" si="1903"/>
        <v>0</v>
      </c>
      <c r="BE1006" s="974">
        <f t="shared" ca="1" si="1904"/>
        <v>0</v>
      </c>
      <c r="BF1006" s="49">
        <f t="shared" ca="1" si="1905"/>
        <v>0</v>
      </c>
      <c r="BG1006" s="913">
        <f t="shared" ca="1" si="1906"/>
        <v>0</v>
      </c>
      <c r="BH1006" s="974">
        <f t="shared" ca="1" si="1907"/>
        <v>0</v>
      </c>
    </row>
    <row r="1007" spans="1:60" s="38" customFormat="1" ht="14.5">
      <c r="A1007" s="990">
        <f t="shared" si="1848"/>
        <v>920</v>
      </c>
      <c r="B1007" s="990">
        <v>1</v>
      </c>
      <c r="C1007" s="990">
        <f t="shared" si="1849"/>
        <v>1004</v>
      </c>
      <c r="E1007" s="1243">
        <v>1</v>
      </c>
      <c r="F1007" s="5"/>
      <c r="G1007" s="5"/>
      <c r="H1007" s="5"/>
      <c r="I1007" s="329"/>
      <c r="J1007" s="5"/>
      <c r="K1007" s="4"/>
      <c r="L1007" s="5"/>
      <c r="M1007" s="5"/>
      <c r="N1007" s="45"/>
      <c r="O1007" s="45" t="s">
        <v>67</v>
      </c>
      <c r="P1007" s="4"/>
      <c r="Q1007" s="1844" t="str">
        <f>CHOOSE(2, "6722000003926", "HC MS FE/TTOC Service Total Onsite Engineer")</f>
        <v>HC MS FE/TTOC Service Total Onsite Engineer</v>
      </c>
      <c r="R1007" s="2030">
        <v>0</v>
      </c>
      <c r="S1007" s="2030">
        <v>0</v>
      </c>
      <c r="T1007" s="2030">
        <v>0</v>
      </c>
      <c r="U1007" s="2030">
        <v>0</v>
      </c>
      <c r="V1007" s="2030">
        <v>0</v>
      </c>
      <c r="W1007" s="2030">
        <v>0</v>
      </c>
      <c r="X1007" s="2030">
        <v>0</v>
      </c>
      <c r="Y1007" s="2030">
        <v>0</v>
      </c>
      <c r="Z1007" s="2030">
        <v>0</v>
      </c>
      <c r="AA1007" s="2030">
        <v>0</v>
      </c>
      <c r="AB1007" s="2030">
        <v>0</v>
      </c>
      <c r="AC1007" s="2030">
        <v>0</v>
      </c>
      <c r="AD1007" s="1511">
        <f>T1007</f>
        <v>0</v>
      </c>
      <c r="AE1007" s="44">
        <f>W1007</f>
        <v>0</v>
      </c>
      <c r="AF1007" s="44">
        <f>Z1007</f>
        <v>0</v>
      </c>
      <c r="AG1007" s="44">
        <f>AC1007</f>
        <v>0</v>
      </c>
      <c r="AH1007" s="44">
        <f>AE1007</f>
        <v>0</v>
      </c>
      <c r="AI1007" s="44">
        <f>AG1007</f>
        <v>0</v>
      </c>
      <c r="AJ1007" s="44">
        <f>AI1007</f>
        <v>0</v>
      </c>
      <c r="AL1007" s="44">
        <f t="shared" ca="1" si="1887"/>
        <v>0</v>
      </c>
      <c r="AM1007" s="44">
        <f t="shared" ca="1" si="1888"/>
        <v>0</v>
      </c>
      <c r="AN1007" s="872">
        <f t="shared" ca="1" si="1889"/>
        <v>0</v>
      </c>
      <c r="AO1007" s="922">
        <f t="shared" ca="1" si="1890"/>
        <v>0</v>
      </c>
      <c r="AP1007" s="44">
        <f t="shared" ca="1" si="1891"/>
        <v>0</v>
      </c>
      <c r="AQ1007" s="872">
        <f t="shared" ca="1" si="1892"/>
        <v>0</v>
      </c>
      <c r="AR1007" s="922">
        <f t="shared" ca="1" si="1893"/>
        <v>0</v>
      </c>
      <c r="AT1007" s="44">
        <f t="shared" ca="1" si="1894"/>
        <v>0</v>
      </c>
      <c r="AU1007" s="44">
        <f t="shared" ca="1" si="1895"/>
        <v>0</v>
      </c>
      <c r="AV1007" s="872">
        <f t="shared" ca="1" si="1896"/>
        <v>0</v>
      </c>
      <c r="AW1007" s="922">
        <f t="shared" ca="1" si="1897"/>
        <v>0</v>
      </c>
      <c r="AX1007" s="44">
        <f t="shared" ca="1" si="1898"/>
        <v>0</v>
      </c>
      <c r="AY1007" s="872">
        <f t="shared" ca="1" si="1899"/>
        <v>0</v>
      </c>
      <c r="AZ1007" s="922">
        <f t="shared" ca="1" si="1900"/>
        <v>0</v>
      </c>
      <c r="BB1007" s="44">
        <f t="shared" ca="1" si="1901"/>
        <v>0</v>
      </c>
      <c r="BC1007" s="44">
        <f t="shared" ca="1" si="1902"/>
        <v>0</v>
      </c>
      <c r="BD1007" s="872">
        <f t="shared" ca="1" si="1903"/>
        <v>0</v>
      </c>
      <c r="BE1007" s="922">
        <f t="shared" ca="1" si="1904"/>
        <v>0</v>
      </c>
      <c r="BF1007" s="44">
        <f t="shared" ca="1" si="1905"/>
        <v>0</v>
      </c>
      <c r="BG1007" s="872">
        <f t="shared" ca="1" si="1906"/>
        <v>0</v>
      </c>
      <c r="BH1007" s="922">
        <f t="shared" ca="1" si="1907"/>
        <v>0</v>
      </c>
    </row>
    <row r="1008" spans="1:60" s="38" customFormat="1" ht="14.5">
      <c r="A1008" s="990">
        <f t="shared" si="1848"/>
        <v>921</v>
      </c>
      <c r="B1008" s="990">
        <v>1</v>
      </c>
      <c r="C1008" s="990">
        <f t="shared" si="1849"/>
        <v>1005</v>
      </c>
      <c r="E1008" s="1243">
        <v>1</v>
      </c>
      <c r="F1008" s="5"/>
      <c r="G1008" s="5"/>
      <c r="H1008" s="5"/>
      <c r="I1008" s="329"/>
      <c r="J1008" s="5"/>
      <c r="K1008" s="4"/>
      <c r="L1008" s="5"/>
      <c r="M1008" s="5"/>
      <c r="N1008" s="45"/>
      <c r="O1008" s="45" t="s">
        <v>68</v>
      </c>
      <c r="P1008" s="4"/>
      <c r="Q1008" s="1844" t="str">
        <f>CHOOSE(2, "6722000003927", "HC MS FE/TTOC Service Total Remote Engineer")</f>
        <v>HC MS FE/TTOC Service Total Remote Engineer</v>
      </c>
      <c r="R1008" s="2030">
        <v>0</v>
      </c>
      <c r="S1008" s="2030">
        <v>0</v>
      </c>
      <c r="T1008" s="2030">
        <v>0</v>
      </c>
      <c r="U1008" s="2030">
        <v>0</v>
      </c>
      <c r="V1008" s="2030">
        <v>0</v>
      </c>
      <c r="W1008" s="2030">
        <v>0</v>
      </c>
      <c r="X1008" s="2030">
        <v>0</v>
      </c>
      <c r="Y1008" s="2030">
        <v>0</v>
      </c>
      <c r="Z1008" s="2030">
        <v>0</v>
      </c>
      <c r="AA1008" s="2030">
        <v>0</v>
      </c>
      <c r="AB1008" s="2030">
        <v>0</v>
      </c>
      <c r="AC1008" s="2030">
        <v>0</v>
      </c>
      <c r="AD1008" s="1511">
        <f>T1008</f>
        <v>0</v>
      </c>
      <c r="AE1008" s="44">
        <f>W1008</f>
        <v>0</v>
      </c>
      <c r="AF1008" s="44">
        <f>Z1008</f>
        <v>0</v>
      </c>
      <c r="AG1008" s="44">
        <f>AC1008</f>
        <v>0</v>
      </c>
      <c r="AH1008" s="44">
        <f>AE1008</f>
        <v>0</v>
      </c>
      <c r="AI1008" s="44">
        <f>AG1008</f>
        <v>0</v>
      </c>
      <c r="AJ1008" s="44">
        <f>AI1008</f>
        <v>0</v>
      </c>
      <c r="AL1008" s="44">
        <f t="shared" ca="1" si="1887"/>
        <v>0</v>
      </c>
      <c r="AM1008" s="44">
        <f t="shared" ca="1" si="1888"/>
        <v>0</v>
      </c>
      <c r="AN1008" s="872">
        <f t="shared" ca="1" si="1889"/>
        <v>0</v>
      </c>
      <c r="AO1008" s="922">
        <f t="shared" ca="1" si="1890"/>
        <v>0</v>
      </c>
      <c r="AP1008" s="44">
        <f t="shared" ca="1" si="1891"/>
        <v>0</v>
      </c>
      <c r="AQ1008" s="872">
        <f t="shared" ca="1" si="1892"/>
        <v>0</v>
      </c>
      <c r="AR1008" s="922">
        <f t="shared" ca="1" si="1893"/>
        <v>0</v>
      </c>
      <c r="AT1008" s="44">
        <f t="shared" ca="1" si="1894"/>
        <v>0</v>
      </c>
      <c r="AU1008" s="44">
        <f t="shared" ca="1" si="1895"/>
        <v>0</v>
      </c>
      <c r="AV1008" s="872">
        <f t="shared" ca="1" si="1896"/>
        <v>0</v>
      </c>
      <c r="AW1008" s="922">
        <f t="shared" ca="1" si="1897"/>
        <v>0</v>
      </c>
      <c r="AX1008" s="44">
        <f t="shared" ca="1" si="1898"/>
        <v>0</v>
      </c>
      <c r="AY1008" s="872">
        <f t="shared" ca="1" si="1899"/>
        <v>0</v>
      </c>
      <c r="AZ1008" s="922">
        <f t="shared" ca="1" si="1900"/>
        <v>0</v>
      </c>
      <c r="BB1008" s="44">
        <f t="shared" ca="1" si="1901"/>
        <v>0</v>
      </c>
      <c r="BC1008" s="44">
        <f t="shared" ca="1" si="1902"/>
        <v>0</v>
      </c>
      <c r="BD1008" s="872">
        <f t="shared" ca="1" si="1903"/>
        <v>0</v>
      </c>
      <c r="BE1008" s="922">
        <f t="shared" ca="1" si="1904"/>
        <v>0</v>
      </c>
      <c r="BF1008" s="44">
        <f t="shared" ca="1" si="1905"/>
        <v>0</v>
      </c>
      <c r="BG1008" s="872">
        <f t="shared" ca="1" si="1906"/>
        <v>0</v>
      </c>
      <c r="BH1008" s="922">
        <f t="shared" ca="1" si="1907"/>
        <v>0</v>
      </c>
    </row>
    <row r="1009" spans="1:60" s="38" customFormat="1" ht="14.5">
      <c r="A1009" s="990">
        <f t="shared" si="1848"/>
        <v>922</v>
      </c>
      <c r="B1009" s="990">
        <v>1</v>
      </c>
      <c r="C1009" s="990">
        <f t="shared" si="1849"/>
        <v>1006</v>
      </c>
      <c r="E1009" s="1243">
        <v>1</v>
      </c>
      <c r="F1009" s="5"/>
      <c r="G1009" s="5"/>
      <c r="H1009" s="5"/>
      <c r="I1009" s="329"/>
      <c r="J1009" s="5"/>
      <c r="K1009" s="4"/>
      <c r="L1009" s="5"/>
      <c r="M1009" s="5"/>
      <c r="N1009" s="45"/>
      <c r="O1009" s="45" t="s">
        <v>122</v>
      </c>
      <c r="P1009" s="4"/>
      <c r="Q1009" s="1844" t="str">
        <f>CHOOSE(2, "6722000003928", "HC MS FE/TTOC Service Total Technical support")</f>
        <v>HC MS FE/TTOC Service Total Technical support</v>
      </c>
      <c r="R1009" s="2030">
        <v>0</v>
      </c>
      <c r="S1009" s="2030">
        <v>0</v>
      </c>
      <c r="T1009" s="2030">
        <v>0</v>
      </c>
      <c r="U1009" s="2030">
        <v>0</v>
      </c>
      <c r="V1009" s="2030">
        <v>0</v>
      </c>
      <c r="W1009" s="2030">
        <v>0</v>
      </c>
      <c r="X1009" s="2030">
        <v>0</v>
      </c>
      <c r="Y1009" s="2030">
        <v>0</v>
      </c>
      <c r="Z1009" s="2030">
        <v>0</v>
      </c>
      <c r="AA1009" s="2030">
        <v>0</v>
      </c>
      <c r="AB1009" s="2030">
        <v>0</v>
      </c>
      <c r="AC1009" s="2030">
        <v>0</v>
      </c>
      <c r="AD1009" s="1511">
        <f>T1009</f>
        <v>0</v>
      </c>
      <c r="AE1009" s="44">
        <f>W1009</f>
        <v>0</v>
      </c>
      <c r="AF1009" s="44">
        <f>Z1009</f>
        <v>0</v>
      </c>
      <c r="AG1009" s="44">
        <f>AC1009</f>
        <v>0</v>
      </c>
      <c r="AH1009" s="44">
        <f>AE1009</f>
        <v>0</v>
      </c>
      <c r="AI1009" s="44">
        <f>AG1009</f>
        <v>0</v>
      </c>
      <c r="AJ1009" s="44">
        <f>AI1009</f>
        <v>0</v>
      </c>
      <c r="AL1009" s="44">
        <f t="shared" ca="1" si="1887"/>
        <v>0</v>
      </c>
      <c r="AM1009" s="44">
        <f t="shared" ca="1" si="1888"/>
        <v>0</v>
      </c>
      <c r="AN1009" s="872">
        <f t="shared" ca="1" si="1889"/>
        <v>0</v>
      </c>
      <c r="AO1009" s="922">
        <f t="shared" ca="1" si="1890"/>
        <v>0</v>
      </c>
      <c r="AP1009" s="44">
        <f t="shared" ca="1" si="1891"/>
        <v>0</v>
      </c>
      <c r="AQ1009" s="872">
        <f t="shared" ca="1" si="1892"/>
        <v>0</v>
      </c>
      <c r="AR1009" s="922">
        <f t="shared" ca="1" si="1893"/>
        <v>0</v>
      </c>
      <c r="AT1009" s="44">
        <f t="shared" ca="1" si="1894"/>
        <v>0</v>
      </c>
      <c r="AU1009" s="44">
        <f t="shared" ca="1" si="1895"/>
        <v>0</v>
      </c>
      <c r="AV1009" s="872">
        <f t="shared" ca="1" si="1896"/>
        <v>0</v>
      </c>
      <c r="AW1009" s="922">
        <f t="shared" ca="1" si="1897"/>
        <v>0</v>
      </c>
      <c r="AX1009" s="44">
        <f t="shared" ca="1" si="1898"/>
        <v>0</v>
      </c>
      <c r="AY1009" s="872">
        <f t="shared" ca="1" si="1899"/>
        <v>0</v>
      </c>
      <c r="AZ1009" s="922">
        <f t="shared" ca="1" si="1900"/>
        <v>0</v>
      </c>
      <c r="BB1009" s="44">
        <f t="shared" ca="1" si="1901"/>
        <v>0</v>
      </c>
      <c r="BC1009" s="44">
        <f t="shared" ca="1" si="1902"/>
        <v>0</v>
      </c>
      <c r="BD1009" s="872">
        <f t="shared" ca="1" si="1903"/>
        <v>0</v>
      </c>
      <c r="BE1009" s="922">
        <f t="shared" ca="1" si="1904"/>
        <v>0</v>
      </c>
      <c r="BF1009" s="44">
        <f t="shared" ca="1" si="1905"/>
        <v>0</v>
      </c>
      <c r="BG1009" s="872">
        <f t="shared" ca="1" si="1906"/>
        <v>0</v>
      </c>
      <c r="BH1009" s="922">
        <f t="shared" ca="1" si="1907"/>
        <v>0</v>
      </c>
    </row>
    <row r="1010" spans="1:60" s="38" customFormat="1" ht="14.5">
      <c r="A1010" s="990">
        <f t="shared" si="1848"/>
        <v>923</v>
      </c>
      <c r="B1010" s="990">
        <v>1</v>
      </c>
      <c r="C1010" s="990">
        <f t="shared" si="1849"/>
        <v>1007</v>
      </c>
      <c r="E1010" s="1243">
        <v>1</v>
      </c>
      <c r="F1010" s="5"/>
      <c r="G1010" s="5"/>
      <c r="H1010" s="5"/>
      <c r="I1010" s="329"/>
      <c r="J1010" s="5"/>
      <c r="K1010" s="4"/>
      <c r="L1010" s="5"/>
      <c r="M1010" s="5"/>
      <c r="N1010" s="45"/>
      <c r="O1010" s="45" t="s">
        <v>121</v>
      </c>
      <c r="P1010" s="4"/>
      <c r="Q1010" s="1844" t="str">
        <f>CHOOSE(2, "6722000003929", "HC MS FE/TTOC Service Total Dealer(Indirect) support")</f>
        <v>HC MS FE/TTOC Service Total Dealer(Indirect) support</v>
      </c>
      <c r="R1010" s="2030">
        <v>0</v>
      </c>
      <c r="S1010" s="2030">
        <v>0</v>
      </c>
      <c r="T1010" s="2030">
        <v>0</v>
      </c>
      <c r="U1010" s="2030">
        <v>0</v>
      </c>
      <c r="V1010" s="2030">
        <v>0</v>
      </c>
      <c r="W1010" s="2030">
        <v>0</v>
      </c>
      <c r="X1010" s="2030">
        <v>0</v>
      </c>
      <c r="Y1010" s="2030">
        <v>0</v>
      </c>
      <c r="Z1010" s="2030">
        <v>0</v>
      </c>
      <c r="AA1010" s="2030">
        <v>0</v>
      </c>
      <c r="AB1010" s="2030">
        <v>0</v>
      </c>
      <c r="AC1010" s="2030">
        <v>0</v>
      </c>
      <c r="AD1010" s="1511">
        <f>T1010</f>
        <v>0</v>
      </c>
      <c r="AE1010" s="44">
        <f>W1010</f>
        <v>0</v>
      </c>
      <c r="AF1010" s="44">
        <f>Z1010</f>
        <v>0</v>
      </c>
      <c r="AG1010" s="44">
        <f>AC1010</f>
        <v>0</v>
      </c>
      <c r="AH1010" s="44">
        <f>AE1010</f>
        <v>0</v>
      </c>
      <c r="AI1010" s="44">
        <f>AG1010</f>
        <v>0</v>
      </c>
      <c r="AJ1010" s="44">
        <f>AI1010</f>
        <v>0</v>
      </c>
      <c r="AL1010" s="44">
        <f t="shared" ca="1" si="1887"/>
        <v>0</v>
      </c>
      <c r="AM1010" s="44">
        <f t="shared" ca="1" si="1888"/>
        <v>0</v>
      </c>
      <c r="AN1010" s="872">
        <f t="shared" ca="1" si="1889"/>
        <v>0</v>
      </c>
      <c r="AO1010" s="922">
        <f t="shared" ca="1" si="1890"/>
        <v>0</v>
      </c>
      <c r="AP1010" s="44">
        <f t="shared" ca="1" si="1891"/>
        <v>0</v>
      </c>
      <c r="AQ1010" s="872">
        <f t="shared" ca="1" si="1892"/>
        <v>0</v>
      </c>
      <c r="AR1010" s="922">
        <f t="shared" ca="1" si="1893"/>
        <v>0</v>
      </c>
      <c r="AT1010" s="44">
        <f t="shared" ca="1" si="1894"/>
        <v>0</v>
      </c>
      <c r="AU1010" s="44">
        <f t="shared" ca="1" si="1895"/>
        <v>0</v>
      </c>
      <c r="AV1010" s="872">
        <f t="shared" ca="1" si="1896"/>
        <v>0</v>
      </c>
      <c r="AW1010" s="922">
        <f t="shared" ca="1" si="1897"/>
        <v>0</v>
      </c>
      <c r="AX1010" s="44">
        <f t="shared" ca="1" si="1898"/>
        <v>0</v>
      </c>
      <c r="AY1010" s="872">
        <f t="shared" ca="1" si="1899"/>
        <v>0</v>
      </c>
      <c r="AZ1010" s="922">
        <f t="shared" ca="1" si="1900"/>
        <v>0</v>
      </c>
      <c r="BB1010" s="44">
        <f t="shared" ca="1" si="1901"/>
        <v>0</v>
      </c>
      <c r="BC1010" s="44">
        <f t="shared" ca="1" si="1902"/>
        <v>0</v>
      </c>
      <c r="BD1010" s="872">
        <f t="shared" ca="1" si="1903"/>
        <v>0</v>
      </c>
      <c r="BE1010" s="922">
        <f t="shared" ca="1" si="1904"/>
        <v>0</v>
      </c>
      <c r="BF1010" s="44">
        <f t="shared" ca="1" si="1905"/>
        <v>0</v>
      </c>
      <c r="BG1010" s="872">
        <f t="shared" ca="1" si="1906"/>
        <v>0</v>
      </c>
      <c r="BH1010" s="922">
        <f t="shared" ca="1" si="1907"/>
        <v>0</v>
      </c>
    </row>
    <row r="1011" spans="1:60" s="38" customFormat="1" ht="14.5">
      <c r="A1011" s="990">
        <f t="shared" si="1848"/>
        <v>924</v>
      </c>
      <c r="B1011" s="990">
        <v>1</v>
      </c>
      <c r="C1011" s="990">
        <f t="shared" si="1849"/>
        <v>1008</v>
      </c>
      <c r="E1011" s="1243">
        <v>1</v>
      </c>
      <c r="F1011" s="5"/>
      <c r="G1011" s="5"/>
      <c r="H1011" s="5"/>
      <c r="I1011" s="329"/>
      <c r="J1011" s="5"/>
      <c r="K1011" s="4"/>
      <c r="L1011" s="5"/>
      <c r="M1011" s="5"/>
      <c r="N1011" s="45"/>
      <c r="O1011" s="45" t="s">
        <v>120</v>
      </c>
      <c r="P1011" s="4"/>
      <c r="Q1011" s="1844" t="str">
        <f>CHOOSE(2, "6722000003930", "HC MS FE/TTOC Service Total Administration/Others")</f>
        <v>HC MS FE/TTOC Service Total Administration/Others</v>
      </c>
      <c r="R1011" s="2030">
        <v>0</v>
      </c>
      <c r="S1011" s="2030">
        <v>0</v>
      </c>
      <c r="T1011" s="2030">
        <v>0</v>
      </c>
      <c r="U1011" s="2030">
        <v>0</v>
      </c>
      <c r="V1011" s="2030">
        <v>0</v>
      </c>
      <c r="W1011" s="2030">
        <v>0</v>
      </c>
      <c r="X1011" s="2030">
        <v>0</v>
      </c>
      <c r="Y1011" s="2030">
        <v>0</v>
      </c>
      <c r="Z1011" s="2030">
        <v>0</v>
      </c>
      <c r="AA1011" s="2030">
        <v>0</v>
      </c>
      <c r="AB1011" s="2030">
        <v>0</v>
      </c>
      <c r="AC1011" s="2030">
        <v>0</v>
      </c>
      <c r="AD1011" s="1511">
        <f>T1011</f>
        <v>0</v>
      </c>
      <c r="AE1011" s="44">
        <f>W1011</f>
        <v>0</v>
      </c>
      <c r="AF1011" s="44">
        <f>Z1011</f>
        <v>0</v>
      </c>
      <c r="AG1011" s="44">
        <f>AC1011</f>
        <v>0</v>
      </c>
      <c r="AH1011" s="44">
        <f>AE1011</f>
        <v>0</v>
      </c>
      <c r="AI1011" s="44">
        <f>AG1011</f>
        <v>0</v>
      </c>
      <c r="AJ1011" s="44">
        <f>AI1011</f>
        <v>0</v>
      </c>
      <c r="AL1011" s="44">
        <f t="shared" ca="1" si="1887"/>
        <v>0</v>
      </c>
      <c r="AM1011" s="44">
        <f t="shared" ca="1" si="1888"/>
        <v>0</v>
      </c>
      <c r="AN1011" s="872">
        <f t="shared" ca="1" si="1889"/>
        <v>0</v>
      </c>
      <c r="AO1011" s="922">
        <f t="shared" ca="1" si="1890"/>
        <v>0</v>
      </c>
      <c r="AP1011" s="44">
        <f t="shared" ca="1" si="1891"/>
        <v>0</v>
      </c>
      <c r="AQ1011" s="872">
        <f t="shared" ca="1" si="1892"/>
        <v>0</v>
      </c>
      <c r="AR1011" s="922">
        <f t="shared" ca="1" si="1893"/>
        <v>0</v>
      </c>
      <c r="AT1011" s="44">
        <f t="shared" ca="1" si="1894"/>
        <v>0</v>
      </c>
      <c r="AU1011" s="44">
        <f t="shared" ca="1" si="1895"/>
        <v>0</v>
      </c>
      <c r="AV1011" s="872">
        <f t="shared" ca="1" si="1896"/>
        <v>0</v>
      </c>
      <c r="AW1011" s="922">
        <f t="shared" ca="1" si="1897"/>
        <v>0</v>
      </c>
      <c r="AX1011" s="44">
        <f t="shared" ca="1" si="1898"/>
        <v>0</v>
      </c>
      <c r="AY1011" s="872">
        <f t="shared" ca="1" si="1899"/>
        <v>0</v>
      </c>
      <c r="AZ1011" s="922">
        <f t="shared" ca="1" si="1900"/>
        <v>0</v>
      </c>
      <c r="BB1011" s="44">
        <f t="shared" ca="1" si="1901"/>
        <v>0</v>
      </c>
      <c r="BC1011" s="44">
        <f t="shared" ca="1" si="1902"/>
        <v>0</v>
      </c>
      <c r="BD1011" s="872">
        <f t="shared" ca="1" si="1903"/>
        <v>0</v>
      </c>
      <c r="BE1011" s="922">
        <f t="shared" ca="1" si="1904"/>
        <v>0</v>
      </c>
      <c r="BF1011" s="44">
        <f t="shared" ca="1" si="1905"/>
        <v>0</v>
      </c>
      <c r="BG1011" s="872">
        <f t="shared" ca="1" si="1906"/>
        <v>0</v>
      </c>
      <c r="BH1011" s="922">
        <f t="shared" ca="1" si="1907"/>
        <v>0</v>
      </c>
    </row>
    <row r="1012" spans="1:60" s="38" customFormat="1" ht="14.5">
      <c r="A1012" s="990">
        <f t="shared" si="1848"/>
        <v>925</v>
      </c>
      <c r="B1012" s="990">
        <v>1</v>
      </c>
      <c r="C1012" s="990">
        <f t="shared" si="1849"/>
        <v>1009</v>
      </c>
      <c r="D1012" s="1121" t="s">
        <v>887</v>
      </c>
      <c r="E1012" s="1243">
        <v>1</v>
      </c>
      <c r="F1012" s="5"/>
      <c r="G1012" s="5"/>
      <c r="H1012" s="5"/>
      <c r="I1012" s="329"/>
      <c r="J1012" s="324" t="s">
        <v>297</v>
      </c>
      <c r="K1012" s="323"/>
      <c r="L1012" s="324"/>
      <c r="M1012" s="324"/>
      <c r="N1012" s="323"/>
      <c r="O1012" s="47"/>
      <c r="P1012" s="323"/>
      <c r="Q1012" s="1851" t="str">
        <f>CHOOSE(2, "6722000003931", "HC MS FE/TTOC Marketing Total")</f>
        <v>HC MS FE/TTOC Marketing Total</v>
      </c>
      <c r="R1012" s="325">
        <f>SUM(R1013:R1016)</f>
        <v>0</v>
      </c>
      <c r="S1012" s="325">
        <f t="shared" ref="S1012:AC1012" si="1912">SUM(S1013:S1016)</f>
        <v>0</v>
      </c>
      <c r="T1012" s="325">
        <f t="shared" si="1912"/>
        <v>0</v>
      </c>
      <c r="U1012" s="325">
        <f t="shared" si="1912"/>
        <v>0</v>
      </c>
      <c r="V1012" s="325">
        <f t="shared" si="1912"/>
        <v>0</v>
      </c>
      <c r="W1012" s="325">
        <f t="shared" si="1912"/>
        <v>0</v>
      </c>
      <c r="X1012" s="325">
        <f t="shared" si="1912"/>
        <v>0</v>
      </c>
      <c r="Y1012" s="325">
        <f t="shared" si="1912"/>
        <v>0</v>
      </c>
      <c r="Z1012" s="325">
        <f t="shared" si="1912"/>
        <v>0</v>
      </c>
      <c r="AA1012" s="325">
        <f t="shared" si="1912"/>
        <v>0</v>
      </c>
      <c r="AB1012" s="325">
        <f t="shared" si="1912"/>
        <v>0</v>
      </c>
      <c r="AC1012" s="325">
        <f t="shared" si="1912"/>
        <v>0</v>
      </c>
      <c r="AD1012" s="1278">
        <f t="shared" ref="AD1012:AJ1012" si="1913">SUM(AD1013:AD1016)</f>
        <v>0</v>
      </c>
      <c r="AE1012" s="325">
        <f t="shared" si="1913"/>
        <v>0</v>
      </c>
      <c r="AF1012" s="325">
        <f t="shared" si="1913"/>
        <v>0</v>
      </c>
      <c r="AG1012" s="325">
        <f t="shared" si="1913"/>
        <v>0</v>
      </c>
      <c r="AH1012" s="325">
        <f t="shared" si="1913"/>
        <v>0</v>
      </c>
      <c r="AI1012" s="325">
        <f t="shared" si="1913"/>
        <v>0</v>
      </c>
      <c r="AJ1012" s="325">
        <f t="shared" si="1913"/>
        <v>0</v>
      </c>
      <c r="AL1012" s="325">
        <f t="shared" ca="1" si="1887"/>
        <v>0</v>
      </c>
      <c r="AM1012" s="325">
        <f t="shared" ca="1" si="1888"/>
        <v>0</v>
      </c>
      <c r="AN1012" s="915">
        <f t="shared" ca="1" si="1889"/>
        <v>0</v>
      </c>
      <c r="AO1012" s="976">
        <f t="shared" ca="1" si="1890"/>
        <v>0</v>
      </c>
      <c r="AP1012" s="325">
        <f t="shared" ca="1" si="1891"/>
        <v>0</v>
      </c>
      <c r="AQ1012" s="915">
        <f t="shared" ca="1" si="1892"/>
        <v>0</v>
      </c>
      <c r="AR1012" s="976">
        <f t="shared" ca="1" si="1893"/>
        <v>0</v>
      </c>
      <c r="AT1012" s="325">
        <f t="shared" ca="1" si="1894"/>
        <v>0</v>
      </c>
      <c r="AU1012" s="325">
        <f t="shared" ca="1" si="1895"/>
        <v>0</v>
      </c>
      <c r="AV1012" s="915">
        <f t="shared" ca="1" si="1896"/>
        <v>0</v>
      </c>
      <c r="AW1012" s="976">
        <f t="shared" ca="1" si="1897"/>
        <v>0</v>
      </c>
      <c r="AX1012" s="325">
        <f t="shared" ca="1" si="1898"/>
        <v>0</v>
      </c>
      <c r="AY1012" s="915">
        <f t="shared" ca="1" si="1899"/>
        <v>0</v>
      </c>
      <c r="AZ1012" s="976">
        <f t="shared" ca="1" si="1900"/>
        <v>0</v>
      </c>
      <c r="BB1012" s="325">
        <f t="shared" ca="1" si="1901"/>
        <v>0</v>
      </c>
      <c r="BC1012" s="325">
        <f t="shared" ca="1" si="1902"/>
        <v>0</v>
      </c>
      <c r="BD1012" s="915">
        <f t="shared" ca="1" si="1903"/>
        <v>0</v>
      </c>
      <c r="BE1012" s="976">
        <f t="shared" ca="1" si="1904"/>
        <v>0</v>
      </c>
      <c r="BF1012" s="325">
        <f t="shared" ca="1" si="1905"/>
        <v>0</v>
      </c>
      <c r="BG1012" s="915">
        <f t="shared" ca="1" si="1906"/>
        <v>0</v>
      </c>
      <c r="BH1012" s="976">
        <f t="shared" ca="1" si="1907"/>
        <v>0</v>
      </c>
    </row>
    <row r="1013" spans="1:60" s="38" customFormat="1" ht="14.5">
      <c r="A1013" s="990">
        <f t="shared" si="1848"/>
        <v>926</v>
      </c>
      <c r="B1013" s="990">
        <v>1</v>
      </c>
      <c r="C1013" s="990">
        <f t="shared" si="1849"/>
        <v>1010</v>
      </c>
      <c r="E1013" s="1243">
        <v>1</v>
      </c>
      <c r="F1013" s="5"/>
      <c r="G1013" s="5"/>
      <c r="H1013" s="5"/>
      <c r="I1013" s="329"/>
      <c r="J1013" s="5"/>
      <c r="K1013" s="4"/>
      <c r="L1013" s="5"/>
      <c r="M1013" s="5"/>
      <c r="N1013" s="45"/>
      <c r="O1013" s="45" t="s">
        <v>323</v>
      </c>
      <c r="P1013" s="4"/>
      <c r="Q1013" s="1844" t="str">
        <f>CHOOSE(2, "6722000003932", "HC MS FE/TTOC Marketing Total Business Development")</f>
        <v>HC MS FE/TTOC Marketing Total Business Development</v>
      </c>
      <c r="R1013" s="2030">
        <v>0</v>
      </c>
      <c r="S1013" s="2030">
        <v>0</v>
      </c>
      <c r="T1013" s="2030">
        <v>0</v>
      </c>
      <c r="U1013" s="2030">
        <v>0</v>
      </c>
      <c r="V1013" s="2030">
        <v>0</v>
      </c>
      <c r="W1013" s="2030">
        <v>0</v>
      </c>
      <c r="X1013" s="2030">
        <v>0</v>
      </c>
      <c r="Y1013" s="2030">
        <v>0</v>
      </c>
      <c r="Z1013" s="2030">
        <v>0</v>
      </c>
      <c r="AA1013" s="2030">
        <v>0</v>
      </c>
      <c r="AB1013" s="2030">
        <v>0</v>
      </c>
      <c r="AC1013" s="2030">
        <v>0</v>
      </c>
      <c r="AD1013" s="1511">
        <f>T1013</f>
        <v>0</v>
      </c>
      <c r="AE1013" s="44">
        <f>W1013</f>
        <v>0</v>
      </c>
      <c r="AF1013" s="44">
        <f>Z1013</f>
        <v>0</v>
      </c>
      <c r="AG1013" s="44">
        <f>AC1013</f>
        <v>0</v>
      </c>
      <c r="AH1013" s="44">
        <f>AE1013</f>
        <v>0</v>
      </c>
      <c r="AI1013" s="44">
        <f>AG1013</f>
        <v>0</v>
      </c>
      <c r="AJ1013" s="44">
        <f>AI1013</f>
        <v>0</v>
      </c>
      <c r="AL1013" s="44">
        <f t="shared" ca="1" si="1887"/>
        <v>0</v>
      </c>
      <c r="AM1013" s="44">
        <f t="shared" ca="1" si="1888"/>
        <v>0</v>
      </c>
      <c r="AN1013" s="872">
        <f t="shared" ca="1" si="1889"/>
        <v>0</v>
      </c>
      <c r="AO1013" s="922">
        <f t="shared" ca="1" si="1890"/>
        <v>0</v>
      </c>
      <c r="AP1013" s="44">
        <f t="shared" ca="1" si="1891"/>
        <v>0</v>
      </c>
      <c r="AQ1013" s="872">
        <f t="shared" ca="1" si="1892"/>
        <v>0</v>
      </c>
      <c r="AR1013" s="922">
        <f t="shared" ca="1" si="1893"/>
        <v>0</v>
      </c>
      <c r="AT1013" s="44">
        <f t="shared" ca="1" si="1894"/>
        <v>0</v>
      </c>
      <c r="AU1013" s="44">
        <f t="shared" ca="1" si="1895"/>
        <v>0</v>
      </c>
      <c r="AV1013" s="872">
        <f t="shared" ca="1" si="1896"/>
        <v>0</v>
      </c>
      <c r="AW1013" s="922">
        <f t="shared" ca="1" si="1897"/>
        <v>0</v>
      </c>
      <c r="AX1013" s="44">
        <f t="shared" ca="1" si="1898"/>
        <v>0</v>
      </c>
      <c r="AY1013" s="872">
        <f t="shared" ca="1" si="1899"/>
        <v>0</v>
      </c>
      <c r="AZ1013" s="922">
        <f t="shared" ca="1" si="1900"/>
        <v>0</v>
      </c>
      <c r="BB1013" s="44">
        <f t="shared" ca="1" si="1901"/>
        <v>0</v>
      </c>
      <c r="BC1013" s="44">
        <f t="shared" ca="1" si="1902"/>
        <v>0</v>
      </c>
      <c r="BD1013" s="872">
        <f t="shared" ca="1" si="1903"/>
        <v>0</v>
      </c>
      <c r="BE1013" s="922">
        <f t="shared" ca="1" si="1904"/>
        <v>0</v>
      </c>
      <c r="BF1013" s="44">
        <f t="shared" ca="1" si="1905"/>
        <v>0</v>
      </c>
      <c r="BG1013" s="872">
        <f t="shared" ca="1" si="1906"/>
        <v>0</v>
      </c>
      <c r="BH1013" s="922">
        <f t="shared" ca="1" si="1907"/>
        <v>0</v>
      </c>
    </row>
    <row r="1014" spans="1:60" s="38" customFormat="1" ht="14.5">
      <c r="A1014" s="990">
        <f t="shared" si="1848"/>
        <v>927</v>
      </c>
      <c r="B1014" s="990">
        <v>1</v>
      </c>
      <c r="C1014" s="990">
        <f t="shared" si="1849"/>
        <v>1011</v>
      </c>
      <c r="E1014" s="1243">
        <v>1</v>
      </c>
      <c r="F1014" s="5"/>
      <c r="G1014" s="5"/>
      <c r="H1014" s="5"/>
      <c r="I1014" s="329"/>
      <c r="J1014" s="5"/>
      <c r="K1014" s="4"/>
      <c r="L1014" s="5"/>
      <c r="M1014" s="5"/>
      <c r="N1014" s="45"/>
      <c r="O1014" s="45" t="s">
        <v>324</v>
      </c>
      <c r="P1014" s="4"/>
      <c r="Q1014" s="1844" t="str">
        <f>CHOOSE(2, "6722000003933", "HC MS FE/TTOC Marketing Total Channel Marketing")</f>
        <v>HC MS FE/TTOC Marketing Total Channel Marketing</v>
      </c>
      <c r="R1014" s="2030">
        <v>0</v>
      </c>
      <c r="S1014" s="2030">
        <v>0</v>
      </c>
      <c r="T1014" s="2030">
        <v>0</v>
      </c>
      <c r="U1014" s="2030">
        <v>0</v>
      </c>
      <c r="V1014" s="2030">
        <v>0</v>
      </c>
      <c r="W1014" s="2030">
        <v>0</v>
      </c>
      <c r="X1014" s="2030">
        <v>0</v>
      </c>
      <c r="Y1014" s="2030">
        <v>0</v>
      </c>
      <c r="Z1014" s="2030">
        <v>0</v>
      </c>
      <c r="AA1014" s="2030">
        <v>0</v>
      </c>
      <c r="AB1014" s="2030">
        <v>0</v>
      </c>
      <c r="AC1014" s="2030">
        <v>0</v>
      </c>
      <c r="AD1014" s="1511">
        <f>T1014</f>
        <v>0</v>
      </c>
      <c r="AE1014" s="44">
        <f>W1014</f>
        <v>0</v>
      </c>
      <c r="AF1014" s="44">
        <f>Z1014</f>
        <v>0</v>
      </c>
      <c r="AG1014" s="44">
        <f>AC1014</f>
        <v>0</v>
      </c>
      <c r="AH1014" s="44">
        <f>AE1014</f>
        <v>0</v>
      </c>
      <c r="AI1014" s="44">
        <f>AG1014</f>
        <v>0</v>
      </c>
      <c r="AJ1014" s="44">
        <f>AI1014</f>
        <v>0</v>
      </c>
      <c r="AL1014" s="44">
        <f t="shared" ca="1" si="1887"/>
        <v>0</v>
      </c>
      <c r="AM1014" s="44">
        <f t="shared" ca="1" si="1888"/>
        <v>0</v>
      </c>
      <c r="AN1014" s="872">
        <f t="shared" ca="1" si="1889"/>
        <v>0</v>
      </c>
      <c r="AO1014" s="922">
        <f t="shared" ca="1" si="1890"/>
        <v>0</v>
      </c>
      <c r="AP1014" s="44">
        <f t="shared" ca="1" si="1891"/>
        <v>0</v>
      </c>
      <c r="AQ1014" s="872">
        <f t="shared" ca="1" si="1892"/>
        <v>0</v>
      </c>
      <c r="AR1014" s="922">
        <f t="shared" ca="1" si="1893"/>
        <v>0</v>
      </c>
      <c r="AT1014" s="44">
        <f t="shared" ca="1" si="1894"/>
        <v>0</v>
      </c>
      <c r="AU1014" s="44">
        <f t="shared" ca="1" si="1895"/>
        <v>0</v>
      </c>
      <c r="AV1014" s="872">
        <f t="shared" ca="1" si="1896"/>
        <v>0</v>
      </c>
      <c r="AW1014" s="922">
        <f t="shared" ca="1" si="1897"/>
        <v>0</v>
      </c>
      <c r="AX1014" s="44">
        <f t="shared" ca="1" si="1898"/>
        <v>0</v>
      </c>
      <c r="AY1014" s="872">
        <f t="shared" ca="1" si="1899"/>
        <v>0</v>
      </c>
      <c r="AZ1014" s="922">
        <f t="shared" ca="1" si="1900"/>
        <v>0</v>
      </c>
      <c r="BB1014" s="44">
        <f t="shared" ca="1" si="1901"/>
        <v>0</v>
      </c>
      <c r="BC1014" s="44">
        <f t="shared" ca="1" si="1902"/>
        <v>0</v>
      </c>
      <c r="BD1014" s="872">
        <f t="shared" ca="1" si="1903"/>
        <v>0</v>
      </c>
      <c r="BE1014" s="922">
        <f t="shared" ca="1" si="1904"/>
        <v>0</v>
      </c>
      <c r="BF1014" s="44">
        <f t="shared" ca="1" si="1905"/>
        <v>0</v>
      </c>
      <c r="BG1014" s="872">
        <f t="shared" ca="1" si="1906"/>
        <v>0</v>
      </c>
      <c r="BH1014" s="922">
        <f t="shared" ca="1" si="1907"/>
        <v>0</v>
      </c>
    </row>
    <row r="1015" spans="1:60" s="38" customFormat="1" ht="14.5">
      <c r="A1015" s="990">
        <f t="shared" si="1848"/>
        <v>928</v>
      </c>
      <c r="B1015" s="990">
        <v>1</v>
      </c>
      <c r="C1015" s="990">
        <f t="shared" si="1849"/>
        <v>1012</v>
      </c>
      <c r="E1015" s="1243">
        <v>1</v>
      </c>
      <c r="F1015" s="5"/>
      <c r="G1015" s="5"/>
      <c r="H1015" s="5"/>
      <c r="I1015" s="329"/>
      <c r="J1015" s="5"/>
      <c r="K1015" s="4"/>
      <c r="L1015" s="5"/>
      <c r="M1015" s="5"/>
      <c r="N1015" s="45"/>
      <c r="O1015" s="45" t="s">
        <v>325</v>
      </c>
      <c r="P1015" s="4"/>
      <c r="Q1015" s="1844" t="str">
        <f>CHOOSE(2, "6722000003934", "HC MS FE/TTOC Marketing Total Product Marketing")</f>
        <v>HC MS FE/TTOC Marketing Total Product Marketing</v>
      </c>
      <c r="R1015" s="2030">
        <v>0</v>
      </c>
      <c r="S1015" s="2030">
        <v>0</v>
      </c>
      <c r="T1015" s="2030">
        <v>0</v>
      </c>
      <c r="U1015" s="2030">
        <v>0</v>
      </c>
      <c r="V1015" s="2030">
        <v>0</v>
      </c>
      <c r="W1015" s="2030">
        <v>0</v>
      </c>
      <c r="X1015" s="2030">
        <v>0</v>
      </c>
      <c r="Y1015" s="2030">
        <v>0</v>
      </c>
      <c r="Z1015" s="2030">
        <v>0</v>
      </c>
      <c r="AA1015" s="2030">
        <v>0</v>
      </c>
      <c r="AB1015" s="2030">
        <v>0</v>
      </c>
      <c r="AC1015" s="2030">
        <v>0</v>
      </c>
      <c r="AD1015" s="1511">
        <f>T1015</f>
        <v>0</v>
      </c>
      <c r="AE1015" s="44">
        <f>W1015</f>
        <v>0</v>
      </c>
      <c r="AF1015" s="44">
        <f>Z1015</f>
        <v>0</v>
      </c>
      <c r="AG1015" s="44">
        <f>AC1015</f>
        <v>0</v>
      </c>
      <c r="AH1015" s="44">
        <f>AE1015</f>
        <v>0</v>
      </c>
      <c r="AI1015" s="44">
        <f>AG1015</f>
        <v>0</v>
      </c>
      <c r="AJ1015" s="44">
        <f>AI1015</f>
        <v>0</v>
      </c>
      <c r="AL1015" s="44">
        <f t="shared" ca="1" si="1887"/>
        <v>0</v>
      </c>
      <c r="AM1015" s="44">
        <f t="shared" ca="1" si="1888"/>
        <v>0</v>
      </c>
      <c r="AN1015" s="872">
        <f t="shared" ca="1" si="1889"/>
        <v>0</v>
      </c>
      <c r="AO1015" s="922">
        <f t="shared" ca="1" si="1890"/>
        <v>0</v>
      </c>
      <c r="AP1015" s="44">
        <f t="shared" ca="1" si="1891"/>
        <v>0</v>
      </c>
      <c r="AQ1015" s="872">
        <f t="shared" ca="1" si="1892"/>
        <v>0</v>
      </c>
      <c r="AR1015" s="922">
        <f t="shared" ca="1" si="1893"/>
        <v>0</v>
      </c>
      <c r="AT1015" s="44">
        <f t="shared" ca="1" si="1894"/>
        <v>0</v>
      </c>
      <c r="AU1015" s="44">
        <f t="shared" ca="1" si="1895"/>
        <v>0</v>
      </c>
      <c r="AV1015" s="872">
        <f t="shared" ca="1" si="1896"/>
        <v>0</v>
      </c>
      <c r="AW1015" s="922">
        <f t="shared" ca="1" si="1897"/>
        <v>0</v>
      </c>
      <c r="AX1015" s="44">
        <f t="shared" ca="1" si="1898"/>
        <v>0</v>
      </c>
      <c r="AY1015" s="872">
        <f t="shared" ca="1" si="1899"/>
        <v>0</v>
      </c>
      <c r="AZ1015" s="922">
        <f t="shared" ca="1" si="1900"/>
        <v>0</v>
      </c>
      <c r="BB1015" s="44">
        <f t="shared" ca="1" si="1901"/>
        <v>0</v>
      </c>
      <c r="BC1015" s="44">
        <f t="shared" ca="1" si="1902"/>
        <v>0</v>
      </c>
      <c r="BD1015" s="872">
        <f t="shared" ca="1" si="1903"/>
        <v>0</v>
      </c>
      <c r="BE1015" s="922">
        <f t="shared" ca="1" si="1904"/>
        <v>0</v>
      </c>
      <c r="BF1015" s="44">
        <f t="shared" ca="1" si="1905"/>
        <v>0</v>
      </c>
      <c r="BG1015" s="872">
        <f t="shared" ca="1" si="1906"/>
        <v>0</v>
      </c>
      <c r="BH1015" s="922">
        <f t="shared" ca="1" si="1907"/>
        <v>0</v>
      </c>
    </row>
    <row r="1016" spans="1:60" s="38" customFormat="1" ht="14.5">
      <c r="A1016" s="990">
        <f t="shared" si="1848"/>
        <v>929</v>
      </c>
      <c r="B1016" s="990">
        <v>1</v>
      </c>
      <c r="C1016" s="990">
        <f t="shared" si="1849"/>
        <v>1013</v>
      </c>
      <c r="E1016" s="1243">
        <v>1</v>
      </c>
      <c r="F1016" s="5"/>
      <c r="G1016" s="5"/>
      <c r="H1016" s="5"/>
      <c r="I1016" s="329"/>
      <c r="J1016" s="3"/>
      <c r="K1016" s="2"/>
      <c r="L1016" s="3"/>
      <c r="M1016" s="3"/>
      <c r="N1016" s="43"/>
      <c r="O1016" s="43" t="s">
        <v>326</v>
      </c>
      <c r="P1016" s="2"/>
      <c r="Q1016" s="1844" t="str">
        <f>CHOOSE(2, "6722000003935", "HC MS FE/TTOC Marketing Total MC / O")</f>
        <v>HC MS FE/TTOC Marketing Total MC / O</v>
      </c>
      <c r="R1016" s="2029">
        <v>0</v>
      </c>
      <c r="S1016" s="2029">
        <v>0</v>
      </c>
      <c r="T1016" s="2029">
        <v>0</v>
      </c>
      <c r="U1016" s="2029">
        <v>0</v>
      </c>
      <c r="V1016" s="2029">
        <v>0</v>
      </c>
      <c r="W1016" s="2029">
        <v>0</v>
      </c>
      <c r="X1016" s="2029">
        <v>0</v>
      </c>
      <c r="Y1016" s="2029">
        <v>0</v>
      </c>
      <c r="Z1016" s="2029">
        <v>0</v>
      </c>
      <c r="AA1016" s="2029">
        <v>0</v>
      </c>
      <c r="AB1016" s="2029">
        <v>0</v>
      </c>
      <c r="AC1016" s="2029">
        <v>0</v>
      </c>
      <c r="AD1016" s="1554">
        <f>T1016</f>
        <v>0</v>
      </c>
      <c r="AE1016" s="42">
        <f>W1016</f>
        <v>0</v>
      </c>
      <c r="AF1016" s="42">
        <f>Z1016</f>
        <v>0</v>
      </c>
      <c r="AG1016" s="42">
        <f>AC1016</f>
        <v>0</v>
      </c>
      <c r="AH1016" s="42">
        <f>AE1016</f>
        <v>0</v>
      </c>
      <c r="AI1016" s="42">
        <f>AG1016</f>
        <v>0</v>
      </c>
      <c r="AJ1016" s="42">
        <f>AI1016</f>
        <v>0</v>
      </c>
      <c r="AL1016" s="42">
        <f t="shared" ca="1" si="1887"/>
        <v>0</v>
      </c>
      <c r="AM1016" s="42">
        <f t="shared" ca="1" si="1888"/>
        <v>0</v>
      </c>
      <c r="AN1016" s="914">
        <f t="shared" ca="1" si="1889"/>
        <v>0</v>
      </c>
      <c r="AO1016" s="975">
        <f t="shared" ca="1" si="1890"/>
        <v>0</v>
      </c>
      <c r="AP1016" s="42">
        <f t="shared" ca="1" si="1891"/>
        <v>0</v>
      </c>
      <c r="AQ1016" s="914">
        <f t="shared" ca="1" si="1892"/>
        <v>0</v>
      </c>
      <c r="AR1016" s="975">
        <f t="shared" ca="1" si="1893"/>
        <v>0</v>
      </c>
      <c r="AT1016" s="42">
        <f t="shared" ca="1" si="1894"/>
        <v>0</v>
      </c>
      <c r="AU1016" s="42">
        <f t="shared" ca="1" si="1895"/>
        <v>0</v>
      </c>
      <c r="AV1016" s="914">
        <f t="shared" ca="1" si="1896"/>
        <v>0</v>
      </c>
      <c r="AW1016" s="975">
        <f t="shared" ca="1" si="1897"/>
        <v>0</v>
      </c>
      <c r="AX1016" s="42">
        <f t="shared" ca="1" si="1898"/>
        <v>0</v>
      </c>
      <c r="AY1016" s="914">
        <f t="shared" ca="1" si="1899"/>
        <v>0</v>
      </c>
      <c r="AZ1016" s="975">
        <f t="shared" ca="1" si="1900"/>
        <v>0</v>
      </c>
      <c r="BB1016" s="42">
        <f t="shared" ca="1" si="1901"/>
        <v>0</v>
      </c>
      <c r="BC1016" s="42">
        <f t="shared" ca="1" si="1902"/>
        <v>0</v>
      </c>
      <c r="BD1016" s="914">
        <f t="shared" ca="1" si="1903"/>
        <v>0</v>
      </c>
      <c r="BE1016" s="975">
        <f t="shared" ca="1" si="1904"/>
        <v>0</v>
      </c>
      <c r="BF1016" s="42">
        <f t="shared" ca="1" si="1905"/>
        <v>0</v>
      </c>
      <c r="BG1016" s="914">
        <f t="shared" ca="1" si="1906"/>
        <v>0</v>
      </c>
      <c r="BH1016" s="975">
        <f t="shared" ca="1" si="1907"/>
        <v>0</v>
      </c>
    </row>
    <row r="1017" spans="1:60" s="38" customFormat="1" ht="14.5">
      <c r="A1017" s="990">
        <f t="shared" si="1848"/>
        <v>930</v>
      </c>
      <c r="B1017" s="990">
        <v>1</v>
      </c>
      <c r="C1017" s="990">
        <f t="shared" si="1849"/>
        <v>1014</v>
      </c>
      <c r="D1017" s="1121" t="s">
        <v>887</v>
      </c>
      <c r="E1017" s="1243">
        <v>1</v>
      </c>
      <c r="F1017" s="5"/>
      <c r="G1017" s="5"/>
      <c r="H1017" s="5"/>
      <c r="I1017" s="329"/>
      <c r="J1017" s="52" t="s">
        <v>236</v>
      </c>
      <c r="K1017" s="51"/>
      <c r="L1017" s="52"/>
      <c r="M1017" s="52"/>
      <c r="N1017" s="51"/>
      <c r="O1017" s="51"/>
      <c r="P1017" s="51"/>
      <c r="Q1017" s="1851" t="str">
        <f>CHOOSE(2, "6722000003936", "HC MS FE/TTOC Administration Total")</f>
        <v>HC MS FE/TTOC Administration Total</v>
      </c>
      <c r="R1017" s="49">
        <f>SUM(R1018:R1022)</f>
        <v>0</v>
      </c>
      <c r="S1017" s="49">
        <f t="shared" ref="S1017:AC1017" si="1914">SUM(S1018:S1022)</f>
        <v>0</v>
      </c>
      <c r="T1017" s="49">
        <f t="shared" si="1914"/>
        <v>0</v>
      </c>
      <c r="U1017" s="49">
        <f t="shared" si="1914"/>
        <v>0</v>
      </c>
      <c r="V1017" s="49">
        <f t="shared" si="1914"/>
        <v>0</v>
      </c>
      <c r="W1017" s="49">
        <f t="shared" si="1914"/>
        <v>0</v>
      </c>
      <c r="X1017" s="49">
        <f t="shared" si="1914"/>
        <v>0</v>
      </c>
      <c r="Y1017" s="49">
        <f t="shared" si="1914"/>
        <v>0</v>
      </c>
      <c r="Z1017" s="49">
        <f t="shared" si="1914"/>
        <v>0</v>
      </c>
      <c r="AA1017" s="49">
        <f t="shared" si="1914"/>
        <v>0</v>
      </c>
      <c r="AB1017" s="49">
        <f t="shared" si="1914"/>
        <v>0</v>
      </c>
      <c r="AC1017" s="49">
        <f t="shared" si="1914"/>
        <v>0</v>
      </c>
      <c r="AD1017" s="1553">
        <f t="shared" ref="AD1017:AJ1017" si="1915">SUM(AD1018:AD1022)</f>
        <v>0</v>
      </c>
      <c r="AE1017" s="49">
        <f t="shared" si="1915"/>
        <v>0</v>
      </c>
      <c r="AF1017" s="49">
        <f t="shared" si="1915"/>
        <v>0</v>
      </c>
      <c r="AG1017" s="49">
        <f t="shared" si="1915"/>
        <v>0</v>
      </c>
      <c r="AH1017" s="49">
        <f t="shared" si="1915"/>
        <v>0</v>
      </c>
      <c r="AI1017" s="49">
        <f t="shared" si="1915"/>
        <v>0</v>
      </c>
      <c r="AJ1017" s="49">
        <f t="shared" si="1915"/>
        <v>0</v>
      </c>
      <c r="AL1017" s="49">
        <f t="shared" ca="1" si="1887"/>
        <v>0</v>
      </c>
      <c r="AM1017" s="49">
        <f t="shared" ca="1" si="1888"/>
        <v>0</v>
      </c>
      <c r="AN1017" s="913">
        <f t="shared" ca="1" si="1889"/>
        <v>0</v>
      </c>
      <c r="AO1017" s="974">
        <f t="shared" ca="1" si="1890"/>
        <v>0</v>
      </c>
      <c r="AP1017" s="49">
        <f t="shared" ca="1" si="1891"/>
        <v>0</v>
      </c>
      <c r="AQ1017" s="913">
        <f t="shared" ca="1" si="1892"/>
        <v>0</v>
      </c>
      <c r="AR1017" s="974">
        <f t="shared" ca="1" si="1893"/>
        <v>0</v>
      </c>
      <c r="AT1017" s="49">
        <f t="shared" ca="1" si="1894"/>
        <v>0</v>
      </c>
      <c r="AU1017" s="49">
        <f t="shared" ca="1" si="1895"/>
        <v>0</v>
      </c>
      <c r="AV1017" s="913">
        <f t="shared" ca="1" si="1896"/>
        <v>0</v>
      </c>
      <c r="AW1017" s="974">
        <f t="shared" ca="1" si="1897"/>
        <v>0</v>
      </c>
      <c r="AX1017" s="49">
        <f t="shared" ca="1" si="1898"/>
        <v>0</v>
      </c>
      <c r="AY1017" s="913">
        <f t="shared" ca="1" si="1899"/>
        <v>0</v>
      </c>
      <c r="AZ1017" s="974">
        <f t="shared" ca="1" si="1900"/>
        <v>0</v>
      </c>
      <c r="BB1017" s="49">
        <f t="shared" ca="1" si="1901"/>
        <v>0</v>
      </c>
      <c r="BC1017" s="49">
        <f t="shared" ca="1" si="1902"/>
        <v>0</v>
      </c>
      <c r="BD1017" s="913">
        <f t="shared" ca="1" si="1903"/>
        <v>0</v>
      </c>
      <c r="BE1017" s="974">
        <f t="shared" ca="1" si="1904"/>
        <v>0</v>
      </c>
      <c r="BF1017" s="49">
        <f t="shared" ca="1" si="1905"/>
        <v>0</v>
      </c>
      <c r="BG1017" s="913">
        <f t="shared" ca="1" si="1906"/>
        <v>0</v>
      </c>
      <c r="BH1017" s="974">
        <f t="shared" ca="1" si="1907"/>
        <v>0</v>
      </c>
    </row>
    <row r="1018" spans="1:60" s="38" customFormat="1" ht="14.5">
      <c r="A1018" s="990">
        <f t="shared" si="1848"/>
        <v>931</v>
      </c>
      <c r="B1018" s="990">
        <v>1</v>
      </c>
      <c r="C1018" s="990">
        <f t="shared" si="1849"/>
        <v>1015</v>
      </c>
      <c r="E1018" s="1243">
        <v>1</v>
      </c>
      <c r="F1018" s="5"/>
      <c r="G1018" s="5"/>
      <c r="H1018" s="5"/>
      <c r="I1018" s="329"/>
      <c r="J1018" s="5"/>
      <c r="K1018" s="4"/>
      <c r="L1018" s="5"/>
      <c r="M1018" s="4"/>
      <c r="N1018" s="45"/>
      <c r="O1018" s="45" t="s">
        <v>119</v>
      </c>
      <c r="P1018" s="45"/>
      <c r="Q1018" s="1844" t="str">
        <f>CHOOSE(2, "6722000003937", "HC MS FE/TTOC Administration Total IT")</f>
        <v>HC MS FE/TTOC Administration Total IT</v>
      </c>
      <c r="R1018" s="2030">
        <v>0</v>
      </c>
      <c r="S1018" s="2030">
        <v>0</v>
      </c>
      <c r="T1018" s="2030">
        <v>0</v>
      </c>
      <c r="U1018" s="2030">
        <v>0</v>
      </c>
      <c r="V1018" s="2030">
        <v>0</v>
      </c>
      <c r="W1018" s="2030">
        <v>0</v>
      </c>
      <c r="X1018" s="2030">
        <v>0</v>
      </c>
      <c r="Y1018" s="2030">
        <v>0</v>
      </c>
      <c r="Z1018" s="2030">
        <v>0</v>
      </c>
      <c r="AA1018" s="2030">
        <v>0</v>
      </c>
      <c r="AB1018" s="2030">
        <v>0</v>
      </c>
      <c r="AC1018" s="2030">
        <v>0</v>
      </c>
      <c r="AD1018" s="1511">
        <f>T1018</f>
        <v>0</v>
      </c>
      <c r="AE1018" s="44">
        <f>W1018</f>
        <v>0</v>
      </c>
      <c r="AF1018" s="44">
        <f>Z1018</f>
        <v>0</v>
      </c>
      <c r="AG1018" s="44">
        <f>AC1018</f>
        <v>0</v>
      </c>
      <c r="AH1018" s="44">
        <f>AE1018</f>
        <v>0</v>
      </c>
      <c r="AI1018" s="44">
        <f>AG1018</f>
        <v>0</v>
      </c>
      <c r="AJ1018" s="44">
        <f>AI1018</f>
        <v>0</v>
      </c>
      <c r="AL1018" s="44">
        <f t="shared" ca="1" si="1887"/>
        <v>0</v>
      </c>
      <c r="AM1018" s="44">
        <f t="shared" ca="1" si="1888"/>
        <v>0</v>
      </c>
      <c r="AN1018" s="872">
        <f t="shared" ca="1" si="1889"/>
        <v>0</v>
      </c>
      <c r="AO1018" s="922">
        <f t="shared" ca="1" si="1890"/>
        <v>0</v>
      </c>
      <c r="AP1018" s="44">
        <f t="shared" ca="1" si="1891"/>
        <v>0</v>
      </c>
      <c r="AQ1018" s="872">
        <f t="shared" ca="1" si="1892"/>
        <v>0</v>
      </c>
      <c r="AR1018" s="922">
        <f t="shared" ca="1" si="1893"/>
        <v>0</v>
      </c>
      <c r="AT1018" s="44">
        <f t="shared" ca="1" si="1894"/>
        <v>0</v>
      </c>
      <c r="AU1018" s="44">
        <f t="shared" ca="1" si="1895"/>
        <v>0</v>
      </c>
      <c r="AV1018" s="872">
        <f t="shared" ca="1" si="1896"/>
        <v>0</v>
      </c>
      <c r="AW1018" s="922">
        <f t="shared" ca="1" si="1897"/>
        <v>0</v>
      </c>
      <c r="AX1018" s="44">
        <f t="shared" ca="1" si="1898"/>
        <v>0</v>
      </c>
      <c r="AY1018" s="872">
        <f t="shared" ca="1" si="1899"/>
        <v>0</v>
      </c>
      <c r="AZ1018" s="922">
        <f t="shared" ca="1" si="1900"/>
        <v>0</v>
      </c>
      <c r="BB1018" s="44">
        <f t="shared" ca="1" si="1901"/>
        <v>0</v>
      </c>
      <c r="BC1018" s="44">
        <f t="shared" ca="1" si="1902"/>
        <v>0</v>
      </c>
      <c r="BD1018" s="872">
        <f t="shared" ca="1" si="1903"/>
        <v>0</v>
      </c>
      <c r="BE1018" s="922">
        <f t="shared" ca="1" si="1904"/>
        <v>0</v>
      </c>
      <c r="BF1018" s="44">
        <f t="shared" ca="1" si="1905"/>
        <v>0</v>
      </c>
      <c r="BG1018" s="872">
        <f t="shared" ca="1" si="1906"/>
        <v>0</v>
      </c>
      <c r="BH1018" s="922">
        <f t="shared" ca="1" si="1907"/>
        <v>0</v>
      </c>
    </row>
    <row r="1019" spans="1:60" s="38" customFormat="1" ht="14.5">
      <c r="A1019" s="990">
        <f t="shared" si="1848"/>
        <v>932</v>
      </c>
      <c r="B1019" s="990">
        <v>1</v>
      </c>
      <c r="C1019" s="990">
        <f t="shared" si="1849"/>
        <v>1016</v>
      </c>
      <c r="E1019" s="1243">
        <v>1</v>
      </c>
      <c r="F1019" s="5"/>
      <c r="G1019" s="5"/>
      <c r="H1019" s="5"/>
      <c r="I1019" s="329"/>
      <c r="J1019" s="5"/>
      <c r="K1019" s="4"/>
      <c r="L1019" s="5"/>
      <c r="M1019" s="4"/>
      <c r="N1019" s="45"/>
      <c r="O1019" s="45" t="s">
        <v>75</v>
      </c>
      <c r="P1019" s="45"/>
      <c r="Q1019" s="1844" t="str">
        <f>CHOOSE(2, "6722000003938", "HC MS FE/TTOC Administration Total Finance")</f>
        <v>HC MS FE/TTOC Administration Total Finance</v>
      </c>
      <c r="R1019" s="2030">
        <v>0</v>
      </c>
      <c r="S1019" s="2030">
        <v>0</v>
      </c>
      <c r="T1019" s="2030">
        <v>0</v>
      </c>
      <c r="U1019" s="2030">
        <v>0</v>
      </c>
      <c r="V1019" s="2030">
        <v>0</v>
      </c>
      <c r="W1019" s="2030">
        <v>0</v>
      </c>
      <c r="X1019" s="2030">
        <v>0</v>
      </c>
      <c r="Y1019" s="2030">
        <v>0</v>
      </c>
      <c r="Z1019" s="2030">
        <v>0</v>
      </c>
      <c r="AA1019" s="2030">
        <v>0</v>
      </c>
      <c r="AB1019" s="2030">
        <v>0</v>
      </c>
      <c r="AC1019" s="2030">
        <v>0</v>
      </c>
      <c r="AD1019" s="1511">
        <f>T1019</f>
        <v>0</v>
      </c>
      <c r="AE1019" s="44">
        <f>W1019</f>
        <v>0</v>
      </c>
      <c r="AF1019" s="44">
        <f>Z1019</f>
        <v>0</v>
      </c>
      <c r="AG1019" s="44">
        <f>AC1019</f>
        <v>0</v>
      </c>
      <c r="AH1019" s="44">
        <f>AE1019</f>
        <v>0</v>
      </c>
      <c r="AI1019" s="44">
        <f>AG1019</f>
        <v>0</v>
      </c>
      <c r="AJ1019" s="44">
        <f>AI1019</f>
        <v>0</v>
      </c>
      <c r="AL1019" s="44">
        <f t="shared" ca="1" si="1887"/>
        <v>0</v>
      </c>
      <c r="AM1019" s="44">
        <f t="shared" ca="1" si="1888"/>
        <v>0</v>
      </c>
      <c r="AN1019" s="872">
        <f t="shared" ca="1" si="1889"/>
        <v>0</v>
      </c>
      <c r="AO1019" s="922">
        <f t="shared" ca="1" si="1890"/>
        <v>0</v>
      </c>
      <c r="AP1019" s="44">
        <f t="shared" ca="1" si="1891"/>
        <v>0</v>
      </c>
      <c r="AQ1019" s="872">
        <f t="shared" ca="1" si="1892"/>
        <v>0</v>
      </c>
      <c r="AR1019" s="922">
        <f t="shared" ca="1" si="1893"/>
        <v>0</v>
      </c>
      <c r="AT1019" s="44">
        <f t="shared" ca="1" si="1894"/>
        <v>0</v>
      </c>
      <c r="AU1019" s="44">
        <f t="shared" ca="1" si="1895"/>
        <v>0</v>
      </c>
      <c r="AV1019" s="872">
        <f t="shared" ca="1" si="1896"/>
        <v>0</v>
      </c>
      <c r="AW1019" s="922">
        <f t="shared" ca="1" si="1897"/>
        <v>0</v>
      </c>
      <c r="AX1019" s="44">
        <f t="shared" ca="1" si="1898"/>
        <v>0</v>
      </c>
      <c r="AY1019" s="872">
        <f t="shared" ca="1" si="1899"/>
        <v>0</v>
      </c>
      <c r="AZ1019" s="922">
        <f t="shared" ca="1" si="1900"/>
        <v>0</v>
      </c>
      <c r="BB1019" s="44">
        <f t="shared" ca="1" si="1901"/>
        <v>0</v>
      </c>
      <c r="BC1019" s="44">
        <f t="shared" ca="1" si="1902"/>
        <v>0</v>
      </c>
      <c r="BD1019" s="872">
        <f t="shared" ca="1" si="1903"/>
        <v>0</v>
      </c>
      <c r="BE1019" s="922">
        <f t="shared" ca="1" si="1904"/>
        <v>0</v>
      </c>
      <c r="BF1019" s="44">
        <f t="shared" ca="1" si="1905"/>
        <v>0</v>
      </c>
      <c r="BG1019" s="872">
        <f t="shared" ca="1" si="1906"/>
        <v>0</v>
      </c>
      <c r="BH1019" s="922">
        <f t="shared" ca="1" si="1907"/>
        <v>0</v>
      </c>
    </row>
    <row r="1020" spans="1:60" s="38" customFormat="1" ht="14.5">
      <c r="A1020" s="990">
        <f t="shared" si="1848"/>
        <v>933</v>
      </c>
      <c r="B1020" s="990">
        <v>1</v>
      </c>
      <c r="C1020" s="990">
        <f t="shared" si="1849"/>
        <v>1017</v>
      </c>
      <c r="E1020" s="1243">
        <v>1</v>
      </c>
      <c r="F1020" s="5"/>
      <c r="G1020" s="5"/>
      <c r="H1020" s="5"/>
      <c r="I1020" s="329"/>
      <c r="J1020" s="5"/>
      <c r="K1020" s="4"/>
      <c r="L1020" s="5"/>
      <c r="M1020" s="4"/>
      <c r="N1020" s="45"/>
      <c r="O1020" s="45" t="s">
        <v>76</v>
      </c>
      <c r="P1020" s="45"/>
      <c r="Q1020" s="1844" t="str">
        <f>CHOOSE(2, "6722000003939", "HC MS FE/TTOC Administration Total HR")</f>
        <v>HC MS FE/TTOC Administration Total HR</v>
      </c>
      <c r="R1020" s="2030">
        <v>0</v>
      </c>
      <c r="S1020" s="2030">
        <v>0</v>
      </c>
      <c r="T1020" s="2030">
        <v>0</v>
      </c>
      <c r="U1020" s="2030">
        <v>0</v>
      </c>
      <c r="V1020" s="2030">
        <v>0</v>
      </c>
      <c r="W1020" s="2030">
        <v>0</v>
      </c>
      <c r="X1020" s="2030">
        <v>0</v>
      </c>
      <c r="Y1020" s="2030">
        <v>0</v>
      </c>
      <c r="Z1020" s="2030">
        <v>0</v>
      </c>
      <c r="AA1020" s="2030">
        <v>0</v>
      </c>
      <c r="AB1020" s="2030">
        <v>0</v>
      </c>
      <c r="AC1020" s="2030">
        <v>0</v>
      </c>
      <c r="AD1020" s="1511">
        <f>T1020</f>
        <v>0</v>
      </c>
      <c r="AE1020" s="44">
        <f>W1020</f>
        <v>0</v>
      </c>
      <c r="AF1020" s="44">
        <f>Z1020</f>
        <v>0</v>
      </c>
      <c r="AG1020" s="44">
        <f>AC1020</f>
        <v>0</v>
      </c>
      <c r="AH1020" s="44">
        <f>AE1020</f>
        <v>0</v>
      </c>
      <c r="AI1020" s="44">
        <f>AG1020</f>
        <v>0</v>
      </c>
      <c r="AJ1020" s="44">
        <f>AI1020</f>
        <v>0</v>
      </c>
      <c r="AL1020" s="44">
        <f t="shared" ca="1" si="1887"/>
        <v>0</v>
      </c>
      <c r="AM1020" s="44">
        <f t="shared" ca="1" si="1888"/>
        <v>0</v>
      </c>
      <c r="AN1020" s="872">
        <f t="shared" ca="1" si="1889"/>
        <v>0</v>
      </c>
      <c r="AO1020" s="922">
        <f t="shared" ca="1" si="1890"/>
        <v>0</v>
      </c>
      <c r="AP1020" s="44">
        <f t="shared" ca="1" si="1891"/>
        <v>0</v>
      </c>
      <c r="AQ1020" s="872">
        <f t="shared" ca="1" si="1892"/>
        <v>0</v>
      </c>
      <c r="AR1020" s="922">
        <f t="shared" ca="1" si="1893"/>
        <v>0</v>
      </c>
      <c r="AT1020" s="44">
        <f t="shared" ca="1" si="1894"/>
        <v>0</v>
      </c>
      <c r="AU1020" s="44">
        <f t="shared" ca="1" si="1895"/>
        <v>0</v>
      </c>
      <c r="AV1020" s="872">
        <f t="shared" ca="1" si="1896"/>
        <v>0</v>
      </c>
      <c r="AW1020" s="922">
        <f t="shared" ca="1" si="1897"/>
        <v>0</v>
      </c>
      <c r="AX1020" s="44">
        <f t="shared" ca="1" si="1898"/>
        <v>0</v>
      </c>
      <c r="AY1020" s="872">
        <f t="shared" ca="1" si="1899"/>
        <v>0</v>
      </c>
      <c r="AZ1020" s="922">
        <f t="shared" ca="1" si="1900"/>
        <v>0</v>
      </c>
      <c r="BB1020" s="44">
        <f t="shared" ca="1" si="1901"/>
        <v>0</v>
      </c>
      <c r="BC1020" s="44">
        <f t="shared" ca="1" si="1902"/>
        <v>0</v>
      </c>
      <c r="BD1020" s="872">
        <f t="shared" ca="1" si="1903"/>
        <v>0</v>
      </c>
      <c r="BE1020" s="922">
        <f t="shared" ca="1" si="1904"/>
        <v>0</v>
      </c>
      <c r="BF1020" s="44">
        <f t="shared" ca="1" si="1905"/>
        <v>0</v>
      </c>
      <c r="BG1020" s="872">
        <f t="shared" ca="1" si="1906"/>
        <v>0</v>
      </c>
      <c r="BH1020" s="922">
        <f t="shared" ca="1" si="1907"/>
        <v>0</v>
      </c>
    </row>
    <row r="1021" spans="1:60" s="38" customFormat="1" ht="14.5">
      <c r="A1021" s="990">
        <f t="shared" si="1848"/>
        <v>934</v>
      </c>
      <c r="B1021" s="990">
        <v>1</v>
      </c>
      <c r="C1021" s="990">
        <f t="shared" si="1849"/>
        <v>1018</v>
      </c>
      <c r="E1021" s="1243">
        <v>1</v>
      </c>
      <c r="F1021" s="5"/>
      <c r="G1021" s="5"/>
      <c r="H1021" s="5"/>
      <c r="I1021" s="329"/>
      <c r="J1021" s="5"/>
      <c r="K1021" s="4"/>
      <c r="L1021" s="5"/>
      <c r="M1021" s="4"/>
      <c r="N1021" s="45"/>
      <c r="O1021" s="45" t="s">
        <v>77</v>
      </c>
      <c r="P1021" s="45"/>
      <c r="Q1021" s="1844" t="str">
        <f>CHOOSE(2, "6722000003940", "HC MS FE/TTOC Administration Total Training")</f>
        <v>HC MS FE/TTOC Administration Total Training</v>
      </c>
      <c r="R1021" s="2030">
        <v>0</v>
      </c>
      <c r="S1021" s="2030">
        <v>0</v>
      </c>
      <c r="T1021" s="2030">
        <v>0</v>
      </c>
      <c r="U1021" s="2030">
        <v>0</v>
      </c>
      <c r="V1021" s="2030">
        <v>0</v>
      </c>
      <c r="W1021" s="2030">
        <v>0</v>
      </c>
      <c r="X1021" s="2030">
        <v>0</v>
      </c>
      <c r="Y1021" s="2030">
        <v>0</v>
      </c>
      <c r="Z1021" s="2030">
        <v>0</v>
      </c>
      <c r="AA1021" s="2030">
        <v>0</v>
      </c>
      <c r="AB1021" s="2030">
        <v>0</v>
      </c>
      <c r="AC1021" s="2030">
        <v>0</v>
      </c>
      <c r="AD1021" s="1511">
        <f>T1021</f>
        <v>0</v>
      </c>
      <c r="AE1021" s="44">
        <f>W1021</f>
        <v>0</v>
      </c>
      <c r="AF1021" s="44">
        <f>Z1021</f>
        <v>0</v>
      </c>
      <c r="AG1021" s="44">
        <f>AC1021</f>
        <v>0</v>
      </c>
      <c r="AH1021" s="44">
        <f>AE1021</f>
        <v>0</v>
      </c>
      <c r="AI1021" s="44">
        <f>AG1021</f>
        <v>0</v>
      </c>
      <c r="AJ1021" s="44">
        <f>AI1021</f>
        <v>0</v>
      </c>
      <c r="AL1021" s="44">
        <f t="shared" ca="1" si="1887"/>
        <v>0</v>
      </c>
      <c r="AM1021" s="44">
        <f t="shared" ca="1" si="1888"/>
        <v>0</v>
      </c>
      <c r="AN1021" s="872">
        <f t="shared" ca="1" si="1889"/>
        <v>0</v>
      </c>
      <c r="AO1021" s="922">
        <f t="shared" ca="1" si="1890"/>
        <v>0</v>
      </c>
      <c r="AP1021" s="44">
        <f t="shared" ca="1" si="1891"/>
        <v>0</v>
      </c>
      <c r="AQ1021" s="872">
        <f t="shared" ca="1" si="1892"/>
        <v>0</v>
      </c>
      <c r="AR1021" s="922">
        <f t="shared" ca="1" si="1893"/>
        <v>0</v>
      </c>
      <c r="AT1021" s="44">
        <f t="shared" ca="1" si="1894"/>
        <v>0</v>
      </c>
      <c r="AU1021" s="44">
        <f t="shared" ca="1" si="1895"/>
        <v>0</v>
      </c>
      <c r="AV1021" s="872">
        <f t="shared" ca="1" si="1896"/>
        <v>0</v>
      </c>
      <c r="AW1021" s="922">
        <f t="shared" ca="1" si="1897"/>
        <v>0</v>
      </c>
      <c r="AX1021" s="44">
        <f t="shared" ca="1" si="1898"/>
        <v>0</v>
      </c>
      <c r="AY1021" s="872">
        <f t="shared" ca="1" si="1899"/>
        <v>0</v>
      </c>
      <c r="AZ1021" s="922">
        <f t="shared" ca="1" si="1900"/>
        <v>0</v>
      </c>
      <c r="BB1021" s="44">
        <f t="shared" ca="1" si="1901"/>
        <v>0</v>
      </c>
      <c r="BC1021" s="44">
        <f t="shared" ca="1" si="1902"/>
        <v>0</v>
      </c>
      <c r="BD1021" s="872">
        <f t="shared" ca="1" si="1903"/>
        <v>0</v>
      </c>
      <c r="BE1021" s="922">
        <f t="shared" ca="1" si="1904"/>
        <v>0</v>
      </c>
      <c r="BF1021" s="44">
        <f t="shared" ca="1" si="1905"/>
        <v>0</v>
      </c>
      <c r="BG1021" s="872">
        <f t="shared" ca="1" si="1906"/>
        <v>0</v>
      </c>
      <c r="BH1021" s="922">
        <f t="shared" ca="1" si="1907"/>
        <v>0</v>
      </c>
    </row>
    <row r="1022" spans="1:60" s="38" customFormat="1" ht="14.5">
      <c r="A1022" s="990">
        <f t="shared" si="1848"/>
        <v>935</v>
      </c>
      <c r="B1022" s="990">
        <v>1</v>
      </c>
      <c r="C1022" s="990">
        <f t="shared" si="1849"/>
        <v>1019</v>
      </c>
      <c r="E1022" s="1243">
        <v>1</v>
      </c>
      <c r="F1022" s="5"/>
      <c r="G1022" s="5"/>
      <c r="H1022" s="5"/>
      <c r="I1022" s="329"/>
      <c r="J1022" s="5"/>
      <c r="K1022" s="4"/>
      <c r="L1022" s="5"/>
      <c r="M1022" s="4"/>
      <c r="N1022" s="45"/>
      <c r="O1022" s="45" t="s">
        <v>11</v>
      </c>
      <c r="P1022" s="45"/>
      <c r="Q1022" s="1844" t="str">
        <f>CHOOSE(2, "6722000003941", "HC MS FE/TTOC Administration Total Others")</f>
        <v>HC MS FE/TTOC Administration Total Others</v>
      </c>
      <c r="R1022" s="2030">
        <v>0</v>
      </c>
      <c r="S1022" s="2030">
        <v>0</v>
      </c>
      <c r="T1022" s="2030">
        <v>0</v>
      </c>
      <c r="U1022" s="2030">
        <v>0</v>
      </c>
      <c r="V1022" s="2030">
        <v>0</v>
      </c>
      <c r="W1022" s="2030">
        <v>0</v>
      </c>
      <c r="X1022" s="2030">
        <v>0</v>
      </c>
      <c r="Y1022" s="2030">
        <v>0</v>
      </c>
      <c r="Z1022" s="2030">
        <v>0</v>
      </c>
      <c r="AA1022" s="2030">
        <v>0</v>
      </c>
      <c r="AB1022" s="2030">
        <v>0</v>
      </c>
      <c r="AC1022" s="2030">
        <v>0</v>
      </c>
      <c r="AD1022" s="1511">
        <f>T1022</f>
        <v>0</v>
      </c>
      <c r="AE1022" s="44">
        <f>W1022</f>
        <v>0</v>
      </c>
      <c r="AF1022" s="44">
        <f>Z1022</f>
        <v>0</v>
      </c>
      <c r="AG1022" s="44">
        <f>AC1022</f>
        <v>0</v>
      </c>
      <c r="AH1022" s="44">
        <f>AE1022</f>
        <v>0</v>
      </c>
      <c r="AI1022" s="44">
        <f>AG1022</f>
        <v>0</v>
      </c>
      <c r="AJ1022" s="44">
        <f>AI1022</f>
        <v>0</v>
      </c>
      <c r="AL1022" s="44">
        <f t="shared" ca="1" si="1887"/>
        <v>0</v>
      </c>
      <c r="AM1022" s="44">
        <f t="shared" ca="1" si="1888"/>
        <v>0</v>
      </c>
      <c r="AN1022" s="872">
        <f t="shared" ca="1" si="1889"/>
        <v>0</v>
      </c>
      <c r="AO1022" s="922">
        <f t="shared" ca="1" si="1890"/>
        <v>0</v>
      </c>
      <c r="AP1022" s="44">
        <f t="shared" ca="1" si="1891"/>
        <v>0</v>
      </c>
      <c r="AQ1022" s="872">
        <f t="shared" ca="1" si="1892"/>
        <v>0</v>
      </c>
      <c r="AR1022" s="922">
        <f t="shared" ca="1" si="1893"/>
        <v>0</v>
      </c>
      <c r="AT1022" s="44">
        <f t="shared" ca="1" si="1894"/>
        <v>0</v>
      </c>
      <c r="AU1022" s="44">
        <f t="shared" ca="1" si="1895"/>
        <v>0</v>
      </c>
      <c r="AV1022" s="872">
        <f t="shared" ca="1" si="1896"/>
        <v>0</v>
      </c>
      <c r="AW1022" s="922">
        <f t="shared" ca="1" si="1897"/>
        <v>0</v>
      </c>
      <c r="AX1022" s="44">
        <f t="shared" ca="1" si="1898"/>
        <v>0</v>
      </c>
      <c r="AY1022" s="872">
        <f t="shared" ca="1" si="1899"/>
        <v>0</v>
      </c>
      <c r="AZ1022" s="922">
        <f t="shared" ca="1" si="1900"/>
        <v>0</v>
      </c>
      <c r="BB1022" s="44">
        <f t="shared" ca="1" si="1901"/>
        <v>0</v>
      </c>
      <c r="BC1022" s="44">
        <f t="shared" ca="1" si="1902"/>
        <v>0</v>
      </c>
      <c r="BD1022" s="872">
        <f t="shared" ca="1" si="1903"/>
        <v>0</v>
      </c>
      <c r="BE1022" s="922">
        <f t="shared" ca="1" si="1904"/>
        <v>0</v>
      </c>
      <c r="BF1022" s="44">
        <f t="shared" ca="1" si="1905"/>
        <v>0</v>
      </c>
      <c r="BG1022" s="872">
        <f t="shared" ca="1" si="1906"/>
        <v>0</v>
      </c>
      <c r="BH1022" s="922">
        <f t="shared" ca="1" si="1907"/>
        <v>0</v>
      </c>
    </row>
    <row r="1023" spans="1:60" s="38" customFormat="1" ht="14.5">
      <c r="A1023" s="990">
        <f t="shared" si="1848"/>
        <v>936</v>
      </c>
      <c r="B1023" s="990">
        <v>1</v>
      </c>
      <c r="C1023" s="990">
        <f t="shared" si="1849"/>
        <v>1020</v>
      </c>
      <c r="D1023" s="1121" t="s">
        <v>887</v>
      </c>
      <c r="E1023" s="1243">
        <v>1</v>
      </c>
      <c r="F1023" s="5"/>
      <c r="G1023" s="5"/>
      <c r="H1023" s="5"/>
      <c r="I1023" s="329"/>
      <c r="J1023" s="324" t="s">
        <v>233</v>
      </c>
      <c r="K1023" s="323"/>
      <c r="L1023" s="324"/>
      <c r="M1023" s="324"/>
      <c r="N1023" s="323"/>
      <c r="O1023" s="47"/>
      <c r="P1023" s="323"/>
      <c r="Q1023" s="1851" t="str">
        <f>CHOOSE(2, "6722000003942", "HC MS FE/TTOC Logistics Total")</f>
        <v>HC MS FE/TTOC Logistics Total</v>
      </c>
      <c r="R1023" s="325">
        <f>SUM(R1024:R1026)</f>
        <v>0</v>
      </c>
      <c r="S1023" s="325">
        <f t="shared" ref="S1023:AC1023" si="1916">SUM(S1024:S1026)</f>
        <v>0</v>
      </c>
      <c r="T1023" s="325">
        <f t="shared" si="1916"/>
        <v>0</v>
      </c>
      <c r="U1023" s="325">
        <f t="shared" si="1916"/>
        <v>0</v>
      </c>
      <c r="V1023" s="325">
        <f t="shared" si="1916"/>
        <v>0</v>
      </c>
      <c r="W1023" s="325">
        <f t="shared" si="1916"/>
        <v>0</v>
      </c>
      <c r="X1023" s="325">
        <f t="shared" si="1916"/>
        <v>0</v>
      </c>
      <c r="Y1023" s="325">
        <f t="shared" si="1916"/>
        <v>0</v>
      </c>
      <c r="Z1023" s="325">
        <f t="shared" si="1916"/>
        <v>0</v>
      </c>
      <c r="AA1023" s="325">
        <f t="shared" si="1916"/>
        <v>0</v>
      </c>
      <c r="AB1023" s="325">
        <f t="shared" si="1916"/>
        <v>0</v>
      </c>
      <c r="AC1023" s="325">
        <f t="shared" si="1916"/>
        <v>0</v>
      </c>
      <c r="AD1023" s="1278">
        <f t="shared" ref="AD1023:AJ1023" si="1917">SUM(AD1024:AD1026)</f>
        <v>0</v>
      </c>
      <c r="AE1023" s="325">
        <f t="shared" si="1917"/>
        <v>0</v>
      </c>
      <c r="AF1023" s="325">
        <f t="shared" si="1917"/>
        <v>0</v>
      </c>
      <c r="AG1023" s="325">
        <f t="shared" si="1917"/>
        <v>0</v>
      </c>
      <c r="AH1023" s="325">
        <f t="shared" si="1917"/>
        <v>0</v>
      </c>
      <c r="AI1023" s="325">
        <f t="shared" si="1917"/>
        <v>0</v>
      </c>
      <c r="AJ1023" s="325">
        <f t="shared" si="1917"/>
        <v>0</v>
      </c>
      <c r="AL1023" s="325">
        <f t="shared" ca="1" si="1887"/>
        <v>0</v>
      </c>
      <c r="AM1023" s="325">
        <f t="shared" ca="1" si="1888"/>
        <v>0</v>
      </c>
      <c r="AN1023" s="915">
        <f t="shared" ca="1" si="1889"/>
        <v>0</v>
      </c>
      <c r="AO1023" s="976">
        <f t="shared" ca="1" si="1890"/>
        <v>0</v>
      </c>
      <c r="AP1023" s="325">
        <f t="shared" ca="1" si="1891"/>
        <v>0</v>
      </c>
      <c r="AQ1023" s="915">
        <f t="shared" ca="1" si="1892"/>
        <v>0</v>
      </c>
      <c r="AR1023" s="976">
        <f t="shared" ca="1" si="1893"/>
        <v>0</v>
      </c>
      <c r="AT1023" s="325">
        <f t="shared" ca="1" si="1894"/>
        <v>0</v>
      </c>
      <c r="AU1023" s="325">
        <f t="shared" ca="1" si="1895"/>
        <v>0</v>
      </c>
      <c r="AV1023" s="915">
        <f t="shared" ca="1" si="1896"/>
        <v>0</v>
      </c>
      <c r="AW1023" s="976">
        <f t="shared" ca="1" si="1897"/>
        <v>0</v>
      </c>
      <c r="AX1023" s="325">
        <f t="shared" ca="1" si="1898"/>
        <v>0</v>
      </c>
      <c r="AY1023" s="915">
        <f t="shared" ca="1" si="1899"/>
        <v>0</v>
      </c>
      <c r="AZ1023" s="976">
        <f t="shared" ca="1" si="1900"/>
        <v>0</v>
      </c>
      <c r="BB1023" s="325">
        <f t="shared" ca="1" si="1901"/>
        <v>0</v>
      </c>
      <c r="BC1023" s="325">
        <f t="shared" ca="1" si="1902"/>
        <v>0</v>
      </c>
      <c r="BD1023" s="915">
        <f t="shared" ca="1" si="1903"/>
        <v>0</v>
      </c>
      <c r="BE1023" s="976">
        <f t="shared" ca="1" si="1904"/>
        <v>0</v>
      </c>
      <c r="BF1023" s="325">
        <f t="shared" ca="1" si="1905"/>
        <v>0</v>
      </c>
      <c r="BG1023" s="915">
        <f t="shared" ca="1" si="1906"/>
        <v>0</v>
      </c>
      <c r="BH1023" s="976">
        <f t="shared" ca="1" si="1907"/>
        <v>0</v>
      </c>
    </row>
    <row r="1024" spans="1:60" s="38" customFormat="1" ht="14.5">
      <c r="A1024" s="990">
        <f t="shared" si="1848"/>
        <v>937</v>
      </c>
      <c r="B1024" s="990">
        <v>1</v>
      </c>
      <c r="C1024" s="990">
        <f t="shared" si="1849"/>
        <v>1021</v>
      </c>
      <c r="E1024" s="1243">
        <v>1</v>
      </c>
      <c r="F1024" s="5"/>
      <c r="G1024" s="5"/>
      <c r="H1024" s="5"/>
      <c r="I1024" s="329"/>
      <c r="J1024" s="5"/>
      <c r="K1024" s="4"/>
      <c r="L1024" s="5"/>
      <c r="M1024" s="4"/>
      <c r="N1024" s="45"/>
      <c r="O1024" s="45" t="s">
        <v>79</v>
      </c>
      <c r="P1024" s="45"/>
      <c r="Q1024" s="1844" t="str">
        <f>CHOOSE(2, "6722000003943", "HC MS FE/TTOC Logistics Total Administration")</f>
        <v>HC MS FE/TTOC Logistics Total Administration</v>
      </c>
      <c r="R1024" s="2030">
        <v>0</v>
      </c>
      <c r="S1024" s="2030">
        <v>0</v>
      </c>
      <c r="T1024" s="2030">
        <v>0</v>
      </c>
      <c r="U1024" s="2030">
        <v>0</v>
      </c>
      <c r="V1024" s="2030">
        <v>0</v>
      </c>
      <c r="W1024" s="2030">
        <v>0</v>
      </c>
      <c r="X1024" s="2030">
        <v>0</v>
      </c>
      <c r="Y1024" s="2030">
        <v>0</v>
      </c>
      <c r="Z1024" s="2030">
        <v>0</v>
      </c>
      <c r="AA1024" s="2030">
        <v>0</v>
      </c>
      <c r="AB1024" s="2030">
        <v>0</v>
      </c>
      <c r="AC1024" s="2030">
        <v>0</v>
      </c>
      <c r="AD1024" s="1511">
        <f>T1024</f>
        <v>0</v>
      </c>
      <c r="AE1024" s="44">
        <f>W1024</f>
        <v>0</v>
      </c>
      <c r="AF1024" s="44">
        <f>Z1024</f>
        <v>0</v>
      </c>
      <c r="AG1024" s="44">
        <f>AC1024</f>
        <v>0</v>
      </c>
      <c r="AH1024" s="44">
        <f>AE1024</f>
        <v>0</v>
      </c>
      <c r="AI1024" s="44">
        <f>AG1024</f>
        <v>0</v>
      </c>
      <c r="AJ1024" s="44">
        <f>AI1024</f>
        <v>0</v>
      </c>
      <c r="AL1024" s="44">
        <f t="shared" ca="1" si="1887"/>
        <v>0</v>
      </c>
      <c r="AM1024" s="44">
        <f t="shared" ca="1" si="1888"/>
        <v>0</v>
      </c>
      <c r="AN1024" s="872">
        <f t="shared" ca="1" si="1889"/>
        <v>0</v>
      </c>
      <c r="AO1024" s="922">
        <f t="shared" ca="1" si="1890"/>
        <v>0</v>
      </c>
      <c r="AP1024" s="44">
        <f t="shared" ca="1" si="1891"/>
        <v>0</v>
      </c>
      <c r="AQ1024" s="872">
        <f t="shared" ca="1" si="1892"/>
        <v>0</v>
      </c>
      <c r="AR1024" s="922">
        <f t="shared" ca="1" si="1893"/>
        <v>0</v>
      </c>
      <c r="AT1024" s="44">
        <f t="shared" ca="1" si="1894"/>
        <v>0</v>
      </c>
      <c r="AU1024" s="44">
        <f t="shared" ca="1" si="1895"/>
        <v>0</v>
      </c>
      <c r="AV1024" s="872">
        <f t="shared" ca="1" si="1896"/>
        <v>0</v>
      </c>
      <c r="AW1024" s="922">
        <f t="shared" ca="1" si="1897"/>
        <v>0</v>
      </c>
      <c r="AX1024" s="44">
        <f t="shared" ca="1" si="1898"/>
        <v>0</v>
      </c>
      <c r="AY1024" s="872">
        <f t="shared" ca="1" si="1899"/>
        <v>0</v>
      </c>
      <c r="AZ1024" s="922">
        <f t="shared" ca="1" si="1900"/>
        <v>0</v>
      </c>
      <c r="BB1024" s="44">
        <f t="shared" ca="1" si="1901"/>
        <v>0</v>
      </c>
      <c r="BC1024" s="44">
        <f t="shared" ca="1" si="1902"/>
        <v>0</v>
      </c>
      <c r="BD1024" s="872">
        <f t="shared" ca="1" si="1903"/>
        <v>0</v>
      </c>
      <c r="BE1024" s="922">
        <f t="shared" ca="1" si="1904"/>
        <v>0</v>
      </c>
      <c r="BF1024" s="44">
        <f t="shared" ca="1" si="1905"/>
        <v>0</v>
      </c>
      <c r="BG1024" s="872">
        <f t="shared" ca="1" si="1906"/>
        <v>0</v>
      </c>
      <c r="BH1024" s="922">
        <f t="shared" ca="1" si="1907"/>
        <v>0</v>
      </c>
    </row>
    <row r="1025" spans="1:60" s="38" customFormat="1" ht="14.5">
      <c r="A1025" s="990">
        <f t="shared" ref="A1025:A1088" si="1918">A1024+1</f>
        <v>938</v>
      </c>
      <c r="B1025" s="990">
        <v>1</v>
      </c>
      <c r="C1025" s="990">
        <f t="shared" si="1849"/>
        <v>1022</v>
      </c>
      <c r="E1025" s="1243">
        <v>1</v>
      </c>
      <c r="F1025" s="5"/>
      <c r="G1025" s="5"/>
      <c r="H1025" s="5"/>
      <c r="I1025" s="329"/>
      <c r="J1025" s="5"/>
      <c r="K1025" s="4"/>
      <c r="L1025" s="5"/>
      <c r="M1025" s="4"/>
      <c r="N1025" s="45"/>
      <c r="O1025" s="45" t="s">
        <v>80</v>
      </c>
      <c r="P1025" s="45"/>
      <c r="Q1025" s="1844" t="str">
        <f>CHOOSE(2, "6722000003944", "HC MS FE/TTOC Logistics Total Warehouse")</f>
        <v>HC MS FE/TTOC Logistics Total Warehouse</v>
      </c>
      <c r="R1025" s="2030">
        <v>0</v>
      </c>
      <c r="S1025" s="2030">
        <v>0</v>
      </c>
      <c r="T1025" s="2030">
        <v>0</v>
      </c>
      <c r="U1025" s="2030">
        <v>0</v>
      </c>
      <c r="V1025" s="2030">
        <v>0</v>
      </c>
      <c r="W1025" s="2030">
        <v>0</v>
      </c>
      <c r="X1025" s="2030">
        <v>0</v>
      </c>
      <c r="Y1025" s="2030">
        <v>0</v>
      </c>
      <c r="Z1025" s="2030">
        <v>0</v>
      </c>
      <c r="AA1025" s="2030">
        <v>0</v>
      </c>
      <c r="AB1025" s="2030">
        <v>0</v>
      </c>
      <c r="AC1025" s="2030">
        <v>0</v>
      </c>
      <c r="AD1025" s="1511">
        <f>T1025</f>
        <v>0</v>
      </c>
      <c r="AE1025" s="44">
        <f>W1025</f>
        <v>0</v>
      </c>
      <c r="AF1025" s="44">
        <f>Z1025</f>
        <v>0</v>
      </c>
      <c r="AG1025" s="44">
        <f>AC1025</f>
        <v>0</v>
      </c>
      <c r="AH1025" s="44">
        <f>AE1025</f>
        <v>0</v>
      </c>
      <c r="AI1025" s="44">
        <f>AG1025</f>
        <v>0</v>
      </c>
      <c r="AJ1025" s="44">
        <f>AI1025</f>
        <v>0</v>
      </c>
      <c r="AL1025" s="44">
        <f t="shared" ca="1" si="1887"/>
        <v>0</v>
      </c>
      <c r="AM1025" s="44">
        <f t="shared" ca="1" si="1888"/>
        <v>0</v>
      </c>
      <c r="AN1025" s="872">
        <f t="shared" ca="1" si="1889"/>
        <v>0</v>
      </c>
      <c r="AO1025" s="922">
        <f t="shared" ca="1" si="1890"/>
        <v>0</v>
      </c>
      <c r="AP1025" s="44">
        <f t="shared" ca="1" si="1891"/>
        <v>0</v>
      </c>
      <c r="AQ1025" s="872">
        <f t="shared" ca="1" si="1892"/>
        <v>0</v>
      </c>
      <c r="AR1025" s="922">
        <f t="shared" ca="1" si="1893"/>
        <v>0</v>
      </c>
      <c r="AT1025" s="44">
        <f t="shared" ca="1" si="1894"/>
        <v>0</v>
      </c>
      <c r="AU1025" s="44">
        <f t="shared" ca="1" si="1895"/>
        <v>0</v>
      </c>
      <c r="AV1025" s="872">
        <f t="shared" ca="1" si="1896"/>
        <v>0</v>
      </c>
      <c r="AW1025" s="922">
        <f t="shared" ca="1" si="1897"/>
        <v>0</v>
      </c>
      <c r="AX1025" s="44">
        <f t="shared" ca="1" si="1898"/>
        <v>0</v>
      </c>
      <c r="AY1025" s="872">
        <f t="shared" ca="1" si="1899"/>
        <v>0</v>
      </c>
      <c r="AZ1025" s="922">
        <f t="shared" ca="1" si="1900"/>
        <v>0</v>
      </c>
      <c r="BB1025" s="44">
        <f t="shared" ca="1" si="1901"/>
        <v>0</v>
      </c>
      <c r="BC1025" s="44">
        <f t="shared" ca="1" si="1902"/>
        <v>0</v>
      </c>
      <c r="BD1025" s="872">
        <f t="shared" ca="1" si="1903"/>
        <v>0</v>
      </c>
      <c r="BE1025" s="922">
        <f t="shared" ca="1" si="1904"/>
        <v>0</v>
      </c>
      <c r="BF1025" s="44">
        <f t="shared" ca="1" si="1905"/>
        <v>0</v>
      </c>
      <c r="BG1025" s="872">
        <f t="shared" ca="1" si="1906"/>
        <v>0</v>
      </c>
      <c r="BH1025" s="922">
        <f t="shared" ca="1" si="1907"/>
        <v>0</v>
      </c>
    </row>
    <row r="1026" spans="1:60" s="38" customFormat="1" ht="14.5">
      <c r="A1026" s="990">
        <f t="shared" si="1918"/>
        <v>939</v>
      </c>
      <c r="B1026" s="990">
        <v>1</v>
      </c>
      <c r="C1026" s="990">
        <f t="shared" ref="C1026:C1089" si="1919">ROW()-3</f>
        <v>1023</v>
      </c>
      <c r="E1026" s="1243">
        <v>1</v>
      </c>
      <c r="F1026" s="5"/>
      <c r="G1026" s="5"/>
      <c r="H1026" s="5"/>
      <c r="I1026" s="330"/>
      <c r="J1026" s="3"/>
      <c r="K1026" s="2"/>
      <c r="L1026" s="3"/>
      <c r="M1026" s="2"/>
      <c r="N1026" s="43"/>
      <c r="O1026" s="43" t="s">
        <v>81</v>
      </c>
      <c r="P1026" s="43"/>
      <c r="Q1026" s="1844" t="str">
        <f>CHOOSE(2, "6722000003945", "HC MS FE/TTOC Logistics Total Workshop")</f>
        <v>HC MS FE/TTOC Logistics Total Workshop</v>
      </c>
      <c r="R1026" s="2029">
        <v>0</v>
      </c>
      <c r="S1026" s="2029">
        <v>0</v>
      </c>
      <c r="T1026" s="2029">
        <v>0</v>
      </c>
      <c r="U1026" s="2029">
        <v>0</v>
      </c>
      <c r="V1026" s="2029">
        <v>0</v>
      </c>
      <c r="W1026" s="2029">
        <v>0</v>
      </c>
      <c r="X1026" s="2029">
        <v>0</v>
      </c>
      <c r="Y1026" s="2029">
        <v>0</v>
      </c>
      <c r="Z1026" s="2029">
        <v>0</v>
      </c>
      <c r="AA1026" s="2029">
        <v>0</v>
      </c>
      <c r="AB1026" s="2029">
        <v>0</v>
      </c>
      <c r="AC1026" s="2029">
        <v>0</v>
      </c>
      <c r="AD1026" s="1554">
        <f>T1026</f>
        <v>0</v>
      </c>
      <c r="AE1026" s="42">
        <f>W1026</f>
        <v>0</v>
      </c>
      <c r="AF1026" s="42">
        <f>Z1026</f>
        <v>0</v>
      </c>
      <c r="AG1026" s="42">
        <f>AC1026</f>
        <v>0</v>
      </c>
      <c r="AH1026" s="42">
        <f>AE1026</f>
        <v>0</v>
      </c>
      <c r="AI1026" s="42">
        <f>AG1026</f>
        <v>0</v>
      </c>
      <c r="AJ1026" s="42">
        <f>AI1026</f>
        <v>0</v>
      </c>
      <c r="AL1026" s="42">
        <f t="shared" ca="1" si="1887"/>
        <v>0</v>
      </c>
      <c r="AM1026" s="42">
        <f t="shared" ca="1" si="1888"/>
        <v>0</v>
      </c>
      <c r="AN1026" s="914">
        <f t="shared" ca="1" si="1889"/>
        <v>0</v>
      </c>
      <c r="AO1026" s="975">
        <f t="shared" ca="1" si="1890"/>
        <v>0</v>
      </c>
      <c r="AP1026" s="42">
        <f t="shared" ca="1" si="1891"/>
        <v>0</v>
      </c>
      <c r="AQ1026" s="914">
        <f t="shared" ca="1" si="1892"/>
        <v>0</v>
      </c>
      <c r="AR1026" s="975">
        <f t="shared" ca="1" si="1893"/>
        <v>0</v>
      </c>
      <c r="AT1026" s="42">
        <f t="shared" ca="1" si="1894"/>
        <v>0</v>
      </c>
      <c r="AU1026" s="42">
        <f t="shared" ca="1" si="1895"/>
        <v>0</v>
      </c>
      <c r="AV1026" s="914">
        <f t="shared" ca="1" si="1896"/>
        <v>0</v>
      </c>
      <c r="AW1026" s="975">
        <f t="shared" ca="1" si="1897"/>
        <v>0</v>
      </c>
      <c r="AX1026" s="42">
        <f t="shared" ca="1" si="1898"/>
        <v>0</v>
      </c>
      <c r="AY1026" s="914">
        <f t="shared" ca="1" si="1899"/>
        <v>0</v>
      </c>
      <c r="AZ1026" s="975">
        <f t="shared" ca="1" si="1900"/>
        <v>0</v>
      </c>
      <c r="BB1026" s="42">
        <f t="shared" ca="1" si="1901"/>
        <v>0</v>
      </c>
      <c r="BC1026" s="42">
        <f t="shared" ca="1" si="1902"/>
        <v>0</v>
      </c>
      <c r="BD1026" s="914">
        <f t="shared" ca="1" si="1903"/>
        <v>0</v>
      </c>
      <c r="BE1026" s="975">
        <f t="shared" ca="1" si="1904"/>
        <v>0</v>
      </c>
      <c r="BF1026" s="42">
        <f t="shared" ca="1" si="1905"/>
        <v>0</v>
      </c>
      <c r="BG1026" s="914">
        <f t="shared" ca="1" si="1906"/>
        <v>0</v>
      </c>
      <c r="BH1026" s="975">
        <f t="shared" ca="1" si="1907"/>
        <v>0</v>
      </c>
    </row>
    <row r="1027" spans="1:60" s="38" customFormat="1" ht="14.5">
      <c r="A1027" s="990">
        <f t="shared" si="1918"/>
        <v>940</v>
      </c>
      <c r="B1027" s="990">
        <v>1</v>
      </c>
      <c r="C1027" s="990">
        <f t="shared" si="1919"/>
        <v>1024</v>
      </c>
      <c r="D1027" s="1121" t="s">
        <v>887</v>
      </c>
      <c r="E1027" s="1243">
        <v>1</v>
      </c>
      <c r="F1027" s="5"/>
      <c r="G1027" s="5"/>
      <c r="H1027" s="5"/>
      <c r="I1027" s="318" t="s">
        <v>296</v>
      </c>
      <c r="J1027" s="319"/>
      <c r="K1027" s="320"/>
      <c r="L1027" s="320"/>
      <c r="M1027" s="319"/>
      <c r="N1027" s="319"/>
      <c r="O1027" s="319"/>
      <c r="P1027" s="319"/>
      <c r="Q1027" s="1855" t="str">
        <f>CHOOSE(2, "6722000003946", "HC MS Semi-Full-Time/Part-Time Employees /Contractors")</f>
        <v>HC MS Semi-Full-Time/Part-Time Employees /Contractors</v>
      </c>
      <c r="R1027" s="2050">
        <v>0</v>
      </c>
      <c r="S1027" s="2050">
        <v>0</v>
      </c>
      <c r="T1027" s="2050">
        <v>0</v>
      </c>
      <c r="U1027" s="2050">
        <v>0</v>
      </c>
      <c r="V1027" s="2050">
        <v>0</v>
      </c>
      <c r="W1027" s="2050">
        <v>0</v>
      </c>
      <c r="X1027" s="2050">
        <v>0</v>
      </c>
      <c r="Y1027" s="2050">
        <v>0</v>
      </c>
      <c r="Z1027" s="2050">
        <v>0</v>
      </c>
      <c r="AA1027" s="2050">
        <v>0</v>
      </c>
      <c r="AB1027" s="2050">
        <v>0</v>
      </c>
      <c r="AC1027" s="2050">
        <v>0</v>
      </c>
      <c r="AD1027" s="1555">
        <f>T1027</f>
        <v>0</v>
      </c>
      <c r="AE1027" s="322">
        <f>W1027</f>
        <v>0</v>
      </c>
      <c r="AF1027" s="322">
        <f>Z1027</f>
        <v>0</v>
      </c>
      <c r="AG1027" s="322">
        <f>AC1027</f>
        <v>0</v>
      </c>
      <c r="AH1027" s="322">
        <f>AE1027</f>
        <v>0</v>
      </c>
      <c r="AI1027" s="322">
        <f>AG1027</f>
        <v>0</v>
      </c>
      <c r="AJ1027" s="322">
        <f>AI1027</f>
        <v>0</v>
      </c>
      <c r="AL1027" s="2527">
        <f t="shared" ca="1" si="1887"/>
        <v>0</v>
      </c>
      <c r="AM1027" s="2527">
        <f t="shared" ca="1" si="1888"/>
        <v>0</v>
      </c>
      <c r="AN1027" s="2528">
        <f t="shared" ca="1" si="1889"/>
        <v>0</v>
      </c>
      <c r="AO1027" s="2529">
        <f t="shared" ca="1" si="1890"/>
        <v>0</v>
      </c>
      <c r="AP1027" s="2527">
        <f t="shared" ca="1" si="1891"/>
        <v>0</v>
      </c>
      <c r="AQ1027" s="2528">
        <f t="shared" ca="1" si="1892"/>
        <v>0</v>
      </c>
      <c r="AR1027" s="2529">
        <f t="shared" ca="1" si="1893"/>
        <v>0</v>
      </c>
      <c r="AT1027" s="2527">
        <f t="shared" ca="1" si="1894"/>
        <v>0</v>
      </c>
      <c r="AU1027" s="2527">
        <f t="shared" ca="1" si="1895"/>
        <v>0</v>
      </c>
      <c r="AV1027" s="2528">
        <f t="shared" ca="1" si="1896"/>
        <v>0</v>
      </c>
      <c r="AW1027" s="2529">
        <f t="shared" ca="1" si="1897"/>
        <v>0</v>
      </c>
      <c r="AX1027" s="2527">
        <f t="shared" ca="1" si="1898"/>
        <v>0</v>
      </c>
      <c r="AY1027" s="2528">
        <f t="shared" ca="1" si="1899"/>
        <v>0</v>
      </c>
      <c r="AZ1027" s="2529">
        <f t="shared" ca="1" si="1900"/>
        <v>0</v>
      </c>
      <c r="BB1027" s="2527">
        <f t="shared" ca="1" si="1901"/>
        <v>0</v>
      </c>
      <c r="BC1027" s="2527">
        <f t="shared" ca="1" si="1902"/>
        <v>0</v>
      </c>
      <c r="BD1027" s="2528">
        <f t="shared" ca="1" si="1903"/>
        <v>0</v>
      </c>
      <c r="BE1027" s="2529">
        <f t="shared" ca="1" si="1904"/>
        <v>0</v>
      </c>
      <c r="BF1027" s="2527">
        <f t="shared" ca="1" si="1905"/>
        <v>0</v>
      </c>
      <c r="BG1027" s="2528">
        <f t="shared" ca="1" si="1906"/>
        <v>0</v>
      </c>
      <c r="BH1027" s="2529">
        <f t="shared" ca="1" si="1907"/>
        <v>0</v>
      </c>
    </row>
    <row r="1028" spans="1:60" s="38" customFormat="1" ht="14.5">
      <c r="A1028" s="990">
        <f t="shared" si="1918"/>
        <v>941</v>
      </c>
      <c r="B1028" s="990">
        <v>1</v>
      </c>
      <c r="C1028" s="990">
        <f t="shared" si="1919"/>
        <v>1025</v>
      </c>
      <c r="D1028" s="1121" t="s">
        <v>887</v>
      </c>
      <c r="E1028" s="1243">
        <v>1</v>
      </c>
      <c r="F1028" s="5"/>
      <c r="G1028" s="5"/>
      <c r="H1028" s="5"/>
      <c r="I1028" s="5"/>
      <c r="J1028" s="4"/>
      <c r="K1028" s="5"/>
      <c r="L1028" s="5"/>
      <c r="M1028" s="5"/>
      <c r="N1028" s="4"/>
      <c r="O1028" s="4"/>
      <c r="P1028" s="4"/>
      <c r="Q1028" s="1839" t="str">
        <f>CHOOSE(2, "6722000003947", "▷ Blank 31")</f>
        <v>▷ Blank 31</v>
      </c>
      <c r="R1028" s="2225"/>
      <c r="S1028" s="1151"/>
      <c r="T1028" s="1151"/>
      <c r="U1028" s="1151"/>
      <c r="V1028" s="1151"/>
      <c r="W1028" s="1151"/>
      <c r="X1028" s="1151"/>
      <c r="Y1028" s="1151"/>
      <c r="Z1028" s="1151"/>
      <c r="AA1028" s="1151"/>
    </row>
    <row r="1029" spans="1:60" s="38" customFormat="1" ht="14.5">
      <c r="A1029" s="990">
        <f t="shared" si="1918"/>
        <v>942</v>
      </c>
      <c r="B1029" s="990">
        <v>1</v>
      </c>
      <c r="C1029" s="990">
        <f t="shared" si="1919"/>
        <v>1026</v>
      </c>
      <c r="D1029" s="1121" t="s">
        <v>887</v>
      </c>
      <c r="E1029" s="1255">
        <v>1</v>
      </c>
      <c r="F1029" s="9"/>
      <c r="G1029" s="24"/>
      <c r="H1029" s="5" t="s">
        <v>922</v>
      </c>
      <c r="I1029" s="5"/>
      <c r="J1029" s="4"/>
      <c r="K1029" s="5"/>
      <c r="L1029" s="5"/>
      <c r="M1029" s="4"/>
      <c r="N1029" s="4"/>
      <c r="O1029" s="4"/>
      <c r="P1029" s="4"/>
      <c r="Q1029" s="1839" t="str">
        <f>CHOOSE(2, "6722000003948", "HC (5) DW-DX")</f>
        <v>HC (5) DW-DX</v>
      </c>
      <c r="R1029" s="2225"/>
      <c r="S1029" s="1151"/>
      <c r="T1029" s="1151"/>
      <c r="U1029" s="1151"/>
      <c r="V1029" s="1151"/>
      <c r="W1029" s="1151"/>
      <c r="X1029" s="1151"/>
      <c r="Y1029" s="1151"/>
      <c r="Z1029" s="1151"/>
      <c r="AA1029" s="1151"/>
    </row>
    <row r="1030" spans="1:60" s="345" customFormat="1" ht="14.5">
      <c r="A1030" s="990">
        <f t="shared" si="1918"/>
        <v>943</v>
      </c>
      <c r="B1030" s="990">
        <v>1</v>
      </c>
      <c r="C1030" s="990">
        <f t="shared" si="1919"/>
        <v>1027</v>
      </c>
      <c r="D1030" s="1121" t="s">
        <v>887</v>
      </c>
      <c r="E1030" s="1243">
        <v>1</v>
      </c>
      <c r="F1030" s="340"/>
      <c r="G1030" s="340"/>
      <c r="H1030" s="341"/>
      <c r="I1030" s="349" t="s">
        <v>328</v>
      </c>
      <c r="J1030" s="350"/>
      <c r="K1030" s="351"/>
      <c r="L1030" s="351"/>
      <c r="M1030" s="351"/>
      <c r="N1030" s="351"/>
      <c r="O1030" s="351"/>
      <c r="P1030" s="1504"/>
      <c r="Q1030" s="1868" t="str">
        <f>CHOOSE(2, "6722000003949", "HC DW-DX FE/TTOC")</f>
        <v>HC DW-DX FE/TTOC</v>
      </c>
      <c r="R1030" s="2132">
        <f>R1031+R1036+R1042+R1047+R1053</f>
        <v>8</v>
      </c>
      <c r="S1030" s="2009">
        <f t="shared" ref="S1030:AC1030" si="1920">S1031+S1036+S1042+S1047+S1053</f>
        <v>6</v>
      </c>
      <c r="T1030" s="2009">
        <f t="shared" si="1920"/>
        <v>6</v>
      </c>
      <c r="U1030" s="2009">
        <f t="shared" si="1920"/>
        <v>6</v>
      </c>
      <c r="V1030" s="2009">
        <f t="shared" si="1920"/>
        <v>6</v>
      </c>
      <c r="W1030" s="2009">
        <f t="shared" si="1920"/>
        <v>6</v>
      </c>
      <c r="X1030" s="2009">
        <f t="shared" si="1920"/>
        <v>6</v>
      </c>
      <c r="Y1030" s="2009">
        <f t="shared" si="1920"/>
        <v>6</v>
      </c>
      <c r="Z1030" s="2009">
        <f t="shared" si="1920"/>
        <v>6</v>
      </c>
      <c r="AA1030" s="2009">
        <f t="shared" si="1920"/>
        <v>6</v>
      </c>
      <c r="AB1030" s="2009">
        <f t="shared" si="1920"/>
        <v>6</v>
      </c>
      <c r="AC1030" s="2009">
        <f t="shared" si="1920"/>
        <v>5</v>
      </c>
      <c r="AD1030" s="1528">
        <f t="shared" ref="AD1030:AJ1030" si="1921">AD1031+AD1036+AD1042+AD1047+AD1053</f>
        <v>6</v>
      </c>
      <c r="AE1030" s="136">
        <f t="shared" si="1921"/>
        <v>6</v>
      </c>
      <c r="AF1030" s="136">
        <f t="shared" si="1921"/>
        <v>6</v>
      </c>
      <c r="AG1030" s="136">
        <f t="shared" si="1921"/>
        <v>5</v>
      </c>
      <c r="AH1030" s="136">
        <f t="shared" si="1921"/>
        <v>6</v>
      </c>
      <c r="AI1030" s="136">
        <f t="shared" si="1921"/>
        <v>5</v>
      </c>
      <c r="AJ1030" s="136">
        <f t="shared" si="1921"/>
        <v>5</v>
      </c>
      <c r="AL1030" s="2132">
        <f t="shared" ref="AL1030:AL1057" ca="1" si="1922">INDIRECT(AL$3&amp;(ROW()))</f>
        <v>5</v>
      </c>
      <c r="AM1030" s="136">
        <f t="shared" ref="AM1030:AM1057" ca="1" si="1923">INDIRECT(AM$1&amp;AM$3&amp;$C1030)</f>
        <v>0</v>
      </c>
      <c r="AN1030" s="2524">
        <f t="shared" ref="AN1030:AN1057" ca="1" si="1924">AL1030-AM1030</f>
        <v>5</v>
      </c>
      <c r="AO1030" s="1720">
        <f t="shared" ref="AO1030:AO1057" ca="1" si="1925">IFERROR(AL1030/AM1030,0)</f>
        <v>0</v>
      </c>
      <c r="AP1030" s="136">
        <f t="shared" ref="AP1030:AP1057" ca="1" si="1926">INDIRECT(AP$1&amp;AP$3&amp;$A1030)+INDIRECT(AP$1&amp;AP$3&amp;$B1030)</f>
        <v>9</v>
      </c>
      <c r="AQ1030" s="2524">
        <f t="shared" ref="AQ1030:AQ1057" ca="1" si="1927">AL1030-AP1030</f>
        <v>-4</v>
      </c>
      <c r="AR1030" s="1720">
        <f t="shared" ref="AR1030:AR1057" ca="1" si="1928">IFERROR(AL1030/AP1030,0)</f>
        <v>0.55555555555555558</v>
      </c>
      <c r="AT1030" s="2132">
        <f t="shared" ref="AT1030:AT1057" ca="1" si="1929">INDIRECT(AT$3&amp;(ROW()))</f>
        <v>5</v>
      </c>
      <c r="AU1030" s="136">
        <f t="shared" ref="AU1030:AU1057" ca="1" si="1930">INDIRECT(AU$1&amp;AU$3&amp;$C1030)</f>
        <v>0</v>
      </c>
      <c r="AV1030" s="2524">
        <f t="shared" ref="AV1030:AV1057" ca="1" si="1931">AT1030-AU1030</f>
        <v>5</v>
      </c>
      <c r="AW1030" s="1720">
        <f t="shared" ref="AW1030:AW1057" ca="1" si="1932">IFERROR(AT1030/AU1030,0)</f>
        <v>0</v>
      </c>
      <c r="AX1030" s="136">
        <f t="shared" ref="AX1030:AX1057" ca="1" si="1933">INDIRECT(AX$1&amp;AX$3&amp;$A1030)+INDIRECT(AX$1&amp;AX$3&amp;$B1030)</f>
        <v>9</v>
      </c>
      <c r="AY1030" s="2524">
        <f t="shared" ref="AY1030:AY1057" ca="1" si="1934">AT1030-AX1030</f>
        <v>-4</v>
      </c>
      <c r="AZ1030" s="1720">
        <f t="shared" ref="AZ1030:AZ1057" ca="1" si="1935">IFERROR(AT1030/AX1030,0)</f>
        <v>0.55555555555555558</v>
      </c>
      <c r="BB1030" s="2132">
        <f t="shared" ref="BB1030:BB1057" ca="1" si="1936">INDIRECT(BB$3&amp;(ROW()))</f>
        <v>5</v>
      </c>
      <c r="BC1030" s="136">
        <f t="shared" ref="BC1030:BC1057" ca="1" si="1937">INDIRECT(BC$1&amp;BC$3&amp;$C1030)</f>
        <v>0</v>
      </c>
      <c r="BD1030" s="2524">
        <f t="shared" ref="BD1030:BD1057" ca="1" si="1938">BB1030-BC1030</f>
        <v>5</v>
      </c>
      <c r="BE1030" s="1720">
        <f t="shared" ref="BE1030:BE1057" ca="1" si="1939">IFERROR(BB1030/BC1030,0)</f>
        <v>0</v>
      </c>
      <c r="BF1030" s="136">
        <f t="shared" ref="BF1030:BF1057" ca="1" si="1940">INDIRECT(BF$1&amp;BF$3&amp;$A1030)+INDIRECT(BF$1&amp;BF$3&amp;$B1030)</f>
        <v>9</v>
      </c>
      <c r="BG1030" s="2524">
        <f t="shared" ref="BG1030:BG1057" ca="1" si="1941">BB1030-BF1030</f>
        <v>-4</v>
      </c>
      <c r="BH1030" s="1720">
        <f t="shared" ref="BH1030:BH1057" ca="1" si="1942">IFERROR(BB1030/BF1030,0)</f>
        <v>0.55555555555555558</v>
      </c>
    </row>
    <row r="1031" spans="1:60" s="38" customFormat="1" ht="14.5">
      <c r="A1031" s="990">
        <f t="shared" si="1918"/>
        <v>944</v>
      </c>
      <c r="B1031" s="990">
        <v>1</v>
      </c>
      <c r="C1031" s="990">
        <f t="shared" si="1919"/>
        <v>1028</v>
      </c>
      <c r="D1031" s="1121" t="s">
        <v>887</v>
      </c>
      <c r="E1031" s="1243">
        <v>1</v>
      </c>
      <c r="F1031" s="5"/>
      <c r="G1031" s="5"/>
      <c r="H1031" s="5"/>
      <c r="I1031" s="333"/>
      <c r="J1031" s="52" t="s">
        <v>126</v>
      </c>
      <c r="K1031" s="51"/>
      <c r="L1031" s="52"/>
      <c r="M1031" s="52"/>
      <c r="N1031" s="51"/>
      <c r="O1031" s="51"/>
      <c r="P1031" s="51"/>
      <c r="Q1031" s="1851" t="str">
        <f>CHOOSE(2, "6722000003950", "HC DW-DX FE/TTOC Sales Total")</f>
        <v>HC DW-DX FE/TTOC Sales Total</v>
      </c>
      <c r="R1031" s="49">
        <f>SUM(R1032:R1035)</f>
        <v>6</v>
      </c>
      <c r="S1031" s="49">
        <f t="shared" ref="S1031:AC1031" si="1943">SUM(S1032:S1035)</f>
        <v>5</v>
      </c>
      <c r="T1031" s="49">
        <f t="shared" si="1943"/>
        <v>5</v>
      </c>
      <c r="U1031" s="49">
        <f t="shared" si="1943"/>
        <v>5</v>
      </c>
      <c r="V1031" s="49">
        <f t="shared" si="1943"/>
        <v>5</v>
      </c>
      <c r="W1031" s="49">
        <f t="shared" si="1943"/>
        <v>5</v>
      </c>
      <c r="X1031" s="49">
        <f t="shared" si="1943"/>
        <v>5</v>
      </c>
      <c r="Y1031" s="49">
        <f t="shared" si="1943"/>
        <v>5</v>
      </c>
      <c r="Z1031" s="49">
        <f t="shared" si="1943"/>
        <v>5</v>
      </c>
      <c r="AA1031" s="49">
        <f t="shared" si="1943"/>
        <v>5</v>
      </c>
      <c r="AB1031" s="49">
        <f t="shared" si="1943"/>
        <v>5</v>
      </c>
      <c r="AC1031" s="49">
        <f t="shared" si="1943"/>
        <v>4</v>
      </c>
      <c r="AD1031" s="1553">
        <f t="shared" ref="AD1031:AJ1031" si="1944">SUM(AD1032:AD1035)</f>
        <v>5</v>
      </c>
      <c r="AE1031" s="49">
        <f t="shared" si="1944"/>
        <v>5</v>
      </c>
      <c r="AF1031" s="49">
        <f t="shared" si="1944"/>
        <v>5</v>
      </c>
      <c r="AG1031" s="49">
        <f t="shared" si="1944"/>
        <v>4</v>
      </c>
      <c r="AH1031" s="49">
        <f t="shared" si="1944"/>
        <v>5</v>
      </c>
      <c r="AI1031" s="49">
        <f t="shared" si="1944"/>
        <v>4</v>
      </c>
      <c r="AJ1031" s="49">
        <f t="shared" si="1944"/>
        <v>4</v>
      </c>
      <c r="AL1031" s="49">
        <f t="shared" ca="1" si="1922"/>
        <v>4</v>
      </c>
      <c r="AM1031" s="49">
        <f t="shared" ca="1" si="1923"/>
        <v>0</v>
      </c>
      <c r="AN1031" s="913">
        <f t="shared" ca="1" si="1924"/>
        <v>4</v>
      </c>
      <c r="AO1031" s="974">
        <f t="shared" ca="1" si="1925"/>
        <v>0</v>
      </c>
      <c r="AP1031" s="49">
        <f t="shared" ca="1" si="1926"/>
        <v>7</v>
      </c>
      <c r="AQ1031" s="913">
        <f t="shared" ca="1" si="1927"/>
        <v>-3</v>
      </c>
      <c r="AR1031" s="974">
        <f t="shared" ca="1" si="1928"/>
        <v>0.5714285714285714</v>
      </c>
      <c r="AT1031" s="49">
        <f t="shared" ca="1" si="1929"/>
        <v>4</v>
      </c>
      <c r="AU1031" s="49">
        <f t="shared" ca="1" si="1930"/>
        <v>0</v>
      </c>
      <c r="AV1031" s="913">
        <f t="shared" ca="1" si="1931"/>
        <v>4</v>
      </c>
      <c r="AW1031" s="974">
        <f t="shared" ca="1" si="1932"/>
        <v>0</v>
      </c>
      <c r="AX1031" s="49">
        <f t="shared" ca="1" si="1933"/>
        <v>7</v>
      </c>
      <c r="AY1031" s="913">
        <f t="shared" ca="1" si="1934"/>
        <v>-3</v>
      </c>
      <c r="AZ1031" s="974">
        <f t="shared" ca="1" si="1935"/>
        <v>0.5714285714285714</v>
      </c>
      <c r="BB1031" s="49">
        <f t="shared" ca="1" si="1936"/>
        <v>4</v>
      </c>
      <c r="BC1031" s="49">
        <f t="shared" ca="1" si="1937"/>
        <v>0</v>
      </c>
      <c r="BD1031" s="913">
        <f t="shared" ca="1" si="1938"/>
        <v>4</v>
      </c>
      <c r="BE1031" s="974">
        <f t="shared" ca="1" si="1939"/>
        <v>0</v>
      </c>
      <c r="BF1031" s="49">
        <f t="shared" ca="1" si="1940"/>
        <v>7</v>
      </c>
      <c r="BG1031" s="913">
        <f t="shared" ca="1" si="1941"/>
        <v>-3</v>
      </c>
      <c r="BH1031" s="974">
        <f t="shared" ca="1" si="1942"/>
        <v>0.5714285714285714</v>
      </c>
    </row>
    <row r="1032" spans="1:60" s="38" customFormat="1" ht="14.5">
      <c r="A1032" s="990">
        <f t="shared" si="1918"/>
        <v>945</v>
      </c>
      <c r="B1032" s="990">
        <v>1</v>
      </c>
      <c r="C1032" s="990">
        <f t="shared" si="1919"/>
        <v>1029</v>
      </c>
      <c r="E1032" s="1243">
        <v>1</v>
      </c>
      <c r="F1032" s="5"/>
      <c r="G1032" s="5"/>
      <c r="H1032" s="5"/>
      <c r="I1032" s="333"/>
      <c r="J1032" s="5"/>
      <c r="K1032" s="4"/>
      <c r="L1032" s="5"/>
      <c r="M1032" s="5"/>
      <c r="N1032" s="45"/>
      <c r="O1032" s="45" t="s">
        <v>125</v>
      </c>
      <c r="P1032" s="4"/>
      <c r="Q1032" s="1844" t="str">
        <f>CHOOSE(2, "6722000003951", "HC DW-DX FE/TTOC Sales Total Direct sales rep.")</f>
        <v>HC DW-DX FE/TTOC Sales Total Direct sales rep.</v>
      </c>
      <c r="R1032" s="2789">
        <v>3</v>
      </c>
      <c r="S1032" s="2030">
        <v>3</v>
      </c>
      <c r="T1032" s="2030">
        <v>3</v>
      </c>
      <c r="U1032" s="2030">
        <v>3</v>
      </c>
      <c r="V1032" s="2030">
        <v>3</v>
      </c>
      <c r="W1032" s="2030">
        <v>3</v>
      </c>
      <c r="X1032" s="2030">
        <v>3</v>
      </c>
      <c r="Y1032" s="2030">
        <v>3</v>
      </c>
      <c r="Z1032" s="2030">
        <v>3</v>
      </c>
      <c r="AA1032" s="2030">
        <v>3</v>
      </c>
      <c r="AB1032" s="2030">
        <v>3</v>
      </c>
      <c r="AC1032" s="2030">
        <v>2</v>
      </c>
      <c r="AD1032" s="1511">
        <f>T1032</f>
        <v>3</v>
      </c>
      <c r="AE1032" s="44">
        <f>W1032</f>
        <v>3</v>
      </c>
      <c r="AF1032" s="44">
        <f>Z1032</f>
        <v>3</v>
      </c>
      <c r="AG1032" s="44">
        <f>AC1032</f>
        <v>2</v>
      </c>
      <c r="AH1032" s="44">
        <f>AE1032</f>
        <v>3</v>
      </c>
      <c r="AI1032" s="44">
        <f>AG1032</f>
        <v>2</v>
      </c>
      <c r="AJ1032" s="44">
        <f>AI1032</f>
        <v>2</v>
      </c>
      <c r="AL1032" s="44">
        <f t="shared" ca="1" si="1922"/>
        <v>2</v>
      </c>
      <c r="AM1032" s="44">
        <f t="shared" ca="1" si="1923"/>
        <v>0</v>
      </c>
      <c r="AN1032" s="872">
        <f t="shared" ca="1" si="1924"/>
        <v>2</v>
      </c>
      <c r="AO1032" s="922">
        <f t="shared" ca="1" si="1925"/>
        <v>0</v>
      </c>
      <c r="AP1032" s="44">
        <f t="shared" ca="1" si="1926"/>
        <v>2</v>
      </c>
      <c r="AQ1032" s="872">
        <f t="shared" ca="1" si="1927"/>
        <v>0</v>
      </c>
      <c r="AR1032" s="922">
        <f t="shared" ca="1" si="1928"/>
        <v>1</v>
      </c>
      <c r="AT1032" s="44">
        <f t="shared" ca="1" si="1929"/>
        <v>2</v>
      </c>
      <c r="AU1032" s="44">
        <f t="shared" ca="1" si="1930"/>
        <v>0</v>
      </c>
      <c r="AV1032" s="872">
        <f t="shared" ca="1" si="1931"/>
        <v>2</v>
      </c>
      <c r="AW1032" s="922">
        <f t="shared" ca="1" si="1932"/>
        <v>0</v>
      </c>
      <c r="AX1032" s="44">
        <f t="shared" ca="1" si="1933"/>
        <v>2</v>
      </c>
      <c r="AY1032" s="872">
        <f t="shared" ca="1" si="1934"/>
        <v>0</v>
      </c>
      <c r="AZ1032" s="922">
        <f t="shared" ca="1" si="1935"/>
        <v>1</v>
      </c>
      <c r="BB1032" s="44">
        <f t="shared" ca="1" si="1936"/>
        <v>2</v>
      </c>
      <c r="BC1032" s="44">
        <f t="shared" ca="1" si="1937"/>
        <v>0</v>
      </c>
      <c r="BD1032" s="872">
        <f t="shared" ca="1" si="1938"/>
        <v>2</v>
      </c>
      <c r="BE1032" s="922">
        <f t="shared" ca="1" si="1939"/>
        <v>0</v>
      </c>
      <c r="BF1032" s="44">
        <f t="shared" ca="1" si="1940"/>
        <v>2</v>
      </c>
      <c r="BG1032" s="872">
        <f t="shared" ca="1" si="1941"/>
        <v>0</v>
      </c>
      <c r="BH1032" s="922">
        <f t="shared" ca="1" si="1942"/>
        <v>1</v>
      </c>
    </row>
    <row r="1033" spans="1:60" s="38" customFormat="1" ht="14.5">
      <c r="A1033" s="990">
        <f t="shared" si="1918"/>
        <v>946</v>
      </c>
      <c r="B1033" s="990">
        <v>1</v>
      </c>
      <c r="C1033" s="990">
        <f t="shared" si="1919"/>
        <v>1030</v>
      </c>
      <c r="E1033" s="1255">
        <v>1</v>
      </c>
      <c r="F1033" s="9"/>
      <c r="G1033" s="5"/>
      <c r="H1033" s="5"/>
      <c r="I1033" s="333"/>
      <c r="J1033" s="5"/>
      <c r="K1033" s="4"/>
      <c r="L1033" s="5"/>
      <c r="M1033" s="5"/>
      <c r="N1033" s="45"/>
      <c r="O1033" s="45" t="s">
        <v>933</v>
      </c>
      <c r="P1033" s="1144"/>
      <c r="Q1033" s="1844" t="str">
        <f>CHOOSE(2, "6722000003952", "HC DW-DX FE/TTOC Sales Total Direct sales engineers")</f>
        <v>HC DW-DX FE/TTOC Sales Total Direct sales engineers</v>
      </c>
      <c r="R1033" s="2789">
        <v>3</v>
      </c>
      <c r="S1033" s="2030">
        <v>2</v>
      </c>
      <c r="T1033" s="2030">
        <v>2</v>
      </c>
      <c r="U1033" s="2030">
        <v>2</v>
      </c>
      <c r="V1033" s="2030">
        <v>2</v>
      </c>
      <c r="W1033" s="2030">
        <v>2</v>
      </c>
      <c r="X1033" s="2030">
        <v>2</v>
      </c>
      <c r="Y1033" s="2030">
        <v>2</v>
      </c>
      <c r="Z1033" s="2030">
        <v>2</v>
      </c>
      <c r="AA1033" s="2030">
        <v>2</v>
      </c>
      <c r="AB1033" s="2030">
        <v>2</v>
      </c>
      <c r="AC1033" s="2030">
        <v>2</v>
      </c>
      <c r="AD1033" s="1511">
        <f>T1033</f>
        <v>2</v>
      </c>
      <c r="AE1033" s="44">
        <f>W1033</f>
        <v>2</v>
      </c>
      <c r="AF1033" s="44">
        <f>Z1033</f>
        <v>2</v>
      </c>
      <c r="AG1033" s="44">
        <f>AC1033</f>
        <v>2</v>
      </c>
      <c r="AH1033" s="44">
        <f>AE1033</f>
        <v>2</v>
      </c>
      <c r="AI1033" s="44">
        <f>AG1033</f>
        <v>2</v>
      </c>
      <c r="AJ1033" s="44">
        <f>AI1033</f>
        <v>2</v>
      </c>
      <c r="AL1033" s="44">
        <f t="shared" ca="1" si="1922"/>
        <v>2</v>
      </c>
      <c r="AM1033" s="44">
        <f t="shared" ca="1" si="1923"/>
        <v>0</v>
      </c>
      <c r="AN1033" s="872">
        <f t="shared" ca="1" si="1924"/>
        <v>2</v>
      </c>
      <c r="AO1033" s="922">
        <f t="shared" ca="1" si="1925"/>
        <v>0</v>
      </c>
      <c r="AP1033" s="44">
        <f t="shared" ca="1" si="1926"/>
        <v>5</v>
      </c>
      <c r="AQ1033" s="872">
        <f t="shared" ca="1" si="1927"/>
        <v>-3</v>
      </c>
      <c r="AR1033" s="922">
        <f t="shared" ca="1" si="1928"/>
        <v>0.4</v>
      </c>
      <c r="AT1033" s="44">
        <f t="shared" ca="1" si="1929"/>
        <v>2</v>
      </c>
      <c r="AU1033" s="44">
        <f t="shared" ca="1" si="1930"/>
        <v>0</v>
      </c>
      <c r="AV1033" s="872">
        <f t="shared" ca="1" si="1931"/>
        <v>2</v>
      </c>
      <c r="AW1033" s="922">
        <f t="shared" ca="1" si="1932"/>
        <v>0</v>
      </c>
      <c r="AX1033" s="44">
        <f t="shared" ca="1" si="1933"/>
        <v>5</v>
      </c>
      <c r="AY1033" s="872">
        <f t="shared" ca="1" si="1934"/>
        <v>-3</v>
      </c>
      <c r="AZ1033" s="922">
        <f t="shared" ca="1" si="1935"/>
        <v>0.4</v>
      </c>
      <c r="BB1033" s="44">
        <f t="shared" ca="1" si="1936"/>
        <v>2</v>
      </c>
      <c r="BC1033" s="44">
        <f t="shared" ca="1" si="1937"/>
        <v>0</v>
      </c>
      <c r="BD1033" s="872">
        <f t="shared" ca="1" si="1938"/>
        <v>2</v>
      </c>
      <c r="BE1033" s="922">
        <f t="shared" ca="1" si="1939"/>
        <v>0</v>
      </c>
      <c r="BF1033" s="44">
        <f t="shared" ca="1" si="1940"/>
        <v>5</v>
      </c>
      <c r="BG1033" s="872">
        <f t="shared" ca="1" si="1941"/>
        <v>-3</v>
      </c>
      <c r="BH1033" s="922">
        <f t="shared" ca="1" si="1942"/>
        <v>0.4</v>
      </c>
    </row>
    <row r="1034" spans="1:60" s="38" customFormat="1" ht="14.5">
      <c r="A1034" s="990">
        <f t="shared" si="1918"/>
        <v>947</v>
      </c>
      <c r="B1034" s="990">
        <v>1</v>
      </c>
      <c r="C1034" s="990">
        <f t="shared" si="1919"/>
        <v>1031</v>
      </c>
      <c r="E1034" s="1243">
        <v>1</v>
      </c>
      <c r="F1034" s="5"/>
      <c r="G1034" s="5"/>
      <c r="H1034" s="5"/>
      <c r="I1034" s="333"/>
      <c r="J1034" s="5"/>
      <c r="K1034" s="4"/>
      <c r="L1034" s="5"/>
      <c r="M1034" s="5"/>
      <c r="N1034" s="45"/>
      <c r="O1034" s="45" t="s">
        <v>123</v>
      </c>
      <c r="P1034" s="4"/>
      <c r="Q1034" s="1844" t="str">
        <f>CHOOSE(2, "6722000003953", "HC DW-DX FE/TTOC Sales Total Dealer(Indirect) sales rep.")</f>
        <v>HC DW-DX FE/TTOC Sales Total Dealer(Indirect) sales rep.</v>
      </c>
      <c r="R1034" s="2030">
        <v>0</v>
      </c>
      <c r="S1034" s="2030">
        <v>0</v>
      </c>
      <c r="T1034" s="2030">
        <v>0</v>
      </c>
      <c r="U1034" s="2030">
        <v>0</v>
      </c>
      <c r="V1034" s="2030">
        <v>0</v>
      </c>
      <c r="W1034" s="2030">
        <v>0</v>
      </c>
      <c r="X1034" s="2030">
        <v>0</v>
      </c>
      <c r="Y1034" s="2030">
        <v>0</v>
      </c>
      <c r="Z1034" s="2030">
        <v>0</v>
      </c>
      <c r="AA1034" s="2030">
        <v>0</v>
      </c>
      <c r="AB1034" s="2030">
        <v>0</v>
      </c>
      <c r="AC1034" s="2030">
        <v>0</v>
      </c>
      <c r="AD1034" s="1511">
        <f>T1034</f>
        <v>0</v>
      </c>
      <c r="AE1034" s="44">
        <f>W1034</f>
        <v>0</v>
      </c>
      <c r="AF1034" s="44">
        <f>Z1034</f>
        <v>0</v>
      </c>
      <c r="AG1034" s="44">
        <f>AC1034</f>
        <v>0</v>
      </c>
      <c r="AH1034" s="44">
        <f>AE1034</f>
        <v>0</v>
      </c>
      <c r="AI1034" s="44">
        <f>AG1034</f>
        <v>0</v>
      </c>
      <c r="AJ1034" s="44">
        <f>AI1034</f>
        <v>0</v>
      </c>
      <c r="AL1034" s="44">
        <f t="shared" ca="1" si="1922"/>
        <v>0</v>
      </c>
      <c r="AM1034" s="44">
        <f t="shared" ca="1" si="1923"/>
        <v>0</v>
      </c>
      <c r="AN1034" s="872">
        <f t="shared" ca="1" si="1924"/>
        <v>0</v>
      </c>
      <c r="AO1034" s="922">
        <f t="shared" ca="1" si="1925"/>
        <v>0</v>
      </c>
      <c r="AP1034" s="44">
        <f t="shared" ca="1" si="1926"/>
        <v>0</v>
      </c>
      <c r="AQ1034" s="872">
        <f t="shared" ca="1" si="1927"/>
        <v>0</v>
      </c>
      <c r="AR1034" s="922">
        <f t="shared" ca="1" si="1928"/>
        <v>0</v>
      </c>
      <c r="AT1034" s="44">
        <f t="shared" ca="1" si="1929"/>
        <v>0</v>
      </c>
      <c r="AU1034" s="44">
        <f t="shared" ca="1" si="1930"/>
        <v>0</v>
      </c>
      <c r="AV1034" s="872">
        <f t="shared" ca="1" si="1931"/>
        <v>0</v>
      </c>
      <c r="AW1034" s="922">
        <f t="shared" ca="1" si="1932"/>
        <v>0</v>
      </c>
      <c r="AX1034" s="44">
        <f t="shared" ca="1" si="1933"/>
        <v>0</v>
      </c>
      <c r="AY1034" s="872">
        <f t="shared" ca="1" si="1934"/>
        <v>0</v>
      </c>
      <c r="AZ1034" s="922">
        <f t="shared" ca="1" si="1935"/>
        <v>0</v>
      </c>
      <c r="BB1034" s="44">
        <f t="shared" ca="1" si="1936"/>
        <v>0</v>
      </c>
      <c r="BC1034" s="44">
        <f t="shared" ca="1" si="1937"/>
        <v>0</v>
      </c>
      <c r="BD1034" s="872">
        <f t="shared" ca="1" si="1938"/>
        <v>0</v>
      </c>
      <c r="BE1034" s="922">
        <f t="shared" ca="1" si="1939"/>
        <v>0</v>
      </c>
      <c r="BF1034" s="44">
        <f t="shared" ca="1" si="1940"/>
        <v>0</v>
      </c>
      <c r="BG1034" s="872">
        <f t="shared" ca="1" si="1941"/>
        <v>0</v>
      </c>
      <c r="BH1034" s="922">
        <f t="shared" ca="1" si="1942"/>
        <v>0</v>
      </c>
    </row>
    <row r="1035" spans="1:60" s="38" customFormat="1" ht="14.5">
      <c r="A1035" s="990">
        <f t="shared" si="1918"/>
        <v>948</v>
      </c>
      <c r="B1035" s="990">
        <v>1</v>
      </c>
      <c r="C1035" s="990">
        <f t="shared" si="1919"/>
        <v>1032</v>
      </c>
      <c r="E1035" s="1243">
        <v>1</v>
      </c>
      <c r="F1035" s="5"/>
      <c r="G1035" s="5"/>
      <c r="H1035" s="5"/>
      <c r="I1035" s="333"/>
      <c r="J1035" s="3"/>
      <c r="K1035" s="2"/>
      <c r="L1035" s="3"/>
      <c r="M1035" s="3"/>
      <c r="N1035" s="43"/>
      <c r="O1035" s="43" t="s">
        <v>120</v>
      </c>
      <c r="P1035" s="2"/>
      <c r="Q1035" s="1844" t="str">
        <f>CHOOSE(2, "6722000003954", "HC DW-DX FE/TTOC Sales Total Administration/Others")</f>
        <v>HC DW-DX FE/TTOC Sales Total Administration/Others</v>
      </c>
      <c r="R1035" s="2029">
        <v>0</v>
      </c>
      <c r="S1035" s="2029">
        <v>0</v>
      </c>
      <c r="T1035" s="2029">
        <v>0</v>
      </c>
      <c r="U1035" s="2029">
        <v>0</v>
      </c>
      <c r="V1035" s="2029">
        <v>0</v>
      </c>
      <c r="W1035" s="2029">
        <v>0</v>
      </c>
      <c r="X1035" s="2029">
        <v>0</v>
      </c>
      <c r="Y1035" s="2029">
        <v>0</v>
      </c>
      <c r="Z1035" s="2029">
        <v>0</v>
      </c>
      <c r="AA1035" s="2029">
        <v>0</v>
      </c>
      <c r="AB1035" s="2029">
        <v>0</v>
      </c>
      <c r="AC1035" s="2029">
        <v>0</v>
      </c>
      <c r="AD1035" s="1554">
        <f>T1035</f>
        <v>0</v>
      </c>
      <c r="AE1035" s="42">
        <f>W1035</f>
        <v>0</v>
      </c>
      <c r="AF1035" s="42">
        <f>Z1035</f>
        <v>0</v>
      </c>
      <c r="AG1035" s="42">
        <f>AC1035</f>
        <v>0</v>
      </c>
      <c r="AH1035" s="42">
        <f>AE1035</f>
        <v>0</v>
      </c>
      <c r="AI1035" s="42">
        <f>AG1035</f>
        <v>0</v>
      </c>
      <c r="AJ1035" s="42">
        <f>AI1035</f>
        <v>0</v>
      </c>
      <c r="AL1035" s="42">
        <f t="shared" ca="1" si="1922"/>
        <v>0</v>
      </c>
      <c r="AM1035" s="42">
        <f t="shared" ca="1" si="1923"/>
        <v>0</v>
      </c>
      <c r="AN1035" s="914">
        <f t="shared" ca="1" si="1924"/>
        <v>0</v>
      </c>
      <c r="AO1035" s="975">
        <f t="shared" ca="1" si="1925"/>
        <v>0</v>
      </c>
      <c r="AP1035" s="42">
        <f t="shared" ca="1" si="1926"/>
        <v>0</v>
      </c>
      <c r="AQ1035" s="914">
        <f t="shared" ca="1" si="1927"/>
        <v>0</v>
      </c>
      <c r="AR1035" s="975">
        <f t="shared" ca="1" si="1928"/>
        <v>0</v>
      </c>
      <c r="AT1035" s="42">
        <f t="shared" ca="1" si="1929"/>
        <v>0</v>
      </c>
      <c r="AU1035" s="42">
        <f t="shared" ca="1" si="1930"/>
        <v>0</v>
      </c>
      <c r="AV1035" s="914">
        <f t="shared" ca="1" si="1931"/>
        <v>0</v>
      </c>
      <c r="AW1035" s="975">
        <f t="shared" ca="1" si="1932"/>
        <v>0</v>
      </c>
      <c r="AX1035" s="42">
        <f t="shared" ca="1" si="1933"/>
        <v>0</v>
      </c>
      <c r="AY1035" s="914">
        <f t="shared" ca="1" si="1934"/>
        <v>0</v>
      </c>
      <c r="AZ1035" s="975">
        <f t="shared" ca="1" si="1935"/>
        <v>0</v>
      </c>
      <c r="BB1035" s="42">
        <f t="shared" ca="1" si="1936"/>
        <v>0</v>
      </c>
      <c r="BC1035" s="42">
        <f t="shared" ca="1" si="1937"/>
        <v>0</v>
      </c>
      <c r="BD1035" s="914">
        <f t="shared" ca="1" si="1938"/>
        <v>0</v>
      </c>
      <c r="BE1035" s="975">
        <f t="shared" ca="1" si="1939"/>
        <v>0</v>
      </c>
      <c r="BF1035" s="42">
        <f t="shared" ca="1" si="1940"/>
        <v>0</v>
      </c>
      <c r="BG1035" s="914">
        <f t="shared" ca="1" si="1941"/>
        <v>0</v>
      </c>
      <c r="BH1035" s="975">
        <f t="shared" ca="1" si="1942"/>
        <v>0</v>
      </c>
    </row>
    <row r="1036" spans="1:60" s="38" customFormat="1" ht="14.5">
      <c r="A1036" s="990">
        <f t="shared" si="1918"/>
        <v>949</v>
      </c>
      <c r="B1036" s="990">
        <v>1</v>
      </c>
      <c r="C1036" s="990">
        <f t="shared" si="1919"/>
        <v>1033</v>
      </c>
      <c r="D1036" s="1121" t="s">
        <v>887</v>
      </c>
      <c r="E1036" s="1243">
        <v>1</v>
      </c>
      <c r="F1036" s="5"/>
      <c r="G1036" s="5"/>
      <c r="H1036" s="5"/>
      <c r="I1036" s="333"/>
      <c r="J1036" s="52" t="s">
        <v>230</v>
      </c>
      <c r="K1036" s="51"/>
      <c r="L1036" s="52"/>
      <c r="M1036" s="52"/>
      <c r="N1036" s="51"/>
      <c r="O1036" s="51"/>
      <c r="P1036" s="51"/>
      <c r="Q1036" s="1851" t="str">
        <f>CHOOSE(2, "6722000003955", "HC DW-DX FE/TTOC Service Total")</f>
        <v>HC DW-DX FE/TTOC Service Total</v>
      </c>
      <c r="R1036" s="49">
        <f>SUM(R1037:R1041)</f>
        <v>0</v>
      </c>
      <c r="S1036" s="49">
        <f t="shared" ref="S1036:AC1036" si="1945">SUM(S1037:S1041)</f>
        <v>0</v>
      </c>
      <c r="T1036" s="49">
        <f t="shared" si="1945"/>
        <v>0</v>
      </c>
      <c r="U1036" s="49">
        <f t="shared" si="1945"/>
        <v>0</v>
      </c>
      <c r="V1036" s="49">
        <f t="shared" si="1945"/>
        <v>0</v>
      </c>
      <c r="W1036" s="49">
        <f t="shared" si="1945"/>
        <v>0</v>
      </c>
      <c r="X1036" s="49">
        <f t="shared" si="1945"/>
        <v>0</v>
      </c>
      <c r="Y1036" s="49">
        <f t="shared" si="1945"/>
        <v>0</v>
      </c>
      <c r="Z1036" s="49">
        <f t="shared" si="1945"/>
        <v>0</v>
      </c>
      <c r="AA1036" s="49">
        <f t="shared" si="1945"/>
        <v>0</v>
      </c>
      <c r="AB1036" s="49">
        <f t="shared" si="1945"/>
        <v>0</v>
      </c>
      <c r="AC1036" s="49">
        <f t="shared" si="1945"/>
        <v>0</v>
      </c>
      <c r="AD1036" s="1553">
        <f t="shared" ref="AD1036:AJ1036" si="1946">SUM(AD1037:AD1041)</f>
        <v>0</v>
      </c>
      <c r="AE1036" s="49">
        <f t="shared" si="1946"/>
        <v>0</v>
      </c>
      <c r="AF1036" s="49">
        <f t="shared" si="1946"/>
        <v>0</v>
      </c>
      <c r="AG1036" s="49">
        <f t="shared" si="1946"/>
        <v>0</v>
      </c>
      <c r="AH1036" s="49">
        <f t="shared" si="1946"/>
        <v>0</v>
      </c>
      <c r="AI1036" s="49">
        <f t="shared" si="1946"/>
        <v>0</v>
      </c>
      <c r="AJ1036" s="49">
        <f t="shared" si="1946"/>
        <v>0</v>
      </c>
      <c r="AL1036" s="49">
        <f t="shared" ca="1" si="1922"/>
        <v>0</v>
      </c>
      <c r="AM1036" s="49">
        <f t="shared" ca="1" si="1923"/>
        <v>0</v>
      </c>
      <c r="AN1036" s="913">
        <f t="shared" ca="1" si="1924"/>
        <v>0</v>
      </c>
      <c r="AO1036" s="974">
        <f t="shared" ca="1" si="1925"/>
        <v>0</v>
      </c>
      <c r="AP1036" s="49">
        <f t="shared" ca="1" si="1926"/>
        <v>0</v>
      </c>
      <c r="AQ1036" s="913">
        <f t="shared" ca="1" si="1927"/>
        <v>0</v>
      </c>
      <c r="AR1036" s="974">
        <f t="shared" ca="1" si="1928"/>
        <v>0</v>
      </c>
      <c r="AT1036" s="49">
        <f t="shared" ca="1" si="1929"/>
        <v>0</v>
      </c>
      <c r="AU1036" s="49">
        <f t="shared" ca="1" si="1930"/>
        <v>0</v>
      </c>
      <c r="AV1036" s="913">
        <f t="shared" ca="1" si="1931"/>
        <v>0</v>
      </c>
      <c r="AW1036" s="974">
        <f t="shared" ca="1" si="1932"/>
        <v>0</v>
      </c>
      <c r="AX1036" s="49">
        <f t="shared" ca="1" si="1933"/>
        <v>0</v>
      </c>
      <c r="AY1036" s="913">
        <f t="shared" ca="1" si="1934"/>
        <v>0</v>
      </c>
      <c r="AZ1036" s="974">
        <f t="shared" ca="1" si="1935"/>
        <v>0</v>
      </c>
      <c r="BB1036" s="49">
        <f t="shared" ca="1" si="1936"/>
        <v>0</v>
      </c>
      <c r="BC1036" s="49">
        <f t="shared" ca="1" si="1937"/>
        <v>0</v>
      </c>
      <c r="BD1036" s="913">
        <f t="shared" ca="1" si="1938"/>
        <v>0</v>
      </c>
      <c r="BE1036" s="974">
        <f t="shared" ca="1" si="1939"/>
        <v>0</v>
      </c>
      <c r="BF1036" s="49">
        <f t="shared" ca="1" si="1940"/>
        <v>0</v>
      </c>
      <c r="BG1036" s="913">
        <f t="shared" ca="1" si="1941"/>
        <v>0</v>
      </c>
      <c r="BH1036" s="974">
        <f t="shared" ca="1" si="1942"/>
        <v>0</v>
      </c>
    </row>
    <row r="1037" spans="1:60" s="38" customFormat="1" ht="14.5">
      <c r="A1037" s="990">
        <f t="shared" si="1918"/>
        <v>950</v>
      </c>
      <c r="B1037" s="990">
        <v>1</v>
      </c>
      <c r="C1037" s="990">
        <f t="shared" si="1919"/>
        <v>1034</v>
      </c>
      <c r="E1037" s="1243">
        <v>1</v>
      </c>
      <c r="F1037" s="5"/>
      <c r="G1037" s="5"/>
      <c r="H1037" s="5"/>
      <c r="I1037" s="333"/>
      <c r="J1037" s="5"/>
      <c r="K1037" s="4"/>
      <c r="L1037" s="5"/>
      <c r="M1037" s="5"/>
      <c r="N1037" s="45"/>
      <c r="O1037" s="45" t="s">
        <v>67</v>
      </c>
      <c r="P1037" s="4"/>
      <c r="Q1037" s="1844" t="str">
        <f>CHOOSE(2, "6722000003956", "HC DW-DX FE/TTOC Service Total Onsite Engineer")</f>
        <v>HC DW-DX FE/TTOC Service Total Onsite Engineer</v>
      </c>
      <c r="R1037" s="2030">
        <v>0</v>
      </c>
      <c r="S1037" s="2030">
        <v>0</v>
      </c>
      <c r="T1037" s="2030">
        <v>0</v>
      </c>
      <c r="U1037" s="2030">
        <v>0</v>
      </c>
      <c r="V1037" s="2030">
        <v>0</v>
      </c>
      <c r="W1037" s="2030">
        <v>0</v>
      </c>
      <c r="X1037" s="2030">
        <v>0</v>
      </c>
      <c r="Y1037" s="2030">
        <v>0</v>
      </c>
      <c r="Z1037" s="2030">
        <v>0</v>
      </c>
      <c r="AA1037" s="2030">
        <v>0</v>
      </c>
      <c r="AB1037" s="2030">
        <v>0</v>
      </c>
      <c r="AC1037" s="2030">
        <v>0</v>
      </c>
      <c r="AD1037" s="1511">
        <f>T1037</f>
        <v>0</v>
      </c>
      <c r="AE1037" s="44">
        <f>W1037</f>
        <v>0</v>
      </c>
      <c r="AF1037" s="44">
        <f>Z1037</f>
        <v>0</v>
      </c>
      <c r="AG1037" s="44">
        <f>AC1037</f>
        <v>0</v>
      </c>
      <c r="AH1037" s="44">
        <f>AE1037</f>
        <v>0</v>
      </c>
      <c r="AI1037" s="44">
        <f>AG1037</f>
        <v>0</v>
      </c>
      <c r="AJ1037" s="44">
        <f>AI1037</f>
        <v>0</v>
      </c>
      <c r="AL1037" s="44">
        <f t="shared" ca="1" si="1922"/>
        <v>0</v>
      </c>
      <c r="AM1037" s="44">
        <f t="shared" ca="1" si="1923"/>
        <v>0</v>
      </c>
      <c r="AN1037" s="872">
        <f t="shared" ca="1" si="1924"/>
        <v>0</v>
      </c>
      <c r="AO1037" s="922">
        <f t="shared" ca="1" si="1925"/>
        <v>0</v>
      </c>
      <c r="AP1037" s="44">
        <f t="shared" ca="1" si="1926"/>
        <v>0</v>
      </c>
      <c r="AQ1037" s="872">
        <f t="shared" ca="1" si="1927"/>
        <v>0</v>
      </c>
      <c r="AR1037" s="922">
        <f t="shared" ca="1" si="1928"/>
        <v>0</v>
      </c>
      <c r="AT1037" s="44">
        <f t="shared" ca="1" si="1929"/>
        <v>0</v>
      </c>
      <c r="AU1037" s="44">
        <f t="shared" ca="1" si="1930"/>
        <v>0</v>
      </c>
      <c r="AV1037" s="872">
        <f t="shared" ca="1" si="1931"/>
        <v>0</v>
      </c>
      <c r="AW1037" s="922">
        <f t="shared" ca="1" si="1932"/>
        <v>0</v>
      </c>
      <c r="AX1037" s="44">
        <f t="shared" ca="1" si="1933"/>
        <v>0</v>
      </c>
      <c r="AY1037" s="872">
        <f t="shared" ca="1" si="1934"/>
        <v>0</v>
      </c>
      <c r="AZ1037" s="922">
        <f t="shared" ca="1" si="1935"/>
        <v>0</v>
      </c>
      <c r="BB1037" s="44">
        <f t="shared" ca="1" si="1936"/>
        <v>0</v>
      </c>
      <c r="BC1037" s="44">
        <f t="shared" ca="1" si="1937"/>
        <v>0</v>
      </c>
      <c r="BD1037" s="872">
        <f t="shared" ca="1" si="1938"/>
        <v>0</v>
      </c>
      <c r="BE1037" s="922">
        <f t="shared" ca="1" si="1939"/>
        <v>0</v>
      </c>
      <c r="BF1037" s="44">
        <f t="shared" ca="1" si="1940"/>
        <v>0</v>
      </c>
      <c r="BG1037" s="872">
        <f t="shared" ca="1" si="1941"/>
        <v>0</v>
      </c>
      <c r="BH1037" s="922">
        <f t="shared" ca="1" si="1942"/>
        <v>0</v>
      </c>
    </row>
    <row r="1038" spans="1:60" s="38" customFormat="1" ht="14.5">
      <c r="A1038" s="990">
        <f t="shared" si="1918"/>
        <v>951</v>
      </c>
      <c r="B1038" s="990">
        <v>1</v>
      </c>
      <c r="C1038" s="990">
        <f t="shared" si="1919"/>
        <v>1035</v>
      </c>
      <c r="E1038" s="1255">
        <v>1</v>
      </c>
      <c r="F1038" s="9"/>
      <c r="G1038" s="5"/>
      <c r="H1038" s="5"/>
      <c r="I1038" s="333"/>
      <c r="J1038" s="5"/>
      <c r="K1038" s="4"/>
      <c r="L1038" s="5"/>
      <c r="M1038" s="5"/>
      <c r="N1038" s="45"/>
      <c r="O1038" s="45" t="s">
        <v>934</v>
      </c>
      <c r="P1038" s="1144"/>
      <c r="Q1038" s="1844" t="str">
        <f>CHOOSE(2, "6722000003957", "HC DW-DX FE/TTOC Service Total Remote Engineer")</f>
        <v>HC DW-DX FE/TTOC Service Total Remote Engineer</v>
      </c>
      <c r="R1038" s="2030">
        <v>0</v>
      </c>
      <c r="S1038" s="2030">
        <v>0</v>
      </c>
      <c r="T1038" s="2030">
        <v>0</v>
      </c>
      <c r="U1038" s="2030">
        <v>0</v>
      </c>
      <c r="V1038" s="2030">
        <v>0</v>
      </c>
      <c r="W1038" s="2030">
        <v>0</v>
      </c>
      <c r="X1038" s="2030">
        <v>0</v>
      </c>
      <c r="Y1038" s="2030">
        <v>0</v>
      </c>
      <c r="Z1038" s="2030">
        <v>0</v>
      </c>
      <c r="AA1038" s="2030">
        <v>0</v>
      </c>
      <c r="AB1038" s="2030">
        <v>0</v>
      </c>
      <c r="AC1038" s="2030">
        <v>0</v>
      </c>
      <c r="AD1038" s="1511">
        <f>T1038</f>
        <v>0</v>
      </c>
      <c r="AE1038" s="44">
        <f>W1038</f>
        <v>0</v>
      </c>
      <c r="AF1038" s="44">
        <f>Z1038</f>
        <v>0</v>
      </c>
      <c r="AG1038" s="44">
        <f>AC1038</f>
        <v>0</v>
      </c>
      <c r="AH1038" s="44">
        <f>AE1038</f>
        <v>0</v>
      </c>
      <c r="AI1038" s="44">
        <f>AG1038</f>
        <v>0</v>
      </c>
      <c r="AJ1038" s="44">
        <f>AI1038</f>
        <v>0</v>
      </c>
      <c r="AL1038" s="44">
        <f t="shared" ca="1" si="1922"/>
        <v>0</v>
      </c>
      <c r="AM1038" s="44">
        <f t="shared" ca="1" si="1923"/>
        <v>0</v>
      </c>
      <c r="AN1038" s="872">
        <f t="shared" ca="1" si="1924"/>
        <v>0</v>
      </c>
      <c r="AO1038" s="922">
        <f t="shared" ca="1" si="1925"/>
        <v>0</v>
      </c>
      <c r="AP1038" s="44">
        <f t="shared" ca="1" si="1926"/>
        <v>0</v>
      </c>
      <c r="AQ1038" s="872">
        <f t="shared" ca="1" si="1927"/>
        <v>0</v>
      </c>
      <c r="AR1038" s="922">
        <f t="shared" ca="1" si="1928"/>
        <v>0</v>
      </c>
      <c r="AT1038" s="44">
        <f t="shared" ca="1" si="1929"/>
        <v>0</v>
      </c>
      <c r="AU1038" s="44">
        <f t="shared" ca="1" si="1930"/>
        <v>0</v>
      </c>
      <c r="AV1038" s="872">
        <f t="shared" ca="1" si="1931"/>
        <v>0</v>
      </c>
      <c r="AW1038" s="922">
        <f t="shared" ca="1" si="1932"/>
        <v>0</v>
      </c>
      <c r="AX1038" s="44">
        <f t="shared" ca="1" si="1933"/>
        <v>0</v>
      </c>
      <c r="AY1038" s="872">
        <f t="shared" ca="1" si="1934"/>
        <v>0</v>
      </c>
      <c r="AZ1038" s="922">
        <f t="shared" ca="1" si="1935"/>
        <v>0</v>
      </c>
      <c r="BB1038" s="44">
        <f t="shared" ca="1" si="1936"/>
        <v>0</v>
      </c>
      <c r="BC1038" s="44">
        <f t="shared" ca="1" si="1937"/>
        <v>0</v>
      </c>
      <c r="BD1038" s="872">
        <f t="shared" ca="1" si="1938"/>
        <v>0</v>
      </c>
      <c r="BE1038" s="922">
        <f t="shared" ca="1" si="1939"/>
        <v>0</v>
      </c>
      <c r="BF1038" s="44">
        <f t="shared" ca="1" si="1940"/>
        <v>0</v>
      </c>
      <c r="BG1038" s="872">
        <f t="shared" ca="1" si="1941"/>
        <v>0</v>
      </c>
      <c r="BH1038" s="922">
        <f t="shared" ca="1" si="1942"/>
        <v>0</v>
      </c>
    </row>
    <row r="1039" spans="1:60" s="38" customFormat="1" ht="14.5">
      <c r="A1039" s="990">
        <f t="shared" si="1918"/>
        <v>952</v>
      </c>
      <c r="B1039" s="990">
        <v>1</v>
      </c>
      <c r="C1039" s="990">
        <f t="shared" si="1919"/>
        <v>1036</v>
      </c>
      <c r="E1039" s="1243">
        <v>1</v>
      </c>
      <c r="F1039" s="5"/>
      <c r="G1039" s="5"/>
      <c r="H1039" s="5"/>
      <c r="I1039" s="333"/>
      <c r="J1039" s="5"/>
      <c r="K1039" s="4"/>
      <c r="L1039" s="5"/>
      <c r="M1039" s="5"/>
      <c r="N1039" s="45"/>
      <c r="O1039" s="45" t="s">
        <v>122</v>
      </c>
      <c r="P1039" s="4"/>
      <c r="Q1039" s="1844" t="str">
        <f>CHOOSE(2, "6722000003958", "HC DW-DX FE/TTOC Service Total Technical support")</f>
        <v>HC DW-DX FE/TTOC Service Total Technical support</v>
      </c>
      <c r="R1039" s="2030">
        <v>0</v>
      </c>
      <c r="S1039" s="2030">
        <v>0</v>
      </c>
      <c r="T1039" s="2030">
        <v>0</v>
      </c>
      <c r="U1039" s="2030">
        <v>0</v>
      </c>
      <c r="V1039" s="2030">
        <v>0</v>
      </c>
      <c r="W1039" s="2030">
        <v>0</v>
      </c>
      <c r="X1039" s="2030">
        <v>0</v>
      </c>
      <c r="Y1039" s="2030">
        <v>0</v>
      </c>
      <c r="Z1039" s="2030">
        <v>0</v>
      </c>
      <c r="AA1039" s="2030">
        <v>0</v>
      </c>
      <c r="AB1039" s="2030">
        <v>0</v>
      </c>
      <c r="AC1039" s="2030">
        <v>0</v>
      </c>
      <c r="AD1039" s="1511">
        <f>T1039</f>
        <v>0</v>
      </c>
      <c r="AE1039" s="44">
        <f>W1039</f>
        <v>0</v>
      </c>
      <c r="AF1039" s="44">
        <f>Z1039</f>
        <v>0</v>
      </c>
      <c r="AG1039" s="44">
        <f>AC1039</f>
        <v>0</v>
      </c>
      <c r="AH1039" s="44">
        <f>AE1039</f>
        <v>0</v>
      </c>
      <c r="AI1039" s="44">
        <f>AG1039</f>
        <v>0</v>
      </c>
      <c r="AJ1039" s="44">
        <f>AI1039</f>
        <v>0</v>
      </c>
      <c r="AL1039" s="44">
        <f t="shared" ca="1" si="1922"/>
        <v>0</v>
      </c>
      <c r="AM1039" s="44">
        <f t="shared" ca="1" si="1923"/>
        <v>0</v>
      </c>
      <c r="AN1039" s="872">
        <f t="shared" ca="1" si="1924"/>
        <v>0</v>
      </c>
      <c r="AO1039" s="922">
        <f t="shared" ca="1" si="1925"/>
        <v>0</v>
      </c>
      <c r="AP1039" s="44">
        <f t="shared" ca="1" si="1926"/>
        <v>0</v>
      </c>
      <c r="AQ1039" s="872">
        <f t="shared" ca="1" si="1927"/>
        <v>0</v>
      </c>
      <c r="AR1039" s="922">
        <f t="shared" ca="1" si="1928"/>
        <v>0</v>
      </c>
      <c r="AT1039" s="44">
        <f t="shared" ca="1" si="1929"/>
        <v>0</v>
      </c>
      <c r="AU1039" s="44">
        <f t="shared" ca="1" si="1930"/>
        <v>0</v>
      </c>
      <c r="AV1039" s="872">
        <f t="shared" ca="1" si="1931"/>
        <v>0</v>
      </c>
      <c r="AW1039" s="922">
        <f t="shared" ca="1" si="1932"/>
        <v>0</v>
      </c>
      <c r="AX1039" s="44">
        <f t="shared" ca="1" si="1933"/>
        <v>0</v>
      </c>
      <c r="AY1039" s="872">
        <f t="shared" ca="1" si="1934"/>
        <v>0</v>
      </c>
      <c r="AZ1039" s="922">
        <f t="shared" ca="1" si="1935"/>
        <v>0</v>
      </c>
      <c r="BB1039" s="44">
        <f t="shared" ca="1" si="1936"/>
        <v>0</v>
      </c>
      <c r="BC1039" s="44">
        <f t="shared" ca="1" si="1937"/>
        <v>0</v>
      </c>
      <c r="BD1039" s="872">
        <f t="shared" ca="1" si="1938"/>
        <v>0</v>
      </c>
      <c r="BE1039" s="922">
        <f t="shared" ca="1" si="1939"/>
        <v>0</v>
      </c>
      <c r="BF1039" s="44">
        <f t="shared" ca="1" si="1940"/>
        <v>0</v>
      </c>
      <c r="BG1039" s="872">
        <f t="shared" ca="1" si="1941"/>
        <v>0</v>
      </c>
      <c r="BH1039" s="922">
        <f t="shared" ca="1" si="1942"/>
        <v>0</v>
      </c>
    </row>
    <row r="1040" spans="1:60" s="38" customFormat="1" ht="14.5">
      <c r="A1040" s="990">
        <f t="shared" si="1918"/>
        <v>953</v>
      </c>
      <c r="B1040" s="990">
        <v>1</v>
      </c>
      <c r="C1040" s="990">
        <f t="shared" si="1919"/>
        <v>1037</v>
      </c>
      <c r="E1040" s="1243">
        <v>1</v>
      </c>
      <c r="F1040" s="5"/>
      <c r="G1040" s="5"/>
      <c r="H1040" s="5"/>
      <c r="I1040" s="333"/>
      <c r="J1040" s="5"/>
      <c r="K1040" s="4"/>
      <c r="L1040" s="5"/>
      <c r="M1040" s="5"/>
      <c r="N1040" s="45"/>
      <c r="O1040" s="45" t="s">
        <v>121</v>
      </c>
      <c r="P1040" s="4"/>
      <c r="Q1040" s="1844" t="str">
        <f>CHOOSE(2, "6722000003959", "HC DW-DX FE/TTOC Service Total Dealer(Indirect) support")</f>
        <v>HC DW-DX FE/TTOC Service Total Dealer(Indirect) support</v>
      </c>
      <c r="R1040" s="2030">
        <v>0</v>
      </c>
      <c r="S1040" s="2030">
        <v>0</v>
      </c>
      <c r="T1040" s="2030">
        <v>0</v>
      </c>
      <c r="U1040" s="2030">
        <v>0</v>
      </c>
      <c r="V1040" s="2030">
        <v>0</v>
      </c>
      <c r="W1040" s="2030">
        <v>0</v>
      </c>
      <c r="X1040" s="2030">
        <v>0</v>
      </c>
      <c r="Y1040" s="2030">
        <v>0</v>
      </c>
      <c r="Z1040" s="2030">
        <v>0</v>
      </c>
      <c r="AA1040" s="2030">
        <v>0</v>
      </c>
      <c r="AB1040" s="2030">
        <v>0</v>
      </c>
      <c r="AC1040" s="2030">
        <v>0</v>
      </c>
      <c r="AD1040" s="1511">
        <f>T1040</f>
        <v>0</v>
      </c>
      <c r="AE1040" s="44">
        <f>W1040</f>
        <v>0</v>
      </c>
      <c r="AF1040" s="44">
        <f>Z1040</f>
        <v>0</v>
      </c>
      <c r="AG1040" s="44">
        <f>AC1040</f>
        <v>0</v>
      </c>
      <c r="AH1040" s="44">
        <f>AE1040</f>
        <v>0</v>
      </c>
      <c r="AI1040" s="44">
        <f>AG1040</f>
        <v>0</v>
      </c>
      <c r="AJ1040" s="44">
        <f>AI1040</f>
        <v>0</v>
      </c>
      <c r="AL1040" s="44">
        <f t="shared" ca="1" si="1922"/>
        <v>0</v>
      </c>
      <c r="AM1040" s="44">
        <f t="shared" ca="1" si="1923"/>
        <v>0</v>
      </c>
      <c r="AN1040" s="872">
        <f t="shared" ca="1" si="1924"/>
        <v>0</v>
      </c>
      <c r="AO1040" s="922">
        <f t="shared" ca="1" si="1925"/>
        <v>0</v>
      </c>
      <c r="AP1040" s="44">
        <f t="shared" ca="1" si="1926"/>
        <v>0</v>
      </c>
      <c r="AQ1040" s="872">
        <f t="shared" ca="1" si="1927"/>
        <v>0</v>
      </c>
      <c r="AR1040" s="922">
        <f t="shared" ca="1" si="1928"/>
        <v>0</v>
      </c>
      <c r="AT1040" s="44">
        <f t="shared" ca="1" si="1929"/>
        <v>0</v>
      </c>
      <c r="AU1040" s="44">
        <f t="shared" ca="1" si="1930"/>
        <v>0</v>
      </c>
      <c r="AV1040" s="872">
        <f t="shared" ca="1" si="1931"/>
        <v>0</v>
      </c>
      <c r="AW1040" s="922">
        <f t="shared" ca="1" si="1932"/>
        <v>0</v>
      </c>
      <c r="AX1040" s="44">
        <f t="shared" ca="1" si="1933"/>
        <v>0</v>
      </c>
      <c r="AY1040" s="872">
        <f t="shared" ca="1" si="1934"/>
        <v>0</v>
      </c>
      <c r="AZ1040" s="922">
        <f t="shared" ca="1" si="1935"/>
        <v>0</v>
      </c>
      <c r="BB1040" s="44">
        <f t="shared" ca="1" si="1936"/>
        <v>0</v>
      </c>
      <c r="BC1040" s="44">
        <f t="shared" ca="1" si="1937"/>
        <v>0</v>
      </c>
      <c r="BD1040" s="872">
        <f t="shared" ca="1" si="1938"/>
        <v>0</v>
      </c>
      <c r="BE1040" s="922">
        <f t="shared" ca="1" si="1939"/>
        <v>0</v>
      </c>
      <c r="BF1040" s="44">
        <f t="shared" ca="1" si="1940"/>
        <v>0</v>
      </c>
      <c r="BG1040" s="872">
        <f t="shared" ca="1" si="1941"/>
        <v>0</v>
      </c>
      <c r="BH1040" s="922">
        <f t="shared" ca="1" si="1942"/>
        <v>0</v>
      </c>
    </row>
    <row r="1041" spans="1:60" s="38" customFormat="1" ht="14.5">
      <c r="A1041" s="990">
        <f t="shared" si="1918"/>
        <v>954</v>
      </c>
      <c r="B1041" s="990">
        <v>1</v>
      </c>
      <c r="C1041" s="990">
        <f t="shared" si="1919"/>
        <v>1038</v>
      </c>
      <c r="E1041" s="1243">
        <v>1</v>
      </c>
      <c r="F1041" s="5"/>
      <c r="G1041" s="5"/>
      <c r="H1041" s="5"/>
      <c r="I1041" s="333"/>
      <c r="J1041" s="5"/>
      <c r="K1041" s="4"/>
      <c r="L1041" s="5"/>
      <c r="M1041" s="5"/>
      <c r="N1041" s="45"/>
      <c r="O1041" s="45" t="s">
        <v>120</v>
      </c>
      <c r="P1041" s="4"/>
      <c r="Q1041" s="1844" t="str">
        <f>CHOOSE(2, "6722000003960", "HC DW-DX FE/TTOC Service Total Administration/Others")</f>
        <v>HC DW-DX FE/TTOC Service Total Administration/Others</v>
      </c>
      <c r="R1041" s="2030">
        <v>0</v>
      </c>
      <c r="S1041" s="2030">
        <v>0</v>
      </c>
      <c r="T1041" s="2030">
        <v>0</v>
      </c>
      <c r="U1041" s="2030">
        <v>0</v>
      </c>
      <c r="V1041" s="2030">
        <v>0</v>
      </c>
      <c r="W1041" s="2030">
        <v>0</v>
      </c>
      <c r="X1041" s="2030">
        <v>0</v>
      </c>
      <c r="Y1041" s="2030">
        <v>0</v>
      </c>
      <c r="Z1041" s="2030">
        <v>0</v>
      </c>
      <c r="AA1041" s="2030">
        <v>0</v>
      </c>
      <c r="AB1041" s="2030">
        <v>0</v>
      </c>
      <c r="AC1041" s="2030">
        <v>0</v>
      </c>
      <c r="AD1041" s="1511">
        <f>T1041</f>
        <v>0</v>
      </c>
      <c r="AE1041" s="44">
        <f>W1041</f>
        <v>0</v>
      </c>
      <c r="AF1041" s="44">
        <f>Z1041</f>
        <v>0</v>
      </c>
      <c r="AG1041" s="44">
        <f>AC1041</f>
        <v>0</v>
      </c>
      <c r="AH1041" s="44">
        <f>AE1041</f>
        <v>0</v>
      </c>
      <c r="AI1041" s="44">
        <f>AG1041</f>
        <v>0</v>
      </c>
      <c r="AJ1041" s="44">
        <f>AI1041</f>
        <v>0</v>
      </c>
      <c r="AL1041" s="44">
        <f t="shared" ca="1" si="1922"/>
        <v>0</v>
      </c>
      <c r="AM1041" s="44">
        <f t="shared" ca="1" si="1923"/>
        <v>0</v>
      </c>
      <c r="AN1041" s="872">
        <f t="shared" ca="1" si="1924"/>
        <v>0</v>
      </c>
      <c r="AO1041" s="922">
        <f t="shared" ca="1" si="1925"/>
        <v>0</v>
      </c>
      <c r="AP1041" s="44">
        <f t="shared" ca="1" si="1926"/>
        <v>0</v>
      </c>
      <c r="AQ1041" s="872">
        <f t="shared" ca="1" si="1927"/>
        <v>0</v>
      </c>
      <c r="AR1041" s="922">
        <f t="shared" ca="1" si="1928"/>
        <v>0</v>
      </c>
      <c r="AT1041" s="44">
        <f t="shared" ca="1" si="1929"/>
        <v>0</v>
      </c>
      <c r="AU1041" s="44">
        <f t="shared" ca="1" si="1930"/>
        <v>0</v>
      </c>
      <c r="AV1041" s="872">
        <f t="shared" ca="1" si="1931"/>
        <v>0</v>
      </c>
      <c r="AW1041" s="922">
        <f t="shared" ca="1" si="1932"/>
        <v>0</v>
      </c>
      <c r="AX1041" s="44">
        <f t="shared" ca="1" si="1933"/>
        <v>0</v>
      </c>
      <c r="AY1041" s="872">
        <f t="shared" ca="1" si="1934"/>
        <v>0</v>
      </c>
      <c r="AZ1041" s="922">
        <f t="shared" ca="1" si="1935"/>
        <v>0</v>
      </c>
      <c r="BB1041" s="44">
        <f t="shared" ca="1" si="1936"/>
        <v>0</v>
      </c>
      <c r="BC1041" s="44">
        <f t="shared" ca="1" si="1937"/>
        <v>0</v>
      </c>
      <c r="BD1041" s="872">
        <f t="shared" ca="1" si="1938"/>
        <v>0</v>
      </c>
      <c r="BE1041" s="922">
        <f t="shared" ca="1" si="1939"/>
        <v>0</v>
      </c>
      <c r="BF1041" s="44">
        <f t="shared" ca="1" si="1940"/>
        <v>0</v>
      </c>
      <c r="BG1041" s="872">
        <f t="shared" ca="1" si="1941"/>
        <v>0</v>
      </c>
      <c r="BH1041" s="922">
        <f t="shared" ca="1" si="1942"/>
        <v>0</v>
      </c>
    </row>
    <row r="1042" spans="1:60" s="38" customFormat="1" ht="14.5">
      <c r="A1042" s="990">
        <f t="shared" si="1918"/>
        <v>955</v>
      </c>
      <c r="B1042" s="990">
        <v>1</v>
      </c>
      <c r="C1042" s="990">
        <f t="shared" si="1919"/>
        <v>1039</v>
      </c>
      <c r="D1042" s="1121" t="s">
        <v>887</v>
      </c>
      <c r="E1042" s="1243">
        <v>1</v>
      </c>
      <c r="F1042" s="5"/>
      <c r="G1042" s="5"/>
      <c r="H1042" s="5"/>
      <c r="I1042" s="333"/>
      <c r="J1042" s="324" t="s">
        <v>276</v>
      </c>
      <c r="K1042" s="48"/>
      <c r="L1042" s="48"/>
      <c r="M1042" s="47"/>
      <c r="N1042" s="47"/>
      <c r="O1042" s="47"/>
      <c r="P1042" s="323"/>
      <c r="Q1042" s="1851" t="str">
        <f>CHOOSE(2, "6722000003961", "HC DW-DX FE/TTOC Marketing Total")</f>
        <v>HC DW-DX FE/TTOC Marketing Total</v>
      </c>
      <c r="R1042" s="325">
        <f>SUM(R1043:R1046)</f>
        <v>1</v>
      </c>
      <c r="S1042" s="325">
        <f t="shared" ref="S1042:AC1042" si="1947">SUM(S1043:S1046)</f>
        <v>1</v>
      </c>
      <c r="T1042" s="325">
        <f t="shared" si="1947"/>
        <v>1</v>
      </c>
      <c r="U1042" s="325">
        <f t="shared" si="1947"/>
        <v>1</v>
      </c>
      <c r="V1042" s="325">
        <f t="shared" si="1947"/>
        <v>1</v>
      </c>
      <c r="W1042" s="325">
        <f t="shared" si="1947"/>
        <v>1</v>
      </c>
      <c r="X1042" s="325">
        <f t="shared" si="1947"/>
        <v>1</v>
      </c>
      <c r="Y1042" s="325">
        <f t="shared" si="1947"/>
        <v>1</v>
      </c>
      <c r="Z1042" s="325">
        <f t="shared" si="1947"/>
        <v>1</v>
      </c>
      <c r="AA1042" s="325">
        <f t="shared" si="1947"/>
        <v>1</v>
      </c>
      <c r="AB1042" s="325">
        <f t="shared" si="1947"/>
        <v>1</v>
      </c>
      <c r="AC1042" s="325">
        <f t="shared" si="1947"/>
        <v>1</v>
      </c>
      <c r="AD1042" s="1278">
        <f t="shared" ref="AD1042:AJ1042" si="1948">SUM(AD1043:AD1046)</f>
        <v>1</v>
      </c>
      <c r="AE1042" s="46">
        <f t="shared" si="1948"/>
        <v>1</v>
      </c>
      <c r="AF1042" s="46">
        <f t="shared" si="1948"/>
        <v>1</v>
      </c>
      <c r="AG1042" s="46">
        <f t="shared" si="1948"/>
        <v>1</v>
      </c>
      <c r="AH1042" s="46">
        <f t="shared" si="1948"/>
        <v>1</v>
      </c>
      <c r="AI1042" s="46">
        <f t="shared" si="1948"/>
        <v>1</v>
      </c>
      <c r="AJ1042" s="46">
        <f t="shared" si="1948"/>
        <v>1</v>
      </c>
      <c r="AL1042" s="325">
        <f t="shared" ca="1" si="1922"/>
        <v>1</v>
      </c>
      <c r="AM1042" s="325">
        <f t="shared" ca="1" si="1923"/>
        <v>0</v>
      </c>
      <c r="AN1042" s="915">
        <f t="shared" ca="1" si="1924"/>
        <v>1</v>
      </c>
      <c r="AO1042" s="976">
        <f t="shared" ca="1" si="1925"/>
        <v>0</v>
      </c>
      <c r="AP1042" s="325">
        <f t="shared" ca="1" si="1926"/>
        <v>1</v>
      </c>
      <c r="AQ1042" s="915">
        <f t="shared" ca="1" si="1927"/>
        <v>0</v>
      </c>
      <c r="AR1042" s="976">
        <f t="shared" ca="1" si="1928"/>
        <v>1</v>
      </c>
      <c r="AT1042" s="325">
        <f t="shared" ca="1" si="1929"/>
        <v>1</v>
      </c>
      <c r="AU1042" s="325">
        <f t="shared" ca="1" si="1930"/>
        <v>0</v>
      </c>
      <c r="AV1042" s="915">
        <f t="shared" ca="1" si="1931"/>
        <v>1</v>
      </c>
      <c r="AW1042" s="976">
        <f t="shared" ca="1" si="1932"/>
        <v>0</v>
      </c>
      <c r="AX1042" s="325">
        <f t="shared" ca="1" si="1933"/>
        <v>1</v>
      </c>
      <c r="AY1042" s="915">
        <f t="shared" ca="1" si="1934"/>
        <v>0</v>
      </c>
      <c r="AZ1042" s="976">
        <f t="shared" ca="1" si="1935"/>
        <v>1</v>
      </c>
      <c r="BB1042" s="325">
        <f t="shared" ca="1" si="1936"/>
        <v>1</v>
      </c>
      <c r="BC1042" s="325">
        <f t="shared" ca="1" si="1937"/>
        <v>0</v>
      </c>
      <c r="BD1042" s="915">
        <f t="shared" ca="1" si="1938"/>
        <v>1</v>
      </c>
      <c r="BE1042" s="976">
        <f t="shared" ca="1" si="1939"/>
        <v>0</v>
      </c>
      <c r="BF1042" s="325">
        <f t="shared" ca="1" si="1940"/>
        <v>1</v>
      </c>
      <c r="BG1042" s="915">
        <f t="shared" ca="1" si="1941"/>
        <v>0</v>
      </c>
      <c r="BH1042" s="976">
        <f t="shared" ca="1" si="1942"/>
        <v>1</v>
      </c>
    </row>
    <row r="1043" spans="1:60" s="38" customFormat="1" ht="14.5">
      <c r="A1043" s="990">
        <f t="shared" si="1918"/>
        <v>956</v>
      </c>
      <c r="B1043" s="990">
        <v>1</v>
      </c>
      <c r="C1043" s="990">
        <f t="shared" si="1919"/>
        <v>1040</v>
      </c>
      <c r="E1043" s="1243">
        <v>1</v>
      </c>
      <c r="F1043" s="5"/>
      <c r="G1043" s="5"/>
      <c r="H1043" s="5"/>
      <c r="I1043" s="333"/>
      <c r="J1043" s="5"/>
      <c r="K1043" s="5"/>
      <c r="L1043" s="5"/>
      <c r="M1043" s="4"/>
      <c r="N1043" s="45"/>
      <c r="O1043" s="45" t="s">
        <v>323</v>
      </c>
      <c r="P1043" s="4"/>
      <c r="Q1043" s="1844" t="str">
        <f>CHOOSE(2, "6722000003962", "HC DW-DX FE/TTOC Marketing Total Business Development")</f>
        <v>HC DW-DX FE/TTOC Marketing Total Business Development</v>
      </c>
      <c r="R1043" s="2030">
        <v>0</v>
      </c>
      <c r="S1043" s="2030">
        <v>0</v>
      </c>
      <c r="T1043" s="2030">
        <v>0</v>
      </c>
      <c r="U1043" s="2030">
        <v>0</v>
      </c>
      <c r="V1043" s="2030">
        <v>0</v>
      </c>
      <c r="W1043" s="2030">
        <v>0</v>
      </c>
      <c r="X1043" s="2030">
        <v>0</v>
      </c>
      <c r="Y1043" s="2030">
        <v>0</v>
      </c>
      <c r="Z1043" s="2030">
        <v>0</v>
      </c>
      <c r="AA1043" s="2030">
        <v>0</v>
      </c>
      <c r="AB1043" s="2030">
        <v>0</v>
      </c>
      <c r="AC1043" s="2030">
        <v>0</v>
      </c>
      <c r="AD1043" s="1511">
        <f>T1043</f>
        <v>0</v>
      </c>
      <c r="AE1043" s="44">
        <f>W1043</f>
        <v>0</v>
      </c>
      <c r="AF1043" s="44">
        <f>Z1043</f>
        <v>0</v>
      </c>
      <c r="AG1043" s="44">
        <f>AC1043</f>
        <v>0</v>
      </c>
      <c r="AH1043" s="44">
        <f>AE1043</f>
        <v>0</v>
      </c>
      <c r="AI1043" s="44">
        <f>AG1043</f>
        <v>0</v>
      </c>
      <c r="AJ1043" s="44">
        <f>AI1043</f>
        <v>0</v>
      </c>
      <c r="AL1043" s="44">
        <f t="shared" ca="1" si="1922"/>
        <v>0</v>
      </c>
      <c r="AM1043" s="44">
        <f t="shared" ca="1" si="1923"/>
        <v>0</v>
      </c>
      <c r="AN1043" s="872">
        <f t="shared" ca="1" si="1924"/>
        <v>0</v>
      </c>
      <c r="AO1043" s="922">
        <f t="shared" ca="1" si="1925"/>
        <v>0</v>
      </c>
      <c r="AP1043" s="44">
        <f t="shared" ca="1" si="1926"/>
        <v>0</v>
      </c>
      <c r="AQ1043" s="872">
        <f t="shared" ca="1" si="1927"/>
        <v>0</v>
      </c>
      <c r="AR1043" s="922">
        <f t="shared" ca="1" si="1928"/>
        <v>0</v>
      </c>
      <c r="AT1043" s="44">
        <f t="shared" ca="1" si="1929"/>
        <v>0</v>
      </c>
      <c r="AU1043" s="44">
        <f t="shared" ca="1" si="1930"/>
        <v>0</v>
      </c>
      <c r="AV1043" s="872">
        <f t="shared" ca="1" si="1931"/>
        <v>0</v>
      </c>
      <c r="AW1043" s="922">
        <f t="shared" ca="1" si="1932"/>
        <v>0</v>
      </c>
      <c r="AX1043" s="44">
        <f t="shared" ca="1" si="1933"/>
        <v>0</v>
      </c>
      <c r="AY1043" s="872">
        <f t="shared" ca="1" si="1934"/>
        <v>0</v>
      </c>
      <c r="AZ1043" s="922">
        <f t="shared" ca="1" si="1935"/>
        <v>0</v>
      </c>
      <c r="BB1043" s="44">
        <f t="shared" ca="1" si="1936"/>
        <v>0</v>
      </c>
      <c r="BC1043" s="44">
        <f t="shared" ca="1" si="1937"/>
        <v>0</v>
      </c>
      <c r="BD1043" s="872">
        <f t="shared" ca="1" si="1938"/>
        <v>0</v>
      </c>
      <c r="BE1043" s="922">
        <f t="shared" ca="1" si="1939"/>
        <v>0</v>
      </c>
      <c r="BF1043" s="44">
        <f t="shared" ca="1" si="1940"/>
        <v>0</v>
      </c>
      <c r="BG1043" s="872">
        <f t="shared" ca="1" si="1941"/>
        <v>0</v>
      </c>
      <c r="BH1043" s="922">
        <f t="shared" ca="1" si="1942"/>
        <v>0</v>
      </c>
    </row>
    <row r="1044" spans="1:60" s="38" customFormat="1" ht="14.5">
      <c r="A1044" s="990">
        <f t="shared" si="1918"/>
        <v>957</v>
      </c>
      <c r="B1044" s="990">
        <v>1</v>
      </c>
      <c r="C1044" s="990">
        <f t="shared" si="1919"/>
        <v>1041</v>
      </c>
      <c r="E1044" s="1243">
        <v>1</v>
      </c>
      <c r="F1044" s="5"/>
      <c r="G1044" s="5"/>
      <c r="H1044" s="5"/>
      <c r="I1044" s="333"/>
      <c r="J1044" s="5"/>
      <c r="K1044" s="5"/>
      <c r="L1044" s="5"/>
      <c r="M1044" s="4"/>
      <c r="N1044" s="45"/>
      <c r="O1044" s="45" t="s">
        <v>324</v>
      </c>
      <c r="P1044" s="4"/>
      <c r="Q1044" s="1844" t="str">
        <f>CHOOSE(2, "6722000003963", "HC DW-DX FE/TTOC Marketing Total Channel Marketing")</f>
        <v>HC DW-DX FE/TTOC Marketing Total Channel Marketing</v>
      </c>
      <c r="R1044" s="2030">
        <v>0</v>
      </c>
      <c r="S1044" s="2030">
        <v>0</v>
      </c>
      <c r="T1044" s="2030">
        <v>0</v>
      </c>
      <c r="U1044" s="2030">
        <v>0</v>
      </c>
      <c r="V1044" s="2030">
        <v>0</v>
      </c>
      <c r="W1044" s="2030">
        <v>0</v>
      </c>
      <c r="X1044" s="2030">
        <v>0</v>
      </c>
      <c r="Y1044" s="2030">
        <v>0</v>
      </c>
      <c r="Z1044" s="2030">
        <v>0</v>
      </c>
      <c r="AA1044" s="2030">
        <v>0</v>
      </c>
      <c r="AB1044" s="2030">
        <v>0</v>
      </c>
      <c r="AC1044" s="2030">
        <v>0</v>
      </c>
      <c r="AD1044" s="1511">
        <f>T1044</f>
        <v>0</v>
      </c>
      <c r="AE1044" s="44">
        <f>W1044</f>
        <v>0</v>
      </c>
      <c r="AF1044" s="44">
        <f>Z1044</f>
        <v>0</v>
      </c>
      <c r="AG1044" s="44">
        <f>AC1044</f>
        <v>0</v>
      </c>
      <c r="AH1044" s="44">
        <f>AE1044</f>
        <v>0</v>
      </c>
      <c r="AI1044" s="44">
        <f>AG1044</f>
        <v>0</v>
      </c>
      <c r="AJ1044" s="44">
        <f>AI1044</f>
        <v>0</v>
      </c>
      <c r="AL1044" s="44">
        <f t="shared" ca="1" si="1922"/>
        <v>0</v>
      </c>
      <c r="AM1044" s="44">
        <f t="shared" ca="1" si="1923"/>
        <v>0</v>
      </c>
      <c r="AN1044" s="872">
        <f t="shared" ca="1" si="1924"/>
        <v>0</v>
      </c>
      <c r="AO1044" s="922">
        <f t="shared" ca="1" si="1925"/>
        <v>0</v>
      </c>
      <c r="AP1044" s="44">
        <f t="shared" ca="1" si="1926"/>
        <v>0</v>
      </c>
      <c r="AQ1044" s="872">
        <f t="shared" ca="1" si="1927"/>
        <v>0</v>
      </c>
      <c r="AR1044" s="922">
        <f t="shared" ca="1" si="1928"/>
        <v>0</v>
      </c>
      <c r="AT1044" s="44">
        <f t="shared" ca="1" si="1929"/>
        <v>0</v>
      </c>
      <c r="AU1044" s="44">
        <f t="shared" ca="1" si="1930"/>
        <v>0</v>
      </c>
      <c r="AV1044" s="872">
        <f t="shared" ca="1" si="1931"/>
        <v>0</v>
      </c>
      <c r="AW1044" s="922">
        <f t="shared" ca="1" si="1932"/>
        <v>0</v>
      </c>
      <c r="AX1044" s="44">
        <f t="shared" ca="1" si="1933"/>
        <v>0</v>
      </c>
      <c r="AY1044" s="872">
        <f t="shared" ca="1" si="1934"/>
        <v>0</v>
      </c>
      <c r="AZ1044" s="922">
        <f t="shared" ca="1" si="1935"/>
        <v>0</v>
      </c>
      <c r="BB1044" s="44">
        <f t="shared" ca="1" si="1936"/>
        <v>0</v>
      </c>
      <c r="BC1044" s="44">
        <f t="shared" ca="1" si="1937"/>
        <v>0</v>
      </c>
      <c r="BD1044" s="872">
        <f t="shared" ca="1" si="1938"/>
        <v>0</v>
      </c>
      <c r="BE1044" s="922">
        <f t="shared" ca="1" si="1939"/>
        <v>0</v>
      </c>
      <c r="BF1044" s="44">
        <f t="shared" ca="1" si="1940"/>
        <v>0</v>
      </c>
      <c r="BG1044" s="872">
        <f t="shared" ca="1" si="1941"/>
        <v>0</v>
      </c>
      <c r="BH1044" s="922">
        <f t="shared" ca="1" si="1942"/>
        <v>0</v>
      </c>
    </row>
    <row r="1045" spans="1:60" s="38" customFormat="1" ht="14.5">
      <c r="A1045" s="990">
        <f t="shared" si="1918"/>
        <v>958</v>
      </c>
      <c r="B1045" s="990">
        <v>1</v>
      </c>
      <c r="C1045" s="990">
        <f t="shared" si="1919"/>
        <v>1042</v>
      </c>
      <c r="E1045" s="1243">
        <v>1</v>
      </c>
      <c r="F1045" s="5"/>
      <c r="G1045" s="5"/>
      <c r="H1045" s="5"/>
      <c r="I1045" s="333"/>
      <c r="J1045" s="5"/>
      <c r="K1045" s="5"/>
      <c r="L1045" s="5"/>
      <c r="M1045" s="4"/>
      <c r="N1045" s="45"/>
      <c r="O1045" s="45" t="s">
        <v>325</v>
      </c>
      <c r="P1045" s="4"/>
      <c r="Q1045" s="1844" t="str">
        <f>CHOOSE(2, "6722000003964", "HC DW-DX FE/TTOC Marketing Total Product Marketing")</f>
        <v>HC DW-DX FE/TTOC Marketing Total Product Marketing</v>
      </c>
      <c r="R1045" s="2789">
        <v>1</v>
      </c>
      <c r="S1045" s="2030">
        <v>1</v>
      </c>
      <c r="T1045" s="2030">
        <v>1</v>
      </c>
      <c r="U1045" s="2030">
        <v>1</v>
      </c>
      <c r="V1045" s="2030">
        <v>1</v>
      </c>
      <c r="W1045" s="2030">
        <v>1</v>
      </c>
      <c r="X1045" s="2030">
        <v>1</v>
      </c>
      <c r="Y1045" s="2030">
        <v>1</v>
      </c>
      <c r="Z1045" s="2030">
        <v>1</v>
      </c>
      <c r="AA1045" s="2030">
        <v>1</v>
      </c>
      <c r="AB1045" s="2030">
        <v>1</v>
      </c>
      <c r="AC1045" s="2030">
        <v>1</v>
      </c>
      <c r="AD1045" s="1511">
        <f>T1045</f>
        <v>1</v>
      </c>
      <c r="AE1045" s="44">
        <f>W1045</f>
        <v>1</v>
      </c>
      <c r="AF1045" s="44">
        <f>Z1045</f>
        <v>1</v>
      </c>
      <c r="AG1045" s="44">
        <f>AC1045</f>
        <v>1</v>
      </c>
      <c r="AH1045" s="44">
        <f>AE1045</f>
        <v>1</v>
      </c>
      <c r="AI1045" s="44">
        <f>AG1045</f>
        <v>1</v>
      </c>
      <c r="AJ1045" s="44">
        <f>AI1045</f>
        <v>1</v>
      </c>
      <c r="AL1045" s="44">
        <f t="shared" ca="1" si="1922"/>
        <v>1</v>
      </c>
      <c r="AM1045" s="44">
        <f t="shared" ca="1" si="1923"/>
        <v>0</v>
      </c>
      <c r="AN1045" s="872">
        <f t="shared" ca="1" si="1924"/>
        <v>1</v>
      </c>
      <c r="AO1045" s="922">
        <f t="shared" ca="1" si="1925"/>
        <v>0</v>
      </c>
      <c r="AP1045" s="44">
        <f t="shared" ca="1" si="1926"/>
        <v>1</v>
      </c>
      <c r="AQ1045" s="872">
        <f t="shared" ca="1" si="1927"/>
        <v>0</v>
      </c>
      <c r="AR1045" s="922">
        <f t="shared" ca="1" si="1928"/>
        <v>1</v>
      </c>
      <c r="AT1045" s="44">
        <f t="shared" ca="1" si="1929"/>
        <v>1</v>
      </c>
      <c r="AU1045" s="44">
        <f t="shared" ca="1" si="1930"/>
        <v>0</v>
      </c>
      <c r="AV1045" s="872">
        <f t="shared" ca="1" si="1931"/>
        <v>1</v>
      </c>
      <c r="AW1045" s="922">
        <f t="shared" ca="1" si="1932"/>
        <v>0</v>
      </c>
      <c r="AX1045" s="44">
        <f t="shared" ca="1" si="1933"/>
        <v>1</v>
      </c>
      <c r="AY1045" s="872">
        <f t="shared" ca="1" si="1934"/>
        <v>0</v>
      </c>
      <c r="AZ1045" s="922">
        <f t="shared" ca="1" si="1935"/>
        <v>1</v>
      </c>
      <c r="BB1045" s="44">
        <f t="shared" ca="1" si="1936"/>
        <v>1</v>
      </c>
      <c r="BC1045" s="44">
        <f t="shared" ca="1" si="1937"/>
        <v>0</v>
      </c>
      <c r="BD1045" s="872">
        <f t="shared" ca="1" si="1938"/>
        <v>1</v>
      </c>
      <c r="BE1045" s="922">
        <f t="shared" ca="1" si="1939"/>
        <v>0</v>
      </c>
      <c r="BF1045" s="44">
        <f t="shared" ca="1" si="1940"/>
        <v>1</v>
      </c>
      <c r="BG1045" s="872">
        <f t="shared" ca="1" si="1941"/>
        <v>0</v>
      </c>
      <c r="BH1045" s="922">
        <f t="shared" ca="1" si="1942"/>
        <v>1</v>
      </c>
    </row>
    <row r="1046" spans="1:60" s="38" customFormat="1" ht="14.5">
      <c r="A1046" s="990">
        <f t="shared" si="1918"/>
        <v>959</v>
      </c>
      <c r="B1046" s="990">
        <v>1</v>
      </c>
      <c r="C1046" s="990">
        <f t="shared" si="1919"/>
        <v>1043</v>
      </c>
      <c r="E1046" s="1243">
        <v>1</v>
      </c>
      <c r="F1046" s="5"/>
      <c r="G1046" s="5"/>
      <c r="H1046" s="5"/>
      <c r="I1046" s="333"/>
      <c r="J1046" s="3"/>
      <c r="K1046" s="3"/>
      <c r="L1046" s="3"/>
      <c r="M1046" s="2"/>
      <c r="N1046" s="43"/>
      <c r="O1046" s="43" t="s">
        <v>326</v>
      </c>
      <c r="P1046" s="2"/>
      <c r="Q1046" s="1844" t="str">
        <f>CHOOSE(2, "6722000003965", "HC DW-DX FE/TTOC Marketing Total MC / O")</f>
        <v>HC DW-DX FE/TTOC Marketing Total MC / O</v>
      </c>
      <c r="R1046" s="2029">
        <v>0</v>
      </c>
      <c r="S1046" s="2029">
        <v>0</v>
      </c>
      <c r="T1046" s="2029">
        <v>0</v>
      </c>
      <c r="U1046" s="2029">
        <v>0</v>
      </c>
      <c r="V1046" s="2029">
        <v>0</v>
      </c>
      <c r="W1046" s="2029">
        <v>0</v>
      </c>
      <c r="X1046" s="2029">
        <v>0</v>
      </c>
      <c r="Y1046" s="2029">
        <v>0</v>
      </c>
      <c r="Z1046" s="2029">
        <v>0</v>
      </c>
      <c r="AA1046" s="2029">
        <v>0</v>
      </c>
      <c r="AB1046" s="2029">
        <v>0</v>
      </c>
      <c r="AC1046" s="2029">
        <v>0</v>
      </c>
      <c r="AD1046" s="1554">
        <f>T1046</f>
        <v>0</v>
      </c>
      <c r="AE1046" s="42">
        <f>W1046</f>
        <v>0</v>
      </c>
      <c r="AF1046" s="42">
        <f>Z1046</f>
        <v>0</v>
      </c>
      <c r="AG1046" s="42">
        <f>AC1046</f>
        <v>0</v>
      </c>
      <c r="AH1046" s="42">
        <f>AE1046</f>
        <v>0</v>
      </c>
      <c r="AI1046" s="42">
        <f>AG1046</f>
        <v>0</v>
      </c>
      <c r="AJ1046" s="42">
        <f>AI1046</f>
        <v>0</v>
      </c>
      <c r="AL1046" s="42">
        <f t="shared" ca="1" si="1922"/>
        <v>0</v>
      </c>
      <c r="AM1046" s="42">
        <f t="shared" ca="1" si="1923"/>
        <v>0</v>
      </c>
      <c r="AN1046" s="914">
        <f t="shared" ca="1" si="1924"/>
        <v>0</v>
      </c>
      <c r="AO1046" s="975">
        <f t="shared" ca="1" si="1925"/>
        <v>0</v>
      </c>
      <c r="AP1046" s="42">
        <f t="shared" ca="1" si="1926"/>
        <v>0</v>
      </c>
      <c r="AQ1046" s="914">
        <f t="shared" ca="1" si="1927"/>
        <v>0</v>
      </c>
      <c r="AR1046" s="975">
        <f t="shared" ca="1" si="1928"/>
        <v>0</v>
      </c>
      <c r="AT1046" s="42">
        <f t="shared" ca="1" si="1929"/>
        <v>0</v>
      </c>
      <c r="AU1046" s="42">
        <f t="shared" ca="1" si="1930"/>
        <v>0</v>
      </c>
      <c r="AV1046" s="914">
        <f t="shared" ca="1" si="1931"/>
        <v>0</v>
      </c>
      <c r="AW1046" s="975">
        <f t="shared" ca="1" si="1932"/>
        <v>0</v>
      </c>
      <c r="AX1046" s="42">
        <f t="shared" ca="1" si="1933"/>
        <v>0</v>
      </c>
      <c r="AY1046" s="914">
        <f t="shared" ca="1" si="1934"/>
        <v>0</v>
      </c>
      <c r="AZ1046" s="975">
        <f t="shared" ca="1" si="1935"/>
        <v>0</v>
      </c>
      <c r="BB1046" s="42">
        <f t="shared" ca="1" si="1936"/>
        <v>0</v>
      </c>
      <c r="BC1046" s="42">
        <f t="shared" ca="1" si="1937"/>
        <v>0</v>
      </c>
      <c r="BD1046" s="914">
        <f t="shared" ca="1" si="1938"/>
        <v>0</v>
      </c>
      <c r="BE1046" s="975">
        <f t="shared" ca="1" si="1939"/>
        <v>0</v>
      </c>
      <c r="BF1046" s="42">
        <f t="shared" ca="1" si="1940"/>
        <v>0</v>
      </c>
      <c r="BG1046" s="914">
        <f t="shared" ca="1" si="1941"/>
        <v>0</v>
      </c>
      <c r="BH1046" s="975">
        <f t="shared" ca="1" si="1942"/>
        <v>0</v>
      </c>
    </row>
    <row r="1047" spans="1:60" s="38" customFormat="1" ht="14.5">
      <c r="A1047" s="990">
        <f t="shared" si="1918"/>
        <v>960</v>
      </c>
      <c r="B1047" s="990">
        <v>1</v>
      </c>
      <c r="C1047" s="990">
        <f t="shared" si="1919"/>
        <v>1044</v>
      </c>
      <c r="D1047" s="1121" t="s">
        <v>887</v>
      </c>
      <c r="E1047" s="1243">
        <v>1</v>
      </c>
      <c r="F1047" s="5"/>
      <c r="G1047" s="5"/>
      <c r="H1047" s="5"/>
      <c r="I1047" s="333"/>
      <c r="J1047" s="52" t="s">
        <v>231</v>
      </c>
      <c r="K1047" s="52"/>
      <c r="L1047" s="52"/>
      <c r="M1047" s="51"/>
      <c r="N1047" s="51"/>
      <c r="O1047" s="51"/>
      <c r="P1047" s="51"/>
      <c r="Q1047" s="1851" t="str">
        <f>CHOOSE(2, "6722000003966", "HC DW-DX FE/TTOC Administration Total")</f>
        <v>HC DW-DX FE/TTOC Administration Total</v>
      </c>
      <c r="R1047" s="49">
        <f>SUM(R1048:R1052)</f>
        <v>1</v>
      </c>
      <c r="S1047" s="49">
        <f t="shared" ref="S1047:AC1047" si="1949">SUM(S1048:S1052)</f>
        <v>0</v>
      </c>
      <c r="T1047" s="49">
        <f t="shared" si="1949"/>
        <v>0</v>
      </c>
      <c r="U1047" s="49">
        <f t="shared" si="1949"/>
        <v>0</v>
      </c>
      <c r="V1047" s="49">
        <f t="shared" si="1949"/>
        <v>0</v>
      </c>
      <c r="W1047" s="49">
        <f t="shared" si="1949"/>
        <v>0</v>
      </c>
      <c r="X1047" s="49">
        <f t="shared" si="1949"/>
        <v>0</v>
      </c>
      <c r="Y1047" s="49">
        <f t="shared" si="1949"/>
        <v>0</v>
      </c>
      <c r="Z1047" s="49">
        <f t="shared" si="1949"/>
        <v>0</v>
      </c>
      <c r="AA1047" s="49">
        <f t="shared" si="1949"/>
        <v>0</v>
      </c>
      <c r="AB1047" s="49">
        <f t="shared" si="1949"/>
        <v>0</v>
      </c>
      <c r="AC1047" s="49">
        <f t="shared" si="1949"/>
        <v>0</v>
      </c>
      <c r="AD1047" s="1553">
        <f t="shared" ref="AD1047:AJ1047" si="1950">SUM(AD1048:AD1052)</f>
        <v>0</v>
      </c>
      <c r="AE1047" s="49">
        <f t="shared" si="1950"/>
        <v>0</v>
      </c>
      <c r="AF1047" s="49">
        <f t="shared" si="1950"/>
        <v>0</v>
      </c>
      <c r="AG1047" s="49">
        <f t="shared" si="1950"/>
        <v>0</v>
      </c>
      <c r="AH1047" s="49">
        <f t="shared" si="1950"/>
        <v>0</v>
      </c>
      <c r="AI1047" s="49">
        <f t="shared" si="1950"/>
        <v>0</v>
      </c>
      <c r="AJ1047" s="49">
        <f t="shared" si="1950"/>
        <v>0</v>
      </c>
      <c r="AL1047" s="49">
        <f t="shared" ca="1" si="1922"/>
        <v>0</v>
      </c>
      <c r="AM1047" s="49">
        <f t="shared" ca="1" si="1923"/>
        <v>0</v>
      </c>
      <c r="AN1047" s="913">
        <f t="shared" ca="1" si="1924"/>
        <v>0</v>
      </c>
      <c r="AO1047" s="974">
        <f t="shared" ca="1" si="1925"/>
        <v>0</v>
      </c>
      <c r="AP1047" s="49">
        <f t="shared" ca="1" si="1926"/>
        <v>1</v>
      </c>
      <c r="AQ1047" s="913">
        <f t="shared" ca="1" si="1927"/>
        <v>-1</v>
      </c>
      <c r="AR1047" s="974">
        <f t="shared" ca="1" si="1928"/>
        <v>0</v>
      </c>
      <c r="AT1047" s="49">
        <f t="shared" ca="1" si="1929"/>
        <v>0</v>
      </c>
      <c r="AU1047" s="49">
        <f t="shared" ca="1" si="1930"/>
        <v>0</v>
      </c>
      <c r="AV1047" s="913">
        <f t="shared" ca="1" si="1931"/>
        <v>0</v>
      </c>
      <c r="AW1047" s="974">
        <f t="shared" ca="1" si="1932"/>
        <v>0</v>
      </c>
      <c r="AX1047" s="49">
        <f t="shared" ca="1" si="1933"/>
        <v>1</v>
      </c>
      <c r="AY1047" s="913">
        <f t="shared" ca="1" si="1934"/>
        <v>-1</v>
      </c>
      <c r="AZ1047" s="974">
        <f t="shared" ca="1" si="1935"/>
        <v>0</v>
      </c>
      <c r="BB1047" s="49">
        <f t="shared" ca="1" si="1936"/>
        <v>0</v>
      </c>
      <c r="BC1047" s="49">
        <f t="shared" ca="1" si="1937"/>
        <v>0</v>
      </c>
      <c r="BD1047" s="913">
        <f t="shared" ca="1" si="1938"/>
        <v>0</v>
      </c>
      <c r="BE1047" s="974">
        <f t="shared" ca="1" si="1939"/>
        <v>0</v>
      </c>
      <c r="BF1047" s="49">
        <f t="shared" ca="1" si="1940"/>
        <v>1</v>
      </c>
      <c r="BG1047" s="913">
        <f t="shared" ca="1" si="1941"/>
        <v>-1</v>
      </c>
      <c r="BH1047" s="974">
        <f t="shared" ca="1" si="1942"/>
        <v>0</v>
      </c>
    </row>
    <row r="1048" spans="1:60" s="38" customFormat="1" ht="14.5">
      <c r="A1048" s="990">
        <f t="shared" si="1918"/>
        <v>961</v>
      </c>
      <c r="B1048" s="990">
        <v>1</v>
      </c>
      <c r="C1048" s="990">
        <f t="shared" si="1919"/>
        <v>1045</v>
      </c>
      <c r="E1048" s="1243">
        <v>1</v>
      </c>
      <c r="F1048" s="5"/>
      <c r="G1048" s="5"/>
      <c r="H1048" s="5"/>
      <c r="I1048" s="333"/>
      <c r="J1048" s="5"/>
      <c r="K1048" s="5"/>
      <c r="L1048" s="4"/>
      <c r="M1048" s="4"/>
      <c r="N1048" s="45"/>
      <c r="O1048" s="45" t="s">
        <v>119</v>
      </c>
      <c r="P1048" s="45"/>
      <c r="Q1048" s="1844" t="str">
        <f>CHOOSE(2, "6722000003967", "HC DW-DX FE/TTOC Administration Total IT")</f>
        <v>HC DW-DX FE/TTOC Administration Total IT</v>
      </c>
      <c r="R1048" s="2030">
        <v>0</v>
      </c>
      <c r="S1048" s="2030">
        <v>0</v>
      </c>
      <c r="T1048" s="2030">
        <v>0</v>
      </c>
      <c r="U1048" s="2030">
        <v>0</v>
      </c>
      <c r="V1048" s="2030">
        <v>0</v>
      </c>
      <c r="W1048" s="2030">
        <v>0</v>
      </c>
      <c r="X1048" s="2030">
        <v>0</v>
      </c>
      <c r="Y1048" s="2030">
        <v>0</v>
      </c>
      <c r="Z1048" s="2030">
        <v>0</v>
      </c>
      <c r="AA1048" s="2030">
        <v>0</v>
      </c>
      <c r="AB1048" s="2030">
        <v>0</v>
      </c>
      <c r="AC1048" s="2030">
        <v>0</v>
      </c>
      <c r="AD1048" s="1511">
        <f>T1048</f>
        <v>0</v>
      </c>
      <c r="AE1048" s="44">
        <f>W1048</f>
        <v>0</v>
      </c>
      <c r="AF1048" s="44">
        <f>Z1048</f>
        <v>0</v>
      </c>
      <c r="AG1048" s="44">
        <f>AC1048</f>
        <v>0</v>
      </c>
      <c r="AH1048" s="44">
        <f>AE1048</f>
        <v>0</v>
      </c>
      <c r="AI1048" s="44">
        <f>AG1048</f>
        <v>0</v>
      </c>
      <c r="AJ1048" s="44">
        <f>AI1048</f>
        <v>0</v>
      </c>
      <c r="AL1048" s="44">
        <f t="shared" ca="1" si="1922"/>
        <v>0</v>
      </c>
      <c r="AM1048" s="44">
        <f t="shared" ca="1" si="1923"/>
        <v>0</v>
      </c>
      <c r="AN1048" s="872">
        <f t="shared" ca="1" si="1924"/>
        <v>0</v>
      </c>
      <c r="AO1048" s="922">
        <f t="shared" ca="1" si="1925"/>
        <v>0</v>
      </c>
      <c r="AP1048" s="44">
        <f t="shared" ca="1" si="1926"/>
        <v>0</v>
      </c>
      <c r="AQ1048" s="872">
        <f t="shared" ca="1" si="1927"/>
        <v>0</v>
      </c>
      <c r="AR1048" s="922">
        <f t="shared" ca="1" si="1928"/>
        <v>0</v>
      </c>
      <c r="AT1048" s="44">
        <f t="shared" ca="1" si="1929"/>
        <v>0</v>
      </c>
      <c r="AU1048" s="44">
        <f t="shared" ca="1" si="1930"/>
        <v>0</v>
      </c>
      <c r="AV1048" s="872">
        <f t="shared" ca="1" si="1931"/>
        <v>0</v>
      </c>
      <c r="AW1048" s="922">
        <f t="shared" ca="1" si="1932"/>
        <v>0</v>
      </c>
      <c r="AX1048" s="44">
        <f t="shared" ca="1" si="1933"/>
        <v>0</v>
      </c>
      <c r="AY1048" s="872">
        <f t="shared" ca="1" si="1934"/>
        <v>0</v>
      </c>
      <c r="AZ1048" s="922">
        <f t="shared" ca="1" si="1935"/>
        <v>0</v>
      </c>
      <c r="BB1048" s="44">
        <f t="shared" ca="1" si="1936"/>
        <v>0</v>
      </c>
      <c r="BC1048" s="44">
        <f t="shared" ca="1" si="1937"/>
        <v>0</v>
      </c>
      <c r="BD1048" s="872">
        <f t="shared" ca="1" si="1938"/>
        <v>0</v>
      </c>
      <c r="BE1048" s="922">
        <f t="shared" ca="1" si="1939"/>
        <v>0</v>
      </c>
      <c r="BF1048" s="44">
        <f t="shared" ca="1" si="1940"/>
        <v>0</v>
      </c>
      <c r="BG1048" s="872">
        <f t="shared" ca="1" si="1941"/>
        <v>0</v>
      </c>
      <c r="BH1048" s="922">
        <f t="shared" ca="1" si="1942"/>
        <v>0</v>
      </c>
    </row>
    <row r="1049" spans="1:60" s="38" customFormat="1" ht="14.5">
      <c r="A1049" s="990">
        <f t="shared" si="1918"/>
        <v>962</v>
      </c>
      <c r="B1049" s="990">
        <v>1</v>
      </c>
      <c r="C1049" s="990">
        <f t="shared" si="1919"/>
        <v>1046</v>
      </c>
      <c r="E1049" s="1243">
        <v>1</v>
      </c>
      <c r="F1049" s="5"/>
      <c r="G1049" s="5"/>
      <c r="H1049" s="5"/>
      <c r="I1049" s="333"/>
      <c r="J1049" s="5"/>
      <c r="K1049" s="5"/>
      <c r="L1049" s="4"/>
      <c r="M1049" s="4"/>
      <c r="N1049" s="45"/>
      <c r="O1049" s="45" t="s">
        <v>75</v>
      </c>
      <c r="P1049" s="45"/>
      <c r="Q1049" s="1844" t="str">
        <f>CHOOSE(2, "6722000003968", "HC DW-DX FE/TTOC Administration Total Finance")</f>
        <v>HC DW-DX FE/TTOC Administration Total Finance</v>
      </c>
      <c r="R1049" s="2030">
        <v>0</v>
      </c>
      <c r="S1049" s="2030">
        <v>0</v>
      </c>
      <c r="T1049" s="2030">
        <v>0</v>
      </c>
      <c r="U1049" s="2030">
        <v>0</v>
      </c>
      <c r="V1049" s="2030">
        <v>0</v>
      </c>
      <c r="W1049" s="2030">
        <v>0</v>
      </c>
      <c r="X1049" s="2030">
        <v>0</v>
      </c>
      <c r="Y1049" s="2030">
        <v>0</v>
      </c>
      <c r="Z1049" s="2030">
        <v>0</v>
      </c>
      <c r="AA1049" s="2030">
        <v>0</v>
      </c>
      <c r="AB1049" s="2030">
        <v>0</v>
      </c>
      <c r="AC1049" s="2030">
        <v>0</v>
      </c>
      <c r="AD1049" s="1511">
        <f>T1049</f>
        <v>0</v>
      </c>
      <c r="AE1049" s="44">
        <f>W1049</f>
        <v>0</v>
      </c>
      <c r="AF1049" s="44">
        <f>Z1049</f>
        <v>0</v>
      </c>
      <c r="AG1049" s="44">
        <f>AC1049</f>
        <v>0</v>
      </c>
      <c r="AH1049" s="44">
        <f>AE1049</f>
        <v>0</v>
      </c>
      <c r="AI1049" s="44">
        <f>AG1049</f>
        <v>0</v>
      </c>
      <c r="AJ1049" s="44">
        <f>AI1049</f>
        <v>0</v>
      </c>
      <c r="AL1049" s="44">
        <f t="shared" ca="1" si="1922"/>
        <v>0</v>
      </c>
      <c r="AM1049" s="44">
        <f t="shared" ca="1" si="1923"/>
        <v>0</v>
      </c>
      <c r="AN1049" s="872">
        <f t="shared" ca="1" si="1924"/>
        <v>0</v>
      </c>
      <c r="AO1049" s="922">
        <f t="shared" ca="1" si="1925"/>
        <v>0</v>
      </c>
      <c r="AP1049" s="44">
        <f t="shared" ca="1" si="1926"/>
        <v>0</v>
      </c>
      <c r="AQ1049" s="872">
        <f t="shared" ca="1" si="1927"/>
        <v>0</v>
      </c>
      <c r="AR1049" s="922">
        <f t="shared" ca="1" si="1928"/>
        <v>0</v>
      </c>
      <c r="AT1049" s="44">
        <f t="shared" ca="1" si="1929"/>
        <v>0</v>
      </c>
      <c r="AU1049" s="44">
        <f t="shared" ca="1" si="1930"/>
        <v>0</v>
      </c>
      <c r="AV1049" s="872">
        <f t="shared" ca="1" si="1931"/>
        <v>0</v>
      </c>
      <c r="AW1049" s="922">
        <f t="shared" ca="1" si="1932"/>
        <v>0</v>
      </c>
      <c r="AX1049" s="44">
        <f t="shared" ca="1" si="1933"/>
        <v>0</v>
      </c>
      <c r="AY1049" s="872">
        <f t="shared" ca="1" si="1934"/>
        <v>0</v>
      </c>
      <c r="AZ1049" s="922">
        <f t="shared" ca="1" si="1935"/>
        <v>0</v>
      </c>
      <c r="BB1049" s="44">
        <f t="shared" ca="1" si="1936"/>
        <v>0</v>
      </c>
      <c r="BC1049" s="44">
        <f t="shared" ca="1" si="1937"/>
        <v>0</v>
      </c>
      <c r="BD1049" s="872">
        <f t="shared" ca="1" si="1938"/>
        <v>0</v>
      </c>
      <c r="BE1049" s="922">
        <f t="shared" ca="1" si="1939"/>
        <v>0</v>
      </c>
      <c r="BF1049" s="44">
        <f t="shared" ca="1" si="1940"/>
        <v>0</v>
      </c>
      <c r="BG1049" s="872">
        <f t="shared" ca="1" si="1941"/>
        <v>0</v>
      </c>
      <c r="BH1049" s="922">
        <f t="shared" ca="1" si="1942"/>
        <v>0</v>
      </c>
    </row>
    <row r="1050" spans="1:60" s="38" customFormat="1" ht="14.5">
      <c r="A1050" s="990">
        <f t="shared" si="1918"/>
        <v>963</v>
      </c>
      <c r="B1050" s="990">
        <v>1</v>
      </c>
      <c r="C1050" s="990">
        <f t="shared" si="1919"/>
        <v>1047</v>
      </c>
      <c r="E1050" s="1243">
        <v>1</v>
      </c>
      <c r="F1050" s="5"/>
      <c r="G1050" s="5"/>
      <c r="H1050" s="5"/>
      <c r="I1050" s="333"/>
      <c r="J1050" s="5"/>
      <c r="K1050" s="5"/>
      <c r="L1050" s="4"/>
      <c r="M1050" s="4"/>
      <c r="N1050" s="45"/>
      <c r="O1050" s="45" t="s">
        <v>76</v>
      </c>
      <c r="P1050" s="45"/>
      <c r="Q1050" s="1844" t="str">
        <f>CHOOSE(2, "6722000003969", "HC DW-DX FE/TTOC Administration Total HR")</f>
        <v>HC DW-DX FE/TTOC Administration Total HR</v>
      </c>
      <c r="R1050" s="2030">
        <v>0</v>
      </c>
      <c r="S1050" s="2030">
        <v>0</v>
      </c>
      <c r="T1050" s="2030">
        <v>0</v>
      </c>
      <c r="U1050" s="2030">
        <v>0</v>
      </c>
      <c r="V1050" s="2030">
        <v>0</v>
      </c>
      <c r="W1050" s="2030">
        <v>0</v>
      </c>
      <c r="X1050" s="2030">
        <v>0</v>
      </c>
      <c r="Y1050" s="2030">
        <v>0</v>
      </c>
      <c r="Z1050" s="2030">
        <v>0</v>
      </c>
      <c r="AA1050" s="2030">
        <v>0</v>
      </c>
      <c r="AB1050" s="2030">
        <v>0</v>
      </c>
      <c r="AC1050" s="2030">
        <v>0</v>
      </c>
      <c r="AD1050" s="1511">
        <f>T1050</f>
        <v>0</v>
      </c>
      <c r="AE1050" s="44">
        <f>W1050</f>
        <v>0</v>
      </c>
      <c r="AF1050" s="44">
        <f>Z1050</f>
        <v>0</v>
      </c>
      <c r="AG1050" s="44">
        <f>AC1050</f>
        <v>0</v>
      </c>
      <c r="AH1050" s="44">
        <f>AE1050</f>
        <v>0</v>
      </c>
      <c r="AI1050" s="44">
        <f>AG1050</f>
        <v>0</v>
      </c>
      <c r="AJ1050" s="44">
        <f>AI1050</f>
        <v>0</v>
      </c>
      <c r="AL1050" s="44">
        <f t="shared" ca="1" si="1922"/>
        <v>0</v>
      </c>
      <c r="AM1050" s="44">
        <f t="shared" ca="1" si="1923"/>
        <v>0</v>
      </c>
      <c r="AN1050" s="872">
        <f t="shared" ca="1" si="1924"/>
        <v>0</v>
      </c>
      <c r="AO1050" s="922">
        <f t="shared" ca="1" si="1925"/>
        <v>0</v>
      </c>
      <c r="AP1050" s="44">
        <f t="shared" ca="1" si="1926"/>
        <v>0</v>
      </c>
      <c r="AQ1050" s="872">
        <f t="shared" ca="1" si="1927"/>
        <v>0</v>
      </c>
      <c r="AR1050" s="922">
        <f t="shared" ca="1" si="1928"/>
        <v>0</v>
      </c>
      <c r="AT1050" s="44">
        <f t="shared" ca="1" si="1929"/>
        <v>0</v>
      </c>
      <c r="AU1050" s="44">
        <f t="shared" ca="1" si="1930"/>
        <v>0</v>
      </c>
      <c r="AV1050" s="872">
        <f t="shared" ca="1" si="1931"/>
        <v>0</v>
      </c>
      <c r="AW1050" s="922">
        <f t="shared" ca="1" si="1932"/>
        <v>0</v>
      </c>
      <c r="AX1050" s="44">
        <f t="shared" ca="1" si="1933"/>
        <v>0</v>
      </c>
      <c r="AY1050" s="872">
        <f t="shared" ca="1" si="1934"/>
        <v>0</v>
      </c>
      <c r="AZ1050" s="922">
        <f t="shared" ca="1" si="1935"/>
        <v>0</v>
      </c>
      <c r="BB1050" s="44">
        <f t="shared" ca="1" si="1936"/>
        <v>0</v>
      </c>
      <c r="BC1050" s="44">
        <f t="shared" ca="1" si="1937"/>
        <v>0</v>
      </c>
      <c r="BD1050" s="872">
        <f t="shared" ca="1" si="1938"/>
        <v>0</v>
      </c>
      <c r="BE1050" s="922">
        <f t="shared" ca="1" si="1939"/>
        <v>0</v>
      </c>
      <c r="BF1050" s="44">
        <f t="shared" ca="1" si="1940"/>
        <v>0</v>
      </c>
      <c r="BG1050" s="872">
        <f t="shared" ca="1" si="1941"/>
        <v>0</v>
      </c>
      <c r="BH1050" s="922">
        <f t="shared" ca="1" si="1942"/>
        <v>0</v>
      </c>
    </row>
    <row r="1051" spans="1:60" s="38" customFormat="1" ht="14.5">
      <c r="A1051" s="990">
        <f t="shared" si="1918"/>
        <v>964</v>
      </c>
      <c r="B1051" s="990">
        <v>1</v>
      </c>
      <c r="C1051" s="990">
        <f t="shared" si="1919"/>
        <v>1048</v>
      </c>
      <c r="E1051" s="1243">
        <v>1</v>
      </c>
      <c r="F1051" s="5"/>
      <c r="G1051" s="5"/>
      <c r="H1051" s="5"/>
      <c r="I1051" s="333"/>
      <c r="J1051" s="5"/>
      <c r="K1051" s="5"/>
      <c r="L1051" s="4"/>
      <c r="M1051" s="4"/>
      <c r="N1051" s="45"/>
      <c r="O1051" s="45" t="s">
        <v>77</v>
      </c>
      <c r="P1051" s="45"/>
      <c r="Q1051" s="1844" t="str">
        <f>CHOOSE(2, "6722000003970", "HC DW-DX FE/TTOC Administration Total Training")</f>
        <v>HC DW-DX FE/TTOC Administration Total Training</v>
      </c>
      <c r="R1051" s="2030">
        <v>0</v>
      </c>
      <c r="S1051" s="2030">
        <v>0</v>
      </c>
      <c r="T1051" s="2030">
        <v>0</v>
      </c>
      <c r="U1051" s="2030">
        <v>0</v>
      </c>
      <c r="V1051" s="2030">
        <v>0</v>
      </c>
      <c r="W1051" s="2030">
        <v>0</v>
      </c>
      <c r="X1051" s="2030">
        <v>0</v>
      </c>
      <c r="Y1051" s="2030">
        <v>0</v>
      </c>
      <c r="Z1051" s="2030">
        <v>0</v>
      </c>
      <c r="AA1051" s="2030">
        <v>0</v>
      </c>
      <c r="AB1051" s="2030">
        <v>0</v>
      </c>
      <c r="AC1051" s="2030">
        <v>0</v>
      </c>
      <c r="AD1051" s="1511">
        <f>T1051</f>
        <v>0</v>
      </c>
      <c r="AE1051" s="44">
        <f>W1051</f>
        <v>0</v>
      </c>
      <c r="AF1051" s="44">
        <f>Z1051</f>
        <v>0</v>
      </c>
      <c r="AG1051" s="44">
        <f>AC1051</f>
        <v>0</v>
      </c>
      <c r="AH1051" s="44">
        <f>AE1051</f>
        <v>0</v>
      </c>
      <c r="AI1051" s="44">
        <f>AG1051</f>
        <v>0</v>
      </c>
      <c r="AJ1051" s="44">
        <f>AI1051</f>
        <v>0</v>
      </c>
      <c r="AL1051" s="44">
        <f t="shared" ca="1" si="1922"/>
        <v>0</v>
      </c>
      <c r="AM1051" s="44">
        <f t="shared" ca="1" si="1923"/>
        <v>0</v>
      </c>
      <c r="AN1051" s="872">
        <f t="shared" ca="1" si="1924"/>
        <v>0</v>
      </c>
      <c r="AO1051" s="922">
        <f t="shared" ca="1" si="1925"/>
        <v>0</v>
      </c>
      <c r="AP1051" s="44">
        <f t="shared" ca="1" si="1926"/>
        <v>0</v>
      </c>
      <c r="AQ1051" s="872">
        <f t="shared" ca="1" si="1927"/>
        <v>0</v>
      </c>
      <c r="AR1051" s="922">
        <f t="shared" ca="1" si="1928"/>
        <v>0</v>
      </c>
      <c r="AT1051" s="44">
        <f t="shared" ca="1" si="1929"/>
        <v>0</v>
      </c>
      <c r="AU1051" s="44">
        <f t="shared" ca="1" si="1930"/>
        <v>0</v>
      </c>
      <c r="AV1051" s="872">
        <f t="shared" ca="1" si="1931"/>
        <v>0</v>
      </c>
      <c r="AW1051" s="922">
        <f t="shared" ca="1" si="1932"/>
        <v>0</v>
      </c>
      <c r="AX1051" s="44">
        <f t="shared" ca="1" si="1933"/>
        <v>0</v>
      </c>
      <c r="AY1051" s="872">
        <f t="shared" ca="1" si="1934"/>
        <v>0</v>
      </c>
      <c r="AZ1051" s="922">
        <f t="shared" ca="1" si="1935"/>
        <v>0</v>
      </c>
      <c r="BB1051" s="44">
        <f t="shared" ca="1" si="1936"/>
        <v>0</v>
      </c>
      <c r="BC1051" s="44">
        <f t="shared" ca="1" si="1937"/>
        <v>0</v>
      </c>
      <c r="BD1051" s="872">
        <f t="shared" ca="1" si="1938"/>
        <v>0</v>
      </c>
      <c r="BE1051" s="922">
        <f t="shared" ca="1" si="1939"/>
        <v>0</v>
      </c>
      <c r="BF1051" s="44">
        <f t="shared" ca="1" si="1940"/>
        <v>0</v>
      </c>
      <c r="BG1051" s="872">
        <f t="shared" ca="1" si="1941"/>
        <v>0</v>
      </c>
      <c r="BH1051" s="922">
        <f t="shared" ca="1" si="1942"/>
        <v>0</v>
      </c>
    </row>
    <row r="1052" spans="1:60" s="38" customFormat="1" ht="14.5">
      <c r="A1052" s="990">
        <f t="shared" si="1918"/>
        <v>965</v>
      </c>
      <c r="B1052" s="990">
        <v>1</v>
      </c>
      <c r="C1052" s="990">
        <f t="shared" si="1919"/>
        <v>1049</v>
      </c>
      <c r="E1052" s="1243">
        <v>1</v>
      </c>
      <c r="F1052" s="5"/>
      <c r="G1052" s="5"/>
      <c r="H1052" s="5"/>
      <c r="I1052" s="333"/>
      <c r="J1052" s="5"/>
      <c r="K1052" s="5"/>
      <c r="L1052" s="4"/>
      <c r="M1052" s="4"/>
      <c r="N1052" s="45"/>
      <c r="O1052" s="45" t="s">
        <v>11</v>
      </c>
      <c r="P1052" s="45"/>
      <c r="Q1052" s="1844" t="str">
        <f>CHOOSE(2, "6722000003971", "HC DW-DX FE/TTOC Administration Total Others")</f>
        <v>HC DW-DX FE/TTOC Administration Total Others</v>
      </c>
      <c r="R1052" s="2789">
        <v>1</v>
      </c>
      <c r="S1052" s="2030">
        <v>0</v>
      </c>
      <c r="T1052" s="2030">
        <v>0</v>
      </c>
      <c r="U1052" s="2030">
        <v>0</v>
      </c>
      <c r="V1052" s="2030">
        <v>0</v>
      </c>
      <c r="W1052" s="2030">
        <v>0</v>
      </c>
      <c r="X1052" s="2030">
        <v>0</v>
      </c>
      <c r="Y1052" s="2030">
        <v>0</v>
      </c>
      <c r="Z1052" s="2030">
        <v>0</v>
      </c>
      <c r="AA1052" s="2030">
        <v>0</v>
      </c>
      <c r="AB1052" s="2030">
        <v>0</v>
      </c>
      <c r="AC1052" s="2030">
        <v>0</v>
      </c>
      <c r="AD1052" s="1511">
        <f>T1052</f>
        <v>0</v>
      </c>
      <c r="AE1052" s="44">
        <f>W1052</f>
        <v>0</v>
      </c>
      <c r="AF1052" s="44">
        <f>Z1052</f>
        <v>0</v>
      </c>
      <c r="AG1052" s="44">
        <f>AC1052</f>
        <v>0</v>
      </c>
      <c r="AH1052" s="44">
        <f>AE1052</f>
        <v>0</v>
      </c>
      <c r="AI1052" s="44">
        <f>AG1052</f>
        <v>0</v>
      </c>
      <c r="AJ1052" s="44">
        <f>AI1052</f>
        <v>0</v>
      </c>
      <c r="AL1052" s="44">
        <f t="shared" ca="1" si="1922"/>
        <v>0</v>
      </c>
      <c r="AM1052" s="44">
        <f t="shared" ca="1" si="1923"/>
        <v>0</v>
      </c>
      <c r="AN1052" s="872">
        <f t="shared" ca="1" si="1924"/>
        <v>0</v>
      </c>
      <c r="AO1052" s="922">
        <f t="shared" ca="1" si="1925"/>
        <v>0</v>
      </c>
      <c r="AP1052" s="44">
        <f t="shared" ca="1" si="1926"/>
        <v>1</v>
      </c>
      <c r="AQ1052" s="872">
        <f t="shared" ca="1" si="1927"/>
        <v>-1</v>
      </c>
      <c r="AR1052" s="922">
        <f t="shared" ca="1" si="1928"/>
        <v>0</v>
      </c>
      <c r="AT1052" s="44">
        <f t="shared" ca="1" si="1929"/>
        <v>0</v>
      </c>
      <c r="AU1052" s="44">
        <f t="shared" ca="1" si="1930"/>
        <v>0</v>
      </c>
      <c r="AV1052" s="872">
        <f t="shared" ca="1" si="1931"/>
        <v>0</v>
      </c>
      <c r="AW1052" s="922">
        <f t="shared" ca="1" si="1932"/>
        <v>0</v>
      </c>
      <c r="AX1052" s="44">
        <f t="shared" ca="1" si="1933"/>
        <v>1</v>
      </c>
      <c r="AY1052" s="872">
        <f t="shared" ca="1" si="1934"/>
        <v>-1</v>
      </c>
      <c r="AZ1052" s="922">
        <f t="shared" ca="1" si="1935"/>
        <v>0</v>
      </c>
      <c r="BB1052" s="44">
        <f t="shared" ca="1" si="1936"/>
        <v>0</v>
      </c>
      <c r="BC1052" s="44">
        <f t="shared" ca="1" si="1937"/>
        <v>0</v>
      </c>
      <c r="BD1052" s="872">
        <f t="shared" ca="1" si="1938"/>
        <v>0</v>
      </c>
      <c r="BE1052" s="922">
        <f t="shared" ca="1" si="1939"/>
        <v>0</v>
      </c>
      <c r="BF1052" s="44">
        <f t="shared" ca="1" si="1940"/>
        <v>1</v>
      </c>
      <c r="BG1052" s="872">
        <f t="shared" ca="1" si="1941"/>
        <v>-1</v>
      </c>
      <c r="BH1052" s="922">
        <f t="shared" ca="1" si="1942"/>
        <v>0</v>
      </c>
    </row>
    <row r="1053" spans="1:60" s="38" customFormat="1" ht="14.5">
      <c r="A1053" s="990">
        <f t="shared" si="1918"/>
        <v>966</v>
      </c>
      <c r="B1053" s="990">
        <v>1</v>
      </c>
      <c r="C1053" s="990">
        <f t="shared" si="1919"/>
        <v>1050</v>
      </c>
      <c r="D1053" s="1121" t="s">
        <v>887</v>
      </c>
      <c r="E1053" s="1243">
        <v>1</v>
      </c>
      <c r="F1053" s="5"/>
      <c r="G1053" s="5"/>
      <c r="H1053" s="5"/>
      <c r="I1053" s="333"/>
      <c r="J1053" s="324" t="s">
        <v>232</v>
      </c>
      <c r="K1053" s="48"/>
      <c r="L1053" s="48"/>
      <c r="M1053" s="47"/>
      <c r="N1053" s="47"/>
      <c r="O1053" s="47"/>
      <c r="P1053" s="323"/>
      <c r="Q1053" s="1851" t="str">
        <f>CHOOSE(2, "6722000003972", "HC DW-DX FE/TTOC Logistics Total")</f>
        <v>HC DW-DX FE/TTOC Logistics Total</v>
      </c>
      <c r="R1053" s="325">
        <f>SUM(R1054:R1056)</f>
        <v>0</v>
      </c>
      <c r="S1053" s="325">
        <f t="shared" ref="S1053:AC1053" si="1951">SUM(S1054:S1056)</f>
        <v>0</v>
      </c>
      <c r="T1053" s="325">
        <f t="shared" si="1951"/>
        <v>0</v>
      </c>
      <c r="U1053" s="325">
        <f t="shared" si="1951"/>
        <v>0</v>
      </c>
      <c r="V1053" s="325">
        <f t="shared" si="1951"/>
        <v>0</v>
      </c>
      <c r="W1053" s="325">
        <f t="shared" si="1951"/>
        <v>0</v>
      </c>
      <c r="X1053" s="325">
        <f t="shared" si="1951"/>
        <v>0</v>
      </c>
      <c r="Y1053" s="325">
        <f t="shared" si="1951"/>
        <v>0</v>
      </c>
      <c r="Z1053" s="325">
        <f t="shared" si="1951"/>
        <v>0</v>
      </c>
      <c r="AA1053" s="325">
        <f t="shared" si="1951"/>
        <v>0</v>
      </c>
      <c r="AB1053" s="325">
        <f t="shared" si="1951"/>
        <v>0</v>
      </c>
      <c r="AC1053" s="325">
        <f t="shared" si="1951"/>
        <v>0</v>
      </c>
      <c r="AD1053" s="1278">
        <f t="shared" ref="AD1053:AJ1053" si="1952">SUM(AD1054:AD1056)</f>
        <v>0</v>
      </c>
      <c r="AE1053" s="46">
        <f t="shared" si="1952"/>
        <v>0</v>
      </c>
      <c r="AF1053" s="46">
        <f t="shared" si="1952"/>
        <v>0</v>
      </c>
      <c r="AG1053" s="46">
        <f t="shared" si="1952"/>
        <v>0</v>
      </c>
      <c r="AH1053" s="46">
        <f t="shared" si="1952"/>
        <v>0</v>
      </c>
      <c r="AI1053" s="46">
        <f t="shared" si="1952"/>
        <v>0</v>
      </c>
      <c r="AJ1053" s="46">
        <f t="shared" si="1952"/>
        <v>0</v>
      </c>
      <c r="AL1053" s="325">
        <f t="shared" ca="1" si="1922"/>
        <v>0</v>
      </c>
      <c r="AM1053" s="325">
        <f t="shared" ca="1" si="1923"/>
        <v>0</v>
      </c>
      <c r="AN1053" s="915">
        <f t="shared" ca="1" si="1924"/>
        <v>0</v>
      </c>
      <c r="AO1053" s="976">
        <f t="shared" ca="1" si="1925"/>
        <v>0</v>
      </c>
      <c r="AP1053" s="325">
        <f t="shared" ca="1" si="1926"/>
        <v>0</v>
      </c>
      <c r="AQ1053" s="915">
        <f t="shared" ca="1" si="1927"/>
        <v>0</v>
      </c>
      <c r="AR1053" s="976">
        <f t="shared" ca="1" si="1928"/>
        <v>0</v>
      </c>
      <c r="AT1053" s="325">
        <f t="shared" ca="1" si="1929"/>
        <v>0</v>
      </c>
      <c r="AU1053" s="325">
        <f t="shared" ca="1" si="1930"/>
        <v>0</v>
      </c>
      <c r="AV1053" s="915">
        <f t="shared" ca="1" si="1931"/>
        <v>0</v>
      </c>
      <c r="AW1053" s="976">
        <f t="shared" ca="1" si="1932"/>
        <v>0</v>
      </c>
      <c r="AX1053" s="325">
        <f t="shared" ca="1" si="1933"/>
        <v>0</v>
      </c>
      <c r="AY1053" s="915">
        <f t="shared" ca="1" si="1934"/>
        <v>0</v>
      </c>
      <c r="AZ1053" s="976">
        <f t="shared" ca="1" si="1935"/>
        <v>0</v>
      </c>
      <c r="BB1053" s="325">
        <f t="shared" ca="1" si="1936"/>
        <v>0</v>
      </c>
      <c r="BC1053" s="325">
        <f t="shared" ca="1" si="1937"/>
        <v>0</v>
      </c>
      <c r="BD1053" s="915">
        <f t="shared" ca="1" si="1938"/>
        <v>0</v>
      </c>
      <c r="BE1053" s="976">
        <f t="shared" ca="1" si="1939"/>
        <v>0</v>
      </c>
      <c r="BF1053" s="325">
        <f t="shared" ca="1" si="1940"/>
        <v>0</v>
      </c>
      <c r="BG1053" s="915">
        <f t="shared" ca="1" si="1941"/>
        <v>0</v>
      </c>
      <c r="BH1053" s="976">
        <f t="shared" ca="1" si="1942"/>
        <v>0</v>
      </c>
    </row>
    <row r="1054" spans="1:60" s="38" customFormat="1" ht="14.5">
      <c r="A1054" s="990">
        <f t="shared" si="1918"/>
        <v>967</v>
      </c>
      <c r="B1054" s="990">
        <v>1</v>
      </c>
      <c r="C1054" s="990">
        <f t="shared" si="1919"/>
        <v>1051</v>
      </c>
      <c r="E1054" s="1243">
        <v>1</v>
      </c>
      <c r="F1054" s="5"/>
      <c r="G1054" s="5"/>
      <c r="H1054" s="5"/>
      <c r="I1054" s="333"/>
      <c r="J1054" s="5"/>
      <c r="K1054" s="5"/>
      <c r="L1054" s="4"/>
      <c r="M1054" s="4"/>
      <c r="N1054" s="45"/>
      <c r="O1054" s="45" t="s">
        <v>79</v>
      </c>
      <c r="P1054" s="45"/>
      <c r="Q1054" s="1844" t="str">
        <f>CHOOSE(2, "6722000003973", "HC DW-DX FE/TTOC Logistics Total Administration")</f>
        <v>HC DW-DX FE/TTOC Logistics Total Administration</v>
      </c>
      <c r="R1054" s="2030">
        <v>0</v>
      </c>
      <c r="S1054" s="2030">
        <v>0</v>
      </c>
      <c r="T1054" s="2030">
        <v>0</v>
      </c>
      <c r="U1054" s="2030">
        <v>0</v>
      </c>
      <c r="V1054" s="2030">
        <v>0</v>
      </c>
      <c r="W1054" s="2030">
        <v>0</v>
      </c>
      <c r="X1054" s="2030">
        <v>0</v>
      </c>
      <c r="Y1054" s="2030">
        <v>0</v>
      </c>
      <c r="Z1054" s="2030">
        <v>0</v>
      </c>
      <c r="AA1054" s="2030">
        <v>0</v>
      </c>
      <c r="AB1054" s="2030">
        <v>0</v>
      </c>
      <c r="AC1054" s="2030">
        <v>0</v>
      </c>
      <c r="AD1054" s="1511">
        <f>T1054</f>
        <v>0</v>
      </c>
      <c r="AE1054" s="44">
        <f>W1054</f>
        <v>0</v>
      </c>
      <c r="AF1054" s="44">
        <f>Z1054</f>
        <v>0</v>
      </c>
      <c r="AG1054" s="44">
        <f>AC1054</f>
        <v>0</v>
      </c>
      <c r="AH1054" s="44">
        <f>AE1054</f>
        <v>0</v>
      </c>
      <c r="AI1054" s="44">
        <f>AG1054</f>
        <v>0</v>
      </c>
      <c r="AJ1054" s="44">
        <f>AI1054</f>
        <v>0</v>
      </c>
      <c r="AL1054" s="44">
        <f t="shared" ca="1" si="1922"/>
        <v>0</v>
      </c>
      <c r="AM1054" s="44">
        <f t="shared" ca="1" si="1923"/>
        <v>0</v>
      </c>
      <c r="AN1054" s="872">
        <f t="shared" ca="1" si="1924"/>
        <v>0</v>
      </c>
      <c r="AO1054" s="922">
        <f t="shared" ca="1" si="1925"/>
        <v>0</v>
      </c>
      <c r="AP1054" s="44">
        <f t="shared" ca="1" si="1926"/>
        <v>0</v>
      </c>
      <c r="AQ1054" s="872">
        <f t="shared" ca="1" si="1927"/>
        <v>0</v>
      </c>
      <c r="AR1054" s="922">
        <f t="shared" ca="1" si="1928"/>
        <v>0</v>
      </c>
      <c r="AT1054" s="44">
        <f t="shared" ca="1" si="1929"/>
        <v>0</v>
      </c>
      <c r="AU1054" s="44">
        <f t="shared" ca="1" si="1930"/>
        <v>0</v>
      </c>
      <c r="AV1054" s="872">
        <f t="shared" ca="1" si="1931"/>
        <v>0</v>
      </c>
      <c r="AW1054" s="922">
        <f t="shared" ca="1" si="1932"/>
        <v>0</v>
      </c>
      <c r="AX1054" s="44">
        <f t="shared" ca="1" si="1933"/>
        <v>0</v>
      </c>
      <c r="AY1054" s="872">
        <f t="shared" ca="1" si="1934"/>
        <v>0</v>
      </c>
      <c r="AZ1054" s="922">
        <f t="shared" ca="1" si="1935"/>
        <v>0</v>
      </c>
      <c r="BB1054" s="44">
        <f t="shared" ca="1" si="1936"/>
        <v>0</v>
      </c>
      <c r="BC1054" s="44">
        <f t="shared" ca="1" si="1937"/>
        <v>0</v>
      </c>
      <c r="BD1054" s="872">
        <f t="shared" ca="1" si="1938"/>
        <v>0</v>
      </c>
      <c r="BE1054" s="922">
        <f t="shared" ca="1" si="1939"/>
        <v>0</v>
      </c>
      <c r="BF1054" s="44">
        <f t="shared" ca="1" si="1940"/>
        <v>0</v>
      </c>
      <c r="BG1054" s="872">
        <f t="shared" ca="1" si="1941"/>
        <v>0</v>
      </c>
      <c r="BH1054" s="922">
        <f t="shared" ca="1" si="1942"/>
        <v>0</v>
      </c>
    </row>
    <row r="1055" spans="1:60" s="38" customFormat="1" ht="14.5">
      <c r="A1055" s="990">
        <f t="shared" si="1918"/>
        <v>968</v>
      </c>
      <c r="B1055" s="990">
        <v>1</v>
      </c>
      <c r="C1055" s="990">
        <f t="shared" si="1919"/>
        <v>1052</v>
      </c>
      <c r="E1055" s="1243">
        <v>1</v>
      </c>
      <c r="F1055" s="5"/>
      <c r="G1055" s="5"/>
      <c r="H1055" s="5"/>
      <c r="I1055" s="333"/>
      <c r="J1055" s="5"/>
      <c r="K1055" s="5"/>
      <c r="L1055" s="4"/>
      <c r="M1055" s="4"/>
      <c r="N1055" s="45"/>
      <c r="O1055" s="45" t="s">
        <v>80</v>
      </c>
      <c r="P1055" s="45"/>
      <c r="Q1055" s="1844" t="str">
        <f>CHOOSE(2, "6722000003974", "HC DW-DX FE/TTOC Logistics Total Warehouse")</f>
        <v>HC DW-DX FE/TTOC Logistics Total Warehouse</v>
      </c>
      <c r="R1055" s="2030">
        <v>0</v>
      </c>
      <c r="S1055" s="2030">
        <v>0</v>
      </c>
      <c r="T1055" s="2030">
        <v>0</v>
      </c>
      <c r="U1055" s="2030">
        <v>0</v>
      </c>
      <c r="V1055" s="2030">
        <v>0</v>
      </c>
      <c r="W1055" s="2030">
        <v>0</v>
      </c>
      <c r="X1055" s="2030">
        <v>0</v>
      </c>
      <c r="Y1055" s="2030">
        <v>0</v>
      </c>
      <c r="Z1055" s="2030">
        <v>0</v>
      </c>
      <c r="AA1055" s="2030">
        <v>0</v>
      </c>
      <c r="AB1055" s="2030">
        <v>0</v>
      </c>
      <c r="AC1055" s="2030">
        <v>0</v>
      </c>
      <c r="AD1055" s="1511">
        <f>T1055</f>
        <v>0</v>
      </c>
      <c r="AE1055" s="44">
        <f>W1055</f>
        <v>0</v>
      </c>
      <c r="AF1055" s="44">
        <f>Z1055</f>
        <v>0</v>
      </c>
      <c r="AG1055" s="44">
        <f>AC1055</f>
        <v>0</v>
      </c>
      <c r="AH1055" s="44">
        <f>AE1055</f>
        <v>0</v>
      </c>
      <c r="AI1055" s="44">
        <f>AG1055</f>
        <v>0</v>
      </c>
      <c r="AJ1055" s="44">
        <f>AI1055</f>
        <v>0</v>
      </c>
      <c r="AL1055" s="44">
        <f t="shared" ca="1" si="1922"/>
        <v>0</v>
      </c>
      <c r="AM1055" s="44">
        <f t="shared" ca="1" si="1923"/>
        <v>0</v>
      </c>
      <c r="AN1055" s="872">
        <f t="shared" ca="1" si="1924"/>
        <v>0</v>
      </c>
      <c r="AO1055" s="922">
        <f t="shared" ca="1" si="1925"/>
        <v>0</v>
      </c>
      <c r="AP1055" s="44">
        <f t="shared" ca="1" si="1926"/>
        <v>0</v>
      </c>
      <c r="AQ1055" s="872">
        <f t="shared" ca="1" si="1927"/>
        <v>0</v>
      </c>
      <c r="AR1055" s="922">
        <f t="shared" ca="1" si="1928"/>
        <v>0</v>
      </c>
      <c r="AT1055" s="44">
        <f t="shared" ca="1" si="1929"/>
        <v>0</v>
      </c>
      <c r="AU1055" s="44">
        <f t="shared" ca="1" si="1930"/>
        <v>0</v>
      </c>
      <c r="AV1055" s="872">
        <f t="shared" ca="1" si="1931"/>
        <v>0</v>
      </c>
      <c r="AW1055" s="922">
        <f t="shared" ca="1" si="1932"/>
        <v>0</v>
      </c>
      <c r="AX1055" s="44">
        <f t="shared" ca="1" si="1933"/>
        <v>0</v>
      </c>
      <c r="AY1055" s="872">
        <f t="shared" ca="1" si="1934"/>
        <v>0</v>
      </c>
      <c r="AZ1055" s="922">
        <f t="shared" ca="1" si="1935"/>
        <v>0</v>
      </c>
      <c r="BB1055" s="44">
        <f t="shared" ca="1" si="1936"/>
        <v>0</v>
      </c>
      <c r="BC1055" s="44">
        <f t="shared" ca="1" si="1937"/>
        <v>0</v>
      </c>
      <c r="BD1055" s="872">
        <f t="shared" ca="1" si="1938"/>
        <v>0</v>
      </c>
      <c r="BE1055" s="922">
        <f t="shared" ca="1" si="1939"/>
        <v>0</v>
      </c>
      <c r="BF1055" s="44">
        <f t="shared" ca="1" si="1940"/>
        <v>0</v>
      </c>
      <c r="BG1055" s="872">
        <f t="shared" ca="1" si="1941"/>
        <v>0</v>
      </c>
      <c r="BH1055" s="922">
        <f t="shared" ca="1" si="1942"/>
        <v>0</v>
      </c>
    </row>
    <row r="1056" spans="1:60" s="38" customFormat="1" ht="14.5">
      <c r="A1056" s="990">
        <f t="shared" si="1918"/>
        <v>969</v>
      </c>
      <c r="B1056" s="990">
        <v>1</v>
      </c>
      <c r="C1056" s="990">
        <f t="shared" si="1919"/>
        <v>1053</v>
      </c>
      <c r="E1056" s="1243">
        <v>1</v>
      </c>
      <c r="F1056" s="5"/>
      <c r="G1056" s="5"/>
      <c r="H1056" s="5"/>
      <c r="I1056" s="334"/>
      <c r="J1056" s="3"/>
      <c r="K1056" s="3"/>
      <c r="L1056" s="2"/>
      <c r="M1056" s="2"/>
      <c r="N1056" s="43"/>
      <c r="O1056" s="43" t="s">
        <v>81</v>
      </c>
      <c r="P1056" s="43"/>
      <c r="Q1056" s="1844" t="str">
        <f>CHOOSE(2, "6722000003975", "HC DW-DX FE/TTOC Logistics Total Workshop")</f>
        <v>HC DW-DX FE/TTOC Logistics Total Workshop</v>
      </c>
      <c r="R1056" s="2029">
        <v>0</v>
      </c>
      <c r="S1056" s="2029">
        <v>0</v>
      </c>
      <c r="T1056" s="2029">
        <v>0</v>
      </c>
      <c r="U1056" s="2029">
        <v>0</v>
      </c>
      <c r="V1056" s="2029">
        <v>0</v>
      </c>
      <c r="W1056" s="2029">
        <v>0</v>
      </c>
      <c r="X1056" s="2029">
        <v>0</v>
      </c>
      <c r="Y1056" s="2029">
        <v>0</v>
      </c>
      <c r="Z1056" s="2029">
        <v>0</v>
      </c>
      <c r="AA1056" s="2029">
        <v>0</v>
      </c>
      <c r="AB1056" s="2029">
        <v>0</v>
      </c>
      <c r="AC1056" s="2029">
        <v>0</v>
      </c>
      <c r="AD1056" s="1554">
        <f>T1056</f>
        <v>0</v>
      </c>
      <c r="AE1056" s="42">
        <f>W1056</f>
        <v>0</v>
      </c>
      <c r="AF1056" s="42">
        <f>Z1056</f>
        <v>0</v>
      </c>
      <c r="AG1056" s="42">
        <f>AC1056</f>
        <v>0</v>
      </c>
      <c r="AH1056" s="42">
        <f>AE1056</f>
        <v>0</v>
      </c>
      <c r="AI1056" s="42">
        <f>AG1056</f>
        <v>0</v>
      </c>
      <c r="AJ1056" s="42">
        <f>AI1056</f>
        <v>0</v>
      </c>
      <c r="AL1056" s="42">
        <f t="shared" ca="1" si="1922"/>
        <v>0</v>
      </c>
      <c r="AM1056" s="42">
        <f t="shared" ca="1" si="1923"/>
        <v>0</v>
      </c>
      <c r="AN1056" s="914">
        <f t="shared" ca="1" si="1924"/>
        <v>0</v>
      </c>
      <c r="AO1056" s="975">
        <f t="shared" ca="1" si="1925"/>
        <v>0</v>
      </c>
      <c r="AP1056" s="42">
        <f t="shared" ca="1" si="1926"/>
        <v>0</v>
      </c>
      <c r="AQ1056" s="914">
        <f t="shared" ca="1" si="1927"/>
        <v>0</v>
      </c>
      <c r="AR1056" s="975">
        <f t="shared" ca="1" si="1928"/>
        <v>0</v>
      </c>
      <c r="AT1056" s="42">
        <f t="shared" ca="1" si="1929"/>
        <v>0</v>
      </c>
      <c r="AU1056" s="42">
        <f t="shared" ca="1" si="1930"/>
        <v>0</v>
      </c>
      <c r="AV1056" s="914">
        <f t="shared" ca="1" si="1931"/>
        <v>0</v>
      </c>
      <c r="AW1056" s="975">
        <f t="shared" ca="1" si="1932"/>
        <v>0</v>
      </c>
      <c r="AX1056" s="42">
        <f t="shared" ca="1" si="1933"/>
        <v>0</v>
      </c>
      <c r="AY1056" s="914">
        <f t="shared" ca="1" si="1934"/>
        <v>0</v>
      </c>
      <c r="AZ1056" s="975">
        <f t="shared" ca="1" si="1935"/>
        <v>0</v>
      </c>
      <c r="BB1056" s="42">
        <f t="shared" ca="1" si="1936"/>
        <v>0</v>
      </c>
      <c r="BC1056" s="42">
        <f t="shared" ca="1" si="1937"/>
        <v>0</v>
      </c>
      <c r="BD1056" s="914">
        <f t="shared" ca="1" si="1938"/>
        <v>0</v>
      </c>
      <c r="BE1056" s="975">
        <f t="shared" ca="1" si="1939"/>
        <v>0</v>
      </c>
      <c r="BF1056" s="42">
        <f t="shared" ca="1" si="1940"/>
        <v>0</v>
      </c>
      <c r="BG1056" s="914">
        <f t="shared" ca="1" si="1941"/>
        <v>0</v>
      </c>
      <c r="BH1056" s="975">
        <f t="shared" ca="1" si="1942"/>
        <v>0</v>
      </c>
    </row>
    <row r="1057" spans="1:60" s="38" customFormat="1" ht="14.5">
      <c r="A1057" s="990">
        <f t="shared" si="1918"/>
        <v>970</v>
      </c>
      <c r="B1057" s="990">
        <v>1</v>
      </c>
      <c r="C1057" s="990">
        <f t="shared" si="1919"/>
        <v>1054</v>
      </c>
      <c r="D1057" s="1121" t="s">
        <v>887</v>
      </c>
      <c r="E1057" s="1243">
        <v>1</v>
      </c>
      <c r="F1057" s="5"/>
      <c r="G1057" s="5"/>
      <c r="H1057" s="5"/>
      <c r="I1057" s="318" t="s">
        <v>296</v>
      </c>
      <c r="J1057" s="319"/>
      <c r="K1057" s="320"/>
      <c r="L1057" s="320"/>
      <c r="M1057" s="319"/>
      <c r="N1057" s="319"/>
      <c r="O1057" s="319"/>
      <c r="P1057" s="319"/>
      <c r="Q1057" s="1855" t="str">
        <f>CHOOSE(2, "6722000003976", "HC DW-DX Semi-Full-Time/Part-Time Employees /Contractors")</f>
        <v>HC DW-DX Semi-Full-Time/Part-Time Employees /Contractors</v>
      </c>
      <c r="R1057" s="2050">
        <v>0</v>
      </c>
      <c r="S1057" s="2050">
        <v>0</v>
      </c>
      <c r="T1057" s="2050">
        <v>0</v>
      </c>
      <c r="U1057" s="2050">
        <v>0</v>
      </c>
      <c r="V1057" s="2050">
        <v>0</v>
      </c>
      <c r="W1057" s="2050">
        <v>0</v>
      </c>
      <c r="X1057" s="2050">
        <v>0</v>
      </c>
      <c r="Y1057" s="2050">
        <v>0</v>
      </c>
      <c r="Z1057" s="2050">
        <v>0</v>
      </c>
      <c r="AA1057" s="2050">
        <v>0</v>
      </c>
      <c r="AB1057" s="2050">
        <v>0</v>
      </c>
      <c r="AC1057" s="2050">
        <v>0</v>
      </c>
      <c r="AD1057" s="1555">
        <f>T1057</f>
        <v>0</v>
      </c>
      <c r="AE1057" s="322">
        <f>W1057</f>
        <v>0</v>
      </c>
      <c r="AF1057" s="322">
        <f>Z1057</f>
        <v>0</v>
      </c>
      <c r="AG1057" s="322">
        <f>AC1057</f>
        <v>0</v>
      </c>
      <c r="AH1057" s="322">
        <f>AE1057</f>
        <v>0</v>
      </c>
      <c r="AI1057" s="322">
        <f>AG1057</f>
        <v>0</v>
      </c>
      <c r="AJ1057" s="322">
        <f>AI1057</f>
        <v>0</v>
      </c>
      <c r="AL1057" s="2527">
        <f t="shared" ca="1" si="1922"/>
        <v>0</v>
      </c>
      <c r="AM1057" s="2527">
        <f t="shared" ca="1" si="1923"/>
        <v>0</v>
      </c>
      <c r="AN1057" s="2528">
        <f t="shared" ca="1" si="1924"/>
        <v>0</v>
      </c>
      <c r="AO1057" s="2529">
        <f t="shared" ca="1" si="1925"/>
        <v>0</v>
      </c>
      <c r="AP1057" s="2527">
        <f t="shared" ca="1" si="1926"/>
        <v>0</v>
      </c>
      <c r="AQ1057" s="2528">
        <f t="shared" ca="1" si="1927"/>
        <v>0</v>
      </c>
      <c r="AR1057" s="2529">
        <f t="shared" ca="1" si="1928"/>
        <v>0</v>
      </c>
      <c r="AT1057" s="2527">
        <f t="shared" ca="1" si="1929"/>
        <v>0</v>
      </c>
      <c r="AU1057" s="2527">
        <f t="shared" ca="1" si="1930"/>
        <v>0</v>
      </c>
      <c r="AV1057" s="2528">
        <f t="shared" ca="1" si="1931"/>
        <v>0</v>
      </c>
      <c r="AW1057" s="2529">
        <f t="shared" ca="1" si="1932"/>
        <v>0</v>
      </c>
      <c r="AX1057" s="2527">
        <f t="shared" ca="1" si="1933"/>
        <v>0</v>
      </c>
      <c r="AY1057" s="2528">
        <f t="shared" ca="1" si="1934"/>
        <v>0</v>
      </c>
      <c r="AZ1057" s="2529">
        <f t="shared" ca="1" si="1935"/>
        <v>0</v>
      </c>
      <c r="BB1057" s="2527">
        <f t="shared" ca="1" si="1936"/>
        <v>0</v>
      </c>
      <c r="BC1057" s="2527">
        <f t="shared" ca="1" si="1937"/>
        <v>0</v>
      </c>
      <c r="BD1057" s="2528">
        <f t="shared" ca="1" si="1938"/>
        <v>0</v>
      </c>
      <c r="BE1057" s="2529">
        <f t="shared" ca="1" si="1939"/>
        <v>0</v>
      </c>
      <c r="BF1057" s="2527">
        <f t="shared" ca="1" si="1940"/>
        <v>0</v>
      </c>
      <c r="BG1057" s="2528">
        <f t="shared" ca="1" si="1941"/>
        <v>0</v>
      </c>
      <c r="BH1057" s="2529">
        <f t="shared" ca="1" si="1942"/>
        <v>0</v>
      </c>
    </row>
    <row r="1058" spans="1:60" s="38" customFormat="1" ht="14.5">
      <c r="A1058" s="990">
        <f t="shared" si="1918"/>
        <v>971</v>
      </c>
      <c r="B1058" s="990">
        <v>1</v>
      </c>
      <c r="C1058" s="990">
        <f t="shared" si="1919"/>
        <v>1055</v>
      </c>
      <c r="D1058" s="1121" t="s">
        <v>887</v>
      </c>
      <c r="E1058" s="1243">
        <v>1</v>
      </c>
      <c r="F1058" s="5"/>
      <c r="G1058" s="5"/>
      <c r="H1058" s="5"/>
      <c r="I1058" s="5"/>
      <c r="J1058" s="4"/>
      <c r="K1058" s="5"/>
      <c r="L1058" s="5"/>
      <c r="M1058" s="4"/>
      <c r="N1058" s="4"/>
      <c r="O1058" s="4"/>
      <c r="P1058" s="4"/>
      <c r="Q1058" s="1839" t="str">
        <f>CHOOSE(2, "6722000003977", "▷ Blank 32")</f>
        <v>▷ Blank 32</v>
      </c>
      <c r="R1058" s="2225"/>
      <c r="S1058" s="1151"/>
      <c r="T1058" s="1151"/>
      <c r="U1058" s="1151"/>
      <c r="V1058" s="1151"/>
      <c r="W1058" s="1151"/>
      <c r="X1058" s="1151"/>
      <c r="Y1058" s="1151"/>
      <c r="Z1058" s="1151"/>
      <c r="AA1058" s="1151"/>
    </row>
    <row r="1059" spans="1:60" ht="18">
      <c r="A1059" s="990">
        <f t="shared" si="1918"/>
        <v>972</v>
      </c>
      <c r="B1059" s="990">
        <v>1</v>
      </c>
      <c r="C1059" s="990">
        <f t="shared" si="1919"/>
        <v>1056</v>
      </c>
      <c r="D1059" s="1121" t="s">
        <v>887</v>
      </c>
      <c r="E1059" s="1243">
        <v>1</v>
      </c>
      <c r="F1059" s="314" t="s">
        <v>399</v>
      </c>
      <c r="G1059" s="314"/>
      <c r="I1059" s="5"/>
      <c r="J1059" s="4"/>
      <c r="K1059" s="5"/>
      <c r="L1059" s="5"/>
      <c r="M1059" s="4"/>
      <c r="N1059" s="4"/>
      <c r="O1059" s="4"/>
      <c r="P1059" s="291"/>
      <c r="Q1059" s="1839" t="str">
        <f>CHOOSE(2, "6722000003978", "4. B/S (1) - Inventories")</f>
        <v>4. B/S (1) - Inventories</v>
      </c>
      <c r="R1059" s="2225"/>
      <c r="S1059" s="1151"/>
      <c r="T1059" s="1151"/>
      <c r="U1059" s="1151"/>
      <c r="V1059" s="1151"/>
      <c r="W1059" s="1151"/>
    </row>
    <row r="1060" spans="1:60" ht="15.5">
      <c r="A1060" s="990">
        <f t="shared" si="1918"/>
        <v>973</v>
      </c>
      <c r="B1060" s="990">
        <v>1</v>
      </c>
      <c r="C1060" s="990">
        <f t="shared" si="1919"/>
        <v>1057</v>
      </c>
      <c r="D1060" s="1121" t="s">
        <v>887</v>
      </c>
      <c r="E1060" s="1243">
        <v>1</v>
      </c>
      <c r="F1060" s="9"/>
      <c r="G1060" s="315" t="s">
        <v>450</v>
      </c>
      <c r="I1060" s="5"/>
      <c r="J1060" s="4"/>
      <c r="K1060" s="5"/>
      <c r="L1060" s="5"/>
      <c r="M1060" s="4"/>
      <c r="N1060" s="4"/>
      <c r="O1060" s="4"/>
      <c r="P1060" s="4"/>
      <c r="Q1060" s="1839" t="str">
        <f>CHOOSE(2, "6722000003979", "4-1. Inventories")</f>
        <v>4-1. Inventories</v>
      </c>
      <c r="R1060" s="2225"/>
      <c r="S1060" s="1151"/>
      <c r="T1060" s="1151"/>
      <c r="U1060" s="1151"/>
      <c r="V1060" s="1151"/>
      <c r="W1060" s="1151"/>
    </row>
    <row r="1061" spans="1:60" ht="14.5">
      <c r="A1061" s="990">
        <f t="shared" si="1918"/>
        <v>974</v>
      </c>
      <c r="B1061" s="990">
        <v>1</v>
      </c>
      <c r="C1061" s="990">
        <f t="shared" si="1919"/>
        <v>1058</v>
      </c>
      <c r="D1061" s="1121" t="s">
        <v>887</v>
      </c>
      <c r="E1061" s="1243">
        <v>1</v>
      </c>
      <c r="F1061" s="5"/>
      <c r="G1061" s="5"/>
      <c r="H1061" s="75"/>
      <c r="I1061" s="58"/>
      <c r="J1061" s="56"/>
      <c r="K1061" s="57"/>
      <c r="L1061" s="57"/>
      <c r="M1061" s="56"/>
      <c r="N1061" s="56"/>
      <c r="O1061" s="56"/>
      <c r="P1061" s="555"/>
      <c r="Q1061" s="1839" t="str">
        <f>CHOOSE(2, "6722000003980", "▷ Blank 33")</f>
        <v>▷ Blank 33</v>
      </c>
      <c r="R1061" s="2175">
        <f>R13</f>
        <v>44652</v>
      </c>
      <c r="S1061" s="2175">
        <f t="shared" ref="S1061:AC1061" si="1953">S13</f>
        <v>44682</v>
      </c>
      <c r="T1061" s="2175">
        <f t="shared" si="1953"/>
        <v>44713</v>
      </c>
      <c r="U1061" s="2175">
        <f t="shared" si="1953"/>
        <v>44743</v>
      </c>
      <c r="V1061" s="2175">
        <f t="shared" si="1953"/>
        <v>44774</v>
      </c>
      <c r="W1061" s="2175">
        <f t="shared" si="1953"/>
        <v>44805</v>
      </c>
      <c r="X1061" s="2175">
        <f t="shared" si="1953"/>
        <v>44835</v>
      </c>
      <c r="Y1061" s="2175">
        <f t="shared" si="1953"/>
        <v>44866</v>
      </c>
      <c r="Z1061" s="2175">
        <f t="shared" si="1953"/>
        <v>44896</v>
      </c>
      <c r="AA1061" s="2175">
        <f t="shared" si="1953"/>
        <v>44927</v>
      </c>
      <c r="AB1061" s="2175">
        <f t="shared" si="1953"/>
        <v>44958</v>
      </c>
      <c r="AC1061" s="2175">
        <f t="shared" si="1953"/>
        <v>44986</v>
      </c>
      <c r="AD1061" s="1505" t="str">
        <f t="shared" ref="AD1061:AJ1061" si="1954">AD$13</f>
        <v>Q1</v>
      </c>
      <c r="AE1061" s="26" t="str">
        <f t="shared" si="1954"/>
        <v>Q2</v>
      </c>
      <c r="AF1061" s="26" t="str">
        <f t="shared" si="1954"/>
        <v>Q3</v>
      </c>
      <c r="AG1061" s="26" t="str">
        <f t="shared" si="1954"/>
        <v>Q4</v>
      </c>
      <c r="AH1061" s="26" t="str">
        <f t="shared" si="1954"/>
        <v>1st H</v>
      </c>
      <c r="AI1061" s="26" t="str">
        <f t="shared" si="1954"/>
        <v>2nd H</v>
      </c>
      <c r="AJ1061" s="26" t="str">
        <f t="shared" si="1954"/>
        <v>Yr.</v>
      </c>
      <c r="AL1061" s="2484">
        <f>AL$10</f>
        <v>0</v>
      </c>
      <c r="AM1061" s="2485">
        <f t="shared" ref="AM1061:AR1061" si="1955">AM$10</f>
        <v>0</v>
      </c>
      <c r="AN1061" s="2486">
        <f t="shared" si="1955"/>
        <v>0</v>
      </c>
      <c r="AO1061" s="2487">
        <f t="shared" si="1955"/>
        <v>0</v>
      </c>
      <c r="AP1061" s="2485">
        <f t="shared" si="1955"/>
        <v>0</v>
      </c>
      <c r="AQ1061" s="2486">
        <f t="shared" si="1955"/>
        <v>0</v>
      </c>
      <c r="AR1061" s="2488">
        <f t="shared" si="1955"/>
        <v>0</v>
      </c>
      <c r="AT1061" s="2484">
        <f>AT$10</f>
        <v>0</v>
      </c>
      <c r="AU1061" s="2485">
        <f t="shared" ref="AU1061:AZ1061" si="1956">AU$10</f>
        <v>0</v>
      </c>
      <c r="AV1061" s="2486">
        <f t="shared" si="1956"/>
        <v>0</v>
      </c>
      <c r="AW1061" s="2487">
        <f t="shared" si="1956"/>
        <v>0</v>
      </c>
      <c r="AX1061" s="2485">
        <f t="shared" si="1956"/>
        <v>0</v>
      </c>
      <c r="AY1061" s="2486">
        <f t="shared" si="1956"/>
        <v>0</v>
      </c>
      <c r="AZ1061" s="2488">
        <f t="shared" si="1956"/>
        <v>0</v>
      </c>
      <c r="BB1061" s="2484">
        <f>BB$10</f>
        <v>0</v>
      </c>
      <c r="BC1061" s="2485">
        <f t="shared" ref="BC1061:BH1061" si="1957">BC$10</f>
        <v>0</v>
      </c>
      <c r="BD1061" s="2486">
        <f t="shared" si="1957"/>
        <v>0</v>
      </c>
      <c r="BE1061" s="2487">
        <f t="shared" si="1957"/>
        <v>0</v>
      </c>
      <c r="BF1061" s="2485">
        <f t="shared" si="1957"/>
        <v>0</v>
      </c>
      <c r="BG1061" s="2486">
        <f t="shared" si="1957"/>
        <v>0</v>
      </c>
      <c r="BH1061" s="2488">
        <f t="shared" si="1957"/>
        <v>0</v>
      </c>
    </row>
    <row r="1062" spans="1:60" ht="14.5">
      <c r="A1062" s="990">
        <f t="shared" si="1918"/>
        <v>975</v>
      </c>
      <c r="B1062" s="990">
        <v>1</v>
      </c>
      <c r="C1062" s="990">
        <f t="shared" si="1919"/>
        <v>1059</v>
      </c>
      <c r="D1062" s="1121" t="s">
        <v>887</v>
      </c>
      <c r="E1062" s="1243">
        <v>1</v>
      </c>
      <c r="F1062" s="5"/>
      <c r="G1062" s="5"/>
      <c r="H1062" s="75"/>
      <c r="I1062" s="318" t="s">
        <v>237</v>
      </c>
      <c r="J1062" s="320"/>
      <c r="K1062" s="35"/>
      <c r="L1062" s="35"/>
      <c r="M1062" s="34"/>
      <c r="N1062" s="34"/>
      <c r="O1062" s="34"/>
      <c r="P1062" s="319"/>
      <c r="Q1062" s="1851" t="str">
        <f>CHOOSE(2, "6722000003981", "BS (0) Total Inventories")</f>
        <v>BS (0) Total Inventories</v>
      </c>
      <c r="R1062" s="2226">
        <f>R1063+R1064+R1065</f>
        <v>967611.44212309434</v>
      </c>
      <c r="S1062" s="2226">
        <f t="shared" ref="S1062:AC1062" si="1958">S1063+S1064+S1065</f>
        <v>1148683.4073328776</v>
      </c>
      <c r="T1062" s="2226">
        <f t="shared" si="1958"/>
        <v>1157112.1469635426</v>
      </c>
      <c r="U1062" s="2226">
        <f t="shared" si="1958"/>
        <v>1414816.9568983035</v>
      </c>
      <c r="V1062" s="2226">
        <f t="shared" si="1958"/>
        <v>1317908</v>
      </c>
      <c r="W1062" s="2226">
        <f t="shared" si="1958"/>
        <v>1450521.9303787234</v>
      </c>
      <c r="X1062" s="2226">
        <f t="shared" si="1958"/>
        <v>1460645.3832580918</v>
      </c>
      <c r="Y1062" s="2226">
        <f t="shared" si="1958"/>
        <v>1617307.3673690674</v>
      </c>
      <c r="Z1062" s="2226">
        <f t="shared" si="1958"/>
        <v>1584540.3093000001</v>
      </c>
      <c r="AA1062" s="2226">
        <f t="shared" si="1958"/>
        <v>1643267.7213260049</v>
      </c>
      <c r="AB1062" s="2226">
        <f t="shared" si="1958"/>
        <v>1889406.76883</v>
      </c>
      <c r="AC1062" s="2226">
        <f t="shared" si="1958"/>
        <v>1794234.6737707402</v>
      </c>
      <c r="AD1062" s="1556">
        <f t="shared" ref="AD1062:AJ1062" si="1959">AD1063+AD1064+AD1065</f>
        <v>1157112.1469635426</v>
      </c>
      <c r="AE1062" s="33">
        <f t="shared" si="1959"/>
        <v>1450521.9303787234</v>
      </c>
      <c r="AF1062" s="33">
        <f t="shared" si="1959"/>
        <v>1584540.3093000001</v>
      </c>
      <c r="AG1062" s="33">
        <f t="shared" si="1959"/>
        <v>1794234.6737707402</v>
      </c>
      <c r="AH1062" s="33">
        <f t="shared" si="1959"/>
        <v>1450521.9303787234</v>
      </c>
      <c r="AI1062" s="33">
        <f t="shared" si="1959"/>
        <v>1794234.6737707402</v>
      </c>
      <c r="AJ1062" s="33">
        <f t="shared" si="1959"/>
        <v>1794234.6737707402</v>
      </c>
      <c r="AL1062" s="2226">
        <f t="shared" ref="AL1062:AL1081" ca="1" si="1960">INDIRECT(AL$3&amp;(ROW()))</f>
        <v>1794234.6737707402</v>
      </c>
      <c r="AM1062" s="2226">
        <f t="shared" ref="AM1062:AM1081" ca="1" si="1961">INDIRECT(AM$1&amp;AM$3&amp;$C1062)</f>
        <v>0</v>
      </c>
      <c r="AN1062" s="2563">
        <f t="shared" ref="AN1062:AN1081" ca="1" si="1962">AL1062-AM1062</f>
        <v>1794234.6737707402</v>
      </c>
      <c r="AO1062" s="2564">
        <f t="shared" ref="AO1062:AO1081" ca="1" si="1963">IFERROR(AL1062/AM1062,0)</f>
        <v>0</v>
      </c>
      <c r="AP1062" s="2226">
        <f t="shared" ref="AP1062:AP1081" ca="1" si="1964">INDIRECT(AP$1&amp;AP$3&amp;$A1062)+INDIRECT(AP$1&amp;AP$3&amp;$B1062)</f>
        <v>819911.59778888884</v>
      </c>
      <c r="AQ1062" s="2563">
        <f t="shared" ref="AQ1062:AQ1081" ca="1" si="1965">AL1062-AP1062</f>
        <v>974323.07598185132</v>
      </c>
      <c r="AR1062" s="2564">
        <f t="shared" ref="AR1062:AR1081" ca="1" si="1966">IFERROR(AL1062/AP1062,0)</f>
        <v>2.1883269837984662</v>
      </c>
      <c r="AT1062" s="2226">
        <f t="shared" ref="AT1062:AT1081" ca="1" si="1967">INDIRECT(AT$3&amp;(ROW()))</f>
        <v>1794234.6737707402</v>
      </c>
      <c r="AU1062" s="2226">
        <f t="shared" ref="AU1062:AU1081" ca="1" si="1968">INDIRECT(AU$1&amp;AU$3&amp;$C1062)</f>
        <v>0</v>
      </c>
      <c r="AV1062" s="2563">
        <f t="shared" ref="AV1062:AV1081" ca="1" si="1969">AT1062-AU1062</f>
        <v>1794234.6737707402</v>
      </c>
      <c r="AW1062" s="2564">
        <f t="shared" ref="AW1062:AW1081" ca="1" si="1970">IFERROR(AT1062/AU1062,0)</f>
        <v>0</v>
      </c>
      <c r="AX1062" s="2226">
        <f t="shared" ref="AX1062:AX1081" ca="1" si="1971">INDIRECT(AX$1&amp;AX$3&amp;$A1062)+INDIRECT(AX$1&amp;AX$3&amp;$B1062)</f>
        <v>819911.59778888884</v>
      </c>
      <c r="AY1062" s="2563">
        <f t="shared" ref="AY1062:AY1081" ca="1" si="1972">AT1062-AX1062</f>
        <v>974323.07598185132</v>
      </c>
      <c r="AZ1062" s="2564">
        <f t="shared" ref="AZ1062:AZ1081" ca="1" si="1973">IFERROR(AT1062/AX1062,0)</f>
        <v>2.1883269837984662</v>
      </c>
      <c r="BB1062" s="2226">
        <f t="shared" ref="BB1062:BB1081" ca="1" si="1974">INDIRECT(BB$3&amp;(ROW()))</f>
        <v>1794234.6737707402</v>
      </c>
      <c r="BC1062" s="2226">
        <f t="shared" ref="BC1062:BC1081" ca="1" si="1975">INDIRECT(BC$1&amp;BC$3&amp;$C1062)</f>
        <v>0</v>
      </c>
      <c r="BD1062" s="2563">
        <f t="shared" ref="BD1062:BD1081" ca="1" si="1976">BB1062-BC1062</f>
        <v>1794234.6737707402</v>
      </c>
      <c r="BE1062" s="2564">
        <f t="shared" ref="BE1062:BE1081" ca="1" si="1977">IFERROR(BB1062/BC1062,0)</f>
        <v>0</v>
      </c>
      <c r="BF1062" s="2226">
        <f t="shared" ref="BF1062:BF1081" ca="1" si="1978">INDIRECT(BF$1&amp;BF$3&amp;$A1062)+INDIRECT(BF$1&amp;BF$3&amp;$B1062)</f>
        <v>819911.59778888884</v>
      </c>
      <c r="BG1062" s="2563">
        <f t="shared" ref="BG1062:BG1081" ca="1" si="1979">BB1062-BF1062</f>
        <v>974323.07598185132</v>
      </c>
      <c r="BH1062" s="2564">
        <f t="shared" ref="BH1062:BH1081" ca="1" si="1980">IFERROR(BB1062/BF1062,0)</f>
        <v>2.1883269837984662</v>
      </c>
    </row>
    <row r="1063" spans="1:60" ht="14.5">
      <c r="A1063" s="990">
        <f t="shared" si="1918"/>
        <v>976</v>
      </c>
      <c r="B1063" s="990">
        <v>1</v>
      </c>
      <c r="C1063" s="990">
        <f t="shared" si="1919"/>
        <v>1060</v>
      </c>
      <c r="D1063" s="1121" t="s">
        <v>887</v>
      </c>
      <c r="E1063" s="1243">
        <v>1</v>
      </c>
      <c r="F1063" s="5"/>
      <c r="G1063" s="5"/>
      <c r="H1063" s="75"/>
      <c r="I1063" s="30"/>
      <c r="J1063" s="5"/>
      <c r="K1063" s="5"/>
      <c r="L1063" s="5"/>
      <c r="M1063" s="5"/>
      <c r="N1063" s="4" t="s">
        <v>444</v>
      </c>
      <c r="O1063" s="4"/>
      <c r="P1063" s="4"/>
      <c r="Q1063" s="1851" t="str">
        <f>CHOOSE(2, "6722000003982", "BS (0) Total Inventories P BT &lt;exclude MGI&gt;")</f>
        <v>BS (0) Total Inventories P BT &lt;exclude MGI&gt;</v>
      </c>
      <c r="R1063" s="2080">
        <f t="shared" ref="R1063:AC1063" si="1981">R1067+R1080+R1070+R1073+R1077</f>
        <v>912500.0072930943</v>
      </c>
      <c r="S1063" s="2080">
        <f t="shared" si="1981"/>
        <v>1057728.1900828776</v>
      </c>
      <c r="T1063" s="2080">
        <f t="shared" si="1981"/>
        <v>1064651.5355435426</v>
      </c>
      <c r="U1063" s="2080">
        <f t="shared" si="1981"/>
        <v>1310622.5068683035</v>
      </c>
      <c r="V1063" s="2080">
        <f t="shared" si="1981"/>
        <v>1221310</v>
      </c>
      <c r="W1063" s="2080">
        <f t="shared" si="1981"/>
        <v>1373521.3772287234</v>
      </c>
      <c r="X1063" s="2080">
        <f t="shared" si="1981"/>
        <v>1381460.6760780916</v>
      </c>
      <c r="Y1063" s="2080">
        <f t="shared" si="1981"/>
        <v>1570998.2130390673</v>
      </c>
      <c r="Z1063" s="2080">
        <f t="shared" si="1981"/>
        <v>1538521</v>
      </c>
      <c r="AA1063" s="2080">
        <f t="shared" si="1981"/>
        <v>1601374.491856005</v>
      </c>
      <c r="AB1063" s="2081">
        <f t="shared" si="1981"/>
        <v>1848091.1529199998</v>
      </c>
      <c r="AC1063" s="2081">
        <f t="shared" si="1981"/>
        <v>1739296.3354207401</v>
      </c>
      <c r="AD1063" s="100">
        <f t="shared" ref="AD1063:AJ1063" si="1982">AD1067+AD1080+AD1070+AD1073+AD1077</f>
        <v>1064651.5355435426</v>
      </c>
      <c r="AE1063" s="19">
        <f t="shared" si="1982"/>
        <v>1373521.3772287234</v>
      </c>
      <c r="AF1063" s="19">
        <f t="shared" si="1982"/>
        <v>1538521</v>
      </c>
      <c r="AG1063" s="19">
        <f t="shared" si="1982"/>
        <v>1739296.3354207401</v>
      </c>
      <c r="AH1063" s="19">
        <f t="shared" si="1982"/>
        <v>1373521.3772287234</v>
      </c>
      <c r="AI1063" s="19">
        <f t="shared" si="1982"/>
        <v>1739296.3354207401</v>
      </c>
      <c r="AJ1063" s="19">
        <f t="shared" si="1982"/>
        <v>1739296.3354207401</v>
      </c>
      <c r="AL1063" s="19">
        <f t="shared" ca="1" si="1960"/>
        <v>1739296.3354207401</v>
      </c>
      <c r="AM1063" s="19">
        <f t="shared" ca="1" si="1961"/>
        <v>0</v>
      </c>
      <c r="AN1063" s="875">
        <f t="shared" ca="1" si="1962"/>
        <v>1739296.3354207401</v>
      </c>
      <c r="AO1063" s="926">
        <f t="shared" ca="1" si="1963"/>
        <v>0</v>
      </c>
      <c r="AP1063" s="19">
        <f t="shared" ca="1" si="1964"/>
        <v>780626.22188888886</v>
      </c>
      <c r="AQ1063" s="875">
        <f t="shared" ca="1" si="1965"/>
        <v>958670.11353185121</v>
      </c>
      <c r="AR1063" s="926">
        <f t="shared" ca="1" si="1966"/>
        <v>2.2280782872142675</v>
      </c>
      <c r="AT1063" s="19">
        <f t="shared" ca="1" si="1967"/>
        <v>1739296.3354207401</v>
      </c>
      <c r="AU1063" s="19">
        <f t="shared" ca="1" si="1968"/>
        <v>0</v>
      </c>
      <c r="AV1063" s="875">
        <f t="shared" ca="1" si="1969"/>
        <v>1739296.3354207401</v>
      </c>
      <c r="AW1063" s="926">
        <f t="shared" ca="1" si="1970"/>
        <v>0</v>
      </c>
      <c r="AX1063" s="19">
        <f t="shared" ca="1" si="1971"/>
        <v>780626.22188888886</v>
      </c>
      <c r="AY1063" s="875">
        <f t="shared" ca="1" si="1972"/>
        <v>958670.11353185121</v>
      </c>
      <c r="AZ1063" s="926">
        <f t="shared" ca="1" si="1973"/>
        <v>2.2280782872142675</v>
      </c>
      <c r="BB1063" s="19">
        <f t="shared" ca="1" si="1974"/>
        <v>1739296.3354207401</v>
      </c>
      <c r="BC1063" s="19">
        <f t="shared" ca="1" si="1975"/>
        <v>0</v>
      </c>
      <c r="BD1063" s="875">
        <f t="shared" ca="1" si="1976"/>
        <v>1739296.3354207401</v>
      </c>
      <c r="BE1063" s="926">
        <f t="shared" ca="1" si="1977"/>
        <v>0</v>
      </c>
      <c r="BF1063" s="19">
        <f t="shared" ca="1" si="1978"/>
        <v>780626.22188888886</v>
      </c>
      <c r="BG1063" s="875">
        <f t="shared" ca="1" si="1979"/>
        <v>958670.11353185121</v>
      </c>
      <c r="BH1063" s="926">
        <f t="shared" ca="1" si="1980"/>
        <v>2.2280782872142675</v>
      </c>
    </row>
    <row r="1064" spans="1:60" ht="14.5">
      <c r="A1064" s="990">
        <f t="shared" si="1918"/>
        <v>977</v>
      </c>
      <c r="B1064" s="990">
        <v>1</v>
      </c>
      <c r="C1064" s="990">
        <f t="shared" si="1919"/>
        <v>1061</v>
      </c>
      <c r="D1064" s="1121" t="s">
        <v>887</v>
      </c>
      <c r="E1064" s="1243">
        <v>1</v>
      </c>
      <c r="F1064" s="9"/>
      <c r="G1064" s="9"/>
      <c r="H1064" s="75"/>
      <c r="I1064" s="30"/>
      <c r="J1064" s="5"/>
      <c r="K1064" s="5"/>
      <c r="L1064" s="5"/>
      <c r="M1064" s="5"/>
      <c r="N1064" s="4" t="s">
        <v>445</v>
      </c>
      <c r="O1064" s="4"/>
      <c r="P1064" s="4"/>
      <c r="Q1064" s="1851" t="str">
        <f>CHOOSE(2, "6722000003983", "BS (0) Total Inventories Purchased from MGI (BT-Gr)")</f>
        <v>BS (0) Total Inventories Purchased from MGI (BT-Gr)</v>
      </c>
      <c r="R1064" s="2079">
        <f t="shared" ref="R1064:AC1064" si="1983">R1074</f>
        <v>14131</v>
      </c>
      <c r="S1064" s="2079">
        <f t="shared" si="1983"/>
        <v>18188</v>
      </c>
      <c r="T1064" s="2079">
        <f t="shared" si="1983"/>
        <v>15879</v>
      </c>
      <c r="U1064" s="2079">
        <f t="shared" si="1983"/>
        <v>20626</v>
      </c>
      <c r="V1064" s="2079">
        <f t="shared" si="1983"/>
        <v>22247</v>
      </c>
      <c r="W1064" s="2079">
        <f t="shared" si="1983"/>
        <v>22395</v>
      </c>
      <c r="X1064" s="2079">
        <f t="shared" si="1983"/>
        <v>21938.57761</v>
      </c>
      <c r="Y1064" s="2079">
        <f t="shared" si="1983"/>
        <v>18211</v>
      </c>
      <c r="Z1064" s="2079">
        <f t="shared" si="1983"/>
        <v>20238.521679999998</v>
      </c>
      <c r="AA1064" s="2079">
        <f t="shared" si="1983"/>
        <v>18741.294670000003</v>
      </c>
      <c r="AB1064" s="19">
        <f t="shared" si="1983"/>
        <v>17607.8033</v>
      </c>
      <c r="AC1064" s="19">
        <f t="shared" si="1983"/>
        <v>21659.121199999998</v>
      </c>
      <c r="AD1064" s="100">
        <f t="shared" ref="AD1064:AJ1064" si="1984">AD1074</f>
        <v>15879</v>
      </c>
      <c r="AE1064" s="19">
        <f t="shared" si="1984"/>
        <v>22395</v>
      </c>
      <c r="AF1064" s="19">
        <f t="shared" si="1984"/>
        <v>20238.521679999998</v>
      </c>
      <c r="AG1064" s="19">
        <f t="shared" si="1984"/>
        <v>21659.121199999998</v>
      </c>
      <c r="AH1064" s="19">
        <f t="shared" si="1984"/>
        <v>22395</v>
      </c>
      <c r="AI1064" s="19">
        <f t="shared" si="1984"/>
        <v>21659.121199999998</v>
      </c>
      <c r="AJ1064" s="19">
        <f t="shared" si="1984"/>
        <v>21659.121199999998</v>
      </c>
      <c r="AL1064" s="19">
        <f t="shared" ca="1" si="1960"/>
        <v>21659.121199999998</v>
      </c>
      <c r="AM1064" s="19">
        <f t="shared" ca="1" si="1961"/>
        <v>0</v>
      </c>
      <c r="AN1064" s="875">
        <f t="shared" ca="1" si="1962"/>
        <v>21659.121199999998</v>
      </c>
      <c r="AO1064" s="926">
        <f t="shared" ca="1" si="1963"/>
        <v>0</v>
      </c>
      <c r="AP1064" s="19">
        <f t="shared" ca="1" si="1964"/>
        <v>12119</v>
      </c>
      <c r="AQ1064" s="875">
        <f t="shared" ca="1" si="1965"/>
        <v>9540.1211999999978</v>
      </c>
      <c r="AR1064" s="926">
        <f t="shared" ca="1" si="1966"/>
        <v>1.7872036636686193</v>
      </c>
      <c r="AT1064" s="19">
        <f t="shared" ca="1" si="1967"/>
        <v>21659.121199999998</v>
      </c>
      <c r="AU1064" s="19">
        <f t="shared" ca="1" si="1968"/>
        <v>0</v>
      </c>
      <c r="AV1064" s="875">
        <f t="shared" ca="1" si="1969"/>
        <v>21659.121199999998</v>
      </c>
      <c r="AW1064" s="926">
        <f t="shared" ca="1" si="1970"/>
        <v>0</v>
      </c>
      <c r="AX1064" s="19">
        <f t="shared" ca="1" si="1971"/>
        <v>12119</v>
      </c>
      <c r="AY1064" s="875">
        <f t="shared" ca="1" si="1972"/>
        <v>9540.1211999999978</v>
      </c>
      <c r="AZ1064" s="926">
        <f t="shared" ca="1" si="1973"/>
        <v>1.7872036636686193</v>
      </c>
      <c r="BB1064" s="19">
        <f t="shared" ca="1" si="1974"/>
        <v>21659.121199999998</v>
      </c>
      <c r="BC1064" s="19">
        <f t="shared" ca="1" si="1975"/>
        <v>0</v>
      </c>
      <c r="BD1064" s="875">
        <f t="shared" ca="1" si="1976"/>
        <v>21659.121199999998</v>
      </c>
      <c r="BE1064" s="926">
        <f t="shared" ca="1" si="1977"/>
        <v>0</v>
      </c>
      <c r="BF1064" s="19">
        <f t="shared" ca="1" si="1978"/>
        <v>12119</v>
      </c>
      <c r="BG1064" s="875">
        <f t="shared" ca="1" si="1979"/>
        <v>9540.1211999999978</v>
      </c>
      <c r="BH1064" s="926">
        <f t="shared" ca="1" si="1980"/>
        <v>1.7872036636686193</v>
      </c>
    </row>
    <row r="1065" spans="1:60" ht="14.5">
      <c r="A1065" s="990">
        <f t="shared" si="1918"/>
        <v>978</v>
      </c>
      <c r="B1065" s="990">
        <v>1</v>
      </c>
      <c r="C1065" s="990">
        <f t="shared" si="1919"/>
        <v>1062</v>
      </c>
      <c r="D1065" s="1121" t="s">
        <v>887</v>
      </c>
      <c r="E1065" s="1243">
        <v>1</v>
      </c>
      <c r="F1065" s="5"/>
      <c r="G1065" s="5"/>
      <c r="H1065" s="75"/>
      <c r="I1065" s="28"/>
      <c r="J1065" s="5"/>
      <c r="K1065" s="5"/>
      <c r="L1065" s="5"/>
      <c r="M1065" s="5"/>
      <c r="N1065" s="4" t="s">
        <v>238</v>
      </c>
      <c r="O1065" s="4"/>
      <c r="P1065" s="4"/>
      <c r="Q1065" s="1851" t="str">
        <f>CHOOSE(2, "6722000003984", "BS (0) Total Inventories 3rd Party")</f>
        <v>BS (0) Total Inventories 3rd Party</v>
      </c>
      <c r="R1065" s="2033">
        <f t="shared" ref="R1065:AC1065" si="1985">R1068+R1081+R1071+R1075+R1078</f>
        <v>40980.434829999998</v>
      </c>
      <c r="S1065" s="2033">
        <f t="shared" si="1985"/>
        <v>72767.217250000045</v>
      </c>
      <c r="T1065" s="2033">
        <f t="shared" si="1985"/>
        <v>76581.611420000074</v>
      </c>
      <c r="U1065" s="2033">
        <f t="shared" si="1985"/>
        <v>83568.450030000051</v>
      </c>
      <c r="V1065" s="2033">
        <f t="shared" si="1985"/>
        <v>74351</v>
      </c>
      <c r="W1065" s="2033">
        <f t="shared" si="1985"/>
        <v>54605.553150000051</v>
      </c>
      <c r="X1065" s="2033">
        <f t="shared" si="1985"/>
        <v>57246.129570000048</v>
      </c>
      <c r="Y1065" s="2033">
        <f t="shared" si="1985"/>
        <v>28098.154330000027</v>
      </c>
      <c r="Z1065" s="2033">
        <f t="shared" si="1985"/>
        <v>25780.787620000025</v>
      </c>
      <c r="AA1065" s="2033">
        <f t="shared" si="1985"/>
        <v>23151.934800000035</v>
      </c>
      <c r="AB1065" s="17">
        <f t="shared" si="1985"/>
        <v>23707.812610000037</v>
      </c>
      <c r="AC1065" s="17">
        <f t="shared" si="1985"/>
        <v>33279.21715000004</v>
      </c>
      <c r="AD1065" s="100">
        <f t="shared" ref="AD1065:AJ1065" si="1986">AD1068+AD1081+AD1071+AD1075+AD1078</f>
        <v>76581.611420000074</v>
      </c>
      <c r="AE1065" s="19">
        <f t="shared" si="1986"/>
        <v>54605.553150000051</v>
      </c>
      <c r="AF1065" s="19">
        <f t="shared" si="1986"/>
        <v>25780.787620000025</v>
      </c>
      <c r="AG1065" s="19">
        <f t="shared" si="1986"/>
        <v>33279.21715000004</v>
      </c>
      <c r="AH1065" s="19">
        <f t="shared" si="1986"/>
        <v>54605.553150000051</v>
      </c>
      <c r="AI1065" s="19">
        <f t="shared" si="1986"/>
        <v>33279.21715000004</v>
      </c>
      <c r="AJ1065" s="19">
        <f t="shared" si="1986"/>
        <v>33279.21715000004</v>
      </c>
      <c r="AL1065" s="19">
        <f t="shared" ca="1" si="1960"/>
        <v>33279.21715000004</v>
      </c>
      <c r="AM1065" s="19">
        <f t="shared" ca="1" si="1961"/>
        <v>0</v>
      </c>
      <c r="AN1065" s="875">
        <f t="shared" ca="1" si="1962"/>
        <v>33279.21715000004</v>
      </c>
      <c r="AO1065" s="926">
        <f t="shared" ca="1" si="1963"/>
        <v>0</v>
      </c>
      <c r="AP1065" s="19">
        <f t="shared" ca="1" si="1964"/>
        <v>27166.375899999988</v>
      </c>
      <c r="AQ1065" s="875">
        <f t="shared" ca="1" si="1965"/>
        <v>6112.8412500000522</v>
      </c>
      <c r="AR1065" s="926">
        <f t="shared" ca="1" si="1966"/>
        <v>1.2250149697001009</v>
      </c>
      <c r="AT1065" s="19">
        <f t="shared" ca="1" si="1967"/>
        <v>33279.21715000004</v>
      </c>
      <c r="AU1065" s="19">
        <f t="shared" ca="1" si="1968"/>
        <v>0</v>
      </c>
      <c r="AV1065" s="875">
        <f t="shared" ca="1" si="1969"/>
        <v>33279.21715000004</v>
      </c>
      <c r="AW1065" s="926">
        <f t="shared" ca="1" si="1970"/>
        <v>0</v>
      </c>
      <c r="AX1065" s="19">
        <f t="shared" ca="1" si="1971"/>
        <v>27166.375899999988</v>
      </c>
      <c r="AY1065" s="875">
        <f t="shared" ca="1" si="1972"/>
        <v>6112.8412500000522</v>
      </c>
      <c r="AZ1065" s="926">
        <f t="shared" ca="1" si="1973"/>
        <v>1.2250149697001009</v>
      </c>
      <c r="BB1065" s="19">
        <f t="shared" ca="1" si="1974"/>
        <v>33279.21715000004</v>
      </c>
      <c r="BC1065" s="19">
        <f t="shared" ca="1" si="1975"/>
        <v>0</v>
      </c>
      <c r="BD1065" s="875">
        <f t="shared" ca="1" si="1976"/>
        <v>33279.21715000004</v>
      </c>
      <c r="BE1065" s="926">
        <f t="shared" ca="1" si="1977"/>
        <v>0</v>
      </c>
      <c r="BF1065" s="19">
        <f t="shared" ca="1" si="1978"/>
        <v>27166.375899999988</v>
      </c>
      <c r="BG1065" s="875">
        <f t="shared" ca="1" si="1979"/>
        <v>6112.8412500000522</v>
      </c>
      <c r="BH1065" s="926">
        <f t="shared" ca="1" si="1980"/>
        <v>1.2250149697001009</v>
      </c>
    </row>
    <row r="1066" spans="1:60" ht="14.5">
      <c r="A1066" s="990">
        <f t="shared" si="1918"/>
        <v>979</v>
      </c>
      <c r="B1066" s="990">
        <v>1</v>
      </c>
      <c r="C1066" s="990">
        <f t="shared" si="1919"/>
        <v>1063</v>
      </c>
      <c r="D1066" s="1121" t="s">
        <v>887</v>
      </c>
      <c r="E1066" s="1243">
        <v>1</v>
      </c>
      <c r="F1066" s="5"/>
      <c r="G1066" s="5"/>
      <c r="H1066" s="75"/>
      <c r="I1066" s="8" t="s">
        <v>98</v>
      </c>
      <c r="J1066" s="414"/>
      <c r="K1066" s="414"/>
      <c r="L1066" s="414"/>
      <c r="M1066" s="414"/>
      <c r="N1066" s="415"/>
      <c r="O1066" s="415"/>
      <c r="P1066" s="1207"/>
      <c r="Q1066" s="1869" t="str">
        <f>CHOOSE(2, "6722000003985", "BS (1) Office")</f>
        <v>BS (1) Office</v>
      </c>
      <c r="R1066" s="2068">
        <f>SUM(R1067:R1068)</f>
        <v>216570</v>
      </c>
      <c r="S1066" s="2068">
        <f t="shared" ref="S1066:AC1066" si="1987">SUM(S1067:S1068)</f>
        <v>246006</v>
      </c>
      <c r="T1066" s="2068">
        <f t="shared" si="1987"/>
        <v>253403</v>
      </c>
      <c r="U1066" s="2068">
        <f t="shared" si="1987"/>
        <v>355360</v>
      </c>
      <c r="V1066" s="2068">
        <f t="shared" si="1987"/>
        <v>337162</v>
      </c>
      <c r="W1066" s="2068">
        <f t="shared" si="1987"/>
        <v>384687</v>
      </c>
      <c r="X1066" s="2068">
        <f t="shared" si="1987"/>
        <v>358623.00989188929</v>
      </c>
      <c r="Y1066" s="2068">
        <f t="shared" si="1987"/>
        <v>431745</v>
      </c>
      <c r="Z1066" s="2068">
        <f t="shared" si="1987"/>
        <v>409311</v>
      </c>
      <c r="AA1066" s="2068">
        <f>SUM(AA1067:AA1068)</f>
        <v>479339</v>
      </c>
      <c r="AB1066" s="2068">
        <f t="shared" si="1987"/>
        <v>587597.64107224962</v>
      </c>
      <c r="AC1066" s="2068">
        <f t="shared" si="1987"/>
        <v>586352.85967000003</v>
      </c>
      <c r="AD1066" s="1557">
        <f t="shared" ref="AD1066:AJ1066" si="1988">SUM(AD1067:AD1068)</f>
        <v>253403</v>
      </c>
      <c r="AE1066" s="416">
        <f t="shared" si="1988"/>
        <v>384687</v>
      </c>
      <c r="AF1066" s="416">
        <f t="shared" si="1988"/>
        <v>409311</v>
      </c>
      <c r="AG1066" s="416">
        <f t="shared" si="1988"/>
        <v>586352.85967000003</v>
      </c>
      <c r="AH1066" s="416">
        <f t="shared" si="1988"/>
        <v>384687</v>
      </c>
      <c r="AI1066" s="416">
        <f t="shared" si="1988"/>
        <v>586352.85967000003</v>
      </c>
      <c r="AJ1066" s="416">
        <f t="shared" si="1988"/>
        <v>586352.85967000003</v>
      </c>
      <c r="AL1066" s="2068">
        <f t="shared" ca="1" si="1960"/>
        <v>586352.85967000003</v>
      </c>
      <c r="AM1066" s="2068">
        <f t="shared" ca="1" si="1961"/>
        <v>0</v>
      </c>
      <c r="AN1066" s="2532">
        <f t="shared" ca="1" si="1962"/>
        <v>586352.85967000003</v>
      </c>
      <c r="AO1066" s="2533">
        <f t="shared" ca="1" si="1963"/>
        <v>0</v>
      </c>
      <c r="AP1066" s="2068">
        <f t="shared" ca="1" si="1964"/>
        <v>186123.6643</v>
      </c>
      <c r="AQ1066" s="2532">
        <f t="shared" ca="1" si="1965"/>
        <v>400229.19537000003</v>
      </c>
      <c r="AR1066" s="2533">
        <f t="shared" ca="1" si="1966"/>
        <v>3.1503401884722084</v>
      </c>
      <c r="AT1066" s="2068">
        <f t="shared" ca="1" si="1967"/>
        <v>586352.85967000003</v>
      </c>
      <c r="AU1066" s="2068">
        <f t="shared" ca="1" si="1968"/>
        <v>0</v>
      </c>
      <c r="AV1066" s="2532">
        <f t="shared" ca="1" si="1969"/>
        <v>586352.85967000003</v>
      </c>
      <c r="AW1066" s="2533">
        <f t="shared" ca="1" si="1970"/>
        <v>0</v>
      </c>
      <c r="AX1066" s="2068">
        <f t="shared" ca="1" si="1971"/>
        <v>186123.6643</v>
      </c>
      <c r="AY1066" s="2532">
        <f t="shared" ca="1" si="1972"/>
        <v>400229.19537000003</v>
      </c>
      <c r="AZ1066" s="2533">
        <f t="shared" ca="1" si="1973"/>
        <v>3.1503401884722084</v>
      </c>
      <c r="BB1066" s="2068">
        <f t="shared" ca="1" si="1974"/>
        <v>586352.85967000003</v>
      </c>
      <c r="BC1066" s="2068">
        <f t="shared" ca="1" si="1975"/>
        <v>0</v>
      </c>
      <c r="BD1066" s="2532">
        <f t="shared" ca="1" si="1976"/>
        <v>586352.85967000003</v>
      </c>
      <c r="BE1066" s="2533">
        <f t="shared" ca="1" si="1977"/>
        <v>0</v>
      </c>
      <c r="BF1066" s="2068">
        <f t="shared" ca="1" si="1978"/>
        <v>186123.6643</v>
      </c>
      <c r="BG1066" s="2532">
        <f t="shared" ca="1" si="1979"/>
        <v>400229.19537000003</v>
      </c>
      <c r="BH1066" s="2533">
        <f t="shared" ca="1" si="1980"/>
        <v>3.1503401884722084</v>
      </c>
    </row>
    <row r="1067" spans="1:60" ht="14.5">
      <c r="A1067" s="990">
        <f t="shared" si="1918"/>
        <v>980</v>
      </c>
      <c r="B1067" s="990">
        <v>1</v>
      </c>
      <c r="C1067" s="990">
        <f t="shared" si="1919"/>
        <v>1064</v>
      </c>
      <c r="D1067" s="1121" t="s">
        <v>887</v>
      </c>
      <c r="E1067" s="1243">
        <v>1</v>
      </c>
      <c r="F1067" s="5"/>
      <c r="G1067" s="5"/>
      <c r="H1067" s="75"/>
      <c r="I1067" s="30"/>
      <c r="J1067" s="5"/>
      <c r="K1067" s="5"/>
      <c r="L1067" s="5"/>
      <c r="M1067" s="5"/>
      <c r="N1067" s="4" t="s">
        <v>117</v>
      </c>
      <c r="O1067" s="4"/>
      <c r="P1067" s="4"/>
      <c r="Q1067" s="1855" t="str">
        <f>CHOOSE(2, "6722000003986", "BS (1) Office Purchased from BT cons. companies")</f>
        <v>BS (1) Office Purchased from BT cons. companies</v>
      </c>
      <c r="R1067" s="2032">
        <f>224347-9910</f>
        <v>214437</v>
      </c>
      <c r="S1067" s="2032">
        <f>252823-9063</f>
        <v>243760</v>
      </c>
      <c r="T1067" s="2032">
        <f>260182-9007</f>
        <v>251175</v>
      </c>
      <c r="U1067" s="2032">
        <f>359078-8976</f>
        <v>350102</v>
      </c>
      <c r="V1067" s="2032">
        <v>332502</v>
      </c>
      <c r="W1067" s="2032">
        <v>380405</v>
      </c>
      <c r="X1067" s="2032">
        <v>353496.00989188929</v>
      </c>
      <c r="Y1067" s="2032">
        <v>427338</v>
      </c>
      <c r="Z1067" s="2032">
        <v>405737</v>
      </c>
      <c r="AA1067" s="2032">
        <v>475891</v>
      </c>
      <c r="AB1067" s="2032">
        <v>582284.04480224964</v>
      </c>
      <c r="AC1067" s="2032">
        <v>575224</v>
      </c>
      <c r="AD1067" s="89">
        <f>T1067</f>
        <v>251175</v>
      </c>
      <c r="AE1067" s="13">
        <f>W1067</f>
        <v>380405</v>
      </c>
      <c r="AF1067" s="13">
        <f>Z1067</f>
        <v>405737</v>
      </c>
      <c r="AG1067" s="13">
        <f>AC1067</f>
        <v>575224</v>
      </c>
      <c r="AH1067" s="13">
        <f>AE1067</f>
        <v>380405</v>
      </c>
      <c r="AI1067" s="13">
        <f>AG1067</f>
        <v>575224</v>
      </c>
      <c r="AJ1067" s="13">
        <f>AI1067</f>
        <v>575224</v>
      </c>
      <c r="AL1067" s="13">
        <f t="shared" ca="1" si="1960"/>
        <v>575224</v>
      </c>
      <c r="AM1067" s="13">
        <f t="shared" ca="1" si="1961"/>
        <v>0</v>
      </c>
      <c r="AN1067" s="907">
        <f t="shared" ca="1" si="1962"/>
        <v>575224</v>
      </c>
      <c r="AO1067" s="968">
        <f t="shared" ca="1" si="1963"/>
        <v>0</v>
      </c>
      <c r="AP1067" s="13">
        <f t="shared" ca="1" si="1964"/>
        <v>183658</v>
      </c>
      <c r="AQ1067" s="907">
        <f t="shared" ca="1" si="1965"/>
        <v>391566</v>
      </c>
      <c r="AR1067" s="968">
        <f t="shared" ca="1" si="1966"/>
        <v>3.1320388983872198</v>
      </c>
      <c r="AT1067" s="13">
        <f t="shared" ca="1" si="1967"/>
        <v>575224</v>
      </c>
      <c r="AU1067" s="13">
        <f t="shared" ca="1" si="1968"/>
        <v>0</v>
      </c>
      <c r="AV1067" s="907">
        <f t="shared" ca="1" si="1969"/>
        <v>575224</v>
      </c>
      <c r="AW1067" s="968">
        <f t="shared" ca="1" si="1970"/>
        <v>0</v>
      </c>
      <c r="AX1067" s="13">
        <f t="shared" ca="1" si="1971"/>
        <v>183658</v>
      </c>
      <c r="AY1067" s="907">
        <f t="shared" ca="1" si="1972"/>
        <v>391566</v>
      </c>
      <c r="AZ1067" s="968">
        <f t="shared" ca="1" si="1973"/>
        <v>3.1320388983872198</v>
      </c>
      <c r="BB1067" s="13">
        <f t="shared" ca="1" si="1974"/>
        <v>575224</v>
      </c>
      <c r="BC1067" s="13">
        <f t="shared" ca="1" si="1975"/>
        <v>0</v>
      </c>
      <c r="BD1067" s="907">
        <f t="shared" ca="1" si="1976"/>
        <v>575224</v>
      </c>
      <c r="BE1067" s="968">
        <f t="shared" ca="1" si="1977"/>
        <v>0</v>
      </c>
      <c r="BF1067" s="13">
        <f t="shared" ca="1" si="1978"/>
        <v>183658</v>
      </c>
      <c r="BG1067" s="907">
        <f t="shared" ca="1" si="1979"/>
        <v>391566</v>
      </c>
      <c r="BH1067" s="968">
        <f t="shared" ca="1" si="1980"/>
        <v>3.1320388983872198</v>
      </c>
    </row>
    <row r="1068" spans="1:60" ht="14.5">
      <c r="A1068" s="990">
        <f t="shared" si="1918"/>
        <v>981</v>
      </c>
      <c r="B1068" s="990">
        <v>1</v>
      </c>
      <c r="C1068" s="990">
        <f t="shared" si="1919"/>
        <v>1065</v>
      </c>
      <c r="D1068" s="1121" t="s">
        <v>887</v>
      </c>
      <c r="E1068" s="1243">
        <v>1</v>
      </c>
      <c r="F1068" s="5"/>
      <c r="G1068" s="5"/>
      <c r="H1068" s="75"/>
      <c r="I1068" s="28"/>
      <c r="J1068" s="5"/>
      <c r="K1068" s="5"/>
      <c r="L1068" s="5"/>
      <c r="M1068" s="5"/>
      <c r="N1068" s="4" t="s">
        <v>238</v>
      </c>
      <c r="O1068" s="4"/>
      <c r="P1068" s="4"/>
      <c r="Q1068" s="1855" t="str">
        <f>CHOOSE(2, "6722000003987", "BS (1) Office 3rd Party")</f>
        <v>BS (1) Office 3rd Party</v>
      </c>
      <c r="R1068" s="2032">
        <v>2133</v>
      </c>
      <c r="S1068" s="2032">
        <v>2246</v>
      </c>
      <c r="T1068" s="2032">
        <v>2228</v>
      </c>
      <c r="U1068" s="2032">
        <v>5258</v>
      </c>
      <c r="V1068" s="2032">
        <v>4660</v>
      </c>
      <c r="W1068" s="2032">
        <v>4282</v>
      </c>
      <c r="X1068" s="2032">
        <v>5127</v>
      </c>
      <c r="Y1068" s="2032">
        <v>4407</v>
      </c>
      <c r="Z1068" s="2032">
        <v>3574</v>
      </c>
      <c r="AA1068" s="2032">
        <v>3448</v>
      </c>
      <c r="AB1068" s="2032">
        <v>5313.5962700000055</v>
      </c>
      <c r="AC1068" s="2032">
        <v>11128.859670000002</v>
      </c>
      <c r="AD1068" s="89">
        <f>T1068</f>
        <v>2228</v>
      </c>
      <c r="AE1068" s="13">
        <f>W1068</f>
        <v>4282</v>
      </c>
      <c r="AF1068" s="13">
        <f>Z1068</f>
        <v>3574</v>
      </c>
      <c r="AG1068" s="13">
        <f>AC1068</f>
        <v>11128.859670000002</v>
      </c>
      <c r="AH1068" s="13">
        <f>AE1068</f>
        <v>4282</v>
      </c>
      <c r="AI1068" s="13">
        <f>AG1068</f>
        <v>11128.859670000002</v>
      </c>
      <c r="AJ1068" s="13">
        <f>AI1068</f>
        <v>11128.859670000002</v>
      </c>
      <c r="AL1068" s="13">
        <f t="shared" ca="1" si="1960"/>
        <v>11128.859670000002</v>
      </c>
      <c r="AM1068" s="13">
        <f t="shared" ca="1" si="1961"/>
        <v>0</v>
      </c>
      <c r="AN1068" s="907">
        <f t="shared" ca="1" si="1962"/>
        <v>11128.859670000002</v>
      </c>
      <c r="AO1068" s="968">
        <f t="shared" ca="1" si="1963"/>
        <v>0</v>
      </c>
      <c r="AP1068" s="13">
        <f t="shared" ca="1" si="1964"/>
        <v>2465.6643000000026</v>
      </c>
      <c r="AQ1068" s="907">
        <f t="shared" ca="1" si="1965"/>
        <v>8663.1953699999995</v>
      </c>
      <c r="AR1068" s="968">
        <f t="shared" ca="1" si="1966"/>
        <v>4.5135340078533766</v>
      </c>
      <c r="AT1068" s="13">
        <f t="shared" ca="1" si="1967"/>
        <v>11128.859670000002</v>
      </c>
      <c r="AU1068" s="13">
        <f t="shared" ca="1" si="1968"/>
        <v>0</v>
      </c>
      <c r="AV1068" s="907">
        <f t="shared" ca="1" si="1969"/>
        <v>11128.859670000002</v>
      </c>
      <c r="AW1068" s="968">
        <f t="shared" ca="1" si="1970"/>
        <v>0</v>
      </c>
      <c r="AX1068" s="13">
        <f t="shared" ca="1" si="1971"/>
        <v>2465.6643000000026</v>
      </c>
      <c r="AY1068" s="907">
        <f t="shared" ca="1" si="1972"/>
        <v>8663.1953699999995</v>
      </c>
      <c r="AZ1068" s="968">
        <f t="shared" ca="1" si="1973"/>
        <v>4.5135340078533766</v>
      </c>
      <c r="BB1068" s="13">
        <f t="shared" ca="1" si="1974"/>
        <v>11128.859670000002</v>
      </c>
      <c r="BC1068" s="13">
        <f t="shared" ca="1" si="1975"/>
        <v>0</v>
      </c>
      <c r="BD1068" s="907">
        <f t="shared" ca="1" si="1976"/>
        <v>11128.859670000002</v>
      </c>
      <c r="BE1068" s="968">
        <f t="shared" ca="1" si="1977"/>
        <v>0</v>
      </c>
      <c r="BF1068" s="13">
        <f t="shared" ca="1" si="1978"/>
        <v>2465.6643000000026</v>
      </c>
      <c r="BG1068" s="907">
        <f t="shared" ca="1" si="1979"/>
        <v>8663.1953699999995</v>
      </c>
      <c r="BH1068" s="968">
        <f t="shared" ca="1" si="1980"/>
        <v>4.5135340078533766</v>
      </c>
    </row>
    <row r="1069" spans="1:60" ht="14.5">
      <c r="A1069" s="990">
        <f t="shared" si="1918"/>
        <v>982</v>
      </c>
      <c r="B1069" s="990">
        <v>1</v>
      </c>
      <c r="C1069" s="990">
        <f t="shared" si="1919"/>
        <v>1066</v>
      </c>
      <c r="D1069" s="1121" t="s">
        <v>887</v>
      </c>
      <c r="E1069" s="1243">
        <v>1</v>
      </c>
      <c r="F1069" s="5"/>
      <c r="G1069" s="5"/>
      <c r="H1069" s="75"/>
      <c r="I1069" s="7" t="s">
        <v>489</v>
      </c>
      <c r="J1069" s="411"/>
      <c r="K1069" s="411"/>
      <c r="L1069" s="411"/>
      <c r="M1069" s="411"/>
      <c r="N1069" s="412"/>
      <c r="O1069" s="412"/>
      <c r="P1069" s="1115"/>
      <c r="Q1069" s="1870" t="str">
        <f>CHOOSE(2, "6722000003988", "BS (2) PP")</f>
        <v>BS (2) PP</v>
      </c>
      <c r="R1069" s="2067">
        <f>SUM(R1070:R1071)</f>
        <v>711417.44212309434</v>
      </c>
      <c r="S1069" s="2067">
        <f t="shared" ref="S1069:AC1069" si="1989">SUM(S1070:S1071)</f>
        <v>843713.61815188744</v>
      </c>
      <c r="T1069" s="2067">
        <f t="shared" si="1989"/>
        <v>840783.29475354264</v>
      </c>
      <c r="U1069" s="2067">
        <f t="shared" si="1989"/>
        <v>986395.95689830359</v>
      </c>
      <c r="V1069" s="2067">
        <f t="shared" si="1989"/>
        <v>915550</v>
      </c>
      <c r="W1069" s="2067">
        <f t="shared" si="1989"/>
        <v>998566.93037872354</v>
      </c>
      <c r="X1069" s="2067">
        <f t="shared" si="1989"/>
        <v>1025900.7996262023</v>
      </c>
      <c r="Y1069" s="2067">
        <f t="shared" si="1989"/>
        <v>1117019.3673690674</v>
      </c>
      <c r="Z1069" s="2067">
        <f t="shared" si="1989"/>
        <v>1104374.1585200001</v>
      </c>
      <c r="AA1069" s="2067">
        <f t="shared" si="1989"/>
        <v>1088677.3579382203</v>
      </c>
      <c r="AB1069" s="2067">
        <f t="shared" si="1989"/>
        <v>1160828.024790497</v>
      </c>
      <c r="AC1069" s="2067">
        <f t="shared" si="1989"/>
        <v>1100482.1667938512</v>
      </c>
      <c r="AD1069" s="1558">
        <f t="shared" ref="AD1069:AJ1069" si="1990">SUM(AD1070:AD1071)</f>
        <v>840783.29475354264</v>
      </c>
      <c r="AE1069" s="413">
        <f t="shared" si="1990"/>
        <v>998566.93037872354</v>
      </c>
      <c r="AF1069" s="413">
        <f t="shared" si="1990"/>
        <v>1104374.1585200001</v>
      </c>
      <c r="AG1069" s="413">
        <f t="shared" si="1990"/>
        <v>1100482.1667938512</v>
      </c>
      <c r="AH1069" s="413">
        <f t="shared" si="1990"/>
        <v>998566.93037872354</v>
      </c>
      <c r="AI1069" s="413">
        <f t="shared" si="1990"/>
        <v>1100482.1667938512</v>
      </c>
      <c r="AJ1069" s="413">
        <f t="shared" si="1990"/>
        <v>1100482.1667938512</v>
      </c>
      <c r="AL1069" s="2067">
        <f t="shared" ca="1" si="1960"/>
        <v>1100482.1667938512</v>
      </c>
      <c r="AM1069" s="2067">
        <f t="shared" ca="1" si="1961"/>
        <v>0</v>
      </c>
      <c r="AN1069" s="2565">
        <f t="shared" ca="1" si="1962"/>
        <v>1100482.1667938512</v>
      </c>
      <c r="AO1069" s="2566">
        <f t="shared" ca="1" si="1963"/>
        <v>0</v>
      </c>
      <c r="AP1069" s="2067">
        <f t="shared" ca="1" si="1964"/>
        <v>597276.9334888889</v>
      </c>
      <c r="AQ1069" s="2565">
        <f t="shared" ca="1" si="1965"/>
        <v>503205.23330496228</v>
      </c>
      <c r="AR1069" s="2566">
        <f t="shared" ca="1" si="1966"/>
        <v>1.8424990236364509</v>
      </c>
      <c r="AT1069" s="2067">
        <f t="shared" ca="1" si="1967"/>
        <v>1100482.1667938512</v>
      </c>
      <c r="AU1069" s="2067">
        <f t="shared" ca="1" si="1968"/>
        <v>0</v>
      </c>
      <c r="AV1069" s="2565">
        <f t="shared" ca="1" si="1969"/>
        <v>1100482.1667938512</v>
      </c>
      <c r="AW1069" s="2566">
        <f t="shared" ca="1" si="1970"/>
        <v>0</v>
      </c>
      <c r="AX1069" s="2067">
        <f t="shared" ca="1" si="1971"/>
        <v>597276.9334888889</v>
      </c>
      <c r="AY1069" s="2565">
        <f t="shared" ca="1" si="1972"/>
        <v>503205.23330496228</v>
      </c>
      <c r="AZ1069" s="2566">
        <f t="shared" ca="1" si="1973"/>
        <v>1.8424990236364509</v>
      </c>
      <c r="BB1069" s="2067">
        <f t="shared" ca="1" si="1974"/>
        <v>1100482.1667938512</v>
      </c>
      <c r="BC1069" s="2067">
        <f t="shared" ca="1" si="1975"/>
        <v>0</v>
      </c>
      <c r="BD1069" s="2565">
        <f t="shared" ca="1" si="1976"/>
        <v>1100482.1667938512</v>
      </c>
      <c r="BE1069" s="2566">
        <f t="shared" ca="1" si="1977"/>
        <v>0</v>
      </c>
      <c r="BF1069" s="2067">
        <f t="shared" ca="1" si="1978"/>
        <v>597276.9334888889</v>
      </c>
      <c r="BG1069" s="2565">
        <f t="shared" ca="1" si="1979"/>
        <v>503205.23330496228</v>
      </c>
      <c r="BH1069" s="2566">
        <f t="shared" ca="1" si="1980"/>
        <v>1.8424990236364509</v>
      </c>
    </row>
    <row r="1070" spans="1:60" ht="14.5">
      <c r="A1070" s="990">
        <f t="shared" si="1918"/>
        <v>983</v>
      </c>
      <c r="B1070" s="990">
        <v>1</v>
      </c>
      <c r="C1070" s="990">
        <f t="shared" si="1919"/>
        <v>1067</v>
      </c>
      <c r="D1070" s="1121" t="s">
        <v>887</v>
      </c>
      <c r="E1070" s="1243">
        <v>1</v>
      </c>
      <c r="F1070" s="5"/>
      <c r="G1070" s="5"/>
      <c r="H1070" s="75"/>
      <c r="I1070" s="30"/>
      <c r="J1070" s="5"/>
      <c r="K1070" s="5"/>
      <c r="L1070" s="5"/>
      <c r="M1070" s="5"/>
      <c r="N1070" s="4" t="s">
        <v>117</v>
      </c>
      <c r="O1070" s="4"/>
      <c r="P1070" s="4"/>
      <c r="Q1070" s="1855" t="str">
        <f>CHOOSE(2, "6722000003989", "BS (2) PP Purchased from BT cons. companies")</f>
        <v>BS (2) PP Purchased from BT cons. companies</v>
      </c>
      <c r="R1070" s="2032">
        <v>680613.0072930943</v>
      </c>
      <c r="S1070" s="2032">
        <v>783863.16616188735</v>
      </c>
      <c r="T1070" s="2032">
        <v>774370.53554354259</v>
      </c>
      <c r="U1070" s="2032">
        <v>917600.50686830352</v>
      </c>
      <c r="V1070" s="2032">
        <v>855220</v>
      </c>
      <c r="W1070" s="2032">
        <v>952471.37722872349</v>
      </c>
      <c r="X1070" s="2032">
        <v>983683.66618620232</v>
      </c>
      <c r="Y1070" s="2032">
        <v>1102388.2130390673</v>
      </c>
      <c r="Z1070" s="2032">
        <v>1090795</v>
      </c>
      <c r="AA1070" s="2032">
        <v>1076297.3190482203</v>
      </c>
      <c r="AB1070" s="2032">
        <v>1150361.513350497</v>
      </c>
      <c r="AC1070" s="2032">
        <v>1090209.2609738512</v>
      </c>
      <c r="AD1070" s="89">
        <f>T1070</f>
        <v>774370.53554354259</v>
      </c>
      <c r="AE1070" s="13">
        <f>W1070</f>
        <v>952471.37722872349</v>
      </c>
      <c r="AF1070" s="13">
        <f>Z1070</f>
        <v>1090795</v>
      </c>
      <c r="AG1070" s="13">
        <f>AC1070</f>
        <v>1090209.2609738512</v>
      </c>
      <c r="AH1070" s="13">
        <f>AE1070</f>
        <v>952471.37722872349</v>
      </c>
      <c r="AI1070" s="13">
        <f>AG1070</f>
        <v>1090209.2609738512</v>
      </c>
      <c r="AJ1070" s="13">
        <f>AI1070</f>
        <v>1090209.2609738512</v>
      </c>
      <c r="AL1070" s="13">
        <f t="shared" ca="1" si="1960"/>
        <v>1090209.2609738512</v>
      </c>
      <c r="AM1070" s="13">
        <f t="shared" ca="1" si="1961"/>
        <v>0</v>
      </c>
      <c r="AN1070" s="907">
        <f t="shared" ca="1" si="1962"/>
        <v>1090209.2609738512</v>
      </c>
      <c r="AO1070" s="968">
        <f t="shared" ca="1" si="1963"/>
        <v>0</v>
      </c>
      <c r="AP1070" s="13">
        <f t="shared" ca="1" si="1964"/>
        <v>580984.22188888886</v>
      </c>
      <c r="AQ1070" s="907">
        <f t="shared" ca="1" si="1965"/>
        <v>509225.03908496234</v>
      </c>
      <c r="AR1070" s="968">
        <f t="shared" ca="1" si="1966"/>
        <v>1.8764868647024115</v>
      </c>
      <c r="AT1070" s="13">
        <f t="shared" ca="1" si="1967"/>
        <v>1090209.2609738512</v>
      </c>
      <c r="AU1070" s="13">
        <f t="shared" ca="1" si="1968"/>
        <v>0</v>
      </c>
      <c r="AV1070" s="907">
        <f t="shared" ca="1" si="1969"/>
        <v>1090209.2609738512</v>
      </c>
      <c r="AW1070" s="968">
        <f t="shared" ca="1" si="1970"/>
        <v>0</v>
      </c>
      <c r="AX1070" s="13">
        <f t="shared" ca="1" si="1971"/>
        <v>580984.22188888886</v>
      </c>
      <c r="AY1070" s="907">
        <f t="shared" ca="1" si="1972"/>
        <v>509225.03908496234</v>
      </c>
      <c r="AZ1070" s="968">
        <f t="shared" ca="1" si="1973"/>
        <v>1.8764868647024115</v>
      </c>
      <c r="BB1070" s="13">
        <f t="shared" ca="1" si="1974"/>
        <v>1090209.2609738512</v>
      </c>
      <c r="BC1070" s="13">
        <f t="shared" ca="1" si="1975"/>
        <v>0</v>
      </c>
      <c r="BD1070" s="907">
        <f t="shared" ca="1" si="1976"/>
        <v>1090209.2609738512</v>
      </c>
      <c r="BE1070" s="968">
        <f t="shared" ca="1" si="1977"/>
        <v>0</v>
      </c>
      <c r="BF1070" s="13">
        <f t="shared" ca="1" si="1978"/>
        <v>580984.22188888886</v>
      </c>
      <c r="BG1070" s="907">
        <f t="shared" ca="1" si="1979"/>
        <v>509225.03908496234</v>
      </c>
      <c r="BH1070" s="968">
        <f t="shared" ca="1" si="1980"/>
        <v>1.8764868647024115</v>
      </c>
    </row>
    <row r="1071" spans="1:60" ht="14.5">
      <c r="A1071" s="990">
        <f t="shared" si="1918"/>
        <v>984</v>
      </c>
      <c r="B1071" s="990">
        <v>1</v>
      </c>
      <c r="C1071" s="990">
        <f t="shared" si="1919"/>
        <v>1068</v>
      </c>
      <c r="D1071" s="1121" t="s">
        <v>887</v>
      </c>
      <c r="E1071" s="1243">
        <v>1</v>
      </c>
      <c r="F1071" s="5"/>
      <c r="G1071" s="5"/>
      <c r="H1071" s="75"/>
      <c r="I1071" s="28"/>
      <c r="J1071" s="5"/>
      <c r="K1071" s="5"/>
      <c r="L1071" s="5"/>
      <c r="M1071" s="5"/>
      <c r="N1071" s="4" t="s">
        <v>239</v>
      </c>
      <c r="O1071" s="4"/>
      <c r="P1071" s="4"/>
      <c r="Q1071" s="1855" t="str">
        <f>CHOOSE(2, "6722000003990", "BS (2) PP 3rd Party")</f>
        <v>BS (2) PP 3rd Party</v>
      </c>
      <c r="R1071" s="2032">
        <v>30804.434830000002</v>
      </c>
      <c r="S1071" s="2032">
        <v>59850.451990000038</v>
      </c>
      <c r="T1071" s="2032">
        <v>66412.759210000047</v>
      </c>
      <c r="U1071" s="2032">
        <v>68795.450030000051</v>
      </c>
      <c r="V1071" s="2032">
        <v>60330</v>
      </c>
      <c r="W1071" s="2032">
        <v>46095.553150000051</v>
      </c>
      <c r="X1071" s="2032">
        <v>42217.133440000063</v>
      </c>
      <c r="Y1071" s="2032">
        <v>14631.154330000025</v>
      </c>
      <c r="Z1071" s="2032">
        <v>13579.158520000008</v>
      </c>
      <c r="AA1071" s="2032">
        <v>12380.038890000023</v>
      </c>
      <c r="AB1071" s="2032">
        <v>10466.511440000017</v>
      </c>
      <c r="AC1071" s="2032">
        <v>10272.905820000015</v>
      </c>
      <c r="AD1071" s="89">
        <f>T1071</f>
        <v>66412.759210000047</v>
      </c>
      <c r="AE1071" s="13">
        <f>W1071</f>
        <v>46095.553150000051</v>
      </c>
      <c r="AF1071" s="13">
        <f>Z1071</f>
        <v>13579.158520000008</v>
      </c>
      <c r="AG1071" s="13">
        <f>AC1071</f>
        <v>10272.905820000015</v>
      </c>
      <c r="AH1071" s="13">
        <f>AE1071</f>
        <v>46095.553150000051</v>
      </c>
      <c r="AI1071" s="13">
        <f>AG1071</f>
        <v>10272.905820000015</v>
      </c>
      <c r="AJ1071" s="13">
        <f>AI1071</f>
        <v>10272.905820000015</v>
      </c>
      <c r="AL1071" s="13">
        <f t="shared" ca="1" si="1960"/>
        <v>10272.905820000015</v>
      </c>
      <c r="AM1071" s="13">
        <f t="shared" ca="1" si="1961"/>
        <v>0</v>
      </c>
      <c r="AN1071" s="907">
        <f t="shared" ca="1" si="1962"/>
        <v>10272.905820000015</v>
      </c>
      <c r="AO1071" s="968">
        <f t="shared" ca="1" si="1963"/>
        <v>0</v>
      </c>
      <c r="AP1071" s="13">
        <f t="shared" ca="1" si="1964"/>
        <v>16292.711599999986</v>
      </c>
      <c r="AQ1071" s="907">
        <f t="shared" ca="1" si="1965"/>
        <v>-6019.8057799999715</v>
      </c>
      <c r="AR1071" s="968">
        <f t="shared" ca="1" si="1966"/>
        <v>0.63052155296237022</v>
      </c>
      <c r="AT1071" s="13">
        <f t="shared" ca="1" si="1967"/>
        <v>10272.905820000015</v>
      </c>
      <c r="AU1071" s="13">
        <f t="shared" ca="1" si="1968"/>
        <v>0</v>
      </c>
      <c r="AV1071" s="907">
        <f t="shared" ca="1" si="1969"/>
        <v>10272.905820000015</v>
      </c>
      <c r="AW1071" s="968">
        <f t="shared" ca="1" si="1970"/>
        <v>0</v>
      </c>
      <c r="AX1071" s="13">
        <f t="shared" ca="1" si="1971"/>
        <v>16292.711599999986</v>
      </c>
      <c r="AY1071" s="907">
        <f t="shared" ca="1" si="1972"/>
        <v>-6019.8057799999715</v>
      </c>
      <c r="AZ1071" s="968">
        <f t="shared" ca="1" si="1973"/>
        <v>0.63052155296237022</v>
      </c>
      <c r="BB1071" s="13">
        <f t="shared" ca="1" si="1974"/>
        <v>10272.905820000015</v>
      </c>
      <c r="BC1071" s="13">
        <f t="shared" ca="1" si="1975"/>
        <v>0</v>
      </c>
      <c r="BD1071" s="907">
        <f t="shared" ca="1" si="1976"/>
        <v>10272.905820000015</v>
      </c>
      <c r="BE1071" s="968">
        <f t="shared" ca="1" si="1977"/>
        <v>0</v>
      </c>
      <c r="BF1071" s="13">
        <f t="shared" ca="1" si="1978"/>
        <v>16292.711599999986</v>
      </c>
      <c r="BG1071" s="907">
        <f t="shared" ca="1" si="1979"/>
        <v>-6019.8057799999715</v>
      </c>
      <c r="BH1071" s="968">
        <f t="shared" ca="1" si="1980"/>
        <v>0.63052155296237022</v>
      </c>
    </row>
    <row r="1072" spans="1:60" ht="14.5">
      <c r="A1072" s="990">
        <f t="shared" si="1918"/>
        <v>985</v>
      </c>
      <c r="B1072" s="990">
        <v>1</v>
      </c>
      <c r="C1072" s="990">
        <f t="shared" si="1919"/>
        <v>1069</v>
      </c>
      <c r="D1072" s="1121" t="s">
        <v>887</v>
      </c>
      <c r="E1072" s="1243">
        <v>1</v>
      </c>
      <c r="F1072" s="5"/>
      <c r="G1072" s="5"/>
      <c r="H1072" s="75"/>
      <c r="I1072" s="458" t="s">
        <v>487</v>
      </c>
      <c r="J1072" s="449"/>
      <c r="K1072" s="449"/>
      <c r="L1072" s="449"/>
      <c r="M1072" s="449"/>
      <c r="N1072" s="450"/>
      <c r="O1072" s="450"/>
      <c r="P1072" s="604"/>
      <c r="Q1072" s="1860" t="str">
        <f>CHOOSE(2, "6722000003991", "BS (3) IP")</f>
        <v>BS (3) IP</v>
      </c>
      <c r="R1072" s="2074">
        <f>SUM(R1073:R1075)</f>
        <v>38764</v>
      </c>
      <c r="S1072" s="2074">
        <f t="shared" ref="S1072:AC1072" si="1991">SUM(S1073:S1075)</f>
        <v>58038</v>
      </c>
      <c r="T1072" s="2074">
        <f t="shared" si="1991"/>
        <v>62141.852210000026</v>
      </c>
      <c r="U1072" s="2074">
        <f t="shared" si="1991"/>
        <v>70620</v>
      </c>
      <c r="V1072" s="2074">
        <f t="shared" si="1991"/>
        <v>62910</v>
      </c>
      <c r="W1072" s="2074">
        <f t="shared" si="1991"/>
        <v>64868</v>
      </c>
      <c r="X1072" s="2074">
        <f t="shared" si="1991"/>
        <v>73506.573739999993</v>
      </c>
      <c r="Y1072" s="2074">
        <f t="shared" si="1991"/>
        <v>67043</v>
      </c>
      <c r="Z1072" s="2074">
        <f t="shared" si="1991"/>
        <v>70024.150780000011</v>
      </c>
      <c r="AA1072" s="2074">
        <f t="shared" si="1991"/>
        <v>73665.861800000013</v>
      </c>
      <c r="AB1072" s="2074">
        <f t="shared" si="1991"/>
        <v>139148.15546332579</v>
      </c>
      <c r="AC1072" s="2074">
        <f t="shared" si="1991"/>
        <v>105994.45755000002</v>
      </c>
      <c r="AD1072" s="1547">
        <f t="shared" ref="AD1072:AJ1072" si="1992">SUM(AD1073:AD1075)</f>
        <v>62141.852210000026</v>
      </c>
      <c r="AE1072" s="451">
        <f t="shared" si="1992"/>
        <v>64868</v>
      </c>
      <c r="AF1072" s="451">
        <f t="shared" si="1992"/>
        <v>70024.150780000011</v>
      </c>
      <c r="AG1072" s="451">
        <f t="shared" si="1992"/>
        <v>105994.45755000002</v>
      </c>
      <c r="AH1072" s="451">
        <f t="shared" si="1992"/>
        <v>64868</v>
      </c>
      <c r="AI1072" s="451">
        <f t="shared" si="1992"/>
        <v>105994.45755000002</v>
      </c>
      <c r="AJ1072" s="451">
        <f t="shared" si="1992"/>
        <v>105994.45755000002</v>
      </c>
      <c r="AL1072" s="2074">
        <f t="shared" ca="1" si="1960"/>
        <v>105994.45755000002</v>
      </c>
      <c r="AM1072" s="2074">
        <f t="shared" ca="1" si="1961"/>
        <v>0</v>
      </c>
      <c r="AN1072" s="2542">
        <f t="shared" ca="1" si="1962"/>
        <v>105994.45755000002</v>
      </c>
      <c r="AO1072" s="2543">
        <f t="shared" ca="1" si="1963"/>
        <v>0</v>
      </c>
      <c r="AP1072" s="2074">
        <f t="shared" ca="1" si="1964"/>
        <v>35224</v>
      </c>
      <c r="AQ1072" s="2542">
        <f t="shared" ca="1" si="1965"/>
        <v>70770.457550000021</v>
      </c>
      <c r="AR1072" s="2543">
        <f t="shared" ca="1" si="1966"/>
        <v>3.0091544841585289</v>
      </c>
      <c r="AT1072" s="2074">
        <f t="shared" ca="1" si="1967"/>
        <v>105994.45755000002</v>
      </c>
      <c r="AU1072" s="2074">
        <f t="shared" ca="1" si="1968"/>
        <v>0</v>
      </c>
      <c r="AV1072" s="2542">
        <f t="shared" ca="1" si="1969"/>
        <v>105994.45755000002</v>
      </c>
      <c r="AW1072" s="2543">
        <f t="shared" ca="1" si="1970"/>
        <v>0</v>
      </c>
      <c r="AX1072" s="2074">
        <f t="shared" ca="1" si="1971"/>
        <v>35224</v>
      </c>
      <c r="AY1072" s="2542">
        <f t="shared" ca="1" si="1972"/>
        <v>70770.457550000021</v>
      </c>
      <c r="AZ1072" s="2543">
        <f t="shared" ca="1" si="1973"/>
        <v>3.0091544841585289</v>
      </c>
      <c r="BB1072" s="2074">
        <f t="shared" ca="1" si="1974"/>
        <v>105994.45755000002</v>
      </c>
      <c r="BC1072" s="2074">
        <f t="shared" ca="1" si="1975"/>
        <v>0</v>
      </c>
      <c r="BD1072" s="2542">
        <f t="shared" ca="1" si="1976"/>
        <v>105994.45755000002</v>
      </c>
      <c r="BE1072" s="2543">
        <f t="shared" ca="1" si="1977"/>
        <v>0</v>
      </c>
      <c r="BF1072" s="2074">
        <f t="shared" ca="1" si="1978"/>
        <v>35224</v>
      </c>
      <c r="BG1072" s="2542">
        <f t="shared" ca="1" si="1979"/>
        <v>70770.457550000021</v>
      </c>
      <c r="BH1072" s="2543">
        <f t="shared" ca="1" si="1980"/>
        <v>3.0091544841585289</v>
      </c>
    </row>
    <row r="1073" spans="1:60" ht="14.5">
      <c r="A1073" s="990">
        <f t="shared" si="1918"/>
        <v>986</v>
      </c>
      <c r="B1073" s="990">
        <v>1</v>
      </c>
      <c r="C1073" s="990">
        <f t="shared" si="1919"/>
        <v>1070</v>
      </c>
      <c r="D1073" s="1121" t="s">
        <v>887</v>
      </c>
      <c r="E1073" s="1243">
        <v>1</v>
      </c>
      <c r="F1073" s="5"/>
      <c r="G1073" s="5"/>
      <c r="H1073" s="75"/>
      <c r="I1073" s="30"/>
      <c r="J1073" s="5"/>
      <c r="K1073" s="5"/>
      <c r="L1073" s="5"/>
      <c r="M1073" s="5"/>
      <c r="N1073" s="4" t="s">
        <v>446</v>
      </c>
      <c r="O1073" s="4"/>
      <c r="P1073" s="4"/>
      <c r="Q1073" s="1855" t="str">
        <f>CHOOSE(2, "6722000003992", "BS (3) IP P BT &lt;exclude MGI&gt;")</f>
        <v>BS (3) IP P BT &lt;exclude MGI&gt;</v>
      </c>
      <c r="R1073" s="2032">
        <v>17212</v>
      </c>
      <c r="S1073" s="2032">
        <v>29855</v>
      </c>
      <c r="T1073" s="2032">
        <v>38885</v>
      </c>
      <c r="U1073" s="2032">
        <v>42651</v>
      </c>
      <c r="V1073" s="2032">
        <v>33358</v>
      </c>
      <c r="W1073" s="2032">
        <v>40406</v>
      </c>
      <c r="X1073" s="2032">
        <v>44062</v>
      </c>
      <c r="Y1073" s="2032">
        <v>41013</v>
      </c>
      <c r="Z1073" s="2032">
        <v>41728</v>
      </c>
      <c r="AA1073" s="2032">
        <f>45268+3662</f>
        <v>48930</v>
      </c>
      <c r="AB1073" s="2032">
        <v>115180.70584332576</v>
      </c>
      <c r="AC1073" s="2032">
        <v>73505</v>
      </c>
      <c r="AD1073" s="89">
        <f>T1073</f>
        <v>38885</v>
      </c>
      <c r="AE1073" s="13">
        <f>W1073</f>
        <v>40406</v>
      </c>
      <c r="AF1073" s="13">
        <f>Z1073</f>
        <v>41728</v>
      </c>
      <c r="AG1073" s="13">
        <f>AC1073</f>
        <v>73505</v>
      </c>
      <c r="AH1073" s="13">
        <f>AE1073</f>
        <v>40406</v>
      </c>
      <c r="AI1073" s="13">
        <f>AG1073</f>
        <v>73505</v>
      </c>
      <c r="AJ1073" s="13">
        <f>AI1073</f>
        <v>73505</v>
      </c>
      <c r="AL1073" s="13">
        <f t="shared" ca="1" si="1960"/>
        <v>73505</v>
      </c>
      <c r="AM1073" s="13">
        <f t="shared" ca="1" si="1961"/>
        <v>0</v>
      </c>
      <c r="AN1073" s="907">
        <f t="shared" ca="1" si="1962"/>
        <v>73505</v>
      </c>
      <c r="AO1073" s="968">
        <f t="shared" ca="1" si="1963"/>
        <v>0</v>
      </c>
      <c r="AP1073" s="13">
        <f t="shared" ca="1" si="1964"/>
        <v>15736</v>
      </c>
      <c r="AQ1073" s="907">
        <f t="shared" ca="1" si="1965"/>
        <v>57769</v>
      </c>
      <c r="AR1073" s="968">
        <f t="shared" ca="1" si="1966"/>
        <v>4.6711362480935437</v>
      </c>
      <c r="AT1073" s="13">
        <f t="shared" ca="1" si="1967"/>
        <v>73505</v>
      </c>
      <c r="AU1073" s="13">
        <f t="shared" ca="1" si="1968"/>
        <v>0</v>
      </c>
      <c r="AV1073" s="907">
        <f t="shared" ca="1" si="1969"/>
        <v>73505</v>
      </c>
      <c r="AW1073" s="968">
        <f t="shared" ca="1" si="1970"/>
        <v>0</v>
      </c>
      <c r="AX1073" s="13">
        <f t="shared" ca="1" si="1971"/>
        <v>15736</v>
      </c>
      <c r="AY1073" s="907">
        <f t="shared" ca="1" si="1972"/>
        <v>57769</v>
      </c>
      <c r="AZ1073" s="968">
        <f t="shared" ca="1" si="1973"/>
        <v>4.6711362480935437</v>
      </c>
      <c r="BB1073" s="13">
        <f t="shared" ca="1" si="1974"/>
        <v>73505</v>
      </c>
      <c r="BC1073" s="13">
        <f t="shared" ca="1" si="1975"/>
        <v>0</v>
      </c>
      <c r="BD1073" s="907">
        <f t="shared" ca="1" si="1976"/>
        <v>73505</v>
      </c>
      <c r="BE1073" s="968">
        <f t="shared" ca="1" si="1977"/>
        <v>0</v>
      </c>
      <c r="BF1073" s="13">
        <f t="shared" ca="1" si="1978"/>
        <v>15736</v>
      </c>
      <c r="BG1073" s="907">
        <f t="shared" ca="1" si="1979"/>
        <v>57769</v>
      </c>
      <c r="BH1073" s="968">
        <f t="shared" ca="1" si="1980"/>
        <v>4.6711362480935437</v>
      </c>
    </row>
    <row r="1074" spans="1:60" ht="14.5">
      <c r="A1074" s="990">
        <f t="shared" si="1918"/>
        <v>987</v>
      </c>
      <c r="B1074" s="990">
        <v>1</v>
      </c>
      <c r="C1074" s="990">
        <f t="shared" si="1919"/>
        <v>1071</v>
      </c>
      <c r="D1074" s="1121" t="s">
        <v>887</v>
      </c>
      <c r="E1074" s="1243">
        <v>1</v>
      </c>
      <c r="F1074" s="9"/>
      <c r="G1074" s="9"/>
      <c r="H1074" s="75"/>
      <c r="I1074" s="30"/>
      <c r="J1074" s="5"/>
      <c r="K1074" s="5"/>
      <c r="L1074" s="5"/>
      <c r="M1074" s="5"/>
      <c r="N1074" s="4" t="s">
        <v>447</v>
      </c>
      <c r="O1074" s="4"/>
      <c r="P1074" s="4"/>
      <c r="Q1074" s="1855" t="str">
        <f>CHOOSE(2, "6722000003993", "BS (3) IP Purchased from MGI (BT-Gr)")</f>
        <v>BS (3) IP Purchased from MGI (BT-Gr)</v>
      </c>
      <c r="R1074" s="2032">
        <v>14131</v>
      </c>
      <c r="S1074" s="2032">
        <v>18188</v>
      </c>
      <c r="T1074" s="2032">
        <v>15879</v>
      </c>
      <c r="U1074" s="2032">
        <v>20626</v>
      </c>
      <c r="V1074" s="2032">
        <v>22247</v>
      </c>
      <c r="W1074" s="2032">
        <v>22395</v>
      </c>
      <c r="X1074" s="2032">
        <v>21938.57761</v>
      </c>
      <c r="Y1074" s="2032">
        <v>18211</v>
      </c>
      <c r="Z1074" s="2032">
        <v>20238.521679999998</v>
      </c>
      <c r="AA1074" s="2032">
        <v>18741.294670000003</v>
      </c>
      <c r="AB1074" s="2032">
        <v>17607.8033</v>
      </c>
      <c r="AC1074" s="2032">
        <v>21659.121199999998</v>
      </c>
      <c r="AD1074" s="89">
        <f>T1074</f>
        <v>15879</v>
      </c>
      <c r="AE1074" s="13">
        <f>W1074</f>
        <v>22395</v>
      </c>
      <c r="AF1074" s="13">
        <f>Z1074</f>
        <v>20238.521679999998</v>
      </c>
      <c r="AG1074" s="13">
        <f>AC1074</f>
        <v>21659.121199999998</v>
      </c>
      <c r="AH1074" s="13">
        <f>AE1074</f>
        <v>22395</v>
      </c>
      <c r="AI1074" s="13">
        <f>AG1074</f>
        <v>21659.121199999998</v>
      </c>
      <c r="AJ1074" s="13">
        <f>AI1074</f>
        <v>21659.121199999998</v>
      </c>
      <c r="AL1074" s="13">
        <f t="shared" ca="1" si="1960"/>
        <v>21659.121199999998</v>
      </c>
      <c r="AM1074" s="13">
        <f t="shared" ca="1" si="1961"/>
        <v>0</v>
      </c>
      <c r="AN1074" s="907">
        <f t="shared" ca="1" si="1962"/>
        <v>21659.121199999998</v>
      </c>
      <c r="AO1074" s="968">
        <f t="shared" ca="1" si="1963"/>
        <v>0</v>
      </c>
      <c r="AP1074" s="13">
        <f t="shared" ca="1" si="1964"/>
        <v>12119</v>
      </c>
      <c r="AQ1074" s="907">
        <f t="shared" ca="1" si="1965"/>
        <v>9540.1211999999978</v>
      </c>
      <c r="AR1074" s="968">
        <f t="shared" ca="1" si="1966"/>
        <v>1.7872036636686193</v>
      </c>
      <c r="AT1074" s="13">
        <f t="shared" ca="1" si="1967"/>
        <v>21659.121199999998</v>
      </c>
      <c r="AU1074" s="13">
        <f t="shared" ca="1" si="1968"/>
        <v>0</v>
      </c>
      <c r="AV1074" s="907">
        <f t="shared" ca="1" si="1969"/>
        <v>21659.121199999998</v>
      </c>
      <c r="AW1074" s="968">
        <f t="shared" ca="1" si="1970"/>
        <v>0</v>
      </c>
      <c r="AX1074" s="13">
        <f t="shared" ca="1" si="1971"/>
        <v>12119</v>
      </c>
      <c r="AY1074" s="907">
        <f t="shared" ca="1" si="1972"/>
        <v>9540.1211999999978</v>
      </c>
      <c r="AZ1074" s="968">
        <f t="shared" ca="1" si="1973"/>
        <v>1.7872036636686193</v>
      </c>
      <c r="BB1074" s="13">
        <f t="shared" ca="1" si="1974"/>
        <v>21659.121199999998</v>
      </c>
      <c r="BC1074" s="13">
        <f t="shared" ca="1" si="1975"/>
        <v>0</v>
      </c>
      <c r="BD1074" s="907">
        <f t="shared" ca="1" si="1976"/>
        <v>21659.121199999998</v>
      </c>
      <c r="BE1074" s="968">
        <f t="shared" ca="1" si="1977"/>
        <v>0</v>
      </c>
      <c r="BF1074" s="13">
        <f t="shared" ca="1" si="1978"/>
        <v>12119</v>
      </c>
      <c r="BG1074" s="907">
        <f t="shared" ca="1" si="1979"/>
        <v>9540.1211999999978</v>
      </c>
      <c r="BH1074" s="968">
        <f t="shared" ca="1" si="1980"/>
        <v>1.7872036636686193</v>
      </c>
    </row>
    <row r="1075" spans="1:60" ht="14.5">
      <c r="A1075" s="990">
        <f t="shared" si="1918"/>
        <v>988</v>
      </c>
      <c r="B1075" s="990">
        <v>1</v>
      </c>
      <c r="C1075" s="990">
        <f t="shared" si="1919"/>
        <v>1072</v>
      </c>
      <c r="D1075" s="1121" t="s">
        <v>887</v>
      </c>
      <c r="E1075" s="1243">
        <v>1</v>
      </c>
      <c r="F1075" s="5"/>
      <c r="G1075" s="5"/>
      <c r="H1075" s="75"/>
      <c r="I1075" s="28"/>
      <c r="J1075" s="3"/>
      <c r="K1075" s="3"/>
      <c r="L1075" s="3"/>
      <c r="M1075" s="3"/>
      <c r="N1075" s="2" t="s">
        <v>238</v>
      </c>
      <c r="O1075" s="2"/>
      <c r="P1075" s="2"/>
      <c r="Q1075" s="1855" t="str">
        <f>CHOOSE(2, "6722000003994", "BS (3) IP 3rd Party")</f>
        <v>BS (3) IP 3rd Party</v>
      </c>
      <c r="R1075" s="2032">
        <v>7421</v>
      </c>
      <c r="S1075" s="2032">
        <v>9995</v>
      </c>
      <c r="T1075" s="2032">
        <v>7377.8522100000228</v>
      </c>
      <c r="U1075" s="2032">
        <v>7343</v>
      </c>
      <c r="V1075" s="2032">
        <v>7305</v>
      </c>
      <c r="W1075" s="2032">
        <v>2067</v>
      </c>
      <c r="X1075" s="2032">
        <v>7505.9961299999886</v>
      </c>
      <c r="Y1075" s="2032">
        <v>7819</v>
      </c>
      <c r="Z1075" s="2032">
        <v>8057.6291000000165</v>
      </c>
      <c r="AA1075" s="2032">
        <v>5994.5671300000104</v>
      </c>
      <c r="AB1075" s="2032">
        <v>6359.6463200000144</v>
      </c>
      <c r="AC1075" s="2032">
        <v>10830.336350000023</v>
      </c>
      <c r="AD1075" s="89">
        <f>T1075</f>
        <v>7377.8522100000228</v>
      </c>
      <c r="AE1075" s="13">
        <f>W1075</f>
        <v>2067</v>
      </c>
      <c r="AF1075" s="13">
        <f>Z1075</f>
        <v>8057.6291000000165</v>
      </c>
      <c r="AG1075" s="13">
        <f>AC1075</f>
        <v>10830.336350000023</v>
      </c>
      <c r="AH1075" s="13">
        <f>AE1075</f>
        <v>2067</v>
      </c>
      <c r="AI1075" s="13">
        <f>AG1075</f>
        <v>10830.336350000023</v>
      </c>
      <c r="AJ1075" s="13">
        <f>AI1075</f>
        <v>10830.336350000023</v>
      </c>
      <c r="AL1075" s="13">
        <f t="shared" ca="1" si="1960"/>
        <v>10830.336350000023</v>
      </c>
      <c r="AM1075" s="13">
        <f t="shared" ca="1" si="1961"/>
        <v>0</v>
      </c>
      <c r="AN1075" s="907">
        <f t="shared" ca="1" si="1962"/>
        <v>10830.336350000023</v>
      </c>
      <c r="AO1075" s="968">
        <f t="shared" ca="1" si="1963"/>
        <v>0</v>
      </c>
      <c r="AP1075" s="13">
        <f t="shared" ca="1" si="1964"/>
        <v>7369</v>
      </c>
      <c r="AQ1075" s="907">
        <f t="shared" ca="1" si="1965"/>
        <v>3461.3363500000232</v>
      </c>
      <c r="AR1075" s="968">
        <f t="shared" ca="1" si="1966"/>
        <v>1.4697158841091089</v>
      </c>
      <c r="AT1075" s="13">
        <f t="shared" ca="1" si="1967"/>
        <v>10830.336350000023</v>
      </c>
      <c r="AU1075" s="13">
        <f t="shared" ca="1" si="1968"/>
        <v>0</v>
      </c>
      <c r="AV1075" s="907">
        <f t="shared" ca="1" si="1969"/>
        <v>10830.336350000023</v>
      </c>
      <c r="AW1075" s="968">
        <f t="shared" ca="1" si="1970"/>
        <v>0</v>
      </c>
      <c r="AX1075" s="13">
        <f t="shared" ca="1" si="1971"/>
        <v>7369</v>
      </c>
      <c r="AY1075" s="907">
        <f t="shared" ca="1" si="1972"/>
        <v>3461.3363500000232</v>
      </c>
      <c r="AZ1075" s="968">
        <f t="shared" ca="1" si="1973"/>
        <v>1.4697158841091089</v>
      </c>
      <c r="BB1075" s="13">
        <f t="shared" ca="1" si="1974"/>
        <v>10830.336350000023</v>
      </c>
      <c r="BC1075" s="13">
        <f t="shared" ca="1" si="1975"/>
        <v>0</v>
      </c>
      <c r="BD1075" s="907">
        <f t="shared" ca="1" si="1976"/>
        <v>10830.336350000023</v>
      </c>
      <c r="BE1075" s="968">
        <f t="shared" ca="1" si="1977"/>
        <v>0</v>
      </c>
      <c r="BF1075" s="13">
        <f t="shared" ca="1" si="1978"/>
        <v>7369</v>
      </c>
      <c r="BG1075" s="907">
        <f t="shared" ca="1" si="1979"/>
        <v>3461.3363500000232</v>
      </c>
      <c r="BH1075" s="968">
        <f t="shared" ca="1" si="1980"/>
        <v>1.4697158841091089</v>
      </c>
    </row>
    <row r="1076" spans="1:60" ht="14.5">
      <c r="A1076" s="990">
        <f t="shared" si="1918"/>
        <v>989</v>
      </c>
      <c r="B1076" s="990">
        <v>1</v>
      </c>
      <c r="C1076" s="990">
        <f t="shared" si="1919"/>
        <v>1073</v>
      </c>
      <c r="D1076" s="1121" t="s">
        <v>887</v>
      </c>
      <c r="E1076" s="1243">
        <v>1</v>
      </c>
      <c r="F1076" s="5"/>
      <c r="G1076" s="5"/>
      <c r="H1076" s="75"/>
      <c r="I1076" s="6" t="s">
        <v>486</v>
      </c>
      <c r="J1076" s="328"/>
      <c r="K1076" s="328"/>
      <c r="L1076" s="328"/>
      <c r="M1076" s="328"/>
      <c r="N1076" s="327"/>
      <c r="O1076" s="327"/>
      <c r="P1076" s="829"/>
      <c r="Q1076" s="1872" t="str">
        <f>CHOOSE(2, "6722000003995", "BS (4) MS")</f>
        <v>BS (4) MS</v>
      </c>
      <c r="R1076" s="2066">
        <f>SUM(R1077:R1078)</f>
        <v>0</v>
      </c>
      <c r="S1076" s="2066">
        <f t="shared" ref="S1076:AC1076" si="1993">SUM(S1077:S1078)</f>
        <v>0</v>
      </c>
      <c r="T1076" s="2066">
        <f t="shared" si="1993"/>
        <v>0</v>
      </c>
      <c r="U1076" s="2066">
        <f t="shared" si="1993"/>
        <v>0</v>
      </c>
      <c r="V1076" s="2066">
        <f t="shared" si="1993"/>
        <v>0</v>
      </c>
      <c r="W1076" s="2066">
        <f t="shared" si="1993"/>
        <v>0</v>
      </c>
      <c r="X1076" s="2066">
        <f t="shared" si="1993"/>
        <v>0</v>
      </c>
      <c r="Y1076" s="2066">
        <f t="shared" si="1993"/>
        <v>0</v>
      </c>
      <c r="Z1076" s="2066">
        <f t="shared" si="1993"/>
        <v>0</v>
      </c>
      <c r="AA1076" s="2066">
        <f t="shared" si="1993"/>
        <v>0</v>
      </c>
      <c r="AB1076" s="2066">
        <f t="shared" si="1993"/>
        <v>0</v>
      </c>
      <c r="AC1076" s="2066">
        <f t="shared" si="1993"/>
        <v>0</v>
      </c>
      <c r="AD1076" s="1559">
        <f t="shared" ref="AD1076:AJ1076" si="1994">SUM(AD1077:AD1078)</f>
        <v>0</v>
      </c>
      <c r="AE1076" s="410">
        <f t="shared" si="1994"/>
        <v>0</v>
      </c>
      <c r="AF1076" s="410">
        <f t="shared" si="1994"/>
        <v>0</v>
      </c>
      <c r="AG1076" s="410">
        <f t="shared" si="1994"/>
        <v>0</v>
      </c>
      <c r="AH1076" s="410">
        <f t="shared" si="1994"/>
        <v>0</v>
      </c>
      <c r="AI1076" s="410">
        <f t="shared" si="1994"/>
        <v>0</v>
      </c>
      <c r="AJ1076" s="410">
        <f t="shared" si="1994"/>
        <v>0</v>
      </c>
      <c r="AL1076" s="2066">
        <f t="shared" ca="1" si="1960"/>
        <v>0</v>
      </c>
      <c r="AM1076" s="2066">
        <f t="shared" ca="1" si="1961"/>
        <v>0</v>
      </c>
      <c r="AN1076" s="2567">
        <f t="shared" ca="1" si="1962"/>
        <v>0</v>
      </c>
      <c r="AO1076" s="2568">
        <f t="shared" ca="1" si="1963"/>
        <v>0</v>
      </c>
      <c r="AP1076" s="2066">
        <f t="shared" ca="1" si="1964"/>
        <v>0</v>
      </c>
      <c r="AQ1076" s="2567">
        <f t="shared" ca="1" si="1965"/>
        <v>0</v>
      </c>
      <c r="AR1076" s="2568">
        <f t="shared" ca="1" si="1966"/>
        <v>0</v>
      </c>
      <c r="AT1076" s="2066">
        <f t="shared" ca="1" si="1967"/>
        <v>0</v>
      </c>
      <c r="AU1076" s="2066">
        <f t="shared" ca="1" si="1968"/>
        <v>0</v>
      </c>
      <c r="AV1076" s="2567">
        <f t="shared" ca="1" si="1969"/>
        <v>0</v>
      </c>
      <c r="AW1076" s="2568">
        <f t="shared" ca="1" si="1970"/>
        <v>0</v>
      </c>
      <c r="AX1076" s="2066">
        <f t="shared" ca="1" si="1971"/>
        <v>0</v>
      </c>
      <c r="AY1076" s="2567">
        <f t="shared" ca="1" si="1972"/>
        <v>0</v>
      </c>
      <c r="AZ1076" s="2568">
        <f t="shared" ca="1" si="1973"/>
        <v>0</v>
      </c>
      <c r="BB1076" s="2066">
        <f t="shared" ca="1" si="1974"/>
        <v>0</v>
      </c>
      <c r="BC1076" s="2066">
        <f t="shared" ca="1" si="1975"/>
        <v>0</v>
      </c>
      <c r="BD1076" s="2567">
        <f t="shared" ca="1" si="1976"/>
        <v>0</v>
      </c>
      <c r="BE1076" s="2568">
        <f t="shared" ca="1" si="1977"/>
        <v>0</v>
      </c>
      <c r="BF1076" s="2066">
        <f t="shared" ca="1" si="1978"/>
        <v>0</v>
      </c>
      <c r="BG1076" s="2567">
        <f t="shared" ca="1" si="1979"/>
        <v>0</v>
      </c>
      <c r="BH1076" s="2568">
        <f t="shared" ca="1" si="1980"/>
        <v>0</v>
      </c>
    </row>
    <row r="1077" spans="1:60" ht="14.5">
      <c r="A1077" s="990">
        <f t="shared" si="1918"/>
        <v>990</v>
      </c>
      <c r="B1077" s="990">
        <v>1</v>
      </c>
      <c r="C1077" s="990">
        <f t="shared" si="1919"/>
        <v>1074</v>
      </c>
      <c r="D1077" s="1121" t="s">
        <v>887</v>
      </c>
      <c r="E1077" s="1243">
        <v>1</v>
      </c>
      <c r="F1077" s="5"/>
      <c r="G1077" s="5"/>
      <c r="H1077" s="75"/>
      <c r="I1077" s="30"/>
      <c r="J1077" s="5"/>
      <c r="K1077" s="5"/>
      <c r="L1077" s="5"/>
      <c r="M1077" s="5"/>
      <c r="N1077" s="4" t="s">
        <v>240</v>
      </c>
      <c r="O1077" s="4"/>
      <c r="P1077" s="4"/>
      <c r="Q1077" s="1855" t="str">
        <f>CHOOSE(2, "6722000003996", "BS (4) MS Purchased from BT cons. companies")</f>
        <v>BS (4) MS Purchased from BT cons. companies</v>
      </c>
      <c r="R1077" s="2032">
        <v>0</v>
      </c>
      <c r="S1077" s="2032">
        <v>0</v>
      </c>
      <c r="T1077" s="2032">
        <v>0</v>
      </c>
      <c r="U1077" s="2032">
        <v>0</v>
      </c>
      <c r="V1077" s="2032">
        <v>0</v>
      </c>
      <c r="W1077" s="2032">
        <v>0</v>
      </c>
      <c r="X1077" s="2032">
        <v>0</v>
      </c>
      <c r="Y1077" s="2032">
        <v>0</v>
      </c>
      <c r="Z1077" s="2032">
        <v>0</v>
      </c>
      <c r="AA1077" s="2032">
        <v>0</v>
      </c>
      <c r="AB1077" s="2032">
        <v>0</v>
      </c>
      <c r="AC1077" s="2032">
        <v>0</v>
      </c>
      <c r="AD1077" s="89">
        <f>T1077</f>
        <v>0</v>
      </c>
      <c r="AE1077" s="13">
        <f>W1077</f>
        <v>0</v>
      </c>
      <c r="AF1077" s="13">
        <f>Z1077</f>
        <v>0</v>
      </c>
      <c r="AG1077" s="13">
        <f>AC1077</f>
        <v>0</v>
      </c>
      <c r="AH1077" s="13">
        <f>AE1077</f>
        <v>0</v>
      </c>
      <c r="AI1077" s="13">
        <f>AG1077</f>
        <v>0</v>
      </c>
      <c r="AJ1077" s="13">
        <f>AI1077</f>
        <v>0</v>
      </c>
      <c r="AL1077" s="13">
        <f t="shared" ca="1" si="1960"/>
        <v>0</v>
      </c>
      <c r="AM1077" s="13">
        <f t="shared" ca="1" si="1961"/>
        <v>0</v>
      </c>
      <c r="AN1077" s="907">
        <f t="shared" ca="1" si="1962"/>
        <v>0</v>
      </c>
      <c r="AO1077" s="968">
        <f t="shared" ca="1" si="1963"/>
        <v>0</v>
      </c>
      <c r="AP1077" s="13">
        <f t="shared" ca="1" si="1964"/>
        <v>0</v>
      </c>
      <c r="AQ1077" s="907">
        <f t="shared" ca="1" si="1965"/>
        <v>0</v>
      </c>
      <c r="AR1077" s="968">
        <f t="shared" ca="1" si="1966"/>
        <v>0</v>
      </c>
      <c r="AT1077" s="13">
        <f t="shared" ca="1" si="1967"/>
        <v>0</v>
      </c>
      <c r="AU1077" s="13">
        <f t="shared" ca="1" si="1968"/>
        <v>0</v>
      </c>
      <c r="AV1077" s="907">
        <f t="shared" ca="1" si="1969"/>
        <v>0</v>
      </c>
      <c r="AW1077" s="968">
        <f t="shared" ca="1" si="1970"/>
        <v>0</v>
      </c>
      <c r="AX1077" s="13">
        <f t="shared" ca="1" si="1971"/>
        <v>0</v>
      </c>
      <c r="AY1077" s="907">
        <f t="shared" ca="1" si="1972"/>
        <v>0</v>
      </c>
      <c r="AZ1077" s="968">
        <f t="shared" ca="1" si="1973"/>
        <v>0</v>
      </c>
      <c r="BB1077" s="13">
        <f t="shared" ca="1" si="1974"/>
        <v>0</v>
      </c>
      <c r="BC1077" s="13">
        <f t="shared" ca="1" si="1975"/>
        <v>0</v>
      </c>
      <c r="BD1077" s="907">
        <f t="shared" ca="1" si="1976"/>
        <v>0</v>
      </c>
      <c r="BE1077" s="968">
        <f t="shared" ca="1" si="1977"/>
        <v>0</v>
      </c>
      <c r="BF1077" s="13">
        <f t="shared" ca="1" si="1978"/>
        <v>0</v>
      </c>
      <c r="BG1077" s="907">
        <f t="shared" ca="1" si="1979"/>
        <v>0</v>
      </c>
      <c r="BH1077" s="968">
        <f t="shared" ca="1" si="1980"/>
        <v>0</v>
      </c>
    </row>
    <row r="1078" spans="1:60" ht="14.5">
      <c r="A1078" s="990">
        <f t="shared" si="1918"/>
        <v>991</v>
      </c>
      <c r="B1078" s="990">
        <v>1</v>
      </c>
      <c r="C1078" s="990">
        <f t="shared" si="1919"/>
        <v>1075</v>
      </c>
      <c r="D1078" s="1121" t="s">
        <v>887</v>
      </c>
      <c r="E1078" s="1243">
        <v>1</v>
      </c>
      <c r="F1078" s="5"/>
      <c r="G1078" s="5"/>
      <c r="H1078" s="75"/>
      <c r="I1078" s="28"/>
      <c r="J1078" s="3"/>
      <c r="K1078" s="3"/>
      <c r="L1078" s="3"/>
      <c r="M1078" s="3"/>
      <c r="N1078" s="2" t="s">
        <v>238</v>
      </c>
      <c r="O1078" s="2"/>
      <c r="P1078" s="2"/>
      <c r="Q1078" s="1855" t="str">
        <f>CHOOSE(2, "6722000003997", "BS (4) MS 3rd Party")</f>
        <v>BS (4) MS 3rd Party</v>
      </c>
      <c r="R1078" s="2031">
        <v>0</v>
      </c>
      <c r="S1078" s="2031">
        <v>0</v>
      </c>
      <c r="T1078" s="2031">
        <v>0</v>
      </c>
      <c r="U1078" s="2031">
        <v>0</v>
      </c>
      <c r="V1078" s="2031">
        <v>0</v>
      </c>
      <c r="W1078" s="2031">
        <v>0</v>
      </c>
      <c r="X1078" s="2031">
        <v>0</v>
      </c>
      <c r="Y1078" s="2031">
        <v>0</v>
      </c>
      <c r="Z1078" s="2031">
        <v>0</v>
      </c>
      <c r="AA1078" s="2031">
        <v>0</v>
      </c>
      <c r="AB1078" s="2031">
        <v>0</v>
      </c>
      <c r="AC1078" s="2031">
        <v>0</v>
      </c>
      <c r="AD1078" s="1560">
        <f>T1078</f>
        <v>0</v>
      </c>
      <c r="AE1078" s="11">
        <f>W1078</f>
        <v>0</v>
      </c>
      <c r="AF1078" s="11">
        <f>Z1078</f>
        <v>0</v>
      </c>
      <c r="AG1078" s="11">
        <f>AC1078</f>
        <v>0</v>
      </c>
      <c r="AH1078" s="11">
        <f>AE1078</f>
        <v>0</v>
      </c>
      <c r="AI1078" s="11">
        <f>AG1078</f>
        <v>0</v>
      </c>
      <c r="AJ1078" s="11">
        <f>AI1078</f>
        <v>0</v>
      </c>
      <c r="AL1078" s="11">
        <f t="shared" ca="1" si="1960"/>
        <v>0</v>
      </c>
      <c r="AM1078" s="11">
        <f t="shared" ca="1" si="1961"/>
        <v>0</v>
      </c>
      <c r="AN1078" s="908">
        <f t="shared" ca="1" si="1962"/>
        <v>0</v>
      </c>
      <c r="AO1078" s="969">
        <f t="shared" ca="1" si="1963"/>
        <v>0</v>
      </c>
      <c r="AP1078" s="11">
        <f t="shared" ca="1" si="1964"/>
        <v>0</v>
      </c>
      <c r="AQ1078" s="908">
        <f t="shared" ca="1" si="1965"/>
        <v>0</v>
      </c>
      <c r="AR1078" s="969">
        <f t="shared" ca="1" si="1966"/>
        <v>0</v>
      </c>
      <c r="AT1078" s="11">
        <f t="shared" ca="1" si="1967"/>
        <v>0</v>
      </c>
      <c r="AU1078" s="11">
        <f t="shared" ca="1" si="1968"/>
        <v>0</v>
      </c>
      <c r="AV1078" s="908">
        <f t="shared" ca="1" si="1969"/>
        <v>0</v>
      </c>
      <c r="AW1078" s="969">
        <f t="shared" ca="1" si="1970"/>
        <v>0</v>
      </c>
      <c r="AX1078" s="11">
        <f t="shared" ca="1" si="1971"/>
        <v>0</v>
      </c>
      <c r="AY1078" s="908">
        <f t="shared" ca="1" si="1972"/>
        <v>0</v>
      </c>
      <c r="AZ1078" s="969">
        <f t="shared" ca="1" si="1973"/>
        <v>0</v>
      </c>
      <c r="BB1078" s="11">
        <f t="shared" ca="1" si="1974"/>
        <v>0</v>
      </c>
      <c r="BC1078" s="11">
        <f t="shared" ca="1" si="1975"/>
        <v>0</v>
      </c>
      <c r="BD1078" s="908">
        <f t="shared" ca="1" si="1976"/>
        <v>0</v>
      </c>
      <c r="BE1078" s="969">
        <f t="shared" ca="1" si="1977"/>
        <v>0</v>
      </c>
      <c r="BF1078" s="11">
        <f t="shared" ca="1" si="1978"/>
        <v>0</v>
      </c>
      <c r="BG1078" s="908">
        <f t="shared" ca="1" si="1979"/>
        <v>0</v>
      </c>
      <c r="BH1078" s="969">
        <f t="shared" ca="1" si="1980"/>
        <v>0</v>
      </c>
    </row>
    <row r="1079" spans="1:60" ht="14.5">
      <c r="A1079" s="990">
        <f t="shared" si="1918"/>
        <v>992</v>
      </c>
      <c r="B1079" s="990">
        <v>1</v>
      </c>
      <c r="C1079" s="990">
        <f t="shared" si="1919"/>
        <v>1076</v>
      </c>
      <c r="D1079" s="1121" t="s">
        <v>887</v>
      </c>
      <c r="E1079" s="1255">
        <v>1</v>
      </c>
      <c r="F1079" s="9"/>
      <c r="G1079" s="5"/>
      <c r="H1079" s="75"/>
      <c r="I1079" s="409" t="s">
        <v>922</v>
      </c>
      <c r="J1079" s="405"/>
      <c r="K1079" s="405"/>
      <c r="L1079" s="405"/>
      <c r="M1079" s="405"/>
      <c r="N1079" s="405"/>
      <c r="O1079" s="405"/>
      <c r="P1079" s="580"/>
      <c r="Q1079" s="1866" t="str">
        <f>CHOOSE(2, "6722000003998", "BS (5) DW-DX")</f>
        <v>BS (5) DW-DX</v>
      </c>
      <c r="R1079" s="2078">
        <f>SUM(R1080:R1081)</f>
        <v>860</v>
      </c>
      <c r="S1079" s="2078">
        <f t="shared" ref="S1079:AC1079" si="1995">SUM(S1080:S1081)</f>
        <v>925.78918099027669</v>
      </c>
      <c r="T1079" s="2078">
        <f t="shared" si="1995"/>
        <v>784</v>
      </c>
      <c r="U1079" s="2078">
        <f t="shared" si="1995"/>
        <v>2441</v>
      </c>
      <c r="V1079" s="2078">
        <f t="shared" si="1995"/>
        <v>2286</v>
      </c>
      <c r="W1079" s="2078">
        <f t="shared" si="1995"/>
        <v>2400</v>
      </c>
      <c r="X1079" s="2078">
        <f t="shared" si="1995"/>
        <v>2615</v>
      </c>
      <c r="Y1079" s="2078">
        <f t="shared" si="1995"/>
        <v>1500</v>
      </c>
      <c r="Z1079" s="2078">
        <f t="shared" si="1995"/>
        <v>831</v>
      </c>
      <c r="AA1079" s="2078">
        <f t="shared" si="1995"/>
        <v>1585.5015877848073</v>
      </c>
      <c r="AB1079" s="2078">
        <f t="shared" si="1995"/>
        <v>1832.9475039275867</v>
      </c>
      <c r="AC1079" s="2078">
        <f t="shared" si="1995"/>
        <v>1405.1897568888669</v>
      </c>
      <c r="AD1079" s="1561">
        <f t="shared" ref="AD1079:AJ1079" si="1996">SUM(AD1080:AD1081)</f>
        <v>784</v>
      </c>
      <c r="AE1079" s="484">
        <f t="shared" si="1996"/>
        <v>2400</v>
      </c>
      <c r="AF1079" s="484">
        <f t="shared" si="1996"/>
        <v>831</v>
      </c>
      <c r="AG1079" s="484">
        <f t="shared" si="1996"/>
        <v>1405.1897568888669</v>
      </c>
      <c r="AH1079" s="484">
        <f t="shared" si="1996"/>
        <v>2400</v>
      </c>
      <c r="AI1079" s="484">
        <f t="shared" si="1996"/>
        <v>1405.1897568888669</v>
      </c>
      <c r="AJ1079" s="484">
        <f t="shared" si="1996"/>
        <v>1405.1897568888669</v>
      </c>
      <c r="AL1079" s="2078">
        <f t="shared" ca="1" si="1960"/>
        <v>1405.1897568888669</v>
      </c>
      <c r="AM1079" s="2078">
        <f t="shared" ca="1" si="1961"/>
        <v>0</v>
      </c>
      <c r="AN1079" s="2569">
        <f t="shared" ca="1" si="1962"/>
        <v>1405.1897568888669</v>
      </c>
      <c r="AO1079" s="2570">
        <f t="shared" ca="1" si="1963"/>
        <v>0</v>
      </c>
      <c r="AP1079" s="2078">
        <f t="shared" ca="1" si="1964"/>
        <v>1287</v>
      </c>
      <c r="AQ1079" s="2569">
        <f t="shared" ca="1" si="1965"/>
        <v>118.1897568888669</v>
      </c>
      <c r="AR1079" s="2570">
        <f t="shared" ca="1" si="1966"/>
        <v>1.0918335329361826</v>
      </c>
      <c r="AT1079" s="2078">
        <f t="shared" ca="1" si="1967"/>
        <v>1405.1897568888669</v>
      </c>
      <c r="AU1079" s="2078">
        <f t="shared" ca="1" si="1968"/>
        <v>0</v>
      </c>
      <c r="AV1079" s="2569">
        <f t="shared" ca="1" si="1969"/>
        <v>1405.1897568888669</v>
      </c>
      <c r="AW1079" s="2570">
        <f t="shared" ca="1" si="1970"/>
        <v>0</v>
      </c>
      <c r="AX1079" s="2078">
        <f t="shared" ca="1" si="1971"/>
        <v>1287</v>
      </c>
      <c r="AY1079" s="2569">
        <f t="shared" ca="1" si="1972"/>
        <v>118.1897568888669</v>
      </c>
      <c r="AZ1079" s="2570">
        <f t="shared" ca="1" si="1973"/>
        <v>1.0918335329361826</v>
      </c>
      <c r="BB1079" s="2078">
        <f t="shared" ca="1" si="1974"/>
        <v>1405.1897568888669</v>
      </c>
      <c r="BC1079" s="2078">
        <f t="shared" ca="1" si="1975"/>
        <v>0</v>
      </c>
      <c r="BD1079" s="2569">
        <f t="shared" ca="1" si="1976"/>
        <v>1405.1897568888669</v>
      </c>
      <c r="BE1079" s="2570">
        <f t="shared" ca="1" si="1977"/>
        <v>0</v>
      </c>
      <c r="BF1079" s="2078">
        <f t="shared" ca="1" si="1978"/>
        <v>1287</v>
      </c>
      <c r="BG1079" s="2569">
        <f t="shared" ca="1" si="1979"/>
        <v>118.1897568888669</v>
      </c>
      <c r="BH1079" s="2570">
        <f t="shared" ca="1" si="1980"/>
        <v>1.0918335329361826</v>
      </c>
    </row>
    <row r="1080" spans="1:60" ht="14.5">
      <c r="A1080" s="990">
        <f t="shared" si="1918"/>
        <v>993</v>
      </c>
      <c r="B1080" s="990">
        <v>1</v>
      </c>
      <c r="C1080" s="990">
        <f t="shared" si="1919"/>
        <v>1077</v>
      </c>
      <c r="D1080" s="1121" t="s">
        <v>887</v>
      </c>
      <c r="E1080" s="1243">
        <v>1</v>
      </c>
      <c r="F1080" s="5"/>
      <c r="G1080" s="5"/>
      <c r="H1080" s="75"/>
      <c r="I1080" s="32"/>
      <c r="J1080" s="5"/>
      <c r="K1080" s="5"/>
      <c r="L1080" s="5"/>
      <c r="M1080" s="5"/>
      <c r="N1080" s="4" t="s">
        <v>117</v>
      </c>
      <c r="O1080" s="4"/>
      <c r="P1080" s="4"/>
      <c r="Q1080" s="1855" t="str">
        <f>CHOOSE(2, "6722000003999", "BS (5) DW-DX Purchased from BT cons. companies")</f>
        <v>BS (5) DW-DX Purchased from BT cons. companies</v>
      </c>
      <c r="R1080" s="2032">
        <v>238</v>
      </c>
      <c r="S1080" s="2032">
        <v>250.02392099027634</v>
      </c>
      <c r="T1080" s="2032">
        <v>221</v>
      </c>
      <c r="U1080" s="2032">
        <v>269</v>
      </c>
      <c r="V1080" s="2032">
        <v>230</v>
      </c>
      <c r="W1080" s="2032">
        <v>239</v>
      </c>
      <c r="X1080" s="2032">
        <v>219</v>
      </c>
      <c r="Y1080" s="2032">
        <v>259</v>
      </c>
      <c r="Z1080" s="2032">
        <v>261</v>
      </c>
      <c r="AA1080" s="2032">
        <v>256.1728077848062</v>
      </c>
      <c r="AB1080" s="2032">
        <v>264.88892392758595</v>
      </c>
      <c r="AC1080" s="2032">
        <v>358.07444688886579</v>
      </c>
      <c r="AD1080" s="89">
        <f>T1080</f>
        <v>221</v>
      </c>
      <c r="AE1080" s="13">
        <f>W1080</f>
        <v>239</v>
      </c>
      <c r="AF1080" s="13">
        <f>Z1080</f>
        <v>261</v>
      </c>
      <c r="AG1080" s="13">
        <f>AC1080</f>
        <v>358.07444688886579</v>
      </c>
      <c r="AH1080" s="13">
        <f>AE1080</f>
        <v>239</v>
      </c>
      <c r="AI1080" s="13">
        <f>AG1080</f>
        <v>358.07444688886579</v>
      </c>
      <c r="AJ1080" s="13">
        <f>AI1080</f>
        <v>358.07444688886579</v>
      </c>
      <c r="AL1080" s="13">
        <f t="shared" ca="1" si="1960"/>
        <v>358.07444688886579</v>
      </c>
      <c r="AM1080" s="13">
        <f t="shared" ca="1" si="1961"/>
        <v>0</v>
      </c>
      <c r="AN1080" s="907">
        <f t="shared" ca="1" si="1962"/>
        <v>358.07444688886579</v>
      </c>
      <c r="AO1080" s="968">
        <f t="shared" ca="1" si="1963"/>
        <v>0</v>
      </c>
      <c r="AP1080" s="13">
        <f t="shared" ca="1" si="1964"/>
        <v>248</v>
      </c>
      <c r="AQ1080" s="907">
        <f t="shared" ca="1" si="1965"/>
        <v>110.07444688886579</v>
      </c>
      <c r="AR1080" s="968">
        <f t="shared" ca="1" si="1966"/>
        <v>1.4438485761647815</v>
      </c>
      <c r="AT1080" s="13">
        <f t="shared" ca="1" si="1967"/>
        <v>358.07444688886579</v>
      </c>
      <c r="AU1080" s="13">
        <f t="shared" ca="1" si="1968"/>
        <v>0</v>
      </c>
      <c r="AV1080" s="907">
        <f t="shared" ca="1" si="1969"/>
        <v>358.07444688886579</v>
      </c>
      <c r="AW1080" s="968">
        <f t="shared" ca="1" si="1970"/>
        <v>0</v>
      </c>
      <c r="AX1080" s="13">
        <f t="shared" ca="1" si="1971"/>
        <v>248</v>
      </c>
      <c r="AY1080" s="907">
        <f t="shared" ca="1" si="1972"/>
        <v>110.07444688886579</v>
      </c>
      <c r="AZ1080" s="968">
        <f t="shared" ca="1" si="1973"/>
        <v>1.4438485761647815</v>
      </c>
      <c r="BB1080" s="13">
        <f t="shared" ca="1" si="1974"/>
        <v>358.07444688886579</v>
      </c>
      <c r="BC1080" s="13">
        <f t="shared" ca="1" si="1975"/>
        <v>0</v>
      </c>
      <c r="BD1080" s="907">
        <f t="shared" ca="1" si="1976"/>
        <v>358.07444688886579</v>
      </c>
      <c r="BE1080" s="968">
        <f t="shared" ca="1" si="1977"/>
        <v>0</v>
      </c>
      <c r="BF1080" s="13">
        <f t="shared" ca="1" si="1978"/>
        <v>248</v>
      </c>
      <c r="BG1080" s="907">
        <f t="shared" ca="1" si="1979"/>
        <v>110.07444688886579</v>
      </c>
      <c r="BH1080" s="968">
        <f t="shared" ca="1" si="1980"/>
        <v>1.4438485761647815</v>
      </c>
    </row>
    <row r="1081" spans="1:60" ht="14.5">
      <c r="A1081" s="990">
        <f t="shared" si="1918"/>
        <v>994</v>
      </c>
      <c r="B1081" s="990">
        <v>1</v>
      </c>
      <c r="C1081" s="990">
        <f t="shared" si="1919"/>
        <v>1078</v>
      </c>
      <c r="D1081" s="1121" t="s">
        <v>887</v>
      </c>
      <c r="E1081" s="1243">
        <v>1</v>
      </c>
      <c r="F1081" s="5"/>
      <c r="G1081" s="5"/>
      <c r="H1081" s="75"/>
      <c r="I1081" s="459"/>
      <c r="J1081" s="3"/>
      <c r="K1081" s="3"/>
      <c r="L1081" s="3"/>
      <c r="M1081" s="3"/>
      <c r="N1081" s="2" t="s">
        <v>238</v>
      </c>
      <c r="O1081" s="2"/>
      <c r="P1081" s="2"/>
      <c r="Q1081" s="1855" t="str">
        <f>CHOOSE(2, "6722000004000", "BS (5) DW-DX 3rd Party")</f>
        <v>BS (5) DW-DX 3rd Party</v>
      </c>
      <c r="R1081" s="2031">
        <v>622</v>
      </c>
      <c r="S1081" s="2031">
        <v>675.76526000000035</v>
      </c>
      <c r="T1081" s="2031">
        <v>563</v>
      </c>
      <c r="U1081" s="2031">
        <v>2172</v>
      </c>
      <c r="V1081" s="2031">
        <v>2056</v>
      </c>
      <c r="W1081" s="2031">
        <v>2161</v>
      </c>
      <c r="X1081" s="2031">
        <v>2396</v>
      </c>
      <c r="Y1081" s="2031">
        <v>1241</v>
      </c>
      <c r="Z1081" s="2031">
        <v>570</v>
      </c>
      <c r="AA1081" s="2031">
        <v>1329.328780000001</v>
      </c>
      <c r="AB1081" s="2031">
        <v>1568.0585800000008</v>
      </c>
      <c r="AC1081" s="2031">
        <v>1047.115310000001</v>
      </c>
      <c r="AD1081" s="1560">
        <f>T1081</f>
        <v>563</v>
      </c>
      <c r="AE1081" s="11">
        <f>W1081</f>
        <v>2161</v>
      </c>
      <c r="AF1081" s="11">
        <f>Z1081</f>
        <v>570</v>
      </c>
      <c r="AG1081" s="11">
        <f>AC1081</f>
        <v>1047.115310000001</v>
      </c>
      <c r="AH1081" s="11">
        <f>AE1081</f>
        <v>2161</v>
      </c>
      <c r="AI1081" s="11">
        <f>AG1081</f>
        <v>1047.115310000001</v>
      </c>
      <c r="AJ1081" s="11">
        <f>AI1081</f>
        <v>1047.115310000001</v>
      </c>
      <c r="AL1081" s="11">
        <f t="shared" ca="1" si="1960"/>
        <v>1047.115310000001</v>
      </c>
      <c r="AM1081" s="11">
        <f t="shared" ca="1" si="1961"/>
        <v>0</v>
      </c>
      <c r="AN1081" s="908">
        <f t="shared" ca="1" si="1962"/>
        <v>1047.115310000001</v>
      </c>
      <c r="AO1081" s="969">
        <f t="shared" ca="1" si="1963"/>
        <v>0</v>
      </c>
      <c r="AP1081" s="11">
        <f t="shared" ca="1" si="1964"/>
        <v>1039</v>
      </c>
      <c r="AQ1081" s="908">
        <f t="shared" ca="1" si="1965"/>
        <v>8.1153100000010454</v>
      </c>
      <c r="AR1081" s="969">
        <f t="shared" ca="1" si="1966"/>
        <v>1.0078106929740145</v>
      </c>
      <c r="AT1081" s="11">
        <f t="shared" ca="1" si="1967"/>
        <v>1047.115310000001</v>
      </c>
      <c r="AU1081" s="11">
        <f t="shared" ca="1" si="1968"/>
        <v>0</v>
      </c>
      <c r="AV1081" s="908">
        <f t="shared" ca="1" si="1969"/>
        <v>1047.115310000001</v>
      </c>
      <c r="AW1081" s="969">
        <f t="shared" ca="1" si="1970"/>
        <v>0</v>
      </c>
      <c r="AX1081" s="11">
        <f t="shared" ca="1" si="1971"/>
        <v>1039</v>
      </c>
      <c r="AY1081" s="908">
        <f t="shared" ca="1" si="1972"/>
        <v>8.1153100000010454</v>
      </c>
      <c r="AZ1081" s="969">
        <f t="shared" ca="1" si="1973"/>
        <v>1.0078106929740145</v>
      </c>
      <c r="BB1081" s="11">
        <f t="shared" ca="1" si="1974"/>
        <v>1047.115310000001</v>
      </c>
      <c r="BC1081" s="11">
        <f t="shared" ca="1" si="1975"/>
        <v>0</v>
      </c>
      <c r="BD1081" s="908">
        <f t="shared" ca="1" si="1976"/>
        <v>1047.115310000001</v>
      </c>
      <c r="BE1081" s="969">
        <f t="shared" ca="1" si="1977"/>
        <v>0</v>
      </c>
      <c r="BF1081" s="11">
        <f t="shared" ca="1" si="1978"/>
        <v>1039</v>
      </c>
      <c r="BG1081" s="908">
        <f t="shared" ca="1" si="1979"/>
        <v>8.1153100000010454</v>
      </c>
      <c r="BH1081" s="969">
        <f t="shared" ca="1" si="1980"/>
        <v>1.0078106929740145</v>
      </c>
    </row>
    <row r="1082" spans="1:60" ht="14.5">
      <c r="A1082" s="990">
        <f t="shared" si="1918"/>
        <v>995</v>
      </c>
      <c r="C1082" s="990">
        <f t="shared" si="1919"/>
        <v>1079</v>
      </c>
      <c r="E1082" s="1243">
        <v>1</v>
      </c>
      <c r="H1082" s="5"/>
      <c r="I1082" s="5"/>
      <c r="J1082" s="4"/>
      <c r="K1082" s="4"/>
      <c r="L1082" s="4"/>
      <c r="M1082" s="4"/>
      <c r="N1082" s="4"/>
      <c r="O1082" s="4"/>
      <c r="P1082" s="4"/>
      <c r="Q1082" s="1839" t="str">
        <f>CHOOSE(2, "6722000004001", "▷ Blank 34")</f>
        <v>▷ Blank 34</v>
      </c>
      <c r="R1082" s="2225"/>
      <c r="S1082" s="1151"/>
      <c r="T1082" s="1151"/>
      <c r="U1082" s="1151"/>
      <c r="V1082" s="1151"/>
      <c r="W1082" s="1151"/>
    </row>
    <row r="1083" spans="1:60" ht="15.5">
      <c r="A1083" s="990">
        <f t="shared" si="1918"/>
        <v>996</v>
      </c>
      <c r="B1083" s="990">
        <v>1</v>
      </c>
      <c r="C1083" s="990">
        <f t="shared" si="1919"/>
        <v>1080</v>
      </c>
      <c r="E1083" s="1255">
        <v>1</v>
      </c>
      <c r="F1083" s="9"/>
      <c r="G1083" s="315" t="s">
        <v>941</v>
      </c>
      <c r="H1083" s="5"/>
      <c r="I1083" s="5"/>
      <c r="J1083" s="4"/>
      <c r="K1083" s="4"/>
      <c r="L1083" s="4"/>
      <c r="M1083" s="4"/>
      <c r="N1083" s="4"/>
      <c r="O1083" s="4"/>
      <c r="P1083" s="4"/>
      <c r="Q1083" s="1839" t="str">
        <f>CHOOSE(2, "6722000004002", "4-2. IP Inventories by product")</f>
        <v>4-2. IP Inventories by product</v>
      </c>
      <c r="R1083" s="2225"/>
      <c r="S1083" s="1151"/>
      <c r="T1083" s="1151"/>
      <c r="U1083" s="1151"/>
      <c r="V1083" s="1151"/>
      <c r="W1083" s="1151"/>
    </row>
    <row r="1084" spans="1:60" ht="14.5">
      <c r="A1084" s="990">
        <f t="shared" si="1918"/>
        <v>997</v>
      </c>
      <c r="B1084" s="990">
        <v>1</v>
      </c>
      <c r="C1084" s="990">
        <f t="shared" si="1919"/>
        <v>1081</v>
      </c>
      <c r="E1084" s="1255">
        <v>1</v>
      </c>
      <c r="F1084" s="9"/>
      <c r="H1084" s="5"/>
      <c r="I1084" s="458" t="s">
        <v>482</v>
      </c>
      <c r="J1084" s="788"/>
      <c r="K1084" s="788"/>
      <c r="L1084" s="788"/>
      <c r="M1084" s="788"/>
      <c r="N1084" s="604"/>
      <c r="O1084" s="604"/>
      <c r="P1084" s="604"/>
      <c r="Q1084" s="1871" t="str">
        <f>CHOOSE(2, "6722000003888", "(3) IP")</f>
        <v>(3) IP</v>
      </c>
      <c r="R1084" s="2166">
        <f>R1085+R1090</f>
        <v>38764</v>
      </c>
      <c r="S1084" s="2166">
        <f t="shared" ref="S1084:AC1084" si="1997">S1085+S1090</f>
        <v>58038</v>
      </c>
      <c r="T1084" s="2166">
        <f t="shared" si="1997"/>
        <v>62141.852210000026</v>
      </c>
      <c r="U1084" s="2166">
        <f t="shared" si="1997"/>
        <v>70620</v>
      </c>
      <c r="V1084" s="2166">
        <f t="shared" si="1997"/>
        <v>62910</v>
      </c>
      <c r="W1084" s="2166">
        <f t="shared" si="1997"/>
        <v>64868</v>
      </c>
      <c r="X1084" s="2167">
        <f t="shared" si="1997"/>
        <v>73506.573739999993</v>
      </c>
      <c r="Y1084" s="2167">
        <f t="shared" si="1997"/>
        <v>67043</v>
      </c>
      <c r="Z1084" s="2167">
        <f t="shared" si="1997"/>
        <v>70024.150780000011</v>
      </c>
      <c r="AA1084" s="2167">
        <f t="shared" si="1997"/>
        <v>73665.861800000013</v>
      </c>
      <c r="AB1084" s="2167">
        <f t="shared" si="1997"/>
        <v>139148.15546332579</v>
      </c>
      <c r="AC1084" s="2167">
        <f t="shared" si="1997"/>
        <v>105994.45755000002</v>
      </c>
      <c r="AD1084" s="1562">
        <f t="shared" ref="AD1084:AJ1084" si="1998">AD1085+AD1090</f>
        <v>62141.852210000026</v>
      </c>
      <c r="AE1084" s="1127">
        <f t="shared" si="1998"/>
        <v>64868</v>
      </c>
      <c r="AF1084" s="1127">
        <f t="shared" si="1998"/>
        <v>70024.150780000011</v>
      </c>
      <c r="AG1084" s="1127">
        <f t="shared" si="1998"/>
        <v>105994.45755000002</v>
      </c>
      <c r="AH1084" s="1127">
        <f t="shared" si="1998"/>
        <v>64868</v>
      </c>
      <c r="AI1084" s="1127">
        <f t="shared" si="1998"/>
        <v>105994.45755000002</v>
      </c>
      <c r="AJ1084" s="1127">
        <f t="shared" si="1998"/>
        <v>105994.45755000002</v>
      </c>
      <c r="AL1084" s="2074">
        <f t="shared" ref="AL1084:AL1093" ca="1" si="1999">INDIRECT(AL$3&amp;(ROW()))</f>
        <v>105994.45755000002</v>
      </c>
      <c r="AM1084" s="2074">
        <f t="shared" ref="AM1084:AM1093" ca="1" si="2000">INDIRECT(AM$1&amp;AM$3&amp;$C1084)</f>
        <v>0</v>
      </c>
      <c r="AN1084" s="2542">
        <f t="shared" ref="AN1084:AN1093" ca="1" si="2001">AL1084-AM1084</f>
        <v>105994.45755000002</v>
      </c>
      <c r="AO1084" s="2543">
        <f t="shared" ref="AO1084:AO1093" ca="1" si="2002">IFERROR(AL1084/AM1084,0)</f>
        <v>0</v>
      </c>
      <c r="AP1084" s="2074">
        <f t="shared" ref="AP1084:AP1093" ca="1" si="2003">INDIRECT(AP$1&amp;AP$3&amp;$A1084)+INDIRECT(AP$1&amp;AP$3&amp;$B1084)</f>
        <v>35224</v>
      </c>
      <c r="AQ1084" s="2542">
        <f t="shared" ref="AQ1084:AQ1093" ca="1" si="2004">AL1084-AP1084</f>
        <v>70770.457550000021</v>
      </c>
      <c r="AR1084" s="2543">
        <f t="shared" ref="AR1084:AR1093" ca="1" si="2005">IFERROR(AL1084/AP1084,0)</f>
        <v>3.0091544841585289</v>
      </c>
      <c r="AT1084" s="2074">
        <f t="shared" ref="AT1084:AT1093" ca="1" si="2006">INDIRECT(AT$3&amp;(ROW()))</f>
        <v>105994.45755000002</v>
      </c>
      <c r="AU1084" s="2074">
        <f t="shared" ref="AU1084:AU1093" ca="1" si="2007">INDIRECT(AU$1&amp;AU$3&amp;$C1084)</f>
        <v>0</v>
      </c>
      <c r="AV1084" s="2542">
        <f t="shared" ref="AV1084:AV1093" ca="1" si="2008">AT1084-AU1084</f>
        <v>105994.45755000002</v>
      </c>
      <c r="AW1084" s="2543">
        <f t="shared" ref="AW1084:AW1093" ca="1" si="2009">IFERROR(AT1084/AU1084,0)</f>
        <v>0</v>
      </c>
      <c r="AX1084" s="2074">
        <f t="shared" ref="AX1084:AX1093" ca="1" si="2010">INDIRECT(AX$1&amp;AX$3&amp;$A1084)+INDIRECT(AX$1&amp;AX$3&amp;$B1084)</f>
        <v>35224</v>
      </c>
      <c r="AY1084" s="2542">
        <f t="shared" ref="AY1084:AY1093" ca="1" si="2011">AT1084-AX1084</f>
        <v>70770.457550000021</v>
      </c>
      <c r="AZ1084" s="2543">
        <f t="shared" ref="AZ1084:AZ1093" ca="1" si="2012">IFERROR(AT1084/AX1084,0)</f>
        <v>3.0091544841585289</v>
      </c>
      <c r="BB1084" s="2074">
        <f t="shared" ref="BB1084:BB1093" ca="1" si="2013">INDIRECT(BB$3&amp;(ROW()))</f>
        <v>105994.45755000002</v>
      </c>
      <c r="BC1084" s="2074">
        <f t="shared" ref="BC1084:BC1093" ca="1" si="2014">INDIRECT(BC$1&amp;BC$3&amp;$C1084)</f>
        <v>0</v>
      </c>
      <c r="BD1084" s="2542">
        <f t="shared" ref="BD1084:BD1093" ca="1" si="2015">BB1084-BC1084</f>
        <v>105994.45755000002</v>
      </c>
      <c r="BE1084" s="2543">
        <f t="shared" ref="BE1084:BE1093" ca="1" si="2016">IFERROR(BB1084/BC1084,0)</f>
        <v>0</v>
      </c>
      <c r="BF1084" s="2074">
        <f t="shared" ref="BF1084:BF1093" ca="1" si="2017">INDIRECT(BF$1&amp;BF$3&amp;$A1084)+INDIRECT(BF$1&amp;BF$3&amp;$B1084)</f>
        <v>35224</v>
      </c>
      <c r="BG1084" s="2542">
        <f t="shared" ref="BG1084:BG1093" ca="1" si="2018">BB1084-BF1084</f>
        <v>70770.457550000021</v>
      </c>
      <c r="BH1084" s="2543">
        <f t="shared" ref="BH1084:BH1093" ca="1" si="2019">IFERROR(BB1084/BF1084,0)</f>
        <v>3.0091544841585289</v>
      </c>
    </row>
    <row r="1085" spans="1:60" ht="14.5">
      <c r="A1085" s="990">
        <f t="shared" si="1918"/>
        <v>998</v>
      </c>
      <c r="B1085" s="990">
        <v>1</v>
      </c>
      <c r="C1085" s="990">
        <f t="shared" si="1919"/>
        <v>1082</v>
      </c>
      <c r="E1085" s="1255">
        <v>1</v>
      </c>
      <c r="F1085" s="9"/>
      <c r="H1085" s="5"/>
      <c r="I1085" s="30"/>
      <c r="J1085" s="4"/>
      <c r="K1085" s="4"/>
      <c r="L1085" s="4"/>
      <c r="M1085" s="4"/>
      <c r="N1085" s="4" t="s">
        <v>942</v>
      </c>
      <c r="O1085" s="51"/>
      <c r="P1085" s="51"/>
      <c r="Q1085" s="1851" t="str">
        <f>CHOOSE(2, "6722000004003", "(3) IP from BT")</f>
        <v>(3) IP from BT</v>
      </c>
      <c r="R1085" s="49">
        <f>R1073+R1074</f>
        <v>31343</v>
      </c>
      <c r="S1085" s="49">
        <f t="shared" ref="S1085:AC1085" si="2020">S1073+S1074</f>
        <v>48043</v>
      </c>
      <c r="T1085" s="49">
        <f t="shared" si="2020"/>
        <v>54764</v>
      </c>
      <c r="U1085" s="49">
        <f t="shared" si="2020"/>
        <v>63277</v>
      </c>
      <c r="V1085" s="49">
        <f t="shared" si="2020"/>
        <v>55605</v>
      </c>
      <c r="W1085" s="49">
        <f t="shared" si="2020"/>
        <v>62801</v>
      </c>
      <c r="X1085" s="49">
        <f t="shared" si="2020"/>
        <v>66000.577610000008</v>
      </c>
      <c r="Y1085" s="49">
        <f t="shared" si="2020"/>
        <v>59224</v>
      </c>
      <c r="Z1085" s="49">
        <f t="shared" si="2020"/>
        <v>61966.521679999998</v>
      </c>
      <c r="AA1085" s="49">
        <f t="shared" si="2020"/>
        <v>67671.294670000003</v>
      </c>
      <c r="AB1085" s="49">
        <f t="shared" si="2020"/>
        <v>132788.50914332576</v>
      </c>
      <c r="AC1085" s="49">
        <f t="shared" si="2020"/>
        <v>95164.121199999994</v>
      </c>
      <c r="AD1085" s="1553">
        <f t="shared" ref="AD1085:AJ1085" si="2021">AD1073+AD1074</f>
        <v>54764</v>
      </c>
      <c r="AE1085" s="49">
        <f t="shared" si="2021"/>
        <v>62801</v>
      </c>
      <c r="AF1085" s="49">
        <f t="shared" si="2021"/>
        <v>61966.521679999998</v>
      </c>
      <c r="AG1085" s="49">
        <f t="shared" si="2021"/>
        <v>95164.121199999994</v>
      </c>
      <c r="AH1085" s="49">
        <f t="shared" si="2021"/>
        <v>62801</v>
      </c>
      <c r="AI1085" s="49">
        <f t="shared" si="2021"/>
        <v>95164.121199999994</v>
      </c>
      <c r="AJ1085" s="49">
        <f t="shared" si="2021"/>
        <v>95164.121199999994</v>
      </c>
      <c r="AL1085" s="2059">
        <f t="shared" ca="1" si="1999"/>
        <v>95164.121199999994</v>
      </c>
      <c r="AM1085" s="2059">
        <f t="shared" ca="1" si="2000"/>
        <v>0</v>
      </c>
      <c r="AN1085" s="1252">
        <f t="shared" ca="1" si="2001"/>
        <v>95164.121199999994</v>
      </c>
      <c r="AO1085" s="1253">
        <f t="shared" ca="1" si="2002"/>
        <v>0</v>
      </c>
      <c r="AP1085" s="2059">
        <f t="shared" ca="1" si="2003"/>
        <v>27855</v>
      </c>
      <c r="AQ1085" s="1252">
        <f t="shared" ca="1" si="2004"/>
        <v>67309.121199999994</v>
      </c>
      <c r="AR1085" s="1253">
        <f t="shared" ca="1" si="2005"/>
        <v>3.4164107413390772</v>
      </c>
      <c r="AS1085" s="75"/>
      <c r="AT1085" s="2059">
        <f t="shared" ca="1" si="2006"/>
        <v>95164.121199999994</v>
      </c>
      <c r="AU1085" s="2059">
        <f t="shared" ca="1" si="2007"/>
        <v>0</v>
      </c>
      <c r="AV1085" s="1252">
        <f t="shared" ca="1" si="2008"/>
        <v>95164.121199999994</v>
      </c>
      <c r="AW1085" s="1253">
        <f t="shared" ca="1" si="2009"/>
        <v>0</v>
      </c>
      <c r="AX1085" s="2059">
        <f t="shared" ca="1" si="2010"/>
        <v>27855</v>
      </c>
      <c r="AY1085" s="1252">
        <f t="shared" ca="1" si="2011"/>
        <v>67309.121199999994</v>
      </c>
      <c r="AZ1085" s="1253">
        <f t="shared" ca="1" si="2012"/>
        <v>3.4164107413390772</v>
      </c>
      <c r="BA1085" s="75"/>
      <c r="BB1085" s="2059">
        <f t="shared" ca="1" si="2013"/>
        <v>95164.121199999994</v>
      </c>
      <c r="BC1085" s="2059">
        <f t="shared" ca="1" si="2014"/>
        <v>0</v>
      </c>
      <c r="BD1085" s="1252">
        <f t="shared" ca="1" si="2015"/>
        <v>95164.121199999994</v>
      </c>
      <c r="BE1085" s="1253">
        <f t="shared" ca="1" si="2016"/>
        <v>0</v>
      </c>
      <c r="BF1085" s="2059">
        <f t="shared" ca="1" si="2017"/>
        <v>27855</v>
      </c>
      <c r="BG1085" s="1252">
        <f t="shared" ca="1" si="2018"/>
        <v>67309.121199999994</v>
      </c>
      <c r="BH1085" s="1253">
        <f t="shared" ca="1" si="2019"/>
        <v>3.4164107413390772</v>
      </c>
    </row>
    <row r="1086" spans="1:60" ht="14.5">
      <c r="A1086" s="990">
        <f t="shared" si="1918"/>
        <v>999</v>
      </c>
      <c r="B1086" s="990">
        <v>1</v>
      </c>
      <c r="C1086" s="990">
        <f t="shared" si="1919"/>
        <v>1083</v>
      </c>
      <c r="E1086" s="1255">
        <v>1</v>
      </c>
      <c r="F1086" s="9"/>
      <c r="H1086" s="5"/>
      <c r="I1086" s="30"/>
      <c r="J1086" s="4"/>
      <c r="K1086" s="4"/>
      <c r="L1086" s="4"/>
      <c r="M1086" s="4"/>
      <c r="N1086" s="4"/>
      <c r="O1086" s="1246" t="s">
        <v>1258</v>
      </c>
      <c r="P1086" s="4"/>
      <c r="Q1086" s="1852" t="str">
        <f>CHOOSE(2, "6722000004004", "(3) IP from BT KM-1/KM-1e")</f>
        <v>(3) IP from BT KM-1/KM-1e</v>
      </c>
      <c r="R1086" s="2159">
        <v>0</v>
      </c>
      <c r="S1086" s="2159">
        <v>0</v>
      </c>
      <c r="T1086" s="2159">
        <v>0</v>
      </c>
      <c r="U1086" s="2159">
        <v>0</v>
      </c>
      <c r="V1086" s="2159">
        <v>0</v>
      </c>
      <c r="W1086" s="2159">
        <v>0</v>
      </c>
      <c r="X1086" s="2091">
        <v>0</v>
      </c>
      <c r="Y1086" s="2091">
        <v>0</v>
      </c>
      <c r="Z1086" s="2091">
        <v>0</v>
      </c>
      <c r="AA1086" s="2091">
        <v>0</v>
      </c>
      <c r="AB1086" s="2091">
        <v>0</v>
      </c>
      <c r="AC1086" s="2091">
        <v>0</v>
      </c>
      <c r="AD1086" s="100">
        <f t="shared" ref="AD1086:AD1089" si="2022">T1086</f>
        <v>0</v>
      </c>
      <c r="AE1086" s="19">
        <f t="shared" ref="AE1086:AE1089" si="2023">W1086</f>
        <v>0</v>
      </c>
      <c r="AF1086" s="19">
        <f t="shared" ref="AF1086:AF1089" si="2024">Z1086</f>
        <v>0</v>
      </c>
      <c r="AG1086" s="19">
        <f t="shared" ref="AG1086:AG1089" si="2025">AC1086</f>
        <v>0</v>
      </c>
      <c r="AH1086" s="19">
        <f t="shared" ref="AH1086:AH1089" si="2026">AE1086</f>
        <v>0</v>
      </c>
      <c r="AI1086" s="19">
        <f t="shared" ref="AI1086:AI1089" si="2027">AG1086</f>
        <v>0</v>
      </c>
      <c r="AJ1086" s="19">
        <f t="shared" ref="AJ1086:AJ1089" si="2028">AI1086</f>
        <v>0</v>
      </c>
      <c r="AL1086" s="2097">
        <f t="shared" ca="1" si="1999"/>
        <v>0</v>
      </c>
      <c r="AM1086" s="2097">
        <f t="shared" ca="1" si="2000"/>
        <v>0</v>
      </c>
      <c r="AN1086" s="1248">
        <f t="shared" ca="1" si="2001"/>
        <v>0</v>
      </c>
      <c r="AO1086" s="1249">
        <f t="shared" ca="1" si="2002"/>
        <v>0</v>
      </c>
      <c r="AP1086" s="2097">
        <f t="shared" ca="1" si="2003"/>
        <v>0</v>
      </c>
      <c r="AQ1086" s="1248">
        <f t="shared" ca="1" si="2004"/>
        <v>0</v>
      </c>
      <c r="AR1086" s="1249">
        <f t="shared" ca="1" si="2005"/>
        <v>0</v>
      </c>
      <c r="AS1086" s="75"/>
      <c r="AT1086" s="2097">
        <f t="shared" ca="1" si="2006"/>
        <v>0</v>
      </c>
      <c r="AU1086" s="2097">
        <f t="shared" ca="1" si="2007"/>
        <v>0</v>
      </c>
      <c r="AV1086" s="1248">
        <f t="shared" ca="1" si="2008"/>
        <v>0</v>
      </c>
      <c r="AW1086" s="1249">
        <f t="shared" ca="1" si="2009"/>
        <v>0</v>
      </c>
      <c r="AX1086" s="2097">
        <f t="shared" ca="1" si="2010"/>
        <v>0</v>
      </c>
      <c r="AY1086" s="1248">
        <f t="shared" ca="1" si="2011"/>
        <v>0</v>
      </c>
      <c r="AZ1086" s="1249">
        <f t="shared" ca="1" si="2012"/>
        <v>0</v>
      </c>
      <c r="BA1086" s="75"/>
      <c r="BB1086" s="2097">
        <f t="shared" ca="1" si="2013"/>
        <v>0</v>
      </c>
      <c r="BC1086" s="2097">
        <f t="shared" ca="1" si="2014"/>
        <v>0</v>
      </c>
      <c r="BD1086" s="1248">
        <f t="shared" ca="1" si="2015"/>
        <v>0</v>
      </c>
      <c r="BE1086" s="1249">
        <f t="shared" ca="1" si="2016"/>
        <v>0</v>
      </c>
      <c r="BF1086" s="2097">
        <f t="shared" ca="1" si="2017"/>
        <v>0</v>
      </c>
      <c r="BG1086" s="1248">
        <f t="shared" ca="1" si="2018"/>
        <v>0</v>
      </c>
      <c r="BH1086" s="1249">
        <f t="shared" ca="1" si="2019"/>
        <v>0</v>
      </c>
    </row>
    <row r="1087" spans="1:60" ht="14.5">
      <c r="A1087" s="990">
        <f t="shared" si="1918"/>
        <v>1000</v>
      </c>
      <c r="B1087" s="990">
        <v>1</v>
      </c>
      <c r="C1087" s="990">
        <f t="shared" si="1919"/>
        <v>1084</v>
      </c>
      <c r="E1087" s="1255">
        <v>1</v>
      </c>
      <c r="F1087" s="9"/>
      <c r="H1087" s="5"/>
      <c r="I1087" s="30"/>
      <c r="J1087" s="4"/>
      <c r="K1087" s="4"/>
      <c r="L1087" s="4"/>
      <c r="M1087" s="4"/>
      <c r="N1087" s="4"/>
      <c r="O1087" s="1246" t="s">
        <v>943</v>
      </c>
      <c r="P1087" s="4"/>
      <c r="Q1087" s="1852" t="str">
        <f>CHOOSE(2, "6722000004005", "(3) IP from BT Label")</f>
        <v>(3) IP from BT Label</v>
      </c>
      <c r="R1087" s="2159">
        <v>0</v>
      </c>
      <c r="S1087" s="2159">
        <v>0</v>
      </c>
      <c r="T1087" s="2159">
        <v>0</v>
      </c>
      <c r="U1087" s="2159">
        <v>0</v>
      </c>
      <c r="V1087" s="2159">
        <v>0</v>
      </c>
      <c r="W1087" s="2159">
        <v>0</v>
      </c>
      <c r="X1087" s="2091">
        <v>0</v>
      </c>
      <c r="Y1087" s="2091">
        <v>0</v>
      </c>
      <c r="Z1087" s="2091">
        <v>0</v>
      </c>
      <c r="AA1087" s="2091">
        <v>0</v>
      </c>
      <c r="AB1087" s="2091">
        <v>0</v>
      </c>
      <c r="AC1087" s="2091">
        <v>0</v>
      </c>
      <c r="AD1087" s="100">
        <f t="shared" si="2022"/>
        <v>0</v>
      </c>
      <c r="AE1087" s="19">
        <f t="shared" si="2023"/>
        <v>0</v>
      </c>
      <c r="AF1087" s="19">
        <f t="shared" si="2024"/>
        <v>0</v>
      </c>
      <c r="AG1087" s="19">
        <f t="shared" si="2025"/>
        <v>0</v>
      </c>
      <c r="AH1087" s="19">
        <f t="shared" si="2026"/>
        <v>0</v>
      </c>
      <c r="AI1087" s="19">
        <f t="shared" si="2027"/>
        <v>0</v>
      </c>
      <c r="AJ1087" s="19">
        <f t="shared" si="2028"/>
        <v>0</v>
      </c>
      <c r="AL1087" s="2097">
        <f t="shared" ca="1" si="1999"/>
        <v>0</v>
      </c>
      <c r="AM1087" s="2097">
        <f t="shared" ca="1" si="2000"/>
        <v>0</v>
      </c>
      <c r="AN1087" s="1248">
        <f t="shared" ca="1" si="2001"/>
        <v>0</v>
      </c>
      <c r="AO1087" s="1249">
        <f t="shared" ca="1" si="2002"/>
        <v>0</v>
      </c>
      <c r="AP1087" s="2097">
        <f t="shared" ca="1" si="2003"/>
        <v>0</v>
      </c>
      <c r="AQ1087" s="1248">
        <f t="shared" ca="1" si="2004"/>
        <v>0</v>
      </c>
      <c r="AR1087" s="1249">
        <f t="shared" ca="1" si="2005"/>
        <v>0</v>
      </c>
      <c r="AS1087" s="75"/>
      <c r="AT1087" s="2097">
        <f t="shared" ca="1" si="2006"/>
        <v>0</v>
      </c>
      <c r="AU1087" s="2097">
        <f t="shared" ca="1" si="2007"/>
        <v>0</v>
      </c>
      <c r="AV1087" s="1248">
        <f t="shared" ca="1" si="2008"/>
        <v>0</v>
      </c>
      <c r="AW1087" s="1249">
        <f t="shared" ca="1" si="2009"/>
        <v>0</v>
      </c>
      <c r="AX1087" s="2097">
        <f t="shared" ca="1" si="2010"/>
        <v>0</v>
      </c>
      <c r="AY1087" s="1248">
        <f t="shared" ca="1" si="2011"/>
        <v>0</v>
      </c>
      <c r="AZ1087" s="1249">
        <f t="shared" ca="1" si="2012"/>
        <v>0</v>
      </c>
      <c r="BA1087" s="75"/>
      <c r="BB1087" s="2097">
        <f t="shared" ca="1" si="2013"/>
        <v>0</v>
      </c>
      <c r="BC1087" s="2097">
        <f t="shared" ca="1" si="2014"/>
        <v>0</v>
      </c>
      <c r="BD1087" s="1248">
        <f t="shared" ca="1" si="2015"/>
        <v>0</v>
      </c>
      <c r="BE1087" s="1249">
        <f t="shared" ca="1" si="2016"/>
        <v>0</v>
      </c>
      <c r="BF1087" s="2097">
        <f t="shared" ca="1" si="2017"/>
        <v>0</v>
      </c>
      <c r="BG1087" s="1248">
        <f t="shared" ca="1" si="2018"/>
        <v>0</v>
      </c>
      <c r="BH1087" s="1249">
        <f t="shared" ca="1" si="2019"/>
        <v>0</v>
      </c>
    </row>
    <row r="1088" spans="1:60" ht="14.5">
      <c r="A1088" s="990">
        <f t="shared" si="1918"/>
        <v>1001</v>
      </c>
      <c r="B1088" s="990">
        <v>1</v>
      </c>
      <c r="C1088" s="990">
        <f t="shared" si="1919"/>
        <v>1085</v>
      </c>
      <c r="E1088" s="1255">
        <v>1</v>
      </c>
      <c r="F1088" s="9"/>
      <c r="H1088" s="5"/>
      <c r="I1088" s="30"/>
      <c r="J1088" s="4"/>
      <c r="K1088" s="4"/>
      <c r="L1088" s="4"/>
      <c r="M1088" s="4"/>
      <c r="N1088" s="4"/>
      <c r="O1088" s="1246" t="s">
        <v>944</v>
      </c>
      <c r="P1088" s="4"/>
      <c r="Q1088" s="1851" t="str">
        <f>CHOOSE(2, "6722000004006", "(3) IP from BT MGI")</f>
        <v>(3) IP from BT MGI</v>
      </c>
      <c r="R1088" s="41">
        <f>R1074</f>
        <v>14131</v>
      </c>
      <c r="S1088" s="41">
        <f t="shared" ref="S1088:AC1088" si="2029">S1074</f>
        <v>18188</v>
      </c>
      <c r="T1088" s="41">
        <f t="shared" si="2029"/>
        <v>15879</v>
      </c>
      <c r="U1088" s="41">
        <f t="shared" si="2029"/>
        <v>20626</v>
      </c>
      <c r="V1088" s="41">
        <f t="shared" si="2029"/>
        <v>22247</v>
      </c>
      <c r="W1088" s="41">
        <f t="shared" si="2029"/>
        <v>22395</v>
      </c>
      <c r="X1088" s="19">
        <f t="shared" si="2029"/>
        <v>21938.57761</v>
      </c>
      <c r="Y1088" s="19">
        <f t="shared" si="2029"/>
        <v>18211</v>
      </c>
      <c r="Z1088" s="19">
        <f t="shared" si="2029"/>
        <v>20238.521679999998</v>
      </c>
      <c r="AA1088" s="19">
        <f t="shared" si="2029"/>
        <v>18741.294670000003</v>
      </c>
      <c r="AB1088" s="19">
        <f t="shared" si="2029"/>
        <v>17607.8033</v>
      </c>
      <c r="AC1088" s="19">
        <f t="shared" si="2029"/>
        <v>21659.121199999998</v>
      </c>
      <c r="AD1088" s="100">
        <f t="shared" si="2022"/>
        <v>15879</v>
      </c>
      <c r="AE1088" s="19">
        <f t="shared" si="2023"/>
        <v>22395</v>
      </c>
      <c r="AF1088" s="19">
        <f t="shared" si="2024"/>
        <v>20238.521679999998</v>
      </c>
      <c r="AG1088" s="19">
        <f t="shared" si="2025"/>
        <v>21659.121199999998</v>
      </c>
      <c r="AH1088" s="19">
        <f t="shared" si="2026"/>
        <v>22395</v>
      </c>
      <c r="AI1088" s="19">
        <f t="shared" si="2027"/>
        <v>21659.121199999998</v>
      </c>
      <c r="AJ1088" s="19">
        <f t="shared" si="2028"/>
        <v>21659.121199999998</v>
      </c>
      <c r="AL1088" s="2097">
        <f t="shared" ca="1" si="1999"/>
        <v>21659.121199999998</v>
      </c>
      <c r="AM1088" s="2097">
        <f t="shared" ca="1" si="2000"/>
        <v>0</v>
      </c>
      <c r="AN1088" s="1248">
        <f t="shared" ca="1" si="2001"/>
        <v>21659.121199999998</v>
      </c>
      <c r="AO1088" s="1249">
        <f t="shared" ca="1" si="2002"/>
        <v>0</v>
      </c>
      <c r="AP1088" s="2097">
        <f t="shared" ca="1" si="2003"/>
        <v>12119</v>
      </c>
      <c r="AQ1088" s="1248">
        <f t="shared" ca="1" si="2004"/>
        <v>9540.1211999999978</v>
      </c>
      <c r="AR1088" s="1249">
        <f t="shared" ca="1" si="2005"/>
        <v>1.7872036636686193</v>
      </c>
      <c r="AS1088" s="75"/>
      <c r="AT1088" s="2097">
        <f t="shared" ca="1" si="2006"/>
        <v>21659.121199999998</v>
      </c>
      <c r="AU1088" s="2097">
        <f t="shared" ca="1" si="2007"/>
        <v>0</v>
      </c>
      <c r="AV1088" s="1248">
        <f t="shared" ca="1" si="2008"/>
        <v>21659.121199999998</v>
      </c>
      <c r="AW1088" s="1249">
        <f t="shared" ca="1" si="2009"/>
        <v>0</v>
      </c>
      <c r="AX1088" s="2097">
        <f t="shared" ca="1" si="2010"/>
        <v>12119</v>
      </c>
      <c r="AY1088" s="1248">
        <f t="shared" ca="1" si="2011"/>
        <v>9540.1211999999978</v>
      </c>
      <c r="AZ1088" s="1249">
        <f t="shared" ca="1" si="2012"/>
        <v>1.7872036636686193</v>
      </c>
      <c r="BA1088" s="75"/>
      <c r="BB1088" s="2097">
        <f t="shared" ca="1" si="2013"/>
        <v>21659.121199999998</v>
      </c>
      <c r="BC1088" s="2097">
        <f t="shared" ca="1" si="2014"/>
        <v>0</v>
      </c>
      <c r="BD1088" s="1248">
        <f t="shared" ca="1" si="2015"/>
        <v>21659.121199999998</v>
      </c>
      <c r="BE1088" s="1249">
        <f t="shared" ca="1" si="2016"/>
        <v>0</v>
      </c>
      <c r="BF1088" s="2097">
        <f t="shared" ca="1" si="2017"/>
        <v>12119</v>
      </c>
      <c r="BG1088" s="1248">
        <f t="shared" ca="1" si="2018"/>
        <v>9540.1211999999978</v>
      </c>
      <c r="BH1088" s="1249">
        <f t="shared" ca="1" si="2019"/>
        <v>1.7872036636686193</v>
      </c>
    </row>
    <row r="1089" spans="1:60" ht="14.5">
      <c r="A1089" s="990">
        <f t="shared" ref="A1089:A1104" si="2030">A1088+1</f>
        <v>1002</v>
      </c>
      <c r="B1089" s="990">
        <v>1</v>
      </c>
      <c r="C1089" s="990">
        <f t="shared" si="1919"/>
        <v>1086</v>
      </c>
      <c r="E1089" s="1255">
        <v>1</v>
      </c>
      <c r="F1089" s="9"/>
      <c r="H1089" s="5"/>
      <c r="I1089" s="30"/>
      <c r="J1089" s="4"/>
      <c r="K1089" s="4"/>
      <c r="L1089" s="4"/>
      <c r="M1089" s="4"/>
      <c r="N1089" s="2"/>
      <c r="O1089" s="1247" t="s">
        <v>945</v>
      </c>
      <c r="P1089" s="2"/>
      <c r="Q1089" s="1851" t="str">
        <f>CHOOSE(2, "6722000004007", "(3) IP from BT Others")</f>
        <v>(3) IP from BT Others</v>
      </c>
      <c r="R1089" s="66">
        <f>R1085-SUM(R1086:R1088)</f>
        <v>17212</v>
      </c>
      <c r="S1089" s="66">
        <f t="shared" ref="S1089:AC1089" si="2031">S1085-SUM(S1086:S1088)</f>
        <v>29855</v>
      </c>
      <c r="T1089" s="66">
        <f t="shared" si="2031"/>
        <v>38885</v>
      </c>
      <c r="U1089" s="66">
        <f t="shared" si="2031"/>
        <v>42651</v>
      </c>
      <c r="V1089" s="66">
        <f t="shared" si="2031"/>
        <v>33358</v>
      </c>
      <c r="W1089" s="66">
        <f t="shared" si="2031"/>
        <v>40406</v>
      </c>
      <c r="X1089" s="17">
        <f t="shared" si="2031"/>
        <v>44062.000000000007</v>
      </c>
      <c r="Y1089" s="17">
        <f t="shared" si="2031"/>
        <v>41013</v>
      </c>
      <c r="Z1089" s="17">
        <f t="shared" si="2031"/>
        <v>41728</v>
      </c>
      <c r="AA1089" s="17">
        <f t="shared" si="2031"/>
        <v>48930</v>
      </c>
      <c r="AB1089" s="17">
        <f t="shared" si="2031"/>
        <v>115180.70584332576</v>
      </c>
      <c r="AC1089" s="17">
        <f t="shared" si="2031"/>
        <v>73505</v>
      </c>
      <c r="AD1089" s="99">
        <f t="shared" si="2022"/>
        <v>38885</v>
      </c>
      <c r="AE1089" s="17">
        <f t="shared" si="2023"/>
        <v>40406</v>
      </c>
      <c r="AF1089" s="17">
        <f t="shared" si="2024"/>
        <v>41728</v>
      </c>
      <c r="AG1089" s="17">
        <f t="shared" si="2025"/>
        <v>73505</v>
      </c>
      <c r="AH1089" s="17">
        <f t="shared" si="2026"/>
        <v>40406</v>
      </c>
      <c r="AI1089" s="17">
        <f t="shared" si="2027"/>
        <v>73505</v>
      </c>
      <c r="AJ1089" s="17">
        <f t="shared" si="2028"/>
        <v>73505</v>
      </c>
      <c r="AL1089" s="2098">
        <f t="shared" ca="1" si="1999"/>
        <v>73505</v>
      </c>
      <c r="AM1089" s="2098">
        <f t="shared" ca="1" si="2000"/>
        <v>0</v>
      </c>
      <c r="AN1089" s="1250">
        <f t="shared" ca="1" si="2001"/>
        <v>73505</v>
      </c>
      <c r="AO1089" s="1251">
        <f t="shared" ca="1" si="2002"/>
        <v>0</v>
      </c>
      <c r="AP1089" s="2098">
        <f t="shared" ca="1" si="2003"/>
        <v>15736</v>
      </c>
      <c r="AQ1089" s="1250">
        <f t="shared" ca="1" si="2004"/>
        <v>57769</v>
      </c>
      <c r="AR1089" s="1251">
        <f t="shared" ca="1" si="2005"/>
        <v>4.6711362480935437</v>
      </c>
      <c r="AS1089" s="75"/>
      <c r="AT1089" s="2098">
        <f t="shared" ca="1" si="2006"/>
        <v>73505</v>
      </c>
      <c r="AU1089" s="2098">
        <f t="shared" ca="1" si="2007"/>
        <v>0</v>
      </c>
      <c r="AV1089" s="1250">
        <f t="shared" ca="1" si="2008"/>
        <v>73505</v>
      </c>
      <c r="AW1089" s="1251">
        <f t="shared" ca="1" si="2009"/>
        <v>0</v>
      </c>
      <c r="AX1089" s="2098">
        <f t="shared" ca="1" si="2010"/>
        <v>15736</v>
      </c>
      <c r="AY1089" s="1250">
        <f t="shared" ca="1" si="2011"/>
        <v>57769</v>
      </c>
      <c r="AZ1089" s="1251">
        <f t="shared" ca="1" si="2012"/>
        <v>4.6711362480935437</v>
      </c>
      <c r="BA1089" s="75"/>
      <c r="BB1089" s="2098">
        <f t="shared" ca="1" si="2013"/>
        <v>73505</v>
      </c>
      <c r="BC1089" s="2098">
        <f t="shared" ca="1" si="2014"/>
        <v>0</v>
      </c>
      <c r="BD1089" s="1250">
        <f t="shared" ca="1" si="2015"/>
        <v>73505</v>
      </c>
      <c r="BE1089" s="1251">
        <f t="shared" ca="1" si="2016"/>
        <v>0</v>
      </c>
      <c r="BF1089" s="2098">
        <f t="shared" ca="1" si="2017"/>
        <v>15736</v>
      </c>
      <c r="BG1089" s="1250">
        <f t="shared" ca="1" si="2018"/>
        <v>57769</v>
      </c>
      <c r="BH1089" s="1251">
        <f t="shared" ca="1" si="2019"/>
        <v>4.6711362480935437</v>
      </c>
    </row>
    <row r="1090" spans="1:60" ht="14.5">
      <c r="A1090" s="990">
        <f t="shared" si="2030"/>
        <v>1003</v>
      </c>
      <c r="B1090" s="990">
        <v>1</v>
      </c>
      <c r="C1090" s="990">
        <f t="shared" ref="C1090:C1103" si="2032">ROW()-3</f>
        <v>1087</v>
      </c>
      <c r="E1090" s="1255">
        <v>1</v>
      </c>
      <c r="F1090" s="9"/>
      <c r="H1090" s="5"/>
      <c r="I1090" s="30"/>
      <c r="J1090" s="4"/>
      <c r="K1090" s="4"/>
      <c r="L1090" s="4"/>
      <c r="M1090" s="4"/>
      <c r="N1090" s="4" t="s">
        <v>946</v>
      </c>
      <c r="O1090" s="51"/>
      <c r="P1090" s="51"/>
      <c r="Q1090" s="1851" t="str">
        <f>CHOOSE(2, "6722000004008", "(3) IP from 3rd Party")</f>
        <v>(3) IP from 3rd Party</v>
      </c>
      <c r="R1090" s="49">
        <f>R1075</f>
        <v>7421</v>
      </c>
      <c r="S1090" s="49">
        <f t="shared" ref="S1090:AC1090" si="2033">S1075</f>
        <v>9995</v>
      </c>
      <c r="T1090" s="49">
        <f t="shared" si="2033"/>
        <v>7377.8522100000228</v>
      </c>
      <c r="U1090" s="49">
        <f t="shared" si="2033"/>
        <v>7343</v>
      </c>
      <c r="V1090" s="49">
        <f t="shared" si="2033"/>
        <v>7305</v>
      </c>
      <c r="W1090" s="49">
        <f t="shared" si="2033"/>
        <v>2067</v>
      </c>
      <c r="X1090" s="49">
        <f t="shared" si="2033"/>
        <v>7505.9961299999886</v>
      </c>
      <c r="Y1090" s="49">
        <f t="shared" si="2033"/>
        <v>7819</v>
      </c>
      <c r="Z1090" s="49">
        <f t="shared" si="2033"/>
        <v>8057.6291000000165</v>
      </c>
      <c r="AA1090" s="49">
        <f t="shared" si="2033"/>
        <v>5994.5671300000104</v>
      </c>
      <c r="AB1090" s="49">
        <f t="shared" si="2033"/>
        <v>6359.6463200000144</v>
      </c>
      <c r="AC1090" s="49">
        <f t="shared" si="2033"/>
        <v>10830.336350000023</v>
      </c>
      <c r="AD1090" s="1553">
        <f t="shared" ref="AD1090:AJ1090" si="2034">AD1075</f>
        <v>7377.8522100000228</v>
      </c>
      <c r="AE1090" s="49">
        <f t="shared" si="2034"/>
        <v>2067</v>
      </c>
      <c r="AF1090" s="49">
        <f t="shared" si="2034"/>
        <v>8057.6291000000165</v>
      </c>
      <c r="AG1090" s="49">
        <f t="shared" si="2034"/>
        <v>10830.336350000023</v>
      </c>
      <c r="AH1090" s="49">
        <f t="shared" si="2034"/>
        <v>2067</v>
      </c>
      <c r="AI1090" s="49">
        <f t="shared" si="2034"/>
        <v>10830.336350000023</v>
      </c>
      <c r="AJ1090" s="49">
        <f t="shared" si="2034"/>
        <v>10830.336350000023</v>
      </c>
      <c r="AL1090" s="2059">
        <f t="shared" ca="1" si="1999"/>
        <v>10830.336350000023</v>
      </c>
      <c r="AM1090" s="2059">
        <f t="shared" ca="1" si="2000"/>
        <v>0</v>
      </c>
      <c r="AN1090" s="1252">
        <f t="shared" ca="1" si="2001"/>
        <v>10830.336350000023</v>
      </c>
      <c r="AO1090" s="1253">
        <f t="shared" ca="1" si="2002"/>
        <v>0</v>
      </c>
      <c r="AP1090" s="2059">
        <f t="shared" ca="1" si="2003"/>
        <v>7369</v>
      </c>
      <c r="AQ1090" s="1252">
        <f t="shared" ca="1" si="2004"/>
        <v>3461.3363500000232</v>
      </c>
      <c r="AR1090" s="1253">
        <f t="shared" ca="1" si="2005"/>
        <v>1.4697158841091089</v>
      </c>
      <c r="AS1090" s="75"/>
      <c r="AT1090" s="2059">
        <f t="shared" ca="1" si="2006"/>
        <v>10830.336350000023</v>
      </c>
      <c r="AU1090" s="2059">
        <f t="shared" ca="1" si="2007"/>
        <v>0</v>
      </c>
      <c r="AV1090" s="1252">
        <f t="shared" ca="1" si="2008"/>
        <v>10830.336350000023</v>
      </c>
      <c r="AW1090" s="1253">
        <f t="shared" ca="1" si="2009"/>
        <v>0</v>
      </c>
      <c r="AX1090" s="2059">
        <f t="shared" ca="1" si="2010"/>
        <v>7369</v>
      </c>
      <c r="AY1090" s="1252">
        <f t="shared" ca="1" si="2011"/>
        <v>3461.3363500000232</v>
      </c>
      <c r="AZ1090" s="1253">
        <f t="shared" ca="1" si="2012"/>
        <v>1.4697158841091089</v>
      </c>
      <c r="BA1090" s="75"/>
      <c r="BB1090" s="2059">
        <f t="shared" ca="1" si="2013"/>
        <v>10830.336350000023</v>
      </c>
      <c r="BC1090" s="2059">
        <f t="shared" ca="1" si="2014"/>
        <v>0</v>
      </c>
      <c r="BD1090" s="1252">
        <f t="shared" ca="1" si="2015"/>
        <v>10830.336350000023</v>
      </c>
      <c r="BE1090" s="1253">
        <f t="shared" ca="1" si="2016"/>
        <v>0</v>
      </c>
      <c r="BF1090" s="2059">
        <f t="shared" ca="1" si="2017"/>
        <v>7369</v>
      </c>
      <c r="BG1090" s="1252">
        <f t="shared" ca="1" si="2018"/>
        <v>3461.3363500000232</v>
      </c>
      <c r="BH1090" s="1253">
        <f t="shared" ca="1" si="2019"/>
        <v>1.4697158841091089</v>
      </c>
    </row>
    <row r="1091" spans="1:60" ht="14.5">
      <c r="A1091" s="990">
        <f t="shared" si="2030"/>
        <v>1004</v>
      </c>
      <c r="B1091" s="990">
        <v>1</v>
      </c>
      <c r="C1091" s="990">
        <f t="shared" si="2032"/>
        <v>1088</v>
      </c>
      <c r="E1091" s="1255">
        <v>1</v>
      </c>
      <c r="F1091" s="9"/>
      <c r="H1091" s="5"/>
      <c r="I1091" s="30"/>
      <c r="J1091" s="4"/>
      <c r="K1091" s="4"/>
      <c r="L1091" s="4"/>
      <c r="M1091" s="4"/>
      <c r="N1091" s="4"/>
      <c r="O1091" s="1246" t="s">
        <v>1258</v>
      </c>
      <c r="P1091" s="4"/>
      <c r="Q1091" s="1852" t="str">
        <f>CHOOSE(2, "6722000004009", "(3) IP from 3rd Party KM-1/KM-1e")</f>
        <v>(3) IP from 3rd Party KM-1/KM-1e</v>
      </c>
      <c r="R1091" s="2159">
        <v>0</v>
      </c>
      <c r="S1091" s="2159">
        <v>0</v>
      </c>
      <c r="T1091" s="2159">
        <v>0</v>
      </c>
      <c r="U1091" s="2159">
        <v>0</v>
      </c>
      <c r="V1091" s="2159">
        <v>0</v>
      </c>
      <c r="W1091" s="2159">
        <v>0</v>
      </c>
      <c r="X1091" s="2091">
        <v>0</v>
      </c>
      <c r="Y1091" s="2091">
        <v>0</v>
      </c>
      <c r="Z1091" s="2091">
        <v>0</v>
      </c>
      <c r="AA1091" s="2091">
        <v>0</v>
      </c>
      <c r="AB1091" s="2091">
        <v>0</v>
      </c>
      <c r="AC1091" s="2091">
        <v>0</v>
      </c>
      <c r="AD1091" s="100">
        <f t="shared" ref="AD1091:AD1093" si="2035">T1091</f>
        <v>0</v>
      </c>
      <c r="AE1091" s="19">
        <f t="shared" ref="AE1091:AE1093" si="2036">W1091</f>
        <v>0</v>
      </c>
      <c r="AF1091" s="19">
        <f t="shared" ref="AF1091:AF1093" si="2037">Z1091</f>
        <v>0</v>
      </c>
      <c r="AG1091" s="19">
        <f t="shared" ref="AG1091:AG1093" si="2038">AC1091</f>
        <v>0</v>
      </c>
      <c r="AH1091" s="19">
        <f t="shared" ref="AH1091:AH1093" si="2039">AE1091</f>
        <v>0</v>
      </c>
      <c r="AI1091" s="19">
        <f t="shared" ref="AI1091:AI1093" si="2040">AG1091</f>
        <v>0</v>
      </c>
      <c r="AJ1091" s="19">
        <f t="shared" ref="AJ1091:AJ1093" si="2041">AI1091</f>
        <v>0</v>
      </c>
      <c r="AL1091" s="2097">
        <f t="shared" ca="1" si="1999"/>
        <v>0</v>
      </c>
      <c r="AM1091" s="2097">
        <f t="shared" ca="1" si="2000"/>
        <v>0</v>
      </c>
      <c r="AN1091" s="1248">
        <f t="shared" ca="1" si="2001"/>
        <v>0</v>
      </c>
      <c r="AO1091" s="1249">
        <f t="shared" ca="1" si="2002"/>
        <v>0</v>
      </c>
      <c r="AP1091" s="2097">
        <f t="shared" ca="1" si="2003"/>
        <v>0</v>
      </c>
      <c r="AQ1091" s="1248">
        <f t="shared" ca="1" si="2004"/>
        <v>0</v>
      </c>
      <c r="AR1091" s="1249">
        <f t="shared" ca="1" si="2005"/>
        <v>0</v>
      </c>
      <c r="AS1091" s="75"/>
      <c r="AT1091" s="2097">
        <f t="shared" ca="1" si="2006"/>
        <v>0</v>
      </c>
      <c r="AU1091" s="2097">
        <f t="shared" ca="1" si="2007"/>
        <v>0</v>
      </c>
      <c r="AV1091" s="1248">
        <f t="shared" ca="1" si="2008"/>
        <v>0</v>
      </c>
      <c r="AW1091" s="1249">
        <f t="shared" ca="1" si="2009"/>
        <v>0</v>
      </c>
      <c r="AX1091" s="2097">
        <f t="shared" ca="1" si="2010"/>
        <v>0</v>
      </c>
      <c r="AY1091" s="1248">
        <f t="shared" ca="1" si="2011"/>
        <v>0</v>
      </c>
      <c r="AZ1091" s="1249">
        <f t="shared" ca="1" si="2012"/>
        <v>0</v>
      </c>
      <c r="BA1091" s="75"/>
      <c r="BB1091" s="2097">
        <f t="shared" ca="1" si="2013"/>
        <v>0</v>
      </c>
      <c r="BC1091" s="2097">
        <f t="shared" ca="1" si="2014"/>
        <v>0</v>
      </c>
      <c r="BD1091" s="1248">
        <f t="shared" ca="1" si="2015"/>
        <v>0</v>
      </c>
      <c r="BE1091" s="1249">
        <f t="shared" ca="1" si="2016"/>
        <v>0</v>
      </c>
      <c r="BF1091" s="2097">
        <f t="shared" ca="1" si="2017"/>
        <v>0</v>
      </c>
      <c r="BG1091" s="1248">
        <f t="shared" ca="1" si="2018"/>
        <v>0</v>
      </c>
      <c r="BH1091" s="1249">
        <f t="shared" ca="1" si="2019"/>
        <v>0</v>
      </c>
    </row>
    <row r="1092" spans="1:60" ht="14.5">
      <c r="A1092" s="990">
        <f t="shared" si="2030"/>
        <v>1005</v>
      </c>
      <c r="B1092" s="990">
        <v>1</v>
      </c>
      <c r="C1092" s="990">
        <f t="shared" si="2032"/>
        <v>1089</v>
      </c>
      <c r="E1092" s="1255">
        <v>1</v>
      </c>
      <c r="F1092" s="9"/>
      <c r="H1092" s="5"/>
      <c r="I1092" s="30"/>
      <c r="J1092" s="4"/>
      <c r="K1092" s="4"/>
      <c r="L1092" s="4"/>
      <c r="M1092" s="4"/>
      <c r="N1092" s="4"/>
      <c r="O1092" s="1246" t="s">
        <v>943</v>
      </c>
      <c r="P1092" s="4"/>
      <c r="Q1092" s="1852" t="str">
        <f>CHOOSE(2, "6722000004010", "(3) IP from 3rd Party Label")</f>
        <v>(3) IP from 3rd Party Label</v>
      </c>
      <c r="R1092" s="2159">
        <v>0</v>
      </c>
      <c r="S1092" s="2159">
        <v>0</v>
      </c>
      <c r="T1092" s="2159">
        <v>0</v>
      </c>
      <c r="U1092" s="2159">
        <v>0</v>
      </c>
      <c r="V1092" s="2159">
        <v>0</v>
      </c>
      <c r="W1092" s="2159">
        <v>0</v>
      </c>
      <c r="X1092" s="2091">
        <v>0</v>
      </c>
      <c r="Y1092" s="2091">
        <v>0</v>
      </c>
      <c r="Z1092" s="2091">
        <v>0</v>
      </c>
      <c r="AA1092" s="2091">
        <v>0</v>
      </c>
      <c r="AB1092" s="2091">
        <v>0</v>
      </c>
      <c r="AC1092" s="2091">
        <v>0</v>
      </c>
      <c r="AD1092" s="100">
        <f t="shared" si="2035"/>
        <v>0</v>
      </c>
      <c r="AE1092" s="19">
        <f t="shared" si="2036"/>
        <v>0</v>
      </c>
      <c r="AF1092" s="19">
        <f t="shared" si="2037"/>
        <v>0</v>
      </c>
      <c r="AG1092" s="19">
        <f t="shared" si="2038"/>
        <v>0</v>
      </c>
      <c r="AH1092" s="19">
        <f t="shared" si="2039"/>
        <v>0</v>
      </c>
      <c r="AI1092" s="19">
        <f t="shared" si="2040"/>
        <v>0</v>
      </c>
      <c r="AJ1092" s="19">
        <f t="shared" si="2041"/>
        <v>0</v>
      </c>
      <c r="AL1092" s="2097">
        <f t="shared" ca="1" si="1999"/>
        <v>0</v>
      </c>
      <c r="AM1092" s="2097">
        <f t="shared" ca="1" si="2000"/>
        <v>0</v>
      </c>
      <c r="AN1092" s="1248">
        <f t="shared" ca="1" si="2001"/>
        <v>0</v>
      </c>
      <c r="AO1092" s="1249">
        <f t="shared" ca="1" si="2002"/>
        <v>0</v>
      </c>
      <c r="AP1092" s="2097">
        <f t="shared" ca="1" si="2003"/>
        <v>0</v>
      </c>
      <c r="AQ1092" s="1248">
        <f t="shared" ca="1" si="2004"/>
        <v>0</v>
      </c>
      <c r="AR1092" s="1249">
        <f t="shared" ca="1" si="2005"/>
        <v>0</v>
      </c>
      <c r="AS1092" s="75"/>
      <c r="AT1092" s="2097">
        <f t="shared" ca="1" si="2006"/>
        <v>0</v>
      </c>
      <c r="AU1092" s="2097">
        <f t="shared" ca="1" si="2007"/>
        <v>0</v>
      </c>
      <c r="AV1092" s="1248">
        <f t="shared" ca="1" si="2008"/>
        <v>0</v>
      </c>
      <c r="AW1092" s="1249">
        <f t="shared" ca="1" si="2009"/>
        <v>0</v>
      </c>
      <c r="AX1092" s="2097">
        <f t="shared" ca="1" si="2010"/>
        <v>0</v>
      </c>
      <c r="AY1092" s="1248">
        <f t="shared" ca="1" si="2011"/>
        <v>0</v>
      </c>
      <c r="AZ1092" s="1249">
        <f t="shared" ca="1" si="2012"/>
        <v>0</v>
      </c>
      <c r="BA1092" s="75"/>
      <c r="BB1092" s="2097">
        <f t="shared" ca="1" si="2013"/>
        <v>0</v>
      </c>
      <c r="BC1092" s="2097">
        <f t="shared" ca="1" si="2014"/>
        <v>0</v>
      </c>
      <c r="BD1092" s="1248">
        <f t="shared" ca="1" si="2015"/>
        <v>0</v>
      </c>
      <c r="BE1092" s="1249">
        <f t="shared" ca="1" si="2016"/>
        <v>0</v>
      </c>
      <c r="BF1092" s="2097">
        <f t="shared" ca="1" si="2017"/>
        <v>0</v>
      </c>
      <c r="BG1092" s="1248">
        <f t="shared" ca="1" si="2018"/>
        <v>0</v>
      </c>
      <c r="BH1092" s="1249">
        <f t="shared" ca="1" si="2019"/>
        <v>0</v>
      </c>
    </row>
    <row r="1093" spans="1:60" ht="14.5">
      <c r="A1093" s="990">
        <f t="shared" si="2030"/>
        <v>1006</v>
      </c>
      <c r="B1093" s="990">
        <v>1</v>
      </c>
      <c r="C1093" s="990">
        <f t="shared" si="2032"/>
        <v>1090</v>
      </c>
      <c r="E1093" s="1255">
        <v>1</v>
      </c>
      <c r="F1093" s="9"/>
      <c r="H1093" s="5"/>
      <c r="I1093" s="28"/>
      <c r="J1093" s="2"/>
      <c r="K1093" s="2"/>
      <c r="L1093" s="2"/>
      <c r="M1093" s="2"/>
      <c r="N1093" s="2"/>
      <c r="O1093" s="1247" t="s">
        <v>945</v>
      </c>
      <c r="P1093" s="2"/>
      <c r="Q1093" s="1851" t="str">
        <f>CHOOSE(2, "6722000004011", "(3) IP from 3rd Party Others")</f>
        <v>(3) IP from 3rd Party Others</v>
      </c>
      <c r="R1093" s="66">
        <f t="shared" ref="R1093:AC1093" si="2042">R1090-SUM(R1091:R1092)</f>
        <v>7421</v>
      </c>
      <c r="S1093" s="66">
        <f t="shared" si="2042"/>
        <v>9995</v>
      </c>
      <c r="T1093" s="66">
        <f t="shared" si="2042"/>
        <v>7377.8522100000228</v>
      </c>
      <c r="U1093" s="66">
        <f t="shared" si="2042"/>
        <v>7343</v>
      </c>
      <c r="V1093" s="66">
        <f t="shared" si="2042"/>
        <v>7305</v>
      </c>
      <c r="W1093" s="66">
        <f t="shared" si="2042"/>
        <v>2067</v>
      </c>
      <c r="X1093" s="17">
        <f t="shared" si="2042"/>
        <v>7505.9961299999886</v>
      </c>
      <c r="Y1093" s="17">
        <f t="shared" si="2042"/>
        <v>7819</v>
      </c>
      <c r="Z1093" s="17">
        <f t="shared" si="2042"/>
        <v>8057.6291000000165</v>
      </c>
      <c r="AA1093" s="17">
        <f t="shared" si="2042"/>
        <v>5994.5671300000104</v>
      </c>
      <c r="AB1093" s="17">
        <f t="shared" si="2042"/>
        <v>6359.6463200000144</v>
      </c>
      <c r="AC1093" s="17">
        <f t="shared" si="2042"/>
        <v>10830.336350000023</v>
      </c>
      <c r="AD1093" s="99">
        <f t="shared" si="2035"/>
        <v>7377.8522100000228</v>
      </c>
      <c r="AE1093" s="17">
        <f t="shared" si="2036"/>
        <v>2067</v>
      </c>
      <c r="AF1093" s="17">
        <f t="shared" si="2037"/>
        <v>8057.6291000000165</v>
      </c>
      <c r="AG1093" s="17">
        <f t="shared" si="2038"/>
        <v>10830.336350000023</v>
      </c>
      <c r="AH1093" s="17">
        <f t="shared" si="2039"/>
        <v>2067</v>
      </c>
      <c r="AI1093" s="17">
        <f t="shared" si="2040"/>
        <v>10830.336350000023</v>
      </c>
      <c r="AJ1093" s="17">
        <f t="shared" si="2041"/>
        <v>10830.336350000023</v>
      </c>
      <c r="AL1093" s="2098">
        <f t="shared" ca="1" si="1999"/>
        <v>10830.336350000023</v>
      </c>
      <c r="AM1093" s="2098">
        <f t="shared" ca="1" si="2000"/>
        <v>0</v>
      </c>
      <c r="AN1093" s="1250">
        <f t="shared" ca="1" si="2001"/>
        <v>10830.336350000023</v>
      </c>
      <c r="AO1093" s="1251">
        <f t="shared" ca="1" si="2002"/>
        <v>0</v>
      </c>
      <c r="AP1093" s="2098">
        <f t="shared" ca="1" si="2003"/>
        <v>7369</v>
      </c>
      <c r="AQ1093" s="1250">
        <f t="shared" ca="1" si="2004"/>
        <v>3461.3363500000232</v>
      </c>
      <c r="AR1093" s="1251">
        <f t="shared" ca="1" si="2005"/>
        <v>1.4697158841091089</v>
      </c>
      <c r="AS1093" s="75"/>
      <c r="AT1093" s="2098">
        <f t="shared" ca="1" si="2006"/>
        <v>10830.336350000023</v>
      </c>
      <c r="AU1093" s="2098">
        <f t="shared" ca="1" si="2007"/>
        <v>0</v>
      </c>
      <c r="AV1093" s="1250">
        <f t="shared" ca="1" si="2008"/>
        <v>10830.336350000023</v>
      </c>
      <c r="AW1093" s="1251">
        <f t="shared" ca="1" si="2009"/>
        <v>0</v>
      </c>
      <c r="AX1093" s="2098">
        <f t="shared" ca="1" si="2010"/>
        <v>7369</v>
      </c>
      <c r="AY1093" s="1250">
        <f t="shared" ca="1" si="2011"/>
        <v>3461.3363500000232</v>
      </c>
      <c r="AZ1093" s="1251">
        <f t="shared" ca="1" si="2012"/>
        <v>1.4697158841091089</v>
      </c>
      <c r="BA1093" s="75"/>
      <c r="BB1093" s="2098">
        <f t="shared" ca="1" si="2013"/>
        <v>10830.336350000023</v>
      </c>
      <c r="BC1093" s="2098">
        <f t="shared" ca="1" si="2014"/>
        <v>0</v>
      </c>
      <c r="BD1093" s="1250">
        <f t="shared" ca="1" si="2015"/>
        <v>10830.336350000023</v>
      </c>
      <c r="BE1093" s="1251">
        <f t="shared" ca="1" si="2016"/>
        <v>0</v>
      </c>
      <c r="BF1093" s="2098">
        <f t="shared" ca="1" si="2017"/>
        <v>7369</v>
      </c>
      <c r="BG1093" s="1250">
        <f t="shared" ca="1" si="2018"/>
        <v>3461.3363500000232</v>
      </c>
      <c r="BH1093" s="1251">
        <f t="shared" ca="1" si="2019"/>
        <v>1.4697158841091089</v>
      </c>
    </row>
    <row r="1094" spans="1:60" ht="14.5">
      <c r="A1094" s="990">
        <f t="shared" si="2030"/>
        <v>1007</v>
      </c>
      <c r="B1094" s="990">
        <v>1</v>
      </c>
      <c r="C1094" s="990">
        <f t="shared" si="2032"/>
        <v>1091</v>
      </c>
      <c r="E1094" s="1243">
        <v>1</v>
      </c>
      <c r="H1094" s="5"/>
      <c r="I1094" s="5"/>
      <c r="J1094" s="4"/>
      <c r="K1094" s="4"/>
      <c r="L1094" s="4"/>
      <c r="M1094" s="4"/>
      <c r="N1094" s="1245"/>
      <c r="O1094" s="4"/>
      <c r="P1094" s="4"/>
      <c r="Q1094" s="1839" t="str">
        <f>CHOOSE(2, "6722000004012", "▷ Blank 35")</f>
        <v>▷ Blank 35</v>
      </c>
      <c r="R1094" s="2225"/>
      <c r="S1094" s="1151"/>
      <c r="T1094" s="1151"/>
      <c r="U1094" s="1151"/>
      <c r="V1094" s="1151"/>
      <c r="W1094" s="1151"/>
    </row>
    <row r="1095" spans="1:60" ht="18">
      <c r="A1095" s="990">
        <f t="shared" si="2030"/>
        <v>1008</v>
      </c>
      <c r="B1095" s="990">
        <v>1</v>
      </c>
      <c r="C1095" s="990">
        <f t="shared" si="2032"/>
        <v>1092</v>
      </c>
      <c r="E1095" s="1243">
        <v>1</v>
      </c>
      <c r="F1095" s="314" t="s">
        <v>755</v>
      </c>
      <c r="G1095" s="314"/>
      <c r="Q1095" s="1838" t="str">
        <f>CHOOSE(2, "6722000004013", "5. One Rate / Free to Fee")</f>
        <v>5. One Rate / Free to Fee</v>
      </c>
      <c r="R1095" s="2200"/>
    </row>
    <row r="1096" spans="1:60" ht="15.5">
      <c r="A1096" s="990">
        <f t="shared" si="2030"/>
        <v>1009</v>
      </c>
      <c r="B1096" s="990">
        <v>1</v>
      </c>
      <c r="C1096" s="990">
        <f t="shared" si="2032"/>
        <v>1093</v>
      </c>
      <c r="E1096" s="1243">
        <v>1</v>
      </c>
      <c r="F1096" s="316"/>
      <c r="G1096" s="315" t="s">
        <v>726</v>
      </c>
      <c r="P1096" s="770" t="s">
        <v>769</v>
      </c>
      <c r="Q1096" s="1838" t="str">
        <f>CHOOSE(2, "6722000004014", "5-1. One Rate  (included in Office/ITS)")</f>
        <v>5-1. One Rate  (included in Office/ITS)</v>
      </c>
      <c r="R1096" s="2200"/>
    </row>
    <row r="1097" spans="1:60" ht="14.5">
      <c r="A1097" s="990">
        <f t="shared" si="2030"/>
        <v>1010</v>
      </c>
      <c r="B1097" s="990">
        <v>1</v>
      </c>
      <c r="C1097" s="990">
        <f t="shared" si="2032"/>
        <v>1094</v>
      </c>
      <c r="E1097" s="1243">
        <v>1</v>
      </c>
      <c r="F1097" s="316"/>
      <c r="I1097" s="746" t="s">
        <v>729</v>
      </c>
      <c r="J1097" s="747"/>
      <c r="K1097" s="747"/>
      <c r="L1097" s="747"/>
      <c r="M1097" s="747"/>
      <c r="N1097" s="747"/>
      <c r="O1097" s="747"/>
      <c r="P1097" s="757" t="s">
        <v>728</v>
      </c>
      <c r="Q1097" s="1847" t="str">
        <f>CHOOSE(2, "6722000004015", "Unit Sales (One Rate) (Unit)")</f>
        <v>Unit Sales (One Rate) (Unit)</v>
      </c>
      <c r="R1097" s="2102">
        <v>0</v>
      </c>
      <c r="S1097" s="2102">
        <v>0</v>
      </c>
      <c r="T1097" s="2102">
        <v>0</v>
      </c>
      <c r="U1097" s="2102">
        <v>0</v>
      </c>
      <c r="V1097" s="2102">
        <v>0</v>
      </c>
      <c r="W1097" s="2102">
        <v>0</v>
      </c>
      <c r="X1097" s="2102">
        <v>0</v>
      </c>
      <c r="Y1097" s="2102">
        <v>0</v>
      </c>
      <c r="Z1097" s="2102">
        <v>0</v>
      </c>
      <c r="AA1097" s="2102">
        <v>0</v>
      </c>
      <c r="AB1097" s="2102">
        <v>0</v>
      </c>
      <c r="AC1097" s="2102">
        <v>0</v>
      </c>
      <c r="AD1097" s="1563">
        <f>SUM(R1097,S1097,T1097)</f>
        <v>0</v>
      </c>
      <c r="AE1097" s="762">
        <f t="shared" ref="AE1097" si="2043">SUM(U1097,V1097,W1097)</f>
        <v>0</v>
      </c>
      <c r="AF1097" s="762">
        <f t="shared" ref="AF1097" si="2044">SUM(X1097,Y1097,Z1097)</f>
        <v>0</v>
      </c>
      <c r="AG1097" s="762">
        <f t="shared" ref="AG1097" si="2045">SUM(AA1097,AB1097,AC1097)</f>
        <v>0</v>
      </c>
      <c r="AH1097" s="762">
        <f>AD1097+AE1097</f>
        <v>0</v>
      </c>
      <c r="AI1097" s="762">
        <f>AG1097+AF1097</f>
        <v>0</v>
      </c>
      <c r="AJ1097" s="762">
        <f>AH1097+AI1097</f>
        <v>0</v>
      </c>
      <c r="AL1097" s="2571">
        <f ca="1">SUM((INDIRECT(AL$2&amp;(ROW())):INDIRECT(AL$3&amp;(ROW()))))</f>
        <v>0</v>
      </c>
      <c r="AM1097" s="2571">
        <f ca="1">SUM(INDIRECT(AM$1&amp;AM$2&amp;$C1097):INDIRECT(AM$1&amp;AM$3&amp;$C1097))</f>
        <v>0</v>
      </c>
      <c r="AN1097" s="2572">
        <f ca="1">AL1097-AM1097</f>
        <v>0</v>
      </c>
      <c r="AO1097" s="2573">
        <f ca="1">IFERROR(AL1097/AM1097,0)</f>
        <v>0</v>
      </c>
      <c r="AP1097" s="2571">
        <f ca="1">SUM(INDIRECT(AP$1&amp;AP$2&amp;$A1097):INDIRECT(AP$1&amp;AP$3&amp;$A1097))+SUM(INDIRECT(AP$1&amp;AP$2&amp;$B1097):INDIRECT(AP$1&amp;AP$3&amp;$B1097))</f>
        <v>0</v>
      </c>
      <c r="AQ1097" s="2572">
        <f ca="1">AL1097-AP1097</f>
        <v>0</v>
      </c>
      <c r="AR1097" s="2573">
        <f ca="1">IFERROR(AL1097/AP1097,0)</f>
        <v>0</v>
      </c>
      <c r="AT1097" s="2571">
        <f ca="1">SUM((INDIRECT(AT$2&amp;(ROW())):INDIRECT(AT$3&amp;(ROW()))))</f>
        <v>0</v>
      </c>
      <c r="AU1097" s="2571">
        <f ca="1">SUM(INDIRECT(AU$1&amp;AU$2&amp;$C1097):INDIRECT(AU$1&amp;AU$3&amp;$C1097))</f>
        <v>0</v>
      </c>
      <c r="AV1097" s="2572">
        <f ca="1">AT1097-AU1097</f>
        <v>0</v>
      </c>
      <c r="AW1097" s="2573">
        <f ca="1">IFERROR(AT1097/AU1097,0)</f>
        <v>0</v>
      </c>
      <c r="AX1097" s="2571">
        <f ca="1">SUM(INDIRECT(AX$1&amp;AX$2&amp;$A1097):INDIRECT(AX$1&amp;AX$3&amp;$A1097))+SUM(INDIRECT(AX$1&amp;AX$2&amp;$B1097):INDIRECT(AX$1&amp;AX$3&amp;$B1097))</f>
        <v>0</v>
      </c>
      <c r="AY1097" s="2572">
        <f ca="1">AT1097-AX1097</f>
        <v>0</v>
      </c>
      <c r="AZ1097" s="2573">
        <f ca="1">IFERROR(AT1097/AX1097,0)</f>
        <v>0</v>
      </c>
      <c r="BB1097" s="2571">
        <f ca="1">SUM((INDIRECT(BB$2&amp;(ROW())):INDIRECT(BB$3&amp;(ROW()))))</f>
        <v>0</v>
      </c>
      <c r="BC1097" s="2571">
        <f ca="1">SUM(INDIRECT(BC$1&amp;BC$2&amp;$C1097):INDIRECT(BC$1&amp;BC$3&amp;$C1097))</f>
        <v>0</v>
      </c>
      <c r="BD1097" s="2572">
        <f ca="1">BB1097-BC1097</f>
        <v>0</v>
      </c>
      <c r="BE1097" s="2573">
        <f ca="1">IFERROR(BB1097/BC1097,0)</f>
        <v>0</v>
      </c>
      <c r="BF1097" s="2571">
        <f ca="1">SUM(INDIRECT(BF$1&amp;BF$2&amp;$A1097):INDIRECT(BF$1&amp;BF$3&amp;$A1097))+SUM(INDIRECT(BF$1&amp;BF$2&amp;$B1097):INDIRECT(BF$1&amp;BF$3&amp;$B1097))</f>
        <v>0</v>
      </c>
      <c r="BG1097" s="2572">
        <f ca="1">BB1097-BF1097</f>
        <v>0</v>
      </c>
      <c r="BH1097" s="2573">
        <f ca="1">IFERROR(BB1097/BF1097,0)</f>
        <v>0</v>
      </c>
    </row>
    <row r="1098" spans="1:60" ht="14.5">
      <c r="A1098" s="990">
        <f t="shared" si="2030"/>
        <v>1011</v>
      </c>
      <c r="B1098" s="990">
        <v>1</v>
      </c>
      <c r="C1098" s="990">
        <f t="shared" si="2032"/>
        <v>1095</v>
      </c>
      <c r="E1098" s="1243">
        <v>1</v>
      </c>
      <c r="F1098" s="316"/>
      <c r="I1098" s="752" t="s">
        <v>730</v>
      </c>
      <c r="J1098" s="753"/>
      <c r="K1098" s="753"/>
      <c r="L1098" s="753"/>
      <c r="M1098" s="753"/>
      <c r="N1098" s="753"/>
      <c r="O1098" s="753"/>
      <c r="P1098" s="753"/>
      <c r="Q1098" s="1888" t="str">
        <f>CHOOSE(2, "6722000004016", "Net Sales (One Rate)")</f>
        <v>Net Sales (One Rate)</v>
      </c>
      <c r="R1098" s="754">
        <f>R1099+R1100</f>
        <v>0</v>
      </c>
      <c r="S1098" s="754">
        <f t="shared" ref="S1098:AC1098" si="2046">S1099+S1100</f>
        <v>0</v>
      </c>
      <c r="T1098" s="754">
        <f t="shared" si="2046"/>
        <v>0</v>
      </c>
      <c r="U1098" s="754">
        <f t="shared" si="2046"/>
        <v>0</v>
      </c>
      <c r="V1098" s="754">
        <f t="shared" si="2046"/>
        <v>0</v>
      </c>
      <c r="W1098" s="754">
        <f t="shared" si="2046"/>
        <v>0</v>
      </c>
      <c r="X1098" s="754">
        <f t="shared" si="2046"/>
        <v>0</v>
      </c>
      <c r="Y1098" s="754">
        <f t="shared" si="2046"/>
        <v>0</v>
      </c>
      <c r="Z1098" s="754">
        <f t="shared" si="2046"/>
        <v>0</v>
      </c>
      <c r="AA1098" s="754">
        <f t="shared" si="2046"/>
        <v>0</v>
      </c>
      <c r="AB1098" s="754">
        <f t="shared" si="2046"/>
        <v>0</v>
      </c>
      <c r="AC1098" s="754">
        <f t="shared" si="2046"/>
        <v>0</v>
      </c>
      <c r="AD1098" s="1564">
        <f>SUM(R1098:T1098)</f>
        <v>0</v>
      </c>
      <c r="AE1098" s="754">
        <f>SUM(U1098:W1098)</f>
        <v>0</v>
      </c>
      <c r="AF1098" s="754">
        <f>SUM(X1098:Z1098)</f>
        <v>0</v>
      </c>
      <c r="AG1098" s="754">
        <f>SUM(AA1098:AC1098)</f>
        <v>0</v>
      </c>
      <c r="AH1098" s="754">
        <f>AD1098+AE1098</f>
        <v>0</v>
      </c>
      <c r="AI1098" s="754">
        <f>AG1098+AF1098</f>
        <v>0</v>
      </c>
      <c r="AJ1098" s="754">
        <f>AH1098+AI1098</f>
        <v>0</v>
      </c>
      <c r="AL1098" s="754">
        <f ca="1">SUM((INDIRECT(AL$2&amp;(ROW())):INDIRECT(AL$3&amp;(ROW()))))</f>
        <v>0</v>
      </c>
      <c r="AM1098" s="754">
        <f ca="1">SUM(INDIRECT(AM$1&amp;AM$2&amp;$C1098):INDIRECT(AM$1&amp;AM$3&amp;$C1098))</f>
        <v>0</v>
      </c>
      <c r="AN1098" s="916">
        <f ca="1">AL1098-AM1098</f>
        <v>0</v>
      </c>
      <c r="AO1098" s="977">
        <f ca="1">IFERROR(AL1098/AM1098,0)</f>
        <v>0</v>
      </c>
      <c r="AP1098" s="754">
        <f ca="1">SUM(INDIRECT(AP$1&amp;AP$2&amp;$A1098):INDIRECT(AP$1&amp;AP$3&amp;$A1098))+SUM(INDIRECT(AP$1&amp;AP$2&amp;$B1098):INDIRECT(AP$1&amp;AP$3&amp;$B1098))</f>
        <v>0</v>
      </c>
      <c r="AQ1098" s="916">
        <f ca="1">AL1098-AP1098</f>
        <v>0</v>
      </c>
      <c r="AR1098" s="977">
        <f ca="1">IFERROR(AL1098/AP1098,0)</f>
        <v>0</v>
      </c>
      <c r="AT1098" s="754">
        <f ca="1">SUM((INDIRECT(AT$2&amp;(ROW())):INDIRECT(AT$3&amp;(ROW()))))</f>
        <v>0</v>
      </c>
      <c r="AU1098" s="754">
        <f ca="1">SUM(INDIRECT(AU$1&amp;AU$2&amp;$C1098):INDIRECT(AU$1&amp;AU$3&amp;$C1098))</f>
        <v>0</v>
      </c>
      <c r="AV1098" s="916">
        <f ca="1">AT1098-AU1098</f>
        <v>0</v>
      </c>
      <c r="AW1098" s="977">
        <f ca="1">IFERROR(AT1098/AU1098,0)</f>
        <v>0</v>
      </c>
      <c r="AX1098" s="754">
        <f ca="1">SUM(INDIRECT(AX$1&amp;AX$2&amp;$A1098):INDIRECT(AX$1&amp;AX$3&amp;$A1098))+SUM(INDIRECT(AX$1&amp;AX$2&amp;$B1098):INDIRECT(AX$1&amp;AX$3&amp;$B1098))</f>
        <v>0</v>
      </c>
      <c r="AY1098" s="916">
        <f ca="1">AT1098-AX1098</f>
        <v>0</v>
      </c>
      <c r="AZ1098" s="977">
        <f ca="1">IFERROR(AT1098/AX1098,0)</f>
        <v>0</v>
      </c>
      <c r="BB1098" s="754">
        <f ca="1">SUM((INDIRECT(BB$2&amp;(ROW())):INDIRECT(BB$3&amp;(ROW()))))</f>
        <v>0</v>
      </c>
      <c r="BC1098" s="754">
        <f ca="1">SUM(INDIRECT(BC$1&amp;BC$2&amp;$C1098):INDIRECT(BC$1&amp;BC$3&amp;$C1098))</f>
        <v>0</v>
      </c>
      <c r="BD1098" s="916">
        <f ca="1">BB1098-BC1098</f>
        <v>0</v>
      </c>
      <c r="BE1098" s="977">
        <f ca="1">IFERROR(BB1098/BC1098,0)</f>
        <v>0</v>
      </c>
      <c r="BF1098" s="754">
        <f ca="1">SUM(INDIRECT(BF$1&amp;BF$2&amp;$A1098):INDIRECT(BF$1&amp;BF$3&amp;$A1098))+SUM(INDIRECT(BF$1&amp;BF$2&amp;$B1098):INDIRECT(BF$1&amp;BF$3&amp;$B1098))</f>
        <v>0</v>
      </c>
      <c r="BG1098" s="916">
        <f ca="1">BB1098-BF1098</f>
        <v>0</v>
      </c>
      <c r="BH1098" s="977">
        <f ca="1">IFERROR(BB1098/BF1098,0)</f>
        <v>0</v>
      </c>
    </row>
    <row r="1099" spans="1:60" ht="14.5">
      <c r="A1099" s="990">
        <f t="shared" si="2030"/>
        <v>1012</v>
      </c>
      <c r="B1099" s="990">
        <v>1</v>
      </c>
      <c r="C1099" s="990">
        <f t="shared" si="2032"/>
        <v>1096</v>
      </c>
      <c r="E1099" s="1243">
        <v>1</v>
      </c>
      <c r="F1099" s="316"/>
      <c r="I1099" s="755"/>
      <c r="J1099" s="756" t="s">
        <v>723</v>
      </c>
      <c r="K1099" s="756"/>
      <c r="L1099" s="756"/>
      <c r="M1099" s="756"/>
      <c r="N1099" s="756"/>
      <c r="O1099" s="756"/>
      <c r="P1099" s="756"/>
      <c r="Q1099" s="1847" t="str">
        <f>CHOOSE(2, "6722000004017", "Net Sales (One Rate) HW(One Rate)")</f>
        <v>Net Sales (One Rate) HW(One Rate)</v>
      </c>
      <c r="R1099" s="2105">
        <v>0</v>
      </c>
      <c r="S1099" s="2105">
        <v>0</v>
      </c>
      <c r="T1099" s="2105">
        <v>0</v>
      </c>
      <c r="U1099" s="2105">
        <v>0</v>
      </c>
      <c r="V1099" s="2105">
        <v>0</v>
      </c>
      <c r="W1099" s="2105">
        <v>0</v>
      </c>
      <c r="X1099" s="2105">
        <v>0</v>
      </c>
      <c r="Y1099" s="2105">
        <v>0</v>
      </c>
      <c r="Z1099" s="2105">
        <v>0</v>
      </c>
      <c r="AA1099" s="2105">
        <v>0</v>
      </c>
      <c r="AB1099" s="2105">
        <v>0</v>
      </c>
      <c r="AC1099" s="2105">
        <v>0</v>
      </c>
      <c r="AD1099" s="1565">
        <f>SUM(R1099,S1099,T1099)</f>
        <v>0</v>
      </c>
      <c r="AE1099" s="760">
        <f t="shared" ref="AE1099:AE1100" si="2047">SUM(U1099,V1099,W1099)</f>
        <v>0</v>
      </c>
      <c r="AF1099" s="760">
        <f t="shared" ref="AF1099:AF1100" si="2048">SUM(X1099,Y1099,Z1099)</f>
        <v>0</v>
      </c>
      <c r="AG1099" s="760">
        <f t="shared" ref="AG1099:AG1100" si="2049">SUM(AA1099,AB1099,AC1099)</f>
        <v>0</v>
      </c>
      <c r="AH1099" s="760">
        <f>AD1099+AE1099</f>
        <v>0</v>
      </c>
      <c r="AI1099" s="760">
        <f>AG1099+AF1099</f>
        <v>0</v>
      </c>
      <c r="AJ1099" s="760">
        <f>AH1099+AI1099</f>
        <v>0</v>
      </c>
      <c r="AL1099" s="760">
        <f ca="1">SUM((INDIRECT(AL$2&amp;(ROW())):INDIRECT(AL$3&amp;(ROW()))))</f>
        <v>0</v>
      </c>
      <c r="AM1099" s="760">
        <f ca="1">SUM(INDIRECT(AM$1&amp;AM$2&amp;$C1099):INDIRECT(AM$1&amp;AM$3&amp;$C1099))</f>
        <v>0</v>
      </c>
      <c r="AN1099" s="917">
        <f ca="1">AL1099-AM1099</f>
        <v>0</v>
      </c>
      <c r="AO1099" s="978">
        <f ca="1">IFERROR(AL1099/AM1099,0)</f>
        <v>0</v>
      </c>
      <c r="AP1099" s="760">
        <f ca="1">SUM(INDIRECT(AP$1&amp;AP$2&amp;$A1099):INDIRECT(AP$1&amp;AP$3&amp;$A1099))+SUM(INDIRECT(AP$1&amp;AP$2&amp;$B1099):INDIRECT(AP$1&amp;AP$3&amp;$B1099))</f>
        <v>0</v>
      </c>
      <c r="AQ1099" s="917">
        <f ca="1">AL1099-AP1099</f>
        <v>0</v>
      </c>
      <c r="AR1099" s="978">
        <f ca="1">IFERROR(AL1099/AP1099,0)</f>
        <v>0</v>
      </c>
      <c r="AT1099" s="760">
        <f ca="1">SUM((INDIRECT(AT$2&amp;(ROW())):INDIRECT(AT$3&amp;(ROW()))))</f>
        <v>0</v>
      </c>
      <c r="AU1099" s="760">
        <f ca="1">SUM(INDIRECT(AU$1&amp;AU$2&amp;$C1099):INDIRECT(AU$1&amp;AU$3&amp;$C1099))</f>
        <v>0</v>
      </c>
      <c r="AV1099" s="917">
        <f ca="1">AT1099-AU1099</f>
        <v>0</v>
      </c>
      <c r="AW1099" s="978">
        <f ca="1">IFERROR(AT1099/AU1099,0)</f>
        <v>0</v>
      </c>
      <c r="AX1099" s="760">
        <f ca="1">SUM(INDIRECT(AX$1&amp;AX$2&amp;$A1099):INDIRECT(AX$1&amp;AX$3&amp;$A1099))+SUM(INDIRECT(AX$1&amp;AX$2&amp;$B1099):INDIRECT(AX$1&amp;AX$3&amp;$B1099))</f>
        <v>0</v>
      </c>
      <c r="AY1099" s="917">
        <f ca="1">AT1099-AX1099</f>
        <v>0</v>
      </c>
      <c r="AZ1099" s="978">
        <f ca="1">IFERROR(AT1099/AX1099,0)</f>
        <v>0</v>
      </c>
      <c r="BB1099" s="760">
        <f ca="1">SUM((INDIRECT(BB$2&amp;(ROW())):INDIRECT(BB$3&amp;(ROW()))))</f>
        <v>0</v>
      </c>
      <c r="BC1099" s="760">
        <f ca="1">SUM(INDIRECT(BC$1&amp;BC$2&amp;$C1099):INDIRECT(BC$1&amp;BC$3&amp;$C1099))</f>
        <v>0</v>
      </c>
      <c r="BD1099" s="917">
        <f ca="1">BB1099-BC1099</f>
        <v>0</v>
      </c>
      <c r="BE1099" s="978">
        <f ca="1">IFERROR(BB1099/BC1099,0)</f>
        <v>0</v>
      </c>
      <c r="BF1099" s="760">
        <f ca="1">SUM(INDIRECT(BF$1&amp;BF$2&amp;$A1099):INDIRECT(BF$1&amp;BF$3&amp;$A1099))+SUM(INDIRECT(BF$1&amp;BF$2&amp;$B1099):INDIRECT(BF$1&amp;BF$3&amp;$B1099))</f>
        <v>0</v>
      </c>
      <c r="BG1099" s="917">
        <f ca="1">BB1099-BF1099</f>
        <v>0</v>
      </c>
      <c r="BH1099" s="978">
        <f ca="1">IFERROR(BB1099/BF1099,0)</f>
        <v>0</v>
      </c>
    </row>
    <row r="1100" spans="1:60" ht="14.5">
      <c r="A1100" s="990">
        <f t="shared" si="2030"/>
        <v>1013</v>
      </c>
      <c r="B1100" s="990">
        <v>1</v>
      </c>
      <c r="C1100" s="990">
        <f t="shared" si="2032"/>
        <v>1097</v>
      </c>
      <c r="E1100" s="1243">
        <v>1</v>
      </c>
      <c r="F1100" s="316"/>
      <c r="I1100" s="751"/>
      <c r="J1100" s="748" t="s">
        <v>724</v>
      </c>
      <c r="K1100" s="748"/>
      <c r="L1100" s="748"/>
      <c r="M1100" s="748"/>
      <c r="N1100" s="748"/>
      <c r="O1100" s="748"/>
      <c r="P1100" s="748"/>
      <c r="Q1100" s="1847" t="str">
        <f>CHOOSE(2, "6722000004018", "Net Sales (One Rate) NH(One Rate)")</f>
        <v>Net Sales (One Rate) NH(One Rate)</v>
      </c>
      <c r="R1100" s="2106">
        <v>0</v>
      </c>
      <c r="S1100" s="2106">
        <v>0</v>
      </c>
      <c r="T1100" s="2106">
        <v>0</v>
      </c>
      <c r="U1100" s="2106">
        <v>0</v>
      </c>
      <c r="V1100" s="2106">
        <v>0</v>
      </c>
      <c r="W1100" s="2106">
        <v>0</v>
      </c>
      <c r="X1100" s="2106">
        <v>0</v>
      </c>
      <c r="Y1100" s="2106">
        <v>0</v>
      </c>
      <c r="Z1100" s="2106">
        <v>0</v>
      </c>
      <c r="AA1100" s="2106">
        <v>0</v>
      </c>
      <c r="AB1100" s="2106">
        <v>0</v>
      </c>
      <c r="AC1100" s="2106">
        <v>0</v>
      </c>
      <c r="AD1100" s="1566">
        <f>SUM(R1100,S1100,T1100)</f>
        <v>0</v>
      </c>
      <c r="AE1100" s="763">
        <f t="shared" si="2047"/>
        <v>0</v>
      </c>
      <c r="AF1100" s="763">
        <f t="shared" si="2048"/>
        <v>0</v>
      </c>
      <c r="AG1100" s="763">
        <f t="shared" si="2049"/>
        <v>0</v>
      </c>
      <c r="AH1100" s="763">
        <f>AD1100+AE1100</f>
        <v>0</v>
      </c>
      <c r="AI1100" s="763">
        <f>AG1100+AF1100</f>
        <v>0</v>
      </c>
      <c r="AJ1100" s="763">
        <f>AH1100+AI1100</f>
        <v>0</v>
      </c>
      <c r="AL1100" s="763">
        <f ca="1">SUM((INDIRECT(AL$2&amp;(ROW())):INDIRECT(AL$3&amp;(ROW()))))</f>
        <v>0</v>
      </c>
      <c r="AM1100" s="763">
        <f ca="1">SUM(INDIRECT(AM$1&amp;AM$2&amp;$C1100):INDIRECT(AM$1&amp;AM$3&amp;$C1100))</f>
        <v>0</v>
      </c>
      <c r="AN1100" s="918">
        <f ca="1">AL1100-AM1100</f>
        <v>0</v>
      </c>
      <c r="AO1100" s="979">
        <f ca="1">IFERROR(AL1100/AM1100,0)</f>
        <v>0</v>
      </c>
      <c r="AP1100" s="763">
        <f ca="1">SUM(INDIRECT(AP$1&amp;AP$2&amp;$A1100):INDIRECT(AP$1&amp;AP$3&amp;$A1100))+SUM(INDIRECT(AP$1&amp;AP$2&amp;$B1100):INDIRECT(AP$1&amp;AP$3&amp;$B1100))</f>
        <v>0</v>
      </c>
      <c r="AQ1100" s="918">
        <f ca="1">AL1100-AP1100</f>
        <v>0</v>
      </c>
      <c r="AR1100" s="979">
        <f ca="1">IFERROR(AL1100/AP1100,0)</f>
        <v>0</v>
      </c>
      <c r="AT1100" s="763">
        <f ca="1">SUM((INDIRECT(AT$2&amp;(ROW())):INDIRECT(AT$3&amp;(ROW()))))</f>
        <v>0</v>
      </c>
      <c r="AU1100" s="763">
        <f ca="1">SUM(INDIRECT(AU$1&amp;AU$2&amp;$C1100):INDIRECT(AU$1&amp;AU$3&amp;$C1100))</f>
        <v>0</v>
      </c>
      <c r="AV1100" s="918">
        <f ca="1">AT1100-AU1100</f>
        <v>0</v>
      </c>
      <c r="AW1100" s="979">
        <f ca="1">IFERROR(AT1100/AU1100,0)</f>
        <v>0</v>
      </c>
      <c r="AX1100" s="763">
        <f ca="1">SUM(INDIRECT(AX$1&amp;AX$2&amp;$A1100):INDIRECT(AX$1&amp;AX$3&amp;$A1100))+SUM(INDIRECT(AX$1&amp;AX$2&amp;$B1100):INDIRECT(AX$1&amp;AX$3&amp;$B1100))</f>
        <v>0</v>
      </c>
      <c r="AY1100" s="918">
        <f ca="1">AT1100-AX1100</f>
        <v>0</v>
      </c>
      <c r="AZ1100" s="979">
        <f ca="1">IFERROR(AT1100/AX1100,0)</f>
        <v>0</v>
      </c>
      <c r="BB1100" s="763">
        <f ca="1">SUM((INDIRECT(BB$2&amp;(ROW())):INDIRECT(BB$3&amp;(ROW()))))</f>
        <v>0</v>
      </c>
      <c r="BC1100" s="763">
        <f ca="1">SUM(INDIRECT(BC$1&amp;BC$2&amp;$C1100):INDIRECT(BC$1&amp;BC$3&amp;$C1100))</f>
        <v>0</v>
      </c>
      <c r="BD1100" s="918">
        <f ca="1">BB1100-BC1100</f>
        <v>0</v>
      </c>
      <c r="BE1100" s="979">
        <f ca="1">IFERROR(BB1100/BC1100,0)</f>
        <v>0</v>
      </c>
      <c r="BF1100" s="763">
        <f ca="1">SUM(INDIRECT(BF$1&amp;BF$2&amp;$A1100):INDIRECT(BF$1&amp;BF$3&amp;$A1100))+SUM(INDIRECT(BF$1&amp;BF$2&amp;$B1100):INDIRECT(BF$1&amp;BF$3&amp;$B1100))</f>
        <v>0</v>
      </c>
      <c r="BG1100" s="918">
        <f ca="1">BB1100-BF1100</f>
        <v>0</v>
      </c>
      <c r="BH1100" s="979">
        <f ca="1">IFERROR(BB1100/BF1100,0)</f>
        <v>0</v>
      </c>
    </row>
    <row r="1101" spans="1:60" ht="14.5">
      <c r="A1101" s="990">
        <f t="shared" si="2030"/>
        <v>1014</v>
      </c>
      <c r="B1101" s="990">
        <v>1</v>
      </c>
      <c r="C1101" s="990">
        <f t="shared" si="2032"/>
        <v>1098</v>
      </c>
      <c r="E1101" s="1243">
        <v>1</v>
      </c>
      <c r="F1101" s="316"/>
      <c r="I1101" s="24"/>
      <c r="J1101" s="75"/>
      <c r="K1101" s="24"/>
      <c r="L1101" s="24"/>
      <c r="M1101" s="75"/>
      <c r="N1101" s="75"/>
      <c r="O1101" s="75"/>
      <c r="P1101" s="75"/>
      <c r="Q1101" s="1838" t="str">
        <f>CHOOSE(2, "6722000004019", "▷ Blank 36")</f>
        <v>▷ Blank 36</v>
      </c>
      <c r="R1101" s="2200"/>
    </row>
    <row r="1102" spans="1:60" ht="15.5">
      <c r="A1102" s="990">
        <f t="shared" si="2030"/>
        <v>1015</v>
      </c>
      <c r="B1102" s="990">
        <v>1</v>
      </c>
      <c r="C1102" s="990">
        <f t="shared" si="2032"/>
        <v>1099</v>
      </c>
      <c r="E1102" s="1243">
        <v>1</v>
      </c>
      <c r="F1102" s="316"/>
      <c r="G1102" s="315" t="s">
        <v>727</v>
      </c>
      <c r="I1102" s="24"/>
      <c r="J1102" s="75"/>
      <c r="K1102" s="24"/>
      <c r="L1102" s="24"/>
      <c r="M1102" s="75"/>
      <c r="N1102" s="75"/>
      <c r="O1102" s="75"/>
      <c r="P1102" s="770" t="s">
        <v>769</v>
      </c>
      <c r="Q1102" s="1838" t="str">
        <f>CHOOSE(2, "6722000004020", "5-2. Free to Fee  (included in Office/ITS)")</f>
        <v>5-2. Free to Fee  (included in Office/ITS)</v>
      </c>
      <c r="R1102" s="2200"/>
    </row>
    <row r="1103" spans="1:60" ht="14.5">
      <c r="A1103" s="990">
        <f t="shared" si="2030"/>
        <v>1016</v>
      </c>
      <c r="B1103" s="990">
        <v>1</v>
      </c>
      <c r="C1103" s="990">
        <f t="shared" si="2032"/>
        <v>1100</v>
      </c>
      <c r="E1103" s="1243">
        <v>1</v>
      </c>
      <c r="F1103" s="316"/>
      <c r="I1103" s="749" t="s">
        <v>731</v>
      </c>
      <c r="J1103" s="750"/>
      <c r="K1103" s="750"/>
      <c r="L1103" s="750"/>
      <c r="M1103" s="750"/>
      <c r="N1103" s="750"/>
      <c r="O1103" s="750"/>
      <c r="P1103" s="750"/>
      <c r="Q1103" s="1847" t="str">
        <f>CHOOSE(2, "6722000004021", "Net Sales (Free to Fee)")</f>
        <v>Net Sales (Free to Fee)</v>
      </c>
      <c r="R1103" s="2102">
        <v>0</v>
      </c>
      <c r="S1103" s="2102">
        <v>0</v>
      </c>
      <c r="T1103" s="2102">
        <v>0</v>
      </c>
      <c r="U1103" s="2102">
        <v>0</v>
      </c>
      <c r="V1103" s="2102">
        <v>0</v>
      </c>
      <c r="W1103" s="2102">
        <v>0</v>
      </c>
      <c r="X1103" s="2102">
        <v>0</v>
      </c>
      <c r="Y1103" s="2102">
        <v>0</v>
      </c>
      <c r="Z1103" s="2102">
        <v>0</v>
      </c>
      <c r="AA1103" s="2102">
        <v>0</v>
      </c>
      <c r="AB1103" s="2102">
        <v>0</v>
      </c>
      <c r="AC1103" s="2102">
        <v>0</v>
      </c>
      <c r="AD1103" s="1563">
        <f>SUM(R1103,S1103,T1103)</f>
        <v>0</v>
      </c>
      <c r="AE1103" s="762">
        <f t="shared" ref="AE1103" si="2050">SUM(U1103,V1103,W1103)</f>
        <v>0</v>
      </c>
      <c r="AF1103" s="762">
        <f t="shared" ref="AF1103" si="2051">SUM(X1103,Y1103,Z1103)</f>
        <v>0</v>
      </c>
      <c r="AG1103" s="762">
        <f t="shared" ref="AG1103" si="2052">SUM(AA1103,AB1103,AC1103)</f>
        <v>0</v>
      </c>
      <c r="AH1103" s="762">
        <f>AD1103+AE1103</f>
        <v>0</v>
      </c>
      <c r="AI1103" s="762">
        <f>AG1103+AF1103</f>
        <v>0</v>
      </c>
      <c r="AJ1103" s="762">
        <f>AH1103+AI1103</f>
        <v>0</v>
      </c>
      <c r="AL1103" s="2571">
        <f ca="1">SUM((INDIRECT(AL$2&amp;(ROW())):INDIRECT(AL$3&amp;(ROW()))))</f>
        <v>0</v>
      </c>
      <c r="AM1103" s="2571">
        <f ca="1">SUM(INDIRECT(AM$1&amp;AM$2&amp;$C1103):INDIRECT(AM$1&amp;AM$3&amp;$C1103))</f>
        <v>0</v>
      </c>
      <c r="AN1103" s="2574">
        <f ca="1">AL1103-AM1103</f>
        <v>0</v>
      </c>
      <c r="AO1103" s="2573">
        <f ca="1">IFERROR(AL1103/AM1103,0)</f>
        <v>0</v>
      </c>
      <c r="AP1103" s="2571">
        <f ca="1">SUM(INDIRECT(AP$1&amp;AP$2&amp;$A1103):INDIRECT(AP$1&amp;AP$3&amp;$A1103))+SUM(INDIRECT(AP$1&amp;AP$2&amp;$B1103):INDIRECT(AP$1&amp;AP$3&amp;$B1103))</f>
        <v>0</v>
      </c>
      <c r="AQ1103" s="2574">
        <f ca="1">AL1103-AP1103</f>
        <v>0</v>
      </c>
      <c r="AR1103" s="2573">
        <f ca="1">IFERROR(AL1103/AP1103,0)</f>
        <v>0</v>
      </c>
      <c r="AT1103" s="2571">
        <f ca="1">SUM((INDIRECT(AT$2&amp;(ROW())):INDIRECT(AT$3&amp;(ROW()))))</f>
        <v>0</v>
      </c>
      <c r="AU1103" s="2571">
        <f ca="1">SUM(INDIRECT(AU$1&amp;AU$2&amp;$C1103):INDIRECT(AU$1&amp;AU$3&amp;$C1103))</f>
        <v>0</v>
      </c>
      <c r="AV1103" s="2574">
        <f ca="1">AT1103-AU1103</f>
        <v>0</v>
      </c>
      <c r="AW1103" s="2573">
        <f ca="1">IFERROR(AT1103/AU1103,0)</f>
        <v>0</v>
      </c>
      <c r="AX1103" s="2571">
        <f ca="1">SUM(INDIRECT(AX$1&amp;AX$2&amp;$A1103):INDIRECT(AX$1&amp;AX$3&amp;$A1103))+SUM(INDIRECT(AX$1&amp;AX$2&amp;$B1103):INDIRECT(AX$1&amp;AX$3&amp;$B1103))</f>
        <v>0</v>
      </c>
      <c r="AY1103" s="2574">
        <f ca="1">AT1103-AX1103</f>
        <v>0</v>
      </c>
      <c r="AZ1103" s="2573">
        <f ca="1">IFERROR(AT1103/AX1103,0)</f>
        <v>0</v>
      </c>
      <c r="BB1103" s="2571">
        <f ca="1">SUM((INDIRECT(BB$2&amp;(ROW())):INDIRECT(BB$3&amp;(ROW()))))</f>
        <v>0</v>
      </c>
      <c r="BC1103" s="2571">
        <f ca="1">SUM(INDIRECT(BC$1&amp;BC$2&amp;$C1103):INDIRECT(BC$1&amp;BC$3&amp;$C1103))</f>
        <v>0</v>
      </c>
      <c r="BD1103" s="2574">
        <f ca="1">BB1103-BC1103</f>
        <v>0</v>
      </c>
      <c r="BE1103" s="2573">
        <f ca="1">IFERROR(BB1103/BC1103,0)</f>
        <v>0</v>
      </c>
      <c r="BF1103" s="2571">
        <f ca="1">SUM(INDIRECT(BF$1&amp;BF$2&amp;$A1103):INDIRECT(BF$1&amp;BF$3&amp;$A1103))+SUM(INDIRECT(BF$1&amp;BF$2&amp;$B1103):INDIRECT(BF$1&amp;BF$3&amp;$B1103))</f>
        <v>0</v>
      </c>
      <c r="BG1103" s="2574">
        <f ca="1">BB1103-BF1103</f>
        <v>0</v>
      </c>
      <c r="BH1103" s="2573">
        <f ca="1">IFERROR(BB1103/BF1103,0)</f>
        <v>0</v>
      </c>
    </row>
    <row r="1104" spans="1:60" s="75" customFormat="1" ht="14.5">
      <c r="A1104" s="990">
        <f t="shared" si="2030"/>
        <v>1017</v>
      </c>
      <c r="B1104" s="990"/>
      <c r="C1104" s="990" t="s">
        <v>863</v>
      </c>
      <c r="D1104" s="1121" t="s">
        <v>887</v>
      </c>
      <c r="E1104" s="1243">
        <v>1</v>
      </c>
      <c r="F1104" s="316"/>
      <c r="G1104" s="316"/>
      <c r="H1104" s="563"/>
      <c r="I1104" s="282"/>
      <c r="J1104" s="282"/>
      <c r="K1104" s="282"/>
      <c r="L1104" s="275"/>
      <c r="M1104" s="24"/>
      <c r="Q1104" s="1886" t="str">
        <f>CHOOSE(2, "6722000004022", "▷ Blank 37")</f>
        <v>▷ Blank 37</v>
      </c>
      <c r="R1104" s="2227"/>
      <c r="S1104" s="2049"/>
      <c r="T1104" s="2049"/>
      <c r="U1104" s="2049"/>
      <c r="V1104" s="2049"/>
      <c r="W1104" s="2049"/>
      <c r="X1104" s="2049"/>
      <c r="Y1104" s="2049"/>
      <c r="Z1104" s="2049"/>
      <c r="AA1104" s="2049"/>
      <c r="AB1104" s="2049"/>
      <c r="AC1104" s="2049"/>
      <c r="AD1104" s="2049"/>
      <c r="AE1104" s="283"/>
      <c r="AF1104" s="283"/>
      <c r="AG1104" s="283"/>
      <c r="AH1104" s="283"/>
      <c r="AI1104" s="283"/>
      <c r="AJ1104" s="283"/>
    </row>
    <row r="1105" spans="1:36" ht="18">
      <c r="A1105" s="990">
        <v>1</v>
      </c>
      <c r="B1105" s="990">
        <v>1</v>
      </c>
      <c r="C1105" s="990" t="s">
        <v>863</v>
      </c>
      <c r="D1105" s="1121" t="s">
        <v>887</v>
      </c>
      <c r="E1105" s="1463" t="s">
        <v>1262</v>
      </c>
      <c r="F1105" s="1460" t="s">
        <v>1265</v>
      </c>
      <c r="G1105" s="314"/>
      <c r="Q1105" s="2813" t="e">
        <f t="shared" ref="Q1105" si="2053">Q1090+Q1098</f>
        <v>#VALUE!</v>
      </c>
      <c r="R1105" s="2200"/>
    </row>
    <row r="1106" spans="1:36" ht="14.5">
      <c r="A1106" s="990">
        <v>1</v>
      </c>
      <c r="B1106" s="990">
        <v>1</v>
      </c>
      <c r="C1106" s="990" t="s">
        <v>863</v>
      </c>
      <c r="D1106" s="1121" t="s">
        <v>887</v>
      </c>
      <c r="E1106" s="1463" t="s">
        <v>1262</v>
      </c>
      <c r="F1106" s="1461"/>
      <c r="G1106" s="24" t="s">
        <v>1266</v>
      </c>
      <c r="O1106" s="586" t="s">
        <v>479</v>
      </c>
      <c r="Q1106" s="1838" t="str">
        <f>CHOOSE(2, "6722000004024", "6-1. Detail of Purchase")</f>
        <v>6-1. Detail of Purchase</v>
      </c>
      <c r="R1106" s="2200"/>
    </row>
    <row r="1107" spans="1:36" s="197" customFormat="1" ht="14.5">
      <c r="A1107" s="990">
        <v>1</v>
      </c>
      <c r="B1107" s="990">
        <v>1</v>
      </c>
      <c r="C1107" s="990" t="s">
        <v>863</v>
      </c>
      <c r="D1107" s="1121" t="s">
        <v>887</v>
      </c>
      <c r="E1107" s="1463" t="s">
        <v>1262</v>
      </c>
      <c r="F1107" s="1453"/>
      <c r="G1107" s="585"/>
      <c r="I1107" s="1465" t="s">
        <v>1264</v>
      </c>
      <c r="J1107" s="205"/>
      <c r="K1107" s="205"/>
      <c r="L1107" s="205"/>
      <c r="M1107" s="204"/>
      <c r="N1107" s="204"/>
      <c r="O1107" s="204"/>
      <c r="P1107" s="204"/>
      <c r="Q1107" s="1889" t="str">
        <f>CHOOSE(2, "6722000004025", "▷ Blank 38")</f>
        <v>▷ Blank 38</v>
      </c>
      <c r="R1107" s="1935"/>
      <c r="S1107" s="9"/>
      <c r="T1107" s="196"/>
      <c r="U1107" s="198"/>
    </row>
    <row r="1108" spans="1:36" s="197" customFormat="1" ht="14.5">
      <c r="A1108" s="990">
        <v>1</v>
      </c>
      <c r="B1108" s="990">
        <v>1</v>
      </c>
      <c r="C1108" s="990" t="s">
        <v>863</v>
      </c>
      <c r="D1108" s="1121" t="s">
        <v>887</v>
      </c>
      <c r="E1108" s="1463" t="s">
        <v>1262</v>
      </c>
      <c r="F1108" s="1454"/>
      <c r="G1108" s="310"/>
      <c r="H1108" s="310"/>
      <c r="I1108" s="660" t="s">
        <v>438</v>
      </c>
      <c r="J1108" s="513"/>
      <c r="K1108" s="510"/>
      <c r="L1108" s="510"/>
      <c r="M1108" s="511"/>
      <c r="N1108" s="511"/>
      <c r="O1108" s="511"/>
      <c r="P1108" s="511"/>
      <c r="Q1108" s="1890" t="str">
        <f>CHOOSE(2, "6722000004026", "TPA")</f>
        <v>TPA</v>
      </c>
      <c r="R1108" s="2022">
        <f t="shared" ref="R1108:AC1108" si="2054">SUM(R1110,R1134,R1135,R1136)</f>
        <v>522883.87781999999</v>
      </c>
      <c r="S1108" s="2022">
        <f t="shared" si="2054"/>
        <v>605870.51039000007</v>
      </c>
      <c r="T1108" s="2022">
        <f t="shared" si="2054"/>
        <v>427467.67182639992</v>
      </c>
      <c r="U1108" s="2022">
        <f t="shared" si="2054"/>
        <v>663160.82662499999</v>
      </c>
      <c r="V1108" s="2022">
        <f t="shared" si="2054"/>
        <v>401695.44968999992</v>
      </c>
      <c r="W1108" s="2022">
        <f t="shared" si="2054"/>
        <v>601916.04891000001</v>
      </c>
      <c r="X1108" s="2022">
        <f t="shared" si="2054"/>
        <v>485918.24277899996</v>
      </c>
      <c r="Y1108" s="2022">
        <f t="shared" si="2054"/>
        <v>627354.90008039994</v>
      </c>
      <c r="Z1108" s="2022">
        <f t="shared" si="2054"/>
        <v>486884.81614599994</v>
      </c>
      <c r="AA1108" s="2022">
        <f t="shared" si="2054"/>
        <v>515012.62365999992</v>
      </c>
      <c r="AB1108" s="2022">
        <f t="shared" si="2054"/>
        <v>721690.12837000017</v>
      </c>
      <c r="AC1108" s="2022">
        <f t="shared" si="2054"/>
        <v>404757.07627000008</v>
      </c>
      <c r="AD1108" s="1567">
        <f>SUM(R1108:T1108)</f>
        <v>1556222.0600363999</v>
      </c>
      <c r="AE1108" s="1433">
        <f>SUM(U1108:W1108)</f>
        <v>1666772.3252249998</v>
      </c>
      <c r="AF1108" s="1433">
        <f>SUM(X1108:Z1108)</f>
        <v>1600157.9590053996</v>
      </c>
      <c r="AG1108" s="1433">
        <f>SUM(AA1108:AC1108)</f>
        <v>1641459.8283000002</v>
      </c>
      <c r="AH1108" s="1433">
        <f>SUM(AD1108:AE1108)</f>
        <v>3222994.3852613997</v>
      </c>
      <c r="AI1108" s="1433">
        <f>SUM(AF1108:AG1108)</f>
        <v>3241617.7873053998</v>
      </c>
      <c r="AJ1108" s="1433">
        <f>SUM(AH1108:AI1108)</f>
        <v>6464612.1725667994</v>
      </c>
    </row>
    <row r="1109" spans="1:36" s="197" customFormat="1" ht="14.5">
      <c r="A1109" s="990">
        <v>1</v>
      </c>
      <c r="B1109" s="990">
        <v>1</v>
      </c>
      <c r="C1109" s="990" t="s">
        <v>863</v>
      </c>
      <c r="D1109" s="1121" t="s">
        <v>887</v>
      </c>
      <c r="E1109" s="1463" t="s">
        <v>1262</v>
      </c>
      <c r="F1109" s="1462"/>
      <c r="G1109" s="309"/>
      <c r="H1109" s="309"/>
      <c r="I1109" s="514"/>
      <c r="J1109" s="661" t="s">
        <v>503</v>
      </c>
      <c r="K1109" s="501"/>
      <c r="L1109" s="501"/>
      <c r="M1109" s="502"/>
      <c r="N1109" s="662"/>
      <c r="O1109" s="502"/>
      <c r="P1109" s="502"/>
      <c r="Q1109" s="1891" t="str">
        <f>CHOOSE(2, "6722000004027", "TPA Total BT-G PA")</f>
        <v>TPA Total BT-G PA</v>
      </c>
      <c r="R1109" s="2021">
        <f t="shared" ref="R1109:AC1109" si="2055">R1110+R1134+R1135</f>
        <v>520305.48463000002</v>
      </c>
      <c r="S1109" s="2021">
        <f t="shared" si="2055"/>
        <v>580207.83039000002</v>
      </c>
      <c r="T1109" s="2021">
        <f t="shared" si="2055"/>
        <v>421571.12376999995</v>
      </c>
      <c r="U1109" s="2021">
        <f t="shared" si="2055"/>
        <v>651494.73959499993</v>
      </c>
      <c r="V1109" s="2021">
        <f t="shared" si="2055"/>
        <v>397051.64568999992</v>
      </c>
      <c r="W1109" s="2021">
        <f t="shared" si="2055"/>
        <v>595496.78781000001</v>
      </c>
      <c r="X1109" s="2021">
        <f t="shared" si="2055"/>
        <v>484355.11245399999</v>
      </c>
      <c r="Y1109" s="2021">
        <f t="shared" si="2055"/>
        <v>623302.13732999994</v>
      </c>
      <c r="Z1109" s="2021">
        <f t="shared" si="2055"/>
        <v>484118.75517399993</v>
      </c>
      <c r="AA1109" s="2021">
        <f t="shared" si="2055"/>
        <v>511615.19968999992</v>
      </c>
      <c r="AB1109" s="2021">
        <f t="shared" si="2055"/>
        <v>717394.22837000014</v>
      </c>
      <c r="AC1109" s="2021">
        <f t="shared" si="2055"/>
        <v>387991.00941000006</v>
      </c>
      <c r="AD1109" s="1568">
        <f>SUM(R1109:T1109)</f>
        <v>1522084.43879</v>
      </c>
      <c r="AE1109" s="1434">
        <f>SUM(U1109:W1109)</f>
        <v>1644043.173095</v>
      </c>
      <c r="AF1109" s="1434">
        <f>SUM(X1109:Z1109)</f>
        <v>1591776.004958</v>
      </c>
      <c r="AG1109" s="1434">
        <f>SUM(AA1109:AC1109)</f>
        <v>1617000.4374700002</v>
      </c>
      <c r="AH1109" s="1434">
        <f>SUM(AD1109:AE1109)</f>
        <v>3166127.611885</v>
      </c>
      <c r="AI1109" s="1434">
        <f>SUM(AF1109:AG1109)</f>
        <v>3208776.4424280003</v>
      </c>
      <c r="AJ1109" s="1434">
        <f>SUM(AH1109:AI1109)</f>
        <v>6374904.0543130003</v>
      </c>
    </row>
    <row r="1110" spans="1:36" s="197" customFormat="1" ht="14.5">
      <c r="A1110" s="990">
        <v>1</v>
      </c>
      <c r="B1110" s="990">
        <v>1</v>
      </c>
      <c r="C1110" s="990" t="s">
        <v>863</v>
      </c>
      <c r="D1110" s="1121" t="s">
        <v>887</v>
      </c>
      <c r="E1110" s="1463" t="s">
        <v>1262</v>
      </c>
      <c r="F1110" s="1454"/>
      <c r="G1110" s="310"/>
      <c r="H1110" s="310"/>
      <c r="I1110" s="506"/>
      <c r="J1110" s="505"/>
      <c r="K1110" s="518" t="s">
        <v>439</v>
      </c>
      <c r="L1110" s="522"/>
      <c r="M1110" s="529"/>
      <c r="N1110" s="529"/>
      <c r="O1110" s="529"/>
      <c r="P1110" s="529"/>
      <c r="Q1110" s="1892" t="str">
        <f>CHOOSE(2, "6722000004028", "TPA Total BT-G PA ①Supplier = BT")</f>
        <v>TPA Total BT-G PA ①Supplier = BT</v>
      </c>
      <c r="R1110" s="1995">
        <f t="shared" ref="R1110:AC1110" si="2056">R1111+R1120+R1129+R1132+R1133</f>
        <v>499510.40017000004</v>
      </c>
      <c r="S1110" s="1995">
        <f t="shared" si="2056"/>
        <v>533337.10016999999</v>
      </c>
      <c r="T1110" s="1995">
        <f t="shared" si="2056"/>
        <v>402270.62826999993</v>
      </c>
      <c r="U1110" s="1995">
        <f t="shared" si="2056"/>
        <v>630884.29184999992</v>
      </c>
      <c r="V1110" s="1995">
        <f t="shared" si="2056"/>
        <v>390624.89628999995</v>
      </c>
      <c r="W1110" s="1995">
        <f t="shared" si="2056"/>
        <v>577694.82490999997</v>
      </c>
      <c r="X1110" s="1995">
        <f t="shared" si="2056"/>
        <v>467296.52916999994</v>
      </c>
      <c r="Y1110" s="1995">
        <f t="shared" si="2056"/>
        <v>621020.52732999995</v>
      </c>
      <c r="Z1110" s="1995">
        <f t="shared" si="2056"/>
        <v>475606.91235999996</v>
      </c>
      <c r="AA1110" s="1995">
        <f t="shared" si="2056"/>
        <v>501454.44831999991</v>
      </c>
      <c r="AB1110" s="1995">
        <f t="shared" si="2056"/>
        <v>713265.78057000018</v>
      </c>
      <c r="AC1110" s="1995">
        <f t="shared" si="2056"/>
        <v>354999.20489000005</v>
      </c>
      <c r="AD1110" s="1569">
        <f t="shared" ref="AD1110:AJ1110" si="2057">AD1111+AD1120+AD1129+AD1132+AD1133</f>
        <v>1435118.12861</v>
      </c>
      <c r="AE1110" s="1435">
        <f t="shared" si="2057"/>
        <v>1599204.01305</v>
      </c>
      <c r="AF1110" s="1435">
        <f t="shared" si="2057"/>
        <v>1563923.9688599999</v>
      </c>
      <c r="AG1110" s="1435">
        <f t="shared" si="2057"/>
        <v>1569719.4337799998</v>
      </c>
      <c r="AH1110" s="1435">
        <f t="shared" si="2057"/>
        <v>3034322.1416599997</v>
      </c>
      <c r="AI1110" s="1435">
        <f t="shared" si="2057"/>
        <v>3133643.40264</v>
      </c>
      <c r="AJ1110" s="1435">
        <f t="shared" si="2057"/>
        <v>6167965.5442999993</v>
      </c>
    </row>
    <row r="1111" spans="1:36" s="197" customFormat="1" ht="14.5">
      <c r="A1111" s="990">
        <v>1</v>
      </c>
      <c r="B1111" s="990">
        <v>1</v>
      </c>
      <c r="C1111" s="990" t="s">
        <v>863</v>
      </c>
      <c r="D1111" s="1121" t="s">
        <v>887</v>
      </c>
      <c r="E1111" s="1463" t="s">
        <v>1262</v>
      </c>
      <c r="F1111" s="1454"/>
      <c r="G1111" s="500"/>
      <c r="H1111" s="500"/>
      <c r="I1111" s="506"/>
      <c r="J1111" s="504"/>
      <c r="K1111" s="663" t="s">
        <v>400</v>
      </c>
      <c r="L1111" s="524"/>
      <c r="M1111" s="525"/>
      <c r="N1111" s="525"/>
      <c r="O1111" s="525"/>
      <c r="P1111" s="525"/>
      <c r="Q1111" s="1892" t="str">
        <f>CHOOSE(2, "6722000004029", "TPA Total BT-G PA (1) Office")</f>
        <v>TPA Total BT-G PA (1) Office</v>
      </c>
      <c r="R1111" s="1436">
        <f t="shared" ref="R1111:AC1111" si="2058">R1112+R1116</f>
        <v>117838.65737</v>
      </c>
      <c r="S1111" s="1436">
        <f t="shared" si="2058"/>
        <v>143041.85399999999</v>
      </c>
      <c r="T1111" s="1436">
        <f t="shared" si="2058"/>
        <v>130231.13675000001</v>
      </c>
      <c r="U1111" s="1436">
        <f t="shared" si="2058"/>
        <v>209462.28473000001</v>
      </c>
      <c r="V1111" s="1436">
        <f t="shared" si="2058"/>
        <v>145946.06989000001</v>
      </c>
      <c r="W1111" s="1436">
        <f t="shared" si="2058"/>
        <v>216905.01378000001</v>
      </c>
      <c r="X1111" s="1436">
        <f t="shared" si="2058"/>
        <v>133177.23604000002</v>
      </c>
      <c r="Y1111" s="1436">
        <f t="shared" si="2058"/>
        <v>194544.29459000003</v>
      </c>
      <c r="Z1111" s="1436">
        <f t="shared" si="2058"/>
        <v>175496.84118000002</v>
      </c>
      <c r="AA1111" s="1436">
        <f t="shared" si="2058"/>
        <v>199222.52066000001</v>
      </c>
      <c r="AB1111" s="1436">
        <f t="shared" si="2058"/>
        <v>229973.68180000002</v>
      </c>
      <c r="AC1111" s="1436">
        <f t="shared" si="2058"/>
        <v>121580.72789000001</v>
      </c>
      <c r="AD1111" s="1570">
        <f t="shared" ref="AD1111:AJ1111" si="2059">AD1112+AD1116</f>
        <v>391111.64811999997</v>
      </c>
      <c r="AE1111" s="1436">
        <f t="shared" si="2059"/>
        <v>572313.36840000004</v>
      </c>
      <c r="AF1111" s="1436">
        <f t="shared" si="2059"/>
        <v>503218.37180999998</v>
      </c>
      <c r="AG1111" s="1436">
        <f t="shared" si="2059"/>
        <v>550776.93035000004</v>
      </c>
      <c r="AH1111" s="1436">
        <f t="shared" si="2059"/>
        <v>963425.01652000006</v>
      </c>
      <c r="AI1111" s="1436">
        <f t="shared" si="2059"/>
        <v>1053995.30216</v>
      </c>
      <c r="AJ1111" s="1436">
        <f t="shared" si="2059"/>
        <v>2017420.31868</v>
      </c>
    </row>
    <row r="1112" spans="1:36" s="197" customFormat="1" ht="14.5">
      <c r="A1112" s="990">
        <v>1</v>
      </c>
      <c r="B1112" s="990">
        <v>1</v>
      </c>
      <c r="C1112" s="990" t="s">
        <v>863</v>
      </c>
      <c r="D1112" s="1121" t="s">
        <v>887</v>
      </c>
      <c r="E1112" s="1463" t="s">
        <v>1262</v>
      </c>
      <c r="F1112" s="1454"/>
      <c r="G1112" s="500"/>
      <c r="H1112" s="500"/>
      <c r="I1112" s="506"/>
      <c r="J1112" s="503"/>
      <c r="K1112" s="519"/>
      <c r="L1112" s="494" t="s">
        <v>401</v>
      </c>
      <c r="M1112" s="1429"/>
      <c r="N1112" s="1419"/>
      <c r="O1112" s="1419"/>
      <c r="P1112" s="1419"/>
      <c r="Q1112" s="1893" t="str">
        <f>CHOOSE(2, "6722000004030", "TPA Total BT-G PA (1) Office RR")</f>
        <v>TPA Total BT-G PA (1) Office RR</v>
      </c>
      <c r="R1112" s="1437">
        <f t="shared" ref="R1112" si="2060">SUM(R1113:R1115)</f>
        <v>113472.367</v>
      </c>
      <c r="S1112" s="1437">
        <f t="shared" ref="S1112:AC1112" si="2061">SUM(S1113:S1115)</f>
        <v>139925.766</v>
      </c>
      <c r="T1112" s="1437">
        <f t="shared" si="2061"/>
        <v>126763.826</v>
      </c>
      <c r="U1112" s="1437">
        <f t="shared" si="2061"/>
        <v>205956.01400000002</v>
      </c>
      <c r="V1112" s="1437">
        <f t="shared" si="2061"/>
        <v>141269.65700000001</v>
      </c>
      <c r="W1112" s="1437">
        <f t="shared" si="2061"/>
        <v>211053.253</v>
      </c>
      <c r="X1112" s="1437">
        <f t="shared" si="2061"/>
        <v>126577.85400000001</v>
      </c>
      <c r="Y1112" s="1437">
        <f t="shared" si="2061"/>
        <v>188244.54200000002</v>
      </c>
      <c r="Z1112" s="1437">
        <f t="shared" si="2061"/>
        <v>168921.08900000001</v>
      </c>
      <c r="AA1112" s="1437">
        <f t="shared" si="2061"/>
        <v>195343.09700000001</v>
      </c>
      <c r="AB1112" s="1437">
        <f t="shared" si="2061"/>
        <v>222120.52300000002</v>
      </c>
      <c r="AC1112" s="1437">
        <f t="shared" si="2061"/>
        <v>115827.04100000001</v>
      </c>
      <c r="AD1112" s="1571">
        <f t="shared" ref="AD1112:AJ1112" si="2062">SUM(AD1113:AD1115)</f>
        <v>380161.95899999997</v>
      </c>
      <c r="AE1112" s="1437">
        <f t="shared" si="2062"/>
        <v>558278.924</v>
      </c>
      <c r="AF1112" s="1437">
        <f t="shared" si="2062"/>
        <v>483743.48499999999</v>
      </c>
      <c r="AG1112" s="1437">
        <f t="shared" si="2062"/>
        <v>533290.66100000008</v>
      </c>
      <c r="AH1112" s="1437">
        <f t="shared" si="2062"/>
        <v>938440.88300000003</v>
      </c>
      <c r="AI1112" s="1437">
        <f t="shared" si="2062"/>
        <v>1017034.1459999999</v>
      </c>
      <c r="AJ1112" s="1437">
        <f t="shared" si="2062"/>
        <v>1955475.0290000001</v>
      </c>
    </row>
    <row r="1113" spans="1:36" s="197" customFormat="1" ht="14.5">
      <c r="A1113" s="990">
        <v>1</v>
      </c>
      <c r="B1113" s="990">
        <v>1</v>
      </c>
      <c r="C1113" s="990" t="s">
        <v>863</v>
      </c>
      <c r="D1113" s="1121" t="s">
        <v>887</v>
      </c>
      <c r="E1113" s="1463" t="s">
        <v>1262</v>
      </c>
      <c r="F1113" s="1454"/>
      <c r="G1113" s="310"/>
      <c r="H1113" s="310"/>
      <c r="I1113" s="506"/>
      <c r="J1113" s="503"/>
      <c r="K1113" s="519"/>
      <c r="L1113" s="1427"/>
      <c r="M1113" s="1430"/>
      <c r="N1113" s="496" t="s">
        <v>152</v>
      </c>
      <c r="O1113" s="1420"/>
      <c r="P1113" s="1420"/>
      <c r="Q1113" s="1894" t="str">
        <f>CHOOSE(2, "6722000004031", "TPA Total BT-G PA (1) Office RR Machine")</f>
        <v>TPA Total BT-G PA (1) Office RR Machine</v>
      </c>
      <c r="R1113" s="1936">
        <v>74055.649999999994</v>
      </c>
      <c r="S1113" s="1936">
        <v>89872.020999999993</v>
      </c>
      <c r="T1113" s="1936">
        <v>90122.138000000006</v>
      </c>
      <c r="U1113" s="1936">
        <v>144623.24100000001</v>
      </c>
      <c r="V1113" s="1936">
        <v>85144.857000000004</v>
      </c>
      <c r="W1113" s="1936">
        <v>154056.37</v>
      </c>
      <c r="X1113" s="1936">
        <v>71553.888000000006</v>
      </c>
      <c r="Y1113" s="1936">
        <v>141734.47200000001</v>
      </c>
      <c r="Z1113" s="1936">
        <v>104283.709</v>
      </c>
      <c r="AA1113" s="1936">
        <v>157034.65400000001</v>
      </c>
      <c r="AB1113" s="1936">
        <v>152191.78400000001</v>
      </c>
      <c r="AC1113" s="1936">
        <v>77503.528000000006</v>
      </c>
      <c r="AD1113" s="1572">
        <f>SUM(R1113,S1113,T1113)</f>
        <v>254049.80899999998</v>
      </c>
      <c r="AE1113" s="1438">
        <f t="shared" ref="AE1113:AE1115" si="2063">SUM(U1113,V1113,W1113)</f>
        <v>383824.46799999999</v>
      </c>
      <c r="AF1113" s="1438">
        <f t="shared" ref="AF1113:AF1115" si="2064">SUM(X1113,Y1113,Z1113)</f>
        <v>317572.06900000002</v>
      </c>
      <c r="AG1113" s="1438">
        <f t="shared" ref="AG1113:AG1115" si="2065">SUM(AA1113,AB1113,AC1113)</f>
        <v>386729.96600000001</v>
      </c>
      <c r="AH1113" s="1438">
        <f t="shared" ref="AH1113:AH1115" si="2066">AD1113+AE1113</f>
        <v>637874.277</v>
      </c>
      <c r="AI1113" s="1438">
        <f t="shared" ref="AI1113:AI1115" si="2067">AG1113+AF1113</f>
        <v>704302.03500000003</v>
      </c>
      <c r="AJ1113" s="1438">
        <f t="shared" ref="AJ1113:AJ1115" si="2068">AH1113+AI1113</f>
        <v>1342176.3119999999</v>
      </c>
    </row>
    <row r="1114" spans="1:36" s="197" customFormat="1" ht="14.5">
      <c r="A1114" s="990">
        <v>1</v>
      </c>
      <c r="B1114" s="990">
        <v>1</v>
      </c>
      <c r="C1114" s="990" t="s">
        <v>863</v>
      </c>
      <c r="D1114" s="1121" t="s">
        <v>887</v>
      </c>
      <c r="E1114" s="1463" t="s">
        <v>1262</v>
      </c>
      <c r="F1114" s="1454"/>
      <c r="G1114" s="310"/>
      <c r="H1114" s="310"/>
      <c r="I1114" s="506"/>
      <c r="J1114" s="503"/>
      <c r="K1114" s="519"/>
      <c r="L1114" s="1427"/>
      <c r="M1114" s="1430"/>
      <c r="N1114" s="497" t="s">
        <v>151</v>
      </c>
      <c r="O1114" s="1421"/>
      <c r="P1114" s="1421"/>
      <c r="Q1114" s="1894" t="str">
        <f>CHOOSE(2, "6722000004032", "TPA Total BT-G PA (1) Office RR Option")</f>
        <v>TPA Total BT-G PA (1) Office RR Option</v>
      </c>
      <c r="R1114" s="1937">
        <v>10706.806</v>
      </c>
      <c r="S1114" s="1937">
        <v>8368.125</v>
      </c>
      <c r="T1114" s="1937">
        <v>3050.453</v>
      </c>
      <c r="U1114" s="1937">
        <v>19572.656999999999</v>
      </c>
      <c r="V1114" s="1937">
        <v>13584.476000000001</v>
      </c>
      <c r="W1114" s="1937">
        <v>25947.734</v>
      </c>
      <c r="X1114" s="1937">
        <v>18840.919999999998</v>
      </c>
      <c r="Y1114" s="1937">
        <v>10346.089</v>
      </c>
      <c r="Z1114" s="1937">
        <v>36459.461000000003</v>
      </c>
      <c r="AA1114" s="1937">
        <v>11151.31</v>
      </c>
      <c r="AB1114" s="1937">
        <v>15960.981</v>
      </c>
      <c r="AC1114" s="1937">
        <v>5151.5010000000002</v>
      </c>
      <c r="AD1114" s="1573">
        <f>SUM(R1114,S1114,T1114)</f>
        <v>22125.384000000002</v>
      </c>
      <c r="AE1114" s="1439">
        <f t="shared" si="2063"/>
        <v>59104.866999999998</v>
      </c>
      <c r="AF1114" s="1439">
        <f t="shared" si="2064"/>
        <v>65646.47</v>
      </c>
      <c r="AG1114" s="1439">
        <f t="shared" si="2065"/>
        <v>32263.791999999998</v>
      </c>
      <c r="AH1114" s="1439">
        <f t="shared" si="2066"/>
        <v>81230.251000000004</v>
      </c>
      <c r="AI1114" s="1439">
        <f t="shared" si="2067"/>
        <v>97910.262000000002</v>
      </c>
      <c r="AJ1114" s="1439">
        <f t="shared" si="2068"/>
        <v>179140.51300000001</v>
      </c>
    </row>
    <row r="1115" spans="1:36" s="197" customFormat="1" ht="14.5">
      <c r="A1115" s="990">
        <v>1</v>
      </c>
      <c r="B1115" s="990">
        <v>1</v>
      </c>
      <c r="C1115" s="990" t="s">
        <v>863</v>
      </c>
      <c r="D1115" s="1121" t="s">
        <v>887</v>
      </c>
      <c r="E1115" s="1463" t="s">
        <v>1262</v>
      </c>
      <c r="F1115" s="1454"/>
      <c r="G1115" s="310"/>
      <c r="H1115" s="310"/>
      <c r="I1115" s="506"/>
      <c r="J1115" s="503"/>
      <c r="K1115" s="519"/>
      <c r="L1115" s="1428"/>
      <c r="M1115" s="1431"/>
      <c r="N1115" s="498" t="s">
        <v>150</v>
      </c>
      <c r="O1115" s="1422"/>
      <c r="P1115" s="1422"/>
      <c r="Q1115" s="1894" t="str">
        <f>CHOOSE(2, "6722000004033", "TPA Total BT-G PA (1) Office RR Supplies")</f>
        <v>TPA Total BT-G PA (1) Office RR Supplies</v>
      </c>
      <c r="R1115" s="1938">
        <v>28709.911</v>
      </c>
      <c r="S1115" s="1938">
        <v>41685.620000000003</v>
      </c>
      <c r="T1115" s="1938">
        <v>33591.235000000001</v>
      </c>
      <c r="U1115" s="1938">
        <v>41760.116000000002</v>
      </c>
      <c r="V1115" s="1938">
        <v>42540.324000000001</v>
      </c>
      <c r="W1115" s="1938">
        <v>31049.149000000001</v>
      </c>
      <c r="X1115" s="1938">
        <v>36183.046000000002</v>
      </c>
      <c r="Y1115" s="1938">
        <v>36163.981</v>
      </c>
      <c r="Z1115" s="1938">
        <v>28177.919000000002</v>
      </c>
      <c r="AA1115" s="1938">
        <v>27157.133000000002</v>
      </c>
      <c r="AB1115" s="1938">
        <v>53967.758000000002</v>
      </c>
      <c r="AC1115" s="1938">
        <v>33172.012000000002</v>
      </c>
      <c r="AD1115" s="1574">
        <f>SUM(R1115,S1115,T1115)</f>
        <v>103986.766</v>
      </c>
      <c r="AE1115" s="1440">
        <f t="shared" si="2063"/>
        <v>115349.58900000001</v>
      </c>
      <c r="AF1115" s="1440">
        <f t="shared" si="2064"/>
        <v>100524.946</v>
      </c>
      <c r="AG1115" s="1440">
        <f t="shared" si="2065"/>
        <v>114296.90300000001</v>
      </c>
      <c r="AH1115" s="1440">
        <f t="shared" si="2066"/>
        <v>219336.35500000001</v>
      </c>
      <c r="AI1115" s="1440">
        <f t="shared" si="2067"/>
        <v>214821.84899999999</v>
      </c>
      <c r="AJ1115" s="1440">
        <f t="shared" si="2068"/>
        <v>434158.20400000003</v>
      </c>
    </row>
    <row r="1116" spans="1:36" s="197" customFormat="1" ht="14.5">
      <c r="A1116" s="990">
        <v>1</v>
      </c>
      <c r="B1116" s="990">
        <v>1</v>
      </c>
      <c r="C1116" s="990" t="s">
        <v>863</v>
      </c>
      <c r="D1116" s="1121" t="s">
        <v>887</v>
      </c>
      <c r="E1116" s="1463" t="s">
        <v>1262</v>
      </c>
      <c r="F1116" s="1454"/>
      <c r="G1116" s="500"/>
      <c r="H1116" s="500"/>
      <c r="I1116" s="506"/>
      <c r="J1116" s="503"/>
      <c r="K1116" s="519"/>
      <c r="L1116" s="494" t="s">
        <v>402</v>
      </c>
      <c r="N1116" s="495"/>
      <c r="O1116" s="1422"/>
      <c r="P1116" s="1422"/>
      <c r="Q1116" s="1893" t="str">
        <f>CHOOSE(2, "6722000004034", "TPA Total BT-G PA (1) Office Non-RR")</f>
        <v>TPA Total BT-G PA (1) Office Non-RR</v>
      </c>
      <c r="R1116" s="1440">
        <f t="shared" ref="R1116:AC1116" si="2069">SUM(R1117:R1119)</f>
        <v>4366.2903700000043</v>
      </c>
      <c r="S1116" s="1440">
        <f t="shared" si="2069"/>
        <v>3116.0880000000002</v>
      </c>
      <c r="T1116" s="1440">
        <f t="shared" si="2069"/>
        <v>3467.3107499999969</v>
      </c>
      <c r="U1116" s="1440">
        <f t="shared" si="2069"/>
        <v>3506.2707299999997</v>
      </c>
      <c r="V1116" s="1440">
        <f t="shared" si="2069"/>
        <v>4676.4128900000005</v>
      </c>
      <c r="W1116" s="1440">
        <f t="shared" si="2069"/>
        <v>5851.7607800000014</v>
      </c>
      <c r="X1116" s="1440">
        <f t="shared" si="2069"/>
        <v>6599.3820399999986</v>
      </c>
      <c r="Y1116" s="1440">
        <f t="shared" si="2069"/>
        <v>6299.7525900000064</v>
      </c>
      <c r="Z1116" s="1440">
        <f t="shared" si="2069"/>
        <v>6575.752180000005</v>
      </c>
      <c r="AA1116" s="1440">
        <f t="shared" si="2069"/>
        <v>3879.4236600000013</v>
      </c>
      <c r="AB1116" s="1440">
        <f t="shared" si="2069"/>
        <v>7853.158800000002</v>
      </c>
      <c r="AC1116" s="1440">
        <f t="shared" si="2069"/>
        <v>5753.6868899999981</v>
      </c>
      <c r="AD1116" s="1574">
        <f t="shared" ref="AD1116:AJ1116" si="2070">SUM(AD1117:AD1119)</f>
        <v>10949.689120000001</v>
      </c>
      <c r="AE1116" s="1440">
        <f t="shared" si="2070"/>
        <v>14034.4444</v>
      </c>
      <c r="AF1116" s="1440">
        <f t="shared" si="2070"/>
        <v>19474.886810000011</v>
      </c>
      <c r="AG1116" s="1440">
        <f t="shared" si="2070"/>
        <v>17486.269350000002</v>
      </c>
      <c r="AH1116" s="1440">
        <f t="shared" si="2070"/>
        <v>24984.133520000003</v>
      </c>
      <c r="AI1116" s="1440">
        <f t="shared" si="2070"/>
        <v>36961.156160000013</v>
      </c>
      <c r="AJ1116" s="1440">
        <f t="shared" si="2070"/>
        <v>61945.289680000016</v>
      </c>
    </row>
    <row r="1117" spans="1:36" s="197" customFormat="1" ht="14.5">
      <c r="A1117" s="990">
        <v>1</v>
      </c>
      <c r="B1117" s="990">
        <v>1</v>
      </c>
      <c r="C1117" s="990" t="s">
        <v>863</v>
      </c>
      <c r="D1117" s="1121" t="s">
        <v>887</v>
      </c>
      <c r="E1117" s="1463" t="s">
        <v>1262</v>
      </c>
      <c r="F1117" s="1454"/>
      <c r="G1117" s="310"/>
      <c r="H1117" s="310"/>
      <c r="I1117" s="506"/>
      <c r="J1117" s="503"/>
      <c r="K1117" s="519"/>
      <c r="L1117" s="1427"/>
      <c r="M1117" s="1430"/>
      <c r="N1117" s="496" t="s">
        <v>403</v>
      </c>
      <c r="O1117" s="1420"/>
      <c r="P1117" s="1420"/>
      <c r="Q1117" s="1894" t="str">
        <f>CHOOSE(2, "6722000004035", "TPA Total BT-G PA (1) Office Non-RR Others")</f>
        <v>TPA Total BT-G PA (1) Office Non-RR Others</v>
      </c>
      <c r="R1117" s="1936">
        <v>0</v>
      </c>
      <c r="S1117" s="1936">
        <v>0</v>
      </c>
      <c r="T1117" s="1936">
        <v>0</v>
      </c>
      <c r="U1117" s="1936">
        <v>0</v>
      </c>
      <c r="V1117" s="1936">
        <v>0</v>
      </c>
      <c r="W1117" s="1936">
        <v>0</v>
      </c>
      <c r="X1117" s="1936">
        <v>0</v>
      </c>
      <c r="Y1117" s="1936">
        <v>0</v>
      </c>
      <c r="Z1117" s="1936">
        <v>0</v>
      </c>
      <c r="AA1117" s="1936">
        <v>0</v>
      </c>
      <c r="AB1117" s="1936">
        <v>0</v>
      </c>
      <c r="AC1117" s="1936">
        <v>0</v>
      </c>
      <c r="AD1117" s="1572">
        <f>SUM(R1117,S1117,T1117)</f>
        <v>0</v>
      </c>
      <c r="AE1117" s="1438">
        <f t="shared" ref="AE1117:AE1119" si="2071">SUM(U1117,V1117,W1117)</f>
        <v>0</v>
      </c>
      <c r="AF1117" s="1438">
        <f t="shared" ref="AF1117:AF1119" si="2072">SUM(X1117,Y1117,Z1117)</f>
        <v>0</v>
      </c>
      <c r="AG1117" s="1438">
        <f t="shared" ref="AG1117:AG1119" si="2073">SUM(AA1117,AB1117,AC1117)</f>
        <v>0</v>
      </c>
      <c r="AH1117" s="1438">
        <f t="shared" ref="AH1117:AH1119" si="2074">AD1117+AE1117</f>
        <v>0</v>
      </c>
      <c r="AI1117" s="1438">
        <f t="shared" ref="AI1117:AI1119" si="2075">AG1117+AF1117</f>
        <v>0</v>
      </c>
      <c r="AJ1117" s="1438">
        <f t="shared" ref="AJ1117:AJ1119" si="2076">AH1117+AI1117</f>
        <v>0</v>
      </c>
    </row>
    <row r="1118" spans="1:36" s="197" customFormat="1" ht="14.5">
      <c r="A1118" s="990">
        <v>1</v>
      </c>
      <c r="B1118" s="990">
        <v>1</v>
      </c>
      <c r="C1118" s="990" t="s">
        <v>863</v>
      </c>
      <c r="D1118" s="1121" t="s">
        <v>887</v>
      </c>
      <c r="E1118" s="1463" t="s">
        <v>1262</v>
      </c>
      <c r="F1118" s="1454"/>
      <c r="G1118" s="310"/>
      <c r="H1118" s="310"/>
      <c r="I1118" s="506"/>
      <c r="J1118" s="503"/>
      <c r="K1118" s="519"/>
      <c r="L1118" s="1427"/>
      <c r="M1118" s="1430"/>
      <c r="N1118" s="497" t="s">
        <v>404</v>
      </c>
      <c r="O1118" s="1421"/>
      <c r="P1118" s="1421"/>
      <c r="Q1118" s="1894" t="str">
        <f>CHOOSE(2, "6722000004036", "TPA Total BT-G PA (1) Office Non-RR BT Support/Discount")</f>
        <v>TPA Total BT-G PA (1) Office Non-RR BT Support/Discount</v>
      </c>
      <c r="R1118" s="1937">
        <v>0</v>
      </c>
      <c r="S1118" s="1937">
        <v>0</v>
      </c>
      <c r="T1118" s="1937">
        <v>0</v>
      </c>
      <c r="U1118" s="1937">
        <v>0</v>
      </c>
      <c r="V1118" s="1937">
        <v>0</v>
      </c>
      <c r="W1118" s="1937">
        <v>0</v>
      </c>
      <c r="X1118" s="1937">
        <v>0</v>
      </c>
      <c r="Y1118" s="1937">
        <v>0</v>
      </c>
      <c r="Z1118" s="1937">
        <v>0</v>
      </c>
      <c r="AA1118" s="1937">
        <v>0</v>
      </c>
      <c r="AB1118" s="1937">
        <v>0</v>
      </c>
      <c r="AC1118" s="1937">
        <v>0</v>
      </c>
      <c r="AD1118" s="1573">
        <f>SUM(R1118,S1118,T1118)</f>
        <v>0</v>
      </c>
      <c r="AE1118" s="1439">
        <f t="shared" si="2071"/>
        <v>0</v>
      </c>
      <c r="AF1118" s="1439">
        <f t="shared" si="2072"/>
        <v>0</v>
      </c>
      <c r="AG1118" s="1439">
        <f t="shared" si="2073"/>
        <v>0</v>
      </c>
      <c r="AH1118" s="1439">
        <f t="shared" si="2074"/>
        <v>0</v>
      </c>
      <c r="AI1118" s="1439">
        <f t="shared" si="2075"/>
        <v>0</v>
      </c>
      <c r="AJ1118" s="1439">
        <f t="shared" si="2076"/>
        <v>0</v>
      </c>
    </row>
    <row r="1119" spans="1:36" s="197" customFormat="1" ht="14.5">
      <c r="A1119" s="990">
        <v>1</v>
      </c>
      <c r="B1119" s="990">
        <v>1</v>
      </c>
      <c r="C1119" s="990" t="s">
        <v>863</v>
      </c>
      <c r="D1119" s="1121" t="s">
        <v>887</v>
      </c>
      <c r="E1119" s="1463" t="s">
        <v>1262</v>
      </c>
      <c r="F1119" s="1454"/>
      <c r="G1119" s="310"/>
      <c r="H1119" s="310"/>
      <c r="I1119" s="506"/>
      <c r="J1119" s="503"/>
      <c r="K1119" s="520"/>
      <c r="L1119" s="1428"/>
      <c r="M1119" s="1432"/>
      <c r="N1119" s="499" t="s">
        <v>405</v>
      </c>
      <c r="O1119" s="1423"/>
      <c r="P1119" s="1423"/>
      <c r="Q1119" s="1894" t="str">
        <f>CHOOSE(2, "6722000004037", "TPA Total BT-G PA (1) Office Non-RR Parts")</f>
        <v>TPA Total BT-G PA (1) Office Non-RR Parts</v>
      </c>
      <c r="R1119" s="1939">
        <v>4366.2903700000043</v>
      </c>
      <c r="S1119" s="1939">
        <v>3116.0880000000002</v>
      </c>
      <c r="T1119" s="1939">
        <v>3467.3107499999969</v>
      </c>
      <c r="U1119" s="1939">
        <v>3506.2707299999997</v>
      </c>
      <c r="V1119" s="1939">
        <v>4676.4128900000005</v>
      </c>
      <c r="W1119" s="1939">
        <v>5851.7607800000014</v>
      </c>
      <c r="X1119" s="1939">
        <v>6599.3820399999986</v>
      </c>
      <c r="Y1119" s="1939">
        <v>6299.7525900000064</v>
      </c>
      <c r="Z1119" s="1939">
        <v>6575.752180000005</v>
      </c>
      <c r="AA1119" s="1939">
        <v>3879.4236600000013</v>
      </c>
      <c r="AB1119" s="1939">
        <v>7853.158800000002</v>
      </c>
      <c r="AC1119" s="1939">
        <v>5753.6868899999981</v>
      </c>
      <c r="AD1119" s="1575">
        <f>SUM(R1119,S1119,T1119)</f>
        <v>10949.689120000001</v>
      </c>
      <c r="AE1119" s="1441">
        <f t="shared" si="2071"/>
        <v>14034.4444</v>
      </c>
      <c r="AF1119" s="1441">
        <f t="shared" si="2072"/>
        <v>19474.886810000011</v>
      </c>
      <c r="AG1119" s="1441">
        <f t="shared" si="2073"/>
        <v>17486.269350000002</v>
      </c>
      <c r="AH1119" s="1441">
        <f t="shared" si="2074"/>
        <v>24984.133520000003</v>
      </c>
      <c r="AI1119" s="1441">
        <f t="shared" si="2075"/>
        <v>36961.156160000013</v>
      </c>
      <c r="AJ1119" s="1441">
        <f t="shared" si="2076"/>
        <v>61945.289680000016</v>
      </c>
    </row>
    <row r="1120" spans="1:36" s="197" customFormat="1" ht="14.5">
      <c r="A1120" s="990">
        <v>1</v>
      </c>
      <c r="B1120" s="990">
        <v>1</v>
      </c>
      <c r="C1120" s="990" t="s">
        <v>863</v>
      </c>
      <c r="D1120" s="1121" t="s">
        <v>887</v>
      </c>
      <c r="E1120" s="1463" t="s">
        <v>1262</v>
      </c>
      <c r="F1120" s="1454"/>
      <c r="G1120" s="500"/>
      <c r="H1120" s="500"/>
      <c r="I1120" s="507"/>
      <c r="J1120" s="504"/>
      <c r="K1120" s="663" t="s">
        <v>593</v>
      </c>
      <c r="L1120" s="524"/>
      <c r="M1120" s="525"/>
      <c r="N1120" s="525"/>
      <c r="O1120" s="525"/>
      <c r="P1120" s="525"/>
      <c r="Q1120" s="1892" t="str">
        <f>CHOOSE(2, "6722000004038", "TPA Total BT-G PA (2) PP")</f>
        <v>TPA Total BT-G PA (2) PP</v>
      </c>
      <c r="R1120" s="1436">
        <f t="shared" ref="R1120:AC1120" si="2077">R1121+R1125</f>
        <v>380891.81681000005</v>
      </c>
      <c r="S1120" s="1436">
        <f t="shared" si="2077"/>
        <v>389351.22116999998</v>
      </c>
      <c r="T1120" s="1436">
        <f t="shared" si="2077"/>
        <v>269288.85857999994</v>
      </c>
      <c r="U1120" s="1436">
        <f t="shared" si="2077"/>
        <v>420512.00711999997</v>
      </c>
      <c r="V1120" s="1436">
        <f t="shared" si="2077"/>
        <v>243787.80246999988</v>
      </c>
      <c r="W1120" s="1436">
        <f t="shared" si="2077"/>
        <v>359763.81112999999</v>
      </c>
      <c r="X1120" s="1436">
        <f t="shared" si="2077"/>
        <v>334060.06027999992</v>
      </c>
      <c r="Y1120" s="1436">
        <f t="shared" si="2077"/>
        <v>424863.73931999999</v>
      </c>
      <c r="Z1120" s="1436">
        <f t="shared" si="2077"/>
        <v>299641.36375999992</v>
      </c>
      <c r="AA1120" s="1436">
        <f t="shared" si="2077"/>
        <v>301484.48089999991</v>
      </c>
      <c r="AB1120" s="1436">
        <f t="shared" si="2077"/>
        <v>404770.91677000013</v>
      </c>
      <c r="AC1120" s="1436">
        <f t="shared" si="2077"/>
        <v>215862.16179000001</v>
      </c>
      <c r="AD1120" s="1570">
        <f t="shared" ref="AD1120:AJ1120" si="2078">AD1121+AD1125</f>
        <v>1039531.89656</v>
      </c>
      <c r="AE1120" s="1436">
        <f t="shared" si="2078"/>
        <v>1024063.6207199999</v>
      </c>
      <c r="AF1120" s="1436">
        <f t="shared" si="2078"/>
        <v>1058565.1633599999</v>
      </c>
      <c r="AG1120" s="1436">
        <f t="shared" si="2078"/>
        <v>922117.5594599999</v>
      </c>
      <c r="AH1120" s="1436">
        <f t="shared" si="2078"/>
        <v>2063595.5172799998</v>
      </c>
      <c r="AI1120" s="1436">
        <f t="shared" si="2078"/>
        <v>1980682.7228199998</v>
      </c>
      <c r="AJ1120" s="1436">
        <f t="shared" si="2078"/>
        <v>4044278.2400999996</v>
      </c>
    </row>
    <row r="1121" spans="1:36" s="197" customFormat="1" ht="14.5">
      <c r="A1121" s="990">
        <v>1</v>
      </c>
      <c r="B1121" s="990">
        <v>1</v>
      </c>
      <c r="C1121" s="990" t="s">
        <v>863</v>
      </c>
      <c r="D1121" s="1121" t="s">
        <v>887</v>
      </c>
      <c r="E1121" s="1463" t="s">
        <v>1262</v>
      </c>
      <c r="F1121" s="1454"/>
      <c r="G1121" s="500"/>
      <c r="H1121" s="500"/>
      <c r="I1121" s="506"/>
      <c r="J1121" s="503"/>
      <c r="K1121" s="519"/>
      <c r="L1121" s="494" t="s">
        <v>401</v>
      </c>
      <c r="N1121" s="495"/>
      <c r="O1121" s="1419"/>
      <c r="P1121" s="1419"/>
      <c r="Q1121" s="1893" t="str">
        <f>CHOOSE(2, "6722000004039", "TPA Total BT-G PA (2) PP RR")</f>
        <v>TPA Total BT-G PA (2) PP RR</v>
      </c>
      <c r="R1121" s="1437">
        <f t="shared" ref="R1121:AC1121" si="2079">SUM(R1122:R1124)</f>
        <v>363214.66700000002</v>
      </c>
      <c r="S1121" s="1437">
        <f t="shared" si="2079"/>
        <v>341793.01199999999</v>
      </c>
      <c r="T1121" s="1437">
        <f t="shared" si="2079"/>
        <v>228893.39199999999</v>
      </c>
      <c r="U1121" s="1437">
        <f t="shared" si="2079"/>
        <v>384482.12699999998</v>
      </c>
      <c r="V1121" s="1437">
        <f t="shared" si="2079"/>
        <v>193790.7</v>
      </c>
      <c r="W1121" s="1437">
        <f t="shared" si="2079"/>
        <v>321972.06900000002</v>
      </c>
      <c r="X1121" s="1437">
        <f t="shared" si="2079"/>
        <v>282005.57699999999</v>
      </c>
      <c r="Y1121" s="1437">
        <f t="shared" si="2079"/>
        <v>377088.70600000001</v>
      </c>
      <c r="Z1121" s="1437">
        <f t="shared" si="2079"/>
        <v>260410.59599999999</v>
      </c>
      <c r="AA1121" s="1437">
        <f t="shared" si="2079"/>
        <v>242272.18500000003</v>
      </c>
      <c r="AB1121" s="1437">
        <f t="shared" si="2079"/>
        <v>333176.41500000004</v>
      </c>
      <c r="AC1121" s="1437">
        <f t="shared" si="2079"/>
        <v>163178.23199999999</v>
      </c>
      <c r="AD1121" s="1571">
        <f t="shared" ref="AD1121:AJ1121" si="2080">SUM(AD1122:AD1124)</f>
        <v>933901.071</v>
      </c>
      <c r="AE1121" s="1437">
        <f t="shared" si="2080"/>
        <v>900244.89600000007</v>
      </c>
      <c r="AF1121" s="1437">
        <f t="shared" si="2080"/>
        <v>919504.87899999996</v>
      </c>
      <c r="AG1121" s="1437">
        <f t="shared" si="2080"/>
        <v>738626.83199999994</v>
      </c>
      <c r="AH1121" s="1437">
        <f t="shared" si="2080"/>
        <v>1834145.9669999999</v>
      </c>
      <c r="AI1121" s="1437">
        <f t="shared" si="2080"/>
        <v>1658131.7109999999</v>
      </c>
      <c r="AJ1121" s="1437">
        <f t="shared" si="2080"/>
        <v>3492277.6779999998</v>
      </c>
    </row>
    <row r="1122" spans="1:36" s="197" customFormat="1" ht="14.5">
      <c r="A1122" s="990">
        <v>1</v>
      </c>
      <c r="B1122" s="990">
        <v>1</v>
      </c>
      <c r="C1122" s="990" t="s">
        <v>863</v>
      </c>
      <c r="D1122" s="1121" t="s">
        <v>887</v>
      </c>
      <c r="E1122" s="1463" t="s">
        <v>1262</v>
      </c>
      <c r="F1122" s="1454"/>
      <c r="G1122" s="310"/>
      <c r="H1122" s="310"/>
      <c r="I1122" s="506"/>
      <c r="J1122" s="503"/>
      <c r="K1122" s="519"/>
      <c r="L1122" s="1427"/>
      <c r="M1122" s="1430"/>
      <c r="N1122" s="496" t="s">
        <v>152</v>
      </c>
      <c r="O1122" s="1420"/>
      <c r="P1122" s="1420"/>
      <c r="Q1122" s="1894" t="str">
        <f>CHOOSE(2, "6722000004040", "TPA Total BT-G PA (2) PP RR Machine")</f>
        <v>TPA Total BT-G PA (2) PP RR Machine</v>
      </c>
      <c r="R1122" s="1936">
        <v>98521.282999999996</v>
      </c>
      <c r="S1122" s="1936">
        <v>88642.195999999996</v>
      </c>
      <c r="T1122" s="1936">
        <v>37528.097000000002</v>
      </c>
      <c r="U1122" s="1936">
        <v>94794.964999999997</v>
      </c>
      <c r="V1122" s="1936">
        <v>49876.796999999999</v>
      </c>
      <c r="W1122" s="1936">
        <v>85073.296000000002</v>
      </c>
      <c r="X1122" s="1936">
        <v>67148.009999999995</v>
      </c>
      <c r="Y1122" s="1936">
        <v>117479.5</v>
      </c>
      <c r="Z1122" s="1936">
        <v>32784.898999999998</v>
      </c>
      <c r="AA1122" s="1936">
        <v>87913.926000000007</v>
      </c>
      <c r="AB1122" s="1936">
        <v>75335.400999999998</v>
      </c>
      <c r="AC1122" s="1936">
        <v>27468.45</v>
      </c>
      <c r="AD1122" s="1572">
        <f>SUM(R1122,S1122,T1122)</f>
        <v>224691.576</v>
      </c>
      <c r="AE1122" s="1438">
        <f t="shared" ref="AE1122:AE1124" si="2081">SUM(U1122,V1122,W1122)</f>
        <v>229745.05799999999</v>
      </c>
      <c r="AF1122" s="1438">
        <f t="shared" ref="AF1122:AF1124" si="2082">SUM(X1122,Y1122,Z1122)</f>
        <v>217412.40900000001</v>
      </c>
      <c r="AG1122" s="1438">
        <f t="shared" ref="AG1122:AG1124" si="2083">SUM(AA1122,AB1122,AC1122)</f>
        <v>190717.777</v>
      </c>
      <c r="AH1122" s="1438">
        <f t="shared" ref="AH1122:AH1124" si="2084">AD1122+AE1122</f>
        <v>454436.63399999996</v>
      </c>
      <c r="AI1122" s="1438">
        <f t="shared" ref="AI1122:AI1124" si="2085">AG1122+AF1122</f>
        <v>408130.18599999999</v>
      </c>
      <c r="AJ1122" s="1438">
        <f t="shared" ref="AJ1122:AJ1124" si="2086">AH1122+AI1122</f>
        <v>862566.82</v>
      </c>
    </row>
    <row r="1123" spans="1:36" s="197" customFormat="1" ht="14.5">
      <c r="A1123" s="990">
        <v>1</v>
      </c>
      <c r="B1123" s="990">
        <v>1</v>
      </c>
      <c r="C1123" s="990" t="s">
        <v>863</v>
      </c>
      <c r="D1123" s="1121" t="s">
        <v>887</v>
      </c>
      <c r="E1123" s="1463" t="s">
        <v>1262</v>
      </c>
      <c r="F1123" s="1454"/>
      <c r="G1123" s="310"/>
      <c r="H1123" s="310"/>
      <c r="I1123" s="506"/>
      <c r="J1123" s="503"/>
      <c r="K1123" s="519"/>
      <c r="L1123" s="1427"/>
      <c r="M1123" s="1430"/>
      <c r="N1123" s="497" t="s">
        <v>151</v>
      </c>
      <c r="O1123" s="1421"/>
      <c r="P1123" s="1421"/>
      <c r="Q1123" s="1894" t="str">
        <f>CHOOSE(2, "6722000004041", "TPA Total BT-G PA (2) PP RR Option")</f>
        <v>TPA Total BT-G PA (2) PP RR Option</v>
      </c>
      <c r="R1123" s="1937">
        <v>23673.569</v>
      </c>
      <c r="S1123" s="1937">
        <v>22893.304</v>
      </c>
      <c r="T1123" s="1937">
        <v>13877.425999999999</v>
      </c>
      <c r="U1123" s="1937">
        <v>24845.114000000001</v>
      </c>
      <c r="V1123" s="1937">
        <v>11283.263000000001</v>
      </c>
      <c r="W1123" s="1937">
        <v>32817.400999999998</v>
      </c>
      <c r="X1123" s="1937">
        <v>22204.617999999999</v>
      </c>
      <c r="Y1123" s="1937">
        <v>22514.518</v>
      </c>
      <c r="Z1123" s="1937">
        <v>13765.623</v>
      </c>
      <c r="AA1123" s="1937">
        <v>17946.705999999998</v>
      </c>
      <c r="AB1123" s="1937">
        <v>50176.197</v>
      </c>
      <c r="AC1123" s="1937">
        <v>4558.5450000000001</v>
      </c>
      <c r="AD1123" s="1573">
        <f>SUM(R1123,S1123,T1123)</f>
        <v>60444.298999999999</v>
      </c>
      <c r="AE1123" s="1439">
        <f t="shared" si="2081"/>
        <v>68945.777999999991</v>
      </c>
      <c r="AF1123" s="1439">
        <f t="shared" si="2082"/>
        <v>58484.758999999998</v>
      </c>
      <c r="AG1123" s="1439">
        <f t="shared" si="2083"/>
        <v>72681.447999999989</v>
      </c>
      <c r="AH1123" s="1439">
        <f t="shared" si="2084"/>
        <v>129390.07699999999</v>
      </c>
      <c r="AI1123" s="1439">
        <f t="shared" si="2085"/>
        <v>131166.20699999999</v>
      </c>
      <c r="AJ1123" s="1439">
        <f t="shared" si="2086"/>
        <v>260556.28399999999</v>
      </c>
    </row>
    <row r="1124" spans="1:36" s="197" customFormat="1" ht="14.5">
      <c r="A1124" s="990">
        <v>1</v>
      </c>
      <c r="B1124" s="990">
        <v>1</v>
      </c>
      <c r="C1124" s="990" t="s">
        <v>863</v>
      </c>
      <c r="D1124" s="1121" t="s">
        <v>887</v>
      </c>
      <c r="E1124" s="1463" t="s">
        <v>1262</v>
      </c>
      <c r="F1124" s="1454"/>
      <c r="G1124" s="310"/>
      <c r="H1124" s="310"/>
      <c r="I1124" s="506"/>
      <c r="J1124" s="503"/>
      <c r="K1124" s="519"/>
      <c r="L1124" s="1428"/>
      <c r="M1124" s="1431"/>
      <c r="N1124" s="498" t="s">
        <v>150</v>
      </c>
      <c r="O1124" s="1422"/>
      <c r="P1124" s="1422"/>
      <c r="Q1124" s="1894" t="str">
        <f>CHOOSE(2, "6722000004042", "TPA Total BT-G PA (2) PP RR Supplies")</f>
        <v>TPA Total BT-G PA (2) PP RR Supplies</v>
      </c>
      <c r="R1124" s="1938">
        <v>241019.815</v>
      </c>
      <c r="S1124" s="1938">
        <v>230257.51199999999</v>
      </c>
      <c r="T1124" s="1938">
        <v>177487.86900000001</v>
      </c>
      <c r="U1124" s="1938">
        <v>264842.04800000001</v>
      </c>
      <c r="V1124" s="1938">
        <v>132630.64000000001</v>
      </c>
      <c r="W1124" s="1938">
        <v>204081.372</v>
      </c>
      <c r="X1124" s="1938">
        <v>192652.94899999999</v>
      </c>
      <c r="Y1124" s="1938">
        <v>237094.68799999999</v>
      </c>
      <c r="Z1124" s="1938">
        <v>213860.07399999999</v>
      </c>
      <c r="AA1124" s="1938">
        <v>136411.55300000001</v>
      </c>
      <c r="AB1124" s="1938">
        <v>207664.81700000001</v>
      </c>
      <c r="AC1124" s="1938">
        <v>131151.23699999999</v>
      </c>
      <c r="AD1124" s="1574">
        <f>SUM(R1124,S1124,T1124)</f>
        <v>648765.196</v>
      </c>
      <c r="AE1124" s="1440">
        <f t="shared" si="2081"/>
        <v>601554.06000000006</v>
      </c>
      <c r="AF1124" s="1440">
        <f t="shared" si="2082"/>
        <v>643607.71100000001</v>
      </c>
      <c r="AG1124" s="1440">
        <f t="shared" si="2083"/>
        <v>475227.60699999996</v>
      </c>
      <c r="AH1124" s="1440">
        <f t="shared" si="2084"/>
        <v>1250319.2560000001</v>
      </c>
      <c r="AI1124" s="1440">
        <f t="shared" si="2085"/>
        <v>1118835.318</v>
      </c>
      <c r="AJ1124" s="1440">
        <f t="shared" si="2086"/>
        <v>2369154.574</v>
      </c>
    </row>
    <row r="1125" spans="1:36" s="197" customFormat="1" ht="14.5">
      <c r="A1125" s="990">
        <v>1</v>
      </c>
      <c r="B1125" s="990">
        <v>1</v>
      </c>
      <c r="C1125" s="990" t="s">
        <v>863</v>
      </c>
      <c r="D1125" s="1121" t="s">
        <v>887</v>
      </c>
      <c r="E1125" s="1463" t="s">
        <v>1262</v>
      </c>
      <c r="F1125" s="1454"/>
      <c r="G1125" s="310"/>
      <c r="H1125" s="310"/>
      <c r="I1125" s="506"/>
      <c r="J1125" s="503"/>
      <c r="K1125" s="519"/>
      <c r="L1125" s="494" t="s">
        <v>402</v>
      </c>
      <c r="N1125" s="495"/>
      <c r="O1125" s="1422"/>
      <c r="P1125" s="1422"/>
      <c r="Q1125" s="1893" t="str">
        <f>CHOOSE(2, "6722000004043", "TPA Total BT-G PA (2) PP Non-RR")</f>
        <v>TPA Total BT-G PA (2) PP Non-RR</v>
      </c>
      <c r="R1125" s="1440">
        <f t="shared" ref="R1125:AC1125" si="2087">SUM(R1126:R1128)</f>
        <v>17677.149810000024</v>
      </c>
      <c r="S1125" s="1440">
        <f t="shared" si="2087"/>
        <v>47558.209170000002</v>
      </c>
      <c r="T1125" s="1440">
        <f t="shared" si="2087"/>
        <v>40395.466579999964</v>
      </c>
      <c r="U1125" s="1440">
        <f t="shared" si="2087"/>
        <v>36029.880119999973</v>
      </c>
      <c r="V1125" s="1440">
        <f t="shared" si="2087"/>
        <v>49997.102469999882</v>
      </c>
      <c r="W1125" s="1440">
        <f t="shared" si="2087"/>
        <v>37791.74212999997</v>
      </c>
      <c r="X1125" s="1440">
        <f t="shared" si="2087"/>
        <v>52054.48327999992</v>
      </c>
      <c r="Y1125" s="1440">
        <f t="shared" si="2087"/>
        <v>47775.033319999988</v>
      </c>
      <c r="Z1125" s="1440">
        <f t="shared" si="2087"/>
        <v>39230.767759999952</v>
      </c>
      <c r="AA1125" s="1440">
        <f t="shared" si="2087"/>
        <v>59212.295899999866</v>
      </c>
      <c r="AB1125" s="1440">
        <f t="shared" si="2087"/>
        <v>71594.50177000009</v>
      </c>
      <c r="AC1125" s="1440">
        <f t="shared" si="2087"/>
        <v>52683.929790000017</v>
      </c>
      <c r="AD1125" s="1574">
        <f t="shared" ref="AD1125:AJ1125" si="2088">SUM(AD1126:AD1128)</f>
        <v>105630.82556</v>
      </c>
      <c r="AE1125" s="1440">
        <f t="shared" si="2088"/>
        <v>123818.72471999982</v>
      </c>
      <c r="AF1125" s="1440">
        <f t="shared" si="2088"/>
        <v>139060.28435999987</v>
      </c>
      <c r="AG1125" s="1440">
        <f t="shared" si="2088"/>
        <v>183490.72745999997</v>
      </c>
      <c r="AH1125" s="1440">
        <f t="shared" si="2088"/>
        <v>229449.55027999982</v>
      </c>
      <c r="AI1125" s="1440">
        <f t="shared" si="2088"/>
        <v>322551.01181999984</v>
      </c>
      <c r="AJ1125" s="1440">
        <f t="shared" si="2088"/>
        <v>552000.56209999963</v>
      </c>
    </row>
    <row r="1126" spans="1:36" s="197" customFormat="1" ht="14.5">
      <c r="A1126" s="990">
        <v>1</v>
      </c>
      <c r="B1126" s="990">
        <v>1</v>
      </c>
      <c r="C1126" s="990" t="s">
        <v>863</v>
      </c>
      <c r="D1126" s="1121" t="s">
        <v>887</v>
      </c>
      <c r="E1126" s="1463" t="s">
        <v>1262</v>
      </c>
      <c r="F1126" s="1454"/>
      <c r="G1126" s="310"/>
      <c r="H1126" s="310"/>
      <c r="I1126" s="506"/>
      <c r="J1126" s="503"/>
      <c r="K1126" s="519"/>
      <c r="L1126" s="1427"/>
      <c r="M1126" s="1430"/>
      <c r="N1126" s="496" t="s">
        <v>403</v>
      </c>
      <c r="O1126" s="1420"/>
      <c r="P1126" s="1420"/>
      <c r="Q1126" s="1894" t="str">
        <f>CHOOSE(2, "6722000004044", "TPA Total BT-G PA (2) PP Non-RR Others")</f>
        <v>TPA Total BT-G PA (2) PP Non-RR Others</v>
      </c>
      <c r="R1126" s="1936">
        <v>0</v>
      </c>
      <c r="S1126" s="1936">
        <v>0</v>
      </c>
      <c r="T1126" s="1936">
        <v>0</v>
      </c>
      <c r="U1126" s="1936">
        <v>0</v>
      </c>
      <c r="V1126" s="1936">
        <v>0</v>
      </c>
      <c r="W1126" s="1936">
        <v>0</v>
      </c>
      <c r="X1126" s="1936">
        <v>0</v>
      </c>
      <c r="Y1126" s="1936">
        <v>0</v>
      </c>
      <c r="Z1126" s="1936">
        <v>0</v>
      </c>
      <c r="AA1126" s="1936">
        <v>0</v>
      </c>
      <c r="AB1126" s="1936">
        <v>0</v>
      </c>
      <c r="AC1126" s="1936">
        <v>0</v>
      </c>
      <c r="AD1126" s="1572">
        <f>SUM(R1126,S1126,T1126)</f>
        <v>0</v>
      </c>
      <c r="AE1126" s="1438">
        <f t="shared" ref="AE1126:AE1128" si="2089">SUM(U1126,V1126,W1126)</f>
        <v>0</v>
      </c>
      <c r="AF1126" s="1438">
        <f t="shared" ref="AF1126:AF1128" si="2090">SUM(X1126,Y1126,Z1126)</f>
        <v>0</v>
      </c>
      <c r="AG1126" s="1438">
        <f t="shared" ref="AG1126:AG1128" si="2091">SUM(AA1126,AB1126,AC1126)</f>
        <v>0</v>
      </c>
      <c r="AH1126" s="1438">
        <f t="shared" ref="AH1126:AH1128" si="2092">AD1126+AE1126</f>
        <v>0</v>
      </c>
      <c r="AI1126" s="1438">
        <f t="shared" ref="AI1126:AI1128" si="2093">AG1126+AF1126</f>
        <v>0</v>
      </c>
      <c r="AJ1126" s="1438">
        <f t="shared" ref="AJ1126:AJ1128" si="2094">AH1126+AI1126</f>
        <v>0</v>
      </c>
    </row>
    <row r="1127" spans="1:36" s="197" customFormat="1" ht="14.5">
      <c r="A1127" s="990">
        <v>1</v>
      </c>
      <c r="B1127" s="990">
        <v>1</v>
      </c>
      <c r="C1127" s="990" t="s">
        <v>863</v>
      </c>
      <c r="D1127" s="1121" t="s">
        <v>887</v>
      </c>
      <c r="E1127" s="1463" t="s">
        <v>1262</v>
      </c>
      <c r="F1127" s="1454"/>
      <c r="G1127" s="310"/>
      <c r="H1127" s="310"/>
      <c r="I1127" s="506"/>
      <c r="J1127" s="503"/>
      <c r="K1127" s="519"/>
      <c r="L1127" s="1427"/>
      <c r="M1127" s="1430"/>
      <c r="N1127" s="497" t="s">
        <v>404</v>
      </c>
      <c r="O1127" s="1421"/>
      <c r="P1127" s="1421"/>
      <c r="Q1127" s="1894" t="str">
        <f>CHOOSE(2, "6722000004045", "TPA Total BT-G PA (2) PP Non-RR BT Support/Discount")</f>
        <v>TPA Total BT-G PA (2) PP Non-RR BT Support/Discount</v>
      </c>
      <c r="R1127" s="1937">
        <v>0</v>
      </c>
      <c r="S1127" s="1937">
        <v>0</v>
      </c>
      <c r="T1127" s="1937">
        <v>0</v>
      </c>
      <c r="U1127" s="1937">
        <v>0</v>
      </c>
      <c r="V1127" s="1937">
        <v>0</v>
      </c>
      <c r="W1127" s="1937">
        <v>0</v>
      </c>
      <c r="X1127" s="1937">
        <v>0</v>
      </c>
      <c r="Y1127" s="1937">
        <v>0</v>
      </c>
      <c r="Z1127" s="1937">
        <v>0</v>
      </c>
      <c r="AA1127" s="1937">
        <v>0</v>
      </c>
      <c r="AB1127" s="1937">
        <v>0</v>
      </c>
      <c r="AC1127" s="1937">
        <v>0</v>
      </c>
      <c r="AD1127" s="1573">
        <f>SUM(R1127,S1127,T1127)</f>
        <v>0</v>
      </c>
      <c r="AE1127" s="1439">
        <f t="shared" si="2089"/>
        <v>0</v>
      </c>
      <c r="AF1127" s="1439">
        <f t="shared" si="2090"/>
        <v>0</v>
      </c>
      <c r="AG1127" s="1439">
        <f t="shared" si="2091"/>
        <v>0</v>
      </c>
      <c r="AH1127" s="1439">
        <f t="shared" si="2092"/>
        <v>0</v>
      </c>
      <c r="AI1127" s="1439">
        <f t="shared" si="2093"/>
        <v>0</v>
      </c>
      <c r="AJ1127" s="1439">
        <f t="shared" si="2094"/>
        <v>0</v>
      </c>
    </row>
    <row r="1128" spans="1:36" s="197" customFormat="1" ht="14.5">
      <c r="A1128" s="990">
        <v>1</v>
      </c>
      <c r="B1128" s="990">
        <v>1</v>
      </c>
      <c r="C1128" s="990" t="s">
        <v>863</v>
      </c>
      <c r="D1128" s="1121" t="s">
        <v>887</v>
      </c>
      <c r="E1128" s="1463" t="s">
        <v>1262</v>
      </c>
      <c r="F1128" s="1454"/>
      <c r="G1128" s="310"/>
      <c r="H1128" s="310"/>
      <c r="I1128" s="506"/>
      <c r="J1128" s="503"/>
      <c r="K1128" s="520"/>
      <c r="L1128" s="1428"/>
      <c r="M1128" s="1432"/>
      <c r="N1128" s="499" t="s">
        <v>405</v>
      </c>
      <c r="O1128" s="1423"/>
      <c r="P1128" s="1423"/>
      <c r="Q1128" s="1894" t="str">
        <f>CHOOSE(2, "6722000004046", "TPA Total BT-G PA (2) PP Non-RR Parts")</f>
        <v>TPA Total BT-G PA (2) PP Non-RR Parts</v>
      </c>
      <c r="R1128" s="1939">
        <v>17677.149810000024</v>
      </c>
      <c r="S1128" s="1939">
        <v>47558.209170000002</v>
      </c>
      <c r="T1128" s="1939">
        <v>40395.466579999964</v>
      </c>
      <c r="U1128" s="1939">
        <v>36029.880119999973</v>
      </c>
      <c r="V1128" s="1939">
        <v>49997.102469999882</v>
      </c>
      <c r="W1128" s="1939">
        <v>37791.74212999997</v>
      </c>
      <c r="X1128" s="1939">
        <v>52054.48327999992</v>
      </c>
      <c r="Y1128" s="1939">
        <v>47775.033319999988</v>
      </c>
      <c r="Z1128" s="1939">
        <v>39230.767759999952</v>
      </c>
      <c r="AA1128" s="1939">
        <v>59212.295899999866</v>
      </c>
      <c r="AB1128" s="1939">
        <v>71594.50177000009</v>
      </c>
      <c r="AC1128" s="1939">
        <v>52683.929790000017</v>
      </c>
      <c r="AD1128" s="1575">
        <f>SUM(R1128,S1128,T1128)</f>
        <v>105630.82556</v>
      </c>
      <c r="AE1128" s="1441">
        <f t="shared" si="2089"/>
        <v>123818.72471999982</v>
      </c>
      <c r="AF1128" s="1441">
        <f t="shared" si="2090"/>
        <v>139060.28435999987</v>
      </c>
      <c r="AG1128" s="1441">
        <f t="shared" si="2091"/>
        <v>183490.72745999997</v>
      </c>
      <c r="AH1128" s="1441">
        <f t="shared" si="2092"/>
        <v>229449.55027999982</v>
      </c>
      <c r="AI1128" s="1441">
        <f t="shared" si="2093"/>
        <v>322551.01181999984</v>
      </c>
      <c r="AJ1128" s="1441">
        <f t="shared" si="2094"/>
        <v>552000.56209999963</v>
      </c>
    </row>
    <row r="1129" spans="1:36" s="197" customFormat="1" ht="14.5">
      <c r="A1129" s="990">
        <v>1</v>
      </c>
      <c r="B1129" s="990">
        <v>1</v>
      </c>
      <c r="C1129" s="990" t="s">
        <v>863</v>
      </c>
      <c r="D1129" s="1121" t="s">
        <v>887</v>
      </c>
      <c r="E1129" s="1463" t="s">
        <v>1262</v>
      </c>
      <c r="F1129" s="1454"/>
      <c r="G1129" s="310"/>
      <c r="H1129" s="310"/>
      <c r="I1129" s="506"/>
      <c r="J1129" s="503"/>
      <c r="K1129" s="663" t="s">
        <v>598</v>
      </c>
      <c r="L1129" s="524"/>
      <c r="M1129" s="526"/>
      <c r="N1129" s="526"/>
      <c r="O1129" s="526"/>
      <c r="P1129" s="526"/>
      <c r="Q1129" s="1892" t="str">
        <f>CHOOSE(2, "6722000004047", "TPA Total BT-G PA (3) IP")</f>
        <v>TPA Total BT-G PA (3) IP</v>
      </c>
      <c r="R1129" s="1436">
        <f t="shared" ref="R1129:AC1129" si="2095">SUM(R1130:R1131)</f>
        <v>779.92598999999996</v>
      </c>
      <c r="S1129" s="1436">
        <f t="shared" si="2095"/>
        <v>944.02499999999998</v>
      </c>
      <c r="T1129" s="1436">
        <f t="shared" si="2095"/>
        <v>2750.63294</v>
      </c>
      <c r="U1129" s="1436">
        <f t="shared" si="2095"/>
        <v>910</v>
      </c>
      <c r="V1129" s="1436">
        <f t="shared" si="2095"/>
        <v>891.02392999999995</v>
      </c>
      <c r="W1129" s="1436">
        <f t="shared" si="2095"/>
        <v>1026</v>
      </c>
      <c r="X1129" s="1436">
        <f t="shared" si="2095"/>
        <v>59.232849999999999</v>
      </c>
      <c r="Y1129" s="1436">
        <f t="shared" si="2095"/>
        <v>1612.49342</v>
      </c>
      <c r="Z1129" s="1436">
        <f t="shared" si="2095"/>
        <v>468.70741999999996</v>
      </c>
      <c r="AA1129" s="1436">
        <f t="shared" si="2095"/>
        <v>747.44676000000004</v>
      </c>
      <c r="AB1129" s="1436">
        <f t="shared" si="2095"/>
        <v>78521.182000000001</v>
      </c>
      <c r="AC1129" s="1436">
        <f t="shared" si="2095"/>
        <v>17556.315210000001</v>
      </c>
      <c r="AD1129" s="1570">
        <f t="shared" ref="AD1129:AJ1129" si="2096">SUM(AD1130:AD1131)</f>
        <v>4474.5839299999998</v>
      </c>
      <c r="AE1129" s="1436">
        <f t="shared" si="2096"/>
        <v>2827.0239299999998</v>
      </c>
      <c r="AF1129" s="1436">
        <f t="shared" si="2096"/>
        <v>2140.4336899999998</v>
      </c>
      <c r="AG1129" s="1436">
        <f t="shared" si="2096"/>
        <v>96824.943970000008</v>
      </c>
      <c r="AH1129" s="1436">
        <f t="shared" si="2096"/>
        <v>7301.6078600000001</v>
      </c>
      <c r="AI1129" s="1436">
        <f t="shared" si="2096"/>
        <v>98965.377660000013</v>
      </c>
      <c r="AJ1129" s="1436">
        <f t="shared" si="2096"/>
        <v>106266.98552000002</v>
      </c>
    </row>
    <row r="1130" spans="1:36" s="197" customFormat="1" ht="14.5">
      <c r="A1130" s="990">
        <v>1</v>
      </c>
      <c r="B1130" s="990">
        <v>1</v>
      </c>
      <c r="C1130" s="990" t="s">
        <v>863</v>
      </c>
      <c r="D1130" s="1121" t="s">
        <v>887</v>
      </c>
      <c r="E1130" s="1463" t="s">
        <v>1262</v>
      </c>
      <c r="F1130" s="1454"/>
      <c r="G1130" s="310"/>
      <c r="H1130" s="310"/>
      <c r="I1130" s="506"/>
      <c r="J1130" s="503"/>
      <c r="K1130" s="519"/>
      <c r="L1130" s="494" t="s">
        <v>401</v>
      </c>
      <c r="N1130" s="494" t="s">
        <v>384</v>
      </c>
      <c r="O1130" s="1424"/>
      <c r="P1130" s="1424"/>
      <c r="Q1130" s="1894" t="str">
        <f>CHOOSE(2, "6722000004048", "TPA Total BT-G PA (3) IP RR Label Printer")</f>
        <v>TPA Total BT-G PA (3) IP RR Label Printer</v>
      </c>
      <c r="R1130" s="1936">
        <v>0</v>
      </c>
      <c r="S1130" s="1936">
        <v>0</v>
      </c>
      <c r="T1130" s="1936">
        <v>0</v>
      </c>
      <c r="U1130" s="1936">
        <v>0</v>
      </c>
      <c r="V1130" s="1936">
        <v>0</v>
      </c>
      <c r="W1130" s="1936">
        <v>0</v>
      </c>
      <c r="X1130" s="1936">
        <v>0</v>
      </c>
      <c r="Y1130" s="1936">
        <v>0</v>
      </c>
      <c r="Z1130" s="1936">
        <v>0</v>
      </c>
      <c r="AA1130" s="1936">
        <v>0</v>
      </c>
      <c r="AB1130" s="1936">
        <v>1575</v>
      </c>
      <c r="AC1130" s="1936">
        <v>13081.9</v>
      </c>
      <c r="AD1130" s="1572">
        <f t="shared" ref="AD1130:AD1136" si="2097">SUM(R1130,S1130,T1130)</f>
        <v>0</v>
      </c>
      <c r="AE1130" s="1438">
        <f t="shared" ref="AE1130:AE1136" si="2098">SUM(U1130,V1130,W1130)</f>
        <v>0</v>
      </c>
      <c r="AF1130" s="1438">
        <f t="shared" ref="AF1130:AF1136" si="2099">SUM(X1130,Y1130,Z1130)</f>
        <v>0</v>
      </c>
      <c r="AG1130" s="1438">
        <f t="shared" ref="AG1130:AG1136" si="2100">SUM(AA1130,AB1130,AC1130)</f>
        <v>14656.9</v>
      </c>
      <c r="AH1130" s="1438">
        <f t="shared" ref="AH1130:AH1136" si="2101">AD1130+AE1130</f>
        <v>0</v>
      </c>
      <c r="AI1130" s="1438">
        <f t="shared" ref="AI1130:AI1136" si="2102">AG1130+AF1130</f>
        <v>14656.9</v>
      </c>
      <c r="AJ1130" s="1438">
        <f t="shared" ref="AJ1130:AJ1136" si="2103">AH1130+AI1130</f>
        <v>14656.9</v>
      </c>
    </row>
    <row r="1131" spans="1:36" s="197" customFormat="1" ht="14.5">
      <c r="A1131" s="990">
        <v>1</v>
      </c>
      <c r="B1131" s="990">
        <v>1</v>
      </c>
      <c r="C1131" s="990" t="s">
        <v>863</v>
      </c>
      <c r="D1131" s="1121" t="s">
        <v>887</v>
      </c>
      <c r="E1131" s="1463" t="s">
        <v>1262</v>
      </c>
      <c r="F1131" s="1454"/>
      <c r="G1131" s="310"/>
      <c r="H1131" s="310"/>
      <c r="I1131" s="506"/>
      <c r="J1131" s="503"/>
      <c r="K1131" s="520"/>
      <c r="L1131" s="664" t="s">
        <v>402</v>
      </c>
      <c r="M1131" s="1432"/>
      <c r="N1131" s="665" t="s">
        <v>406</v>
      </c>
      <c r="O1131" s="1425"/>
      <c r="P1131" s="1425"/>
      <c r="Q1131" s="1894" t="str">
        <f>CHOOSE(2, "6722000004049", "TPA Total BT-G PA (3) IP Non-RR Others")</f>
        <v>TPA Total BT-G PA (3) IP Non-RR Others</v>
      </c>
      <c r="R1131" s="1939">
        <v>779.92598999999996</v>
      </c>
      <c r="S1131" s="1939">
        <v>944.02499999999998</v>
      </c>
      <c r="T1131" s="1939">
        <v>2750.63294</v>
      </c>
      <c r="U1131" s="1939">
        <v>910</v>
      </c>
      <c r="V1131" s="1939">
        <v>891.02392999999995</v>
      </c>
      <c r="W1131" s="1939">
        <v>1026</v>
      </c>
      <c r="X1131" s="1939">
        <v>59.232849999999999</v>
      </c>
      <c r="Y1131" s="1939">
        <v>1612.49342</v>
      </c>
      <c r="Z1131" s="1939">
        <v>468.70741999999996</v>
      </c>
      <c r="AA1131" s="1939">
        <v>747.44676000000004</v>
      </c>
      <c r="AB1131" s="1939">
        <v>76946.182000000001</v>
      </c>
      <c r="AC1131" s="1939">
        <v>4474.4152100000001</v>
      </c>
      <c r="AD1131" s="1575">
        <f t="shared" si="2097"/>
        <v>4474.5839299999998</v>
      </c>
      <c r="AE1131" s="1441">
        <f t="shared" si="2098"/>
        <v>2827.0239299999998</v>
      </c>
      <c r="AF1131" s="1441">
        <f t="shared" si="2099"/>
        <v>2140.4336899999998</v>
      </c>
      <c r="AG1131" s="1441">
        <f t="shared" si="2100"/>
        <v>82168.043970000013</v>
      </c>
      <c r="AH1131" s="1441">
        <f t="shared" si="2101"/>
        <v>7301.6078600000001</v>
      </c>
      <c r="AI1131" s="1441">
        <f t="shared" si="2102"/>
        <v>84308.477660000019</v>
      </c>
      <c r="AJ1131" s="1441">
        <f t="shared" si="2103"/>
        <v>91610.085520000022</v>
      </c>
    </row>
    <row r="1132" spans="1:36" s="197" customFormat="1" ht="14.5">
      <c r="A1132" s="990">
        <v>1</v>
      </c>
      <c r="B1132" s="990">
        <v>1</v>
      </c>
      <c r="C1132" s="990" t="s">
        <v>863</v>
      </c>
      <c r="D1132" s="1121" t="s">
        <v>887</v>
      </c>
      <c r="E1132" s="1463" t="s">
        <v>1262</v>
      </c>
      <c r="F1132" s="1454"/>
      <c r="G1132" s="310"/>
      <c r="H1132" s="310"/>
      <c r="I1132" s="506"/>
      <c r="J1132" s="503"/>
      <c r="K1132" s="521" t="s">
        <v>486</v>
      </c>
      <c r="L1132" s="523"/>
      <c r="M1132" s="527"/>
      <c r="N1132" s="528"/>
      <c r="O1132" s="528"/>
      <c r="P1132" s="528"/>
      <c r="Q1132" s="1892" t="str">
        <f>CHOOSE(2, "6722000004050", "TPA Total BT-G PA (4) MS")</f>
        <v>TPA Total BT-G PA (4) MS</v>
      </c>
      <c r="R1132" s="1940">
        <v>0</v>
      </c>
      <c r="S1132" s="1940">
        <v>0</v>
      </c>
      <c r="T1132" s="1940">
        <v>0</v>
      </c>
      <c r="U1132" s="1940">
        <v>0</v>
      </c>
      <c r="V1132" s="1940">
        <v>0</v>
      </c>
      <c r="W1132" s="1940">
        <v>0</v>
      </c>
      <c r="X1132" s="1940">
        <v>0</v>
      </c>
      <c r="Y1132" s="1940">
        <v>0</v>
      </c>
      <c r="Z1132" s="1940">
        <v>0</v>
      </c>
      <c r="AA1132" s="1940">
        <v>0</v>
      </c>
      <c r="AB1132" s="1940">
        <v>0</v>
      </c>
      <c r="AC1132" s="1940">
        <v>0</v>
      </c>
      <c r="AD1132" s="1576">
        <f t="shared" si="2097"/>
        <v>0</v>
      </c>
      <c r="AE1132" s="1442">
        <f t="shared" si="2098"/>
        <v>0</v>
      </c>
      <c r="AF1132" s="1442">
        <f t="shared" si="2099"/>
        <v>0</v>
      </c>
      <c r="AG1132" s="1442">
        <f t="shared" si="2100"/>
        <v>0</v>
      </c>
      <c r="AH1132" s="1442">
        <f t="shared" si="2101"/>
        <v>0</v>
      </c>
      <c r="AI1132" s="1442">
        <f t="shared" si="2102"/>
        <v>0</v>
      </c>
      <c r="AJ1132" s="1442">
        <f t="shared" si="2103"/>
        <v>0</v>
      </c>
    </row>
    <row r="1133" spans="1:36" s="197" customFormat="1" ht="14.5">
      <c r="A1133" s="990">
        <v>1</v>
      </c>
      <c r="B1133" s="990">
        <v>1</v>
      </c>
      <c r="C1133" s="990" t="s">
        <v>863</v>
      </c>
      <c r="D1133" s="1121" t="s">
        <v>887</v>
      </c>
      <c r="E1133" s="1463" t="s">
        <v>1262</v>
      </c>
      <c r="F1133" s="1454"/>
      <c r="G1133" s="310"/>
      <c r="H1133" s="310"/>
      <c r="I1133" s="506"/>
      <c r="J1133" s="503"/>
      <c r="K1133" s="1418" t="s">
        <v>927</v>
      </c>
      <c r="L1133" s="522"/>
      <c r="M1133" s="523"/>
      <c r="N1133" s="523"/>
      <c r="O1133" s="523"/>
      <c r="P1133" s="523"/>
      <c r="Q1133" s="1892" t="str">
        <f>CHOOSE(2, "6722000004051", "TPA Total BT-G PA (5) DW-DX")</f>
        <v>TPA Total BT-G PA (5) DW-DX</v>
      </c>
      <c r="R1133" s="1443">
        <v>0</v>
      </c>
      <c r="S1133" s="1443">
        <v>0</v>
      </c>
      <c r="T1133" s="1443">
        <v>0</v>
      </c>
      <c r="U1133" s="1443">
        <v>0</v>
      </c>
      <c r="V1133" s="1443">
        <v>0</v>
      </c>
      <c r="W1133" s="1443">
        <v>0</v>
      </c>
      <c r="X1133" s="1443">
        <v>0</v>
      </c>
      <c r="Y1133" s="1443">
        <v>0</v>
      </c>
      <c r="Z1133" s="1443">
        <v>0</v>
      </c>
      <c r="AA1133" s="1443">
        <v>0</v>
      </c>
      <c r="AB1133" s="1443">
        <v>0</v>
      </c>
      <c r="AC1133" s="1443">
        <v>0</v>
      </c>
      <c r="AD1133" s="1577">
        <f t="shared" si="2097"/>
        <v>0</v>
      </c>
      <c r="AE1133" s="1443">
        <f t="shared" si="2098"/>
        <v>0</v>
      </c>
      <c r="AF1133" s="1443">
        <f t="shared" si="2099"/>
        <v>0</v>
      </c>
      <c r="AG1133" s="1443">
        <f t="shared" si="2100"/>
        <v>0</v>
      </c>
      <c r="AH1133" s="1443">
        <f t="shared" si="2101"/>
        <v>0</v>
      </c>
      <c r="AI1133" s="1443">
        <f t="shared" si="2102"/>
        <v>0</v>
      </c>
      <c r="AJ1133" s="1443">
        <f t="shared" si="2103"/>
        <v>0</v>
      </c>
    </row>
    <row r="1134" spans="1:36" s="197" customFormat="1" ht="14.5">
      <c r="A1134" s="990">
        <v>1</v>
      </c>
      <c r="B1134" s="990">
        <v>1</v>
      </c>
      <c r="C1134" s="990" t="s">
        <v>863</v>
      </c>
      <c r="D1134" s="1121" t="s">
        <v>887</v>
      </c>
      <c r="E1134" s="1463" t="s">
        <v>1262</v>
      </c>
      <c r="F1134" s="1454"/>
      <c r="G1134" s="310"/>
      <c r="H1134" s="310"/>
      <c r="I1134" s="506"/>
      <c r="J1134" s="503"/>
      <c r="K1134" s="515" t="s">
        <v>436</v>
      </c>
      <c r="L1134" s="464"/>
      <c r="M1134" s="464"/>
      <c r="N1134" s="491"/>
      <c r="O1134" s="1426"/>
      <c r="P1134" s="1426"/>
      <c r="Q1134" s="1894" t="str">
        <f>CHOOSE(2, "6722000004052", "TPA Total BT-G PA ②Other BT-Gr Suppliers (BSF/BCUS)")</f>
        <v>TPA Total BT-G PA ②Other BT-Gr Suppliers (BSF/BCUS)</v>
      </c>
      <c r="R1134" s="1941">
        <v>16260.632160000001</v>
      </c>
      <c r="S1134" s="1941">
        <v>41868.830099999999</v>
      </c>
      <c r="T1134" s="1941">
        <v>18869.553</v>
      </c>
      <c r="U1134" s="1941">
        <v>14896.326384999998</v>
      </c>
      <c r="V1134" s="1941">
        <v>1824</v>
      </c>
      <c r="W1134" s="1941">
        <v>17302.468000000001</v>
      </c>
      <c r="X1134" s="1941">
        <v>10905.216199999999</v>
      </c>
      <c r="Y1134" s="1941">
        <v>2184.5160000000001</v>
      </c>
      <c r="Z1134" s="1941">
        <v>4074.0017640000005</v>
      </c>
      <c r="AA1134" s="1941">
        <v>8952.2235000000001</v>
      </c>
      <c r="AB1134" s="1941">
        <v>1882.14</v>
      </c>
      <c r="AC1134" s="1941">
        <v>20284.5537</v>
      </c>
      <c r="AD1134" s="493">
        <f t="shared" si="2097"/>
        <v>76999.01526</v>
      </c>
      <c r="AE1134" s="1444">
        <f t="shared" si="2098"/>
        <v>34022.794385000001</v>
      </c>
      <c r="AF1134" s="1444">
        <f t="shared" si="2099"/>
        <v>17163.733963999999</v>
      </c>
      <c r="AG1134" s="1444">
        <f t="shared" si="2100"/>
        <v>31118.9172</v>
      </c>
      <c r="AH1134" s="1444">
        <f t="shared" si="2101"/>
        <v>111021.809645</v>
      </c>
      <c r="AI1134" s="1444">
        <f t="shared" si="2102"/>
        <v>48282.651163999995</v>
      </c>
      <c r="AJ1134" s="1444">
        <f t="shared" si="2103"/>
        <v>159304.46080900001</v>
      </c>
    </row>
    <row r="1135" spans="1:36" s="197" customFormat="1" ht="14.5">
      <c r="A1135" s="990">
        <v>1</v>
      </c>
      <c r="B1135" s="990">
        <v>1</v>
      </c>
      <c r="C1135" s="990" t="s">
        <v>863</v>
      </c>
      <c r="D1135" s="1121" t="s">
        <v>887</v>
      </c>
      <c r="E1135" s="1463" t="s">
        <v>1262</v>
      </c>
      <c r="F1135" s="1454"/>
      <c r="G1135" s="310"/>
      <c r="H1135" s="310"/>
      <c r="I1135" s="508"/>
      <c r="J1135" s="512"/>
      <c r="K1135" s="516" t="s">
        <v>437</v>
      </c>
      <c r="L1135" s="465"/>
      <c r="M1135" s="466"/>
      <c r="N1135" s="493"/>
      <c r="O1135" s="466"/>
      <c r="P1135" s="466"/>
      <c r="Q1135" s="1894" t="str">
        <f>CHOOSE(2, "6722000004053", "TPA Total BT-G PA ③Other BT-Gr Suppliers (MGI)")</f>
        <v>TPA Total BT-G PA ③Other BT-Gr Suppliers (MGI)</v>
      </c>
      <c r="R1135" s="1996">
        <v>4534.4522999999999</v>
      </c>
      <c r="S1135" s="1996">
        <v>5001.9001200000002</v>
      </c>
      <c r="T1135" s="1996">
        <v>430.9425</v>
      </c>
      <c r="U1135" s="1996">
        <v>5714.1213600000001</v>
      </c>
      <c r="V1135" s="1996">
        <v>4602.7493999999997</v>
      </c>
      <c r="W1135" s="1996">
        <v>499.49489999999997</v>
      </c>
      <c r="X1135" s="1996">
        <v>6153.3670839999995</v>
      </c>
      <c r="Y1135" s="1996">
        <v>97.093999999999994</v>
      </c>
      <c r="Z1135" s="1996">
        <v>4437.84105</v>
      </c>
      <c r="AA1135" s="1996">
        <v>1208.5278699999999</v>
      </c>
      <c r="AB1135" s="1996">
        <v>2246.3077999999996</v>
      </c>
      <c r="AC1135" s="1996">
        <v>12707.250819999999</v>
      </c>
      <c r="AD1135" s="493">
        <f t="shared" si="2097"/>
        <v>9967.2949199999985</v>
      </c>
      <c r="AE1135" s="1444">
        <f t="shared" si="2098"/>
        <v>10816.365659999999</v>
      </c>
      <c r="AF1135" s="1444">
        <f t="shared" si="2099"/>
        <v>10688.302134</v>
      </c>
      <c r="AG1135" s="1444">
        <f t="shared" si="2100"/>
        <v>16162.086489999998</v>
      </c>
      <c r="AH1135" s="1444">
        <f t="shared" si="2101"/>
        <v>20783.660579999996</v>
      </c>
      <c r="AI1135" s="1444">
        <f t="shared" si="2102"/>
        <v>26850.388623999999</v>
      </c>
      <c r="AJ1135" s="1444">
        <f t="shared" si="2103"/>
        <v>47634.049203999995</v>
      </c>
    </row>
    <row r="1136" spans="1:36" s="197" customFormat="1" ht="14.5">
      <c r="A1136" s="990">
        <v>1</v>
      </c>
      <c r="B1136" s="990">
        <v>1</v>
      </c>
      <c r="C1136" s="990" t="s">
        <v>863</v>
      </c>
      <c r="D1136" s="1121" t="s">
        <v>887</v>
      </c>
      <c r="E1136" s="1463" t="s">
        <v>1262</v>
      </c>
      <c r="F1136" s="1454"/>
      <c r="G1136" s="310"/>
      <c r="H1136" s="310"/>
      <c r="I1136" s="509"/>
      <c r="J1136" s="517" t="s">
        <v>440</v>
      </c>
      <c r="K1136" s="467"/>
      <c r="L1136" s="467"/>
      <c r="M1136" s="464"/>
      <c r="N1136" s="464"/>
      <c r="O1136" s="464"/>
      <c r="P1136" s="464"/>
      <c r="Q1136" s="1894" t="str">
        <f>CHOOSE(2, "6722000004054", "TPA ④Other (3rd Party） Suppliers")</f>
        <v>TPA ④Other (3rd Party） Suppliers</v>
      </c>
      <c r="R1136" s="1996">
        <v>2578.3931899999998</v>
      </c>
      <c r="S1136" s="1996">
        <v>25662.68</v>
      </c>
      <c r="T1136" s="1996">
        <v>5896.5480564</v>
      </c>
      <c r="U1136" s="1996">
        <v>11666.087030000001</v>
      </c>
      <c r="V1136" s="1996">
        <v>4643.8040000000001</v>
      </c>
      <c r="W1136" s="1996">
        <v>6419.2611000000006</v>
      </c>
      <c r="X1136" s="1996">
        <v>1563.1303249999999</v>
      </c>
      <c r="Y1136" s="1996">
        <v>4052.7627504000002</v>
      </c>
      <c r="Z1136" s="1996">
        <v>2766.0609720000002</v>
      </c>
      <c r="AA1136" s="1996">
        <v>3397.4239699999998</v>
      </c>
      <c r="AB1136" s="1996">
        <v>4295.8999999999996</v>
      </c>
      <c r="AC1136" s="1996">
        <v>16766.066859999999</v>
      </c>
      <c r="AD1136" s="493">
        <f t="shared" si="2097"/>
        <v>34137.621246399998</v>
      </c>
      <c r="AE1136" s="1444">
        <f t="shared" si="2098"/>
        <v>22729.152130000002</v>
      </c>
      <c r="AF1136" s="1444">
        <f t="shared" si="2099"/>
        <v>8381.9540474000005</v>
      </c>
      <c r="AG1136" s="1444">
        <f t="shared" si="2100"/>
        <v>24459.390829999997</v>
      </c>
      <c r="AH1136" s="1444">
        <f t="shared" si="2101"/>
        <v>56866.7733764</v>
      </c>
      <c r="AI1136" s="1444">
        <f t="shared" si="2102"/>
        <v>32841.344877399999</v>
      </c>
      <c r="AJ1136" s="1444">
        <f t="shared" si="2103"/>
        <v>89708.118253799999</v>
      </c>
    </row>
    <row r="1137" spans="1:36" s="197" customFormat="1" ht="14.5">
      <c r="A1137" s="990">
        <v>1</v>
      </c>
      <c r="B1137" s="990">
        <v>1</v>
      </c>
      <c r="C1137" s="990" t="s">
        <v>863</v>
      </c>
      <c r="D1137" s="1121" t="s">
        <v>887</v>
      </c>
      <c r="E1137" s="1463" t="s">
        <v>1262</v>
      </c>
      <c r="F1137" s="1454"/>
      <c r="G1137" s="310"/>
      <c r="H1137" s="310"/>
      <c r="I1137" s="9"/>
      <c r="J1137" s="9"/>
      <c r="K1137" s="9"/>
      <c r="L1137" s="9"/>
      <c r="M1137" s="9"/>
      <c r="N1137" s="9"/>
      <c r="O1137" s="9"/>
      <c r="P1137" s="9"/>
      <c r="Q1137" s="1838" t="str">
        <f>CHOOSE(2, "6722000004055", "▷ Blank 39")</f>
        <v>▷ Blank 39</v>
      </c>
      <c r="R1137" s="212"/>
      <c r="S1137" s="9"/>
      <c r="T1137" s="9"/>
      <c r="U1137" s="9"/>
      <c r="V1137" s="9"/>
      <c r="W1137" s="9"/>
      <c r="X1137" s="9"/>
      <c r="Y1137" s="198"/>
      <c r="Z1137" s="198"/>
    </row>
    <row r="1138" spans="1:36" ht="14.5">
      <c r="A1138" s="990">
        <v>1</v>
      </c>
      <c r="B1138" s="990">
        <v>1</v>
      </c>
      <c r="C1138" s="990" t="s">
        <v>863</v>
      </c>
      <c r="D1138" s="1121" t="s">
        <v>887</v>
      </c>
      <c r="E1138" s="1463" t="s">
        <v>1262</v>
      </c>
      <c r="F1138" s="1461"/>
      <c r="G1138" s="24" t="s">
        <v>1267</v>
      </c>
      <c r="O1138" s="586"/>
      <c r="Q1138" s="1838" t="str">
        <f>CHOOSE(2, "6722000004056", "6-2. Additional Purchase information")</f>
        <v>6-2. Additional Purchase information</v>
      </c>
      <c r="R1138" s="2200"/>
    </row>
    <row r="1139" spans="1:36" s="639" customFormat="1" ht="14.5">
      <c r="A1139" s="990">
        <v>1</v>
      </c>
      <c r="B1139" s="990">
        <v>1</v>
      </c>
      <c r="C1139" s="990" t="s">
        <v>863</v>
      </c>
      <c r="D1139" s="1121" t="s">
        <v>887</v>
      </c>
      <c r="E1139" s="1463" t="s">
        <v>1262</v>
      </c>
      <c r="F1139" s="1454"/>
      <c r="G1139" s="310"/>
      <c r="I1139" s="1465" t="s">
        <v>1259</v>
      </c>
      <c r="J1139" s="206"/>
      <c r="K1139" s="1445"/>
      <c r="L1139" s="1445"/>
      <c r="M1139" s="1445"/>
      <c r="N1139" s="204"/>
      <c r="O1139" s="204"/>
      <c r="P1139" s="204"/>
      <c r="Q1139" s="1838" t="str">
        <f>CHOOSE(2, "6722000004057", "▷ Blank 40")</f>
        <v>▷ Blank 40</v>
      </c>
      <c r="R1139" s="212"/>
      <c r="S1139" s="9"/>
      <c r="T1139" s="9"/>
      <c r="U1139" s="9"/>
      <c r="V1139" s="9"/>
      <c r="W1139" s="9"/>
      <c r="X1139" s="9"/>
      <c r="Y1139" s="638"/>
      <c r="Z1139" s="638"/>
      <c r="AA1139" s="638"/>
    </row>
    <row r="1140" spans="1:36" s="639" customFormat="1" ht="14.5">
      <c r="A1140" s="990">
        <v>1</v>
      </c>
      <c r="B1140" s="990">
        <v>1</v>
      </c>
      <c r="C1140" s="990" t="s">
        <v>863</v>
      </c>
      <c r="D1140" s="1121" t="s">
        <v>887</v>
      </c>
      <c r="E1140" s="1463" t="s">
        <v>1262</v>
      </c>
      <c r="F1140" s="1454"/>
      <c r="G1140" s="310"/>
      <c r="I1140" s="666" t="s">
        <v>315</v>
      </c>
      <c r="J1140" s="487"/>
      <c r="K1140" s="487"/>
      <c r="L1140" s="487"/>
      <c r="M1140" s="487"/>
      <c r="N1140" s="596"/>
      <c r="O1140" s="596"/>
      <c r="P1140" s="596"/>
      <c r="Q1140" s="1838" t="str">
        <f>CHOOSE(2, "6722000004058", "①Supplier = BT")</f>
        <v>①Supplier = BT</v>
      </c>
      <c r="R1140" s="2805">
        <f t="shared" ref="R1140:AC1140" si="2104">R1110</f>
        <v>499510.40017000004</v>
      </c>
      <c r="S1140" s="2805">
        <f t="shared" si="2104"/>
        <v>533337.10016999999</v>
      </c>
      <c r="T1140" s="2805">
        <f t="shared" si="2104"/>
        <v>402270.62826999993</v>
      </c>
      <c r="U1140" s="2805">
        <f t="shared" si="2104"/>
        <v>630884.29184999992</v>
      </c>
      <c r="V1140" s="2805">
        <f t="shared" si="2104"/>
        <v>390624.89628999995</v>
      </c>
      <c r="W1140" s="2805">
        <f t="shared" si="2104"/>
        <v>577694.82490999997</v>
      </c>
      <c r="X1140" s="2805">
        <f t="shared" si="2104"/>
        <v>467296.52916999994</v>
      </c>
      <c r="Y1140" s="2806">
        <f t="shared" si="2104"/>
        <v>621020.52732999995</v>
      </c>
      <c r="Z1140" s="2197">
        <f t="shared" si="2104"/>
        <v>475606.91235999996</v>
      </c>
      <c r="AA1140" s="2198">
        <f t="shared" si="2104"/>
        <v>501454.44831999991</v>
      </c>
      <c r="AB1140" s="2198">
        <f t="shared" si="2104"/>
        <v>713265.78057000018</v>
      </c>
      <c r="AC1140" s="2198">
        <f t="shared" si="2104"/>
        <v>354999.20489000005</v>
      </c>
      <c r="AD1140" s="1578">
        <f t="shared" ref="AD1140:AJ1140" si="2105">AD1110</f>
        <v>1435118.12861</v>
      </c>
      <c r="AE1140" s="1448">
        <f t="shared" si="2105"/>
        <v>1599204.01305</v>
      </c>
      <c r="AF1140" s="1448">
        <f t="shared" si="2105"/>
        <v>1563923.9688599999</v>
      </c>
      <c r="AG1140" s="1448">
        <f t="shared" si="2105"/>
        <v>1569719.4337799998</v>
      </c>
      <c r="AH1140" s="1448">
        <f t="shared" si="2105"/>
        <v>3034322.1416599997</v>
      </c>
      <c r="AI1140" s="1448">
        <f t="shared" si="2105"/>
        <v>3133643.40264</v>
      </c>
      <c r="AJ1140" s="1448">
        <f t="shared" si="2105"/>
        <v>6167965.5442999993</v>
      </c>
    </row>
    <row r="1141" spans="1:36" s="639" customFormat="1" ht="14.5">
      <c r="A1141" s="990">
        <v>1</v>
      </c>
      <c r="B1141" s="990">
        <v>1</v>
      </c>
      <c r="C1141" s="990" t="s">
        <v>863</v>
      </c>
      <c r="D1141" s="1121" t="s">
        <v>887</v>
      </c>
      <c r="E1141" s="1463" t="s">
        <v>1262</v>
      </c>
      <c r="F1141" s="1454"/>
      <c r="G1141" s="310"/>
      <c r="I1141" s="295"/>
      <c r="J1141" s="532"/>
      <c r="K1141" s="533" t="s">
        <v>407</v>
      </c>
      <c r="L1141" s="530"/>
      <c r="M1141" s="1446"/>
      <c r="N1141" s="530"/>
      <c r="O1141" s="530"/>
      <c r="P1141" s="530"/>
      <c r="Q1141" s="1895" t="str">
        <f>CHOOSE(2, "6722000004059", "①Supplier = BT RR Purchase")</f>
        <v>①Supplier = BT RR Purchase</v>
      </c>
      <c r="R1141" s="2807">
        <v>499510.40017000004</v>
      </c>
      <c r="S1141" s="2807">
        <v>533337.10016999999</v>
      </c>
      <c r="T1141" s="2807">
        <v>402270.62826999993</v>
      </c>
      <c r="U1141" s="2807">
        <v>630884.29184999992</v>
      </c>
      <c r="V1141" s="2807">
        <v>390624.89628999995</v>
      </c>
      <c r="W1141" s="2807">
        <v>577694.82490999997</v>
      </c>
      <c r="X1141" s="2807">
        <v>467296.52916999994</v>
      </c>
      <c r="Y1141" s="2808">
        <v>621020.52732999995</v>
      </c>
      <c r="Z1141" s="2303">
        <v>475606.91235999996</v>
      </c>
      <c r="AA1141" s="2303">
        <v>501454.44831999991</v>
      </c>
      <c r="AB1141" s="2303">
        <v>713265.78057000018</v>
      </c>
      <c r="AC1141" s="2303">
        <v>354999.20489000005</v>
      </c>
      <c r="AD1141" s="1579">
        <f t="shared" ref="AD1141:AD1147" si="2106">SUM(R1141,S1141,T1141)</f>
        <v>1435118.12861</v>
      </c>
      <c r="AE1141" s="1449">
        <f t="shared" ref="AE1141:AE1147" si="2107">SUM(U1141,V1141,W1141)</f>
        <v>1599204.0130499997</v>
      </c>
      <c r="AF1141" s="1449">
        <f t="shared" ref="AF1141:AF1147" si="2108">SUM(X1141,Y1141,Z1141)</f>
        <v>1563923.9688599999</v>
      </c>
      <c r="AG1141" s="1449">
        <f t="shared" ref="AG1141:AG1147" si="2109">SUM(AA1141,AB1141,AC1141)</f>
        <v>1569719.4337800001</v>
      </c>
      <c r="AH1141" s="1449">
        <f t="shared" ref="AH1141:AH1147" si="2110">AD1141+AE1141</f>
        <v>3034322.1416599997</v>
      </c>
      <c r="AI1141" s="1449">
        <f t="shared" ref="AI1141:AI1147" si="2111">AG1141+AF1141</f>
        <v>3133643.40264</v>
      </c>
      <c r="AJ1141" s="1449">
        <f t="shared" ref="AJ1141:AJ1147" si="2112">AH1141+AI1141</f>
        <v>6167965.5442999993</v>
      </c>
    </row>
    <row r="1142" spans="1:36" s="639" customFormat="1" ht="14.5">
      <c r="A1142" s="990">
        <v>1</v>
      </c>
      <c r="B1142" s="990">
        <v>1</v>
      </c>
      <c r="C1142" s="990" t="s">
        <v>863</v>
      </c>
      <c r="D1142" s="1121" t="s">
        <v>887</v>
      </c>
      <c r="E1142" s="1463" t="s">
        <v>1262</v>
      </c>
      <c r="F1142" s="1454"/>
      <c r="G1142" s="310"/>
      <c r="I1142" s="295"/>
      <c r="J1142" s="532"/>
      <c r="K1142" s="534" t="s">
        <v>312</v>
      </c>
      <c r="L1142" s="531"/>
      <c r="M1142" s="1447"/>
      <c r="N1142" s="531"/>
      <c r="O1142" s="531"/>
      <c r="P1142" s="531"/>
      <c r="Q1142" s="1895" t="str">
        <f>CHOOSE(2, "6722000004060", "①Supplier = BT Non-RR")</f>
        <v>①Supplier = BT Non-RR</v>
      </c>
      <c r="R1142" s="2304">
        <v>0</v>
      </c>
      <c r="S1142" s="2304">
        <v>0</v>
      </c>
      <c r="T1142" s="2304">
        <v>0</v>
      </c>
      <c r="U1142" s="2304">
        <v>0</v>
      </c>
      <c r="V1142" s="2304">
        <v>0</v>
      </c>
      <c r="W1142" s="2304">
        <v>0</v>
      </c>
      <c r="X1142" s="2304">
        <v>0</v>
      </c>
      <c r="Y1142" s="2305">
        <v>0</v>
      </c>
      <c r="Z1142" s="2305">
        <v>0</v>
      </c>
      <c r="AA1142" s="2305">
        <v>0</v>
      </c>
      <c r="AB1142" s="2305">
        <v>0</v>
      </c>
      <c r="AC1142" s="2305">
        <v>0</v>
      </c>
      <c r="AD1142" s="1580">
        <f t="shared" si="2106"/>
        <v>0</v>
      </c>
      <c r="AE1142" s="1450">
        <f t="shared" si="2107"/>
        <v>0</v>
      </c>
      <c r="AF1142" s="1450">
        <f t="shared" si="2108"/>
        <v>0</v>
      </c>
      <c r="AG1142" s="1450">
        <f t="shared" si="2109"/>
        <v>0</v>
      </c>
      <c r="AH1142" s="1450">
        <f t="shared" si="2110"/>
        <v>0</v>
      </c>
      <c r="AI1142" s="1450">
        <f t="shared" si="2111"/>
        <v>0</v>
      </c>
      <c r="AJ1142" s="1450">
        <f t="shared" si="2112"/>
        <v>0</v>
      </c>
    </row>
    <row r="1143" spans="1:36" s="639" customFormat="1" ht="14.5">
      <c r="A1143" s="990">
        <v>1</v>
      </c>
      <c r="B1143" s="990">
        <v>1</v>
      </c>
      <c r="C1143" s="990" t="s">
        <v>863</v>
      </c>
      <c r="D1143" s="1121" t="s">
        <v>887</v>
      </c>
      <c r="E1143" s="1463" t="s">
        <v>1262</v>
      </c>
      <c r="F1143" s="1454"/>
      <c r="G1143" s="310"/>
      <c r="I1143" s="295"/>
      <c r="J1143" s="532"/>
      <c r="K1143" s="535" t="s">
        <v>313</v>
      </c>
      <c r="L1143" s="492"/>
      <c r="N1143" s="492" t="s">
        <v>408</v>
      </c>
      <c r="O1143" s="492"/>
      <c r="P1143" s="492"/>
      <c r="Q1143" s="1895" t="str">
        <f>CHOOSE(2, "6722000004061", "①Supplier = BT Purchase for South Africa (for BEU)")</f>
        <v>①Supplier = BT Purchase for South Africa (for BEU)</v>
      </c>
      <c r="R1143" s="2306">
        <v>0</v>
      </c>
      <c r="S1143" s="2306">
        <v>0</v>
      </c>
      <c r="T1143" s="2306">
        <v>0</v>
      </c>
      <c r="U1143" s="2306">
        <v>0</v>
      </c>
      <c r="V1143" s="2306">
        <v>0</v>
      </c>
      <c r="W1143" s="2306">
        <v>0</v>
      </c>
      <c r="X1143" s="2306">
        <v>0</v>
      </c>
      <c r="Y1143" s="2307">
        <v>0</v>
      </c>
      <c r="Z1143" s="2307">
        <v>0</v>
      </c>
      <c r="AA1143" s="2307">
        <v>0</v>
      </c>
      <c r="AB1143" s="2307">
        <v>0</v>
      </c>
      <c r="AC1143" s="2307">
        <v>0</v>
      </c>
      <c r="AD1143" s="1581">
        <f t="shared" si="2106"/>
        <v>0</v>
      </c>
      <c r="AE1143" s="1451">
        <f t="shared" si="2107"/>
        <v>0</v>
      </c>
      <c r="AF1143" s="1451">
        <f t="shared" si="2108"/>
        <v>0</v>
      </c>
      <c r="AG1143" s="1451">
        <f t="shared" si="2109"/>
        <v>0</v>
      </c>
      <c r="AH1143" s="1451">
        <f t="shared" si="2110"/>
        <v>0</v>
      </c>
      <c r="AI1143" s="1451">
        <f t="shared" si="2111"/>
        <v>0</v>
      </c>
      <c r="AJ1143" s="1451">
        <f t="shared" si="2112"/>
        <v>0</v>
      </c>
    </row>
    <row r="1144" spans="1:36" s="639" customFormat="1" ht="14.5">
      <c r="A1144" s="990">
        <v>1</v>
      </c>
      <c r="B1144" s="990">
        <v>1</v>
      </c>
      <c r="C1144" s="990" t="s">
        <v>863</v>
      </c>
      <c r="D1144" s="1121" t="s">
        <v>887</v>
      </c>
      <c r="E1144" s="1463" t="s">
        <v>1262</v>
      </c>
      <c r="F1144" s="1454"/>
      <c r="G1144" s="310"/>
      <c r="I1144" s="295"/>
      <c r="J1144" s="532"/>
      <c r="K1144" s="535" t="s">
        <v>314</v>
      </c>
      <c r="L1144" s="492"/>
      <c r="N1144" s="492" t="s">
        <v>409</v>
      </c>
      <c r="O1144" s="492"/>
      <c r="P1144" s="492"/>
      <c r="Q1144" s="1895" t="str">
        <f>CHOOSE(2, "6722000004062", "①Supplier = BT Purchase for Oli (for BEU)")</f>
        <v>①Supplier = BT Purchase for Oli (for BEU)</v>
      </c>
      <c r="R1144" s="2306">
        <v>0</v>
      </c>
      <c r="S1144" s="2306">
        <v>0</v>
      </c>
      <c r="T1144" s="2306">
        <v>0</v>
      </c>
      <c r="U1144" s="2306">
        <v>0</v>
      </c>
      <c r="V1144" s="2306">
        <v>0</v>
      </c>
      <c r="W1144" s="2306">
        <v>0</v>
      </c>
      <c r="X1144" s="2306">
        <v>0</v>
      </c>
      <c r="Y1144" s="2307">
        <v>0</v>
      </c>
      <c r="Z1144" s="2307">
        <v>0</v>
      </c>
      <c r="AA1144" s="2307">
        <v>0</v>
      </c>
      <c r="AB1144" s="2307">
        <v>0</v>
      </c>
      <c r="AC1144" s="2307">
        <v>0</v>
      </c>
      <c r="AD1144" s="1581">
        <f t="shared" si="2106"/>
        <v>0</v>
      </c>
      <c r="AE1144" s="1451">
        <f t="shared" si="2107"/>
        <v>0</v>
      </c>
      <c r="AF1144" s="1451">
        <f t="shared" si="2108"/>
        <v>0</v>
      </c>
      <c r="AG1144" s="1451">
        <f t="shared" si="2109"/>
        <v>0</v>
      </c>
      <c r="AH1144" s="1451">
        <f t="shared" si="2110"/>
        <v>0</v>
      </c>
      <c r="AI1144" s="1451">
        <f t="shared" si="2111"/>
        <v>0</v>
      </c>
      <c r="AJ1144" s="1451">
        <f t="shared" si="2112"/>
        <v>0</v>
      </c>
    </row>
    <row r="1145" spans="1:36" s="639" customFormat="1" ht="14.5">
      <c r="A1145" s="990">
        <v>1</v>
      </c>
      <c r="B1145" s="990">
        <v>1</v>
      </c>
      <c r="C1145" s="990" t="s">
        <v>863</v>
      </c>
      <c r="D1145" s="1121" t="s">
        <v>887</v>
      </c>
      <c r="E1145" s="1463" t="s">
        <v>1262</v>
      </c>
      <c r="F1145" s="1454"/>
      <c r="G1145" s="310"/>
      <c r="I1145" s="295"/>
      <c r="J1145" s="532"/>
      <c r="K1145" s="535" t="s">
        <v>410</v>
      </c>
      <c r="L1145" s="492"/>
      <c r="N1145" s="492" t="s">
        <v>411</v>
      </c>
      <c r="O1145" s="492"/>
      <c r="P1145" s="492"/>
      <c r="Q1145" s="1895" t="str">
        <f>CHOOSE(2, "6722000004063", "①Supplier = BT Purchase for Aurora (for BCN)")</f>
        <v>①Supplier = BT Purchase for Aurora (for BCN)</v>
      </c>
      <c r="R1145" s="2306">
        <v>0</v>
      </c>
      <c r="S1145" s="2306">
        <v>0</v>
      </c>
      <c r="T1145" s="2306">
        <v>0</v>
      </c>
      <c r="U1145" s="2306">
        <v>0</v>
      </c>
      <c r="V1145" s="2306">
        <v>0</v>
      </c>
      <c r="W1145" s="2306">
        <v>0</v>
      </c>
      <c r="X1145" s="2306">
        <v>0</v>
      </c>
      <c r="Y1145" s="2307">
        <v>0</v>
      </c>
      <c r="Z1145" s="2307">
        <v>0</v>
      </c>
      <c r="AA1145" s="2307">
        <v>0</v>
      </c>
      <c r="AB1145" s="2307">
        <v>0</v>
      </c>
      <c r="AC1145" s="2307">
        <v>0</v>
      </c>
      <c r="AD1145" s="1581">
        <f t="shared" si="2106"/>
        <v>0</v>
      </c>
      <c r="AE1145" s="1451">
        <f t="shared" si="2107"/>
        <v>0</v>
      </c>
      <c r="AF1145" s="1451">
        <f t="shared" si="2108"/>
        <v>0</v>
      </c>
      <c r="AG1145" s="1451">
        <f t="shared" si="2109"/>
        <v>0</v>
      </c>
      <c r="AH1145" s="1451">
        <f t="shared" si="2110"/>
        <v>0</v>
      </c>
      <c r="AI1145" s="1451">
        <f t="shared" si="2111"/>
        <v>0</v>
      </c>
      <c r="AJ1145" s="1451">
        <f t="shared" si="2112"/>
        <v>0</v>
      </c>
    </row>
    <row r="1146" spans="1:36" s="639" customFormat="1" ht="14.5">
      <c r="A1146" s="990">
        <v>1</v>
      </c>
      <c r="B1146" s="990">
        <v>1</v>
      </c>
      <c r="C1146" s="990" t="s">
        <v>863</v>
      </c>
      <c r="D1146" s="1121" t="s">
        <v>887</v>
      </c>
      <c r="E1146" s="1463" t="s">
        <v>1262</v>
      </c>
      <c r="F1146" s="1454"/>
      <c r="G1146" s="310"/>
      <c r="I1146" s="295"/>
      <c r="J1146" s="532"/>
      <c r="K1146" s="535" t="s">
        <v>412</v>
      </c>
      <c r="L1146" s="492"/>
      <c r="N1146" s="492" t="s">
        <v>413</v>
      </c>
      <c r="O1146" s="492"/>
      <c r="P1146" s="492"/>
      <c r="Q1146" s="1895" t="str">
        <f>CHOOSE(2, "6722000004064", "①Supplier = BT Purchase for Murata (for KMJ)")</f>
        <v>①Supplier = BT Purchase for Murata (for KMJ)</v>
      </c>
      <c r="R1146" s="2306">
        <v>0</v>
      </c>
      <c r="S1146" s="2306">
        <v>0</v>
      </c>
      <c r="T1146" s="2306">
        <v>0</v>
      </c>
      <c r="U1146" s="2306">
        <v>0</v>
      </c>
      <c r="V1146" s="2306">
        <v>0</v>
      </c>
      <c r="W1146" s="2306">
        <v>0</v>
      </c>
      <c r="X1146" s="2306">
        <v>0</v>
      </c>
      <c r="Y1146" s="2307">
        <v>0</v>
      </c>
      <c r="Z1146" s="2307">
        <v>0</v>
      </c>
      <c r="AA1146" s="2307">
        <v>0</v>
      </c>
      <c r="AB1146" s="2307">
        <v>0</v>
      </c>
      <c r="AC1146" s="2307">
        <v>0</v>
      </c>
      <c r="AD1146" s="1581">
        <f t="shared" si="2106"/>
        <v>0</v>
      </c>
      <c r="AE1146" s="1451">
        <f t="shared" si="2107"/>
        <v>0</v>
      </c>
      <c r="AF1146" s="1451">
        <f t="shared" si="2108"/>
        <v>0</v>
      </c>
      <c r="AG1146" s="1451">
        <f t="shared" si="2109"/>
        <v>0</v>
      </c>
      <c r="AH1146" s="1451">
        <f t="shared" si="2110"/>
        <v>0</v>
      </c>
      <c r="AI1146" s="1451">
        <f t="shared" si="2111"/>
        <v>0</v>
      </c>
      <c r="AJ1146" s="1451">
        <f t="shared" si="2112"/>
        <v>0</v>
      </c>
    </row>
    <row r="1147" spans="1:36" s="639" customFormat="1" ht="14.5">
      <c r="A1147" s="990">
        <v>1</v>
      </c>
      <c r="B1147" s="990">
        <v>1</v>
      </c>
      <c r="C1147" s="990" t="s">
        <v>863</v>
      </c>
      <c r="D1147" s="1121" t="s">
        <v>887</v>
      </c>
      <c r="E1147" s="1463" t="s">
        <v>1262</v>
      </c>
      <c r="F1147" s="1454"/>
      <c r="G1147" s="310"/>
      <c r="I1147" s="296"/>
      <c r="J1147" s="536"/>
      <c r="K1147" s="537" t="s">
        <v>404</v>
      </c>
      <c r="L1147" s="297"/>
      <c r="M1147" s="297"/>
      <c r="N1147" s="12" t="s">
        <v>414</v>
      </c>
      <c r="O1147" s="12"/>
      <c r="P1147" s="12"/>
      <c r="Q1147" s="1895" t="str">
        <f>CHOOSE(2, "6722000004065", "①Supplier = BT BT Support/Discount (for KMJ/BEU/BCN)")</f>
        <v>①Supplier = BT BT Support/Discount (for KMJ/BEU/BCN)</v>
      </c>
      <c r="R1147" s="2308">
        <v>0</v>
      </c>
      <c r="S1147" s="2308">
        <v>0</v>
      </c>
      <c r="T1147" s="2308">
        <v>0</v>
      </c>
      <c r="U1147" s="2308">
        <v>0</v>
      </c>
      <c r="V1147" s="2308">
        <v>0</v>
      </c>
      <c r="W1147" s="2308">
        <v>0</v>
      </c>
      <c r="X1147" s="2308">
        <v>0</v>
      </c>
      <c r="Y1147" s="2309">
        <v>0</v>
      </c>
      <c r="Z1147" s="2309">
        <v>0</v>
      </c>
      <c r="AA1147" s="2309">
        <v>0</v>
      </c>
      <c r="AB1147" s="2309">
        <v>0</v>
      </c>
      <c r="AC1147" s="2309">
        <v>0</v>
      </c>
      <c r="AD1147" s="1582">
        <f t="shared" si="2106"/>
        <v>0</v>
      </c>
      <c r="AE1147" s="1452">
        <f t="shared" si="2107"/>
        <v>0</v>
      </c>
      <c r="AF1147" s="1452">
        <f t="shared" si="2108"/>
        <v>0</v>
      </c>
      <c r="AG1147" s="1452">
        <f t="shared" si="2109"/>
        <v>0</v>
      </c>
      <c r="AH1147" s="1452">
        <f t="shared" si="2110"/>
        <v>0</v>
      </c>
      <c r="AI1147" s="1452">
        <f t="shared" si="2111"/>
        <v>0</v>
      </c>
      <c r="AJ1147" s="1452">
        <f t="shared" si="2112"/>
        <v>0</v>
      </c>
    </row>
    <row r="1148" spans="1:36" s="197" customFormat="1" ht="14.5">
      <c r="A1148" s="990">
        <v>1</v>
      </c>
      <c r="B1148" s="990">
        <v>1</v>
      </c>
      <c r="C1148" s="990" t="s">
        <v>863</v>
      </c>
      <c r="D1148" s="1121" t="s">
        <v>887</v>
      </c>
      <c r="E1148" s="1463" t="s">
        <v>1262</v>
      </c>
      <c r="F1148" s="1454"/>
      <c r="G1148" s="310"/>
      <c r="I1148" s="9"/>
      <c r="J1148" s="9"/>
      <c r="L1148" s="9"/>
      <c r="M1148" s="9"/>
      <c r="N1148" s="9"/>
      <c r="O1148" s="9"/>
      <c r="P1148" s="200" t="s">
        <v>415</v>
      </c>
      <c r="Q1148" s="1838" t="str">
        <f>CHOOSE(2, "6722000004066", "①Supplier = BT BT Support/Discount (for KMJ/BEU/BCN) CHK--&gt;")</f>
        <v>①Supplier = BT BT Support/Discount (for KMJ/BEU/BCN) CHK--&gt;</v>
      </c>
      <c r="R1148" s="2230" t="str">
        <f t="shared" ref="R1148" si="2113">IF(ROUND(R1140,0)=ROUND(SUM(R1141:R1147),0),"OK","NG")</f>
        <v>OK</v>
      </c>
      <c r="S1148" s="1942" t="str">
        <f t="shared" ref="S1148:AC1148" si="2114">IF(ROUND(S1140,0)=ROUND(SUM(S1141:S1147),0),"OK","NG")</f>
        <v>OK</v>
      </c>
      <c r="T1148" s="1942" t="str">
        <f t="shared" si="2114"/>
        <v>OK</v>
      </c>
      <c r="U1148" s="1942" t="str">
        <f t="shared" si="2114"/>
        <v>OK</v>
      </c>
      <c r="V1148" s="1942" t="str">
        <f t="shared" si="2114"/>
        <v>OK</v>
      </c>
      <c r="W1148" s="1942" t="str">
        <f t="shared" si="2114"/>
        <v>OK</v>
      </c>
      <c r="X1148" s="1942" t="str">
        <f t="shared" si="2114"/>
        <v>OK</v>
      </c>
      <c r="Y1148" s="1942" t="str">
        <f t="shared" si="2114"/>
        <v>OK</v>
      </c>
      <c r="Z1148" s="1942" t="str">
        <f t="shared" si="2114"/>
        <v>OK</v>
      </c>
      <c r="AA1148" s="1942" t="str">
        <f t="shared" si="2114"/>
        <v>OK</v>
      </c>
      <c r="AB1148" s="1942" t="str">
        <f t="shared" si="2114"/>
        <v>OK</v>
      </c>
      <c r="AC1148" s="2771" t="str">
        <f t="shared" si="2114"/>
        <v>OK</v>
      </c>
      <c r="AD1148" s="2772"/>
    </row>
    <row r="1149" spans="1:36" ht="14.5">
      <c r="A1149" s="990">
        <v>1</v>
      </c>
      <c r="B1149" s="990">
        <v>1</v>
      </c>
      <c r="C1149" s="990" t="s">
        <v>863</v>
      </c>
      <c r="D1149" s="1121" t="s">
        <v>887</v>
      </c>
      <c r="E1149" s="1463" t="s">
        <v>1262</v>
      </c>
      <c r="F1149" s="1461"/>
      <c r="G1149" s="24" t="s">
        <v>1268</v>
      </c>
      <c r="O1149" s="586"/>
      <c r="Q1149" s="1838" t="str">
        <f>CHOOSE(2, "6722000004067", "6-3. Inventory Analysis")</f>
        <v>6-3. Inventory Analysis</v>
      </c>
      <c r="R1149" s="2200"/>
    </row>
    <row r="1150" spans="1:36" s="197" customFormat="1" ht="14.5">
      <c r="A1150" s="990">
        <v>1</v>
      </c>
      <c r="B1150" s="990">
        <v>1</v>
      </c>
      <c r="C1150" s="990" t="s">
        <v>863</v>
      </c>
      <c r="D1150" s="1121" t="s">
        <v>887</v>
      </c>
      <c r="E1150" s="1463" t="s">
        <v>1262</v>
      </c>
      <c r="F1150" s="1454"/>
      <c r="G1150" s="310"/>
      <c r="I1150" s="1465" t="s">
        <v>1260</v>
      </c>
      <c r="J1150" s="206"/>
      <c r="K1150" s="205"/>
      <c r="L1150" s="205"/>
      <c r="M1150" s="205"/>
      <c r="N1150" s="204"/>
      <c r="O1150" s="204"/>
      <c r="P1150" s="204"/>
      <c r="Q1150" s="1838" t="str">
        <f>CHOOSE(2, "6722000004068", "▷ Blank 41")</f>
        <v>▷ Blank 41</v>
      </c>
      <c r="R1150" s="212"/>
      <c r="S1150" s="9"/>
      <c r="T1150" s="9"/>
      <c r="U1150" s="9"/>
      <c r="V1150" s="9"/>
      <c r="W1150" s="9"/>
      <c r="X1150" s="9"/>
      <c r="Y1150" s="198"/>
      <c r="Z1150" s="198"/>
      <c r="AA1150" s="198"/>
    </row>
    <row r="1151" spans="1:36" s="197" customFormat="1" ht="14.5">
      <c r="A1151" s="990">
        <v>1</v>
      </c>
      <c r="B1151" s="990">
        <v>1</v>
      </c>
      <c r="C1151" s="990" t="s">
        <v>863</v>
      </c>
      <c r="D1151" s="1121" t="s">
        <v>887</v>
      </c>
      <c r="E1151" s="1463" t="s">
        <v>1262</v>
      </c>
      <c r="F1151" s="1454"/>
      <c r="G1151" s="310"/>
      <c r="I1151" s="566" t="s">
        <v>441</v>
      </c>
      <c r="J1151" s="571"/>
      <c r="K1151" s="571"/>
      <c r="L1151" s="571"/>
      <c r="M1151" s="572"/>
      <c r="N1151" s="572"/>
      <c r="O1151" s="572"/>
      <c r="P1151" s="572"/>
      <c r="Q1151" s="1896" t="str">
        <f>CHOOSE(2, "6722000004069", "IN Total")</f>
        <v>IN Total</v>
      </c>
      <c r="R1151" s="2083">
        <f t="shared" ref="R1151:AC1151" si="2115">SUM(R1152,R1155,R1158)</f>
        <v>1328386.8778200001</v>
      </c>
      <c r="S1151" s="2084">
        <f t="shared" si="2115"/>
        <v>1571277.3485828773</v>
      </c>
      <c r="T1151" s="2084">
        <f t="shared" si="2115"/>
        <v>1578065.9412248854</v>
      </c>
      <c r="U1151" s="2084">
        <f t="shared" si="2115"/>
        <v>1847516.8063623053</v>
      </c>
      <c r="V1151" s="2084">
        <f t="shared" si="2115"/>
        <v>1822035.3405819922</v>
      </c>
      <c r="W1151" s="2085">
        <f t="shared" si="2115"/>
        <v>1958635.0489099999</v>
      </c>
      <c r="X1151" s="2085">
        <f t="shared" si="2115"/>
        <v>1931778.1731577234</v>
      </c>
      <c r="Y1151" s="2085">
        <f t="shared" si="2115"/>
        <v>2170878.2833384918</v>
      </c>
      <c r="Z1151" s="2085">
        <f t="shared" si="2115"/>
        <v>2155536.1835150672</v>
      </c>
      <c r="AA1151" s="2085">
        <f t="shared" si="2115"/>
        <v>2134678.5570449871</v>
      </c>
      <c r="AB1151" s="2085">
        <f t="shared" si="2115"/>
        <v>2474443.2777715288</v>
      </c>
      <c r="AC1151" s="2086">
        <f t="shared" si="2115"/>
        <v>2533434.8451</v>
      </c>
      <c r="AD1151" s="202"/>
      <c r="AE1151" s="202"/>
      <c r="AF1151" s="202"/>
      <c r="AG1151" s="202"/>
      <c r="AH1151" s="202"/>
      <c r="AI1151" s="202"/>
      <c r="AJ1151" s="202"/>
    </row>
    <row r="1152" spans="1:36" s="197" customFormat="1" ht="14.5">
      <c r="A1152" s="990">
        <v>1</v>
      </c>
      <c r="B1152" s="990">
        <v>1</v>
      </c>
      <c r="C1152" s="990" t="s">
        <v>863</v>
      </c>
      <c r="D1152" s="1121" t="s">
        <v>887</v>
      </c>
      <c r="E1152" s="1463" t="s">
        <v>1262</v>
      </c>
      <c r="F1152" s="1454"/>
      <c r="G1152" s="310"/>
      <c r="I1152" s="574"/>
      <c r="J1152" s="357" t="s">
        <v>451</v>
      </c>
      <c r="K1152" s="357"/>
      <c r="L1152" s="357"/>
      <c r="M1152" s="576"/>
      <c r="N1152" s="576"/>
      <c r="O1152" s="576"/>
      <c r="P1152" s="576"/>
      <c r="Q1152" s="1897" t="str">
        <f>CHOOSE(2, "6722000004070", "IN Total Inventory at the beginning")</f>
        <v>IN Total Inventory at the beginning</v>
      </c>
      <c r="R1152" s="1943">
        <f t="shared" ref="R1152:AC1152" si="2116">SUM(R1153:R1154)</f>
        <v>819912</v>
      </c>
      <c r="S1152" s="1944">
        <f t="shared" si="2116"/>
        <v>967611.44212309434</v>
      </c>
      <c r="T1152" s="1944">
        <f t="shared" si="2116"/>
        <v>1148683.4073328776</v>
      </c>
      <c r="U1152" s="1944">
        <f t="shared" si="2116"/>
        <v>1157112.1469635426</v>
      </c>
      <c r="V1152" s="1944">
        <f t="shared" si="2116"/>
        <v>1414816.9568983035</v>
      </c>
      <c r="W1152" s="1945">
        <f t="shared" si="2116"/>
        <v>1317908</v>
      </c>
      <c r="X1152" s="1945">
        <f t="shared" si="2116"/>
        <v>1450521.9303787234</v>
      </c>
      <c r="Y1152" s="1945">
        <f t="shared" si="2116"/>
        <v>1460645.3832580918</v>
      </c>
      <c r="Z1152" s="1945">
        <f t="shared" si="2116"/>
        <v>1617307.3673690674</v>
      </c>
      <c r="AA1152" s="1945">
        <f t="shared" si="2116"/>
        <v>1584540.3093000001</v>
      </c>
      <c r="AB1152" s="1945">
        <f t="shared" si="2116"/>
        <v>1643267.7213260049</v>
      </c>
      <c r="AC1152" s="1946">
        <f t="shared" si="2116"/>
        <v>1889406.76883</v>
      </c>
      <c r="AD1152" s="201"/>
      <c r="AE1152" s="201"/>
      <c r="AF1152" s="201"/>
      <c r="AG1152" s="201"/>
      <c r="AH1152" s="201"/>
      <c r="AI1152" s="201"/>
      <c r="AJ1152" s="201"/>
    </row>
    <row r="1153" spans="1:36" s="197" customFormat="1" ht="14.5">
      <c r="A1153" s="990">
        <v>1</v>
      </c>
      <c r="B1153" s="990">
        <v>1</v>
      </c>
      <c r="C1153" s="990" t="s">
        <v>863</v>
      </c>
      <c r="D1153" s="1121" t="s">
        <v>887</v>
      </c>
      <c r="E1153" s="1463" t="s">
        <v>1262</v>
      </c>
      <c r="F1153" s="1454"/>
      <c r="G1153" s="310"/>
      <c r="I1153" s="574"/>
      <c r="J1153" s="357"/>
      <c r="K1153" s="567" t="s">
        <v>449</v>
      </c>
      <c r="L1153" s="567"/>
      <c r="M1153" s="568"/>
      <c r="N1153" s="568"/>
      <c r="O1153" s="568"/>
      <c r="P1153" s="568"/>
      <c r="Q1153" s="1898" t="str">
        <f>CHOOSE(2, "6722000004071", "IN Total Inventory at the beginning From BT-Gr")</f>
        <v>IN Total Inventory at the beginning From BT-Gr</v>
      </c>
      <c r="R1153" s="2288">
        <v>792745</v>
      </c>
      <c r="S1153" s="1947">
        <f>R1181</f>
        <v>926631.0072930943</v>
      </c>
      <c r="T1153" s="1947">
        <f t="shared" ref="T1153:AC1153" si="2117">S1181</f>
        <v>1075916.1900828776</v>
      </c>
      <c r="U1153" s="1947">
        <f t="shared" si="2117"/>
        <v>1080530.5355435426</v>
      </c>
      <c r="V1153" s="1427">
        <f t="shared" si="2117"/>
        <v>1331248.5068683035</v>
      </c>
      <c r="W1153" s="1427">
        <f t="shared" si="2117"/>
        <v>1243557</v>
      </c>
      <c r="X1153" s="1427">
        <f t="shared" si="2117"/>
        <v>1395916.3772287234</v>
      </c>
      <c r="Y1153" s="1427">
        <f t="shared" si="2117"/>
        <v>1403399.2536880916</v>
      </c>
      <c r="Z1153" s="1427">
        <f t="shared" si="2117"/>
        <v>1589209.2130390673</v>
      </c>
      <c r="AA1153" s="1427">
        <f t="shared" si="2117"/>
        <v>1558759.52168</v>
      </c>
      <c r="AB1153" s="1427">
        <f t="shared" si="2117"/>
        <v>1620115.786526005</v>
      </c>
      <c r="AC1153" s="1948">
        <f t="shared" si="2117"/>
        <v>1865698.9562199998</v>
      </c>
      <c r="AD1153" s="201"/>
      <c r="AE1153" s="201"/>
      <c r="AF1153" s="201"/>
      <c r="AG1153" s="201"/>
      <c r="AH1153" s="201"/>
      <c r="AI1153" s="201"/>
      <c r="AJ1153" s="201"/>
    </row>
    <row r="1154" spans="1:36" s="197" customFormat="1" ht="14.5">
      <c r="A1154" s="990">
        <v>1</v>
      </c>
      <c r="B1154" s="990">
        <v>1</v>
      </c>
      <c r="C1154" s="990" t="s">
        <v>863</v>
      </c>
      <c r="D1154" s="1121" t="s">
        <v>887</v>
      </c>
      <c r="E1154" s="1463" t="s">
        <v>1262</v>
      </c>
      <c r="F1154" s="1454"/>
      <c r="G1154" s="310"/>
      <c r="I1154" s="574"/>
      <c r="J1154" s="565"/>
      <c r="K1154" s="294" t="s">
        <v>148</v>
      </c>
      <c r="L1154" s="294"/>
      <c r="M1154" s="203"/>
      <c r="N1154" s="203"/>
      <c r="O1154" s="203"/>
      <c r="P1154" s="203"/>
      <c r="Q1154" s="1898" t="str">
        <f>CHOOSE(2, "6722000004072", "IN Total Inventory at the beginning Others(3rd Party)")</f>
        <v>IN Total Inventory at the beginning Others(3rd Party)</v>
      </c>
      <c r="R1154" s="2289">
        <v>27167</v>
      </c>
      <c r="S1154" s="1949">
        <f t="shared" ref="S1154:AC1154" si="2118">R1182</f>
        <v>40980.434829999998</v>
      </c>
      <c r="T1154" s="1949">
        <f t="shared" si="2118"/>
        <v>72767.217250000045</v>
      </c>
      <c r="U1154" s="1949">
        <f t="shared" si="2118"/>
        <v>76581.611420000074</v>
      </c>
      <c r="V1154" s="664">
        <f t="shared" si="2118"/>
        <v>83568.450030000051</v>
      </c>
      <c r="W1154" s="664">
        <f t="shared" si="2118"/>
        <v>74351</v>
      </c>
      <c r="X1154" s="664">
        <f t="shared" si="2118"/>
        <v>54605.553150000051</v>
      </c>
      <c r="Y1154" s="664">
        <f t="shared" si="2118"/>
        <v>57246.129570000048</v>
      </c>
      <c r="Z1154" s="664">
        <f t="shared" si="2118"/>
        <v>28098.154330000027</v>
      </c>
      <c r="AA1154" s="664">
        <f t="shared" si="2118"/>
        <v>25780.787620000025</v>
      </c>
      <c r="AB1154" s="664">
        <f t="shared" si="2118"/>
        <v>23151.934800000035</v>
      </c>
      <c r="AC1154" s="1950">
        <f t="shared" si="2118"/>
        <v>23707.812610000037</v>
      </c>
      <c r="AD1154" s="201"/>
      <c r="AE1154" s="201"/>
      <c r="AF1154" s="201"/>
      <c r="AG1154" s="201"/>
      <c r="AH1154" s="201"/>
      <c r="AI1154" s="201"/>
      <c r="AJ1154" s="201"/>
    </row>
    <row r="1155" spans="1:36" s="197" customFormat="1" ht="14.25" customHeight="1">
      <c r="A1155" s="990">
        <v>1</v>
      </c>
      <c r="B1155" s="990">
        <v>1</v>
      </c>
      <c r="C1155" s="990" t="s">
        <v>863</v>
      </c>
      <c r="D1155" s="1121" t="s">
        <v>887</v>
      </c>
      <c r="E1155" s="1463" t="s">
        <v>1262</v>
      </c>
      <c r="F1155" s="1454"/>
      <c r="G1155" s="310"/>
      <c r="I1155" s="574"/>
      <c r="J1155" s="488" t="s">
        <v>452</v>
      </c>
      <c r="K1155" s="488"/>
      <c r="L1155" s="488"/>
      <c r="M1155" s="538"/>
      <c r="N1155" s="538"/>
      <c r="O1155" s="538"/>
      <c r="P1155" s="538"/>
      <c r="Q1155" s="1899" t="str">
        <f>CHOOSE(2, "6722000004073", "IN Total Purchase")</f>
        <v>IN Total Purchase</v>
      </c>
      <c r="R1155" s="2075">
        <f t="shared" ref="R1155:AC1155" si="2119">SUM(R1156:R1157)</f>
        <v>522883.87781999999</v>
      </c>
      <c r="S1155" s="2076">
        <f t="shared" si="2119"/>
        <v>605870.51039000007</v>
      </c>
      <c r="T1155" s="2076">
        <f t="shared" si="2119"/>
        <v>427467.67182639992</v>
      </c>
      <c r="U1155" s="2076">
        <f t="shared" si="2119"/>
        <v>663160.82662499999</v>
      </c>
      <c r="V1155" s="2076">
        <f t="shared" si="2119"/>
        <v>401695.44968999992</v>
      </c>
      <c r="W1155" s="2077">
        <f t="shared" si="2119"/>
        <v>601916.04891000001</v>
      </c>
      <c r="X1155" s="2077">
        <f t="shared" si="2119"/>
        <v>485918.24277899996</v>
      </c>
      <c r="Y1155" s="2076">
        <f t="shared" si="2119"/>
        <v>627354.90008039994</v>
      </c>
      <c r="Z1155" s="2077">
        <f t="shared" si="2119"/>
        <v>486884.81614599994</v>
      </c>
      <c r="AA1155" s="2077">
        <f t="shared" si="2119"/>
        <v>515012.62365999992</v>
      </c>
      <c r="AB1155" s="2077">
        <f t="shared" si="2119"/>
        <v>721690.12837000017</v>
      </c>
      <c r="AC1155" s="2082">
        <f t="shared" si="2119"/>
        <v>404757.07627000008</v>
      </c>
      <c r="AE1155" s="202"/>
      <c r="AF1155" s="202"/>
      <c r="AG1155" s="202"/>
      <c r="AH1155" s="202"/>
      <c r="AI1155" s="202"/>
      <c r="AJ1155" s="202"/>
    </row>
    <row r="1156" spans="1:36" s="197" customFormat="1" ht="14.5">
      <c r="A1156" s="990">
        <v>1</v>
      </c>
      <c r="B1156" s="990">
        <v>1</v>
      </c>
      <c r="C1156" s="990" t="s">
        <v>863</v>
      </c>
      <c r="D1156" s="1121" t="s">
        <v>887</v>
      </c>
      <c r="E1156" s="1463" t="s">
        <v>1262</v>
      </c>
      <c r="F1156" s="1454"/>
      <c r="G1156" s="310"/>
      <c r="I1156" s="574"/>
      <c r="J1156" s="489"/>
      <c r="K1156" s="567" t="s">
        <v>449</v>
      </c>
      <c r="L1156" s="567"/>
      <c r="M1156" s="568"/>
      <c r="N1156" s="568"/>
      <c r="O1156" s="568"/>
      <c r="P1156" s="568"/>
      <c r="Q1156" s="1900" t="str">
        <f>CHOOSE(2, "6722000004074", "IN Total Purchase From BT-Gr (Include BSF/BCUS/MGI)")</f>
        <v>IN Total Purchase From BT-Gr (Include BSF/BCUS/MGI)</v>
      </c>
      <c r="R1156" s="1951">
        <f t="shared" ref="R1156:AC1156" si="2120">R1109</f>
        <v>520305.48463000002</v>
      </c>
      <c r="S1156" s="1952">
        <f t="shared" si="2120"/>
        <v>580207.83039000002</v>
      </c>
      <c r="T1156" s="1952">
        <f t="shared" si="2120"/>
        <v>421571.12376999995</v>
      </c>
      <c r="U1156" s="1952">
        <f t="shared" si="2120"/>
        <v>651494.73959499993</v>
      </c>
      <c r="V1156" s="1952">
        <f t="shared" si="2120"/>
        <v>397051.64568999992</v>
      </c>
      <c r="W1156" s="1953">
        <f t="shared" si="2120"/>
        <v>595496.78781000001</v>
      </c>
      <c r="X1156" s="1953">
        <v>484355.11245399999</v>
      </c>
      <c r="Y1156" s="1953">
        <f t="shared" si="2120"/>
        <v>623302.13732999994</v>
      </c>
      <c r="Z1156" s="1953">
        <f t="shared" si="2120"/>
        <v>484118.75517399993</v>
      </c>
      <c r="AA1156" s="1953">
        <f t="shared" si="2120"/>
        <v>511615.19968999992</v>
      </c>
      <c r="AB1156" s="1953">
        <f t="shared" si="2120"/>
        <v>717394.22837000014</v>
      </c>
      <c r="AC1156" s="1954">
        <f t="shared" si="2120"/>
        <v>387991.00941000006</v>
      </c>
      <c r="AE1156" s="201"/>
      <c r="AF1156" s="201"/>
      <c r="AG1156" s="201"/>
      <c r="AH1156" s="201"/>
      <c r="AI1156" s="201"/>
      <c r="AJ1156" s="201"/>
    </row>
    <row r="1157" spans="1:36" s="197" customFormat="1" ht="14.5">
      <c r="A1157" s="990">
        <v>1</v>
      </c>
      <c r="B1157" s="990">
        <v>1</v>
      </c>
      <c r="C1157" s="990" t="s">
        <v>863</v>
      </c>
      <c r="D1157" s="1121" t="s">
        <v>887</v>
      </c>
      <c r="E1157" s="1463" t="s">
        <v>1262</v>
      </c>
      <c r="F1157" s="1454"/>
      <c r="G1157" s="310"/>
      <c r="I1157" s="574"/>
      <c r="J1157" s="490"/>
      <c r="K1157" s="294" t="s">
        <v>148</v>
      </c>
      <c r="L1157" s="294"/>
      <c r="M1157" s="203"/>
      <c r="N1157" s="203"/>
      <c r="O1157" s="203"/>
      <c r="P1157" s="203"/>
      <c r="Q1157" s="1900" t="str">
        <f>CHOOSE(2, "6722000004075", "IN Total Purchase Others(3rd Party)")</f>
        <v>IN Total Purchase Others(3rd Party)</v>
      </c>
      <c r="R1157" s="1955">
        <f t="shared" ref="R1157:AC1157" si="2121">R1136</f>
        <v>2578.3931899999998</v>
      </c>
      <c r="S1157" s="1956">
        <f t="shared" si="2121"/>
        <v>25662.68</v>
      </c>
      <c r="T1157" s="1956">
        <f t="shared" si="2121"/>
        <v>5896.5480564</v>
      </c>
      <c r="U1157" s="1956">
        <f t="shared" si="2121"/>
        <v>11666.087030000001</v>
      </c>
      <c r="V1157" s="1956">
        <f t="shared" si="2121"/>
        <v>4643.8040000000001</v>
      </c>
      <c r="W1157" s="1957">
        <f t="shared" si="2121"/>
        <v>6419.2611000000006</v>
      </c>
      <c r="X1157" s="1957">
        <v>1563.1303249999999</v>
      </c>
      <c r="Y1157" s="1957">
        <f t="shared" si="2121"/>
        <v>4052.7627504000002</v>
      </c>
      <c r="Z1157" s="1957">
        <f t="shared" si="2121"/>
        <v>2766.0609720000002</v>
      </c>
      <c r="AA1157" s="1957">
        <f t="shared" si="2121"/>
        <v>3397.4239699999998</v>
      </c>
      <c r="AB1157" s="1957">
        <f t="shared" si="2121"/>
        <v>4295.8999999999996</v>
      </c>
      <c r="AC1157" s="1958">
        <f t="shared" si="2121"/>
        <v>16766.066859999999</v>
      </c>
      <c r="AD1157" s="201"/>
      <c r="AE1157" s="201"/>
      <c r="AF1157" s="201"/>
      <c r="AG1157" s="201"/>
      <c r="AH1157" s="201"/>
      <c r="AI1157" s="201"/>
      <c r="AJ1157" s="201"/>
    </row>
    <row r="1158" spans="1:36" s="197" customFormat="1" ht="14.25" customHeight="1">
      <c r="A1158" s="990">
        <v>1</v>
      </c>
      <c r="B1158" s="990">
        <v>1</v>
      </c>
      <c r="C1158" s="990" t="s">
        <v>863</v>
      </c>
      <c r="D1158" s="1121" t="s">
        <v>887</v>
      </c>
      <c r="E1158" s="1463" t="s">
        <v>1262</v>
      </c>
      <c r="F1158" s="1454"/>
      <c r="G1158" s="310"/>
      <c r="I1158" s="574"/>
      <c r="J1158" s="488" t="s">
        <v>11</v>
      </c>
      <c r="K1158" s="488"/>
      <c r="L1158" s="488"/>
      <c r="M1158" s="538"/>
      <c r="N1158" s="538"/>
      <c r="O1158" s="538"/>
      <c r="P1158" s="538"/>
      <c r="Q1158" s="1899" t="str">
        <f>CHOOSE(2, "6722000004076", "IN Total Others")</f>
        <v>IN Total Others</v>
      </c>
      <c r="R1158" s="2075">
        <f t="shared" ref="R1158:AC1158" si="2122">SUM(R1159:R1160)</f>
        <v>-14409</v>
      </c>
      <c r="S1158" s="2076">
        <f t="shared" si="2122"/>
        <v>-2204.6039302172098</v>
      </c>
      <c r="T1158" s="2076">
        <f t="shared" si="2122"/>
        <v>1914.8620656079099</v>
      </c>
      <c r="U1158" s="2076">
        <f t="shared" si="2122"/>
        <v>27243.832773762701</v>
      </c>
      <c r="V1158" s="2076">
        <f t="shared" si="2122"/>
        <v>5522.9339936887845</v>
      </c>
      <c r="W1158" s="2077">
        <f t="shared" si="2122"/>
        <v>38811</v>
      </c>
      <c r="X1158" s="2077">
        <f t="shared" si="2122"/>
        <v>-4662</v>
      </c>
      <c r="Y1158" s="2077">
        <f t="shared" si="2122"/>
        <v>82878</v>
      </c>
      <c r="Z1158" s="2077">
        <f t="shared" si="2122"/>
        <v>51344</v>
      </c>
      <c r="AA1158" s="2077">
        <f t="shared" si="2122"/>
        <v>35125.624084987212</v>
      </c>
      <c r="AB1158" s="2077">
        <f t="shared" si="2122"/>
        <v>109485.42807552358</v>
      </c>
      <c r="AC1158" s="2082">
        <f t="shared" si="2122"/>
        <v>239271</v>
      </c>
      <c r="AD1158" s="202"/>
      <c r="AE1158" s="202"/>
      <c r="AF1158" s="202"/>
      <c r="AG1158" s="202"/>
      <c r="AH1158" s="202"/>
      <c r="AI1158" s="202"/>
      <c r="AJ1158" s="202"/>
    </row>
    <row r="1159" spans="1:36" s="197" customFormat="1" ht="14.5">
      <c r="A1159" s="990">
        <v>1</v>
      </c>
      <c r="B1159" s="990">
        <v>1</v>
      </c>
      <c r="C1159" s="990" t="s">
        <v>863</v>
      </c>
      <c r="D1159" s="1121" t="s">
        <v>887</v>
      </c>
      <c r="E1159" s="1463" t="s">
        <v>1262</v>
      </c>
      <c r="F1159" s="1454"/>
      <c r="G1159" s="310"/>
      <c r="I1159" s="574"/>
      <c r="J1159" s="489"/>
      <c r="K1159" s="567" t="s">
        <v>149</v>
      </c>
      <c r="L1159" s="567"/>
      <c r="M1159" s="568"/>
      <c r="N1159" s="568"/>
      <c r="O1159" s="568"/>
      <c r="P1159" s="568"/>
      <c r="Q1159" s="1898" t="str">
        <f>CHOOSE(2, "6722000004077", "IN Total Others Incidental Cost")</f>
        <v>IN Total Others Incidental Cost</v>
      </c>
      <c r="R1159" s="2288">
        <v>0</v>
      </c>
      <c r="S1159" s="1959">
        <v>0</v>
      </c>
      <c r="T1159" s="1959">
        <v>0</v>
      </c>
      <c r="U1159" s="1959">
        <v>0</v>
      </c>
      <c r="V1159" s="1959">
        <v>0</v>
      </c>
      <c r="W1159" s="1960">
        <v>0</v>
      </c>
      <c r="X1159" s="1960">
        <v>0</v>
      </c>
      <c r="Y1159" s="1960">
        <v>0</v>
      </c>
      <c r="Z1159" s="1960">
        <v>0</v>
      </c>
      <c r="AA1159" s="1960">
        <v>0</v>
      </c>
      <c r="AB1159" s="1960"/>
      <c r="AC1159" s="1961">
        <v>0</v>
      </c>
      <c r="AD1159" s="201"/>
      <c r="AE1159" s="201"/>
      <c r="AF1159" s="201"/>
      <c r="AG1159" s="201"/>
      <c r="AH1159" s="201"/>
      <c r="AI1159" s="201"/>
      <c r="AJ1159" s="201"/>
    </row>
    <row r="1160" spans="1:36" s="197" customFormat="1" ht="14.5">
      <c r="A1160" s="990">
        <v>1</v>
      </c>
      <c r="B1160" s="990">
        <v>1</v>
      </c>
      <c r="C1160" s="990" t="s">
        <v>863</v>
      </c>
      <c r="D1160" s="1121" t="s">
        <v>887</v>
      </c>
      <c r="E1160" s="1463" t="s">
        <v>1262</v>
      </c>
      <c r="F1160" s="1454"/>
      <c r="G1160" s="310"/>
      <c r="I1160" s="575"/>
      <c r="J1160" s="490"/>
      <c r="K1160" s="1687" t="s">
        <v>458</v>
      </c>
      <c r="L1160" s="276"/>
      <c r="M1160" s="398"/>
      <c r="N1160" s="398"/>
      <c r="O1160" s="398"/>
      <c r="P1160" s="398"/>
      <c r="Q1160" s="1898" t="str">
        <f>CHOOSE(2, "6722000004078", "IN Total Others &lt; free input &gt;")</f>
        <v>IN Total Others &lt; free input &gt;</v>
      </c>
      <c r="R1160" s="2289">
        <f>-4499-9910</f>
        <v>-14409</v>
      </c>
      <c r="S1160" s="1959">
        <v>-2204.6039302172098</v>
      </c>
      <c r="T1160" s="1962">
        <v>1914.8620656079099</v>
      </c>
      <c r="U1160" s="1959">
        <f>27212.8327737627-8976+9007</f>
        <v>27243.832773762701</v>
      </c>
      <c r="V1160" s="1962">
        <v>5522.9339936887845</v>
      </c>
      <c r="W1160" s="1960">
        <v>38811</v>
      </c>
      <c r="X1160" s="1960">
        <v>-4662</v>
      </c>
      <c r="Y1160" s="1960">
        <v>82878</v>
      </c>
      <c r="Z1160" s="1960">
        <v>51344</v>
      </c>
      <c r="AA1160" s="1963">
        <v>35125.624084987212</v>
      </c>
      <c r="AB1160" s="1960">
        <v>109485.42807552358</v>
      </c>
      <c r="AC1160" s="1964">
        <v>239271</v>
      </c>
      <c r="AD1160" s="201"/>
      <c r="AE1160" s="201"/>
      <c r="AF1160" s="201"/>
      <c r="AG1160" s="201"/>
      <c r="AH1160" s="201"/>
      <c r="AI1160" s="201"/>
      <c r="AJ1160" s="201"/>
    </row>
    <row r="1161" spans="1:36" s="197" customFormat="1" ht="14.25" customHeight="1">
      <c r="A1161" s="990">
        <v>1</v>
      </c>
      <c r="B1161" s="990">
        <v>1</v>
      </c>
      <c r="C1161" s="990" t="s">
        <v>863</v>
      </c>
      <c r="D1161" s="1121" t="s">
        <v>887</v>
      </c>
      <c r="E1161" s="1463" t="s">
        <v>1262</v>
      </c>
      <c r="F1161" s="1454"/>
      <c r="G1161" s="310"/>
      <c r="I1161" s="566" t="s">
        <v>416</v>
      </c>
      <c r="J1161" s="571"/>
      <c r="K1161" s="571"/>
      <c r="L1161" s="571"/>
      <c r="M1161" s="572"/>
      <c r="N1161" s="572"/>
      <c r="O1161" s="572"/>
      <c r="P1161" s="572"/>
      <c r="Q1161" s="1896" t="str">
        <f>CHOOSE(2, "6722000004079", "OUT Total")</f>
        <v>OUT Total</v>
      </c>
      <c r="R1161" s="2083">
        <f t="shared" ref="R1161:AC1161" si="2123">SUM(R1162,R1175,R1176,R1180)</f>
        <v>1328386.5332450876</v>
      </c>
      <c r="S1161" s="2084">
        <f t="shared" si="2123"/>
        <v>1571277.3485828773</v>
      </c>
      <c r="T1161" s="2084">
        <f t="shared" si="2123"/>
        <v>1578065.9412248854</v>
      </c>
      <c r="U1161" s="2084">
        <f t="shared" si="2123"/>
        <v>1847516.8063623053</v>
      </c>
      <c r="V1161" s="2084">
        <f t="shared" si="2123"/>
        <v>1822035.3405819922</v>
      </c>
      <c r="W1161" s="2085">
        <f t="shared" si="2123"/>
        <v>1958635.0037127247</v>
      </c>
      <c r="X1161" s="2085">
        <f t="shared" si="2123"/>
        <v>1931778.4204481193</v>
      </c>
      <c r="Y1161" s="2085">
        <f t="shared" si="2123"/>
        <v>2170878.0401070574</v>
      </c>
      <c r="Z1161" s="2085">
        <f t="shared" si="2123"/>
        <v>2155535.8084689858</v>
      </c>
      <c r="AA1161" s="2085">
        <f t="shared" si="2123"/>
        <v>2138340.5570449871</v>
      </c>
      <c r="AB1161" s="2085">
        <f t="shared" si="2123"/>
        <v>2474443.2777715288</v>
      </c>
      <c r="AC1161" s="2086">
        <f t="shared" si="2123"/>
        <v>2533434.8905772283</v>
      </c>
      <c r="AD1161" s="202">
        <f>AB1161-AB1151</f>
        <v>0</v>
      </c>
      <c r="AE1161" s="202"/>
      <c r="AF1161" s="202"/>
      <c r="AG1161" s="202"/>
      <c r="AH1161" s="202"/>
      <c r="AI1161" s="202"/>
      <c r="AJ1161" s="202"/>
    </row>
    <row r="1162" spans="1:36" s="197" customFormat="1" ht="14.5">
      <c r="A1162" s="990">
        <v>1</v>
      </c>
      <c r="B1162" s="990">
        <v>1</v>
      </c>
      <c r="C1162" s="990" t="s">
        <v>863</v>
      </c>
      <c r="D1162" s="1121" t="s">
        <v>887</v>
      </c>
      <c r="E1162" s="1463" t="s">
        <v>1262</v>
      </c>
      <c r="F1162" s="1454"/>
      <c r="G1162" s="310"/>
      <c r="I1162" s="574"/>
      <c r="J1162" s="489" t="s">
        <v>501</v>
      </c>
      <c r="K1162" s="489"/>
      <c r="L1162" s="489"/>
      <c r="M1162" s="573"/>
      <c r="N1162" s="573"/>
      <c r="O1162" s="573"/>
      <c r="P1162" s="573"/>
      <c r="Q1162" s="1901" t="str">
        <f>CHOOSE(2, "6722000004080", "OUT Total TFI")</f>
        <v>OUT Total TFI</v>
      </c>
      <c r="R1162" s="1965">
        <f t="shared" ref="R1162:AC1162" si="2124">R1163+R1171</f>
        <v>360604.6903219932</v>
      </c>
      <c r="S1162" s="1966">
        <f t="shared" si="2124"/>
        <v>421120.06505999976</v>
      </c>
      <c r="T1162" s="1966">
        <f t="shared" si="2124"/>
        <v>420691.93751134287</v>
      </c>
      <c r="U1162" s="1966">
        <f t="shared" si="2124"/>
        <v>432639.77808400197</v>
      </c>
      <c r="V1162" s="1966">
        <f t="shared" si="2124"/>
        <v>503579.47494199232</v>
      </c>
      <c r="W1162" s="1967">
        <f t="shared" si="2124"/>
        <v>504167.61945400119</v>
      </c>
      <c r="X1162" s="1967">
        <f t="shared" si="2124"/>
        <v>469406.23719002766</v>
      </c>
      <c r="Y1162" s="1967">
        <f t="shared" si="2124"/>
        <v>527470.78659798985</v>
      </c>
      <c r="Z1162" s="1967">
        <f t="shared" si="2124"/>
        <v>569658.4738089859</v>
      </c>
      <c r="AA1162" s="1967">
        <f t="shared" si="2124"/>
        <v>492406.54266898212</v>
      </c>
      <c r="AB1162" s="1967">
        <f t="shared" si="2124"/>
        <v>580290.42287152912</v>
      </c>
      <c r="AC1162" s="1968">
        <f t="shared" si="2124"/>
        <v>727280.69267648819</v>
      </c>
      <c r="AD1162" s="201"/>
      <c r="AE1162" s="201"/>
      <c r="AF1162" s="201"/>
      <c r="AG1162" s="201"/>
      <c r="AH1162" s="201"/>
      <c r="AI1162" s="201"/>
      <c r="AJ1162" s="201"/>
    </row>
    <row r="1163" spans="1:36" s="197" customFormat="1" ht="14.25" customHeight="1">
      <c r="A1163" s="990">
        <v>1</v>
      </c>
      <c r="B1163" s="990">
        <v>1</v>
      </c>
      <c r="C1163" s="990" t="s">
        <v>863</v>
      </c>
      <c r="D1163" s="1121" t="s">
        <v>887</v>
      </c>
      <c r="E1163" s="1463" t="s">
        <v>1262</v>
      </c>
      <c r="F1163" s="1454"/>
      <c r="G1163" s="310"/>
      <c r="I1163" s="574"/>
      <c r="J1163" s="489"/>
      <c r="K1163" s="567" t="s">
        <v>449</v>
      </c>
      <c r="L1163" s="567"/>
      <c r="M1163" s="570"/>
      <c r="N1163" s="570"/>
      <c r="O1163" s="570"/>
      <c r="P1163" s="570"/>
      <c r="Q1163" s="1889" t="str">
        <f>CHOOSE(2, "6722000004081", "OUT Total TFI From BT-Gr")</f>
        <v>OUT Total TFI From BT-Gr</v>
      </c>
      <c r="R1163" s="1969">
        <f t="shared" ref="R1163:AC1163" si="2125">R1164+R1167+R1170</f>
        <v>360604.6903219932</v>
      </c>
      <c r="S1163" s="1947">
        <f t="shared" si="2125"/>
        <v>421120.06505999976</v>
      </c>
      <c r="T1163" s="1947">
        <f t="shared" si="2125"/>
        <v>420691.93751134287</v>
      </c>
      <c r="U1163" s="1947">
        <f t="shared" si="2125"/>
        <v>432639.77808400197</v>
      </c>
      <c r="V1163" s="1947">
        <f t="shared" si="2125"/>
        <v>503579.47494199232</v>
      </c>
      <c r="W1163" s="1427">
        <f t="shared" si="2125"/>
        <v>504167.61945400119</v>
      </c>
      <c r="X1163" s="1427">
        <f t="shared" si="2125"/>
        <v>469406.23719002766</v>
      </c>
      <c r="Y1163" s="1427">
        <f t="shared" si="2125"/>
        <v>527470.78659798985</v>
      </c>
      <c r="Z1163" s="1427">
        <f t="shared" si="2125"/>
        <v>569658.4738089859</v>
      </c>
      <c r="AA1163" s="1427">
        <f t="shared" si="2125"/>
        <v>492406.54266898212</v>
      </c>
      <c r="AB1163" s="1427">
        <f t="shared" si="2125"/>
        <v>580290.42287152912</v>
      </c>
      <c r="AC1163" s="1948">
        <f t="shared" si="2125"/>
        <v>727280.69267648819</v>
      </c>
      <c r="AD1163" s="201"/>
      <c r="AE1163" s="201"/>
      <c r="AF1163" s="201"/>
      <c r="AG1163" s="201"/>
      <c r="AH1163" s="201"/>
      <c r="AI1163" s="201"/>
      <c r="AJ1163" s="201"/>
    </row>
    <row r="1164" spans="1:36" s="197" customFormat="1" ht="14.25" customHeight="1">
      <c r="A1164" s="990">
        <v>1</v>
      </c>
      <c r="B1164" s="990">
        <v>1</v>
      </c>
      <c r="C1164" s="990" t="s">
        <v>863</v>
      </c>
      <c r="D1164" s="1121" t="s">
        <v>887</v>
      </c>
      <c r="E1164" s="1463" t="s">
        <v>1262</v>
      </c>
      <c r="F1164" s="1454"/>
      <c r="G1164" s="310"/>
      <c r="I1164" s="574"/>
      <c r="J1164" s="489"/>
      <c r="K1164" s="567"/>
      <c r="L1164" s="588" t="s">
        <v>431</v>
      </c>
      <c r="M1164" s="589" t="s">
        <v>127</v>
      </c>
      <c r="N1164" s="589"/>
      <c r="O1164" s="589"/>
      <c r="P1164" s="589"/>
      <c r="Q1164" s="1898" t="str">
        <f>CHOOSE(2, "6722000004082", "OUT Total TFI From BT-Gr Office Total")</f>
        <v>OUT Total TFI From BT-Gr Office Total</v>
      </c>
      <c r="R1164" s="1970">
        <v>57868.770232000054</v>
      </c>
      <c r="S1164" s="1971">
        <v>114160.06505999975</v>
      </c>
      <c r="T1164" s="1971">
        <v>122623.22366135049</v>
      </c>
      <c r="U1164" s="1971">
        <v>131266.92691599982</v>
      </c>
      <c r="V1164" s="1971">
        <v>165369.73212800015</v>
      </c>
      <c r="W1164" s="1972">
        <v>182656.40850400052</v>
      </c>
      <c r="X1164" s="1972">
        <v>142843.34418000135</v>
      </c>
      <c r="Y1164" s="1972">
        <v>163586.19476000062</v>
      </c>
      <c r="Z1164" s="1972">
        <v>226808.36543399896</v>
      </c>
      <c r="AA1164" s="1972">
        <v>133341.54547000001</v>
      </c>
      <c r="AB1164" s="1972">
        <v>193692.44051800031</v>
      </c>
      <c r="AC1164" s="1973">
        <v>216718.8803679983</v>
      </c>
      <c r="AD1164" s="201"/>
      <c r="AE1164" s="201"/>
      <c r="AF1164" s="201"/>
      <c r="AG1164" s="201"/>
      <c r="AH1164" s="201"/>
      <c r="AI1164" s="201"/>
      <c r="AJ1164" s="201"/>
    </row>
    <row r="1165" spans="1:36" s="197" customFormat="1" ht="14.25" customHeight="1">
      <c r="A1165" s="990">
        <v>1</v>
      </c>
      <c r="B1165" s="990">
        <v>1</v>
      </c>
      <c r="C1165" s="990" t="s">
        <v>863</v>
      </c>
      <c r="D1165" s="1121" t="s">
        <v>887</v>
      </c>
      <c r="E1165" s="1463" t="s">
        <v>1262</v>
      </c>
      <c r="F1165" s="1454"/>
      <c r="G1165" s="310"/>
      <c r="I1165" s="574"/>
      <c r="J1165" s="489"/>
      <c r="K1165" s="567"/>
      <c r="L1165" s="567"/>
      <c r="M1165" s="570" t="s">
        <v>480</v>
      </c>
      <c r="N1165" s="570"/>
      <c r="O1165" s="570"/>
      <c r="P1165" s="570"/>
      <c r="Q1165" s="1889" t="str">
        <f>CHOOSE(2, "6722000004083", "OUT Total TFI From BT-Gr Office except BT Support (HW, NH)")</f>
        <v>OUT Total TFI From BT-Gr Office except BT Support (HW, NH)</v>
      </c>
      <c r="R1165" s="1969">
        <f t="shared" ref="R1165:AC1165" si="2126">R1164-R1166</f>
        <v>57868.770232000054</v>
      </c>
      <c r="S1165" s="1947">
        <f t="shared" si="2126"/>
        <v>114160.06505999975</v>
      </c>
      <c r="T1165" s="1947">
        <f t="shared" si="2126"/>
        <v>122623.22366135049</v>
      </c>
      <c r="U1165" s="1947">
        <f t="shared" si="2126"/>
        <v>131266.92691599982</v>
      </c>
      <c r="V1165" s="1947">
        <f t="shared" si="2126"/>
        <v>165369.73212800015</v>
      </c>
      <c r="W1165" s="1427">
        <f t="shared" si="2126"/>
        <v>182656.40850400052</v>
      </c>
      <c r="X1165" s="1427">
        <f t="shared" si="2126"/>
        <v>142843.34418000135</v>
      </c>
      <c r="Y1165" s="1427">
        <f t="shared" si="2126"/>
        <v>163586.19476000062</v>
      </c>
      <c r="Z1165" s="1427">
        <f t="shared" si="2126"/>
        <v>226808.36543399896</v>
      </c>
      <c r="AA1165" s="1427">
        <f t="shared" si="2126"/>
        <v>133341.54547000001</v>
      </c>
      <c r="AB1165" s="1427">
        <f t="shared" si="2126"/>
        <v>193692.44051800031</v>
      </c>
      <c r="AC1165" s="1948">
        <f t="shared" si="2126"/>
        <v>216718.8803679983</v>
      </c>
      <c r="AD1165" s="201"/>
      <c r="AE1165" s="201"/>
      <c r="AF1165" s="201"/>
      <c r="AG1165" s="201"/>
      <c r="AH1165" s="201"/>
      <c r="AI1165" s="201"/>
      <c r="AJ1165" s="201"/>
    </row>
    <row r="1166" spans="1:36" s="197" customFormat="1" ht="14.25" customHeight="1">
      <c r="A1166" s="990">
        <v>1</v>
      </c>
      <c r="B1166" s="990">
        <v>1</v>
      </c>
      <c r="C1166" s="990" t="s">
        <v>863</v>
      </c>
      <c r="D1166" s="1121" t="s">
        <v>887</v>
      </c>
      <c r="E1166" s="1463" t="s">
        <v>1262</v>
      </c>
      <c r="F1166" s="1454"/>
      <c r="G1166" s="310"/>
      <c r="I1166" s="574"/>
      <c r="J1166" s="489"/>
      <c r="K1166" s="567"/>
      <c r="L1166" s="590"/>
      <c r="M1166" s="591" t="s">
        <v>478</v>
      </c>
      <c r="N1166" s="591"/>
      <c r="O1166" s="591"/>
      <c r="P1166" s="591"/>
      <c r="Q1166" s="1889" t="str">
        <f>CHOOSE(2, "6722000004084", "OUT Total TFI From BT-Gr Office BT Support")</f>
        <v>OUT Total TFI From BT-Gr Office BT Support</v>
      </c>
      <c r="R1166" s="1974">
        <f t="shared" ref="R1166:AC1166" si="2127">R1118</f>
        <v>0</v>
      </c>
      <c r="S1166" s="1975">
        <f t="shared" si="2127"/>
        <v>0</v>
      </c>
      <c r="T1166" s="1975">
        <f t="shared" si="2127"/>
        <v>0</v>
      </c>
      <c r="U1166" s="1975">
        <f t="shared" si="2127"/>
        <v>0</v>
      </c>
      <c r="V1166" s="1975">
        <f t="shared" si="2127"/>
        <v>0</v>
      </c>
      <c r="W1166" s="1428">
        <f t="shared" si="2127"/>
        <v>0</v>
      </c>
      <c r="X1166" s="1428">
        <f t="shared" si="2127"/>
        <v>0</v>
      </c>
      <c r="Y1166" s="1428">
        <f t="shared" si="2127"/>
        <v>0</v>
      </c>
      <c r="Z1166" s="1428">
        <f t="shared" si="2127"/>
        <v>0</v>
      </c>
      <c r="AA1166" s="1428">
        <f t="shared" si="2127"/>
        <v>0</v>
      </c>
      <c r="AB1166" s="1428">
        <f t="shared" si="2127"/>
        <v>0</v>
      </c>
      <c r="AC1166" s="1976">
        <f t="shared" si="2127"/>
        <v>0</v>
      </c>
      <c r="AD1166" s="201"/>
      <c r="AE1166" s="201"/>
      <c r="AF1166" s="201"/>
      <c r="AG1166" s="201"/>
      <c r="AH1166" s="201"/>
      <c r="AI1166" s="201"/>
      <c r="AJ1166" s="201"/>
    </row>
    <row r="1167" spans="1:36" s="197" customFormat="1" ht="14.25" customHeight="1">
      <c r="A1167" s="990">
        <v>1</v>
      </c>
      <c r="B1167" s="990">
        <v>1</v>
      </c>
      <c r="C1167" s="990" t="s">
        <v>863</v>
      </c>
      <c r="D1167" s="1121" t="s">
        <v>887</v>
      </c>
      <c r="E1167" s="1463" t="s">
        <v>1262</v>
      </c>
      <c r="F1167" s="1454"/>
      <c r="G1167" s="310"/>
      <c r="I1167" s="574"/>
      <c r="J1167" s="489"/>
      <c r="K1167" s="567"/>
      <c r="L1167" s="567" t="s">
        <v>432</v>
      </c>
      <c r="M1167" s="589" t="s">
        <v>127</v>
      </c>
      <c r="N1167" s="589"/>
      <c r="O1167" s="589"/>
      <c r="P1167" s="589"/>
      <c r="Q1167" s="1898" t="str">
        <f>CHOOSE(2, "6722000004085", "OUT Total TFI From BT-Gr PP Total")</f>
        <v>OUT Total TFI From BT-Gr PP Total</v>
      </c>
      <c r="R1167" s="1977">
        <v>298135.70568999316</v>
      </c>
      <c r="S1167" s="1978">
        <v>303731</v>
      </c>
      <c r="T1167" s="1971">
        <v>281456.89194999239</v>
      </c>
      <c r="U1167" s="1971">
        <v>296085.97506800212</v>
      </c>
      <c r="V1167" s="1971">
        <v>323068.02802399214</v>
      </c>
      <c r="W1167" s="1972">
        <v>304561.2625900007</v>
      </c>
      <c r="X1167" s="1972">
        <v>323394.05828002631</v>
      </c>
      <c r="Y1167" s="1972">
        <v>350049.58608798921</v>
      </c>
      <c r="Z1167" s="1972">
        <v>335730.64362498687</v>
      </c>
      <c r="AA1167" s="1972">
        <v>341412.51615898212</v>
      </c>
      <c r="AB1167" s="1972">
        <v>379492.2960935288</v>
      </c>
      <c r="AC1167" s="1973">
        <v>403826.50268848991</v>
      </c>
      <c r="AD1167" s="201"/>
      <c r="AE1167" s="201"/>
      <c r="AF1167" s="201"/>
      <c r="AG1167" s="201"/>
      <c r="AH1167" s="201"/>
      <c r="AI1167" s="201"/>
      <c r="AJ1167" s="201"/>
    </row>
    <row r="1168" spans="1:36" s="197" customFormat="1" ht="14.25" customHeight="1">
      <c r="A1168" s="990">
        <v>1</v>
      </c>
      <c r="B1168" s="990">
        <v>1</v>
      </c>
      <c r="C1168" s="990" t="s">
        <v>863</v>
      </c>
      <c r="D1168" s="1121" t="s">
        <v>887</v>
      </c>
      <c r="E1168" s="1463" t="s">
        <v>1262</v>
      </c>
      <c r="F1168" s="1454"/>
      <c r="G1168" s="310"/>
      <c r="I1168" s="574"/>
      <c r="J1168" s="489"/>
      <c r="K1168" s="567"/>
      <c r="L1168" s="567"/>
      <c r="M1168" s="570" t="s">
        <v>480</v>
      </c>
      <c r="N1168" s="570"/>
      <c r="O1168" s="570"/>
      <c r="P1168" s="570"/>
      <c r="Q1168" s="1889" t="str">
        <f>CHOOSE(2, "6722000004086", "OUT Total TFI From BT-Gr PP except BT Support (HW, NH)")</f>
        <v>OUT Total TFI From BT-Gr PP except BT Support (HW, NH)</v>
      </c>
      <c r="R1168" s="1969">
        <f t="shared" ref="R1168:AC1168" si="2128">R1167-R1169</f>
        <v>298135.70568999316</v>
      </c>
      <c r="S1168" s="1947">
        <f t="shared" si="2128"/>
        <v>303731</v>
      </c>
      <c r="T1168" s="1947">
        <f t="shared" si="2128"/>
        <v>281456.89194999239</v>
      </c>
      <c r="U1168" s="1947">
        <f t="shared" si="2128"/>
        <v>296085.97506800212</v>
      </c>
      <c r="V1168" s="1947">
        <f t="shared" si="2128"/>
        <v>323068.02802399214</v>
      </c>
      <c r="W1168" s="1427">
        <f t="shared" si="2128"/>
        <v>304561.2625900007</v>
      </c>
      <c r="X1168" s="1427">
        <f t="shared" si="2128"/>
        <v>323394.05828002631</v>
      </c>
      <c r="Y1168" s="1427">
        <f t="shared" si="2128"/>
        <v>350049.58608798921</v>
      </c>
      <c r="Z1168" s="1427">
        <f t="shared" si="2128"/>
        <v>335730.64362498687</v>
      </c>
      <c r="AA1168" s="1427">
        <f t="shared" si="2128"/>
        <v>341412.51615898212</v>
      </c>
      <c r="AB1168" s="1427">
        <f t="shared" si="2128"/>
        <v>379492.2960935288</v>
      </c>
      <c r="AC1168" s="1948">
        <f t="shared" si="2128"/>
        <v>403826.50268848991</v>
      </c>
      <c r="AD1168" s="201"/>
      <c r="AE1168" s="201"/>
      <c r="AF1168" s="201"/>
      <c r="AG1168" s="201"/>
      <c r="AH1168" s="201"/>
      <c r="AI1168" s="201"/>
      <c r="AJ1168" s="201"/>
    </row>
    <row r="1169" spans="1:36" s="197" customFormat="1" ht="14.25" customHeight="1">
      <c r="A1169" s="990">
        <v>1</v>
      </c>
      <c r="B1169" s="990">
        <v>1</v>
      </c>
      <c r="C1169" s="990" t="s">
        <v>863</v>
      </c>
      <c r="D1169" s="1121" t="s">
        <v>887</v>
      </c>
      <c r="E1169" s="1463" t="s">
        <v>1262</v>
      </c>
      <c r="F1169" s="1454"/>
      <c r="G1169" s="310"/>
      <c r="I1169" s="574"/>
      <c r="J1169" s="489"/>
      <c r="K1169" s="567"/>
      <c r="L1169" s="590"/>
      <c r="M1169" s="591" t="s">
        <v>478</v>
      </c>
      <c r="N1169" s="591"/>
      <c r="O1169" s="591"/>
      <c r="P1169" s="591"/>
      <c r="Q1169" s="1889" t="str">
        <f>CHOOSE(2, "6722000004087", "OUT Total TFI From BT-Gr PP BT Support")</f>
        <v>OUT Total TFI From BT-Gr PP BT Support</v>
      </c>
      <c r="R1169" s="1974">
        <f t="shared" ref="R1169:AC1169" si="2129">R1127</f>
        <v>0</v>
      </c>
      <c r="S1169" s="1975">
        <f t="shared" si="2129"/>
        <v>0</v>
      </c>
      <c r="T1169" s="1975">
        <f t="shared" si="2129"/>
        <v>0</v>
      </c>
      <c r="U1169" s="1975">
        <f t="shared" si="2129"/>
        <v>0</v>
      </c>
      <c r="V1169" s="1975">
        <f t="shared" si="2129"/>
        <v>0</v>
      </c>
      <c r="W1169" s="1428">
        <f t="shared" si="2129"/>
        <v>0</v>
      </c>
      <c r="X1169" s="1428">
        <f t="shared" si="2129"/>
        <v>0</v>
      </c>
      <c r="Y1169" s="1428">
        <f t="shared" si="2129"/>
        <v>0</v>
      </c>
      <c r="Z1169" s="1428">
        <f t="shared" si="2129"/>
        <v>0</v>
      </c>
      <c r="AA1169" s="1428">
        <f t="shared" si="2129"/>
        <v>0</v>
      </c>
      <c r="AB1169" s="1428">
        <f t="shared" si="2129"/>
        <v>0</v>
      </c>
      <c r="AC1169" s="1976">
        <f t="shared" si="2129"/>
        <v>0</v>
      </c>
      <c r="AD1169" s="201"/>
      <c r="AE1169" s="201"/>
      <c r="AF1169" s="201"/>
      <c r="AG1169" s="201"/>
      <c r="AH1169" s="201"/>
      <c r="AI1169" s="201"/>
      <c r="AJ1169" s="201"/>
    </row>
    <row r="1170" spans="1:36" s="197" customFormat="1" ht="14.25" customHeight="1">
      <c r="A1170" s="990">
        <v>1</v>
      </c>
      <c r="B1170" s="990">
        <v>1</v>
      </c>
      <c r="C1170" s="990" t="s">
        <v>863</v>
      </c>
      <c r="D1170" s="1121" t="s">
        <v>887</v>
      </c>
      <c r="E1170" s="1463" t="s">
        <v>1262</v>
      </c>
      <c r="F1170" s="1454"/>
      <c r="G1170" s="310"/>
      <c r="I1170" s="574"/>
      <c r="J1170" s="489"/>
      <c r="K1170" s="590"/>
      <c r="L1170" s="590" t="s">
        <v>403</v>
      </c>
      <c r="M1170" s="591" t="s">
        <v>1261</v>
      </c>
      <c r="N1170" s="591"/>
      <c r="O1170" s="591"/>
      <c r="P1170" s="591"/>
      <c r="Q1170" s="1898" t="str">
        <f>CHOOSE(2, "6722000004088", "OUT Total TFI From BT-Gr Others IP, DW-DX, Others")</f>
        <v>OUT Total TFI From BT-Gr Others IP, DW-DX, Others</v>
      </c>
      <c r="R1170" s="1970">
        <v>4600.2143999999953</v>
      </c>
      <c r="S1170" s="1971">
        <v>3229</v>
      </c>
      <c r="T1170" s="1978">
        <v>16611.821900000006</v>
      </c>
      <c r="U1170" s="1978">
        <v>5286.8760999999995</v>
      </c>
      <c r="V1170" s="1978">
        <v>15141.714790000007</v>
      </c>
      <c r="W1170" s="1979">
        <v>16949.948360000006</v>
      </c>
      <c r="X1170" s="1979">
        <v>3168.8347300000019</v>
      </c>
      <c r="Y1170" s="1979">
        <v>13835.005750000004</v>
      </c>
      <c r="Z1170" s="1979">
        <v>7119.464750000001</v>
      </c>
      <c r="AA1170" s="1979">
        <v>17652.481040000006</v>
      </c>
      <c r="AB1170" s="1979">
        <v>7105.6862599999986</v>
      </c>
      <c r="AC1170" s="1980">
        <v>106735.30961999999</v>
      </c>
      <c r="AD1170" s="201"/>
      <c r="AE1170" s="201"/>
      <c r="AF1170" s="201"/>
      <c r="AG1170" s="201"/>
      <c r="AH1170" s="201"/>
      <c r="AI1170" s="201"/>
      <c r="AJ1170" s="201"/>
    </row>
    <row r="1171" spans="1:36" s="197" customFormat="1" ht="14.5">
      <c r="A1171" s="990">
        <v>1</v>
      </c>
      <c r="B1171" s="990">
        <v>1</v>
      </c>
      <c r="C1171" s="990" t="s">
        <v>863</v>
      </c>
      <c r="D1171" s="1121" t="s">
        <v>887</v>
      </c>
      <c r="E1171" s="1463" t="s">
        <v>1262</v>
      </c>
      <c r="F1171" s="1454"/>
      <c r="G1171" s="310"/>
      <c r="I1171" s="574"/>
      <c r="J1171" s="489"/>
      <c r="K1171" s="567" t="s">
        <v>148</v>
      </c>
      <c r="L1171" s="567"/>
      <c r="M1171" s="570"/>
      <c r="N1171" s="570"/>
      <c r="O1171" s="570"/>
      <c r="P1171" s="570"/>
      <c r="Q1171" s="1889" t="str">
        <f>CHOOSE(2, "6722000004089", "OUT Total TFI Others(3rd Party)")</f>
        <v>OUT Total TFI Others(3rd Party)</v>
      </c>
      <c r="R1171" s="1969">
        <f t="shared" ref="R1171" si="2130">SUM(R1172:R1174)</f>
        <v>0</v>
      </c>
      <c r="S1171" s="1947">
        <f t="shared" ref="S1171:AC1171" si="2131">SUM(S1172:S1174)</f>
        <v>0</v>
      </c>
      <c r="T1171" s="1947">
        <f t="shared" si="2131"/>
        <v>0</v>
      </c>
      <c r="U1171" s="1947">
        <f t="shared" si="2131"/>
        <v>0</v>
      </c>
      <c r="V1171" s="1947">
        <f t="shared" si="2131"/>
        <v>0</v>
      </c>
      <c r="W1171" s="1427">
        <f t="shared" si="2131"/>
        <v>0</v>
      </c>
      <c r="X1171" s="1427">
        <f t="shared" si="2131"/>
        <v>0</v>
      </c>
      <c r="Y1171" s="1427">
        <f t="shared" si="2131"/>
        <v>0</v>
      </c>
      <c r="Z1171" s="1427">
        <f t="shared" si="2131"/>
        <v>0</v>
      </c>
      <c r="AA1171" s="1427">
        <f t="shared" si="2131"/>
        <v>0</v>
      </c>
      <c r="AB1171" s="1427">
        <f t="shared" si="2131"/>
        <v>0</v>
      </c>
      <c r="AC1171" s="1948">
        <f t="shared" si="2131"/>
        <v>0</v>
      </c>
      <c r="AD1171" s="201"/>
      <c r="AE1171" s="201"/>
      <c r="AF1171" s="201"/>
      <c r="AG1171" s="201"/>
      <c r="AH1171" s="201"/>
      <c r="AI1171" s="201"/>
      <c r="AJ1171" s="201"/>
    </row>
    <row r="1172" spans="1:36" s="197" customFormat="1" ht="14.25" customHeight="1">
      <c r="A1172" s="990">
        <v>1</v>
      </c>
      <c r="B1172" s="990">
        <v>1</v>
      </c>
      <c r="C1172" s="990" t="s">
        <v>863</v>
      </c>
      <c r="D1172" s="1121" t="s">
        <v>887</v>
      </c>
      <c r="E1172" s="1463" t="s">
        <v>1262</v>
      </c>
      <c r="F1172" s="1454"/>
      <c r="G1172" s="310"/>
      <c r="I1172" s="574"/>
      <c r="J1172" s="489"/>
      <c r="K1172" s="567"/>
      <c r="L1172" s="567" t="s">
        <v>431</v>
      </c>
      <c r="M1172" s="570"/>
      <c r="N1172" s="570"/>
      <c r="O1172" s="570"/>
      <c r="P1172" s="570"/>
      <c r="Q1172" s="1898" t="str">
        <f>CHOOSE(2, "6722000004090", "OUT Total TFI Others(3rd Party) Office")</f>
        <v>OUT Total TFI Others(3rd Party) Office</v>
      </c>
      <c r="R1172" s="2288">
        <v>0</v>
      </c>
      <c r="S1172" s="1959">
        <v>0</v>
      </c>
      <c r="T1172" s="1959">
        <v>0</v>
      </c>
      <c r="U1172" s="1959">
        <v>0</v>
      </c>
      <c r="V1172" s="1959">
        <v>0</v>
      </c>
      <c r="W1172" s="1960">
        <v>0</v>
      </c>
      <c r="X1172" s="1960">
        <v>0</v>
      </c>
      <c r="Y1172" s="1960">
        <v>0</v>
      </c>
      <c r="Z1172" s="1960">
        <v>0</v>
      </c>
      <c r="AA1172" s="1960">
        <v>0</v>
      </c>
      <c r="AB1172" s="1960">
        <v>0</v>
      </c>
      <c r="AC1172" s="1961">
        <v>0</v>
      </c>
      <c r="AD1172" s="201"/>
      <c r="AE1172" s="201"/>
      <c r="AF1172" s="201"/>
      <c r="AG1172" s="201"/>
      <c r="AH1172" s="201"/>
      <c r="AI1172" s="201"/>
      <c r="AJ1172" s="201"/>
    </row>
    <row r="1173" spans="1:36" s="197" customFormat="1" ht="14.25" customHeight="1">
      <c r="A1173" s="990">
        <v>1</v>
      </c>
      <c r="B1173" s="990">
        <v>1</v>
      </c>
      <c r="C1173" s="990" t="s">
        <v>863</v>
      </c>
      <c r="D1173" s="1121" t="s">
        <v>887</v>
      </c>
      <c r="E1173" s="1463" t="s">
        <v>1262</v>
      </c>
      <c r="F1173" s="1454"/>
      <c r="G1173" s="310"/>
      <c r="I1173" s="574"/>
      <c r="J1173" s="489"/>
      <c r="K1173" s="567"/>
      <c r="L1173" s="567" t="s">
        <v>432</v>
      </c>
      <c r="M1173" s="570"/>
      <c r="N1173" s="570"/>
      <c r="O1173" s="570"/>
      <c r="P1173" s="570"/>
      <c r="Q1173" s="1898" t="str">
        <f>CHOOSE(2, "6722000004091", "OUT Total TFI Others(3rd Party) PP")</f>
        <v>OUT Total TFI Others(3rd Party) PP</v>
      </c>
      <c r="R1173" s="2288">
        <v>0</v>
      </c>
      <c r="S1173" s="1959">
        <v>0</v>
      </c>
      <c r="T1173" s="1959">
        <v>0</v>
      </c>
      <c r="U1173" s="1959">
        <v>0</v>
      </c>
      <c r="V1173" s="1959">
        <v>0</v>
      </c>
      <c r="W1173" s="1960">
        <v>0</v>
      </c>
      <c r="X1173" s="1960">
        <v>0</v>
      </c>
      <c r="Y1173" s="1960">
        <v>0</v>
      </c>
      <c r="Z1173" s="1960">
        <v>0</v>
      </c>
      <c r="AA1173" s="1960">
        <v>0</v>
      </c>
      <c r="AB1173" s="1960">
        <v>0</v>
      </c>
      <c r="AC1173" s="1961">
        <v>0</v>
      </c>
      <c r="AD1173" s="201"/>
      <c r="AE1173" s="201"/>
      <c r="AF1173" s="201"/>
      <c r="AG1173" s="201"/>
      <c r="AH1173" s="201"/>
      <c r="AI1173" s="201"/>
      <c r="AJ1173" s="201"/>
    </row>
    <row r="1174" spans="1:36" s="197" customFormat="1" ht="14.25" customHeight="1">
      <c r="A1174" s="990">
        <v>1</v>
      </c>
      <c r="B1174" s="990">
        <v>1</v>
      </c>
      <c r="C1174" s="990" t="s">
        <v>863</v>
      </c>
      <c r="D1174" s="1121" t="s">
        <v>887</v>
      </c>
      <c r="E1174" s="1463" t="s">
        <v>1262</v>
      </c>
      <c r="F1174" s="1454"/>
      <c r="G1174" s="310"/>
      <c r="I1174" s="574"/>
      <c r="J1174" s="489"/>
      <c r="K1174" s="567"/>
      <c r="L1174" s="567" t="s">
        <v>403</v>
      </c>
      <c r="M1174" s="591" t="s">
        <v>1261</v>
      </c>
      <c r="N1174" s="570"/>
      <c r="O1174" s="570"/>
      <c r="P1174" s="570"/>
      <c r="Q1174" s="1898" t="str">
        <f>CHOOSE(2, "6722000004092", "OUT Total TFI Others(3rd Party) Others IP, DW-DX, Others")</f>
        <v>OUT Total TFI Others(3rd Party) Others IP, DW-DX, Others</v>
      </c>
      <c r="R1174" s="2288">
        <v>0</v>
      </c>
      <c r="S1174" s="1959">
        <v>0</v>
      </c>
      <c r="T1174" s="1959">
        <v>0</v>
      </c>
      <c r="U1174" s="1959">
        <v>0</v>
      </c>
      <c r="V1174" s="1959">
        <v>0</v>
      </c>
      <c r="W1174" s="1960">
        <v>0</v>
      </c>
      <c r="X1174" s="1960">
        <v>0</v>
      </c>
      <c r="Y1174" s="1960">
        <v>0</v>
      </c>
      <c r="Z1174" s="1960">
        <v>0</v>
      </c>
      <c r="AA1174" s="1960">
        <v>0</v>
      </c>
      <c r="AB1174" s="1960">
        <v>0</v>
      </c>
      <c r="AC1174" s="1961">
        <v>0</v>
      </c>
      <c r="AD1174" s="201"/>
      <c r="AE1174" s="201"/>
      <c r="AF1174" s="201"/>
      <c r="AG1174" s="201"/>
      <c r="AH1174" s="201"/>
      <c r="AI1174" s="201"/>
      <c r="AJ1174" s="201"/>
    </row>
    <row r="1175" spans="1:36" s="197" customFormat="1" ht="14.5">
      <c r="A1175" s="990">
        <v>1</v>
      </c>
      <c r="B1175" s="990">
        <v>1</v>
      </c>
      <c r="C1175" s="990" t="s">
        <v>863</v>
      </c>
      <c r="D1175" s="1121" t="s">
        <v>887</v>
      </c>
      <c r="E1175" s="1463" t="s">
        <v>1262</v>
      </c>
      <c r="F1175" s="1454"/>
      <c r="G1175" s="310"/>
      <c r="I1175" s="574"/>
      <c r="J1175" s="488" t="s">
        <v>453</v>
      </c>
      <c r="K1175" s="488"/>
      <c r="L1175" s="488"/>
      <c r="M1175" s="538"/>
      <c r="N1175" s="538"/>
      <c r="O1175" s="538"/>
      <c r="P1175" s="538"/>
      <c r="Q1175" s="1895" t="str">
        <f>CHOOSE(2, "6722000004093", "OUT Total L&amp;DoI")</f>
        <v>OUT Total L&amp;DoI</v>
      </c>
      <c r="R1175" s="2799">
        <v>170.40079999999995</v>
      </c>
      <c r="S1175" s="2291">
        <v>1473.87619</v>
      </c>
      <c r="T1175" s="2291">
        <v>261.85674999999998</v>
      </c>
      <c r="U1175" s="2291">
        <v>60.07137999999977</v>
      </c>
      <c r="V1175" s="2291">
        <v>547.86563999999964</v>
      </c>
      <c r="W1175" s="2292">
        <v>3945.4538799999964</v>
      </c>
      <c r="X1175" s="2803">
        <v>1726.8</v>
      </c>
      <c r="Y1175" s="2292">
        <v>26099.886140000013</v>
      </c>
      <c r="Z1175" s="2809">
        <v>1337.0253600000003</v>
      </c>
      <c r="AA1175" s="2809">
        <v>2666.2930499999989</v>
      </c>
      <c r="AB1175" s="2292">
        <v>4746.0860699999967</v>
      </c>
      <c r="AC1175" s="2293">
        <v>11919.524129999982</v>
      </c>
      <c r="AD1175" s="202"/>
      <c r="AE1175" s="202"/>
      <c r="AF1175" s="202"/>
      <c r="AG1175" s="202"/>
      <c r="AH1175" s="202"/>
      <c r="AI1175" s="202"/>
      <c r="AJ1175" s="202"/>
    </row>
    <row r="1176" spans="1:36" s="197" customFormat="1" ht="14.25" customHeight="1">
      <c r="A1176" s="990">
        <v>1</v>
      </c>
      <c r="B1176" s="990">
        <v>1</v>
      </c>
      <c r="C1176" s="990" t="s">
        <v>863</v>
      </c>
      <c r="D1176" s="1121" t="s">
        <v>887</v>
      </c>
      <c r="E1176" s="1463" t="s">
        <v>1262</v>
      </c>
      <c r="F1176" s="1454"/>
      <c r="G1176" s="310"/>
      <c r="I1176" s="574"/>
      <c r="J1176" s="488" t="s">
        <v>11</v>
      </c>
      <c r="K1176" s="488"/>
      <c r="L1176" s="488"/>
      <c r="M1176" s="538"/>
      <c r="N1176" s="538"/>
      <c r="O1176" s="538"/>
      <c r="P1176" s="538"/>
      <c r="Q1176" s="1899" t="str">
        <f>CHOOSE(2, "6722000004094", "OUT Total Others")</f>
        <v>OUT Total Others</v>
      </c>
      <c r="R1176" s="2075">
        <f t="shared" ref="R1176:AC1176" si="2132">SUM(R1177:R1179)</f>
        <v>0</v>
      </c>
      <c r="S1176" s="2076">
        <f t="shared" si="2132"/>
        <v>0</v>
      </c>
      <c r="T1176" s="2076">
        <f t="shared" si="2132"/>
        <v>0</v>
      </c>
      <c r="U1176" s="2076">
        <f t="shared" si="2132"/>
        <v>0</v>
      </c>
      <c r="V1176" s="2076">
        <f t="shared" si="2132"/>
        <v>0</v>
      </c>
      <c r="W1176" s="2077">
        <f t="shared" si="2132"/>
        <v>0</v>
      </c>
      <c r="X1176" s="2077">
        <f t="shared" si="2132"/>
        <v>0</v>
      </c>
      <c r="Y1176" s="2077">
        <f t="shared" si="2132"/>
        <v>0</v>
      </c>
      <c r="Z1176" s="2077">
        <f t="shared" si="2132"/>
        <v>0</v>
      </c>
      <c r="AA1176" s="2077">
        <f t="shared" si="2132"/>
        <v>0</v>
      </c>
      <c r="AB1176" s="2077">
        <f t="shared" si="2132"/>
        <v>0</v>
      </c>
      <c r="AC1176" s="2082">
        <f t="shared" si="2132"/>
        <v>0</v>
      </c>
      <c r="AD1176" s="202"/>
      <c r="AE1176" s="202"/>
      <c r="AF1176" s="202"/>
      <c r="AG1176" s="202"/>
      <c r="AH1176" s="202"/>
      <c r="AI1176" s="202"/>
      <c r="AJ1176" s="202"/>
    </row>
    <row r="1177" spans="1:36" s="197" customFormat="1" ht="14.25" customHeight="1">
      <c r="A1177" s="990">
        <v>1</v>
      </c>
      <c r="B1177" s="990">
        <v>1</v>
      </c>
      <c r="C1177" s="990" t="s">
        <v>863</v>
      </c>
      <c r="D1177" s="1121" t="s">
        <v>887</v>
      </c>
      <c r="E1177" s="1463" t="s">
        <v>1262</v>
      </c>
      <c r="F1177" s="1454"/>
      <c r="G1177" s="310"/>
      <c r="I1177" s="574"/>
      <c r="J1177" s="489"/>
      <c r="K1177" s="1688" t="s">
        <v>458</v>
      </c>
      <c r="L1177" s="75"/>
      <c r="M1177" s="1689"/>
      <c r="N1177" s="1689"/>
      <c r="O1177" s="1689"/>
      <c r="P1177" s="1689"/>
      <c r="Q1177" s="1895" t="str">
        <f>CHOOSE(2, "6722000004095", "OUT Total Others &lt; free input 1 &gt;")</f>
        <v>OUT Total Others &lt; free input 1 &gt;</v>
      </c>
      <c r="R1177" s="2294">
        <v>0</v>
      </c>
      <c r="S1177" s="2295">
        <v>0</v>
      </c>
      <c r="T1177" s="2295">
        <v>0</v>
      </c>
      <c r="U1177" s="2295">
        <v>0</v>
      </c>
      <c r="V1177" s="2295">
        <v>0</v>
      </c>
      <c r="W1177" s="2296">
        <v>0</v>
      </c>
      <c r="X1177" s="2296">
        <v>0</v>
      </c>
      <c r="Y1177" s="2296">
        <v>0</v>
      </c>
      <c r="Z1177" s="2296">
        <v>0</v>
      </c>
      <c r="AA1177" s="2296">
        <v>0</v>
      </c>
      <c r="AB1177" s="2296">
        <v>0</v>
      </c>
      <c r="AC1177" s="2297">
        <v>0</v>
      </c>
      <c r="AD1177" s="202"/>
      <c r="AE1177" s="202"/>
      <c r="AF1177" s="202"/>
      <c r="AG1177" s="202"/>
      <c r="AH1177" s="202"/>
      <c r="AI1177" s="202"/>
      <c r="AJ1177" s="202"/>
    </row>
    <row r="1178" spans="1:36" s="197" customFormat="1" ht="14.25" customHeight="1">
      <c r="A1178" s="990">
        <v>1</v>
      </c>
      <c r="B1178" s="990">
        <v>1</v>
      </c>
      <c r="C1178" s="990" t="s">
        <v>863</v>
      </c>
      <c r="D1178" s="1121" t="s">
        <v>887</v>
      </c>
      <c r="E1178" s="1463" t="s">
        <v>1262</v>
      </c>
      <c r="F1178" s="1454"/>
      <c r="G1178" s="310"/>
      <c r="I1178" s="574"/>
      <c r="J1178" s="489"/>
      <c r="K1178" s="1688" t="s">
        <v>458</v>
      </c>
      <c r="L1178" s="75"/>
      <c r="M1178" s="1689"/>
      <c r="N1178" s="1689"/>
      <c r="O1178" s="1689"/>
      <c r="P1178" s="1689"/>
      <c r="Q1178" s="1895" t="str">
        <f>CHOOSE(2, "6722000004096", "OUT Total Others &lt; free input 2 &gt;")</f>
        <v>OUT Total Others &lt; free input 2 &gt;</v>
      </c>
      <c r="R1178" s="2294">
        <v>0</v>
      </c>
      <c r="S1178" s="2295">
        <v>0</v>
      </c>
      <c r="T1178" s="2295">
        <v>0</v>
      </c>
      <c r="U1178" s="2295">
        <v>0</v>
      </c>
      <c r="V1178" s="2295">
        <v>0</v>
      </c>
      <c r="W1178" s="2296">
        <v>0</v>
      </c>
      <c r="X1178" s="2296">
        <v>0</v>
      </c>
      <c r="Y1178" s="2296">
        <v>0</v>
      </c>
      <c r="Z1178" s="2296">
        <v>0</v>
      </c>
      <c r="AA1178" s="2296">
        <v>0</v>
      </c>
      <c r="AB1178" s="2296">
        <v>0</v>
      </c>
      <c r="AC1178" s="2297">
        <v>0</v>
      </c>
      <c r="AD1178" s="202"/>
      <c r="AE1178" s="202"/>
      <c r="AF1178" s="202"/>
      <c r="AG1178" s="202"/>
      <c r="AH1178" s="202"/>
      <c r="AI1178" s="202"/>
      <c r="AJ1178" s="202"/>
    </row>
    <row r="1179" spans="1:36" s="197" customFormat="1" ht="14.5">
      <c r="A1179" s="990">
        <v>1</v>
      </c>
      <c r="B1179" s="990">
        <v>1</v>
      </c>
      <c r="C1179" s="990" t="s">
        <v>863</v>
      </c>
      <c r="D1179" s="1121" t="s">
        <v>887</v>
      </c>
      <c r="E1179" s="1463" t="s">
        <v>1262</v>
      </c>
      <c r="F1179" s="1454"/>
      <c r="G1179" s="310"/>
      <c r="I1179" s="574"/>
      <c r="J1179" s="490"/>
      <c r="K1179" s="276" t="s">
        <v>403</v>
      </c>
      <c r="L1179" s="276"/>
      <c r="M1179" s="592"/>
      <c r="N1179" s="592"/>
      <c r="O1179" s="592"/>
      <c r="P1179" s="592"/>
      <c r="Q1179" s="1895" t="str">
        <f>CHOOSE(2, "6722000004097", "OUT Total Others Others")</f>
        <v>OUT Total Others Others</v>
      </c>
      <c r="R1179" s="2298">
        <v>0</v>
      </c>
      <c r="S1179" s="2299">
        <v>0</v>
      </c>
      <c r="T1179" s="2299">
        <v>0</v>
      </c>
      <c r="U1179" s="2299">
        <v>0</v>
      </c>
      <c r="V1179" s="2299">
        <v>0</v>
      </c>
      <c r="W1179" s="2300">
        <v>0</v>
      </c>
      <c r="X1179" s="2300">
        <v>0</v>
      </c>
      <c r="Y1179" s="2300">
        <v>0</v>
      </c>
      <c r="Z1179" s="2300">
        <v>0</v>
      </c>
      <c r="AA1179" s="2300">
        <v>0</v>
      </c>
      <c r="AB1179" s="2300">
        <v>0</v>
      </c>
      <c r="AC1179" s="2301">
        <v>0</v>
      </c>
      <c r="AD1179" s="202"/>
      <c r="AE1179" s="202"/>
      <c r="AF1179" s="202"/>
      <c r="AG1179" s="202"/>
      <c r="AH1179" s="202"/>
      <c r="AI1179" s="202"/>
      <c r="AJ1179" s="202"/>
    </row>
    <row r="1180" spans="1:36" s="197" customFormat="1" ht="14.5">
      <c r="A1180" s="990">
        <v>1</v>
      </c>
      <c r="B1180" s="990">
        <v>1</v>
      </c>
      <c r="C1180" s="990" t="s">
        <v>863</v>
      </c>
      <c r="D1180" s="1121" t="s">
        <v>887</v>
      </c>
      <c r="E1180" s="1463" t="s">
        <v>1262</v>
      </c>
      <c r="F1180" s="1454"/>
      <c r="G1180" s="310"/>
      <c r="I1180" s="574"/>
      <c r="J1180" s="564" t="s">
        <v>454</v>
      </c>
      <c r="K1180" s="564"/>
      <c r="L1180" s="564"/>
      <c r="M1180" s="569"/>
      <c r="N1180" s="569"/>
      <c r="O1180" s="569"/>
      <c r="P1180" s="569"/>
      <c r="Q1180" s="1897" t="str">
        <f>CHOOSE(2, "6722000004098", "OUT Total Inventory at the end")</f>
        <v>OUT Total Inventory at the end</v>
      </c>
      <c r="R1180" s="1997">
        <f t="shared" ref="R1180:AC1180" si="2133">SUM(R1181:R1182)</f>
        <v>967611.44212309434</v>
      </c>
      <c r="S1180" s="1998">
        <f t="shared" si="2133"/>
        <v>1148683.4073328776</v>
      </c>
      <c r="T1180" s="1998">
        <f t="shared" si="2133"/>
        <v>1157112.1469635426</v>
      </c>
      <c r="U1180" s="1998">
        <f t="shared" si="2133"/>
        <v>1414816.9568983035</v>
      </c>
      <c r="V1180" s="1998">
        <f t="shared" si="2133"/>
        <v>1317908</v>
      </c>
      <c r="W1180" s="2023">
        <f t="shared" si="2133"/>
        <v>1450521.9303787234</v>
      </c>
      <c r="X1180" s="2023">
        <f t="shared" si="2133"/>
        <v>1460645.3832580918</v>
      </c>
      <c r="Y1180" s="2023">
        <f t="shared" si="2133"/>
        <v>1617307.3673690674</v>
      </c>
      <c r="Z1180" s="2023">
        <f t="shared" si="2133"/>
        <v>1584540.3093000001</v>
      </c>
      <c r="AA1180" s="2023">
        <f t="shared" si="2133"/>
        <v>1643267.7213260049</v>
      </c>
      <c r="AB1180" s="2023">
        <f t="shared" si="2133"/>
        <v>1889406.76883</v>
      </c>
      <c r="AC1180" s="1999">
        <f t="shared" si="2133"/>
        <v>1794234.6737707402</v>
      </c>
      <c r="AD1180" s="201"/>
      <c r="AE1180" s="201"/>
      <c r="AF1180" s="201"/>
      <c r="AG1180" s="201"/>
      <c r="AH1180" s="201"/>
      <c r="AI1180" s="201"/>
      <c r="AJ1180" s="201"/>
    </row>
    <row r="1181" spans="1:36" s="197" customFormat="1" ht="14.25" customHeight="1">
      <c r="A1181" s="990">
        <v>1</v>
      </c>
      <c r="B1181" s="990">
        <v>1</v>
      </c>
      <c r="C1181" s="990" t="s">
        <v>863</v>
      </c>
      <c r="D1181" s="1121" t="s">
        <v>887</v>
      </c>
      <c r="E1181" s="1463" t="s">
        <v>1262</v>
      </c>
      <c r="F1181" s="1454"/>
      <c r="G1181" s="310"/>
      <c r="I1181" s="574"/>
      <c r="J1181" s="357"/>
      <c r="K1181" s="567" t="s">
        <v>449</v>
      </c>
      <c r="L1181" s="567"/>
      <c r="M1181" s="570"/>
      <c r="N1181" s="570"/>
      <c r="O1181" s="570"/>
      <c r="P1181" s="570"/>
      <c r="Q1181" s="1889" t="str">
        <f>CHOOSE(2, "6722000004099", "OUT Total Inventory at the end From BT-Gr")</f>
        <v>OUT Total Inventory at the end From BT-Gr</v>
      </c>
      <c r="R1181" s="1969">
        <f>R1063+R1064</f>
        <v>926631.0072930943</v>
      </c>
      <c r="S1181" s="1947">
        <f t="shared" ref="S1181:AC1181" si="2134">S1063+S1064</f>
        <v>1075916.1900828776</v>
      </c>
      <c r="T1181" s="1947">
        <f t="shared" si="2134"/>
        <v>1080530.5355435426</v>
      </c>
      <c r="U1181" s="1947">
        <f t="shared" si="2134"/>
        <v>1331248.5068683035</v>
      </c>
      <c r="V1181" s="1947">
        <f t="shared" si="2134"/>
        <v>1243557</v>
      </c>
      <c r="W1181" s="1947">
        <f t="shared" si="2134"/>
        <v>1395916.3772287234</v>
      </c>
      <c r="X1181" s="1947">
        <f t="shared" si="2134"/>
        <v>1403399.2536880916</v>
      </c>
      <c r="Y1181" s="1947">
        <f t="shared" si="2134"/>
        <v>1589209.2130390673</v>
      </c>
      <c r="Z1181" s="1947">
        <f t="shared" si="2134"/>
        <v>1558759.52168</v>
      </c>
      <c r="AA1181" s="1947">
        <f t="shared" si="2134"/>
        <v>1620115.786526005</v>
      </c>
      <c r="AB1181" s="1947">
        <f t="shared" si="2134"/>
        <v>1865698.9562199998</v>
      </c>
      <c r="AC1181" s="1948">
        <f t="shared" si="2134"/>
        <v>1760955.45662074</v>
      </c>
      <c r="AD1181" s="201"/>
      <c r="AE1181" s="201"/>
      <c r="AF1181" s="201"/>
      <c r="AG1181" s="201"/>
      <c r="AH1181" s="201"/>
      <c r="AI1181" s="201"/>
      <c r="AJ1181" s="201"/>
    </row>
    <row r="1182" spans="1:36" s="197" customFormat="1" ht="14.5">
      <c r="A1182" s="990">
        <v>1</v>
      </c>
      <c r="B1182" s="990">
        <v>1</v>
      </c>
      <c r="C1182" s="990" t="s">
        <v>863</v>
      </c>
      <c r="D1182" s="1121" t="s">
        <v>887</v>
      </c>
      <c r="E1182" s="1463" t="s">
        <v>1262</v>
      </c>
      <c r="F1182" s="1455"/>
      <c r="G1182" s="308"/>
      <c r="I1182" s="575"/>
      <c r="J1182" s="565"/>
      <c r="K1182" s="276" t="s">
        <v>403</v>
      </c>
      <c r="L1182" s="276"/>
      <c r="M1182" s="398"/>
      <c r="N1182" s="398"/>
      <c r="O1182" s="398"/>
      <c r="P1182" s="398"/>
      <c r="Q1182" s="1889" t="str">
        <f>CHOOSE(2, "6722000004100", "OUT Total Inventory at the end Others")</f>
        <v>OUT Total Inventory at the end Others</v>
      </c>
      <c r="R1182" s="1981">
        <f>R1065</f>
        <v>40980.434829999998</v>
      </c>
      <c r="S1182" s="1949">
        <f t="shared" ref="S1182:AC1182" si="2135">S1065</f>
        <v>72767.217250000045</v>
      </c>
      <c r="T1182" s="1949">
        <f t="shared" si="2135"/>
        <v>76581.611420000074</v>
      </c>
      <c r="U1182" s="1949">
        <f t="shared" si="2135"/>
        <v>83568.450030000051</v>
      </c>
      <c r="V1182" s="1949">
        <f t="shared" si="2135"/>
        <v>74351</v>
      </c>
      <c r="W1182" s="1949">
        <f t="shared" si="2135"/>
        <v>54605.553150000051</v>
      </c>
      <c r="X1182" s="1949">
        <f t="shared" si="2135"/>
        <v>57246.129570000048</v>
      </c>
      <c r="Y1182" s="1949">
        <f t="shared" si="2135"/>
        <v>28098.154330000027</v>
      </c>
      <c r="Z1182" s="1949">
        <f t="shared" si="2135"/>
        <v>25780.787620000025</v>
      </c>
      <c r="AA1182" s="1949">
        <f t="shared" si="2135"/>
        <v>23151.934800000035</v>
      </c>
      <c r="AB1182" s="1949">
        <f t="shared" si="2135"/>
        <v>23707.812610000037</v>
      </c>
      <c r="AC1182" s="1950">
        <f t="shared" si="2135"/>
        <v>33279.21715000004</v>
      </c>
      <c r="AD1182" s="201"/>
      <c r="AE1182" s="201"/>
      <c r="AF1182" s="201"/>
      <c r="AG1182" s="201"/>
      <c r="AH1182" s="201"/>
      <c r="AI1182" s="201"/>
      <c r="AJ1182" s="201"/>
    </row>
    <row r="1183" spans="1:36" s="197" customFormat="1" ht="14.5">
      <c r="A1183" s="990">
        <v>1</v>
      </c>
      <c r="B1183" s="990">
        <v>1</v>
      </c>
      <c r="C1183" s="990" t="s">
        <v>863</v>
      </c>
      <c r="D1183" s="1121" t="s">
        <v>887</v>
      </c>
      <c r="E1183" s="1463" t="s">
        <v>1262</v>
      </c>
      <c r="F1183" s="1456"/>
      <c r="G1183" s="198"/>
      <c r="I1183" s="9"/>
      <c r="J1183" s="9"/>
      <c r="L1183" s="200"/>
      <c r="M1183" s="196"/>
      <c r="N1183" s="9"/>
      <c r="P1183" s="200" t="s">
        <v>417</v>
      </c>
      <c r="Q1183" s="1838" t="str">
        <f>CHOOSE(2, "6722000004101", "▷ Blank 42")</f>
        <v>▷ Blank 42</v>
      </c>
      <c r="R1183" s="2230" t="str">
        <f t="shared" ref="R1183:W1183" si="2136">IF(ROUND(R1151,0)=ROUND(R1161,0),"OK","NG")</f>
        <v>OK</v>
      </c>
      <c r="S1183" s="1942" t="str">
        <f t="shared" si="2136"/>
        <v>OK</v>
      </c>
      <c r="T1183" s="1942" t="str">
        <f t="shared" si="2136"/>
        <v>OK</v>
      </c>
      <c r="U1183" s="1942" t="str">
        <f t="shared" si="2136"/>
        <v>OK</v>
      </c>
      <c r="V1183" s="1942" t="str">
        <f t="shared" si="2136"/>
        <v>OK</v>
      </c>
      <c r="W1183" s="1942" t="str">
        <f t="shared" si="2136"/>
        <v>OK</v>
      </c>
      <c r="X1183" s="1942" t="str">
        <f>IF(ROUND(X1151,0)=ROUND(X1161,0),"OK","NG")</f>
        <v>OK</v>
      </c>
      <c r="Y1183" s="1942" t="str">
        <f>IF(ROUND(Y1151,0)=ROUND(Y1161,0),"OK","NG")</f>
        <v>OK</v>
      </c>
      <c r="Z1183" s="1942" t="str">
        <f>IF(ROUND(Z1151,0)=ROUND(Z1161,0),"OK","NG")</f>
        <v>OK</v>
      </c>
      <c r="AA1183" s="1942" t="str">
        <f t="shared" ref="AA1183:AB1183" si="2137">IF(ROUND(AA1151,0)=ROUND(AA1161,0),"OK","NG")</f>
        <v>NG</v>
      </c>
      <c r="AB1183" s="1942" t="str">
        <f t="shared" si="2137"/>
        <v>OK</v>
      </c>
      <c r="AC1183" s="1942" t="str">
        <f>IF(ROUND(AC1151,0)=ROUND(AC1161,0),"OK","NG")</f>
        <v>OK</v>
      </c>
      <c r="AD1183" s="199"/>
      <c r="AE1183" s="199"/>
      <c r="AF1183" s="199"/>
      <c r="AG1183" s="199"/>
      <c r="AH1183" s="199"/>
    </row>
    <row r="1184" spans="1:36" s="644" customFormat="1" ht="14.5" hidden="1" outlineLevel="1">
      <c r="A1184" s="990">
        <v>1</v>
      </c>
      <c r="B1184" s="990">
        <v>1</v>
      </c>
      <c r="C1184" s="990" t="s">
        <v>863</v>
      </c>
      <c r="D1184" s="1121" t="s">
        <v>887</v>
      </c>
      <c r="E1184" s="1463" t="s">
        <v>1262</v>
      </c>
      <c r="F1184" s="1457"/>
      <c r="I1184" s="643" t="s">
        <v>587</v>
      </c>
      <c r="J1184" s="642"/>
      <c r="K1184" s="642"/>
      <c r="L1184" s="642"/>
      <c r="M1184" s="642"/>
      <c r="N1184" s="642"/>
      <c r="O1184" s="642"/>
      <c r="P1184" s="642"/>
      <c r="Q1184" s="1902" t="str">
        <f>CHOOSE(2, "6722000004102", "OUT check by BU")</f>
        <v>OUT check by BU</v>
      </c>
      <c r="R1184" s="2232"/>
      <c r="S1184" s="642"/>
      <c r="T1184" s="642"/>
      <c r="U1184" s="642"/>
      <c r="V1184" s="642"/>
      <c r="W1184" s="642"/>
      <c r="X1184" s="642"/>
      <c r="Y1184" s="642"/>
      <c r="Z1184" s="642"/>
      <c r="AA1184" s="642"/>
    </row>
    <row r="1185" spans="1:36" s="646" customFormat="1" ht="14.25" hidden="1" customHeight="1" outlineLevel="1">
      <c r="A1185" s="990">
        <v>1</v>
      </c>
      <c r="B1185" s="990">
        <v>1</v>
      </c>
      <c r="C1185" s="990" t="s">
        <v>863</v>
      </c>
      <c r="D1185" s="1121" t="s">
        <v>887</v>
      </c>
      <c r="E1185" s="1463" t="s">
        <v>1262</v>
      </c>
      <c r="F1185" s="1458"/>
      <c r="I1185" s="667"/>
      <c r="J1185" s="645" t="s">
        <v>582</v>
      </c>
      <c r="K1185" s="645"/>
      <c r="L1185" s="645"/>
      <c r="M1185" s="645"/>
      <c r="N1185" s="645"/>
      <c r="O1185" s="645"/>
      <c r="P1185" s="645"/>
      <c r="Q1185" s="1843" t="str">
        <f>CHOOSE(2, "6722000004103", "OUT check by BU Office &lt;OUT&gt;")</f>
        <v>OUT check by BU Office &lt;OUT&gt;</v>
      </c>
      <c r="R1185" s="2234">
        <f>R1164+R1172+R1066</f>
        <v>274438.77023200004</v>
      </c>
      <c r="S1185" s="2093">
        <f t="shared" ref="S1185:AC1185" si="2138">S1164+S1172+S1066</f>
        <v>360166.06505999976</v>
      </c>
      <c r="T1185" s="2093">
        <f t="shared" si="2138"/>
        <v>376026.22366135049</v>
      </c>
      <c r="U1185" s="2093">
        <f t="shared" si="2138"/>
        <v>486626.92691599985</v>
      </c>
      <c r="V1185" s="2093">
        <f t="shared" si="2138"/>
        <v>502531.73212800012</v>
      </c>
      <c r="W1185" s="2093">
        <f t="shared" si="2138"/>
        <v>567343.40850400052</v>
      </c>
      <c r="X1185" s="2093">
        <f t="shared" si="2138"/>
        <v>501466.35407189064</v>
      </c>
      <c r="Y1185" s="2093">
        <f t="shared" si="2138"/>
        <v>595331.19476000057</v>
      </c>
      <c r="Z1185" s="2093">
        <f t="shared" si="2138"/>
        <v>636119.36543399899</v>
      </c>
      <c r="AA1185" s="2093">
        <f t="shared" si="2138"/>
        <v>612680.54547000001</v>
      </c>
      <c r="AB1185" s="2093">
        <f t="shared" si="2138"/>
        <v>781290.0815902499</v>
      </c>
      <c r="AC1185" s="2235">
        <f t="shared" si="2138"/>
        <v>803071.7400379983</v>
      </c>
    </row>
    <row r="1186" spans="1:36" s="646" customFormat="1" ht="14.5" hidden="1" outlineLevel="1">
      <c r="A1186" s="990">
        <v>1</v>
      </c>
      <c r="B1186" s="990">
        <v>1</v>
      </c>
      <c r="C1186" s="990" t="s">
        <v>863</v>
      </c>
      <c r="D1186" s="1121" t="s">
        <v>887</v>
      </c>
      <c r="E1186" s="1463" t="s">
        <v>1262</v>
      </c>
      <c r="F1186" s="1458"/>
      <c r="I1186" s="647"/>
      <c r="J1186" s="648" t="s">
        <v>583</v>
      </c>
      <c r="K1186" s="648"/>
      <c r="L1186" s="648"/>
      <c r="M1186" s="648"/>
      <c r="N1186" s="648"/>
      <c r="O1186" s="648"/>
      <c r="P1186" s="648"/>
      <c r="Q1186" s="1843" t="str">
        <f>CHOOSE(2, "6722000004104", "OUT check by BU PP &lt;OUT&gt;")</f>
        <v>OUT check by BU PP &lt;OUT&gt;</v>
      </c>
      <c r="R1186" s="2236">
        <f>R1167+R1173+R1069</f>
        <v>1009553.1478130876</v>
      </c>
      <c r="S1186" s="2094">
        <f t="shared" ref="S1186:AC1186" si="2139">S1167+S1173+S1069</f>
        <v>1147444.6181518873</v>
      </c>
      <c r="T1186" s="2094">
        <f t="shared" si="2139"/>
        <v>1122240.186703535</v>
      </c>
      <c r="U1186" s="2094">
        <f t="shared" si="2139"/>
        <v>1282481.9319663057</v>
      </c>
      <c r="V1186" s="2094">
        <f t="shared" si="2139"/>
        <v>1238618.0280239922</v>
      </c>
      <c r="W1186" s="2094">
        <f t="shared" si="2139"/>
        <v>1303128.1929687243</v>
      </c>
      <c r="X1186" s="2094">
        <f t="shared" si="2139"/>
        <v>1349294.8579062286</v>
      </c>
      <c r="Y1186" s="2094">
        <f t="shared" si="2139"/>
        <v>1467068.9534570565</v>
      </c>
      <c r="Z1186" s="2094">
        <f t="shared" si="2139"/>
        <v>1440104.802144987</v>
      </c>
      <c r="AA1186" s="2094">
        <f t="shared" si="2139"/>
        <v>1430089.8740972024</v>
      </c>
      <c r="AB1186" s="2094">
        <f t="shared" si="2139"/>
        <v>1540320.3208840259</v>
      </c>
      <c r="AC1186" s="2237">
        <f t="shared" si="2139"/>
        <v>1504308.669482341</v>
      </c>
    </row>
    <row r="1187" spans="1:36" s="646" customFormat="1" ht="14.25" hidden="1" customHeight="1" outlineLevel="1">
      <c r="A1187" s="990">
        <v>1</v>
      </c>
      <c r="B1187" s="990">
        <v>1</v>
      </c>
      <c r="C1187" s="990" t="s">
        <v>863</v>
      </c>
      <c r="D1187" s="1121" t="s">
        <v>887</v>
      </c>
      <c r="E1187" s="1463" t="s">
        <v>1262</v>
      </c>
      <c r="F1187" s="1458"/>
      <c r="I1187" s="647"/>
      <c r="J1187" s="648" t="s">
        <v>584</v>
      </c>
      <c r="K1187" s="648"/>
      <c r="L1187" s="648"/>
      <c r="M1187" s="648"/>
      <c r="N1187" s="648"/>
      <c r="O1187" s="648"/>
      <c r="P1187" s="648"/>
      <c r="Q1187" s="1843" t="str">
        <f>CHOOSE(2, "6722000004105", "OUT check by BU Others &lt;OUT&gt;")</f>
        <v>OUT check by BU Others &lt;OUT&gt;</v>
      </c>
      <c r="R1187" s="2236">
        <f>R1170+R1174+R1072+R1076+R1079</f>
        <v>44224.214399999997</v>
      </c>
      <c r="S1187" s="2094">
        <f t="shared" ref="S1187:AC1187" si="2140">S1170+S1174+S1072+S1076+S1079</f>
        <v>62192.789180990279</v>
      </c>
      <c r="T1187" s="2094">
        <f t="shared" si="2140"/>
        <v>79537.674110000036</v>
      </c>
      <c r="U1187" s="2094">
        <f t="shared" si="2140"/>
        <v>78347.876099999994</v>
      </c>
      <c r="V1187" s="2094">
        <f t="shared" si="2140"/>
        <v>80337.714790000013</v>
      </c>
      <c r="W1187" s="2094">
        <f t="shared" si="2140"/>
        <v>84217.948360000009</v>
      </c>
      <c r="X1187" s="2094">
        <f t="shared" si="2140"/>
        <v>79290.408469999995</v>
      </c>
      <c r="Y1187" s="2094">
        <f t="shared" si="2140"/>
        <v>82378.005750000011</v>
      </c>
      <c r="Z1187" s="2094">
        <f t="shared" si="2140"/>
        <v>77974.61553000001</v>
      </c>
      <c r="AA1187" s="2094">
        <f t="shared" si="2140"/>
        <v>92903.844427784832</v>
      </c>
      <c r="AB1187" s="2094">
        <f t="shared" si="2140"/>
        <v>148086.78922725338</v>
      </c>
      <c r="AC1187" s="2237">
        <f t="shared" si="2140"/>
        <v>214134.95692688887</v>
      </c>
    </row>
    <row r="1188" spans="1:36" s="646" customFormat="1" ht="14.5" hidden="1" outlineLevel="1">
      <c r="A1188" s="990">
        <v>1</v>
      </c>
      <c r="B1188" s="990">
        <v>1</v>
      </c>
      <c r="C1188" s="990" t="s">
        <v>863</v>
      </c>
      <c r="D1188" s="1121" t="s">
        <v>887</v>
      </c>
      <c r="E1188" s="1463" t="s">
        <v>1262</v>
      </c>
      <c r="F1188" s="1458"/>
      <c r="I1188" s="647"/>
      <c r="J1188" s="646" t="s">
        <v>453</v>
      </c>
      <c r="K1188" s="648"/>
      <c r="L1188" s="648"/>
      <c r="M1188" s="648"/>
      <c r="N1188" s="648"/>
      <c r="O1188" s="648"/>
      <c r="P1188" s="648"/>
      <c r="Q1188" s="1843" t="str">
        <f>CHOOSE(2, "6722000004106", "OUT check by BU L&amp;DoI")</f>
        <v>OUT check by BU L&amp;DoI</v>
      </c>
      <c r="R1188" s="2236">
        <f t="shared" ref="R1188:AC1189" si="2141">R1175</f>
        <v>170.40079999999995</v>
      </c>
      <c r="S1188" s="2094">
        <f t="shared" si="2141"/>
        <v>1473.87619</v>
      </c>
      <c r="T1188" s="2094">
        <f t="shared" si="2141"/>
        <v>261.85674999999998</v>
      </c>
      <c r="U1188" s="2094">
        <f t="shared" si="2141"/>
        <v>60.07137999999977</v>
      </c>
      <c r="V1188" s="2094">
        <f t="shared" si="2141"/>
        <v>547.86563999999964</v>
      </c>
      <c r="W1188" s="2094">
        <f t="shared" si="2141"/>
        <v>3945.4538799999964</v>
      </c>
      <c r="X1188" s="2094">
        <f t="shared" si="2141"/>
        <v>1726.8</v>
      </c>
      <c r="Y1188" s="2094">
        <f t="shared" si="2141"/>
        <v>26099.886140000013</v>
      </c>
      <c r="Z1188" s="2094">
        <f t="shared" si="2141"/>
        <v>1337.0253600000003</v>
      </c>
      <c r="AA1188" s="2094">
        <f t="shared" si="2141"/>
        <v>2666.2930499999989</v>
      </c>
      <c r="AB1188" s="2094">
        <f t="shared" si="2141"/>
        <v>4746.0860699999967</v>
      </c>
      <c r="AC1188" s="2237">
        <f t="shared" si="2141"/>
        <v>11919.524129999982</v>
      </c>
    </row>
    <row r="1189" spans="1:36" s="646" customFormat="1" ht="14.5" hidden="1" outlineLevel="1">
      <c r="A1189" s="990">
        <v>1</v>
      </c>
      <c r="B1189" s="990">
        <v>1</v>
      </c>
      <c r="C1189" s="990" t="s">
        <v>863</v>
      </c>
      <c r="D1189" s="1121" t="s">
        <v>887</v>
      </c>
      <c r="E1189" s="1463" t="s">
        <v>1262</v>
      </c>
      <c r="F1189" s="1458"/>
      <c r="I1189" s="649"/>
      <c r="J1189" s="650"/>
      <c r="K1189" s="651" t="s">
        <v>585</v>
      </c>
      <c r="L1189" s="651"/>
      <c r="M1189" s="652"/>
      <c r="N1189" s="652"/>
      <c r="O1189" s="652"/>
      <c r="P1189" s="652"/>
      <c r="Q1189" s="1843" t="str">
        <f>CHOOSE(2, "6722000004107", "OUT check by BU L&amp;DoI Others of Others")</f>
        <v>OUT check by BU L&amp;DoI Others of Others</v>
      </c>
      <c r="R1189" s="2238">
        <f t="shared" si="2141"/>
        <v>0</v>
      </c>
      <c r="S1189" s="2095">
        <f t="shared" si="2141"/>
        <v>0</v>
      </c>
      <c r="T1189" s="2095">
        <f t="shared" si="2141"/>
        <v>0</v>
      </c>
      <c r="U1189" s="2095">
        <f t="shared" si="2141"/>
        <v>0</v>
      </c>
      <c r="V1189" s="2095">
        <f t="shared" si="2141"/>
        <v>0</v>
      </c>
      <c r="W1189" s="2095">
        <f t="shared" si="2141"/>
        <v>0</v>
      </c>
      <c r="X1189" s="2095">
        <f t="shared" si="2141"/>
        <v>0</v>
      </c>
      <c r="Y1189" s="2095">
        <f t="shared" si="2141"/>
        <v>0</v>
      </c>
      <c r="Z1189" s="2095">
        <f t="shared" si="2141"/>
        <v>0</v>
      </c>
      <c r="AA1189" s="2095">
        <f t="shared" si="2141"/>
        <v>0</v>
      </c>
      <c r="AB1189" s="2095">
        <f t="shared" si="2141"/>
        <v>0</v>
      </c>
      <c r="AC1189" s="2239">
        <f t="shared" si="2141"/>
        <v>0</v>
      </c>
    </row>
    <row r="1190" spans="1:36" s="646" customFormat="1" ht="14.25" hidden="1" customHeight="1" outlineLevel="1">
      <c r="A1190" s="990">
        <v>1</v>
      </c>
      <c r="B1190" s="990">
        <v>1</v>
      </c>
      <c r="C1190" s="990" t="s">
        <v>863</v>
      </c>
      <c r="D1190" s="1121" t="s">
        <v>887</v>
      </c>
      <c r="E1190" s="1463" t="s">
        <v>1262</v>
      </c>
      <c r="F1190" s="1458"/>
      <c r="I1190" s="653" t="s">
        <v>416</v>
      </c>
      <c r="J1190" s="654"/>
      <c r="K1190" s="654"/>
      <c r="L1190" s="654"/>
      <c r="M1190" s="654"/>
      <c r="N1190" s="654"/>
      <c r="O1190" s="654"/>
      <c r="P1190" s="654"/>
      <c r="Q1190" s="1843" t="str">
        <f>CHOOSE(2, "6722000004108", "OUT check by BU Total")</f>
        <v>OUT check by BU Total</v>
      </c>
      <c r="R1190" s="2240">
        <f t="shared" ref="R1190" si="2142">SUM(R1185:R1189)</f>
        <v>1328386.5332450876</v>
      </c>
      <c r="S1190" s="2096">
        <f t="shared" ref="S1190:AC1190" si="2143">SUM(S1185:S1189)</f>
        <v>1571277.3485828773</v>
      </c>
      <c r="T1190" s="2096">
        <f t="shared" si="2143"/>
        <v>1578065.9412248856</v>
      </c>
      <c r="U1190" s="2096">
        <f t="shared" si="2143"/>
        <v>1847516.8063623058</v>
      </c>
      <c r="V1190" s="2096">
        <f t="shared" si="2143"/>
        <v>1822035.3405819924</v>
      </c>
      <c r="W1190" s="2096">
        <f t="shared" si="2143"/>
        <v>1958635.0037127247</v>
      </c>
      <c r="X1190" s="2096">
        <f t="shared" si="2143"/>
        <v>1931778.4204481193</v>
      </c>
      <c r="Y1190" s="2096">
        <f t="shared" si="2143"/>
        <v>2170878.0401070574</v>
      </c>
      <c r="Z1190" s="2096">
        <f t="shared" si="2143"/>
        <v>2155535.8084689858</v>
      </c>
      <c r="AA1190" s="2096">
        <f t="shared" si="2143"/>
        <v>2138340.5570449871</v>
      </c>
      <c r="AB1190" s="2096">
        <f t="shared" si="2143"/>
        <v>2474443.2777715293</v>
      </c>
      <c r="AC1190" s="2241">
        <f t="shared" si="2143"/>
        <v>2533434.8905772278</v>
      </c>
    </row>
    <row r="1191" spans="1:36" s="641" customFormat="1" ht="14.5" hidden="1" outlineLevel="1">
      <c r="A1191" s="990">
        <v>1</v>
      </c>
      <c r="B1191" s="990">
        <v>1</v>
      </c>
      <c r="C1191" s="990" t="s">
        <v>863</v>
      </c>
      <c r="D1191" s="1121" t="s">
        <v>887</v>
      </c>
      <c r="E1191" s="1463" t="s">
        <v>1262</v>
      </c>
      <c r="F1191" s="1459"/>
      <c r="I1191" s="640"/>
      <c r="J1191" s="640"/>
      <c r="K1191" s="640" t="s">
        <v>586</v>
      </c>
      <c r="L1191" s="640"/>
      <c r="M1191" s="640"/>
      <c r="N1191" s="640"/>
      <c r="O1191" s="640"/>
      <c r="P1191" s="640"/>
      <c r="Q1191" s="1843" t="str">
        <f>CHOOSE(2, "6722000004109", "▷ Blank 43")</f>
        <v>▷ Blank 43</v>
      </c>
      <c r="R1191" s="2242">
        <f t="shared" ref="R1191:AC1191" si="2144">R1190-R1161</f>
        <v>0</v>
      </c>
      <c r="S1191" s="2243">
        <f t="shared" si="2144"/>
        <v>0</v>
      </c>
      <c r="T1191" s="2243">
        <f t="shared" si="2144"/>
        <v>0</v>
      </c>
      <c r="U1191" s="2243">
        <f t="shared" si="2144"/>
        <v>0</v>
      </c>
      <c r="V1191" s="2243">
        <f t="shared" si="2144"/>
        <v>0</v>
      </c>
      <c r="W1191" s="2243">
        <f t="shared" si="2144"/>
        <v>0</v>
      </c>
      <c r="X1191" s="2243">
        <f t="shared" si="2144"/>
        <v>0</v>
      </c>
      <c r="Y1191" s="2243">
        <f t="shared" si="2144"/>
        <v>0</v>
      </c>
      <c r="Z1191" s="2243">
        <f t="shared" si="2144"/>
        <v>0</v>
      </c>
      <c r="AA1191" s="2243">
        <f t="shared" si="2144"/>
        <v>0</v>
      </c>
      <c r="AB1191" s="2243">
        <f t="shared" si="2144"/>
        <v>0</v>
      </c>
      <c r="AC1191" s="2243">
        <f t="shared" si="2144"/>
        <v>0</v>
      </c>
    </row>
    <row r="1192" spans="1:36" s="639" customFormat="1" ht="14.25" customHeight="1" collapsed="1">
      <c r="A1192" s="990">
        <v>1</v>
      </c>
      <c r="B1192" s="990">
        <v>1</v>
      </c>
      <c r="C1192" s="990" t="s">
        <v>863</v>
      </c>
      <c r="D1192" s="1121" t="s">
        <v>887</v>
      </c>
      <c r="E1192" s="1463" t="s">
        <v>1262</v>
      </c>
      <c r="F1192" s="1459"/>
      <c r="G1192" s="314"/>
      <c r="H1192" s="24"/>
      <c r="I1192" s="10"/>
      <c r="J1192" s="638"/>
      <c r="K1192" s="638"/>
      <c r="L1192" s="638"/>
      <c r="M1192" s="638"/>
      <c r="N1192" s="638"/>
      <c r="O1192" s="638"/>
      <c r="P1192" s="638"/>
      <c r="Q1192" s="1902" t="str">
        <f>CHOOSE(2, "6722000004110", "▷ Blank 44")</f>
        <v>▷ Blank 44</v>
      </c>
      <c r="R1192" s="2244"/>
      <c r="S1192" s="638"/>
      <c r="T1192" s="638"/>
      <c r="U1192" s="638"/>
      <c r="V1192" s="638"/>
      <c r="W1192" s="638"/>
      <c r="X1192" s="638"/>
      <c r="Y1192" s="638"/>
      <c r="Z1192" s="638"/>
    </row>
    <row r="1193" spans="1:36" s="639" customFormat="1" ht="14.25" customHeight="1">
      <c r="A1193" s="990">
        <v>1</v>
      </c>
      <c r="B1193" s="990">
        <v>1</v>
      </c>
      <c r="C1193" s="990" t="s">
        <v>863</v>
      </c>
      <c r="D1193" s="1755"/>
      <c r="E1193" s="1463" t="s">
        <v>1262</v>
      </c>
      <c r="F1193" s="314" t="s">
        <v>1275</v>
      </c>
      <c r="G1193" s="314"/>
      <c r="H1193" s="24"/>
      <c r="I1193" s="10"/>
      <c r="J1193" s="638"/>
      <c r="K1193" s="638"/>
      <c r="L1193" s="638"/>
      <c r="M1193" s="638"/>
      <c r="N1193" s="638"/>
      <c r="O1193" s="638"/>
      <c r="P1193" s="638"/>
      <c r="Q1193" s="1902" t="str">
        <f>CHOOSE(2, "6722000004111", "7. CX2")</f>
        <v>7. CX2</v>
      </c>
      <c r="R1193" s="2244"/>
      <c r="S1193" s="638"/>
      <c r="T1193" s="638"/>
      <c r="U1193" s="638"/>
      <c r="V1193" s="638"/>
      <c r="W1193" s="638"/>
      <c r="X1193" s="638"/>
      <c r="Y1193" s="638"/>
      <c r="Z1193" s="638"/>
    </row>
    <row r="1194" spans="1:36" s="639" customFormat="1" ht="14.25" customHeight="1">
      <c r="A1194" s="990">
        <v>1</v>
      </c>
      <c r="B1194" s="990">
        <v>1</v>
      </c>
      <c r="C1194" s="990" t="s">
        <v>863</v>
      </c>
      <c r="D1194" s="1755"/>
      <c r="E1194" s="1463" t="s">
        <v>1262</v>
      </c>
      <c r="F1194" s="1459"/>
      <c r="G1194" s="24"/>
      <c r="H1194" s="24"/>
      <c r="I1194" s="1465" t="s">
        <v>1276</v>
      </c>
      <c r="J1194" s="206"/>
      <c r="K1194" s="205"/>
      <c r="L1194" s="205"/>
      <c r="M1194" s="205"/>
      <c r="N1194" s="204"/>
      <c r="O1194" s="204"/>
      <c r="P1194" s="204"/>
      <c r="Q1194" s="1902" t="str">
        <f>CHOOSE(2, "6722000004112", "BUS ONLY")</f>
        <v>BUS ONLY</v>
      </c>
      <c r="R1194" s="2244"/>
      <c r="S1194" s="638"/>
      <c r="T1194" s="638"/>
      <c r="U1194" s="638"/>
      <c r="V1194" s="638"/>
      <c r="W1194" s="638"/>
      <c r="X1194" s="638"/>
      <c r="Y1194" s="638"/>
      <c r="Z1194" s="638"/>
      <c r="AC1194" s="1469"/>
      <c r="AD1194" s="1469"/>
    </row>
    <row r="1195" spans="1:36" s="639" customFormat="1" ht="14.25" customHeight="1">
      <c r="A1195" s="990">
        <v>1</v>
      </c>
      <c r="B1195" s="990">
        <v>1</v>
      </c>
      <c r="C1195" s="990" t="s">
        <v>863</v>
      </c>
      <c r="D1195" s="1755"/>
      <c r="E1195" s="1463" t="s">
        <v>1262</v>
      </c>
      <c r="F1195" s="1459"/>
      <c r="I1195" s="1470"/>
      <c r="J1195" s="1466"/>
      <c r="K1195" s="1466"/>
      <c r="L1195" s="1466"/>
      <c r="M1195" s="1466"/>
      <c r="N1195" s="1471"/>
      <c r="O1195" s="1471"/>
      <c r="P1195" s="1471"/>
      <c r="Q1195" s="1903" t="str">
        <f>CHOOSE(2, "6722000004113", "▷ Blank 45")</f>
        <v>▷ Blank 45</v>
      </c>
      <c r="R1195" s="2000">
        <f>R13</f>
        <v>44652</v>
      </c>
      <c r="S1195" s="2001">
        <f t="shared" ref="S1195:AC1195" si="2145">S13</f>
        <v>44682</v>
      </c>
      <c r="T1195" s="2001">
        <f t="shared" si="2145"/>
        <v>44713</v>
      </c>
      <c r="U1195" s="2001">
        <f t="shared" si="2145"/>
        <v>44743</v>
      </c>
      <c r="V1195" s="2001">
        <f t="shared" si="2145"/>
        <v>44774</v>
      </c>
      <c r="W1195" s="2001">
        <f t="shared" si="2145"/>
        <v>44805</v>
      </c>
      <c r="X1195" s="2001">
        <f t="shared" si="2145"/>
        <v>44835</v>
      </c>
      <c r="Y1195" s="2001">
        <f t="shared" si="2145"/>
        <v>44866</v>
      </c>
      <c r="Z1195" s="2001">
        <f t="shared" si="2145"/>
        <v>44896</v>
      </c>
      <c r="AA1195" s="2001">
        <f t="shared" si="2145"/>
        <v>44927</v>
      </c>
      <c r="AB1195" s="2001">
        <f t="shared" si="2145"/>
        <v>44958</v>
      </c>
      <c r="AC1195" s="2001">
        <f t="shared" si="2145"/>
        <v>44986</v>
      </c>
      <c r="AD1195" s="1467" t="s">
        <v>1426</v>
      </c>
      <c r="AE1195" s="1485" t="s">
        <v>1254</v>
      </c>
      <c r="AF1195" s="1485" t="s">
        <v>1255</v>
      </c>
      <c r="AG1195" s="1485" t="s">
        <v>1256</v>
      </c>
      <c r="AH1195" s="1485" t="s">
        <v>101</v>
      </c>
      <c r="AI1195" s="1485" t="s">
        <v>100</v>
      </c>
      <c r="AJ1195" s="1485" t="s">
        <v>1242</v>
      </c>
    </row>
    <row r="1196" spans="1:36" s="639" customFormat="1" ht="14.25" customHeight="1">
      <c r="A1196" s="990">
        <v>1</v>
      </c>
      <c r="B1196" s="990">
        <v>1</v>
      </c>
      <c r="C1196" s="990" t="s">
        <v>863</v>
      </c>
      <c r="D1196" s="1755"/>
      <c r="E1196" s="1463" t="s">
        <v>1262</v>
      </c>
      <c r="F1196" s="1459"/>
      <c r="I1196" s="1472" t="s">
        <v>1243</v>
      </c>
      <c r="J1196" s="1468"/>
      <c r="K1196" s="1468"/>
      <c r="L1196" s="1468"/>
      <c r="M1196" s="1468"/>
      <c r="N1196" s="1473" t="s">
        <v>1252</v>
      </c>
      <c r="O1196" s="1474"/>
      <c r="P1196" s="1474"/>
      <c r="Q1196" s="1847" t="str">
        <f>CHOOSE(2, "6722000004114", "New Customer * Number of Purchase Account")</f>
        <v>New Customer * Number of Purchase Account</v>
      </c>
      <c r="R1196" s="2026">
        <v>0</v>
      </c>
      <c r="S1196" s="2027">
        <v>0</v>
      </c>
      <c r="T1196" s="2027">
        <v>0</v>
      </c>
      <c r="U1196" s="2283">
        <v>0</v>
      </c>
      <c r="V1196" s="2283">
        <v>0</v>
      </c>
      <c r="W1196" s="2283">
        <v>0</v>
      </c>
      <c r="X1196" s="2283">
        <v>0</v>
      </c>
      <c r="Y1196" s="2283">
        <v>0</v>
      </c>
      <c r="Z1196" s="2283">
        <v>0</v>
      </c>
      <c r="AA1196" s="2283">
        <v>0</v>
      </c>
      <c r="AB1196" s="2283">
        <v>0</v>
      </c>
      <c r="AC1196" s="2283">
        <v>0</v>
      </c>
      <c r="AD1196" s="1583">
        <f t="shared" ref="AD1196:AD1232" si="2146">SUM($R1196:$T1196)</f>
        <v>0</v>
      </c>
      <c r="AE1196" s="1481">
        <f>SUM($U1196:$W1196)</f>
        <v>0</v>
      </c>
      <c r="AF1196" s="1481">
        <f>SUM($X1196:$Z1196)</f>
        <v>0</v>
      </c>
      <c r="AG1196" s="1481">
        <f>SUM($AA1196:$AC1196)</f>
        <v>0</v>
      </c>
      <c r="AH1196" s="1481">
        <f>SUM($AD1196:$AE1196)</f>
        <v>0</v>
      </c>
      <c r="AI1196" s="1481">
        <f>SUM($AF1196:$AG1196)</f>
        <v>0</v>
      </c>
      <c r="AJ1196" s="1486">
        <f>SUM($AH1196:$AI1196)</f>
        <v>0</v>
      </c>
    </row>
    <row r="1197" spans="1:36" s="639" customFormat="1" ht="14.25" customHeight="1">
      <c r="A1197" s="990">
        <v>1</v>
      </c>
      <c r="B1197" s="990">
        <v>1</v>
      </c>
      <c r="C1197" s="990" t="s">
        <v>863</v>
      </c>
      <c r="D1197" s="1755"/>
      <c r="E1197" s="1463" t="s">
        <v>1262</v>
      </c>
      <c r="F1197" s="1459"/>
      <c r="I1197" s="1475"/>
      <c r="N1197" s="1472" t="s">
        <v>1244</v>
      </c>
      <c r="O1197" s="1476" t="s">
        <v>1245</v>
      </c>
      <c r="P1197" s="1476" t="s">
        <v>1246</v>
      </c>
      <c r="Q1197" s="1847" t="str">
        <f>CHOOSE(2, "6722000004115", "New Customer * Sales Office HW")</f>
        <v>New Customer * Sales Office HW</v>
      </c>
      <c r="R1197" s="2284">
        <v>0</v>
      </c>
      <c r="S1197" s="2285">
        <v>0</v>
      </c>
      <c r="T1197" s="2285">
        <v>0</v>
      </c>
      <c r="U1197" s="2285">
        <v>0</v>
      </c>
      <c r="V1197" s="2285">
        <v>0</v>
      </c>
      <c r="W1197" s="2285">
        <v>0</v>
      </c>
      <c r="X1197" s="2285">
        <v>0</v>
      </c>
      <c r="Y1197" s="2285">
        <v>0</v>
      </c>
      <c r="Z1197" s="2285">
        <v>0</v>
      </c>
      <c r="AA1197" s="2285">
        <v>0</v>
      </c>
      <c r="AB1197" s="2285">
        <v>0</v>
      </c>
      <c r="AC1197" s="2285">
        <v>0</v>
      </c>
      <c r="AD1197" s="1494">
        <f t="shared" si="2146"/>
        <v>0</v>
      </c>
      <c r="AE1197" s="1412">
        <f t="shared" ref="AE1197:AE1202" si="2147">SUM($U1197:$W1197)</f>
        <v>0</v>
      </c>
      <c r="AF1197" s="1412">
        <f t="shared" ref="AF1197:AF1202" si="2148">SUM($X1197:$Z1197)</f>
        <v>0</v>
      </c>
      <c r="AG1197" s="1412">
        <f t="shared" ref="AG1197:AG1202" si="2149">SUM($AA1197:$AC1197)</f>
        <v>0</v>
      </c>
      <c r="AH1197" s="1412">
        <f t="shared" ref="AH1197:AH1202" si="2150">SUM($AD1197:$AE1197)</f>
        <v>0</v>
      </c>
      <c r="AI1197" s="1412">
        <f t="shared" ref="AI1197:AI1202" si="2151">SUM($AF1197:$AG1197)</f>
        <v>0</v>
      </c>
      <c r="AJ1197" s="1416">
        <f t="shared" ref="AJ1197:AJ1202" si="2152">SUM($AH1197:$AI1197)</f>
        <v>0</v>
      </c>
    </row>
    <row r="1198" spans="1:36" s="639" customFormat="1" ht="14.25" customHeight="1">
      <c r="A1198" s="990">
        <v>1</v>
      </c>
      <c r="B1198" s="990">
        <v>1</v>
      </c>
      <c r="C1198" s="990" t="s">
        <v>863</v>
      </c>
      <c r="D1198" s="1755"/>
      <c r="E1198" s="1463" t="s">
        <v>1262</v>
      </c>
      <c r="F1198" s="1459"/>
      <c r="I1198" s="1584" t="s">
        <v>1270</v>
      </c>
      <c r="N1198" s="1475"/>
      <c r="O1198" s="1477"/>
      <c r="P1198" s="1477" t="s">
        <v>1247</v>
      </c>
      <c r="Q1198" s="1847" t="str">
        <f>CHOOSE(2, "6722000004116", "New Customer * Sales Office NH")</f>
        <v>New Customer * Sales Office NH</v>
      </c>
      <c r="R1198" s="2284">
        <v>0</v>
      </c>
      <c r="S1198" s="2285">
        <v>0</v>
      </c>
      <c r="T1198" s="2285">
        <v>0</v>
      </c>
      <c r="U1198" s="2285">
        <v>0</v>
      </c>
      <c r="V1198" s="2285">
        <v>0</v>
      </c>
      <c r="W1198" s="2285">
        <v>0</v>
      </c>
      <c r="X1198" s="2285">
        <v>0</v>
      </c>
      <c r="Y1198" s="2285">
        <v>0</v>
      </c>
      <c r="Z1198" s="2285">
        <v>0</v>
      </c>
      <c r="AA1198" s="2285">
        <v>0</v>
      </c>
      <c r="AB1198" s="2285">
        <v>0</v>
      </c>
      <c r="AC1198" s="2285">
        <v>0</v>
      </c>
      <c r="AD1198" s="1494">
        <f t="shared" si="2146"/>
        <v>0</v>
      </c>
      <c r="AE1198" s="1412">
        <f>SUM($U1198:$W1198)</f>
        <v>0</v>
      </c>
      <c r="AF1198" s="1412">
        <f>SUM($X1198:$Z1198)</f>
        <v>0</v>
      </c>
      <c r="AG1198" s="1412">
        <f>SUM($AA1198:$AC1198)</f>
        <v>0</v>
      </c>
      <c r="AH1198" s="1412">
        <f>SUM($AD1198:$AE1198)</f>
        <v>0</v>
      </c>
      <c r="AI1198" s="1412">
        <f>SUM($AF1198:$AG1198)</f>
        <v>0</v>
      </c>
      <c r="AJ1198" s="1416">
        <f>SUM($AH1198:$AI1198)</f>
        <v>0</v>
      </c>
    </row>
    <row r="1199" spans="1:36" s="639" customFormat="1" ht="14.25" customHeight="1">
      <c r="A1199" s="990">
        <v>1</v>
      </c>
      <c r="B1199" s="990">
        <v>1</v>
      </c>
      <c r="C1199" s="990" t="s">
        <v>863</v>
      </c>
      <c r="D1199" s="1755"/>
      <c r="E1199" s="1781" t="s">
        <v>460</v>
      </c>
      <c r="F1199" s="1782"/>
      <c r="I1199" s="1584" t="s">
        <v>1319</v>
      </c>
      <c r="N1199" s="1475"/>
      <c r="O1199" s="1478"/>
      <c r="P1199" s="1478" t="s">
        <v>1416</v>
      </c>
      <c r="Q1199" s="1847" t="str">
        <f>CHOOSE(2, "6722000004117", "New Customer * Sales Office Office Solution")</f>
        <v>New Customer * Sales Office Office Solution</v>
      </c>
      <c r="R1199" s="2286">
        <v>0</v>
      </c>
      <c r="S1199" s="2287">
        <v>0</v>
      </c>
      <c r="T1199" s="2287">
        <v>0</v>
      </c>
      <c r="U1199" s="2287">
        <v>0</v>
      </c>
      <c r="V1199" s="2287">
        <v>0</v>
      </c>
      <c r="W1199" s="2287">
        <v>0</v>
      </c>
      <c r="X1199" s="2287">
        <v>0</v>
      </c>
      <c r="Y1199" s="2287">
        <v>0</v>
      </c>
      <c r="Z1199" s="2287">
        <v>0</v>
      </c>
      <c r="AA1199" s="2287">
        <v>0</v>
      </c>
      <c r="AB1199" s="2287">
        <v>0</v>
      </c>
      <c r="AC1199" s="2287">
        <v>0</v>
      </c>
      <c r="AD1199" s="1495">
        <f t="shared" si="2146"/>
        <v>0</v>
      </c>
      <c r="AE1199" s="1413">
        <f t="shared" ref="AE1199:AE1201" si="2153">SUM($U1199:$W1199)</f>
        <v>0</v>
      </c>
      <c r="AF1199" s="1413">
        <f t="shared" ref="AF1199:AF1201" si="2154">SUM($X1199:$Z1199)</f>
        <v>0</v>
      </c>
      <c r="AG1199" s="1413">
        <f t="shared" ref="AG1199:AG1201" si="2155">SUM($AA1199:$AC1199)</f>
        <v>0</v>
      </c>
      <c r="AH1199" s="1413">
        <f t="shared" ref="AH1199:AH1201" si="2156">SUM($AD1199:$AE1199)</f>
        <v>0</v>
      </c>
      <c r="AI1199" s="1413">
        <f t="shared" ref="AI1199:AI1201" si="2157">SUM($AF1199:$AG1199)</f>
        <v>0</v>
      </c>
      <c r="AJ1199" s="1417">
        <f t="shared" ref="AJ1199:AJ1201" si="2158">SUM($AH1199:$AI1199)</f>
        <v>0</v>
      </c>
    </row>
    <row r="1200" spans="1:36" s="639" customFormat="1" ht="14.25" customHeight="1">
      <c r="A1200" s="990">
        <v>1</v>
      </c>
      <c r="B1200" s="990">
        <v>1</v>
      </c>
      <c r="C1200" s="990" t="s">
        <v>863</v>
      </c>
      <c r="D1200" s="1755"/>
      <c r="E1200" s="1463" t="s">
        <v>1262</v>
      </c>
      <c r="F1200" s="1459"/>
      <c r="I1200" s="1584" t="s">
        <v>1269</v>
      </c>
      <c r="N1200" s="1475"/>
      <c r="O1200" s="1478" t="s">
        <v>1248</v>
      </c>
      <c r="P1200" s="1478"/>
      <c r="Q1200" s="1847" t="str">
        <f>CHOOSE(2, "6722000004118", "New Customer * Sales DW-DX")</f>
        <v>New Customer * Sales DW-DX</v>
      </c>
      <c r="R1200" s="2286">
        <v>0</v>
      </c>
      <c r="S1200" s="2287">
        <v>0</v>
      </c>
      <c r="T1200" s="2287">
        <v>0</v>
      </c>
      <c r="U1200" s="2287">
        <v>0</v>
      </c>
      <c r="V1200" s="2287">
        <v>0</v>
      </c>
      <c r="W1200" s="2287">
        <v>0</v>
      </c>
      <c r="X1200" s="2287">
        <v>0</v>
      </c>
      <c r="Y1200" s="2287">
        <v>0</v>
      </c>
      <c r="Z1200" s="2287">
        <v>0</v>
      </c>
      <c r="AA1200" s="2287">
        <v>0</v>
      </c>
      <c r="AB1200" s="2287">
        <v>0</v>
      </c>
      <c r="AC1200" s="2287">
        <v>0</v>
      </c>
      <c r="AD1200" s="1495">
        <f t="shared" si="2146"/>
        <v>0</v>
      </c>
      <c r="AE1200" s="1413">
        <f t="shared" si="2153"/>
        <v>0</v>
      </c>
      <c r="AF1200" s="1413">
        <f t="shared" si="2154"/>
        <v>0</v>
      </c>
      <c r="AG1200" s="1413">
        <f t="shared" si="2155"/>
        <v>0</v>
      </c>
      <c r="AH1200" s="1413">
        <f t="shared" si="2156"/>
        <v>0</v>
      </c>
      <c r="AI1200" s="1413">
        <f t="shared" si="2157"/>
        <v>0</v>
      </c>
      <c r="AJ1200" s="1417">
        <f t="shared" si="2158"/>
        <v>0</v>
      </c>
    </row>
    <row r="1201" spans="1:36" s="639" customFormat="1" ht="14.25" customHeight="1">
      <c r="A1201" s="990">
        <v>1</v>
      </c>
      <c r="B1201" s="990">
        <v>1</v>
      </c>
      <c r="C1201" s="990" t="s">
        <v>863</v>
      </c>
      <c r="D1201" s="1755"/>
      <c r="E1201" s="1463" t="s">
        <v>1262</v>
      </c>
      <c r="F1201" s="1459"/>
      <c r="I1201" s="1584"/>
      <c r="N1201" s="1479"/>
      <c r="O1201" s="1480" t="s">
        <v>1249</v>
      </c>
      <c r="P1201" s="1480"/>
      <c r="Q1201" s="1888" t="str">
        <f>CHOOSE(2, "6722000004119", "New Customer * Sales Total")</f>
        <v>New Customer * Sales Total</v>
      </c>
      <c r="R1201" s="1982">
        <f>SUM(R1197:R1200)</f>
        <v>0</v>
      </c>
      <c r="S1201" s="1414">
        <f t="shared" ref="S1201:AC1201" si="2159">SUM(S1197:S1200)</f>
        <v>0</v>
      </c>
      <c r="T1201" s="1414">
        <f t="shared" si="2159"/>
        <v>0</v>
      </c>
      <c r="U1201" s="1414">
        <f t="shared" si="2159"/>
        <v>0</v>
      </c>
      <c r="V1201" s="1414">
        <f t="shared" si="2159"/>
        <v>0</v>
      </c>
      <c r="W1201" s="1414">
        <f t="shared" si="2159"/>
        <v>0</v>
      </c>
      <c r="X1201" s="1414">
        <f t="shared" si="2159"/>
        <v>0</v>
      </c>
      <c r="Y1201" s="1414">
        <f t="shared" si="2159"/>
        <v>0</v>
      </c>
      <c r="Z1201" s="1414">
        <f t="shared" si="2159"/>
        <v>0</v>
      </c>
      <c r="AA1201" s="1414">
        <f t="shared" si="2159"/>
        <v>0</v>
      </c>
      <c r="AB1201" s="1414">
        <f t="shared" si="2159"/>
        <v>0</v>
      </c>
      <c r="AC1201" s="1414">
        <f t="shared" si="2159"/>
        <v>0</v>
      </c>
      <c r="AD1201" s="1496">
        <f t="shared" si="2146"/>
        <v>0</v>
      </c>
      <c r="AE1201" s="1415">
        <f t="shared" si="2153"/>
        <v>0</v>
      </c>
      <c r="AF1201" s="1415">
        <f t="shared" si="2154"/>
        <v>0</v>
      </c>
      <c r="AG1201" s="1415">
        <f t="shared" si="2155"/>
        <v>0</v>
      </c>
      <c r="AH1201" s="1415">
        <f t="shared" si="2156"/>
        <v>0</v>
      </c>
      <c r="AI1201" s="1415">
        <f t="shared" si="2157"/>
        <v>0</v>
      </c>
      <c r="AJ1201" s="1414">
        <f t="shared" si="2158"/>
        <v>0</v>
      </c>
    </row>
    <row r="1202" spans="1:36" s="639" customFormat="1" ht="14.25" customHeight="1">
      <c r="A1202" s="990">
        <v>1</v>
      </c>
      <c r="B1202" s="990">
        <v>1</v>
      </c>
      <c r="C1202" s="990" t="s">
        <v>863</v>
      </c>
      <c r="D1202" s="1755"/>
      <c r="E1202" s="1463" t="s">
        <v>1262</v>
      </c>
      <c r="F1202" s="1459"/>
      <c r="I1202" s="1475"/>
      <c r="N1202" s="1475" t="s">
        <v>1250</v>
      </c>
      <c r="O1202" s="1477" t="s">
        <v>1245</v>
      </c>
      <c r="P1202" s="1477" t="s">
        <v>1246</v>
      </c>
      <c r="Q1202" s="1847" t="str">
        <f>CHOOSE(2, "6722000004120", "New Customer * GP Office HW")</f>
        <v>New Customer * GP Office HW</v>
      </c>
      <c r="R1202" s="2284">
        <v>0</v>
      </c>
      <c r="S1202" s="2285">
        <v>0</v>
      </c>
      <c r="T1202" s="2285">
        <v>0</v>
      </c>
      <c r="U1202" s="2285">
        <v>0</v>
      </c>
      <c r="V1202" s="2285">
        <v>0</v>
      </c>
      <c r="W1202" s="2285">
        <v>0</v>
      </c>
      <c r="X1202" s="2285">
        <v>0</v>
      </c>
      <c r="Y1202" s="2285">
        <v>0</v>
      </c>
      <c r="Z1202" s="2285">
        <v>0</v>
      </c>
      <c r="AA1202" s="2285">
        <v>0</v>
      </c>
      <c r="AB1202" s="2285">
        <v>0</v>
      </c>
      <c r="AC1202" s="2285">
        <v>0</v>
      </c>
      <c r="AD1202" s="1494">
        <f t="shared" si="2146"/>
        <v>0</v>
      </c>
      <c r="AE1202" s="1412">
        <f t="shared" si="2147"/>
        <v>0</v>
      </c>
      <c r="AF1202" s="1412">
        <f t="shared" si="2148"/>
        <v>0</v>
      </c>
      <c r="AG1202" s="1412">
        <f t="shared" si="2149"/>
        <v>0</v>
      </c>
      <c r="AH1202" s="1412">
        <f t="shared" si="2150"/>
        <v>0</v>
      </c>
      <c r="AI1202" s="1412">
        <f t="shared" si="2151"/>
        <v>0</v>
      </c>
      <c r="AJ1202" s="1416">
        <f t="shared" si="2152"/>
        <v>0</v>
      </c>
    </row>
    <row r="1203" spans="1:36" s="639" customFormat="1" ht="14.25" customHeight="1">
      <c r="A1203" s="990">
        <v>1</v>
      </c>
      <c r="B1203" s="990">
        <v>1</v>
      </c>
      <c r="C1203" s="990" t="s">
        <v>863</v>
      </c>
      <c r="D1203" s="1755"/>
      <c r="E1203" s="1463" t="s">
        <v>1262</v>
      </c>
      <c r="F1203" s="1459"/>
      <c r="I1203" s="1475"/>
      <c r="N1203" s="1475"/>
      <c r="O1203" s="1477"/>
      <c r="P1203" s="1477" t="s">
        <v>1247</v>
      </c>
      <c r="Q1203" s="1847" t="str">
        <f>CHOOSE(2, "6722000004121", "New Customer * GP Office NH")</f>
        <v>New Customer * GP Office NH</v>
      </c>
      <c r="R1203" s="2284">
        <v>0</v>
      </c>
      <c r="S1203" s="2285">
        <v>0</v>
      </c>
      <c r="T1203" s="2285">
        <v>0</v>
      </c>
      <c r="U1203" s="2285">
        <v>0</v>
      </c>
      <c r="V1203" s="2285">
        <v>0</v>
      </c>
      <c r="W1203" s="2285">
        <v>0</v>
      </c>
      <c r="X1203" s="2285">
        <v>0</v>
      </c>
      <c r="Y1203" s="2285">
        <v>0</v>
      </c>
      <c r="Z1203" s="2285">
        <v>0</v>
      </c>
      <c r="AA1203" s="2285">
        <v>0</v>
      </c>
      <c r="AB1203" s="2285">
        <v>0</v>
      </c>
      <c r="AC1203" s="2285">
        <v>0</v>
      </c>
      <c r="AD1203" s="1494">
        <f t="shared" si="2146"/>
        <v>0</v>
      </c>
      <c r="AE1203" s="1412">
        <f>SUM($U1203:$W1203)</f>
        <v>0</v>
      </c>
      <c r="AF1203" s="1412">
        <f>SUM($X1203:$Z1203)</f>
        <v>0</v>
      </c>
      <c r="AG1203" s="1412">
        <f>SUM($AA1203:$AC1203)</f>
        <v>0</v>
      </c>
      <c r="AH1203" s="1412">
        <f>SUM($AD1203:$AE1203)</f>
        <v>0</v>
      </c>
      <c r="AI1203" s="1412">
        <f>SUM($AF1203:$AG1203)</f>
        <v>0</v>
      </c>
      <c r="AJ1203" s="1416">
        <f>SUM($AH1203:$AI1203)</f>
        <v>0</v>
      </c>
    </row>
    <row r="1204" spans="1:36" s="639" customFormat="1" ht="14.25" customHeight="1">
      <c r="A1204" s="990">
        <v>1</v>
      </c>
      <c r="B1204" s="990">
        <v>1</v>
      </c>
      <c r="C1204" s="990" t="s">
        <v>863</v>
      </c>
      <c r="D1204" s="1755"/>
      <c r="E1204" s="1781" t="s">
        <v>460</v>
      </c>
      <c r="F1204" s="1782"/>
      <c r="I1204" s="1584"/>
      <c r="N1204" s="1475"/>
      <c r="O1204" s="1478"/>
      <c r="P1204" s="1478" t="s">
        <v>1416</v>
      </c>
      <c r="Q1204" s="1847" t="str">
        <f>CHOOSE(2, "6722000004122", "New Customer * GP Office Office Solution")</f>
        <v>New Customer * GP Office Office Solution</v>
      </c>
      <c r="R1204" s="2286">
        <v>0</v>
      </c>
      <c r="S1204" s="2287">
        <v>0</v>
      </c>
      <c r="T1204" s="2287">
        <v>0</v>
      </c>
      <c r="U1204" s="2287">
        <v>0</v>
      </c>
      <c r="V1204" s="2287">
        <v>0</v>
      </c>
      <c r="W1204" s="2287">
        <v>0</v>
      </c>
      <c r="X1204" s="2287">
        <v>0</v>
      </c>
      <c r="Y1204" s="2287">
        <v>0</v>
      </c>
      <c r="Z1204" s="2287">
        <v>0</v>
      </c>
      <c r="AA1204" s="2287">
        <v>0</v>
      </c>
      <c r="AB1204" s="2287">
        <v>0</v>
      </c>
      <c r="AC1204" s="2287">
        <v>0</v>
      </c>
      <c r="AD1204" s="1495">
        <f t="shared" si="2146"/>
        <v>0</v>
      </c>
      <c r="AE1204" s="1413">
        <f t="shared" ref="AE1204" si="2160">SUM($U1204:$W1204)</f>
        <v>0</v>
      </c>
      <c r="AF1204" s="1413">
        <f t="shared" ref="AF1204" si="2161">SUM($X1204:$Z1204)</f>
        <v>0</v>
      </c>
      <c r="AG1204" s="1413">
        <f t="shared" ref="AG1204" si="2162">SUM($AA1204:$AC1204)</f>
        <v>0</v>
      </c>
      <c r="AH1204" s="1413">
        <f t="shared" ref="AH1204" si="2163">SUM($AD1204:$AE1204)</f>
        <v>0</v>
      </c>
      <c r="AI1204" s="1413">
        <f t="shared" ref="AI1204" si="2164">SUM($AF1204:$AG1204)</f>
        <v>0</v>
      </c>
      <c r="AJ1204" s="1417">
        <f t="shared" ref="AJ1204" si="2165">SUM($AH1204:$AI1204)</f>
        <v>0</v>
      </c>
    </row>
    <row r="1205" spans="1:36" s="639" customFormat="1" ht="14.25" customHeight="1">
      <c r="A1205" s="990">
        <v>1</v>
      </c>
      <c r="B1205" s="990">
        <v>1</v>
      </c>
      <c r="C1205" s="990" t="s">
        <v>863</v>
      </c>
      <c r="D1205" s="1755"/>
      <c r="E1205" s="1463" t="s">
        <v>1262</v>
      </c>
      <c r="F1205" s="1459"/>
      <c r="I1205" s="1475"/>
      <c r="N1205" s="1475"/>
      <c r="O1205" s="1478" t="s">
        <v>954</v>
      </c>
      <c r="P1205" s="1478"/>
      <c r="Q1205" s="1847" t="str">
        <f>CHOOSE(2, "6722000004123", "New Customer * GP DW-DX")</f>
        <v>New Customer * GP DW-DX</v>
      </c>
      <c r="R1205" s="2286">
        <v>0</v>
      </c>
      <c r="S1205" s="2287">
        <v>0</v>
      </c>
      <c r="T1205" s="2287">
        <v>0</v>
      </c>
      <c r="U1205" s="2287">
        <v>0</v>
      </c>
      <c r="V1205" s="2287">
        <v>0</v>
      </c>
      <c r="W1205" s="2287">
        <v>0</v>
      </c>
      <c r="X1205" s="2287">
        <v>0</v>
      </c>
      <c r="Y1205" s="2287">
        <v>0</v>
      </c>
      <c r="Z1205" s="2287">
        <v>0</v>
      </c>
      <c r="AA1205" s="2287">
        <v>0</v>
      </c>
      <c r="AB1205" s="2287">
        <v>0</v>
      </c>
      <c r="AC1205" s="2287">
        <v>0</v>
      </c>
      <c r="AD1205" s="1495">
        <f t="shared" si="2146"/>
        <v>0</v>
      </c>
      <c r="AE1205" s="1413">
        <f t="shared" ref="AE1205:AE1206" si="2166">SUM($U1205:$W1205)</f>
        <v>0</v>
      </c>
      <c r="AF1205" s="1413">
        <f t="shared" ref="AF1205:AF1206" si="2167">SUM($X1205:$Z1205)</f>
        <v>0</v>
      </c>
      <c r="AG1205" s="1413">
        <f t="shared" ref="AG1205:AG1206" si="2168">SUM($AA1205:$AC1205)</f>
        <v>0</v>
      </c>
      <c r="AH1205" s="1413">
        <f t="shared" ref="AH1205:AH1206" si="2169">SUM($AD1205:$AE1205)</f>
        <v>0</v>
      </c>
      <c r="AI1205" s="1413">
        <f t="shared" ref="AI1205:AI1206" si="2170">SUM($AF1205:$AG1205)</f>
        <v>0</v>
      </c>
      <c r="AJ1205" s="1417">
        <f t="shared" ref="AJ1205:AJ1206" si="2171">SUM($AH1205:$AI1205)</f>
        <v>0</v>
      </c>
    </row>
    <row r="1206" spans="1:36" s="639" customFormat="1" ht="14.25" customHeight="1">
      <c r="A1206" s="990">
        <v>1</v>
      </c>
      <c r="B1206" s="990">
        <v>1</v>
      </c>
      <c r="C1206" s="990" t="s">
        <v>863</v>
      </c>
      <c r="D1206" s="1755"/>
      <c r="E1206" s="1463" t="s">
        <v>1262</v>
      </c>
      <c r="F1206" s="1459"/>
      <c r="I1206" s="1479"/>
      <c r="J1206" s="1469"/>
      <c r="K1206" s="1469"/>
      <c r="L1206" s="1469"/>
      <c r="M1206" s="1469"/>
      <c r="N1206" s="1479"/>
      <c r="O1206" s="1480" t="s">
        <v>1249</v>
      </c>
      <c r="P1206" s="1480"/>
      <c r="Q1206" s="1888" t="str">
        <f>CHOOSE(2, "6722000004124", "New Customer * GP Total")</f>
        <v>New Customer * GP Total</v>
      </c>
      <c r="R1206" s="1982">
        <f t="shared" ref="R1206:AC1206" si="2172">SUM(R1202:R1205)</f>
        <v>0</v>
      </c>
      <c r="S1206" s="1414">
        <f t="shared" si="2172"/>
        <v>0</v>
      </c>
      <c r="T1206" s="1414">
        <f t="shared" si="2172"/>
        <v>0</v>
      </c>
      <c r="U1206" s="1414">
        <f t="shared" si="2172"/>
        <v>0</v>
      </c>
      <c r="V1206" s="1414">
        <f t="shared" si="2172"/>
        <v>0</v>
      </c>
      <c r="W1206" s="1414">
        <f t="shared" si="2172"/>
        <v>0</v>
      </c>
      <c r="X1206" s="1414">
        <f t="shared" si="2172"/>
        <v>0</v>
      </c>
      <c r="Y1206" s="1414">
        <f t="shared" si="2172"/>
        <v>0</v>
      </c>
      <c r="Z1206" s="1414">
        <f t="shared" si="2172"/>
        <v>0</v>
      </c>
      <c r="AA1206" s="1414">
        <f t="shared" si="2172"/>
        <v>0</v>
      </c>
      <c r="AB1206" s="1414">
        <f t="shared" si="2172"/>
        <v>0</v>
      </c>
      <c r="AC1206" s="1414">
        <f t="shared" si="2172"/>
        <v>0</v>
      </c>
      <c r="AD1206" s="1496">
        <f t="shared" si="2146"/>
        <v>0</v>
      </c>
      <c r="AE1206" s="1415">
        <f t="shared" si="2166"/>
        <v>0</v>
      </c>
      <c r="AF1206" s="1415">
        <f t="shared" si="2167"/>
        <v>0</v>
      </c>
      <c r="AG1206" s="1415">
        <f t="shared" si="2168"/>
        <v>0</v>
      </c>
      <c r="AH1206" s="1415">
        <f t="shared" si="2169"/>
        <v>0</v>
      </c>
      <c r="AI1206" s="1415">
        <f t="shared" si="2170"/>
        <v>0</v>
      </c>
      <c r="AJ1206" s="1414">
        <f t="shared" si="2171"/>
        <v>0</v>
      </c>
    </row>
    <row r="1207" spans="1:36" s="639" customFormat="1" ht="14.25" customHeight="1">
      <c r="A1207" s="990">
        <v>1</v>
      </c>
      <c r="B1207" s="990">
        <v>1</v>
      </c>
      <c r="C1207" s="990" t="s">
        <v>863</v>
      </c>
      <c r="D1207" s="1755"/>
      <c r="E1207" s="1463" t="s">
        <v>1262</v>
      </c>
      <c r="F1207" s="1459"/>
      <c r="I1207" s="1472" t="s">
        <v>1251</v>
      </c>
      <c r="J1207" s="1468"/>
      <c r="K1207" s="1468"/>
      <c r="L1207" s="1468"/>
      <c r="M1207" s="1468"/>
      <c r="N1207" s="1473" t="s">
        <v>1252</v>
      </c>
      <c r="O1207" s="1474"/>
      <c r="P1207" s="1474"/>
      <c r="Q1207" s="1847" t="str">
        <f>CHOOSE(2, "6722000004125", "Existing Customer ** Number of Purchase Account")</f>
        <v>Existing Customer ** Number of Purchase Account</v>
      </c>
      <c r="R1207" s="2026">
        <v>0</v>
      </c>
      <c r="S1207" s="2027">
        <v>0</v>
      </c>
      <c r="T1207" s="2027">
        <v>0</v>
      </c>
      <c r="U1207" s="2283">
        <v>0</v>
      </c>
      <c r="V1207" s="2283">
        <v>0</v>
      </c>
      <c r="W1207" s="2283">
        <v>0</v>
      </c>
      <c r="X1207" s="2283">
        <v>0</v>
      </c>
      <c r="Y1207" s="2283">
        <v>0</v>
      </c>
      <c r="Z1207" s="2283">
        <v>0</v>
      </c>
      <c r="AA1207" s="2283">
        <v>0</v>
      </c>
      <c r="AB1207" s="2283">
        <v>0</v>
      </c>
      <c r="AC1207" s="2283">
        <v>0</v>
      </c>
      <c r="AD1207" s="1583">
        <f t="shared" si="2146"/>
        <v>0</v>
      </c>
      <c r="AE1207" s="1481">
        <f>SUM($U1207:$W1207)</f>
        <v>0</v>
      </c>
      <c r="AF1207" s="1481">
        <f>SUM($X1207:$Z1207)</f>
        <v>0</v>
      </c>
      <c r="AG1207" s="1481">
        <f>SUM($AA1207:$AC1207)</f>
        <v>0</v>
      </c>
      <c r="AH1207" s="1481">
        <f>SUM($AD1207:$AE1207)</f>
        <v>0</v>
      </c>
      <c r="AI1207" s="1481">
        <f>SUM($AF1207:$AG1207)</f>
        <v>0</v>
      </c>
      <c r="AJ1207" s="1486">
        <f>SUM($AH1207:$AI1207)</f>
        <v>0</v>
      </c>
    </row>
    <row r="1208" spans="1:36" s="639" customFormat="1" ht="14.25" customHeight="1">
      <c r="A1208" s="990">
        <v>1</v>
      </c>
      <c r="B1208" s="990">
        <v>1</v>
      </c>
      <c r="C1208" s="990" t="s">
        <v>863</v>
      </c>
      <c r="D1208" s="1755"/>
      <c r="E1208" s="1463" t="s">
        <v>1262</v>
      </c>
      <c r="F1208" s="1459"/>
      <c r="I1208" s="1475"/>
      <c r="N1208" s="1472" t="s">
        <v>1244</v>
      </c>
      <c r="O1208" s="1476" t="s">
        <v>1245</v>
      </c>
      <c r="P1208" s="1476" t="s">
        <v>1246</v>
      </c>
      <c r="Q1208" s="1847" t="str">
        <f>CHOOSE(2, "6722000004126", "Existing Customer ** Sales Office HW")</f>
        <v>Existing Customer ** Sales Office HW</v>
      </c>
      <c r="R1208" s="2284">
        <v>0</v>
      </c>
      <c r="S1208" s="2285">
        <v>0</v>
      </c>
      <c r="T1208" s="2285">
        <v>0</v>
      </c>
      <c r="U1208" s="2285">
        <v>0</v>
      </c>
      <c r="V1208" s="2285">
        <v>0</v>
      </c>
      <c r="W1208" s="2285">
        <v>0</v>
      </c>
      <c r="X1208" s="2285">
        <v>0</v>
      </c>
      <c r="Y1208" s="2285">
        <v>0</v>
      </c>
      <c r="Z1208" s="2285">
        <v>0</v>
      </c>
      <c r="AA1208" s="2285">
        <v>0</v>
      </c>
      <c r="AB1208" s="2285">
        <v>0</v>
      </c>
      <c r="AC1208" s="2285">
        <v>0</v>
      </c>
      <c r="AD1208" s="1494">
        <f t="shared" si="2146"/>
        <v>0</v>
      </c>
      <c r="AE1208" s="1412">
        <f t="shared" ref="AE1208" si="2173">SUM($U1208:$W1208)</f>
        <v>0</v>
      </c>
      <c r="AF1208" s="1412">
        <f t="shared" ref="AF1208" si="2174">SUM($X1208:$Z1208)</f>
        <v>0</v>
      </c>
      <c r="AG1208" s="1412">
        <f t="shared" ref="AG1208" si="2175">SUM($AA1208:$AC1208)</f>
        <v>0</v>
      </c>
      <c r="AH1208" s="1412">
        <f t="shared" ref="AH1208" si="2176">SUM($AD1208:$AE1208)</f>
        <v>0</v>
      </c>
      <c r="AI1208" s="1412">
        <f t="shared" ref="AI1208" si="2177">SUM($AF1208:$AG1208)</f>
        <v>0</v>
      </c>
      <c r="AJ1208" s="1416">
        <f t="shared" ref="AJ1208" si="2178">SUM($AH1208:$AI1208)</f>
        <v>0</v>
      </c>
    </row>
    <row r="1209" spans="1:36" s="639" customFormat="1" ht="14.25" customHeight="1">
      <c r="A1209" s="990">
        <v>1</v>
      </c>
      <c r="B1209" s="990">
        <v>1</v>
      </c>
      <c r="C1209" s="990" t="s">
        <v>863</v>
      </c>
      <c r="D1209" s="1755"/>
      <c r="E1209" s="1463" t="s">
        <v>1262</v>
      </c>
      <c r="F1209" s="1459"/>
      <c r="I1209" s="1584" t="s">
        <v>1271</v>
      </c>
      <c r="N1209" s="1475"/>
      <c r="O1209" s="1477"/>
      <c r="P1209" s="1477" t="s">
        <v>1247</v>
      </c>
      <c r="Q1209" s="1847" t="str">
        <f>CHOOSE(2, "6722000004127", "Existing Customer ** Sales Office NH")</f>
        <v>Existing Customer ** Sales Office NH</v>
      </c>
      <c r="R1209" s="2284">
        <v>0</v>
      </c>
      <c r="S1209" s="2285">
        <v>0</v>
      </c>
      <c r="T1209" s="2285">
        <v>0</v>
      </c>
      <c r="U1209" s="2285">
        <v>0</v>
      </c>
      <c r="V1209" s="2285">
        <v>0</v>
      </c>
      <c r="W1209" s="2285">
        <v>0</v>
      </c>
      <c r="X1209" s="2285">
        <v>0</v>
      </c>
      <c r="Y1209" s="2285">
        <v>0</v>
      </c>
      <c r="Z1209" s="2285">
        <v>0</v>
      </c>
      <c r="AA1209" s="2285">
        <v>0</v>
      </c>
      <c r="AB1209" s="2285">
        <v>0</v>
      </c>
      <c r="AC1209" s="2285">
        <v>0</v>
      </c>
      <c r="AD1209" s="1494">
        <f t="shared" si="2146"/>
        <v>0</v>
      </c>
      <c r="AE1209" s="1412">
        <f>SUM($U1209:$W1209)</f>
        <v>0</v>
      </c>
      <c r="AF1209" s="1412">
        <f>SUM($X1209:$Z1209)</f>
        <v>0</v>
      </c>
      <c r="AG1209" s="1412">
        <f>SUM($AA1209:$AC1209)</f>
        <v>0</v>
      </c>
      <c r="AH1209" s="1412">
        <f>SUM($AD1209:$AE1209)</f>
        <v>0</v>
      </c>
      <c r="AI1209" s="1412">
        <f>SUM($AF1209:$AG1209)</f>
        <v>0</v>
      </c>
      <c r="AJ1209" s="1416">
        <f>SUM($AH1209:$AI1209)</f>
        <v>0</v>
      </c>
    </row>
    <row r="1210" spans="1:36" s="639" customFormat="1" ht="14.25" customHeight="1">
      <c r="A1210" s="990">
        <v>1</v>
      </c>
      <c r="B1210" s="990">
        <v>1</v>
      </c>
      <c r="C1210" s="990" t="s">
        <v>863</v>
      </c>
      <c r="D1210" s="1755"/>
      <c r="E1210" s="1781" t="s">
        <v>460</v>
      </c>
      <c r="F1210" s="1782"/>
      <c r="I1210" s="1584" t="s">
        <v>1272</v>
      </c>
      <c r="N1210" s="1475"/>
      <c r="O1210" s="1478"/>
      <c r="P1210" s="1478" t="s">
        <v>1416</v>
      </c>
      <c r="Q1210" s="1847" t="str">
        <f>CHOOSE(2, "6722000004128", "Existing Customer ** Sales Office Office Solution")</f>
        <v>Existing Customer ** Sales Office Office Solution</v>
      </c>
      <c r="R1210" s="2286">
        <v>0</v>
      </c>
      <c r="S1210" s="2287">
        <v>0</v>
      </c>
      <c r="T1210" s="2287">
        <v>0</v>
      </c>
      <c r="U1210" s="2287">
        <v>0</v>
      </c>
      <c r="V1210" s="2287">
        <v>0</v>
      </c>
      <c r="W1210" s="2287">
        <v>0</v>
      </c>
      <c r="X1210" s="2287">
        <v>0</v>
      </c>
      <c r="Y1210" s="2287">
        <v>0</v>
      </c>
      <c r="Z1210" s="2287">
        <v>0</v>
      </c>
      <c r="AA1210" s="2287">
        <v>0</v>
      </c>
      <c r="AB1210" s="2287">
        <v>0</v>
      </c>
      <c r="AC1210" s="2287">
        <v>0</v>
      </c>
      <c r="AD1210" s="1495">
        <f t="shared" si="2146"/>
        <v>0</v>
      </c>
      <c r="AE1210" s="1413">
        <f t="shared" ref="AE1210" si="2179">SUM($U1210:$W1210)</f>
        <v>0</v>
      </c>
      <c r="AF1210" s="1413">
        <f t="shared" ref="AF1210" si="2180">SUM($X1210:$Z1210)</f>
        <v>0</v>
      </c>
      <c r="AG1210" s="1413">
        <f t="shared" ref="AG1210" si="2181">SUM($AA1210:$AC1210)</f>
        <v>0</v>
      </c>
      <c r="AH1210" s="1413">
        <f t="shared" ref="AH1210" si="2182">SUM($AD1210:$AE1210)</f>
        <v>0</v>
      </c>
      <c r="AI1210" s="1413">
        <f t="shared" ref="AI1210" si="2183">SUM($AF1210:$AG1210)</f>
        <v>0</v>
      </c>
      <c r="AJ1210" s="1417">
        <f t="shared" ref="AJ1210" si="2184">SUM($AH1210:$AI1210)</f>
        <v>0</v>
      </c>
    </row>
    <row r="1211" spans="1:36" s="639" customFormat="1" ht="14.25" customHeight="1">
      <c r="A1211" s="990">
        <v>1</v>
      </c>
      <c r="B1211" s="990">
        <v>1</v>
      </c>
      <c r="C1211" s="990" t="s">
        <v>863</v>
      </c>
      <c r="D1211" s="1755"/>
      <c r="E1211" s="1463" t="s">
        <v>1262</v>
      </c>
      <c r="F1211" s="1459"/>
      <c r="I1211" s="1584" t="s">
        <v>1273</v>
      </c>
      <c r="N1211" s="1475"/>
      <c r="O1211" s="1478" t="s">
        <v>1248</v>
      </c>
      <c r="P1211" s="1478"/>
      <c r="Q1211" s="1847" t="str">
        <f>CHOOSE(2, "6722000004129", "Existing Customer ** Sales DW-DX")</f>
        <v>Existing Customer ** Sales DW-DX</v>
      </c>
      <c r="R1211" s="2286">
        <v>0</v>
      </c>
      <c r="S1211" s="2287">
        <v>0</v>
      </c>
      <c r="T1211" s="2287">
        <v>0</v>
      </c>
      <c r="U1211" s="2287">
        <v>0</v>
      </c>
      <c r="V1211" s="2287">
        <v>0</v>
      </c>
      <c r="W1211" s="2287">
        <v>0</v>
      </c>
      <c r="X1211" s="2287">
        <v>0</v>
      </c>
      <c r="Y1211" s="2287">
        <v>0</v>
      </c>
      <c r="Z1211" s="2287">
        <v>0</v>
      </c>
      <c r="AA1211" s="2287">
        <v>0</v>
      </c>
      <c r="AB1211" s="2287">
        <v>0</v>
      </c>
      <c r="AC1211" s="2287">
        <v>0</v>
      </c>
      <c r="AD1211" s="1495">
        <f t="shared" si="2146"/>
        <v>0</v>
      </c>
      <c r="AE1211" s="1413">
        <f t="shared" ref="AE1211:AE1212" si="2185">SUM($U1211:$W1211)</f>
        <v>0</v>
      </c>
      <c r="AF1211" s="1413">
        <f t="shared" ref="AF1211:AF1212" si="2186">SUM($X1211:$Z1211)</f>
        <v>0</v>
      </c>
      <c r="AG1211" s="1413">
        <f t="shared" ref="AG1211:AG1212" si="2187">SUM($AA1211:$AC1211)</f>
        <v>0</v>
      </c>
      <c r="AH1211" s="1413">
        <f t="shared" ref="AH1211:AH1212" si="2188">SUM($AD1211:$AE1211)</f>
        <v>0</v>
      </c>
      <c r="AI1211" s="1413">
        <f t="shared" ref="AI1211:AI1212" si="2189">SUM($AF1211:$AG1211)</f>
        <v>0</v>
      </c>
      <c r="AJ1211" s="1417">
        <f t="shared" ref="AJ1211:AJ1212" si="2190">SUM($AH1211:$AI1211)</f>
        <v>0</v>
      </c>
    </row>
    <row r="1212" spans="1:36" s="639" customFormat="1" ht="14.25" customHeight="1">
      <c r="A1212" s="990">
        <v>1</v>
      </c>
      <c r="B1212" s="990">
        <v>1</v>
      </c>
      <c r="C1212" s="990" t="s">
        <v>863</v>
      </c>
      <c r="D1212" s="1755"/>
      <c r="E1212" s="1463" t="s">
        <v>1262</v>
      </c>
      <c r="F1212" s="1459"/>
      <c r="I1212" s="1584" t="s">
        <v>1274</v>
      </c>
      <c r="N1212" s="1479"/>
      <c r="O1212" s="1480" t="s">
        <v>1249</v>
      </c>
      <c r="P1212" s="1480"/>
      <c r="Q1212" s="1888" t="str">
        <f>CHOOSE(2, "6722000004130", "Existing Customer ** Sales Total")</f>
        <v>Existing Customer ** Sales Total</v>
      </c>
      <c r="R1212" s="1982">
        <f>SUM(R1208:R1211)</f>
        <v>0</v>
      </c>
      <c r="S1212" s="1414">
        <f t="shared" ref="S1212:AC1212" si="2191">SUM(S1208:S1211)</f>
        <v>0</v>
      </c>
      <c r="T1212" s="1414">
        <f t="shared" si="2191"/>
        <v>0</v>
      </c>
      <c r="U1212" s="1414">
        <f t="shared" si="2191"/>
        <v>0</v>
      </c>
      <c r="V1212" s="1414">
        <f t="shared" si="2191"/>
        <v>0</v>
      </c>
      <c r="W1212" s="1414">
        <f t="shared" si="2191"/>
        <v>0</v>
      </c>
      <c r="X1212" s="1414">
        <f t="shared" si="2191"/>
        <v>0</v>
      </c>
      <c r="Y1212" s="1414">
        <f t="shared" si="2191"/>
        <v>0</v>
      </c>
      <c r="Z1212" s="1414">
        <f t="shared" si="2191"/>
        <v>0</v>
      </c>
      <c r="AA1212" s="1414">
        <f t="shared" si="2191"/>
        <v>0</v>
      </c>
      <c r="AB1212" s="1414">
        <f t="shared" si="2191"/>
        <v>0</v>
      </c>
      <c r="AC1212" s="1414">
        <f t="shared" si="2191"/>
        <v>0</v>
      </c>
      <c r="AD1212" s="1496">
        <f t="shared" si="2146"/>
        <v>0</v>
      </c>
      <c r="AE1212" s="1415">
        <f t="shared" si="2185"/>
        <v>0</v>
      </c>
      <c r="AF1212" s="1415">
        <f t="shared" si="2186"/>
        <v>0</v>
      </c>
      <c r="AG1212" s="1415">
        <f t="shared" si="2187"/>
        <v>0</v>
      </c>
      <c r="AH1212" s="1415">
        <f t="shared" si="2188"/>
        <v>0</v>
      </c>
      <c r="AI1212" s="1415">
        <f t="shared" si="2189"/>
        <v>0</v>
      </c>
      <c r="AJ1212" s="1414">
        <f t="shared" si="2190"/>
        <v>0</v>
      </c>
    </row>
    <row r="1213" spans="1:36" s="639" customFormat="1" ht="14.25" customHeight="1">
      <c r="A1213" s="990">
        <v>1</v>
      </c>
      <c r="B1213" s="990">
        <v>1</v>
      </c>
      <c r="C1213" s="990" t="s">
        <v>863</v>
      </c>
      <c r="D1213" s="1755"/>
      <c r="E1213" s="1463" t="s">
        <v>1262</v>
      </c>
      <c r="F1213" s="1459"/>
      <c r="I1213" s="1475"/>
      <c r="N1213" s="1475" t="s">
        <v>1250</v>
      </c>
      <c r="O1213" s="1477" t="s">
        <v>1245</v>
      </c>
      <c r="P1213" s="1477" t="s">
        <v>1246</v>
      </c>
      <c r="Q1213" s="1847" t="str">
        <f>CHOOSE(2, "6722000004131", "Existing Customer ** GP Office HW")</f>
        <v>Existing Customer ** GP Office HW</v>
      </c>
      <c r="R1213" s="2284">
        <v>0</v>
      </c>
      <c r="S1213" s="2285">
        <v>0</v>
      </c>
      <c r="T1213" s="2285">
        <v>0</v>
      </c>
      <c r="U1213" s="2285">
        <v>0</v>
      </c>
      <c r="V1213" s="2285">
        <v>0</v>
      </c>
      <c r="W1213" s="2285">
        <v>0</v>
      </c>
      <c r="X1213" s="2285">
        <v>0</v>
      </c>
      <c r="Y1213" s="2285">
        <v>0</v>
      </c>
      <c r="Z1213" s="2285">
        <v>0</v>
      </c>
      <c r="AA1213" s="2285">
        <v>0</v>
      </c>
      <c r="AB1213" s="2285">
        <v>0</v>
      </c>
      <c r="AC1213" s="2285">
        <v>0</v>
      </c>
      <c r="AD1213" s="1494">
        <f t="shared" si="2146"/>
        <v>0</v>
      </c>
      <c r="AE1213" s="1412">
        <f t="shared" ref="AE1213" si="2192">SUM($U1213:$W1213)</f>
        <v>0</v>
      </c>
      <c r="AF1213" s="1412">
        <f t="shared" ref="AF1213" si="2193">SUM($X1213:$Z1213)</f>
        <v>0</v>
      </c>
      <c r="AG1213" s="1412">
        <f t="shared" ref="AG1213" si="2194">SUM($AA1213:$AC1213)</f>
        <v>0</v>
      </c>
      <c r="AH1213" s="1412">
        <f t="shared" ref="AH1213" si="2195">SUM($AD1213:$AE1213)</f>
        <v>0</v>
      </c>
      <c r="AI1213" s="1412">
        <f t="shared" ref="AI1213" si="2196">SUM($AF1213:$AG1213)</f>
        <v>0</v>
      </c>
      <c r="AJ1213" s="1416">
        <f t="shared" ref="AJ1213" si="2197">SUM($AH1213:$AI1213)</f>
        <v>0</v>
      </c>
    </row>
    <row r="1214" spans="1:36" s="639" customFormat="1" ht="14.25" customHeight="1">
      <c r="A1214" s="990">
        <v>1</v>
      </c>
      <c r="B1214" s="990">
        <v>1</v>
      </c>
      <c r="C1214" s="990" t="s">
        <v>863</v>
      </c>
      <c r="D1214" s="1755"/>
      <c r="E1214" s="1463" t="s">
        <v>1262</v>
      </c>
      <c r="F1214" s="1459"/>
      <c r="I1214" s="1475"/>
      <c r="N1214" s="1475"/>
      <c r="O1214" s="1477"/>
      <c r="P1214" s="1477" t="s">
        <v>1247</v>
      </c>
      <c r="Q1214" s="1847" t="str">
        <f>CHOOSE(2, "6722000004132", "Existing Customer ** GP Office NH")</f>
        <v>Existing Customer ** GP Office NH</v>
      </c>
      <c r="R1214" s="2284">
        <v>0</v>
      </c>
      <c r="S1214" s="2285">
        <v>0</v>
      </c>
      <c r="T1214" s="2285">
        <v>0</v>
      </c>
      <c r="U1214" s="2285">
        <v>0</v>
      </c>
      <c r="V1214" s="2285">
        <v>0</v>
      </c>
      <c r="W1214" s="2285">
        <v>0</v>
      </c>
      <c r="X1214" s="2285">
        <v>0</v>
      </c>
      <c r="Y1214" s="2285">
        <v>0</v>
      </c>
      <c r="Z1214" s="2285">
        <v>0</v>
      </c>
      <c r="AA1214" s="2285">
        <v>0</v>
      </c>
      <c r="AB1214" s="2285">
        <v>0</v>
      </c>
      <c r="AC1214" s="2285">
        <v>0</v>
      </c>
      <c r="AD1214" s="1494">
        <f t="shared" si="2146"/>
        <v>0</v>
      </c>
      <c r="AE1214" s="1412">
        <f>SUM($U1214:$W1214)</f>
        <v>0</v>
      </c>
      <c r="AF1214" s="1412">
        <f>SUM($X1214:$Z1214)</f>
        <v>0</v>
      </c>
      <c r="AG1214" s="1412">
        <f>SUM($AA1214:$AC1214)</f>
        <v>0</v>
      </c>
      <c r="AH1214" s="1412">
        <f>SUM($AD1214:$AE1214)</f>
        <v>0</v>
      </c>
      <c r="AI1214" s="1412">
        <f>SUM($AF1214:$AG1214)</f>
        <v>0</v>
      </c>
      <c r="AJ1214" s="1416">
        <f>SUM($AH1214:$AI1214)</f>
        <v>0</v>
      </c>
    </row>
    <row r="1215" spans="1:36" s="639" customFormat="1" ht="14.25" customHeight="1">
      <c r="A1215" s="990">
        <v>1</v>
      </c>
      <c r="B1215" s="990">
        <v>1</v>
      </c>
      <c r="C1215" s="990" t="s">
        <v>863</v>
      </c>
      <c r="D1215" s="1755"/>
      <c r="E1215" s="1781" t="s">
        <v>460</v>
      </c>
      <c r="F1215" s="1782"/>
      <c r="I1215" s="1584"/>
      <c r="N1215" s="1475"/>
      <c r="O1215" s="1478"/>
      <c r="P1215" s="1478" t="s">
        <v>1416</v>
      </c>
      <c r="Q1215" s="1847" t="str">
        <f>CHOOSE(2, "6722000004133", "Existing Customer ** GP Office Office Solution")</f>
        <v>Existing Customer ** GP Office Office Solution</v>
      </c>
      <c r="R1215" s="2286">
        <v>0</v>
      </c>
      <c r="S1215" s="2287">
        <v>0</v>
      </c>
      <c r="T1215" s="2287">
        <v>0</v>
      </c>
      <c r="U1215" s="2287">
        <v>0</v>
      </c>
      <c r="V1215" s="2287">
        <v>0</v>
      </c>
      <c r="W1215" s="2287">
        <v>0</v>
      </c>
      <c r="X1215" s="2287">
        <v>0</v>
      </c>
      <c r="Y1215" s="2287">
        <v>0</v>
      </c>
      <c r="Z1215" s="2287">
        <v>0</v>
      </c>
      <c r="AA1215" s="2287">
        <v>0</v>
      </c>
      <c r="AB1215" s="2287">
        <v>0</v>
      </c>
      <c r="AC1215" s="2287">
        <v>0</v>
      </c>
      <c r="AD1215" s="1495">
        <f t="shared" si="2146"/>
        <v>0</v>
      </c>
      <c r="AE1215" s="1413">
        <f t="shared" ref="AE1215" si="2198">SUM($U1215:$W1215)</f>
        <v>0</v>
      </c>
      <c r="AF1215" s="1413">
        <f t="shared" ref="AF1215" si="2199">SUM($X1215:$Z1215)</f>
        <v>0</v>
      </c>
      <c r="AG1215" s="1413">
        <f t="shared" ref="AG1215" si="2200">SUM($AA1215:$AC1215)</f>
        <v>0</v>
      </c>
      <c r="AH1215" s="1413">
        <f t="shared" ref="AH1215" si="2201">SUM($AD1215:$AE1215)</f>
        <v>0</v>
      </c>
      <c r="AI1215" s="1413">
        <f t="shared" ref="AI1215" si="2202">SUM($AF1215:$AG1215)</f>
        <v>0</v>
      </c>
      <c r="AJ1215" s="1417">
        <f t="shared" ref="AJ1215" si="2203">SUM($AH1215:$AI1215)</f>
        <v>0</v>
      </c>
    </row>
    <row r="1216" spans="1:36" s="639" customFormat="1" ht="14.25" customHeight="1">
      <c r="A1216" s="990">
        <v>1</v>
      </c>
      <c r="B1216" s="990">
        <v>1</v>
      </c>
      <c r="C1216" s="990" t="s">
        <v>863</v>
      </c>
      <c r="D1216" s="1755"/>
      <c r="E1216" s="1463" t="s">
        <v>1262</v>
      </c>
      <c r="F1216" s="1459"/>
      <c r="I1216" s="1475"/>
      <c r="N1216" s="1475"/>
      <c r="O1216" s="1478" t="s">
        <v>954</v>
      </c>
      <c r="P1216" s="1478"/>
      <c r="Q1216" s="1847" t="str">
        <f>CHOOSE(2, "6722000004134", "Existing Customer ** GP DW-DX")</f>
        <v>Existing Customer ** GP DW-DX</v>
      </c>
      <c r="R1216" s="2286">
        <v>0</v>
      </c>
      <c r="S1216" s="2287">
        <v>0</v>
      </c>
      <c r="T1216" s="2287">
        <v>0</v>
      </c>
      <c r="U1216" s="2287">
        <v>0</v>
      </c>
      <c r="V1216" s="2287">
        <v>0</v>
      </c>
      <c r="W1216" s="2287">
        <v>0</v>
      </c>
      <c r="X1216" s="2287">
        <v>0</v>
      </c>
      <c r="Y1216" s="2287">
        <v>0</v>
      </c>
      <c r="Z1216" s="2287">
        <v>0</v>
      </c>
      <c r="AA1216" s="2287">
        <v>0</v>
      </c>
      <c r="AB1216" s="2287">
        <v>0</v>
      </c>
      <c r="AC1216" s="2287">
        <v>0</v>
      </c>
      <c r="AD1216" s="1495">
        <f t="shared" si="2146"/>
        <v>0</v>
      </c>
      <c r="AE1216" s="1413">
        <f t="shared" ref="AE1216:AE1217" si="2204">SUM($U1216:$W1216)</f>
        <v>0</v>
      </c>
      <c r="AF1216" s="1413">
        <f t="shared" ref="AF1216:AF1217" si="2205">SUM($X1216:$Z1216)</f>
        <v>0</v>
      </c>
      <c r="AG1216" s="1413">
        <f t="shared" ref="AG1216:AG1217" si="2206">SUM($AA1216:$AC1216)</f>
        <v>0</v>
      </c>
      <c r="AH1216" s="1413">
        <f t="shared" ref="AH1216:AH1217" si="2207">SUM($AD1216:$AE1216)</f>
        <v>0</v>
      </c>
      <c r="AI1216" s="1413">
        <f t="shared" ref="AI1216:AI1217" si="2208">SUM($AF1216:$AG1216)</f>
        <v>0</v>
      </c>
      <c r="AJ1216" s="1417">
        <f t="shared" ref="AJ1216:AJ1217" si="2209">SUM($AH1216:$AI1216)</f>
        <v>0</v>
      </c>
    </row>
    <row r="1217" spans="1:36" s="639" customFormat="1" ht="14.25" customHeight="1">
      <c r="A1217" s="990">
        <v>1</v>
      </c>
      <c r="B1217" s="990">
        <v>1</v>
      </c>
      <c r="C1217" s="990" t="s">
        <v>863</v>
      </c>
      <c r="D1217" s="1755"/>
      <c r="E1217" s="1463" t="s">
        <v>1262</v>
      </c>
      <c r="F1217" s="1459"/>
      <c r="I1217" s="1479"/>
      <c r="J1217" s="1469"/>
      <c r="K1217" s="1469"/>
      <c r="L1217" s="1469"/>
      <c r="M1217" s="1469"/>
      <c r="N1217" s="1479"/>
      <c r="O1217" s="1480" t="s">
        <v>1249</v>
      </c>
      <c r="P1217" s="1480"/>
      <c r="Q1217" s="1888" t="str">
        <f>CHOOSE(2, "6722000004135", "Existing Customer ** GP Total")</f>
        <v>Existing Customer ** GP Total</v>
      </c>
      <c r="R1217" s="1983">
        <f t="shared" ref="R1217:AC1217" si="2210">SUM(R1213:R1216)</f>
        <v>0</v>
      </c>
      <c r="S1217" s="1416">
        <f t="shared" si="2210"/>
        <v>0</v>
      </c>
      <c r="T1217" s="1416">
        <f t="shared" si="2210"/>
        <v>0</v>
      </c>
      <c r="U1217" s="1416">
        <f t="shared" si="2210"/>
        <v>0</v>
      </c>
      <c r="V1217" s="1416">
        <f t="shared" si="2210"/>
        <v>0</v>
      </c>
      <c r="W1217" s="1416">
        <f t="shared" si="2210"/>
        <v>0</v>
      </c>
      <c r="X1217" s="1416">
        <f t="shared" si="2210"/>
        <v>0</v>
      </c>
      <c r="Y1217" s="1416">
        <f t="shared" si="2210"/>
        <v>0</v>
      </c>
      <c r="Z1217" s="1416">
        <f t="shared" si="2210"/>
        <v>0</v>
      </c>
      <c r="AA1217" s="1416">
        <f t="shared" si="2210"/>
        <v>0</v>
      </c>
      <c r="AB1217" s="1416">
        <f t="shared" si="2210"/>
        <v>0</v>
      </c>
      <c r="AC1217" s="1416">
        <f t="shared" si="2210"/>
        <v>0</v>
      </c>
      <c r="AD1217" s="1496">
        <f t="shared" si="2146"/>
        <v>0</v>
      </c>
      <c r="AE1217" s="1415">
        <f t="shared" si="2204"/>
        <v>0</v>
      </c>
      <c r="AF1217" s="1415">
        <f t="shared" si="2205"/>
        <v>0</v>
      </c>
      <c r="AG1217" s="1415">
        <f t="shared" si="2206"/>
        <v>0</v>
      </c>
      <c r="AH1217" s="1415">
        <f t="shared" si="2207"/>
        <v>0</v>
      </c>
      <c r="AI1217" s="1415">
        <f t="shared" si="2208"/>
        <v>0</v>
      </c>
      <c r="AJ1217" s="1414">
        <f t="shared" si="2209"/>
        <v>0</v>
      </c>
    </row>
    <row r="1218" spans="1:36" s="639" customFormat="1" ht="14.25" customHeight="1">
      <c r="A1218" s="990">
        <v>1</v>
      </c>
      <c r="B1218" s="990">
        <v>1</v>
      </c>
      <c r="C1218" s="990" t="s">
        <v>863</v>
      </c>
      <c r="D1218" s="1755"/>
      <c r="E1218" s="1463" t="s">
        <v>1262</v>
      </c>
      <c r="F1218" s="1459"/>
      <c r="I1218" s="1472" t="s">
        <v>1249</v>
      </c>
      <c r="J1218" s="1468"/>
      <c r="K1218" s="1468"/>
      <c r="L1218" s="1468"/>
      <c r="M1218" s="1468"/>
      <c r="N1218" s="1473" t="s">
        <v>1252</v>
      </c>
      <c r="O1218" s="1474"/>
      <c r="P1218" s="1474"/>
      <c r="Q1218" s="1888" t="str">
        <f>CHOOSE(2, "6722000004136", "Total Number of Purchase Account")</f>
        <v>Total Number of Purchase Account</v>
      </c>
      <c r="R1218" s="2024">
        <f>R1196+R1207</f>
        <v>0</v>
      </c>
      <c r="S1218" s="2025">
        <f t="shared" ref="S1218:AC1222" si="2211">S1196+S1207</f>
        <v>0</v>
      </c>
      <c r="T1218" s="2025">
        <f t="shared" si="2211"/>
        <v>0</v>
      </c>
      <c r="U1218" s="2025">
        <f t="shared" si="2211"/>
        <v>0</v>
      </c>
      <c r="V1218" s="2025">
        <f t="shared" si="2211"/>
        <v>0</v>
      </c>
      <c r="W1218" s="2025">
        <f t="shared" si="2211"/>
        <v>0</v>
      </c>
      <c r="X1218" s="2025">
        <f t="shared" si="2211"/>
        <v>0</v>
      </c>
      <c r="Y1218" s="2025">
        <f t="shared" si="2211"/>
        <v>0</v>
      </c>
      <c r="Z1218" s="2025">
        <f t="shared" si="2211"/>
        <v>0</v>
      </c>
      <c r="AA1218" s="2025">
        <f t="shared" si="2211"/>
        <v>0</v>
      </c>
      <c r="AB1218" s="2025">
        <f t="shared" si="2211"/>
        <v>0</v>
      </c>
      <c r="AC1218" s="2025">
        <f t="shared" si="2211"/>
        <v>0</v>
      </c>
      <c r="AD1218" s="1583">
        <f t="shared" si="2146"/>
        <v>0</v>
      </c>
      <c r="AE1218" s="1481">
        <f>SUM($U1218:$W1218)</f>
        <v>0</v>
      </c>
      <c r="AF1218" s="1481">
        <f>SUM($X1218:$Z1218)</f>
        <v>0</v>
      </c>
      <c r="AG1218" s="1487">
        <f>SUM($AA1218:$AC1218)</f>
        <v>0</v>
      </c>
      <c r="AH1218" s="1487">
        <f>SUM($AD1218:$AE1218)</f>
        <v>0</v>
      </c>
      <c r="AI1218" s="1481">
        <f>SUM($AF1218:$AG1218)</f>
        <v>0</v>
      </c>
      <c r="AJ1218" s="1482">
        <f>SUM($AH1218:$AI1218)</f>
        <v>0</v>
      </c>
    </row>
    <row r="1219" spans="1:36" s="639" customFormat="1" ht="14.25" customHeight="1">
      <c r="A1219" s="990">
        <v>1</v>
      </c>
      <c r="B1219" s="990">
        <v>1</v>
      </c>
      <c r="C1219" s="990" t="s">
        <v>863</v>
      </c>
      <c r="D1219" s="1755"/>
      <c r="E1219" s="1463" t="s">
        <v>1262</v>
      </c>
      <c r="F1219" s="1459"/>
      <c r="I1219" s="1475"/>
      <c r="N1219" s="1472" t="s">
        <v>1244</v>
      </c>
      <c r="O1219" s="1476" t="s">
        <v>1245</v>
      </c>
      <c r="P1219" s="1476" t="s">
        <v>1246</v>
      </c>
      <c r="Q1219" s="1888" t="str">
        <f>CHOOSE(2, "6722000004137", "Total Sales Office HW")</f>
        <v>Total Sales Office HW</v>
      </c>
      <c r="R1219" s="1983">
        <f>R1197+R1208</f>
        <v>0</v>
      </c>
      <c r="S1219" s="1416">
        <f t="shared" si="2211"/>
        <v>0</v>
      </c>
      <c r="T1219" s="1416">
        <f t="shared" si="2211"/>
        <v>0</v>
      </c>
      <c r="U1219" s="1416">
        <f t="shared" si="2211"/>
        <v>0</v>
      </c>
      <c r="V1219" s="1416">
        <f t="shared" si="2211"/>
        <v>0</v>
      </c>
      <c r="W1219" s="1416">
        <f t="shared" si="2211"/>
        <v>0</v>
      </c>
      <c r="X1219" s="1416">
        <f t="shared" si="2211"/>
        <v>0</v>
      </c>
      <c r="Y1219" s="1416">
        <f t="shared" si="2211"/>
        <v>0</v>
      </c>
      <c r="Z1219" s="1416">
        <f t="shared" si="2211"/>
        <v>0</v>
      </c>
      <c r="AA1219" s="1416">
        <f t="shared" si="2211"/>
        <v>0</v>
      </c>
      <c r="AB1219" s="1416">
        <f t="shared" si="2211"/>
        <v>0</v>
      </c>
      <c r="AC1219" s="1416">
        <f t="shared" si="2211"/>
        <v>0</v>
      </c>
      <c r="AD1219" s="1494">
        <f t="shared" si="2146"/>
        <v>0</v>
      </c>
      <c r="AE1219" s="1412">
        <f t="shared" ref="AE1219" si="2212">SUM($U1219:$W1219)</f>
        <v>0</v>
      </c>
      <c r="AF1219" s="1412">
        <f t="shared" ref="AF1219" si="2213">SUM($X1219:$Z1219)</f>
        <v>0</v>
      </c>
      <c r="AG1219" s="1488">
        <f t="shared" ref="AG1219" si="2214">SUM($AA1219:$AC1219)</f>
        <v>0</v>
      </c>
      <c r="AH1219" s="1488">
        <f t="shared" ref="AH1219" si="2215">SUM($AD1219:$AE1219)</f>
        <v>0</v>
      </c>
      <c r="AI1219" s="1412">
        <f t="shared" ref="AI1219" si="2216">SUM($AF1219:$AG1219)</f>
        <v>0</v>
      </c>
      <c r="AJ1219" s="1483">
        <f t="shared" ref="AJ1219" si="2217">SUM($AH1219:$AI1219)</f>
        <v>0</v>
      </c>
    </row>
    <row r="1220" spans="1:36" s="639" customFormat="1" ht="14.25" customHeight="1">
      <c r="A1220" s="990">
        <v>1</v>
      </c>
      <c r="B1220" s="990">
        <v>1</v>
      </c>
      <c r="C1220" s="990" t="s">
        <v>863</v>
      </c>
      <c r="D1220" s="1755"/>
      <c r="E1220" s="1463" t="s">
        <v>1262</v>
      </c>
      <c r="F1220" s="1459"/>
      <c r="I1220" s="1475"/>
      <c r="N1220" s="1475"/>
      <c r="O1220" s="1477"/>
      <c r="P1220" s="1477" t="s">
        <v>1247</v>
      </c>
      <c r="Q1220" s="1888" t="str">
        <f>CHOOSE(2, "6722000004138", "Total Sales Office NH")</f>
        <v>Total Sales Office NH</v>
      </c>
      <c r="R1220" s="1983">
        <f>R1198+R1209</f>
        <v>0</v>
      </c>
      <c r="S1220" s="1416">
        <f t="shared" si="2211"/>
        <v>0</v>
      </c>
      <c r="T1220" s="1416">
        <f t="shared" si="2211"/>
        <v>0</v>
      </c>
      <c r="U1220" s="1416">
        <f t="shared" si="2211"/>
        <v>0</v>
      </c>
      <c r="V1220" s="1416">
        <f t="shared" si="2211"/>
        <v>0</v>
      </c>
      <c r="W1220" s="1416">
        <f t="shared" si="2211"/>
        <v>0</v>
      </c>
      <c r="X1220" s="1416">
        <f t="shared" si="2211"/>
        <v>0</v>
      </c>
      <c r="Y1220" s="1416">
        <f t="shared" si="2211"/>
        <v>0</v>
      </c>
      <c r="Z1220" s="1416">
        <f t="shared" si="2211"/>
        <v>0</v>
      </c>
      <c r="AA1220" s="1416">
        <f t="shared" si="2211"/>
        <v>0</v>
      </c>
      <c r="AB1220" s="1416">
        <f t="shared" si="2211"/>
        <v>0</v>
      </c>
      <c r="AC1220" s="1416">
        <f t="shared" si="2211"/>
        <v>0</v>
      </c>
      <c r="AD1220" s="1494">
        <f t="shared" si="2146"/>
        <v>0</v>
      </c>
      <c r="AE1220" s="1412">
        <f>SUM($U1220:$W1220)</f>
        <v>0</v>
      </c>
      <c r="AF1220" s="1412">
        <f>SUM($X1220:$Z1220)</f>
        <v>0</v>
      </c>
      <c r="AG1220" s="1488">
        <f>SUM($AA1220:$AC1220)</f>
        <v>0</v>
      </c>
      <c r="AH1220" s="1488">
        <f>SUM($AD1220:$AE1220)</f>
        <v>0</v>
      </c>
      <c r="AI1220" s="1412">
        <f>SUM($AF1220:$AG1220)</f>
        <v>0</v>
      </c>
      <c r="AJ1220" s="1483">
        <f>SUM($AH1220:$AI1220)</f>
        <v>0</v>
      </c>
    </row>
    <row r="1221" spans="1:36" s="639" customFormat="1" ht="14.25" customHeight="1">
      <c r="A1221" s="990">
        <v>1</v>
      </c>
      <c r="B1221" s="990">
        <v>1</v>
      </c>
      <c r="C1221" s="990" t="s">
        <v>863</v>
      </c>
      <c r="D1221" s="1755"/>
      <c r="E1221" s="1781" t="s">
        <v>460</v>
      </c>
      <c r="F1221" s="1782"/>
      <c r="I1221" s="1475"/>
      <c r="N1221" s="1475"/>
      <c r="O1221" s="1478"/>
      <c r="P1221" s="1478" t="s">
        <v>1416</v>
      </c>
      <c r="Q1221" s="1888" t="str">
        <f>CHOOSE(2, "6722000004139", "Total Sales Office Office Solution")</f>
        <v>Total Sales Office Office Solution</v>
      </c>
      <c r="R1221" s="1984">
        <f>R1199+R1210</f>
        <v>0</v>
      </c>
      <c r="S1221" s="1417">
        <f t="shared" si="2211"/>
        <v>0</v>
      </c>
      <c r="T1221" s="1417">
        <f t="shared" si="2211"/>
        <v>0</v>
      </c>
      <c r="U1221" s="1417">
        <f t="shared" si="2211"/>
        <v>0</v>
      </c>
      <c r="V1221" s="1417">
        <f t="shared" si="2211"/>
        <v>0</v>
      </c>
      <c r="W1221" s="1417">
        <f t="shared" si="2211"/>
        <v>0</v>
      </c>
      <c r="X1221" s="1417">
        <f t="shared" si="2211"/>
        <v>0</v>
      </c>
      <c r="Y1221" s="1417">
        <f t="shared" si="2211"/>
        <v>0</v>
      </c>
      <c r="Z1221" s="1417">
        <f t="shared" si="2211"/>
        <v>0</v>
      </c>
      <c r="AA1221" s="1417">
        <f t="shared" si="2211"/>
        <v>0</v>
      </c>
      <c r="AB1221" s="1417">
        <f t="shared" si="2211"/>
        <v>0</v>
      </c>
      <c r="AC1221" s="1417">
        <f t="shared" si="2211"/>
        <v>0</v>
      </c>
      <c r="AD1221" s="1495">
        <f t="shared" si="2146"/>
        <v>0</v>
      </c>
      <c r="AE1221" s="1413">
        <f t="shared" ref="AE1221:AE1223" si="2218">SUM($U1221:$W1221)</f>
        <v>0</v>
      </c>
      <c r="AF1221" s="1413">
        <f t="shared" ref="AF1221:AF1223" si="2219">SUM($X1221:$Z1221)</f>
        <v>0</v>
      </c>
      <c r="AG1221" s="1489">
        <f t="shared" ref="AG1221:AG1223" si="2220">SUM($AA1221:$AC1221)</f>
        <v>0</v>
      </c>
      <c r="AH1221" s="1489">
        <f t="shared" ref="AH1221:AH1223" si="2221">SUM($AD1221:$AE1221)</f>
        <v>0</v>
      </c>
      <c r="AI1221" s="1413">
        <f t="shared" ref="AI1221:AI1223" si="2222">SUM($AF1221:$AG1221)</f>
        <v>0</v>
      </c>
      <c r="AJ1221" s="1484">
        <f t="shared" ref="AJ1221:AJ1223" si="2223">SUM($AH1221:$AI1221)</f>
        <v>0</v>
      </c>
    </row>
    <row r="1222" spans="1:36" s="639" customFormat="1" ht="14.25" customHeight="1">
      <c r="A1222" s="990">
        <v>1</v>
      </c>
      <c r="B1222" s="990">
        <v>1</v>
      </c>
      <c r="C1222" s="990" t="s">
        <v>863</v>
      </c>
      <c r="D1222" s="1755"/>
      <c r="E1222" s="1463" t="s">
        <v>1262</v>
      </c>
      <c r="F1222" s="1459"/>
      <c r="I1222" s="1475"/>
      <c r="N1222" s="1475"/>
      <c r="O1222" s="1478" t="s">
        <v>1248</v>
      </c>
      <c r="P1222" s="1478"/>
      <c r="Q1222" s="1888" t="str">
        <f>CHOOSE(2, "6722000004140", "Total Sales DW-DX")</f>
        <v>Total Sales DW-DX</v>
      </c>
      <c r="R1222" s="1984">
        <f>R1200+R1211</f>
        <v>0</v>
      </c>
      <c r="S1222" s="1417">
        <f t="shared" si="2211"/>
        <v>0</v>
      </c>
      <c r="T1222" s="1417">
        <f t="shared" si="2211"/>
        <v>0</v>
      </c>
      <c r="U1222" s="1417">
        <f t="shared" si="2211"/>
        <v>0</v>
      </c>
      <c r="V1222" s="1417">
        <f t="shared" si="2211"/>
        <v>0</v>
      </c>
      <c r="W1222" s="1417">
        <f t="shared" si="2211"/>
        <v>0</v>
      </c>
      <c r="X1222" s="1417">
        <f t="shared" si="2211"/>
        <v>0</v>
      </c>
      <c r="Y1222" s="1417">
        <f t="shared" si="2211"/>
        <v>0</v>
      </c>
      <c r="Z1222" s="1417">
        <f t="shared" si="2211"/>
        <v>0</v>
      </c>
      <c r="AA1222" s="1417">
        <f t="shared" si="2211"/>
        <v>0</v>
      </c>
      <c r="AB1222" s="1417">
        <f t="shared" si="2211"/>
        <v>0</v>
      </c>
      <c r="AC1222" s="1417">
        <f t="shared" si="2211"/>
        <v>0</v>
      </c>
      <c r="AD1222" s="1495">
        <f t="shared" si="2146"/>
        <v>0</v>
      </c>
      <c r="AE1222" s="1413">
        <f t="shared" si="2218"/>
        <v>0</v>
      </c>
      <c r="AF1222" s="1413">
        <f t="shared" si="2219"/>
        <v>0</v>
      </c>
      <c r="AG1222" s="1489">
        <f t="shared" si="2220"/>
        <v>0</v>
      </c>
      <c r="AH1222" s="1489">
        <f t="shared" si="2221"/>
        <v>0</v>
      </c>
      <c r="AI1222" s="1413">
        <f t="shared" si="2222"/>
        <v>0</v>
      </c>
      <c r="AJ1222" s="1484">
        <f t="shared" si="2223"/>
        <v>0</v>
      </c>
    </row>
    <row r="1223" spans="1:36" s="639" customFormat="1" ht="14.25" customHeight="1">
      <c r="A1223" s="990">
        <v>1</v>
      </c>
      <c r="B1223" s="990">
        <v>1</v>
      </c>
      <c r="C1223" s="990" t="s">
        <v>863</v>
      </c>
      <c r="D1223" s="1755"/>
      <c r="E1223" s="1463" t="s">
        <v>1262</v>
      </c>
      <c r="F1223" s="1459"/>
      <c r="I1223" s="1475"/>
      <c r="N1223" s="1479"/>
      <c r="O1223" s="1480" t="s">
        <v>1249</v>
      </c>
      <c r="P1223" s="1480"/>
      <c r="Q1223" s="1888" t="str">
        <f>CHOOSE(2, "6722000004141", "Total Sales Total")</f>
        <v>Total Sales Total</v>
      </c>
      <c r="R1223" s="1985">
        <f>SUM(R1219:R1222)</f>
        <v>0</v>
      </c>
      <c r="S1223" s="1986">
        <f t="shared" ref="S1223:AC1223" si="2224">SUM(S1219:S1222)</f>
        <v>0</v>
      </c>
      <c r="T1223" s="1986">
        <f t="shared" si="2224"/>
        <v>0</v>
      </c>
      <c r="U1223" s="1986">
        <f t="shared" si="2224"/>
        <v>0</v>
      </c>
      <c r="V1223" s="1986">
        <f t="shared" si="2224"/>
        <v>0</v>
      </c>
      <c r="W1223" s="1986">
        <f t="shared" si="2224"/>
        <v>0</v>
      </c>
      <c r="X1223" s="1986">
        <f t="shared" si="2224"/>
        <v>0</v>
      </c>
      <c r="Y1223" s="1986">
        <f t="shared" si="2224"/>
        <v>0</v>
      </c>
      <c r="Z1223" s="1986">
        <f t="shared" si="2224"/>
        <v>0</v>
      </c>
      <c r="AA1223" s="1986">
        <f t="shared" si="2224"/>
        <v>0</v>
      </c>
      <c r="AB1223" s="1986">
        <f t="shared" si="2224"/>
        <v>0</v>
      </c>
      <c r="AC1223" s="1986">
        <f t="shared" si="2224"/>
        <v>0</v>
      </c>
      <c r="AD1223" s="1496">
        <f t="shared" si="2146"/>
        <v>0</v>
      </c>
      <c r="AE1223" s="1415">
        <f t="shared" si="2218"/>
        <v>0</v>
      </c>
      <c r="AF1223" s="1415">
        <f t="shared" si="2219"/>
        <v>0</v>
      </c>
      <c r="AG1223" s="1415">
        <f t="shared" si="2220"/>
        <v>0</v>
      </c>
      <c r="AH1223" s="1415">
        <f t="shared" si="2221"/>
        <v>0</v>
      </c>
      <c r="AI1223" s="1415">
        <f t="shared" si="2222"/>
        <v>0</v>
      </c>
      <c r="AJ1223" s="1414">
        <f t="shared" si="2223"/>
        <v>0</v>
      </c>
    </row>
    <row r="1224" spans="1:36" s="639" customFormat="1" ht="14.25" customHeight="1">
      <c r="A1224" s="990">
        <v>1</v>
      </c>
      <c r="B1224" s="990">
        <v>1</v>
      </c>
      <c r="C1224" s="990" t="s">
        <v>863</v>
      </c>
      <c r="D1224" s="1755"/>
      <c r="E1224" s="1463" t="s">
        <v>1262</v>
      </c>
      <c r="F1224" s="1459"/>
      <c r="I1224" s="1475"/>
      <c r="N1224" s="1475" t="s">
        <v>1250</v>
      </c>
      <c r="O1224" s="1477" t="s">
        <v>1245</v>
      </c>
      <c r="P1224" s="1477" t="s">
        <v>1246</v>
      </c>
      <c r="Q1224" s="1888" t="str">
        <f>CHOOSE(2, "6722000004142", "Total GP Office HW")</f>
        <v>Total GP Office HW</v>
      </c>
      <c r="R1224" s="1983">
        <f t="shared" ref="R1224:AC1227" si="2225">R1202+R1213</f>
        <v>0</v>
      </c>
      <c r="S1224" s="1416">
        <f t="shared" si="2225"/>
        <v>0</v>
      </c>
      <c r="T1224" s="1416">
        <f t="shared" si="2225"/>
        <v>0</v>
      </c>
      <c r="U1224" s="1416">
        <f t="shared" si="2225"/>
        <v>0</v>
      </c>
      <c r="V1224" s="1416">
        <f t="shared" si="2225"/>
        <v>0</v>
      </c>
      <c r="W1224" s="1416">
        <f t="shared" si="2225"/>
        <v>0</v>
      </c>
      <c r="X1224" s="1416">
        <f t="shared" si="2225"/>
        <v>0</v>
      </c>
      <c r="Y1224" s="1416">
        <f t="shared" si="2225"/>
        <v>0</v>
      </c>
      <c r="Z1224" s="1416">
        <f t="shared" si="2225"/>
        <v>0</v>
      </c>
      <c r="AA1224" s="1416">
        <f t="shared" si="2225"/>
        <v>0</v>
      </c>
      <c r="AB1224" s="1416">
        <f t="shared" si="2225"/>
        <v>0</v>
      </c>
      <c r="AC1224" s="1416">
        <f t="shared" si="2225"/>
        <v>0</v>
      </c>
      <c r="AD1224" s="1494">
        <f t="shared" si="2146"/>
        <v>0</v>
      </c>
      <c r="AE1224" s="1412">
        <f t="shared" ref="AE1224" si="2226">SUM($U1224:$W1224)</f>
        <v>0</v>
      </c>
      <c r="AF1224" s="1412">
        <f t="shared" ref="AF1224" si="2227">SUM($X1224:$Z1224)</f>
        <v>0</v>
      </c>
      <c r="AG1224" s="1488">
        <f t="shared" ref="AG1224" si="2228">SUM($AA1224:$AC1224)</f>
        <v>0</v>
      </c>
      <c r="AH1224" s="1488">
        <f t="shared" ref="AH1224" si="2229">SUM($AD1224:$AE1224)</f>
        <v>0</v>
      </c>
      <c r="AI1224" s="1412">
        <f t="shared" ref="AI1224" si="2230">SUM($AF1224:$AG1224)</f>
        <v>0</v>
      </c>
      <c r="AJ1224" s="1483">
        <f t="shared" ref="AJ1224" si="2231">SUM($AH1224:$AI1224)</f>
        <v>0</v>
      </c>
    </row>
    <row r="1225" spans="1:36" s="639" customFormat="1" ht="14.25" customHeight="1">
      <c r="A1225" s="990">
        <v>1</v>
      </c>
      <c r="B1225" s="990">
        <v>1</v>
      </c>
      <c r="C1225" s="990" t="s">
        <v>863</v>
      </c>
      <c r="D1225" s="1755"/>
      <c r="E1225" s="1463" t="s">
        <v>1262</v>
      </c>
      <c r="F1225" s="1459"/>
      <c r="I1225" s="1475"/>
      <c r="N1225" s="1475"/>
      <c r="O1225" s="1477"/>
      <c r="P1225" s="1477" t="s">
        <v>1247</v>
      </c>
      <c r="Q1225" s="1888" t="str">
        <f>CHOOSE(2, "6722000004143", "Total GP Office NH")</f>
        <v>Total GP Office NH</v>
      </c>
      <c r="R1225" s="1983">
        <f t="shared" si="2225"/>
        <v>0</v>
      </c>
      <c r="S1225" s="1416">
        <f t="shared" si="2225"/>
        <v>0</v>
      </c>
      <c r="T1225" s="1416">
        <f t="shared" si="2225"/>
        <v>0</v>
      </c>
      <c r="U1225" s="1416">
        <f t="shared" si="2225"/>
        <v>0</v>
      </c>
      <c r="V1225" s="1416">
        <f t="shared" si="2225"/>
        <v>0</v>
      </c>
      <c r="W1225" s="1416">
        <f t="shared" si="2225"/>
        <v>0</v>
      </c>
      <c r="X1225" s="1416">
        <f t="shared" si="2225"/>
        <v>0</v>
      </c>
      <c r="Y1225" s="1416">
        <f t="shared" si="2225"/>
        <v>0</v>
      </c>
      <c r="Z1225" s="1416">
        <f t="shared" si="2225"/>
        <v>0</v>
      </c>
      <c r="AA1225" s="1416">
        <f t="shared" si="2225"/>
        <v>0</v>
      </c>
      <c r="AB1225" s="1416">
        <f t="shared" si="2225"/>
        <v>0</v>
      </c>
      <c r="AC1225" s="1416">
        <f t="shared" si="2225"/>
        <v>0</v>
      </c>
      <c r="AD1225" s="1494">
        <f t="shared" si="2146"/>
        <v>0</v>
      </c>
      <c r="AE1225" s="1412">
        <f>SUM($U1225:$W1225)</f>
        <v>0</v>
      </c>
      <c r="AF1225" s="1412">
        <f>SUM($X1225:$Z1225)</f>
        <v>0</v>
      </c>
      <c r="AG1225" s="1488">
        <f>SUM($AA1225:$AC1225)</f>
        <v>0</v>
      </c>
      <c r="AH1225" s="1488">
        <f>SUM($AD1225:$AE1225)</f>
        <v>0</v>
      </c>
      <c r="AI1225" s="1412">
        <f>SUM($AF1225:$AG1225)</f>
        <v>0</v>
      </c>
      <c r="AJ1225" s="1483">
        <f>SUM($AH1225:$AI1225)</f>
        <v>0</v>
      </c>
    </row>
    <row r="1226" spans="1:36" s="639" customFormat="1" ht="14.25" customHeight="1">
      <c r="A1226" s="990">
        <v>1</v>
      </c>
      <c r="B1226" s="990">
        <v>1</v>
      </c>
      <c r="C1226" s="990" t="s">
        <v>863</v>
      </c>
      <c r="D1226" s="1755"/>
      <c r="E1226" s="1781" t="s">
        <v>460</v>
      </c>
      <c r="F1226" s="1782"/>
      <c r="I1226" s="1475"/>
      <c r="N1226" s="1475"/>
      <c r="O1226" s="1478"/>
      <c r="P1226" s="1478" t="s">
        <v>1416</v>
      </c>
      <c r="Q1226" s="1888" t="str">
        <f>CHOOSE(2, "6722000004144", "Total GP Office Office Solution")</f>
        <v>Total GP Office Office Solution</v>
      </c>
      <c r="R1226" s="1984">
        <f>R1204+R1215</f>
        <v>0</v>
      </c>
      <c r="S1226" s="1417">
        <f t="shared" si="2225"/>
        <v>0</v>
      </c>
      <c r="T1226" s="1417">
        <f t="shared" si="2225"/>
        <v>0</v>
      </c>
      <c r="U1226" s="1417">
        <f t="shared" si="2225"/>
        <v>0</v>
      </c>
      <c r="V1226" s="1417">
        <f t="shared" si="2225"/>
        <v>0</v>
      </c>
      <c r="W1226" s="1417">
        <f t="shared" si="2225"/>
        <v>0</v>
      </c>
      <c r="X1226" s="1417">
        <f t="shared" si="2225"/>
        <v>0</v>
      </c>
      <c r="Y1226" s="1417">
        <f t="shared" si="2225"/>
        <v>0</v>
      </c>
      <c r="Z1226" s="1417">
        <f t="shared" si="2225"/>
        <v>0</v>
      </c>
      <c r="AA1226" s="1417">
        <f t="shared" si="2225"/>
        <v>0</v>
      </c>
      <c r="AB1226" s="1417">
        <f t="shared" si="2225"/>
        <v>0</v>
      </c>
      <c r="AC1226" s="1417">
        <f t="shared" si="2225"/>
        <v>0</v>
      </c>
      <c r="AD1226" s="1495">
        <f t="shared" si="2146"/>
        <v>0</v>
      </c>
      <c r="AE1226" s="1413">
        <f t="shared" ref="AE1226:AE1228" si="2232">SUM($U1226:$W1226)</f>
        <v>0</v>
      </c>
      <c r="AF1226" s="1413">
        <f t="shared" ref="AF1226:AF1228" si="2233">SUM($X1226:$Z1226)</f>
        <v>0</v>
      </c>
      <c r="AG1226" s="1489">
        <f t="shared" ref="AG1226:AG1228" si="2234">SUM($AA1226:$AC1226)</f>
        <v>0</v>
      </c>
      <c r="AH1226" s="1489">
        <f t="shared" ref="AH1226:AH1228" si="2235">SUM($AD1226:$AE1226)</f>
        <v>0</v>
      </c>
      <c r="AI1226" s="1413">
        <f t="shared" ref="AI1226:AI1228" si="2236">SUM($AF1226:$AG1226)</f>
        <v>0</v>
      </c>
      <c r="AJ1226" s="1484">
        <f t="shared" ref="AJ1226:AJ1228" si="2237">SUM($AH1226:$AI1226)</f>
        <v>0</v>
      </c>
    </row>
    <row r="1227" spans="1:36" s="639" customFormat="1" ht="14.25" customHeight="1">
      <c r="A1227" s="990">
        <v>1</v>
      </c>
      <c r="B1227" s="990">
        <v>1</v>
      </c>
      <c r="C1227" s="990" t="s">
        <v>863</v>
      </c>
      <c r="D1227" s="1755"/>
      <c r="E1227" s="1463" t="s">
        <v>1262</v>
      </c>
      <c r="F1227" s="1459"/>
      <c r="I1227" s="1475"/>
      <c r="N1227" s="1475"/>
      <c r="O1227" s="1478" t="s">
        <v>954</v>
      </c>
      <c r="P1227" s="1478"/>
      <c r="Q1227" s="1888" t="str">
        <f>CHOOSE(2, "6722000004145", "Total GP DW-DX")</f>
        <v>Total GP DW-DX</v>
      </c>
      <c r="R1227" s="1984">
        <f>R1205+R1216</f>
        <v>0</v>
      </c>
      <c r="S1227" s="1417">
        <f t="shared" si="2225"/>
        <v>0</v>
      </c>
      <c r="T1227" s="1417">
        <f t="shared" si="2225"/>
        <v>0</v>
      </c>
      <c r="U1227" s="1417">
        <f t="shared" si="2225"/>
        <v>0</v>
      </c>
      <c r="V1227" s="1417">
        <f t="shared" si="2225"/>
        <v>0</v>
      </c>
      <c r="W1227" s="1417">
        <f t="shared" si="2225"/>
        <v>0</v>
      </c>
      <c r="X1227" s="1417">
        <f t="shared" si="2225"/>
        <v>0</v>
      </c>
      <c r="Y1227" s="1417">
        <f t="shared" si="2225"/>
        <v>0</v>
      </c>
      <c r="Z1227" s="1417">
        <f t="shared" si="2225"/>
        <v>0</v>
      </c>
      <c r="AA1227" s="1417">
        <f t="shared" si="2225"/>
        <v>0</v>
      </c>
      <c r="AB1227" s="1417">
        <f t="shared" si="2225"/>
        <v>0</v>
      </c>
      <c r="AC1227" s="1417">
        <f t="shared" si="2225"/>
        <v>0</v>
      </c>
      <c r="AD1227" s="1495">
        <f t="shared" si="2146"/>
        <v>0</v>
      </c>
      <c r="AE1227" s="1413">
        <f t="shared" si="2232"/>
        <v>0</v>
      </c>
      <c r="AF1227" s="1413">
        <f t="shared" si="2233"/>
        <v>0</v>
      </c>
      <c r="AG1227" s="1489">
        <f t="shared" si="2234"/>
        <v>0</v>
      </c>
      <c r="AH1227" s="1489">
        <f t="shared" si="2235"/>
        <v>0</v>
      </c>
      <c r="AI1227" s="1413">
        <f t="shared" si="2236"/>
        <v>0</v>
      </c>
      <c r="AJ1227" s="1484">
        <f t="shared" si="2237"/>
        <v>0</v>
      </c>
    </row>
    <row r="1228" spans="1:36" s="639" customFormat="1" ht="14.25" customHeight="1">
      <c r="A1228" s="990">
        <v>1</v>
      </c>
      <c r="B1228" s="990">
        <v>1</v>
      </c>
      <c r="C1228" s="990" t="s">
        <v>863</v>
      </c>
      <c r="D1228" s="1755"/>
      <c r="E1228" s="1463" t="s">
        <v>1262</v>
      </c>
      <c r="F1228" s="1459"/>
      <c r="I1228" s="1479"/>
      <c r="J1228" s="1469"/>
      <c r="K1228" s="1469"/>
      <c r="L1228" s="1469"/>
      <c r="M1228" s="1469"/>
      <c r="N1228" s="1479"/>
      <c r="O1228" s="1480" t="s">
        <v>1249</v>
      </c>
      <c r="P1228" s="1480"/>
      <c r="Q1228" s="1888" t="str">
        <f>CHOOSE(2, "6722000004146", "Total GP Total")</f>
        <v>Total GP Total</v>
      </c>
      <c r="R1228" s="1982">
        <f>SUM(R1224:R1227)</f>
        <v>0</v>
      </c>
      <c r="S1228" s="1414">
        <f t="shared" ref="S1228:AC1228" si="2238">SUM(S1224:S1227)</f>
        <v>0</v>
      </c>
      <c r="T1228" s="1414">
        <f t="shared" si="2238"/>
        <v>0</v>
      </c>
      <c r="U1228" s="1414">
        <f t="shared" si="2238"/>
        <v>0</v>
      </c>
      <c r="V1228" s="1414">
        <f t="shared" si="2238"/>
        <v>0</v>
      </c>
      <c r="W1228" s="1414">
        <f t="shared" si="2238"/>
        <v>0</v>
      </c>
      <c r="X1228" s="1414">
        <f t="shared" si="2238"/>
        <v>0</v>
      </c>
      <c r="Y1228" s="1414">
        <f t="shared" si="2238"/>
        <v>0</v>
      </c>
      <c r="Z1228" s="1414">
        <f t="shared" si="2238"/>
        <v>0</v>
      </c>
      <c r="AA1228" s="1414">
        <f t="shared" si="2238"/>
        <v>0</v>
      </c>
      <c r="AB1228" s="1414">
        <f t="shared" si="2238"/>
        <v>0</v>
      </c>
      <c r="AC1228" s="1414">
        <f t="shared" si="2238"/>
        <v>0</v>
      </c>
      <c r="AD1228" s="1496">
        <f t="shared" si="2146"/>
        <v>0</v>
      </c>
      <c r="AE1228" s="1415">
        <f t="shared" si="2232"/>
        <v>0</v>
      </c>
      <c r="AF1228" s="1415">
        <f t="shared" si="2233"/>
        <v>0</v>
      </c>
      <c r="AG1228" s="1415">
        <f t="shared" si="2234"/>
        <v>0</v>
      </c>
      <c r="AH1228" s="1415">
        <f t="shared" si="2235"/>
        <v>0</v>
      </c>
      <c r="AI1228" s="1415">
        <f t="shared" si="2236"/>
        <v>0</v>
      </c>
      <c r="AJ1228" s="1414">
        <f t="shared" si="2237"/>
        <v>0</v>
      </c>
    </row>
    <row r="1229" spans="1:36" s="639" customFormat="1" ht="14.25" customHeight="1">
      <c r="A1229" s="990">
        <v>1</v>
      </c>
      <c r="B1229" s="990">
        <v>1</v>
      </c>
      <c r="C1229" s="990" t="s">
        <v>863</v>
      </c>
      <c r="D1229" s="1755"/>
      <c r="E1229" s="1463" t="s">
        <v>1262</v>
      </c>
      <c r="F1229" s="1459"/>
      <c r="I1229" s="1472" t="s">
        <v>1253</v>
      </c>
      <c r="J1229" s="1468"/>
      <c r="K1229" s="1468"/>
      <c r="L1229" s="1468"/>
      <c r="M1229" s="1468"/>
      <c r="N1229" s="1476"/>
      <c r="O1229" s="1476" t="s">
        <v>96</v>
      </c>
      <c r="P1229" s="1476"/>
      <c r="Q1229" s="1847" t="str">
        <f>CHOOSE(2, "6722000004147", "S.G.&amp;A. Expenses GP Wages &amp; Salaries")</f>
        <v>S.G.&amp;A. Expenses GP Wages &amp; Salaries</v>
      </c>
      <c r="R1229" s="2284">
        <v>0</v>
      </c>
      <c r="S1229" s="2285">
        <v>0</v>
      </c>
      <c r="T1229" s="2285">
        <v>0</v>
      </c>
      <c r="U1229" s="2285">
        <v>0</v>
      </c>
      <c r="V1229" s="2285">
        <v>0</v>
      </c>
      <c r="W1229" s="2285">
        <v>0</v>
      </c>
      <c r="X1229" s="2285">
        <v>0</v>
      </c>
      <c r="Y1229" s="2285">
        <v>0</v>
      </c>
      <c r="Z1229" s="2285">
        <v>0</v>
      </c>
      <c r="AA1229" s="2285">
        <v>0</v>
      </c>
      <c r="AB1229" s="2285">
        <v>0</v>
      </c>
      <c r="AC1229" s="2285">
        <v>0</v>
      </c>
      <c r="AD1229" s="1493">
        <f t="shared" si="2146"/>
        <v>0</v>
      </c>
      <c r="AE1229" s="1491">
        <f t="shared" ref="AE1229" si="2239">SUM($U1229:$W1229)</f>
        <v>0</v>
      </c>
      <c r="AF1229" s="1491">
        <f t="shared" ref="AF1229" si="2240">SUM($X1229:$Z1229)</f>
        <v>0</v>
      </c>
      <c r="AG1229" s="1492">
        <f t="shared" ref="AG1229" si="2241">SUM($AA1229:$AC1229)</f>
        <v>0</v>
      </c>
      <c r="AH1229" s="1492">
        <f t="shared" ref="AH1229" si="2242">SUM($AD1229:$AE1229)</f>
        <v>0</v>
      </c>
      <c r="AI1229" s="1491">
        <f t="shared" ref="AI1229" si="2243">SUM($AF1229:$AG1229)</f>
        <v>0</v>
      </c>
      <c r="AJ1229" s="1493">
        <f t="shared" ref="AJ1229" si="2244">SUM($AH1229:$AI1229)</f>
        <v>0</v>
      </c>
    </row>
    <row r="1230" spans="1:36" s="639" customFormat="1" ht="14.25" customHeight="1">
      <c r="A1230" s="990">
        <v>1</v>
      </c>
      <c r="B1230" s="990">
        <v>1</v>
      </c>
      <c r="C1230" s="990" t="s">
        <v>863</v>
      </c>
      <c r="D1230" s="1755"/>
      <c r="E1230" s="1463" t="s">
        <v>1262</v>
      </c>
      <c r="F1230" s="1459"/>
      <c r="I1230" s="1475"/>
      <c r="N1230" s="1477"/>
      <c r="O1230" s="1477" t="s">
        <v>143</v>
      </c>
      <c r="P1230" s="1477"/>
      <c r="Q1230" s="1847" t="str">
        <f>CHOOSE(2, "6722000004148", "S.G.&amp;A. Expenses GP Variable Expenses")</f>
        <v>S.G.&amp;A. Expenses GP Variable Expenses</v>
      </c>
      <c r="R1230" s="2284">
        <v>0</v>
      </c>
      <c r="S1230" s="2285">
        <v>0</v>
      </c>
      <c r="T1230" s="2285">
        <v>0</v>
      </c>
      <c r="U1230" s="2285">
        <v>0</v>
      </c>
      <c r="V1230" s="2285">
        <v>0</v>
      </c>
      <c r="W1230" s="2285">
        <v>0</v>
      </c>
      <c r="X1230" s="2285">
        <v>0</v>
      </c>
      <c r="Y1230" s="2285">
        <v>0</v>
      </c>
      <c r="Z1230" s="2285">
        <v>0</v>
      </c>
      <c r="AA1230" s="2285">
        <v>0</v>
      </c>
      <c r="AB1230" s="2285">
        <v>0</v>
      </c>
      <c r="AC1230" s="2285">
        <v>0</v>
      </c>
      <c r="AD1230" s="1494">
        <f t="shared" si="2146"/>
        <v>0</v>
      </c>
      <c r="AE1230" s="1412">
        <f>SUM($U1230:$W1230)</f>
        <v>0</v>
      </c>
      <c r="AF1230" s="1412">
        <f>SUM($X1230:$Z1230)</f>
        <v>0</v>
      </c>
      <c r="AG1230" s="1488">
        <f>SUM($AA1230:$AC1230)</f>
        <v>0</v>
      </c>
      <c r="AH1230" s="1488">
        <f>SUM($AD1230:$AE1230)</f>
        <v>0</v>
      </c>
      <c r="AI1230" s="1412">
        <f>SUM($AF1230:$AG1230)</f>
        <v>0</v>
      </c>
      <c r="AJ1230" s="1494">
        <f>SUM($AH1230:$AI1230)</f>
        <v>0</v>
      </c>
    </row>
    <row r="1231" spans="1:36" s="639" customFormat="1" ht="14.25" customHeight="1">
      <c r="A1231" s="990">
        <v>1</v>
      </c>
      <c r="B1231" s="990">
        <v>1</v>
      </c>
      <c r="C1231" s="990" t="s">
        <v>863</v>
      </c>
      <c r="D1231" s="1755"/>
      <c r="E1231" s="1463" t="s">
        <v>1262</v>
      </c>
      <c r="F1231" s="1459"/>
      <c r="I1231" s="1475"/>
      <c r="N1231" s="1477"/>
      <c r="O1231" s="1478" t="s">
        <v>142</v>
      </c>
      <c r="P1231" s="1478"/>
      <c r="Q1231" s="1847" t="str">
        <f>CHOOSE(2, "6722000004149", "S.G.&amp;A. Expenses GP Fixed Expenses")</f>
        <v>S.G.&amp;A. Expenses GP Fixed Expenses</v>
      </c>
      <c r="R1231" s="2286">
        <v>0</v>
      </c>
      <c r="S1231" s="2287">
        <v>0</v>
      </c>
      <c r="T1231" s="2287">
        <v>0</v>
      </c>
      <c r="U1231" s="2287">
        <v>0</v>
      </c>
      <c r="V1231" s="2287">
        <v>0</v>
      </c>
      <c r="W1231" s="2287">
        <v>0</v>
      </c>
      <c r="X1231" s="2287">
        <v>0</v>
      </c>
      <c r="Y1231" s="2287">
        <v>0</v>
      </c>
      <c r="Z1231" s="2287">
        <v>0</v>
      </c>
      <c r="AA1231" s="2287">
        <v>0</v>
      </c>
      <c r="AB1231" s="2287">
        <v>0</v>
      </c>
      <c r="AC1231" s="2287">
        <v>0</v>
      </c>
      <c r="AD1231" s="1495">
        <f t="shared" si="2146"/>
        <v>0</v>
      </c>
      <c r="AE1231" s="1413">
        <f t="shared" ref="AE1231:AE1232" si="2245">SUM($U1231:$W1231)</f>
        <v>0</v>
      </c>
      <c r="AF1231" s="1413">
        <f t="shared" ref="AF1231:AF1232" si="2246">SUM($X1231:$Z1231)</f>
        <v>0</v>
      </c>
      <c r="AG1231" s="1489">
        <f t="shared" ref="AG1231:AG1232" si="2247">SUM($AA1231:$AC1231)</f>
        <v>0</v>
      </c>
      <c r="AH1231" s="1489">
        <f t="shared" ref="AH1231:AH1232" si="2248">SUM($AD1231:$AE1231)</f>
        <v>0</v>
      </c>
      <c r="AI1231" s="1413">
        <f t="shared" ref="AI1231:AI1232" si="2249">SUM($AF1231:$AG1231)</f>
        <v>0</v>
      </c>
      <c r="AJ1231" s="1495">
        <f t="shared" ref="AJ1231:AJ1232" si="2250">SUM($AH1231:$AI1231)</f>
        <v>0</v>
      </c>
    </row>
    <row r="1232" spans="1:36" s="639" customFormat="1" ht="14.25" customHeight="1">
      <c r="A1232" s="990">
        <v>1</v>
      </c>
      <c r="B1232" s="990">
        <v>1</v>
      </c>
      <c r="C1232" s="990" t="s">
        <v>863</v>
      </c>
      <c r="D1232" s="1755"/>
      <c r="E1232" s="1463" t="s">
        <v>1262</v>
      </c>
      <c r="F1232" s="1459"/>
      <c r="I1232" s="1479"/>
      <c r="J1232" s="1469"/>
      <c r="K1232" s="1469"/>
      <c r="L1232" s="1469"/>
      <c r="M1232" s="1469"/>
      <c r="N1232" s="1480"/>
      <c r="O1232" s="1480" t="s">
        <v>1130</v>
      </c>
      <c r="P1232" s="1480"/>
      <c r="Q1232" s="1848" t="str">
        <f>CHOOSE(2, "6722000004150", "S.G.&amp;A. Expenses GP Total")</f>
        <v>S.G.&amp;A. Expenses GP Total</v>
      </c>
      <c r="R1232" s="1490">
        <f>SUM(R1229:R1231)</f>
        <v>0</v>
      </c>
      <c r="S1232" s="1415">
        <f t="shared" ref="S1232:AC1232" si="2251">SUM(S1229:S1231)</f>
        <v>0</v>
      </c>
      <c r="T1232" s="1415">
        <f t="shared" si="2251"/>
        <v>0</v>
      </c>
      <c r="U1232" s="1415">
        <f t="shared" si="2251"/>
        <v>0</v>
      </c>
      <c r="V1232" s="1415">
        <f t="shared" si="2251"/>
        <v>0</v>
      </c>
      <c r="W1232" s="1415">
        <f t="shared" si="2251"/>
        <v>0</v>
      </c>
      <c r="X1232" s="1415">
        <f t="shared" si="2251"/>
        <v>0</v>
      </c>
      <c r="Y1232" s="1415">
        <f t="shared" si="2251"/>
        <v>0</v>
      </c>
      <c r="Z1232" s="1415">
        <f t="shared" si="2251"/>
        <v>0</v>
      </c>
      <c r="AA1232" s="1415">
        <f t="shared" si="2251"/>
        <v>0</v>
      </c>
      <c r="AB1232" s="1415">
        <f t="shared" si="2251"/>
        <v>0</v>
      </c>
      <c r="AC1232" s="1415">
        <f t="shared" si="2251"/>
        <v>0</v>
      </c>
      <c r="AD1232" s="1496">
        <f t="shared" si="2146"/>
        <v>0</v>
      </c>
      <c r="AE1232" s="1415">
        <f t="shared" si="2245"/>
        <v>0</v>
      </c>
      <c r="AF1232" s="1415">
        <f t="shared" si="2246"/>
        <v>0</v>
      </c>
      <c r="AG1232" s="1490">
        <f t="shared" si="2247"/>
        <v>0</v>
      </c>
      <c r="AH1232" s="1490">
        <f t="shared" si="2248"/>
        <v>0</v>
      </c>
      <c r="AI1232" s="1415">
        <f t="shared" si="2249"/>
        <v>0</v>
      </c>
      <c r="AJ1232" s="1496">
        <f t="shared" si="2250"/>
        <v>0</v>
      </c>
    </row>
    <row r="1233" spans="1:36" s="639" customFormat="1" ht="14.25" customHeight="1">
      <c r="A1233" s="990">
        <v>1</v>
      </c>
      <c r="B1233" s="990">
        <v>1</v>
      </c>
      <c r="C1233" s="990" t="s">
        <v>863</v>
      </c>
      <c r="D1233" s="1755"/>
      <c r="E1233" s="1463" t="s">
        <v>1262</v>
      </c>
      <c r="F1233" s="1459"/>
      <c r="I1233" s="638"/>
      <c r="J1233" s="638"/>
      <c r="K1233" s="638"/>
      <c r="L1233" s="638"/>
      <c r="M1233" s="638"/>
      <c r="N1233" s="638"/>
      <c r="O1233" s="638"/>
      <c r="P1233" s="638"/>
      <c r="Q1233" s="1902" t="str">
        <f>CHOOSE(2, "6722000004151", "▷ Blank 46")</f>
        <v>▷ Blank 46</v>
      </c>
      <c r="R1233" s="638"/>
      <c r="S1233" s="638"/>
      <c r="T1233" s="638"/>
      <c r="U1233" s="638"/>
      <c r="V1233" s="638"/>
      <c r="W1233" s="638"/>
      <c r="X1233" s="638"/>
      <c r="Y1233" s="638"/>
      <c r="Z1233" s="638"/>
    </row>
    <row r="1234" spans="1:36" s="998" customFormat="1" ht="18" hidden="1" outlineLevel="1">
      <c r="A1234" s="990">
        <f>A1104+1</f>
        <v>1018</v>
      </c>
      <c r="B1234" s="1058"/>
      <c r="C1234" s="1058" t="s">
        <v>863</v>
      </c>
      <c r="D1234" s="1121" t="s">
        <v>887</v>
      </c>
      <c r="E1234" s="1243">
        <v>1</v>
      </c>
      <c r="F1234" s="1059" t="s">
        <v>1284</v>
      </c>
      <c r="G1234" s="1059"/>
      <c r="H1234" s="1000"/>
      <c r="I1234" s="999"/>
      <c r="K1234" s="999"/>
      <c r="L1234" s="999"/>
      <c r="Q1234" s="1838" t="str">
        <f>CHOOSE(2, "6722000004152", "8. Rolling forecast only")</f>
        <v>8. Rolling forecast only</v>
      </c>
      <c r="R1234" s="2141"/>
      <c r="S1234" s="2141"/>
      <c r="T1234" s="2141"/>
      <c r="U1234" s="2141"/>
      <c r="V1234" s="2141"/>
      <c r="W1234" s="2141"/>
      <c r="X1234" s="2141"/>
      <c r="Y1234" s="2141"/>
      <c r="Z1234" s="2141"/>
      <c r="AA1234" s="2141"/>
    </row>
    <row r="1235" spans="1:36" s="998" customFormat="1" ht="14.5" hidden="1" outlineLevel="1">
      <c r="A1235" s="990">
        <f t="shared" ref="A1235:A1274" si="2252">A1234+1</f>
        <v>1019</v>
      </c>
      <c r="B1235" s="1058"/>
      <c r="C1235" s="1058" t="s">
        <v>863</v>
      </c>
      <c r="D1235" s="1121" t="s">
        <v>887</v>
      </c>
      <c r="E1235" s="1243">
        <v>1</v>
      </c>
      <c r="F1235" s="999"/>
      <c r="G1235" s="1000" t="s">
        <v>1285</v>
      </c>
      <c r="H1235" s="999"/>
      <c r="I1235" s="999"/>
      <c r="K1235" s="999"/>
      <c r="L1235" s="999"/>
      <c r="P1235" s="999"/>
      <c r="Q1235" s="1838" t="str">
        <f>CHOOSE(2, "6722000004153", "8-1. Depreciation &amp; Amortization")</f>
        <v>8-1. Depreciation &amp; Amortization</v>
      </c>
      <c r="R1235" s="2141"/>
      <c r="S1235" s="2141"/>
      <c r="T1235" s="2141"/>
      <c r="U1235" s="2141"/>
      <c r="V1235" s="2141"/>
      <c r="W1235" s="2141"/>
      <c r="X1235" s="2141"/>
      <c r="Y1235" s="2141"/>
      <c r="Z1235" s="2141"/>
      <c r="AA1235" s="2141"/>
    </row>
    <row r="1236" spans="1:36" s="998" customFormat="1" ht="14.5" hidden="1" outlineLevel="1">
      <c r="A1236" s="990">
        <f t="shared" si="2252"/>
        <v>1020</v>
      </c>
      <c r="B1236" s="1058"/>
      <c r="C1236" s="1058" t="s">
        <v>863</v>
      </c>
      <c r="D1236" s="1121" t="s">
        <v>887</v>
      </c>
      <c r="E1236" s="1243">
        <v>1</v>
      </c>
      <c r="F1236" s="999"/>
      <c r="G1236" s="1000"/>
      <c r="H1236" s="999"/>
      <c r="I1236" s="1060" t="s">
        <v>817</v>
      </c>
      <c r="J1236" s="1061"/>
      <c r="K1236" s="1062"/>
      <c r="L1236" s="1062"/>
      <c r="M1236" s="1061"/>
      <c r="N1236" s="1061"/>
      <c r="O1236" s="1061"/>
      <c r="P1236" s="1063"/>
      <c r="Q1236" s="1904" t="str">
        <f>CHOOSE(2, "6722000004154", "D&amp;A Total")</f>
        <v>D&amp;A Total</v>
      </c>
      <c r="R1236" s="2142">
        <v>0</v>
      </c>
      <c r="S1236" s="2142">
        <v>0</v>
      </c>
      <c r="T1236" s="2142">
        <v>0</v>
      </c>
      <c r="U1236" s="2142">
        <v>0</v>
      </c>
      <c r="V1236" s="2142">
        <v>0</v>
      </c>
      <c r="W1236" s="2142">
        <v>0</v>
      </c>
      <c r="X1236" s="2142">
        <v>0</v>
      </c>
      <c r="Y1236" s="2142">
        <v>0</v>
      </c>
      <c r="Z1236" s="2142">
        <v>0</v>
      </c>
      <c r="AA1236" s="2142">
        <v>0</v>
      </c>
      <c r="AB1236" s="2142">
        <v>0</v>
      </c>
      <c r="AC1236" s="2142">
        <v>0</v>
      </c>
      <c r="AD1236" s="1064">
        <f>SUM(R1236:T1236)</f>
        <v>0</v>
      </c>
      <c r="AE1236" s="1064">
        <f>SUM(U1236:W1236)</f>
        <v>0</v>
      </c>
      <c r="AF1236" s="1064">
        <f>SUM(X1236:Z1236)</f>
        <v>0</v>
      </c>
      <c r="AG1236" s="1064">
        <f>SUM(AA1236:AC1236)</f>
        <v>0</v>
      </c>
      <c r="AH1236" s="1064">
        <f>AD1236+AE1236</f>
        <v>0</v>
      </c>
      <c r="AI1236" s="1064">
        <f>AG1236+AF1236</f>
        <v>0</v>
      </c>
      <c r="AJ1236" s="1064">
        <f>AH1236+AI1236</f>
        <v>0</v>
      </c>
    </row>
    <row r="1237" spans="1:36" s="998" customFormat="1" ht="14.5" hidden="1" outlineLevel="1">
      <c r="A1237" s="990">
        <f t="shared" si="2252"/>
        <v>1021</v>
      </c>
      <c r="B1237" s="1058"/>
      <c r="C1237" s="1058" t="s">
        <v>863</v>
      </c>
      <c r="D1237" s="1121" t="s">
        <v>887</v>
      </c>
      <c r="E1237" s="1243">
        <v>1</v>
      </c>
      <c r="F1237" s="999"/>
      <c r="G1237" s="1000"/>
      <c r="H1237" s="999"/>
      <c r="I1237" s="1065"/>
      <c r="J1237" s="1066" t="s">
        <v>818</v>
      </c>
      <c r="K1237" s="1067"/>
      <c r="L1237" s="1067"/>
      <c r="M1237" s="1068"/>
      <c r="N1237" s="1068"/>
      <c r="O1237" s="1068"/>
      <c r="P1237" s="1069"/>
      <c r="Q1237" s="1880" t="str">
        <f>CHOOSE(2, "6722000004155", "D&amp;A Total Depreciation &amp; Amortization  included in COCS")</f>
        <v>D&amp;A Total Depreciation &amp; Amortization  included in COCS</v>
      </c>
      <c r="R1237" s="2143">
        <f t="shared" ref="R1237:AC1237" si="2253">R838</f>
        <v>0</v>
      </c>
      <c r="S1237" s="2143">
        <f t="shared" si="2253"/>
        <v>0</v>
      </c>
      <c r="T1237" s="2143">
        <f t="shared" si="2253"/>
        <v>0</v>
      </c>
      <c r="U1237" s="2143">
        <f t="shared" si="2253"/>
        <v>0</v>
      </c>
      <c r="V1237" s="2143">
        <f t="shared" si="2253"/>
        <v>0</v>
      </c>
      <c r="W1237" s="2143">
        <f t="shared" si="2253"/>
        <v>0</v>
      </c>
      <c r="X1237" s="2143">
        <f t="shared" si="2253"/>
        <v>0</v>
      </c>
      <c r="Y1237" s="2143">
        <f t="shared" si="2253"/>
        <v>0</v>
      </c>
      <c r="Z1237" s="2143">
        <f t="shared" si="2253"/>
        <v>0</v>
      </c>
      <c r="AA1237" s="2143">
        <f t="shared" si="2253"/>
        <v>0</v>
      </c>
      <c r="AB1237" s="2143">
        <f t="shared" si="2253"/>
        <v>0</v>
      </c>
      <c r="AC1237" s="2143">
        <f t="shared" si="2253"/>
        <v>0</v>
      </c>
      <c r="AD1237" s="1070">
        <f>SUM(R1237:T1237)</f>
        <v>0</v>
      </c>
      <c r="AE1237" s="1070">
        <f>SUM(U1237:W1237)</f>
        <v>0</v>
      </c>
      <c r="AF1237" s="1070">
        <f>SUM(X1237:Z1237)</f>
        <v>0</v>
      </c>
      <c r="AG1237" s="1070">
        <f>SUM(AA1237:AC1237)</f>
        <v>0</v>
      </c>
      <c r="AH1237" s="1070">
        <f>AD1237+AE1237</f>
        <v>0</v>
      </c>
      <c r="AI1237" s="1070">
        <f>AG1237+AF1237</f>
        <v>0</v>
      </c>
      <c r="AJ1237" s="1070">
        <f>AH1237+AI1237</f>
        <v>0</v>
      </c>
    </row>
    <row r="1238" spans="1:36" s="998" customFormat="1" ht="14.5" hidden="1" outlineLevel="1">
      <c r="A1238" s="990">
        <f t="shared" si="2252"/>
        <v>1022</v>
      </c>
      <c r="B1238" s="1058"/>
      <c r="C1238" s="1058" t="s">
        <v>863</v>
      </c>
      <c r="D1238" s="1121" t="s">
        <v>887</v>
      </c>
      <c r="E1238" s="1243">
        <v>1</v>
      </c>
      <c r="F1238" s="999"/>
      <c r="G1238" s="1000"/>
      <c r="H1238" s="1000"/>
      <c r="I1238" s="1071"/>
      <c r="J1238" s="1072" t="s">
        <v>819</v>
      </c>
      <c r="K1238" s="1073"/>
      <c r="L1238" s="1073"/>
      <c r="M1238" s="1074"/>
      <c r="N1238" s="1074"/>
      <c r="O1238" s="1074"/>
      <c r="P1238" s="1075"/>
      <c r="Q1238" s="1880" t="str">
        <f>CHOOSE(2, "6722000004156", "D&amp;A Total Depreciation &amp; Amortization  included in SGA")</f>
        <v>D&amp;A Total Depreciation &amp; Amortization  included in SGA</v>
      </c>
      <c r="R1238" s="2144">
        <f>R1236-R1237</f>
        <v>0</v>
      </c>
      <c r="S1238" s="2144">
        <f t="shared" ref="S1238:AC1238" si="2254">S1236-S1237</f>
        <v>0</v>
      </c>
      <c r="T1238" s="2144">
        <f t="shared" si="2254"/>
        <v>0</v>
      </c>
      <c r="U1238" s="2144">
        <f t="shared" si="2254"/>
        <v>0</v>
      </c>
      <c r="V1238" s="2144">
        <f t="shared" si="2254"/>
        <v>0</v>
      </c>
      <c r="W1238" s="2144">
        <f t="shared" si="2254"/>
        <v>0</v>
      </c>
      <c r="X1238" s="2144">
        <f t="shared" si="2254"/>
        <v>0</v>
      </c>
      <c r="Y1238" s="2144">
        <f t="shared" si="2254"/>
        <v>0</v>
      </c>
      <c r="Z1238" s="2144">
        <f t="shared" si="2254"/>
        <v>0</v>
      </c>
      <c r="AA1238" s="2144">
        <f t="shared" si="2254"/>
        <v>0</v>
      </c>
      <c r="AB1238" s="2144">
        <f t="shared" si="2254"/>
        <v>0</v>
      </c>
      <c r="AC1238" s="2144">
        <f t="shared" si="2254"/>
        <v>0</v>
      </c>
      <c r="AD1238" s="1076">
        <f>SUM(R1238:T1238)</f>
        <v>0</v>
      </c>
      <c r="AE1238" s="1076">
        <f>SUM(U1238:W1238)</f>
        <v>0</v>
      </c>
      <c r="AF1238" s="1076">
        <f>SUM(X1238:Z1238)</f>
        <v>0</v>
      </c>
      <c r="AG1238" s="1076">
        <f>SUM(AA1238:AC1238)</f>
        <v>0</v>
      </c>
      <c r="AH1238" s="1076">
        <f>AD1238+AE1238</f>
        <v>0</v>
      </c>
      <c r="AI1238" s="1076">
        <f>AG1238+AF1238</f>
        <v>0</v>
      </c>
      <c r="AJ1238" s="1076">
        <f>AH1238+AI1238</f>
        <v>0</v>
      </c>
    </row>
    <row r="1239" spans="1:36" s="998" customFormat="1" ht="14.5" hidden="1" outlineLevel="1">
      <c r="A1239" s="990">
        <f t="shared" si="2252"/>
        <v>1023</v>
      </c>
      <c r="B1239" s="1058"/>
      <c r="C1239" s="1058" t="s">
        <v>863</v>
      </c>
      <c r="D1239" s="1121" t="s">
        <v>887</v>
      </c>
      <c r="E1239" s="1243">
        <v>1</v>
      </c>
      <c r="F1239" s="999"/>
      <c r="G1239" s="999"/>
      <c r="H1239" s="1000"/>
      <c r="I1239" s="999"/>
      <c r="K1239" s="999"/>
      <c r="L1239" s="999"/>
      <c r="Q1239" s="1838" t="str">
        <f>CHOOSE(2, "6722000004157", "▷ Blank 47")</f>
        <v>▷ Blank 47</v>
      </c>
      <c r="R1239" s="2141"/>
      <c r="S1239" s="2141"/>
      <c r="T1239" s="2141"/>
      <c r="U1239" s="2141"/>
      <c r="V1239" s="2141"/>
      <c r="W1239" s="2141"/>
      <c r="X1239" s="2141"/>
      <c r="Y1239" s="2141"/>
      <c r="Z1239" s="2141"/>
      <c r="AA1239" s="2141"/>
    </row>
    <row r="1240" spans="1:36" s="998" customFormat="1" ht="15.5" hidden="1" outlineLevel="1">
      <c r="A1240" s="990">
        <f t="shared" si="2252"/>
        <v>1024</v>
      </c>
      <c r="B1240" s="1058"/>
      <c r="C1240" s="1058" t="s">
        <v>863</v>
      </c>
      <c r="D1240" s="1121" t="s">
        <v>887</v>
      </c>
      <c r="E1240" s="1243">
        <v>1</v>
      </c>
      <c r="F1240" s="999"/>
      <c r="G1240" s="1077" t="s">
        <v>1286</v>
      </c>
      <c r="H1240" s="1000"/>
      <c r="I1240" s="999"/>
      <c r="J1240" s="1078"/>
      <c r="K1240" s="1079"/>
      <c r="L1240" s="1078"/>
      <c r="M1240" s="1078"/>
      <c r="N1240" s="1079"/>
      <c r="O1240" s="1079"/>
      <c r="P1240" s="1079"/>
      <c r="Q1240" s="1839" t="str">
        <f>CHOOSE(2, "6722000004158", "8-2. Notes and Accounts Receivable-Trade")</f>
        <v>8-2. Notes and Accounts Receivable-Trade</v>
      </c>
      <c r="R1240" s="2182"/>
      <c r="S1240" s="2182"/>
      <c r="T1240" s="2182"/>
      <c r="U1240" s="2182"/>
      <c r="V1240" s="2182"/>
      <c r="W1240" s="2182"/>
      <c r="X1240" s="1080"/>
      <c r="Y1240" s="1080"/>
      <c r="Z1240" s="1080"/>
      <c r="AA1240" s="1080"/>
      <c r="AB1240" s="1080"/>
      <c r="AC1240" s="1080"/>
      <c r="AD1240" s="1080"/>
      <c r="AE1240" s="1080"/>
      <c r="AF1240" s="1080"/>
      <c r="AG1240" s="1080"/>
      <c r="AH1240" s="1080"/>
      <c r="AI1240" s="1080"/>
      <c r="AJ1240" s="1080"/>
    </row>
    <row r="1241" spans="1:36" s="998" customFormat="1" ht="14.5" hidden="1" outlineLevel="1">
      <c r="A1241" s="990">
        <f t="shared" si="2252"/>
        <v>1025</v>
      </c>
      <c r="B1241" s="1058"/>
      <c r="C1241" s="1058" t="s">
        <v>863</v>
      </c>
      <c r="D1241" s="1121" t="s">
        <v>887</v>
      </c>
      <c r="E1241" s="1243">
        <v>1</v>
      </c>
      <c r="F1241" s="999"/>
      <c r="G1241" s="1000"/>
      <c r="H1241" s="1000"/>
      <c r="I1241" s="1081" t="s">
        <v>817</v>
      </c>
      <c r="J1241" s="1082"/>
      <c r="K1241" s="1083"/>
      <c r="L1241" s="1084"/>
      <c r="M1241" s="1084"/>
      <c r="N1241" s="1083"/>
      <c r="O1241" s="1083"/>
      <c r="P1241" s="1083"/>
      <c r="Q1241" s="1851" t="str">
        <f>CHOOSE(2, "6722000004159", "Notes and Accounts Receivable-Trade Total")</f>
        <v>Notes and Accounts Receivable-Trade Total</v>
      </c>
      <c r="R1241" s="2145">
        <f>SUM(R1242:R1243)</f>
        <v>0</v>
      </c>
      <c r="S1241" s="2145">
        <f t="shared" ref="S1241:AC1241" si="2255">SUM(S1242:S1243)</f>
        <v>0</v>
      </c>
      <c r="T1241" s="2145">
        <f t="shared" si="2255"/>
        <v>0</v>
      </c>
      <c r="U1241" s="2145">
        <f t="shared" si="2255"/>
        <v>0</v>
      </c>
      <c r="V1241" s="2145">
        <f t="shared" si="2255"/>
        <v>0</v>
      </c>
      <c r="W1241" s="2145">
        <f t="shared" si="2255"/>
        <v>0</v>
      </c>
      <c r="X1241" s="2145">
        <f t="shared" si="2255"/>
        <v>0</v>
      </c>
      <c r="Y1241" s="2145">
        <f t="shared" si="2255"/>
        <v>0</v>
      </c>
      <c r="Z1241" s="2145">
        <f t="shared" si="2255"/>
        <v>0</v>
      </c>
      <c r="AA1241" s="2145">
        <f t="shared" si="2255"/>
        <v>0</v>
      </c>
      <c r="AB1241" s="2145">
        <f t="shared" si="2255"/>
        <v>0</v>
      </c>
      <c r="AC1241" s="2145">
        <f t="shared" si="2255"/>
        <v>0</v>
      </c>
      <c r="AD1241" s="1085">
        <f>T1241</f>
        <v>0</v>
      </c>
      <c r="AE1241" s="1085">
        <f>W1241</f>
        <v>0</v>
      </c>
      <c r="AF1241" s="1085">
        <f>Z1241</f>
        <v>0</v>
      </c>
      <c r="AG1241" s="1085">
        <f>AC1241</f>
        <v>0</v>
      </c>
      <c r="AH1241" s="1085">
        <f>AE1241</f>
        <v>0</v>
      </c>
      <c r="AI1241" s="1085">
        <f>AG1241</f>
        <v>0</v>
      </c>
      <c r="AJ1241" s="1085">
        <f>AI1241</f>
        <v>0</v>
      </c>
    </row>
    <row r="1242" spans="1:36" s="998" customFormat="1" ht="14.5" hidden="1" outlineLevel="1">
      <c r="A1242" s="990">
        <f t="shared" si="2252"/>
        <v>1026</v>
      </c>
      <c r="B1242" s="1058"/>
      <c r="C1242" s="1058" t="s">
        <v>863</v>
      </c>
      <c r="D1242" s="1121" t="s">
        <v>887</v>
      </c>
      <c r="E1242" s="1243">
        <v>1</v>
      </c>
      <c r="F1242" s="999"/>
      <c r="G1242" s="1000"/>
      <c r="H1242" s="1000"/>
      <c r="I1242" s="1086"/>
      <c r="J1242" s="1086"/>
      <c r="K1242" s="1079"/>
      <c r="L1242" s="1078"/>
      <c r="M1242" s="1079" t="s">
        <v>820</v>
      </c>
      <c r="N1242" s="1079"/>
      <c r="O1242" s="1079"/>
      <c r="P1242" s="1079"/>
      <c r="Q1242" s="1904" t="str">
        <f>CHOOSE(2, "6722000004160", "Notes and Accounts Receivable-Trade Total SS")</f>
        <v>Notes and Accounts Receivable-Trade Total SS</v>
      </c>
      <c r="R1242" s="2146">
        <v>0</v>
      </c>
      <c r="S1242" s="2146">
        <v>0</v>
      </c>
      <c r="T1242" s="2146">
        <v>0</v>
      </c>
      <c r="U1242" s="2146">
        <v>0</v>
      </c>
      <c r="V1242" s="2146">
        <v>0</v>
      </c>
      <c r="W1242" s="2146">
        <v>0</v>
      </c>
      <c r="X1242" s="2146">
        <v>0</v>
      </c>
      <c r="Y1242" s="2146">
        <v>0</v>
      </c>
      <c r="Z1242" s="2146">
        <v>0</v>
      </c>
      <c r="AA1242" s="2146">
        <v>0</v>
      </c>
      <c r="AB1242" s="2147">
        <v>0</v>
      </c>
      <c r="AC1242" s="2147">
        <v>0</v>
      </c>
      <c r="AD1242" s="1087">
        <f>T1242</f>
        <v>0</v>
      </c>
      <c r="AE1242" s="1087">
        <f>W1242</f>
        <v>0</v>
      </c>
      <c r="AF1242" s="1087">
        <f>Z1242</f>
        <v>0</v>
      </c>
      <c r="AG1242" s="1087">
        <f>AC1242</f>
        <v>0</v>
      </c>
      <c r="AH1242" s="1087">
        <f>AE1242</f>
        <v>0</v>
      </c>
      <c r="AI1242" s="1087">
        <f>AG1242</f>
        <v>0</v>
      </c>
      <c r="AJ1242" s="1087">
        <f>AI1242</f>
        <v>0</v>
      </c>
    </row>
    <row r="1243" spans="1:36" s="998" customFormat="1" ht="14.5" hidden="1" outlineLevel="1">
      <c r="A1243" s="990">
        <f t="shared" si="2252"/>
        <v>1027</v>
      </c>
      <c r="B1243" s="1058"/>
      <c r="C1243" s="1058" t="s">
        <v>863</v>
      </c>
      <c r="D1243" s="1121" t="s">
        <v>887</v>
      </c>
      <c r="E1243" s="1243">
        <v>1</v>
      </c>
      <c r="F1243" s="999"/>
      <c r="G1243" s="1000"/>
      <c r="H1243" s="1000"/>
      <c r="I1243" s="1088"/>
      <c r="J1243" s="1089"/>
      <c r="K1243" s="1090"/>
      <c r="L1243" s="1091"/>
      <c r="M1243" s="1090" t="s">
        <v>821</v>
      </c>
      <c r="N1243" s="1090"/>
      <c r="O1243" s="1090"/>
      <c r="P1243" s="1090"/>
      <c r="Q1243" s="1904" t="str">
        <f>CHOOSE(2, "6722000004161", "Notes and Accounts Receivable-Trade Total I&amp;O")</f>
        <v>Notes and Accounts Receivable-Trade Total I&amp;O</v>
      </c>
      <c r="R1243" s="2148">
        <v>0</v>
      </c>
      <c r="S1243" s="2148">
        <v>0</v>
      </c>
      <c r="T1243" s="2148">
        <v>0</v>
      </c>
      <c r="U1243" s="2148">
        <v>0</v>
      </c>
      <c r="V1243" s="2148">
        <v>0</v>
      </c>
      <c r="W1243" s="2148">
        <v>0</v>
      </c>
      <c r="X1243" s="2148">
        <v>0</v>
      </c>
      <c r="Y1243" s="2148">
        <v>0</v>
      </c>
      <c r="Z1243" s="2148">
        <v>0</v>
      </c>
      <c r="AA1243" s="2148">
        <v>0</v>
      </c>
      <c r="AB1243" s="2148">
        <v>0</v>
      </c>
      <c r="AC1243" s="2148">
        <v>0</v>
      </c>
      <c r="AD1243" s="1092">
        <f>T1243</f>
        <v>0</v>
      </c>
      <c r="AE1243" s="1092">
        <f>W1243</f>
        <v>0</v>
      </c>
      <c r="AF1243" s="1092">
        <f>Z1243</f>
        <v>0</v>
      </c>
      <c r="AG1243" s="1092">
        <f>AC1243</f>
        <v>0</v>
      </c>
      <c r="AH1243" s="1092">
        <f>AE1243</f>
        <v>0</v>
      </c>
      <c r="AI1243" s="1092">
        <f>AG1243</f>
        <v>0</v>
      </c>
      <c r="AJ1243" s="1092">
        <f>AI1243</f>
        <v>0</v>
      </c>
    </row>
    <row r="1244" spans="1:36" s="998" customFormat="1" ht="14.5" hidden="1" outlineLevel="1">
      <c r="A1244" s="990">
        <f t="shared" si="2252"/>
        <v>1028</v>
      </c>
      <c r="B1244" s="1058"/>
      <c r="C1244" s="1058" t="s">
        <v>863</v>
      </c>
      <c r="D1244" s="1121" t="s">
        <v>887</v>
      </c>
      <c r="E1244" s="1243">
        <v>1</v>
      </c>
      <c r="F1244" s="999"/>
      <c r="G1244" s="1000"/>
      <c r="H1244" s="1000"/>
      <c r="I1244" s="1078"/>
      <c r="J1244" s="1078"/>
      <c r="K1244" s="1079"/>
      <c r="L1244" s="1078"/>
      <c r="M1244" s="1079"/>
      <c r="N1244" s="1079"/>
      <c r="O1244" s="1079"/>
      <c r="P1244" s="1079"/>
      <c r="Q1244" s="1851" t="str">
        <f>CHOOSE(2, "6722000004162", "▷ Blank 48")</f>
        <v>▷ Blank 48</v>
      </c>
      <c r="R1244" s="2149"/>
      <c r="S1244" s="2149"/>
      <c r="T1244" s="2149"/>
      <c r="U1244" s="2149"/>
      <c r="V1244" s="2149"/>
      <c r="W1244" s="2149"/>
      <c r="X1244" s="1093"/>
      <c r="Y1244" s="1093"/>
      <c r="Z1244" s="1093"/>
      <c r="AA1244" s="1093"/>
      <c r="AB1244" s="1093"/>
      <c r="AC1244" s="1093"/>
      <c r="AD1244" s="1093"/>
      <c r="AE1244" s="1093"/>
      <c r="AF1244" s="1093"/>
      <c r="AG1244" s="1093"/>
      <c r="AH1244" s="1093"/>
      <c r="AI1244" s="1093"/>
      <c r="AJ1244" s="1093"/>
    </row>
    <row r="1245" spans="1:36" s="998" customFormat="1" ht="15.5" hidden="1" outlineLevel="1">
      <c r="A1245" s="990">
        <f t="shared" si="2252"/>
        <v>1029</v>
      </c>
      <c r="B1245" s="1058"/>
      <c r="C1245" s="1058" t="s">
        <v>863</v>
      </c>
      <c r="D1245" s="1121" t="s">
        <v>887</v>
      </c>
      <c r="E1245" s="1243">
        <v>1</v>
      </c>
      <c r="F1245" s="999"/>
      <c r="G1245" s="1077" t="s">
        <v>1287</v>
      </c>
      <c r="H1245" s="1002"/>
      <c r="I1245" s="999"/>
      <c r="J1245" s="1078"/>
      <c r="K1245" s="1079"/>
      <c r="L1245" s="1078"/>
      <c r="M1245" s="1079"/>
      <c r="N1245" s="1079"/>
      <c r="O1245" s="1079"/>
      <c r="P1245" s="1079"/>
      <c r="Q1245" s="1851" t="str">
        <f>CHOOSE(2, "6722000004163", "8-3. Notes and Accounts Payable-Trade")</f>
        <v>8-3. Notes and Accounts Payable-Trade</v>
      </c>
      <c r="R1245" s="2149"/>
      <c r="S1245" s="2149"/>
      <c r="T1245" s="2149"/>
      <c r="U1245" s="2149"/>
      <c r="V1245" s="2149"/>
      <c r="W1245" s="2149"/>
      <c r="X1245" s="1093"/>
      <c r="Y1245" s="1093"/>
      <c r="Z1245" s="1093"/>
      <c r="AA1245" s="1093"/>
      <c r="AB1245" s="1093"/>
      <c r="AC1245" s="1093"/>
      <c r="AD1245" s="1093"/>
      <c r="AE1245" s="1093"/>
      <c r="AF1245" s="1093"/>
      <c r="AG1245" s="1093"/>
      <c r="AH1245" s="1093"/>
      <c r="AI1245" s="1093"/>
      <c r="AJ1245" s="1093"/>
    </row>
    <row r="1246" spans="1:36" s="998" customFormat="1" ht="14.5" hidden="1" outlineLevel="1">
      <c r="A1246" s="990">
        <f t="shared" si="2252"/>
        <v>1030</v>
      </c>
      <c r="B1246" s="1058"/>
      <c r="C1246" s="1058" t="s">
        <v>863</v>
      </c>
      <c r="D1246" s="1121" t="s">
        <v>887</v>
      </c>
      <c r="E1246" s="1243">
        <v>1</v>
      </c>
      <c r="F1246" s="999"/>
      <c r="G1246" s="1000"/>
      <c r="H1246" s="1000"/>
      <c r="I1246" s="1081" t="s">
        <v>817</v>
      </c>
      <c r="J1246" s="1082"/>
      <c r="K1246" s="1083"/>
      <c r="L1246" s="1084"/>
      <c r="M1246" s="1084"/>
      <c r="N1246" s="1083"/>
      <c r="O1246" s="1083"/>
      <c r="P1246" s="1083"/>
      <c r="Q1246" s="1851" t="str">
        <f>CHOOSE(2, "6722000004164", "Notes and Accounts Payable-Trade Total")</f>
        <v>Notes and Accounts Payable-Trade Total</v>
      </c>
      <c r="R1246" s="2145">
        <f t="shared" ref="R1246:AC1246" si="2256">SUM(R1247:R1248)</f>
        <v>0</v>
      </c>
      <c r="S1246" s="2145">
        <f t="shared" si="2256"/>
        <v>0</v>
      </c>
      <c r="T1246" s="2145">
        <f t="shared" si="2256"/>
        <v>0</v>
      </c>
      <c r="U1246" s="2145">
        <f t="shared" si="2256"/>
        <v>0</v>
      </c>
      <c r="V1246" s="2145">
        <f t="shared" si="2256"/>
        <v>0</v>
      </c>
      <c r="W1246" s="2145">
        <f t="shared" si="2256"/>
        <v>0</v>
      </c>
      <c r="X1246" s="2145">
        <f t="shared" si="2256"/>
        <v>0</v>
      </c>
      <c r="Y1246" s="2145">
        <f t="shared" si="2256"/>
        <v>0</v>
      </c>
      <c r="Z1246" s="2145">
        <f t="shared" si="2256"/>
        <v>0</v>
      </c>
      <c r="AA1246" s="2145">
        <f t="shared" si="2256"/>
        <v>0</v>
      </c>
      <c r="AB1246" s="2145">
        <f t="shared" si="2256"/>
        <v>0</v>
      </c>
      <c r="AC1246" s="2145">
        <f t="shared" si="2256"/>
        <v>0</v>
      </c>
      <c r="AD1246" s="1085">
        <f>T1246</f>
        <v>0</v>
      </c>
      <c r="AE1246" s="1085">
        <f>W1246</f>
        <v>0</v>
      </c>
      <c r="AF1246" s="1085">
        <f>Z1246</f>
        <v>0</v>
      </c>
      <c r="AG1246" s="1085">
        <f>AC1246</f>
        <v>0</v>
      </c>
      <c r="AH1246" s="1085">
        <f>AE1246</f>
        <v>0</v>
      </c>
      <c r="AI1246" s="1085">
        <f>AG1246</f>
        <v>0</v>
      </c>
      <c r="AJ1246" s="1085">
        <f>AI1246</f>
        <v>0</v>
      </c>
    </row>
    <row r="1247" spans="1:36" s="998" customFormat="1" ht="14.5" hidden="1" outlineLevel="1">
      <c r="A1247" s="990">
        <f t="shared" si="2252"/>
        <v>1031</v>
      </c>
      <c r="B1247" s="1058"/>
      <c r="C1247" s="1058" t="s">
        <v>863</v>
      </c>
      <c r="D1247" s="1121" t="s">
        <v>887</v>
      </c>
      <c r="E1247" s="1243">
        <v>1</v>
      </c>
      <c r="F1247" s="999"/>
      <c r="G1247" s="1000"/>
      <c r="H1247" s="1000"/>
      <c r="I1247" s="1086"/>
      <c r="J1247" s="1086"/>
      <c r="K1247" s="1079"/>
      <c r="L1247" s="1078"/>
      <c r="M1247" s="1079" t="s">
        <v>820</v>
      </c>
      <c r="N1247" s="1079"/>
      <c r="O1247" s="1079"/>
      <c r="P1247" s="1079"/>
      <c r="Q1247" s="1904" t="str">
        <f>CHOOSE(2, "6722000004165", "Notes and Accounts Payable-Trade Total SS")</f>
        <v>Notes and Accounts Payable-Trade Total SS</v>
      </c>
      <c r="R1247" s="2146">
        <v>0</v>
      </c>
      <c r="S1247" s="2146">
        <v>0</v>
      </c>
      <c r="T1247" s="2146">
        <v>0</v>
      </c>
      <c r="U1247" s="2146">
        <v>0</v>
      </c>
      <c r="V1247" s="2146">
        <v>0</v>
      </c>
      <c r="W1247" s="2146">
        <v>0</v>
      </c>
      <c r="X1247" s="2146">
        <v>0</v>
      </c>
      <c r="Y1247" s="2146">
        <v>0</v>
      </c>
      <c r="Z1247" s="2146">
        <v>0</v>
      </c>
      <c r="AA1247" s="2146">
        <v>0</v>
      </c>
      <c r="AB1247" s="2150">
        <v>0</v>
      </c>
      <c r="AC1247" s="2150">
        <v>0</v>
      </c>
      <c r="AD1247" s="1094">
        <f>T1247</f>
        <v>0</v>
      </c>
      <c r="AE1247" s="1094">
        <f>W1247</f>
        <v>0</v>
      </c>
      <c r="AF1247" s="1094">
        <f>Z1247</f>
        <v>0</v>
      </c>
      <c r="AG1247" s="1094">
        <f>AC1247</f>
        <v>0</v>
      </c>
      <c r="AH1247" s="1094">
        <f>AE1247</f>
        <v>0</v>
      </c>
      <c r="AI1247" s="1094">
        <f>AG1247</f>
        <v>0</v>
      </c>
      <c r="AJ1247" s="1094">
        <f>AI1247</f>
        <v>0</v>
      </c>
    </row>
    <row r="1248" spans="1:36" s="998" customFormat="1" ht="14.5" hidden="1" outlineLevel="1">
      <c r="A1248" s="990">
        <f t="shared" si="2252"/>
        <v>1032</v>
      </c>
      <c r="B1248" s="1058"/>
      <c r="C1248" s="1058" t="s">
        <v>863</v>
      </c>
      <c r="D1248" s="1121" t="s">
        <v>887</v>
      </c>
      <c r="E1248" s="1243">
        <v>1</v>
      </c>
      <c r="F1248" s="999"/>
      <c r="G1248" s="1000"/>
      <c r="H1248" s="1000"/>
      <c r="I1248" s="1088"/>
      <c r="J1248" s="1089"/>
      <c r="K1248" s="1090"/>
      <c r="L1248" s="1091"/>
      <c r="M1248" s="1090" t="s">
        <v>821</v>
      </c>
      <c r="N1248" s="1090"/>
      <c r="O1248" s="1090"/>
      <c r="P1248" s="1090"/>
      <c r="Q1248" s="1904" t="str">
        <f>CHOOSE(2, "6722000004166", "Notes and Accounts Payable-Trade Total I&amp;O")</f>
        <v>Notes and Accounts Payable-Trade Total I&amp;O</v>
      </c>
      <c r="R1248" s="2148">
        <v>0</v>
      </c>
      <c r="S1248" s="2148">
        <v>0</v>
      </c>
      <c r="T1248" s="2148">
        <v>0</v>
      </c>
      <c r="U1248" s="2148">
        <v>0</v>
      </c>
      <c r="V1248" s="2148">
        <v>0</v>
      </c>
      <c r="W1248" s="2148">
        <v>0</v>
      </c>
      <c r="X1248" s="2148">
        <v>0</v>
      </c>
      <c r="Y1248" s="2148">
        <v>0</v>
      </c>
      <c r="Z1248" s="2148">
        <v>0</v>
      </c>
      <c r="AA1248" s="2148">
        <v>0</v>
      </c>
      <c r="AB1248" s="2151">
        <v>0</v>
      </c>
      <c r="AC1248" s="2151">
        <v>0</v>
      </c>
      <c r="AD1248" s="1092">
        <f>T1248</f>
        <v>0</v>
      </c>
      <c r="AE1248" s="1092">
        <f>W1248</f>
        <v>0</v>
      </c>
      <c r="AF1248" s="1092">
        <f>Z1248</f>
        <v>0</v>
      </c>
      <c r="AG1248" s="1092">
        <f>AC1248</f>
        <v>0</v>
      </c>
      <c r="AH1248" s="1092">
        <f>AE1248</f>
        <v>0</v>
      </c>
      <c r="AI1248" s="1092">
        <f>AG1248</f>
        <v>0</v>
      </c>
      <c r="AJ1248" s="1092">
        <f>AI1248</f>
        <v>0</v>
      </c>
    </row>
    <row r="1249" spans="1:36" s="998" customFormat="1" ht="14.5" hidden="1" outlineLevel="1">
      <c r="A1249" s="990">
        <f t="shared" si="2252"/>
        <v>1033</v>
      </c>
      <c r="B1249" s="1058"/>
      <c r="C1249" s="1058" t="s">
        <v>863</v>
      </c>
      <c r="D1249" s="1121" t="s">
        <v>887</v>
      </c>
      <c r="E1249" s="1243">
        <v>1</v>
      </c>
      <c r="F1249" s="999"/>
      <c r="G1249" s="1000"/>
      <c r="H1249" s="1000"/>
      <c r="I1249" s="999"/>
      <c r="K1249" s="999"/>
      <c r="L1249" s="999"/>
      <c r="Q1249" s="1838" t="str">
        <f>CHOOSE(2, "6722000004167", "▷ Blank 49")</f>
        <v>▷ Blank 49</v>
      </c>
      <c r="R1249" s="2141"/>
      <c r="S1249" s="2141"/>
      <c r="T1249" s="2141"/>
      <c r="U1249" s="2141"/>
      <c r="V1249" s="2141"/>
      <c r="W1249" s="2141"/>
      <c r="X1249" s="2141"/>
      <c r="Y1249" s="2141"/>
      <c r="Z1249" s="2141"/>
      <c r="AA1249" s="2141"/>
    </row>
    <row r="1250" spans="1:36" s="998" customFormat="1" ht="15.5" hidden="1" outlineLevel="1">
      <c r="A1250" s="990">
        <f t="shared" si="2252"/>
        <v>1034</v>
      </c>
      <c r="B1250" s="1058"/>
      <c r="C1250" s="1058" t="s">
        <v>863</v>
      </c>
      <c r="D1250" s="1121" t="s">
        <v>887</v>
      </c>
      <c r="E1250" s="1243">
        <v>1</v>
      </c>
      <c r="F1250" s="999"/>
      <c r="G1250" s="1077" t="s">
        <v>1288</v>
      </c>
      <c r="H1250" s="1000"/>
      <c r="I1250" s="999"/>
      <c r="K1250" s="999"/>
      <c r="L1250" s="999"/>
      <c r="M1250" s="999"/>
      <c r="Q1250" s="1838" t="str">
        <f>CHOOSE(2, "6722000004168", "8-4. IP Unit")</f>
        <v>8-4. IP Unit</v>
      </c>
      <c r="R1250" s="2141"/>
      <c r="S1250" s="2141"/>
      <c r="T1250" s="2141"/>
      <c r="U1250" s="2141"/>
      <c r="V1250" s="2141"/>
      <c r="W1250" s="2141"/>
      <c r="X1250" s="2141"/>
      <c r="Y1250" s="2141"/>
      <c r="Z1250" s="2141"/>
      <c r="AA1250" s="2183"/>
      <c r="AB1250" s="1002"/>
      <c r="AC1250" s="1002"/>
    </row>
    <row r="1251" spans="1:36" s="998" customFormat="1" ht="14.5" hidden="1" outlineLevel="1">
      <c r="A1251" s="990">
        <f t="shared" si="2252"/>
        <v>1035</v>
      </c>
      <c r="B1251" s="1058"/>
      <c r="C1251" s="1058" t="s">
        <v>863</v>
      </c>
      <c r="D1251" s="1121" t="s">
        <v>887</v>
      </c>
      <c r="E1251" s="1243">
        <v>1</v>
      </c>
      <c r="F1251" s="999"/>
      <c r="G1251" s="1000"/>
      <c r="H1251" s="1000"/>
      <c r="I1251" s="1095" t="s">
        <v>429</v>
      </c>
      <c r="J1251" s="1096"/>
      <c r="K1251" s="1096"/>
      <c r="L1251" s="1096"/>
      <c r="M1251" s="983" t="s">
        <v>822</v>
      </c>
      <c r="N1251" s="984"/>
      <c r="O1251" s="984"/>
      <c r="P1251" s="983" t="s">
        <v>823</v>
      </c>
      <c r="Q1251" s="1905" t="str">
        <f>CHOOSE(2, "6722000004169", "IP Product Name Codename")</f>
        <v>IP Product Name Codename</v>
      </c>
      <c r="R1251" s="2184">
        <f>R13</f>
        <v>44652</v>
      </c>
      <c r="S1251" s="2184">
        <f t="shared" ref="S1251:AC1251" si="2257">S13</f>
        <v>44682</v>
      </c>
      <c r="T1251" s="2184">
        <f t="shared" si="2257"/>
        <v>44713</v>
      </c>
      <c r="U1251" s="2184">
        <f t="shared" si="2257"/>
        <v>44743</v>
      </c>
      <c r="V1251" s="2184">
        <f t="shared" si="2257"/>
        <v>44774</v>
      </c>
      <c r="W1251" s="2184">
        <f t="shared" si="2257"/>
        <v>44805</v>
      </c>
      <c r="X1251" s="2184">
        <f t="shared" si="2257"/>
        <v>44835</v>
      </c>
      <c r="Y1251" s="2184">
        <f t="shared" si="2257"/>
        <v>44866</v>
      </c>
      <c r="Z1251" s="2184">
        <f t="shared" si="2257"/>
        <v>44896</v>
      </c>
      <c r="AA1251" s="2184">
        <f t="shared" si="2257"/>
        <v>44927</v>
      </c>
      <c r="AB1251" s="2184">
        <f t="shared" si="2257"/>
        <v>44958</v>
      </c>
      <c r="AC1251" s="2184">
        <f t="shared" si="2257"/>
        <v>44986</v>
      </c>
      <c r="AD1251" s="1097" t="str">
        <f t="shared" ref="AD1251:AJ1251" si="2258">AD$13</f>
        <v>Q1</v>
      </c>
      <c r="AE1251" s="1097" t="str">
        <f t="shared" si="2258"/>
        <v>Q2</v>
      </c>
      <c r="AF1251" s="1097" t="str">
        <f t="shared" si="2258"/>
        <v>Q3</v>
      </c>
      <c r="AG1251" s="1097" t="str">
        <f t="shared" si="2258"/>
        <v>Q4</v>
      </c>
      <c r="AH1251" s="1097" t="str">
        <f t="shared" si="2258"/>
        <v>1st H</v>
      </c>
      <c r="AI1251" s="1097" t="str">
        <f t="shared" si="2258"/>
        <v>2nd H</v>
      </c>
      <c r="AJ1251" s="1097" t="str">
        <f t="shared" si="2258"/>
        <v>Yr.</v>
      </c>
    </row>
    <row r="1252" spans="1:36" s="998" customFormat="1" ht="14.5" hidden="1" outlineLevel="1">
      <c r="A1252" s="990">
        <f t="shared" si="2252"/>
        <v>1036</v>
      </c>
      <c r="B1252" s="1058"/>
      <c r="C1252" s="1058" t="s">
        <v>863</v>
      </c>
      <c r="D1252" s="1121" t="s">
        <v>887</v>
      </c>
      <c r="E1252" s="1243">
        <v>1</v>
      </c>
      <c r="F1252" s="999"/>
      <c r="G1252" s="1000"/>
      <c r="H1252" s="1000"/>
      <c r="I1252" s="1098"/>
      <c r="J1252" s="1067" t="s">
        <v>989</v>
      </c>
      <c r="K1252" s="1068"/>
      <c r="L1252" s="1068"/>
      <c r="M1252" s="1068" t="s">
        <v>824</v>
      </c>
      <c r="N1252" s="1068"/>
      <c r="O1252" s="1068"/>
      <c r="P1252" s="1068" t="s">
        <v>55</v>
      </c>
      <c r="Q1252" s="1906" t="str">
        <f>CHOOSE(2, "6722000004170", "IP KM-1/KM-1e Ac Jet KM-1 KM-1")</f>
        <v>IP KM-1/KM-1e Ac Jet KM-1 KM-1</v>
      </c>
      <c r="R1252" s="2152">
        <v>0</v>
      </c>
      <c r="S1252" s="2152">
        <v>0</v>
      </c>
      <c r="T1252" s="2152">
        <v>0</v>
      </c>
      <c r="U1252" s="2152">
        <v>0</v>
      </c>
      <c r="V1252" s="2152">
        <v>0</v>
      </c>
      <c r="W1252" s="2152">
        <v>0</v>
      </c>
      <c r="X1252" s="2152">
        <v>0</v>
      </c>
      <c r="Y1252" s="2152">
        <v>0</v>
      </c>
      <c r="Z1252" s="2152">
        <v>0</v>
      </c>
      <c r="AA1252" s="2152">
        <v>0</v>
      </c>
      <c r="AB1252" s="2152">
        <v>0</v>
      </c>
      <c r="AC1252" s="2152">
        <v>0</v>
      </c>
      <c r="AD1252" s="1099">
        <f t="shared" ref="AD1252:AD1273" si="2259">SUM(R1252:T1252)</f>
        <v>0</v>
      </c>
      <c r="AE1252" s="1099">
        <f t="shared" ref="AE1252:AE1273" si="2260">SUM(U1252:W1252)</f>
        <v>0</v>
      </c>
      <c r="AF1252" s="1099">
        <f t="shared" ref="AF1252:AF1273" si="2261">SUM(X1252:Z1252)</f>
        <v>0</v>
      </c>
      <c r="AG1252" s="1099">
        <f t="shared" ref="AG1252:AG1273" si="2262">SUM(AA1252:AC1252)</f>
        <v>0</v>
      </c>
      <c r="AH1252" s="1099">
        <f t="shared" ref="AH1252:AH1272" si="2263">AD1252+AE1252</f>
        <v>0</v>
      </c>
      <c r="AI1252" s="1099">
        <f t="shared" ref="AI1252:AI1272" si="2264">AG1252+AF1252</f>
        <v>0</v>
      </c>
      <c r="AJ1252" s="1099">
        <f t="shared" ref="AJ1252:AJ1273" si="2265">AH1252+AI1252</f>
        <v>0</v>
      </c>
    </row>
    <row r="1253" spans="1:36" s="998" customFormat="1" ht="14.5" hidden="1" outlineLevel="1">
      <c r="A1253" s="990">
        <f t="shared" si="2252"/>
        <v>1037</v>
      </c>
      <c r="B1253" s="1058"/>
      <c r="C1253" s="1058" t="s">
        <v>863</v>
      </c>
      <c r="D1253" s="1121" t="s">
        <v>887</v>
      </c>
      <c r="E1253" s="1243">
        <v>1</v>
      </c>
      <c r="F1253" s="999"/>
      <c r="G1253" s="1000"/>
      <c r="H1253" s="999"/>
      <c r="I1253" s="1100"/>
      <c r="J1253" s="1101"/>
      <c r="K1253" s="1101"/>
      <c r="L1253" s="1101"/>
      <c r="M1253" s="1101" t="s">
        <v>825</v>
      </c>
      <c r="N1253" s="1101"/>
      <c r="O1253" s="1101"/>
      <c r="P1253" s="1102" t="s">
        <v>826</v>
      </c>
      <c r="Q1253" s="1906" t="str">
        <f>CHOOSE(2, "6722000004171", "IP KM-1/KM-1e Ac Jet KM-1e KM-2")</f>
        <v>IP KM-1/KM-1e Ac Jet KM-1e KM-2</v>
      </c>
      <c r="R1253" s="2153">
        <v>0</v>
      </c>
      <c r="S1253" s="2153">
        <v>0</v>
      </c>
      <c r="T1253" s="2153">
        <v>0</v>
      </c>
      <c r="U1253" s="2153">
        <v>0</v>
      </c>
      <c r="V1253" s="2153">
        <v>0</v>
      </c>
      <c r="W1253" s="2153">
        <v>0</v>
      </c>
      <c r="X1253" s="2153">
        <v>0</v>
      </c>
      <c r="Y1253" s="2153">
        <v>0</v>
      </c>
      <c r="Z1253" s="2153">
        <v>0</v>
      </c>
      <c r="AA1253" s="2153">
        <v>0</v>
      </c>
      <c r="AB1253" s="2153">
        <v>0</v>
      </c>
      <c r="AC1253" s="2153">
        <v>0</v>
      </c>
      <c r="AD1253" s="1103">
        <f t="shared" si="2259"/>
        <v>0</v>
      </c>
      <c r="AE1253" s="1103">
        <f t="shared" si="2260"/>
        <v>0</v>
      </c>
      <c r="AF1253" s="1103">
        <f t="shared" si="2261"/>
        <v>0</v>
      </c>
      <c r="AG1253" s="1103">
        <f t="shared" si="2262"/>
        <v>0</v>
      </c>
      <c r="AH1253" s="1103">
        <f t="shared" si="2263"/>
        <v>0</v>
      </c>
      <c r="AI1253" s="1103">
        <f t="shared" si="2264"/>
        <v>0</v>
      </c>
      <c r="AJ1253" s="1103">
        <f t="shared" si="2265"/>
        <v>0</v>
      </c>
    </row>
    <row r="1254" spans="1:36" s="998" customFormat="1" ht="14.5" hidden="1" outlineLevel="1">
      <c r="A1254" s="990">
        <f t="shared" si="2252"/>
        <v>1038</v>
      </c>
      <c r="B1254" s="1058"/>
      <c r="C1254" s="1058" t="s">
        <v>863</v>
      </c>
      <c r="D1254" s="1121" t="s">
        <v>887</v>
      </c>
      <c r="E1254" s="1243">
        <v>1</v>
      </c>
      <c r="F1254" s="999"/>
      <c r="G1254" s="1000"/>
      <c r="H1254" s="999"/>
      <c r="I1254" s="1098"/>
      <c r="J1254" s="1104" t="s">
        <v>209</v>
      </c>
      <c r="K1254" s="1105"/>
      <c r="L1254" s="1105"/>
      <c r="M1254" s="1106" t="s">
        <v>827</v>
      </c>
      <c r="N1254" s="1105"/>
      <c r="O1254" s="1105"/>
      <c r="P1254" s="1105" t="s">
        <v>828</v>
      </c>
      <c r="Q1254" s="1906" t="str">
        <f>CHOOSE(2, "6722000004172", "IP Label Printer bh PRESS C71cf/AccurioLabel 190 Degas R2R")</f>
        <v>IP Label Printer bh PRESS C71cf/AccurioLabel 190 Degas R2R</v>
      </c>
      <c r="R1254" s="2154">
        <v>0</v>
      </c>
      <c r="S1254" s="2154">
        <v>0</v>
      </c>
      <c r="T1254" s="2154">
        <v>0</v>
      </c>
      <c r="U1254" s="2154">
        <v>0</v>
      </c>
      <c r="V1254" s="2154">
        <v>0</v>
      </c>
      <c r="W1254" s="2154">
        <v>0</v>
      </c>
      <c r="X1254" s="2154">
        <v>0</v>
      </c>
      <c r="Y1254" s="2154">
        <v>0</v>
      </c>
      <c r="Z1254" s="2154">
        <v>0</v>
      </c>
      <c r="AA1254" s="2154">
        <v>0</v>
      </c>
      <c r="AB1254" s="2154">
        <v>0</v>
      </c>
      <c r="AC1254" s="2154">
        <v>0</v>
      </c>
      <c r="AD1254" s="1107">
        <f t="shared" si="2259"/>
        <v>0</v>
      </c>
      <c r="AE1254" s="1107">
        <f t="shared" si="2260"/>
        <v>0</v>
      </c>
      <c r="AF1254" s="1107">
        <f t="shared" si="2261"/>
        <v>0</v>
      </c>
      <c r="AG1254" s="1107">
        <f t="shared" si="2262"/>
        <v>0</v>
      </c>
      <c r="AH1254" s="1107">
        <f t="shared" si="2263"/>
        <v>0</v>
      </c>
      <c r="AI1254" s="1107">
        <f t="shared" si="2264"/>
        <v>0</v>
      </c>
      <c r="AJ1254" s="1107">
        <f t="shared" si="2265"/>
        <v>0</v>
      </c>
    </row>
    <row r="1255" spans="1:36" s="998" customFormat="1" ht="14.5" hidden="1" outlineLevel="1">
      <c r="A1255" s="990">
        <f t="shared" si="2252"/>
        <v>1039</v>
      </c>
      <c r="B1255" s="1058"/>
      <c r="C1255" s="1058" t="s">
        <v>863</v>
      </c>
      <c r="D1255" s="1121" t="s">
        <v>887</v>
      </c>
      <c r="E1255" s="1243">
        <v>1</v>
      </c>
      <c r="F1255" s="999"/>
      <c r="G1255" s="1000"/>
      <c r="H1255" s="999"/>
      <c r="I1255" s="1100"/>
      <c r="J1255" s="1101"/>
      <c r="K1255" s="1101"/>
      <c r="L1255" s="1101"/>
      <c r="M1255" s="1101" t="s">
        <v>829</v>
      </c>
      <c r="N1255" s="1101"/>
      <c r="O1255" s="1101"/>
      <c r="P1255" s="1101" t="s">
        <v>830</v>
      </c>
      <c r="Q1255" s="1906" t="str">
        <f>CHOOSE(2, "6722000004173", "IP Label Printer Accurio Label 230 Degas-e MLK R2R")</f>
        <v>IP Label Printer Accurio Label 230 Degas-e MLK R2R</v>
      </c>
      <c r="R1255" s="2153">
        <v>0</v>
      </c>
      <c r="S1255" s="2153">
        <v>0</v>
      </c>
      <c r="T1255" s="2153">
        <v>0</v>
      </c>
      <c r="U1255" s="2153">
        <v>0</v>
      </c>
      <c r="V1255" s="2155">
        <v>0</v>
      </c>
      <c r="W1255" s="2153">
        <v>0</v>
      </c>
      <c r="X1255" s="2153">
        <v>0</v>
      </c>
      <c r="Y1255" s="2153">
        <v>0</v>
      </c>
      <c r="Z1255" s="2153">
        <v>0</v>
      </c>
      <c r="AA1255" s="2153">
        <v>0</v>
      </c>
      <c r="AB1255" s="2153">
        <v>0</v>
      </c>
      <c r="AC1255" s="2153">
        <v>0</v>
      </c>
      <c r="AD1255" s="1103">
        <f t="shared" si="2259"/>
        <v>0</v>
      </c>
      <c r="AE1255" s="1103">
        <f t="shared" si="2260"/>
        <v>0</v>
      </c>
      <c r="AF1255" s="1103">
        <f t="shared" si="2261"/>
        <v>0</v>
      </c>
      <c r="AG1255" s="1103">
        <f t="shared" si="2262"/>
        <v>0</v>
      </c>
      <c r="AH1255" s="1103">
        <f t="shared" si="2263"/>
        <v>0</v>
      </c>
      <c r="AI1255" s="1103">
        <f t="shared" si="2264"/>
        <v>0</v>
      </c>
      <c r="AJ1255" s="1103">
        <f t="shared" si="2265"/>
        <v>0</v>
      </c>
    </row>
    <row r="1256" spans="1:36" s="998" customFormat="1" ht="14.5" hidden="1" outlineLevel="1">
      <c r="A1256" s="990">
        <f t="shared" si="2252"/>
        <v>1040</v>
      </c>
      <c r="B1256" s="1058"/>
      <c r="C1256" s="1058" t="s">
        <v>863</v>
      </c>
      <c r="D1256" s="1121" t="s">
        <v>887</v>
      </c>
      <c r="E1256" s="1243">
        <v>1</v>
      </c>
      <c r="F1256" s="999"/>
      <c r="G1256" s="1000"/>
      <c r="H1256" s="999"/>
      <c r="I1256" s="1098"/>
      <c r="J1256" s="1104" t="s">
        <v>132</v>
      </c>
      <c r="K1256" s="1105"/>
      <c r="L1256" s="1105"/>
      <c r="M1256" s="1105" t="s">
        <v>831</v>
      </c>
      <c r="N1256" s="1105"/>
      <c r="O1256" s="1105"/>
      <c r="P1256" s="1108" t="s">
        <v>832</v>
      </c>
      <c r="Q1256" s="1906" t="str">
        <f>CHOOSE(2, "6722000004174", "IP MGI Meteor Unlimited Color MUC")</f>
        <v>IP MGI Meteor Unlimited Color MUC</v>
      </c>
      <c r="R1256" s="2154">
        <v>0</v>
      </c>
      <c r="S1256" s="2154">
        <v>0</v>
      </c>
      <c r="T1256" s="2154">
        <v>0</v>
      </c>
      <c r="U1256" s="2154">
        <v>0</v>
      </c>
      <c r="V1256" s="2154">
        <v>0</v>
      </c>
      <c r="W1256" s="2154">
        <v>0</v>
      </c>
      <c r="X1256" s="2154">
        <v>0</v>
      </c>
      <c r="Y1256" s="2154">
        <v>0</v>
      </c>
      <c r="Z1256" s="2154">
        <v>0</v>
      </c>
      <c r="AA1256" s="2154">
        <v>0</v>
      </c>
      <c r="AB1256" s="2154">
        <v>0</v>
      </c>
      <c r="AC1256" s="2154">
        <v>0</v>
      </c>
      <c r="AD1256" s="1107">
        <f t="shared" si="2259"/>
        <v>0</v>
      </c>
      <c r="AE1256" s="1107">
        <f t="shared" si="2260"/>
        <v>0</v>
      </c>
      <c r="AF1256" s="1107">
        <f t="shared" si="2261"/>
        <v>0</v>
      </c>
      <c r="AG1256" s="1107">
        <f t="shared" si="2262"/>
        <v>0</v>
      </c>
      <c r="AH1256" s="1107">
        <f t="shared" si="2263"/>
        <v>0</v>
      </c>
      <c r="AI1256" s="1107">
        <f t="shared" si="2264"/>
        <v>0</v>
      </c>
      <c r="AJ1256" s="1107">
        <f t="shared" si="2265"/>
        <v>0</v>
      </c>
    </row>
    <row r="1257" spans="1:36" s="998" customFormat="1" ht="14.5" hidden="1" outlineLevel="1">
      <c r="A1257" s="990">
        <f t="shared" si="2252"/>
        <v>1041</v>
      </c>
      <c r="B1257" s="1058"/>
      <c r="C1257" s="1058" t="s">
        <v>863</v>
      </c>
      <c r="D1257" s="1121" t="s">
        <v>887</v>
      </c>
      <c r="E1257" s="1243">
        <v>1</v>
      </c>
      <c r="F1257" s="999"/>
      <c r="G1257" s="1000"/>
      <c r="H1257" s="999"/>
      <c r="I1257" s="1098"/>
      <c r="M1257" s="998" t="s">
        <v>833</v>
      </c>
      <c r="P1257" s="1109" t="s">
        <v>834</v>
      </c>
      <c r="Q1257" s="1906" t="str">
        <f>CHOOSE(2, "6722000004175", "IP MGI JETvarnish 3DS JV3DS")</f>
        <v>IP MGI JETvarnish 3DS JV3DS</v>
      </c>
      <c r="R1257" s="2156">
        <v>0</v>
      </c>
      <c r="S1257" s="2156">
        <v>0</v>
      </c>
      <c r="T1257" s="2156">
        <v>0</v>
      </c>
      <c r="U1257" s="2156">
        <v>0</v>
      </c>
      <c r="V1257" s="2156">
        <v>0</v>
      </c>
      <c r="W1257" s="2156">
        <v>0</v>
      </c>
      <c r="X1257" s="2156">
        <v>0</v>
      </c>
      <c r="Y1257" s="2156">
        <v>0</v>
      </c>
      <c r="Z1257" s="2156">
        <v>0</v>
      </c>
      <c r="AA1257" s="2156">
        <v>0</v>
      </c>
      <c r="AB1257" s="2156">
        <v>0</v>
      </c>
      <c r="AC1257" s="2156">
        <v>0</v>
      </c>
      <c r="AD1257" s="1023">
        <f t="shared" si="2259"/>
        <v>0</v>
      </c>
      <c r="AE1257" s="1023">
        <f t="shared" si="2260"/>
        <v>0</v>
      </c>
      <c r="AF1257" s="1023">
        <f t="shared" si="2261"/>
        <v>0</v>
      </c>
      <c r="AG1257" s="1023">
        <f t="shared" si="2262"/>
        <v>0</v>
      </c>
      <c r="AH1257" s="1023">
        <f t="shared" si="2263"/>
        <v>0</v>
      </c>
      <c r="AI1257" s="1023">
        <f t="shared" si="2264"/>
        <v>0</v>
      </c>
      <c r="AJ1257" s="1023">
        <f t="shared" si="2265"/>
        <v>0</v>
      </c>
    </row>
    <row r="1258" spans="1:36" s="998" customFormat="1" ht="14.5" hidden="1" outlineLevel="1">
      <c r="A1258" s="990">
        <f t="shared" si="2252"/>
        <v>1042</v>
      </c>
      <c r="B1258" s="1058"/>
      <c r="C1258" s="1058" t="s">
        <v>863</v>
      </c>
      <c r="D1258" s="1121" t="s">
        <v>887</v>
      </c>
      <c r="E1258" s="1243">
        <v>1</v>
      </c>
      <c r="F1258" s="999"/>
      <c r="G1258" s="1000"/>
      <c r="H1258" s="999"/>
      <c r="I1258" s="1100"/>
      <c r="M1258" s="998" t="s">
        <v>835</v>
      </c>
      <c r="P1258" s="1109" t="s">
        <v>836</v>
      </c>
      <c r="Q1258" s="1906" t="str">
        <f>CHOOSE(2, "6722000004176", "IP MGI JETvarnish 3D Evolution52 JV3D Evo52")</f>
        <v>IP MGI JETvarnish 3D Evolution52 JV3D Evo52</v>
      </c>
      <c r="R1258" s="2156">
        <v>0</v>
      </c>
      <c r="S1258" s="2156">
        <v>0</v>
      </c>
      <c r="T1258" s="2156">
        <v>0</v>
      </c>
      <c r="U1258" s="2156">
        <v>0</v>
      </c>
      <c r="V1258" s="2156">
        <v>0</v>
      </c>
      <c r="W1258" s="2156">
        <v>0</v>
      </c>
      <c r="X1258" s="2156">
        <v>0</v>
      </c>
      <c r="Y1258" s="2156">
        <v>0</v>
      </c>
      <c r="Z1258" s="2156">
        <v>0</v>
      </c>
      <c r="AA1258" s="2156">
        <v>0</v>
      </c>
      <c r="AB1258" s="2156">
        <v>0</v>
      </c>
      <c r="AC1258" s="2156">
        <v>0</v>
      </c>
      <c r="AD1258" s="1023">
        <f t="shared" si="2259"/>
        <v>0</v>
      </c>
      <c r="AE1258" s="1023">
        <f t="shared" si="2260"/>
        <v>0</v>
      </c>
      <c r="AF1258" s="1023">
        <f t="shared" si="2261"/>
        <v>0</v>
      </c>
      <c r="AG1258" s="1023">
        <f t="shared" si="2262"/>
        <v>0</v>
      </c>
      <c r="AH1258" s="1023">
        <f t="shared" si="2263"/>
        <v>0</v>
      </c>
      <c r="AI1258" s="1023">
        <f t="shared" si="2264"/>
        <v>0</v>
      </c>
      <c r="AJ1258" s="1023">
        <f t="shared" si="2265"/>
        <v>0</v>
      </c>
    </row>
    <row r="1259" spans="1:36" s="998" customFormat="1" ht="14.5" hidden="1" outlineLevel="1">
      <c r="A1259" s="990">
        <f t="shared" si="2252"/>
        <v>1043</v>
      </c>
      <c r="B1259" s="1058"/>
      <c r="C1259" s="1058" t="s">
        <v>863</v>
      </c>
      <c r="D1259" s="1121" t="s">
        <v>887</v>
      </c>
      <c r="E1259" s="1243">
        <v>1</v>
      </c>
      <c r="F1259" s="999"/>
      <c r="G1259" s="1000"/>
      <c r="H1259" s="999"/>
      <c r="I1259" s="1100"/>
      <c r="M1259" s="998" t="s">
        <v>837</v>
      </c>
      <c r="P1259" s="1109" t="s">
        <v>838</v>
      </c>
      <c r="Q1259" s="1906" t="str">
        <f>CHOOSE(2, "6722000004177", "IP MGI JETvarnish 3D Evolution64 JV3D Evo64")</f>
        <v>IP MGI JETvarnish 3D Evolution64 JV3D Evo64</v>
      </c>
      <c r="R1259" s="2156">
        <v>0</v>
      </c>
      <c r="S1259" s="2156">
        <v>0</v>
      </c>
      <c r="T1259" s="2156">
        <v>0</v>
      </c>
      <c r="U1259" s="2156">
        <v>0</v>
      </c>
      <c r="V1259" s="2156">
        <v>0</v>
      </c>
      <c r="W1259" s="2156">
        <v>0</v>
      </c>
      <c r="X1259" s="2156">
        <v>0</v>
      </c>
      <c r="Y1259" s="2156">
        <v>0</v>
      </c>
      <c r="Z1259" s="2156">
        <v>0</v>
      </c>
      <c r="AA1259" s="2156">
        <v>0</v>
      </c>
      <c r="AB1259" s="2156">
        <v>0</v>
      </c>
      <c r="AC1259" s="2156">
        <v>0</v>
      </c>
      <c r="AD1259" s="1023">
        <f t="shared" si="2259"/>
        <v>0</v>
      </c>
      <c r="AE1259" s="1023">
        <f t="shared" si="2260"/>
        <v>0</v>
      </c>
      <c r="AF1259" s="1023">
        <f t="shared" si="2261"/>
        <v>0</v>
      </c>
      <c r="AG1259" s="1023">
        <f t="shared" si="2262"/>
        <v>0</v>
      </c>
      <c r="AH1259" s="1023">
        <f t="shared" si="2263"/>
        <v>0</v>
      </c>
      <c r="AI1259" s="1023">
        <f t="shared" si="2264"/>
        <v>0</v>
      </c>
      <c r="AJ1259" s="1023">
        <f t="shared" si="2265"/>
        <v>0</v>
      </c>
    </row>
    <row r="1260" spans="1:36" s="998" customFormat="1" ht="14.5" hidden="1" outlineLevel="1">
      <c r="A1260" s="990">
        <f t="shared" si="2252"/>
        <v>1044</v>
      </c>
      <c r="B1260" s="1058"/>
      <c r="C1260" s="1058" t="s">
        <v>863</v>
      </c>
      <c r="D1260" s="1121" t="s">
        <v>887</v>
      </c>
      <c r="E1260" s="1243">
        <v>1</v>
      </c>
      <c r="F1260" s="999"/>
      <c r="G1260" s="1000"/>
      <c r="H1260" s="999"/>
      <c r="I1260" s="1100"/>
      <c r="M1260" s="998" t="s">
        <v>839</v>
      </c>
      <c r="P1260" s="1109" t="s">
        <v>840</v>
      </c>
      <c r="Q1260" s="1906" t="str">
        <f>CHOOSE(2, "6722000004178", "IP MGI JETvarnish 3D Evolution75 JV3D Evo75")</f>
        <v>IP MGI JETvarnish 3D Evolution75 JV3D Evo75</v>
      </c>
      <c r="R1260" s="2156">
        <v>0</v>
      </c>
      <c r="S1260" s="2156">
        <v>0</v>
      </c>
      <c r="T1260" s="2156">
        <v>0</v>
      </c>
      <c r="U1260" s="2156">
        <v>0</v>
      </c>
      <c r="V1260" s="2156">
        <v>0</v>
      </c>
      <c r="W1260" s="2156">
        <v>0</v>
      </c>
      <c r="X1260" s="2156">
        <v>0</v>
      </c>
      <c r="Y1260" s="2156">
        <v>0</v>
      </c>
      <c r="Z1260" s="2156">
        <v>0</v>
      </c>
      <c r="AA1260" s="2156">
        <v>0</v>
      </c>
      <c r="AB1260" s="2156">
        <v>0</v>
      </c>
      <c r="AC1260" s="2156">
        <v>0</v>
      </c>
      <c r="AD1260" s="1023">
        <f t="shared" si="2259"/>
        <v>0</v>
      </c>
      <c r="AE1260" s="1023">
        <f t="shared" si="2260"/>
        <v>0</v>
      </c>
      <c r="AF1260" s="1023">
        <f t="shared" si="2261"/>
        <v>0</v>
      </c>
      <c r="AG1260" s="1023">
        <f t="shared" si="2262"/>
        <v>0</v>
      </c>
      <c r="AH1260" s="1023">
        <f t="shared" si="2263"/>
        <v>0</v>
      </c>
      <c r="AI1260" s="1023">
        <f t="shared" si="2264"/>
        <v>0</v>
      </c>
      <c r="AJ1260" s="1023">
        <f t="shared" si="2265"/>
        <v>0</v>
      </c>
    </row>
    <row r="1261" spans="1:36" s="998" customFormat="1" ht="14.5" hidden="1" outlineLevel="1">
      <c r="A1261" s="990">
        <f t="shared" si="2252"/>
        <v>1045</v>
      </c>
      <c r="B1261" s="1058"/>
      <c r="C1261" s="1058" t="s">
        <v>863</v>
      </c>
      <c r="D1261" s="1121" t="s">
        <v>887</v>
      </c>
      <c r="E1261" s="1243">
        <v>1</v>
      </c>
      <c r="F1261" s="999"/>
      <c r="G1261" s="1000"/>
      <c r="H1261" s="999"/>
      <c r="I1261" s="1100"/>
      <c r="M1261" s="998" t="s">
        <v>841</v>
      </c>
      <c r="P1261" s="1109" t="s">
        <v>842</v>
      </c>
      <c r="Q1261" s="1906" t="str">
        <f>CHOOSE(2, "6722000004179", "IP MGI JETvarnish 3DW JV3DW")</f>
        <v>IP MGI JETvarnish 3DW JV3DW</v>
      </c>
      <c r="R1261" s="2156">
        <v>0</v>
      </c>
      <c r="S1261" s="2156">
        <v>0</v>
      </c>
      <c r="T1261" s="2156">
        <v>0</v>
      </c>
      <c r="U1261" s="2156">
        <v>0</v>
      </c>
      <c r="V1261" s="2156">
        <v>0</v>
      </c>
      <c r="W1261" s="2156">
        <v>0</v>
      </c>
      <c r="X1261" s="2156">
        <v>0</v>
      </c>
      <c r="Y1261" s="2156">
        <v>0</v>
      </c>
      <c r="Z1261" s="2156">
        <v>0</v>
      </c>
      <c r="AA1261" s="2156">
        <v>0</v>
      </c>
      <c r="AB1261" s="2156">
        <v>0</v>
      </c>
      <c r="AC1261" s="2156">
        <v>0</v>
      </c>
      <c r="AD1261" s="1023">
        <f t="shared" si="2259"/>
        <v>0</v>
      </c>
      <c r="AE1261" s="1023">
        <f t="shared" si="2260"/>
        <v>0</v>
      </c>
      <c r="AF1261" s="1023">
        <f t="shared" si="2261"/>
        <v>0</v>
      </c>
      <c r="AG1261" s="1023">
        <f t="shared" si="2262"/>
        <v>0</v>
      </c>
      <c r="AH1261" s="1023">
        <f t="shared" si="2263"/>
        <v>0</v>
      </c>
      <c r="AI1261" s="1023">
        <f t="shared" si="2264"/>
        <v>0</v>
      </c>
      <c r="AJ1261" s="1023">
        <f t="shared" si="2265"/>
        <v>0</v>
      </c>
    </row>
    <row r="1262" spans="1:36" s="998" customFormat="1" ht="14.5" hidden="1" outlineLevel="1">
      <c r="A1262" s="990">
        <f t="shared" si="2252"/>
        <v>1046</v>
      </c>
      <c r="B1262" s="1058"/>
      <c r="C1262" s="1058" t="s">
        <v>863</v>
      </c>
      <c r="D1262" s="1121" t="s">
        <v>887</v>
      </c>
      <c r="E1262" s="1243">
        <v>1</v>
      </c>
      <c r="F1262" s="999"/>
      <c r="G1262" s="1000"/>
      <c r="H1262" s="999"/>
      <c r="I1262" s="1098"/>
      <c r="M1262" s="998" t="s">
        <v>843</v>
      </c>
      <c r="P1262" s="1109" t="s">
        <v>844</v>
      </c>
      <c r="Q1262" s="1906" t="str">
        <f>CHOOSE(2, "6722000004180", "IP MGI JETvarnish 3D JV3D")</f>
        <v>IP MGI JETvarnish 3D JV3D</v>
      </c>
      <c r="R1262" s="2156">
        <v>0</v>
      </c>
      <c r="S1262" s="2156">
        <v>0</v>
      </c>
      <c r="T1262" s="2156">
        <v>0</v>
      </c>
      <c r="U1262" s="2156">
        <v>0</v>
      </c>
      <c r="V1262" s="2156">
        <v>0</v>
      </c>
      <c r="W1262" s="2156">
        <v>0</v>
      </c>
      <c r="X1262" s="2156">
        <v>0</v>
      </c>
      <c r="Y1262" s="2156">
        <v>0</v>
      </c>
      <c r="Z1262" s="2156">
        <v>0</v>
      </c>
      <c r="AA1262" s="2156">
        <v>0</v>
      </c>
      <c r="AB1262" s="2156">
        <v>0</v>
      </c>
      <c r="AC1262" s="2156">
        <v>0</v>
      </c>
      <c r="AD1262" s="1023">
        <f t="shared" si="2259"/>
        <v>0</v>
      </c>
      <c r="AE1262" s="1023">
        <f t="shared" si="2260"/>
        <v>0</v>
      </c>
      <c r="AF1262" s="1023">
        <f t="shared" si="2261"/>
        <v>0</v>
      </c>
      <c r="AG1262" s="1023">
        <f t="shared" si="2262"/>
        <v>0</v>
      </c>
      <c r="AH1262" s="1023">
        <f t="shared" si="2263"/>
        <v>0</v>
      </c>
      <c r="AI1262" s="1023">
        <f t="shared" si="2264"/>
        <v>0</v>
      </c>
      <c r="AJ1262" s="1023">
        <f t="shared" si="2265"/>
        <v>0</v>
      </c>
    </row>
    <row r="1263" spans="1:36" s="998" customFormat="1" ht="14.5" hidden="1" outlineLevel="1">
      <c r="A1263" s="990">
        <f t="shared" si="2252"/>
        <v>1047</v>
      </c>
      <c r="B1263" s="1058"/>
      <c r="C1263" s="1058" t="s">
        <v>863</v>
      </c>
      <c r="D1263" s="1121" t="s">
        <v>887</v>
      </c>
      <c r="E1263" s="1243">
        <v>1</v>
      </c>
      <c r="F1263" s="999"/>
      <c r="G1263" s="1000"/>
      <c r="H1263" s="999"/>
      <c r="I1263" s="1098"/>
      <c r="M1263" s="998" t="s">
        <v>845</v>
      </c>
      <c r="P1263" s="1109" t="s">
        <v>846</v>
      </c>
      <c r="Q1263" s="1906" t="str">
        <f>CHOOSE(2, "6722000004181", "IP MGI JETvarnish 3DL JV3DL")</f>
        <v>IP MGI JETvarnish 3DL JV3DL</v>
      </c>
      <c r="R1263" s="2156">
        <v>0</v>
      </c>
      <c r="S1263" s="2156">
        <v>0</v>
      </c>
      <c r="T1263" s="2156">
        <v>0</v>
      </c>
      <c r="U1263" s="2156">
        <v>0</v>
      </c>
      <c r="V1263" s="2156">
        <v>0</v>
      </c>
      <c r="W1263" s="2156">
        <v>0</v>
      </c>
      <c r="X1263" s="2156">
        <v>0</v>
      </c>
      <c r="Y1263" s="2156">
        <v>0</v>
      </c>
      <c r="Z1263" s="2156">
        <v>0</v>
      </c>
      <c r="AA1263" s="2156">
        <v>0</v>
      </c>
      <c r="AB1263" s="2156">
        <v>0</v>
      </c>
      <c r="AC1263" s="2156">
        <v>0</v>
      </c>
      <c r="AD1263" s="1023">
        <f t="shared" si="2259"/>
        <v>0</v>
      </c>
      <c r="AE1263" s="1023">
        <f t="shared" si="2260"/>
        <v>0</v>
      </c>
      <c r="AF1263" s="1023">
        <f t="shared" si="2261"/>
        <v>0</v>
      </c>
      <c r="AG1263" s="1023">
        <f t="shared" si="2262"/>
        <v>0</v>
      </c>
      <c r="AH1263" s="1023">
        <f t="shared" si="2263"/>
        <v>0</v>
      </c>
      <c r="AI1263" s="1023">
        <f t="shared" si="2264"/>
        <v>0</v>
      </c>
      <c r="AJ1263" s="1023">
        <f t="shared" si="2265"/>
        <v>0</v>
      </c>
    </row>
    <row r="1264" spans="1:36" s="998" customFormat="1" ht="14.5" hidden="1" outlineLevel="1">
      <c r="A1264" s="990">
        <f t="shared" si="2252"/>
        <v>1048</v>
      </c>
      <c r="B1264" s="1058"/>
      <c r="C1264" s="1058" t="s">
        <v>863</v>
      </c>
      <c r="D1264" s="1121" t="s">
        <v>887</v>
      </c>
      <c r="E1264" s="1243">
        <v>1</v>
      </c>
      <c r="F1264" s="999"/>
      <c r="G1264" s="1000"/>
      <c r="H1264" s="999"/>
      <c r="I1264" s="1098"/>
      <c r="J1264" s="1104" t="s">
        <v>210</v>
      </c>
      <c r="K1264" s="1105"/>
      <c r="L1264" s="1105"/>
      <c r="M1264" s="1105" t="s">
        <v>847</v>
      </c>
      <c r="N1264" s="1105"/>
      <c r="O1264" s="1105"/>
      <c r="P1264" s="1105" t="s">
        <v>847</v>
      </c>
      <c r="Q1264" s="1906" t="str">
        <f>CHOOSE(2, "6722000004182", "IP EFI/LF H1625LED H1625LED")</f>
        <v>IP EFI/LF H1625LED H1625LED</v>
      </c>
      <c r="R1264" s="2154">
        <v>0</v>
      </c>
      <c r="S1264" s="2154">
        <v>0</v>
      </c>
      <c r="T1264" s="2154">
        <v>0</v>
      </c>
      <c r="U1264" s="2154">
        <v>0</v>
      </c>
      <c r="V1264" s="2154">
        <v>0</v>
      </c>
      <c r="W1264" s="2154">
        <v>0</v>
      </c>
      <c r="X1264" s="2154">
        <v>0</v>
      </c>
      <c r="Y1264" s="2154">
        <v>0</v>
      </c>
      <c r="Z1264" s="2154">
        <v>0</v>
      </c>
      <c r="AA1264" s="2154">
        <v>0</v>
      </c>
      <c r="AB1264" s="2154">
        <v>0</v>
      </c>
      <c r="AC1264" s="2154">
        <v>0</v>
      </c>
      <c r="AD1264" s="1107">
        <f t="shared" si="2259"/>
        <v>0</v>
      </c>
      <c r="AE1264" s="1107">
        <f t="shared" si="2260"/>
        <v>0</v>
      </c>
      <c r="AF1264" s="1107">
        <f t="shared" si="2261"/>
        <v>0</v>
      </c>
      <c r="AG1264" s="1107">
        <f t="shared" si="2262"/>
        <v>0</v>
      </c>
      <c r="AH1264" s="1107">
        <f t="shared" si="2263"/>
        <v>0</v>
      </c>
      <c r="AI1264" s="1107">
        <f t="shared" si="2264"/>
        <v>0</v>
      </c>
      <c r="AJ1264" s="1107">
        <f t="shared" si="2265"/>
        <v>0</v>
      </c>
    </row>
    <row r="1265" spans="1:36" s="998" customFormat="1" ht="14.5" hidden="1" outlineLevel="1">
      <c r="A1265" s="990">
        <f t="shared" si="2252"/>
        <v>1049</v>
      </c>
      <c r="B1265" s="1058"/>
      <c r="C1265" s="1058" t="s">
        <v>863</v>
      </c>
      <c r="D1265" s="1121" t="s">
        <v>887</v>
      </c>
      <c r="E1265" s="1243">
        <v>1</v>
      </c>
      <c r="F1265" s="999"/>
      <c r="G1265" s="1000"/>
      <c r="H1265" s="999"/>
      <c r="I1265" s="1100"/>
      <c r="M1265" s="998" t="s">
        <v>848</v>
      </c>
      <c r="P1265" s="1109" t="s">
        <v>849</v>
      </c>
      <c r="Q1265" s="1906" t="str">
        <f>CHOOSE(2, "6722000004183", "IP EFI/LF AccurioWide 200 Agfa WF200(BUS)")</f>
        <v>IP EFI/LF AccurioWide 200 Agfa WF200(BUS)</v>
      </c>
      <c r="R1265" s="2156">
        <v>0</v>
      </c>
      <c r="S1265" s="2156">
        <v>0</v>
      </c>
      <c r="T1265" s="2156">
        <v>0</v>
      </c>
      <c r="U1265" s="2156">
        <v>0</v>
      </c>
      <c r="V1265" s="2156">
        <v>0</v>
      </c>
      <c r="W1265" s="2156">
        <v>0</v>
      </c>
      <c r="X1265" s="2156">
        <v>0</v>
      </c>
      <c r="Y1265" s="2156">
        <v>0</v>
      </c>
      <c r="Z1265" s="2156">
        <v>0</v>
      </c>
      <c r="AA1265" s="2156">
        <v>0</v>
      </c>
      <c r="AB1265" s="2156">
        <v>0</v>
      </c>
      <c r="AC1265" s="2156">
        <v>0</v>
      </c>
      <c r="AD1265" s="1023">
        <f t="shared" si="2259"/>
        <v>0</v>
      </c>
      <c r="AE1265" s="1023">
        <f t="shared" si="2260"/>
        <v>0</v>
      </c>
      <c r="AF1265" s="1023">
        <f t="shared" si="2261"/>
        <v>0</v>
      </c>
      <c r="AG1265" s="1023">
        <f t="shared" si="2262"/>
        <v>0</v>
      </c>
      <c r="AH1265" s="1023">
        <f t="shared" si="2263"/>
        <v>0</v>
      </c>
      <c r="AI1265" s="1023">
        <f t="shared" si="2264"/>
        <v>0</v>
      </c>
      <c r="AJ1265" s="1023">
        <f t="shared" si="2265"/>
        <v>0</v>
      </c>
    </row>
    <row r="1266" spans="1:36" s="998" customFormat="1" ht="14.5" hidden="1" outlineLevel="1">
      <c r="A1266" s="990">
        <f t="shared" si="2252"/>
        <v>1050</v>
      </c>
      <c r="B1266" s="1058"/>
      <c r="C1266" s="1058" t="s">
        <v>863</v>
      </c>
      <c r="D1266" s="1121" t="s">
        <v>887</v>
      </c>
      <c r="E1266" s="1243">
        <v>1</v>
      </c>
      <c r="F1266" s="999"/>
      <c r="G1266" s="1000"/>
      <c r="H1266" s="999"/>
      <c r="I1266" s="1100"/>
      <c r="J1266" s="1101"/>
      <c r="K1266" s="1101"/>
      <c r="L1266" s="1101"/>
      <c r="M1266" s="1101" t="s">
        <v>850</v>
      </c>
      <c r="N1266" s="1101"/>
      <c r="O1266" s="1101"/>
      <c r="P1266" s="1102" t="s">
        <v>851</v>
      </c>
      <c r="Q1266" s="1906" t="str">
        <f>CHOOSE(2, "6722000004184", "IP EFI/LF AccurioWide 160 Agfa WF160(BUS)")</f>
        <v>IP EFI/LF AccurioWide 160 Agfa WF160(BUS)</v>
      </c>
      <c r="R1266" s="2153">
        <v>0</v>
      </c>
      <c r="S1266" s="2153">
        <v>0</v>
      </c>
      <c r="T1266" s="2153">
        <v>0</v>
      </c>
      <c r="U1266" s="2153">
        <v>0</v>
      </c>
      <c r="V1266" s="2153">
        <v>0</v>
      </c>
      <c r="W1266" s="2153">
        <v>0</v>
      </c>
      <c r="X1266" s="2153">
        <v>0</v>
      </c>
      <c r="Y1266" s="2153">
        <v>0</v>
      </c>
      <c r="Z1266" s="2153">
        <v>0</v>
      </c>
      <c r="AA1266" s="2153">
        <v>0</v>
      </c>
      <c r="AB1266" s="2153">
        <v>0</v>
      </c>
      <c r="AC1266" s="2153">
        <v>0</v>
      </c>
      <c r="AD1266" s="1103">
        <f t="shared" si="2259"/>
        <v>0</v>
      </c>
      <c r="AE1266" s="1103">
        <f t="shared" si="2260"/>
        <v>0</v>
      </c>
      <c r="AF1266" s="1103">
        <f t="shared" si="2261"/>
        <v>0</v>
      </c>
      <c r="AG1266" s="1103">
        <f t="shared" si="2262"/>
        <v>0</v>
      </c>
      <c r="AH1266" s="1103">
        <f t="shared" si="2263"/>
        <v>0</v>
      </c>
      <c r="AI1266" s="1103">
        <f t="shared" si="2264"/>
        <v>0</v>
      </c>
      <c r="AJ1266" s="1103">
        <f t="shared" si="2265"/>
        <v>0</v>
      </c>
    </row>
    <row r="1267" spans="1:36" s="998" customFormat="1" ht="14.5" hidden="1" outlineLevel="1">
      <c r="A1267" s="990">
        <f t="shared" si="2252"/>
        <v>1051</v>
      </c>
      <c r="B1267" s="1058"/>
      <c r="C1267" s="1058" t="s">
        <v>863</v>
      </c>
      <c r="D1267" s="1121" t="s">
        <v>887</v>
      </c>
      <c r="E1267" s="1243">
        <v>1</v>
      </c>
      <c r="F1267" s="999"/>
      <c r="G1267" s="1000"/>
      <c r="H1267" s="999"/>
      <c r="I1267" s="1098"/>
      <c r="J1267" s="999" t="s">
        <v>852</v>
      </c>
      <c r="M1267" s="1109" t="s">
        <v>853</v>
      </c>
      <c r="P1267" s="1109" t="s">
        <v>854</v>
      </c>
      <c r="Q1267" s="1906" t="str">
        <f>CHOOSE(2, "6722000004185", "IP Textile Printer Nassenger PRO 120  LIBRA2")</f>
        <v>IP Textile Printer Nassenger PRO 120  LIBRA2</v>
      </c>
      <c r="R1267" s="2156">
        <v>0</v>
      </c>
      <c r="S1267" s="2156">
        <v>0</v>
      </c>
      <c r="T1267" s="2156">
        <v>0</v>
      </c>
      <c r="U1267" s="2156">
        <v>0</v>
      </c>
      <c r="V1267" s="2156">
        <v>0</v>
      </c>
      <c r="W1267" s="2156">
        <v>0</v>
      </c>
      <c r="X1267" s="2156">
        <v>0</v>
      </c>
      <c r="Y1267" s="2156">
        <v>0</v>
      </c>
      <c r="Z1267" s="2156">
        <v>0</v>
      </c>
      <c r="AA1267" s="2156">
        <v>0</v>
      </c>
      <c r="AB1267" s="2156">
        <v>0</v>
      </c>
      <c r="AC1267" s="2156">
        <v>0</v>
      </c>
      <c r="AD1267" s="1023">
        <f t="shared" si="2259"/>
        <v>0</v>
      </c>
      <c r="AE1267" s="1023">
        <f t="shared" si="2260"/>
        <v>0</v>
      </c>
      <c r="AF1267" s="1023">
        <f t="shared" si="2261"/>
        <v>0</v>
      </c>
      <c r="AG1267" s="1023">
        <f t="shared" si="2262"/>
        <v>0</v>
      </c>
      <c r="AH1267" s="1023">
        <f t="shared" si="2263"/>
        <v>0</v>
      </c>
      <c r="AI1267" s="1023">
        <f t="shared" si="2264"/>
        <v>0</v>
      </c>
      <c r="AJ1267" s="1023">
        <f t="shared" si="2265"/>
        <v>0</v>
      </c>
    </row>
    <row r="1268" spans="1:36" s="998" customFormat="1" ht="14.5" hidden="1" outlineLevel="1">
      <c r="A1268" s="990">
        <f t="shared" si="2252"/>
        <v>1052</v>
      </c>
      <c r="B1268" s="1058"/>
      <c r="C1268" s="1058" t="s">
        <v>863</v>
      </c>
      <c r="D1268" s="1121" t="s">
        <v>887</v>
      </c>
      <c r="E1268" s="1243">
        <v>1</v>
      </c>
      <c r="F1268" s="999"/>
      <c r="G1268" s="1000"/>
      <c r="H1268" s="999"/>
      <c r="I1268" s="1098"/>
      <c r="M1268" s="1109" t="s">
        <v>855</v>
      </c>
      <c r="P1268" s="1109" t="s">
        <v>856</v>
      </c>
      <c r="Q1268" s="1906" t="str">
        <f>CHOOSE(2, "6722000004186", "IP Textile Printer Nassenger PRO 1000 TP-9")</f>
        <v>IP Textile Printer Nassenger PRO 1000 TP-9</v>
      </c>
      <c r="R1268" s="2156">
        <v>0</v>
      </c>
      <c r="S1268" s="2156">
        <v>0</v>
      </c>
      <c r="T1268" s="2156">
        <v>0</v>
      </c>
      <c r="U1268" s="2156">
        <v>0</v>
      </c>
      <c r="V1268" s="2156">
        <v>0</v>
      </c>
      <c r="W1268" s="2156">
        <v>0</v>
      </c>
      <c r="X1268" s="2156">
        <v>0</v>
      </c>
      <c r="Y1268" s="2156">
        <v>0</v>
      </c>
      <c r="Z1268" s="2156">
        <v>0</v>
      </c>
      <c r="AA1268" s="2156">
        <v>0</v>
      </c>
      <c r="AB1268" s="2156">
        <v>0</v>
      </c>
      <c r="AC1268" s="2156">
        <v>0</v>
      </c>
      <c r="AD1268" s="1023">
        <f t="shared" si="2259"/>
        <v>0</v>
      </c>
      <c r="AE1268" s="1023">
        <f t="shared" si="2260"/>
        <v>0</v>
      </c>
      <c r="AF1268" s="1023">
        <f t="shared" si="2261"/>
        <v>0</v>
      </c>
      <c r="AG1268" s="1023">
        <f t="shared" si="2262"/>
        <v>0</v>
      </c>
      <c r="AH1268" s="1023">
        <f t="shared" si="2263"/>
        <v>0</v>
      </c>
      <c r="AI1268" s="1023">
        <f t="shared" si="2264"/>
        <v>0</v>
      </c>
      <c r="AJ1268" s="1023">
        <f t="shared" si="2265"/>
        <v>0</v>
      </c>
    </row>
    <row r="1269" spans="1:36" s="998" customFormat="1" ht="14.5" hidden="1" outlineLevel="1">
      <c r="A1269" s="990">
        <f t="shared" si="2252"/>
        <v>1053</v>
      </c>
      <c r="B1269" s="1058"/>
      <c r="C1269" s="1058" t="s">
        <v>863</v>
      </c>
      <c r="D1269" s="1121" t="s">
        <v>887</v>
      </c>
      <c r="E1269" s="1243">
        <v>1</v>
      </c>
      <c r="F1269" s="999"/>
      <c r="G1269" s="1000"/>
      <c r="H1269" s="999"/>
      <c r="I1269" s="1098"/>
      <c r="M1269" s="1109" t="s">
        <v>857</v>
      </c>
      <c r="P1269" s="1109" t="s">
        <v>858</v>
      </c>
      <c r="Q1269" s="1906" t="str">
        <f>CHOOSE(2, "6722000004187", "IP Textile Printer Nassenger 10 TP-10")</f>
        <v>IP Textile Printer Nassenger 10 TP-10</v>
      </c>
      <c r="R1269" s="2156">
        <v>0</v>
      </c>
      <c r="S1269" s="2156">
        <v>0</v>
      </c>
      <c r="T1269" s="2156">
        <v>0</v>
      </c>
      <c r="U1269" s="2156">
        <v>0</v>
      </c>
      <c r="V1269" s="2156">
        <v>0</v>
      </c>
      <c r="W1269" s="2156">
        <v>0</v>
      </c>
      <c r="X1269" s="2156">
        <v>0</v>
      </c>
      <c r="Y1269" s="2156">
        <v>0</v>
      </c>
      <c r="Z1269" s="2156">
        <v>0</v>
      </c>
      <c r="AA1269" s="2156">
        <v>0</v>
      </c>
      <c r="AB1269" s="2156">
        <v>0</v>
      </c>
      <c r="AC1269" s="2156">
        <v>0</v>
      </c>
      <c r="AD1269" s="1023">
        <f t="shared" si="2259"/>
        <v>0</v>
      </c>
      <c r="AE1269" s="1023">
        <f t="shared" si="2260"/>
        <v>0</v>
      </c>
      <c r="AF1269" s="1023">
        <f t="shared" si="2261"/>
        <v>0</v>
      </c>
      <c r="AG1269" s="1023">
        <f t="shared" si="2262"/>
        <v>0</v>
      </c>
      <c r="AH1269" s="1023">
        <f t="shared" si="2263"/>
        <v>0</v>
      </c>
      <c r="AI1269" s="1023">
        <f t="shared" si="2264"/>
        <v>0</v>
      </c>
      <c r="AJ1269" s="1023">
        <f t="shared" si="2265"/>
        <v>0</v>
      </c>
    </row>
    <row r="1270" spans="1:36" s="998" customFormat="1" ht="14.5" hidden="1" outlineLevel="1">
      <c r="A1270" s="990">
        <f t="shared" si="2252"/>
        <v>1054</v>
      </c>
      <c r="B1270" s="1058"/>
      <c r="C1270" s="1058" t="s">
        <v>863</v>
      </c>
      <c r="D1270" s="1121" t="s">
        <v>887</v>
      </c>
      <c r="E1270" s="1243">
        <v>1</v>
      </c>
      <c r="F1270" s="999"/>
      <c r="G1270" s="1000"/>
      <c r="H1270" s="999"/>
      <c r="I1270" s="1098"/>
      <c r="M1270" s="1109" t="s">
        <v>859</v>
      </c>
      <c r="P1270" s="1109" t="s">
        <v>860</v>
      </c>
      <c r="Q1270" s="1906" t="str">
        <f>CHOOSE(2, "6722000004188", "IP Textile Printer Nassenger 8")</f>
        <v>IP Textile Printer Nassenger 8</v>
      </c>
      <c r="R1270" s="2156">
        <v>0</v>
      </c>
      <c r="S1270" s="2156">
        <v>0</v>
      </c>
      <c r="T1270" s="2156">
        <v>0</v>
      </c>
      <c r="U1270" s="2156">
        <v>0</v>
      </c>
      <c r="V1270" s="2156">
        <v>0</v>
      </c>
      <c r="W1270" s="2156">
        <v>0</v>
      </c>
      <c r="X1270" s="2156">
        <v>0</v>
      </c>
      <c r="Y1270" s="2156">
        <v>0</v>
      </c>
      <c r="Z1270" s="2156">
        <v>0</v>
      </c>
      <c r="AA1270" s="2156">
        <v>0</v>
      </c>
      <c r="AB1270" s="2156">
        <v>0</v>
      </c>
      <c r="AC1270" s="2156">
        <v>0</v>
      </c>
      <c r="AD1270" s="1023">
        <f t="shared" si="2259"/>
        <v>0</v>
      </c>
      <c r="AE1270" s="1023">
        <f t="shared" si="2260"/>
        <v>0</v>
      </c>
      <c r="AF1270" s="1023">
        <f t="shared" si="2261"/>
        <v>0</v>
      </c>
      <c r="AG1270" s="1023">
        <f t="shared" si="2262"/>
        <v>0</v>
      </c>
      <c r="AH1270" s="1023">
        <f t="shared" si="2263"/>
        <v>0</v>
      </c>
      <c r="AI1270" s="1023">
        <f t="shared" si="2264"/>
        <v>0</v>
      </c>
      <c r="AJ1270" s="1023">
        <f t="shared" si="2265"/>
        <v>0</v>
      </c>
    </row>
    <row r="1271" spans="1:36" s="998" customFormat="1" ht="14.5" hidden="1" outlineLevel="1">
      <c r="A1271" s="990">
        <f t="shared" si="2252"/>
        <v>1055</v>
      </c>
      <c r="B1271" s="1058"/>
      <c r="C1271" s="1058" t="s">
        <v>863</v>
      </c>
      <c r="D1271" s="1121" t="s">
        <v>887</v>
      </c>
      <c r="E1271" s="1243">
        <v>1</v>
      </c>
      <c r="F1271" s="999"/>
      <c r="G1271" s="1000"/>
      <c r="H1271" s="999"/>
      <c r="I1271" s="1098"/>
      <c r="M1271" s="1109" t="s">
        <v>861</v>
      </c>
      <c r="P1271" s="1109" t="s">
        <v>862</v>
      </c>
      <c r="Q1271" s="1906" t="str">
        <f>CHOOSE(2, "6722000004189", "IP Textile Printer Nassenger SP-1")</f>
        <v>IP Textile Printer Nassenger SP-1</v>
      </c>
      <c r="R1271" s="2156">
        <v>0</v>
      </c>
      <c r="S1271" s="2156">
        <v>0</v>
      </c>
      <c r="T1271" s="2156">
        <v>0</v>
      </c>
      <c r="U1271" s="2156">
        <v>0</v>
      </c>
      <c r="V1271" s="2156">
        <v>0</v>
      </c>
      <c r="W1271" s="2156">
        <v>0</v>
      </c>
      <c r="X1271" s="2156">
        <v>0</v>
      </c>
      <c r="Y1271" s="2156">
        <v>0</v>
      </c>
      <c r="Z1271" s="2156">
        <v>0</v>
      </c>
      <c r="AA1271" s="2156">
        <v>0</v>
      </c>
      <c r="AB1271" s="2156">
        <v>0</v>
      </c>
      <c r="AC1271" s="2156">
        <v>0</v>
      </c>
      <c r="AD1271" s="1023">
        <f t="shared" si="2259"/>
        <v>0</v>
      </c>
      <c r="AE1271" s="1023">
        <f t="shared" si="2260"/>
        <v>0</v>
      </c>
      <c r="AF1271" s="1023">
        <f t="shared" si="2261"/>
        <v>0</v>
      </c>
      <c r="AG1271" s="1023">
        <f t="shared" si="2262"/>
        <v>0</v>
      </c>
      <c r="AH1271" s="1023">
        <f t="shared" si="2263"/>
        <v>0</v>
      </c>
      <c r="AI1271" s="1023">
        <f t="shared" si="2264"/>
        <v>0</v>
      </c>
      <c r="AJ1271" s="1023">
        <f t="shared" si="2265"/>
        <v>0</v>
      </c>
    </row>
    <row r="1272" spans="1:36" s="998" customFormat="1" ht="14.5" hidden="1" outlineLevel="1">
      <c r="A1272" s="990">
        <f t="shared" si="2252"/>
        <v>1056</v>
      </c>
      <c r="B1272" s="1058"/>
      <c r="C1272" s="1058" t="s">
        <v>863</v>
      </c>
      <c r="D1272" s="1121" t="s">
        <v>887</v>
      </c>
      <c r="E1272" s="1243">
        <v>1</v>
      </c>
      <c r="F1272" s="999"/>
      <c r="G1272" s="1000"/>
      <c r="H1272" s="999"/>
      <c r="I1272" s="1098"/>
      <c r="J1272" s="1101"/>
      <c r="K1272" s="1101"/>
      <c r="L1272" s="1101"/>
      <c r="M1272" s="1101" t="s">
        <v>11</v>
      </c>
      <c r="N1272" s="1101"/>
      <c r="O1272" s="1101"/>
      <c r="P1272" s="1102"/>
      <c r="Q1272" s="1906" t="str">
        <f>CHOOSE(2, "6722000004190", "IP Textile Printer Others")</f>
        <v>IP Textile Printer Others</v>
      </c>
      <c r="R1272" s="2153">
        <v>0</v>
      </c>
      <c r="S1272" s="2153">
        <v>0</v>
      </c>
      <c r="T1272" s="2153">
        <v>0</v>
      </c>
      <c r="U1272" s="2153">
        <v>0</v>
      </c>
      <c r="V1272" s="2153">
        <v>0</v>
      </c>
      <c r="W1272" s="2153">
        <v>0</v>
      </c>
      <c r="X1272" s="2153">
        <v>0</v>
      </c>
      <c r="Y1272" s="2153">
        <v>0</v>
      </c>
      <c r="Z1272" s="2153">
        <v>0</v>
      </c>
      <c r="AA1272" s="2153">
        <v>0</v>
      </c>
      <c r="AB1272" s="2153">
        <v>0</v>
      </c>
      <c r="AC1272" s="2153">
        <v>0</v>
      </c>
      <c r="AD1272" s="1103">
        <f t="shared" si="2259"/>
        <v>0</v>
      </c>
      <c r="AE1272" s="1103">
        <f t="shared" si="2260"/>
        <v>0</v>
      </c>
      <c r="AF1272" s="1103">
        <f t="shared" si="2261"/>
        <v>0</v>
      </c>
      <c r="AG1272" s="1103">
        <f t="shared" si="2262"/>
        <v>0</v>
      </c>
      <c r="AH1272" s="1103">
        <f t="shared" si="2263"/>
        <v>0</v>
      </c>
      <c r="AI1272" s="1103">
        <f t="shared" si="2264"/>
        <v>0</v>
      </c>
      <c r="AJ1272" s="1103">
        <f>AH1272+AI1272</f>
        <v>0</v>
      </c>
    </row>
    <row r="1273" spans="1:36" s="998" customFormat="1" ht="14.5" hidden="1" outlineLevel="1">
      <c r="A1273" s="990">
        <f t="shared" si="2252"/>
        <v>1057</v>
      </c>
      <c r="B1273" s="1058"/>
      <c r="C1273" s="1058" t="s">
        <v>863</v>
      </c>
      <c r="D1273" s="1121" t="s">
        <v>887</v>
      </c>
      <c r="E1273" s="1243">
        <v>1</v>
      </c>
      <c r="F1273" s="999"/>
      <c r="G1273" s="1000"/>
      <c r="H1273" s="999"/>
      <c r="I1273" s="1110"/>
      <c r="J1273" s="1111" t="s">
        <v>131</v>
      </c>
      <c r="K1273" s="1111"/>
      <c r="L1273" s="1111"/>
      <c r="M1273" s="1111"/>
      <c r="N1273" s="1111"/>
      <c r="O1273" s="1111"/>
      <c r="P1273" s="1112"/>
      <c r="Q1273" s="1906" t="str">
        <f>CHOOSE(2, "6722000004191", "IP Others")</f>
        <v>IP Others</v>
      </c>
      <c r="R1273" s="2157">
        <v>1</v>
      </c>
      <c r="S1273" s="2157">
        <v>0</v>
      </c>
      <c r="T1273" s="2157">
        <v>0</v>
      </c>
      <c r="U1273" s="2157">
        <v>0</v>
      </c>
      <c r="V1273" s="2157">
        <v>0</v>
      </c>
      <c r="W1273" s="2157">
        <v>0</v>
      </c>
      <c r="X1273" s="2157">
        <v>0</v>
      </c>
      <c r="Y1273" s="2157">
        <v>0</v>
      </c>
      <c r="Z1273" s="2157">
        <v>0</v>
      </c>
      <c r="AA1273" s="2157">
        <v>0</v>
      </c>
      <c r="AB1273" s="2157">
        <v>0</v>
      </c>
      <c r="AC1273" s="2157">
        <v>0</v>
      </c>
      <c r="AD1273" s="1113">
        <f t="shared" si="2259"/>
        <v>1</v>
      </c>
      <c r="AE1273" s="1113">
        <f t="shared" si="2260"/>
        <v>0</v>
      </c>
      <c r="AF1273" s="1113">
        <f t="shared" si="2261"/>
        <v>0</v>
      </c>
      <c r="AG1273" s="1113">
        <f t="shared" si="2262"/>
        <v>0</v>
      </c>
      <c r="AH1273" s="1113">
        <f>AD1273+AE1273</f>
        <v>1</v>
      </c>
      <c r="AI1273" s="1113">
        <f>AG1273+AF1273</f>
        <v>0</v>
      </c>
      <c r="AJ1273" s="1113">
        <f t="shared" si="2265"/>
        <v>1</v>
      </c>
    </row>
    <row r="1274" spans="1:36" ht="14.5" hidden="1" outlineLevel="1">
      <c r="A1274" s="990">
        <f t="shared" si="2252"/>
        <v>1058</v>
      </c>
      <c r="C1274" s="990" t="s">
        <v>863</v>
      </c>
      <c r="D1274" s="1121" t="s">
        <v>887</v>
      </c>
      <c r="E1274" s="1243">
        <v>1</v>
      </c>
      <c r="Q1274" s="1838" t="str">
        <f>CHOOSE(2, "6722000004192", "▷ Blank 50")</f>
        <v>▷ Blank 50</v>
      </c>
    </row>
    <row r="1275" spans="1:36" ht="15.5" hidden="1" outlineLevel="1">
      <c r="A1275" s="990">
        <v>1</v>
      </c>
      <c r="B1275" s="990">
        <v>1</v>
      </c>
      <c r="C1275" s="990" t="s">
        <v>863</v>
      </c>
      <c r="D1275" s="1121" t="s">
        <v>887</v>
      </c>
      <c r="E1275" s="1463" t="s">
        <v>1262</v>
      </c>
      <c r="F1275" s="1459"/>
      <c r="G1275" s="1077" t="s">
        <v>1321</v>
      </c>
      <c r="I1275" s="1585"/>
      <c r="J1275" s="1585"/>
      <c r="K1275" s="1585"/>
      <c r="P1275" s="1595" t="s">
        <v>1282</v>
      </c>
      <c r="Q1275" s="1838" t="str">
        <f>CHOOSE(2, "6722000004193", "8-5. Open Orders amount of sales orders")</f>
        <v>8-5. Open Orders amount of sales orders</v>
      </c>
    </row>
    <row r="1276" spans="1:36" ht="14.5" hidden="1" outlineLevel="1">
      <c r="A1276" s="990">
        <v>1</v>
      </c>
      <c r="B1276" s="990">
        <v>1</v>
      </c>
      <c r="C1276" s="990" t="s">
        <v>863</v>
      </c>
      <c r="D1276" s="1121" t="s">
        <v>887</v>
      </c>
      <c r="E1276" s="1463" t="s">
        <v>1262</v>
      </c>
      <c r="F1276" s="1459"/>
      <c r="I1276" s="1586"/>
      <c r="J1276" s="1587"/>
      <c r="K1276" s="1587"/>
      <c r="L1276" s="1587"/>
      <c r="M1276" s="1587"/>
      <c r="N1276" s="1587"/>
      <c r="O1276" s="1587"/>
      <c r="P1276" s="1587"/>
      <c r="Q1276" s="1903" t="str">
        <f>CHOOSE(2, "6722000004194", "▷ Blank 51")</f>
        <v>▷ Blank 51</v>
      </c>
      <c r="R1276" s="2245" t="str">
        <f>IF($P$4="BBR","Jan/E","Apr/E")</f>
        <v>Apr/E</v>
      </c>
      <c r="S1276" s="2245" t="str">
        <f>IF($P$4="BBR","Feb/E","May/E")</f>
        <v>May/E</v>
      </c>
      <c r="T1276" s="2245" t="str">
        <f>IF($P$4="BBR","Mar/E","Jun/E")</f>
        <v>Jun/E</v>
      </c>
      <c r="U1276" s="2245" t="str">
        <f>IF($P$4="BBR","Apr/E","Jul/E")</f>
        <v>Jul/E</v>
      </c>
      <c r="V1276" s="2245" t="str">
        <f>IF($P$4="BBR","May/E","Aug/E")</f>
        <v>Aug/E</v>
      </c>
      <c r="W1276" s="2249" t="str">
        <f>IF($P$4="BBR","Jun/E","Sep/E")</f>
        <v>Sep/E</v>
      </c>
      <c r="X1276" s="2245" t="str">
        <f>IF($P$4="BBR","Jul/E","Oct/E")</f>
        <v>Oct/E</v>
      </c>
      <c r="Y1276" s="2245" t="str">
        <f>IF($P$4="BBR","Aug/E","Nov/E")</f>
        <v>Nov/E</v>
      </c>
      <c r="Z1276" s="2245" t="str">
        <f>IF($P$4="BBR","Sep/E","Dec/E")</f>
        <v>Dec/E</v>
      </c>
      <c r="AA1276" s="2245" t="str">
        <f>IF($P$4="BBR","Oct/E","Jan/E")</f>
        <v>Jan/E</v>
      </c>
      <c r="AB1276" s="2245" t="str">
        <f>IF($P$4="BBR","Nov/E","Feb/E")</f>
        <v>Feb/E</v>
      </c>
      <c r="AC1276" s="2245" t="str">
        <f>IF($P$4="BBR","Dec/E","Mar/E")</f>
        <v>Mar/E</v>
      </c>
    </row>
    <row r="1277" spans="1:36" ht="14.5" hidden="1" outlineLevel="1">
      <c r="A1277" s="990">
        <v>1</v>
      </c>
      <c r="B1277" s="990">
        <v>1</v>
      </c>
      <c r="C1277" s="990" t="s">
        <v>863</v>
      </c>
      <c r="D1277" s="1121" t="s">
        <v>887</v>
      </c>
      <c r="E1277" s="1463" t="s">
        <v>1262</v>
      </c>
      <c r="F1277" s="1459"/>
      <c r="I1277" s="1588" t="s">
        <v>1277</v>
      </c>
      <c r="J1277" s="1594"/>
      <c r="K1277" s="1594"/>
      <c r="L1277" s="1594"/>
      <c r="M1277" s="1589" t="s">
        <v>987</v>
      </c>
      <c r="N1277" s="1589"/>
      <c r="O1277" s="1589"/>
      <c r="P1277" s="1589"/>
      <c r="Q1277" s="1907" t="str">
        <f>CHOOSE(2, "6722000004195", "TTL Total")</f>
        <v>TTL Total</v>
      </c>
      <c r="R1277" s="2246">
        <f t="shared" ref="R1277:AC1277" si="2266">SUM(R1278,R1279,R1280)</f>
        <v>0</v>
      </c>
      <c r="S1277" s="2246">
        <f t="shared" si="2266"/>
        <v>0</v>
      </c>
      <c r="T1277" s="2246">
        <f t="shared" si="2266"/>
        <v>0</v>
      </c>
      <c r="U1277" s="2246">
        <f t="shared" si="2266"/>
        <v>0</v>
      </c>
      <c r="V1277" s="2246">
        <f t="shared" si="2266"/>
        <v>0</v>
      </c>
      <c r="W1277" s="2246">
        <f t="shared" si="2266"/>
        <v>0</v>
      </c>
      <c r="X1277" s="2246">
        <f t="shared" si="2266"/>
        <v>0</v>
      </c>
      <c r="Y1277" s="2246">
        <f t="shared" si="2266"/>
        <v>0</v>
      </c>
      <c r="Z1277" s="2246">
        <f t="shared" si="2266"/>
        <v>0</v>
      </c>
      <c r="AA1277" s="2246">
        <f t="shared" si="2266"/>
        <v>0</v>
      </c>
      <c r="AB1277" s="2246">
        <f t="shared" si="2266"/>
        <v>0</v>
      </c>
      <c r="AC1277" s="2246">
        <f t="shared" si="2266"/>
        <v>0</v>
      </c>
    </row>
    <row r="1278" spans="1:36" ht="14.5" hidden="1" outlineLevel="1">
      <c r="A1278" s="990">
        <v>1</v>
      </c>
      <c r="B1278" s="990">
        <v>1</v>
      </c>
      <c r="C1278" s="990" t="s">
        <v>863</v>
      </c>
      <c r="D1278" s="1121" t="s">
        <v>887</v>
      </c>
      <c r="E1278" s="1463" t="s">
        <v>1262</v>
      </c>
      <c r="F1278" s="1459"/>
      <c r="I1278" s="1588"/>
      <c r="J1278" s="1590"/>
      <c r="K1278" s="1590"/>
      <c r="L1278" s="1590"/>
      <c r="M1278" s="1590" t="s">
        <v>137</v>
      </c>
      <c r="N1278" s="1590"/>
      <c r="O1278" s="1590"/>
      <c r="P1278" s="1590"/>
      <c r="Q1278" s="1859" t="str">
        <f>CHOOSE(2, "6722000004196", "TTL HW")</f>
        <v>TTL HW</v>
      </c>
      <c r="R1278" s="2250">
        <f t="shared" ref="R1278:AC1279" si="2267">SUM(R1282,R1286)</f>
        <v>0</v>
      </c>
      <c r="S1278" s="2247">
        <f t="shared" si="2267"/>
        <v>0</v>
      </c>
      <c r="T1278" s="2247">
        <f t="shared" si="2267"/>
        <v>0</v>
      </c>
      <c r="U1278" s="2247">
        <f t="shared" si="2267"/>
        <v>0</v>
      </c>
      <c r="V1278" s="2247">
        <f t="shared" si="2267"/>
        <v>0</v>
      </c>
      <c r="W1278" s="2247">
        <f t="shared" si="2267"/>
        <v>0</v>
      </c>
      <c r="X1278" s="2247">
        <f t="shared" si="2267"/>
        <v>0</v>
      </c>
      <c r="Y1278" s="2247">
        <f t="shared" si="2267"/>
        <v>0</v>
      </c>
      <c r="Z1278" s="2247">
        <f t="shared" si="2267"/>
        <v>0</v>
      </c>
      <c r="AA1278" s="2247">
        <f t="shared" si="2267"/>
        <v>0</v>
      </c>
      <c r="AB1278" s="2247">
        <f t="shared" si="2267"/>
        <v>0</v>
      </c>
      <c r="AC1278" s="2247">
        <f t="shared" si="2267"/>
        <v>0</v>
      </c>
    </row>
    <row r="1279" spans="1:36" ht="14.5" hidden="1" outlineLevel="1">
      <c r="A1279" s="990">
        <v>1</v>
      </c>
      <c r="B1279" s="990">
        <v>1</v>
      </c>
      <c r="C1279" s="990" t="s">
        <v>863</v>
      </c>
      <c r="D1279" s="1121" t="s">
        <v>887</v>
      </c>
      <c r="E1279" s="1463" t="s">
        <v>1262</v>
      </c>
      <c r="F1279" s="1459"/>
      <c r="I1279" s="1588"/>
      <c r="J1279" s="1590"/>
      <c r="K1279" s="1590"/>
      <c r="L1279" s="1590"/>
      <c r="M1279" s="1590" t="s">
        <v>95</v>
      </c>
      <c r="N1279" s="1590"/>
      <c r="O1279" s="1590"/>
      <c r="P1279" s="1590"/>
      <c r="Q1279" s="1859" t="str">
        <f>CHOOSE(2, "6722000004197", "TTL NH")</f>
        <v>TTL NH</v>
      </c>
      <c r="R1279" s="2250">
        <f>SUM(R1283,R1287)</f>
        <v>0</v>
      </c>
      <c r="S1279" s="2247">
        <f t="shared" si="2267"/>
        <v>0</v>
      </c>
      <c r="T1279" s="2247">
        <f t="shared" si="2267"/>
        <v>0</v>
      </c>
      <c r="U1279" s="2247">
        <f t="shared" si="2267"/>
        <v>0</v>
      </c>
      <c r="V1279" s="2247">
        <f t="shared" si="2267"/>
        <v>0</v>
      </c>
      <c r="W1279" s="2247">
        <f t="shared" si="2267"/>
        <v>0</v>
      </c>
      <c r="X1279" s="2247">
        <f t="shared" si="2267"/>
        <v>0</v>
      </c>
      <c r="Y1279" s="2247">
        <f t="shared" si="2267"/>
        <v>0</v>
      </c>
      <c r="Z1279" s="2247">
        <f t="shared" si="2267"/>
        <v>0</v>
      </c>
      <c r="AA1279" s="2247">
        <f t="shared" si="2267"/>
        <v>0</v>
      </c>
      <c r="AB1279" s="2247">
        <f t="shared" si="2267"/>
        <v>0</v>
      </c>
      <c r="AC1279" s="2247">
        <f t="shared" si="2267"/>
        <v>0</v>
      </c>
    </row>
    <row r="1280" spans="1:36" ht="14.5" hidden="1" outlineLevel="1">
      <c r="A1280" s="990">
        <v>1</v>
      </c>
      <c r="B1280" s="990">
        <v>1</v>
      </c>
      <c r="C1280" s="990" t="s">
        <v>863</v>
      </c>
      <c r="D1280" s="1121" t="s">
        <v>887</v>
      </c>
      <c r="E1280" s="1463" t="s">
        <v>1262</v>
      </c>
      <c r="F1280" s="1459"/>
      <c r="I1280" s="1591"/>
      <c r="J1280" s="1592"/>
      <c r="K1280" s="1592"/>
      <c r="L1280" s="1592"/>
      <c r="M1280" s="1592" t="s">
        <v>945</v>
      </c>
      <c r="N1280" s="1590"/>
      <c r="O1280" s="1590"/>
      <c r="P1280" s="1590"/>
      <c r="Q1280" s="1859" t="str">
        <f>CHOOSE(2, "6722000004198", "TTL Others")</f>
        <v>TTL Others</v>
      </c>
      <c r="R1280" s="2250">
        <f>SUM(R1284,R1288,R1289,R1290)</f>
        <v>0</v>
      </c>
      <c r="S1280" s="2247">
        <f t="shared" ref="S1280:AC1280" si="2268">SUM(S1284,S1288,S1289,S1290)</f>
        <v>0</v>
      </c>
      <c r="T1280" s="2247">
        <f t="shared" si="2268"/>
        <v>0</v>
      </c>
      <c r="U1280" s="2247">
        <f t="shared" si="2268"/>
        <v>0</v>
      </c>
      <c r="V1280" s="2247">
        <f t="shared" si="2268"/>
        <v>0</v>
      </c>
      <c r="W1280" s="2247">
        <f t="shared" si="2268"/>
        <v>0</v>
      </c>
      <c r="X1280" s="2247">
        <f t="shared" si="2268"/>
        <v>0</v>
      </c>
      <c r="Y1280" s="2247">
        <f t="shared" si="2268"/>
        <v>0</v>
      </c>
      <c r="Z1280" s="2247">
        <f t="shared" si="2268"/>
        <v>0</v>
      </c>
      <c r="AA1280" s="2247">
        <f t="shared" si="2268"/>
        <v>0</v>
      </c>
      <c r="AB1280" s="2247">
        <f t="shared" si="2268"/>
        <v>0</v>
      </c>
      <c r="AC1280" s="2247">
        <f t="shared" si="2268"/>
        <v>0</v>
      </c>
    </row>
    <row r="1281" spans="1:36" ht="14.5" hidden="1" outlineLevel="1">
      <c r="A1281" s="990">
        <v>1</v>
      </c>
      <c r="B1281" s="990">
        <v>1</v>
      </c>
      <c r="C1281" s="990" t="s">
        <v>863</v>
      </c>
      <c r="D1281" s="1121" t="s">
        <v>887</v>
      </c>
      <c r="E1281" s="1463" t="s">
        <v>1262</v>
      </c>
      <c r="F1281" s="1459"/>
      <c r="I1281" s="1588" t="s">
        <v>1278</v>
      </c>
      <c r="J1281" s="1594"/>
      <c r="K1281" s="1594"/>
      <c r="L1281" s="1594"/>
      <c r="M1281" s="1589" t="s">
        <v>987</v>
      </c>
      <c r="N1281" s="1589"/>
      <c r="O1281" s="1589"/>
      <c r="P1281" s="1589"/>
      <c r="Q1281" s="1908" t="str">
        <f>CHOOSE(2, "6722000004199", "Office Total")</f>
        <v>Office Total</v>
      </c>
      <c r="R1281" s="2248">
        <f t="shared" ref="R1281:AC1281" si="2269">SUM(R1282,R1283,R1284)</f>
        <v>0</v>
      </c>
      <c r="S1281" s="2248">
        <f t="shared" si="2269"/>
        <v>0</v>
      </c>
      <c r="T1281" s="2248">
        <f t="shared" si="2269"/>
        <v>0</v>
      </c>
      <c r="U1281" s="2248">
        <f t="shared" si="2269"/>
        <v>0</v>
      </c>
      <c r="V1281" s="2248">
        <f t="shared" si="2269"/>
        <v>0</v>
      </c>
      <c r="W1281" s="2248">
        <f t="shared" si="2269"/>
        <v>0</v>
      </c>
      <c r="X1281" s="2248">
        <f t="shared" si="2269"/>
        <v>0</v>
      </c>
      <c r="Y1281" s="2248">
        <f t="shared" si="2269"/>
        <v>0</v>
      </c>
      <c r="Z1281" s="2248">
        <f t="shared" si="2269"/>
        <v>0</v>
      </c>
      <c r="AA1281" s="2248">
        <f t="shared" si="2269"/>
        <v>0</v>
      </c>
      <c r="AB1281" s="2248">
        <f t="shared" si="2269"/>
        <v>0</v>
      </c>
      <c r="AC1281" s="2248">
        <f t="shared" si="2269"/>
        <v>0</v>
      </c>
    </row>
    <row r="1282" spans="1:36" ht="14.5" hidden="1" outlineLevel="1">
      <c r="A1282" s="990">
        <v>1</v>
      </c>
      <c r="B1282" s="990">
        <v>1</v>
      </c>
      <c r="C1282" s="990" t="s">
        <v>863</v>
      </c>
      <c r="D1282" s="1121" t="s">
        <v>887</v>
      </c>
      <c r="E1282" s="1463" t="s">
        <v>1262</v>
      </c>
      <c r="F1282" s="1459"/>
      <c r="I1282" s="1588"/>
      <c r="J1282" s="1590"/>
      <c r="K1282" s="1590"/>
      <c r="L1282" s="1590"/>
      <c r="M1282" s="1590" t="s">
        <v>137</v>
      </c>
      <c r="N1282" s="1590"/>
      <c r="O1282" s="1590"/>
      <c r="P1282" s="1590"/>
      <c r="Q1282" s="1909" t="str">
        <f>CHOOSE(2, "6722000004200", "Office HW")</f>
        <v>Office HW</v>
      </c>
      <c r="R1282" s="2577">
        <v>0</v>
      </c>
      <c r="S1282" s="2578">
        <v>0</v>
      </c>
      <c r="T1282" s="2578">
        <v>0</v>
      </c>
      <c r="U1282" s="2578">
        <v>0</v>
      </c>
      <c r="V1282" s="2578">
        <v>0</v>
      </c>
      <c r="W1282" s="2578">
        <v>0</v>
      </c>
      <c r="X1282" s="2578">
        <v>0</v>
      </c>
      <c r="Y1282" s="2578">
        <v>0</v>
      </c>
      <c r="Z1282" s="2578">
        <v>0</v>
      </c>
      <c r="AA1282" s="2578">
        <v>0</v>
      </c>
      <c r="AB1282" s="2578">
        <v>0</v>
      </c>
      <c r="AC1282" s="2578">
        <v>0</v>
      </c>
    </row>
    <row r="1283" spans="1:36" ht="14.5" hidden="1" outlineLevel="1">
      <c r="A1283" s="990">
        <v>1</v>
      </c>
      <c r="B1283" s="990">
        <v>1</v>
      </c>
      <c r="C1283" s="990" t="s">
        <v>863</v>
      </c>
      <c r="D1283" s="1121" t="s">
        <v>887</v>
      </c>
      <c r="E1283" s="1463" t="s">
        <v>1262</v>
      </c>
      <c r="F1283" s="1459"/>
      <c r="I1283" s="1588"/>
      <c r="J1283" s="1590"/>
      <c r="K1283" s="1590"/>
      <c r="L1283" s="1590"/>
      <c r="M1283" s="1590" t="s">
        <v>95</v>
      </c>
      <c r="N1283" s="1590"/>
      <c r="O1283" s="1590"/>
      <c r="P1283" s="1590"/>
      <c r="Q1283" s="1909" t="str">
        <f>CHOOSE(2, "6722000004201", "Office NH")</f>
        <v>Office NH</v>
      </c>
      <c r="R1283" s="2577">
        <v>0</v>
      </c>
      <c r="S1283" s="2578">
        <v>0</v>
      </c>
      <c r="T1283" s="2578">
        <v>0</v>
      </c>
      <c r="U1283" s="2578">
        <v>0</v>
      </c>
      <c r="V1283" s="2578">
        <v>0</v>
      </c>
      <c r="W1283" s="2578">
        <v>0</v>
      </c>
      <c r="X1283" s="2578">
        <v>0</v>
      </c>
      <c r="Y1283" s="2578">
        <v>0</v>
      </c>
      <c r="Z1283" s="2578">
        <v>0</v>
      </c>
      <c r="AA1283" s="2578">
        <v>0</v>
      </c>
      <c r="AB1283" s="2578">
        <v>0</v>
      </c>
      <c r="AC1283" s="2578">
        <v>0</v>
      </c>
    </row>
    <row r="1284" spans="1:36" ht="14.5" hidden="1" outlineLevel="1">
      <c r="A1284" s="990">
        <v>1</v>
      </c>
      <c r="B1284" s="990">
        <v>1</v>
      </c>
      <c r="C1284" s="990" t="s">
        <v>863</v>
      </c>
      <c r="D1284" s="1121" t="s">
        <v>887</v>
      </c>
      <c r="E1284" s="1463" t="s">
        <v>1262</v>
      </c>
      <c r="F1284" s="1459"/>
      <c r="I1284" s="1591"/>
      <c r="J1284" s="1592"/>
      <c r="K1284" s="1592"/>
      <c r="L1284" s="1592"/>
      <c r="M1284" s="1592" t="s">
        <v>945</v>
      </c>
      <c r="N1284" s="1590"/>
      <c r="O1284" s="1590"/>
      <c r="P1284" s="1590"/>
      <c r="Q1284" s="1909" t="str">
        <f>CHOOSE(2, "6722000004202", "Office Others")</f>
        <v>Office Others</v>
      </c>
      <c r="R1284" s="2577">
        <v>0</v>
      </c>
      <c r="S1284" s="2578">
        <v>0</v>
      </c>
      <c r="T1284" s="2578">
        <v>0</v>
      </c>
      <c r="U1284" s="2578">
        <v>0</v>
      </c>
      <c r="V1284" s="2578">
        <v>0</v>
      </c>
      <c r="W1284" s="2578">
        <v>0</v>
      </c>
      <c r="X1284" s="2578">
        <v>0</v>
      </c>
      <c r="Y1284" s="2578">
        <v>0</v>
      </c>
      <c r="Z1284" s="2578">
        <v>0</v>
      </c>
      <c r="AA1284" s="2578">
        <v>0</v>
      </c>
      <c r="AB1284" s="2578">
        <v>0</v>
      </c>
      <c r="AC1284" s="2578">
        <v>0</v>
      </c>
    </row>
    <row r="1285" spans="1:36" ht="14.5" hidden="1" outlineLevel="1">
      <c r="A1285" s="990">
        <v>1</v>
      </c>
      <c r="B1285" s="990">
        <v>1</v>
      </c>
      <c r="C1285" s="990" t="s">
        <v>863</v>
      </c>
      <c r="D1285" s="1121" t="s">
        <v>887</v>
      </c>
      <c r="E1285" s="1463" t="s">
        <v>1262</v>
      </c>
      <c r="F1285" s="1459"/>
      <c r="I1285" s="1588" t="s">
        <v>1279</v>
      </c>
      <c r="J1285" s="1594"/>
      <c r="K1285" s="1594"/>
      <c r="L1285" s="1594"/>
      <c r="M1285" s="1589" t="s">
        <v>987</v>
      </c>
      <c r="N1285" s="1589"/>
      <c r="O1285" s="1589"/>
      <c r="P1285" s="1589"/>
      <c r="Q1285" s="1908" t="str">
        <f>CHOOSE(2, "6722000004203", "PP Total")</f>
        <v>PP Total</v>
      </c>
      <c r="R1285" s="2248">
        <f t="shared" ref="R1285:AC1285" si="2270">SUM(R1286,R1287,R1288)</f>
        <v>0</v>
      </c>
      <c r="S1285" s="2248">
        <f t="shared" si="2270"/>
        <v>0</v>
      </c>
      <c r="T1285" s="2248">
        <f t="shared" si="2270"/>
        <v>0</v>
      </c>
      <c r="U1285" s="2248">
        <f t="shared" si="2270"/>
        <v>0</v>
      </c>
      <c r="V1285" s="2248">
        <f t="shared" si="2270"/>
        <v>0</v>
      </c>
      <c r="W1285" s="2248">
        <f t="shared" si="2270"/>
        <v>0</v>
      </c>
      <c r="X1285" s="2248">
        <f t="shared" si="2270"/>
        <v>0</v>
      </c>
      <c r="Y1285" s="2248">
        <f t="shared" si="2270"/>
        <v>0</v>
      </c>
      <c r="Z1285" s="2248">
        <f t="shared" si="2270"/>
        <v>0</v>
      </c>
      <c r="AA1285" s="2248">
        <f t="shared" si="2270"/>
        <v>0</v>
      </c>
      <c r="AB1285" s="2248">
        <f t="shared" si="2270"/>
        <v>0</v>
      </c>
      <c r="AC1285" s="2248">
        <f t="shared" si="2270"/>
        <v>0</v>
      </c>
    </row>
    <row r="1286" spans="1:36" ht="14.5" hidden="1" outlineLevel="1">
      <c r="A1286" s="990">
        <v>1</v>
      </c>
      <c r="B1286" s="990">
        <v>1</v>
      </c>
      <c r="C1286" s="990" t="s">
        <v>863</v>
      </c>
      <c r="D1286" s="1121" t="s">
        <v>887</v>
      </c>
      <c r="E1286" s="1463" t="s">
        <v>1262</v>
      </c>
      <c r="F1286" s="1459"/>
      <c r="I1286" s="1588"/>
      <c r="J1286" s="1590"/>
      <c r="K1286" s="1590"/>
      <c r="L1286" s="1590"/>
      <c r="M1286" s="1590" t="s">
        <v>137</v>
      </c>
      <c r="N1286" s="1590"/>
      <c r="O1286" s="1590"/>
      <c r="P1286" s="1590"/>
      <c r="Q1286" s="1909" t="str">
        <f>CHOOSE(2, "6722000004204", "PP HW")</f>
        <v>PP HW</v>
      </c>
      <c r="R1286" s="2577">
        <v>0</v>
      </c>
      <c r="S1286" s="2578">
        <v>0</v>
      </c>
      <c r="T1286" s="2578">
        <v>0</v>
      </c>
      <c r="U1286" s="2578">
        <v>0</v>
      </c>
      <c r="V1286" s="2578">
        <v>0</v>
      </c>
      <c r="W1286" s="2578">
        <v>0</v>
      </c>
      <c r="X1286" s="2578">
        <v>0</v>
      </c>
      <c r="Y1286" s="2578">
        <v>0</v>
      </c>
      <c r="Z1286" s="2578">
        <v>0</v>
      </c>
      <c r="AA1286" s="2578">
        <v>0</v>
      </c>
      <c r="AB1286" s="2578">
        <v>0</v>
      </c>
      <c r="AC1286" s="2578">
        <v>0</v>
      </c>
    </row>
    <row r="1287" spans="1:36" ht="14.5" hidden="1" outlineLevel="1">
      <c r="A1287" s="990">
        <v>1</v>
      </c>
      <c r="B1287" s="990">
        <v>1</v>
      </c>
      <c r="C1287" s="990" t="s">
        <v>863</v>
      </c>
      <c r="D1287" s="1121" t="s">
        <v>887</v>
      </c>
      <c r="E1287" s="1463" t="s">
        <v>1262</v>
      </c>
      <c r="F1287" s="1459"/>
      <c r="I1287" s="1588"/>
      <c r="J1287" s="1590"/>
      <c r="K1287" s="1590"/>
      <c r="L1287" s="1590"/>
      <c r="M1287" s="1590" t="s">
        <v>95</v>
      </c>
      <c r="N1287" s="1590"/>
      <c r="O1287" s="1590"/>
      <c r="P1287" s="1590"/>
      <c r="Q1287" s="1909" t="str">
        <f>CHOOSE(2, "6722000004205", "PP NH")</f>
        <v>PP NH</v>
      </c>
      <c r="R1287" s="2577">
        <v>0</v>
      </c>
      <c r="S1287" s="2578">
        <v>0</v>
      </c>
      <c r="T1287" s="2578">
        <v>0</v>
      </c>
      <c r="U1287" s="2578">
        <v>0</v>
      </c>
      <c r="V1287" s="2578">
        <v>0</v>
      </c>
      <c r="W1287" s="2578">
        <v>0</v>
      </c>
      <c r="X1287" s="2578">
        <v>0</v>
      </c>
      <c r="Y1287" s="2578">
        <v>0</v>
      </c>
      <c r="Z1287" s="2578">
        <v>0</v>
      </c>
      <c r="AA1287" s="2578">
        <v>0</v>
      </c>
      <c r="AB1287" s="2578">
        <v>0</v>
      </c>
      <c r="AC1287" s="2578">
        <v>0</v>
      </c>
    </row>
    <row r="1288" spans="1:36" ht="14.5" hidden="1" outlineLevel="1">
      <c r="A1288" s="990">
        <v>1</v>
      </c>
      <c r="B1288" s="990">
        <v>1</v>
      </c>
      <c r="C1288" s="990" t="s">
        <v>863</v>
      </c>
      <c r="D1288" s="1121" t="s">
        <v>887</v>
      </c>
      <c r="E1288" s="1463" t="s">
        <v>1262</v>
      </c>
      <c r="F1288" s="1459"/>
      <c r="I1288" s="1591"/>
      <c r="J1288" s="1592"/>
      <c r="K1288" s="1592"/>
      <c r="L1288" s="1592"/>
      <c r="M1288" s="1592" t="s">
        <v>945</v>
      </c>
      <c r="N1288" s="1592"/>
      <c r="O1288" s="1592"/>
      <c r="P1288" s="1592"/>
      <c r="Q1288" s="1909" t="str">
        <f>CHOOSE(2, "6722000004206", "PP Others")</f>
        <v>PP Others</v>
      </c>
      <c r="R1288" s="2577">
        <v>0</v>
      </c>
      <c r="S1288" s="2578">
        <v>0</v>
      </c>
      <c r="T1288" s="2578">
        <v>0</v>
      </c>
      <c r="U1288" s="2578">
        <v>0</v>
      </c>
      <c r="V1288" s="2578">
        <v>0</v>
      </c>
      <c r="W1288" s="2578">
        <v>0</v>
      </c>
      <c r="X1288" s="2578">
        <v>0</v>
      </c>
      <c r="Y1288" s="2578">
        <v>0</v>
      </c>
      <c r="Z1288" s="2578">
        <v>0</v>
      </c>
      <c r="AA1288" s="2578">
        <v>0</v>
      </c>
      <c r="AB1288" s="2578">
        <v>0</v>
      </c>
      <c r="AC1288" s="2578">
        <v>0</v>
      </c>
    </row>
    <row r="1289" spans="1:36" ht="14.5" hidden="1" outlineLevel="1">
      <c r="A1289" s="990">
        <v>1</v>
      </c>
      <c r="B1289" s="990">
        <v>1</v>
      </c>
      <c r="C1289" s="990" t="s">
        <v>863</v>
      </c>
      <c r="D1289" s="1121" t="s">
        <v>887</v>
      </c>
      <c r="E1289" s="1463" t="s">
        <v>1262</v>
      </c>
      <c r="F1289" s="1459"/>
      <c r="I1289" s="1591" t="s">
        <v>1280</v>
      </c>
      <c r="J1289" s="1593"/>
      <c r="K1289" s="1593"/>
      <c r="L1289" s="1593"/>
      <c r="M1289" s="1593" t="s">
        <v>987</v>
      </c>
      <c r="N1289" s="1593"/>
      <c r="O1289" s="1593"/>
      <c r="P1289" s="1593"/>
      <c r="Q1289" s="1909" t="str">
        <f>CHOOSE(2, "6722000004207", "DW-DX Total")</f>
        <v>DW-DX Total</v>
      </c>
      <c r="R1289" s="2579">
        <v>0</v>
      </c>
      <c r="S1289" s="2580">
        <v>0</v>
      </c>
      <c r="T1289" s="2580">
        <v>0</v>
      </c>
      <c r="U1289" s="2580">
        <v>0</v>
      </c>
      <c r="V1289" s="2580">
        <v>0</v>
      </c>
      <c r="W1289" s="2580">
        <v>0</v>
      </c>
      <c r="X1289" s="2580">
        <v>0</v>
      </c>
      <c r="Y1289" s="2580">
        <v>0</v>
      </c>
      <c r="Z1289" s="2580">
        <v>0</v>
      </c>
      <c r="AA1289" s="2580">
        <v>0</v>
      </c>
      <c r="AB1289" s="2580">
        <v>0</v>
      </c>
      <c r="AC1289" s="2580">
        <v>0</v>
      </c>
    </row>
    <row r="1290" spans="1:36" ht="14.5" hidden="1" outlineLevel="1">
      <c r="A1290" s="990">
        <v>1</v>
      </c>
      <c r="B1290" s="990">
        <v>1</v>
      </c>
      <c r="C1290" s="990" t="s">
        <v>863</v>
      </c>
      <c r="D1290" s="1121" t="s">
        <v>887</v>
      </c>
      <c r="E1290" s="1463" t="s">
        <v>1262</v>
      </c>
      <c r="F1290" s="1459"/>
      <c r="I1290" s="1591" t="s">
        <v>1281</v>
      </c>
      <c r="J1290" s="1593"/>
      <c r="K1290" s="1593"/>
      <c r="L1290" s="1593"/>
      <c r="M1290" s="1593" t="s">
        <v>987</v>
      </c>
      <c r="N1290" s="1593"/>
      <c r="O1290" s="1593"/>
      <c r="P1290" s="1593"/>
      <c r="Q1290" s="1909" t="str">
        <f>CHOOSE(2, "6722000004208", "IP Total")</f>
        <v>IP Total</v>
      </c>
      <c r="R1290" s="2581">
        <v>0</v>
      </c>
      <c r="S1290" s="2582">
        <v>0</v>
      </c>
      <c r="T1290" s="2582">
        <v>0</v>
      </c>
      <c r="U1290" s="2582">
        <v>0</v>
      </c>
      <c r="V1290" s="2582">
        <v>0</v>
      </c>
      <c r="W1290" s="2582">
        <v>0</v>
      </c>
      <c r="X1290" s="2582">
        <v>0</v>
      </c>
      <c r="Y1290" s="2582">
        <v>0</v>
      </c>
      <c r="Z1290" s="2582">
        <v>0</v>
      </c>
      <c r="AA1290" s="2582">
        <v>0</v>
      </c>
      <c r="AB1290" s="2582">
        <v>0</v>
      </c>
      <c r="AC1290" s="2582">
        <v>0</v>
      </c>
    </row>
    <row r="1291" spans="1:36" ht="14.5" collapsed="1">
      <c r="A1291" s="990">
        <v>1</v>
      </c>
      <c r="B1291" s="990">
        <v>1</v>
      </c>
      <c r="C1291" s="990" t="s">
        <v>863</v>
      </c>
      <c r="D1291" s="1121" t="s">
        <v>887</v>
      </c>
      <c r="E1291" s="1243">
        <v>1</v>
      </c>
      <c r="Q1291" s="1838" t="str">
        <f>CHOOSE(2, "6722000004209", "▷ Blank 52")</f>
        <v>▷ Blank 52</v>
      </c>
      <c r="AB1291" s="2812"/>
    </row>
    <row r="1292" spans="1:36" ht="25">
      <c r="A1292" s="990">
        <v>1</v>
      </c>
      <c r="B1292" s="990">
        <v>1</v>
      </c>
      <c r="C1292" s="990" t="s">
        <v>863</v>
      </c>
      <c r="D1292" s="1121" t="s">
        <v>887</v>
      </c>
      <c r="E1292" s="1243">
        <v>1</v>
      </c>
      <c r="F1292" s="60" t="s">
        <v>1378</v>
      </c>
      <c r="G1292" s="60"/>
      <c r="H1292" s="59"/>
      <c r="I1292" s="5"/>
      <c r="J1292" s="4"/>
      <c r="K1292" s="39"/>
      <c r="L1292" s="39"/>
      <c r="M1292" s="40"/>
      <c r="N1292" s="40"/>
      <c r="O1292" s="40"/>
      <c r="P1292" s="40"/>
      <c r="Q1292" s="1910" t="str">
        <f>CHOOSE(2, "6722000004210", "9. Other segments: BIC, IIS(Mobotix and DM)")</f>
        <v>9. Other segments: BIC, IIS(Mobotix and DM)</v>
      </c>
      <c r="R1292" s="2801"/>
      <c r="AD1292" s="187"/>
    </row>
    <row r="1293" spans="1:36" ht="14.5">
      <c r="A1293" s="990">
        <v>1</v>
      </c>
      <c r="B1293" s="990">
        <v>1</v>
      </c>
      <c r="C1293" s="990" t="s">
        <v>863</v>
      </c>
      <c r="D1293" s="1121" t="s">
        <v>887</v>
      </c>
      <c r="E1293" s="1463" t="s">
        <v>1262</v>
      </c>
      <c r="F1293" s="1459"/>
      <c r="G1293" s="93" t="s">
        <v>1372</v>
      </c>
      <c r="H1293" s="93"/>
      <c r="I1293" s="39"/>
      <c r="J1293" s="40"/>
      <c r="K1293" s="39"/>
      <c r="L1293" s="39"/>
      <c r="M1293" s="40"/>
      <c r="N1293" s="40"/>
      <c r="O1293" s="40"/>
      <c r="P1293" s="40"/>
      <c r="Q1293" s="1839" t="str">
        <f>CHOOSE(2, "6722000004211", "9-1. P/L: BT + BIC +IIS")</f>
        <v>9-1. P/L: BT + BIC +IIS</v>
      </c>
      <c r="R1293" s="2175">
        <f t="shared" ref="R1293:AC1293" si="2271">R13</f>
        <v>44652</v>
      </c>
      <c r="S1293" s="2175">
        <f t="shared" si="2271"/>
        <v>44682</v>
      </c>
      <c r="T1293" s="2175">
        <f t="shared" si="2271"/>
        <v>44713</v>
      </c>
      <c r="U1293" s="2175">
        <f t="shared" si="2271"/>
        <v>44743</v>
      </c>
      <c r="V1293" s="2175">
        <f t="shared" si="2271"/>
        <v>44774</v>
      </c>
      <c r="W1293" s="2175">
        <f t="shared" si="2271"/>
        <v>44805</v>
      </c>
      <c r="X1293" s="2175">
        <f t="shared" si="2271"/>
        <v>44835</v>
      </c>
      <c r="Y1293" s="2175">
        <f t="shared" si="2271"/>
        <v>44866</v>
      </c>
      <c r="Z1293" s="2175">
        <f t="shared" si="2271"/>
        <v>44896</v>
      </c>
      <c r="AA1293" s="2175">
        <f t="shared" si="2271"/>
        <v>44927</v>
      </c>
      <c r="AB1293" s="2175">
        <f t="shared" si="2271"/>
        <v>44958</v>
      </c>
      <c r="AC1293" s="2175">
        <f t="shared" si="2271"/>
        <v>44986</v>
      </c>
      <c r="AD1293" s="26" t="str">
        <f t="shared" ref="AD1293:AJ1293" si="2272">AD13</f>
        <v>Q1</v>
      </c>
      <c r="AE1293" s="26" t="str">
        <f t="shared" si="2272"/>
        <v>Q2</v>
      </c>
      <c r="AF1293" s="26" t="str">
        <f t="shared" si="2272"/>
        <v>Q3</v>
      </c>
      <c r="AG1293" s="26" t="str">
        <f t="shared" si="2272"/>
        <v>Q4</v>
      </c>
      <c r="AH1293" s="26" t="str">
        <f t="shared" si="2272"/>
        <v>1st H</v>
      </c>
      <c r="AI1293" s="26" t="str">
        <f t="shared" si="2272"/>
        <v>2nd H</v>
      </c>
      <c r="AJ1293" s="26" t="str">
        <f t="shared" si="2272"/>
        <v>Yr.</v>
      </c>
    </row>
    <row r="1294" spans="1:36" ht="14.5">
      <c r="A1294" s="990">
        <v>1</v>
      </c>
      <c r="B1294" s="990">
        <v>1</v>
      </c>
      <c r="C1294" s="990" t="s">
        <v>863</v>
      </c>
      <c r="D1294" s="1121" t="s">
        <v>887</v>
      </c>
      <c r="E1294" s="1463" t="s">
        <v>1262</v>
      </c>
      <c r="F1294" s="1459"/>
      <c r="G1294" s="257" t="s">
        <v>94</v>
      </c>
      <c r="H1294" s="257" t="s">
        <v>99</v>
      </c>
      <c r="I1294" s="172" t="s">
        <v>9</v>
      </c>
      <c r="J1294" s="167"/>
      <c r="K1294" s="167"/>
      <c r="L1294" s="167"/>
      <c r="M1294" s="167"/>
      <c r="N1294" s="167"/>
      <c r="O1294" s="167"/>
      <c r="P1294" s="166"/>
      <c r="Q1294" s="1840" t="str">
        <f>CHOOSE(2, "6722000004212", "Other Seg PL Net Sales")</f>
        <v>Other Seg PL Net Sales</v>
      </c>
      <c r="R1294" s="2101">
        <f t="shared" ref="R1294:AC1294" si="2273">R14+R1320+R1336</f>
        <v>649488</v>
      </c>
      <c r="S1294" s="2101">
        <f t="shared" si="2273"/>
        <v>658045</v>
      </c>
      <c r="T1294" s="2101">
        <f t="shared" si="2273"/>
        <v>693011</v>
      </c>
      <c r="U1294" s="2101">
        <f t="shared" si="2273"/>
        <v>710259</v>
      </c>
      <c r="V1294" s="2101">
        <f t="shared" si="2273"/>
        <v>828434.83701000002</v>
      </c>
      <c r="W1294" s="2101">
        <f t="shared" si="2273"/>
        <v>712918</v>
      </c>
      <c r="X1294" s="2101">
        <f t="shared" si="2273"/>
        <v>873355</v>
      </c>
      <c r="Y1294" s="2101">
        <f t="shared" si="2273"/>
        <v>798443</v>
      </c>
      <c r="Z1294" s="2101">
        <f t="shared" si="2273"/>
        <v>855775</v>
      </c>
      <c r="AA1294" s="2101">
        <f t="shared" si="2273"/>
        <v>836292</v>
      </c>
      <c r="AB1294" s="2101">
        <f t="shared" si="2273"/>
        <v>872391.62631000008</v>
      </c>
      <c r="AC1294" s="2101">
        <f t="shared" si="2273"/>
        <v>767045</v>
      </c>
      <c r="AD1294" s="170">
        <f>SUM(R1294,S1294,T1294)</f>
        <v>2000544</v>
      </c>
      <c r="AE1294" s="170">
        <f>SUM(U1294,V1294,W1294)</f>
        <v>2251611.8370099999</v>
      </c>
      <c r="AF1294" s="170">
        <f>SUM(X1294,Y1294,Z1294)</f>
        <v>2527573</v>
      </c>
      <c r="AG1294" s="170">
        <f>SUM(AA1294,AB1294,AC1294)</f>
        <v>2475728.6263100002</v>
      </c>
      <c r="AH1294" s="170">
        <f>AD1294+AE1294</f>
        <v>4252155.8370099999</v>
      </c>
      <c r="AI1294" s="170">
        <f>AG1294+AF1294</f>
        <v>5003301.6263100002</v>
      </c>
      <c r="AJ1294" s="170">
        <f>AH1294+AI1294</f>
        <v>9255457.4633200001</v>
      </c>
    </row>
    <row r="1295" spans="1:36" ht="14.5">
      <c r="A1295" s="990">
        <v>1</v>
      </c>
      <c r="B1295" s="990">
        <v>1</v>
      </c>
      <c r="C1295" s="990" t="s">
        <v>863</v>
      </c>
      <c r="D1295" s="1121" t="s">
        <v>887</v>
      </c>
      <c r="E1295" s="1463" t="s">
        <v>1262</v>
      </c>
      <c r="F1295" s="1459"/>
      <c r="G1295" s="257" t="s">
        <v>94</v>
      </c>
      <c r="H1295" s="257" t="s">
        <v>99</v>
      </c>
      <c r="I1295" s="668" t="s">
        <v>680</v>
      </c>
      <c r="J1295" s="669"/>
      <c r="K1295" s="669"/>
      <c r="L1295" s="669"/>
      <c r="M1295" s="670" t="s">
        <v>679</v>
      </c>
      <c r="N1295" s="669"/>
      <c r="O1295" s="669"/>
      <c r="P1295" s="671"/>
      <c r="Q1295" s="1840" t="str">
        <f>CHOOSE(2, "6722000004213", "Other Seg PL Consolidated Sales")</f>
        <v>Other Seg PL Consolidated Sales</v>
      </c>
      <c r="R1295" s="2101">
        <f t="shared" ref="R1295:AC1295" si="2274">R15+R1321+R1351</f>
        <v>648306</v>
      </c>
      <c r="S1295" s="2101">
        <f t="shared" si="2274"/>
        <v>658045</v>
      </c>
      <c r="T1295" s="2101">
        <f t="shared" si="2274"/>
        <v>693011</v>
      </c>
      <c r="U1295" s="2101">
        <f t="shared" si="2274"/>
        <v>707090</v>
      </c>
      <c r="V1295" s="2101">
        <f t="shared" si="2274"/>
        <v>828434.59600999998</v>
      </c>
      <c r="W1295" s="2101">
        <f t="shared" si="2274"/>
        <v>712918</v>
      </c>
      <c r="X1295" s="2101">
        <f t="shared" si="2274"/>
        <v>873355</v>
      </c>
      <c r="Y1295" s="2101">
        <f t="shared" si="2274"/>
        <v>798443</v>
      </c>
      <c r="Z1295" s="2101">
        <f t="shared" si="2274"/>
        <v>855775</v>
      </c>
      <c r="AA1295" s="2101">
        <f t="shared" si="2274"/>
        <v>836292</v>
      </c>
      <c r="AB1295" s="2101">
        <f t="shared" si="2274"/>
        <v>872391.62631000008</v>
      </c>
      <c r="AC1295" s="2101">
        <f t="shared" si="2274"/>
        <v>767045</v>
      </c>
      <c r="AD1295" s="672">
        <f>SUM(R1295,S1295,T1295)</f>
        <v>1999362</v>
      </c>
      <c r="AE1295" s="672">
        <f>SUM(U1295,V1295,W1295)</f>
        <v>2248442.59601</v>
      </c>
      <c r="AF1295" s="672">
        <f>SUM(X1295,Y1295,Z1295)</f>
        <v>2527573</v>
      </c>
      <c r="AG1295" s="672">
        <f>SUM(AA1295,AB1295,AC1295)</f>
        <v>2475728.6263100002</v>
      </c>
      <c r="AH1295" s="672">
        <f>AD1295+AE1295</f>
        <v>4247804.5960099995</v>
      </c>
      <c r="AI1295" s="672">
        <f>AG1295+AF1295</f>
        <v>5003301.6263100002</v>
      </c>
      <c r="AJ1295" s="672">
        <f>AH1295+AI1295</f>
        <v>9251106.2223199997</v>
      </c>
    </row>
    <row r="1296" spans="1:36" ht="14.5">
      <c r="A1296" s="990">
        <v>1</v>
      </c>
      <c r="B1296" s="990">
        <v>1</v>
      </c>
      <c r="C1296" s="990" t="s">
        <v>863</v>
      </c>
      <c r="D1296" s="1121" t="s">
        <v>887</v>
      </c>
      <c r="E1296" s="1463" t="s">
        <v>1262</v>
      </c>
      <c r="F1296" s="1459"/>
      <c r="G1296" s="257" t="s">
        <v>94</v>
      </c>
      <c r="H1296" s="257" t="s">
        <v>99</v>
      </c>
      <c r="I1296" s="258" t="s">
        <v>106</v>
      </c>
      <c r="J1296" s="56"/>
      <c r="K1296" s="57"/>
      <c r="L1296" s="57"/>
      <c r="M1296" s="56"/>
      <c r="N1296" s="56"/>
      <c r="O1296" s="56"/>
      <c r="P1296" s="117"/>
      <c r="Q1296" s="1851" t="str">
        <f>CHOOSE(2, "6722000004214", "Other Seg PL Cost of Sales")</f>
        <v>Other Seg PL Cost of Sales</v>
      </c>
      <c r="R1296" s="2120">
        <f t="shared" ref="R1296:AC1296" si="2275">R1294-R1297</f>
        <v>442575</v>
      </c>
      <c r="S1296" s="2120">
        <f t="shared" si="2275"/>
        <v>466102</v>
      </c>
      <c r="T1296" s="2120">
        <f t="shared" si="2275"/>
        <v>469859</v>
      </c>
      <c r="U1296" s="2120">
        <f t="shared" si="2275"/>
        <v>474440</v>
      </c>
      <c r="V1296" s="2120">
        <f t="shared" si="2275"/>
        <v>550127.10236775922</v>
      </c>
      <c r="W1296" s="2120">
        <f t="shared" si="2275"/>
        <v>521893.35098852334</v>
      </c>
      <c r="X1296" s="2120">
        <f t="shared" si="2275"/>
        <v>562621.74800000002</v>
      </c>
      <c r="Y1296" s="2120">
        <f t="shared" si="2275"/>
        <v>540902</v>
      </c>
      <c r="Z1296" s="2120">
        <f t="shared" si="2275"/>
        <v>599277</v>
      </c>
      <c r="AA1296" s="2120">
        <f t="shared" si="2275"/>
        <v>542884</v>
      </c>
      <c r="AB1296" s="2120">
        <f t="shared" si="2275"/>
        <v>613193.7667304168</v>
      </c>
      <c r="AC1296" s="2120">
        <f t="shared" si="2275"/>
        <v>594151</v>
      </c>
      <c r="AD1296" s="62">
        <f>SUM(R1296,S1296,T1296)</f>
        <v>1378536</v>
      </c>
      <c r="AE1296" s="62">
        <f>SUM(U1296,V1296,W1296)</f>
        <v>1546460.4533562826</v>
      </c>
      <c r="AF1296" s="62">
        <f>SUM(X1296,Y1296,Z1296)</f>
        <v>1702800.7480000001</v>
      </c>
      <c r="AG1296" s="62">
        <f>SUM(AA1296,AB1296,AC1296)</f>
        <v>1750228.7667304168</v>
      </c>
      <c r="AH1296" s="62">
        <f>AD1296+AE1296</f>
        <v>2924996.4533562828</v>
      </c>
      <c r="AI1296" s="62">
        <f>AG1296+AF1296</f>
        <v>3453029.5147304172</v>
      </c>
      <c r="AJ1296" s="62">
        <f>AH1296+AI1296</f>
        <v>6378025.9680867</v>
      </c>
    </row>
    <row r="1297" spans="1:36" ht="14.5">
      <c r="A1297" s="990">
        <v>1</v>
      </c>
      <c r="B1297" s="990">
        <v>1</v>
      </c>
      <c r="C1297" s="990" t="s">
        <v>863</v>
      </c>
      <c r="D1297" s="1121" t="s">
        <v>887</v>
      </c>
      <c r="E1297" s="1463" t="s">
        <v>1262</v>
      </c>
      <c r="F1297" s="1459"/>
      <c r="G1297" s="257" t="s">
        <v>94</v>
      </c>
      <c r="H1297" s="257" t="s">
        <v>99</v>
      </c>
      <c r="I1297" s="259" t="s">
        <v>134</v>
      </c>
      <c r="J1297" s="182"/>
      <c r="K1297" s="182"/>
      <c r="L1297" s="182"/>
      <c r="M1297" s="182"/>
      <c r="N1297" s="182"/>
      <c r="O1297" s="182"/>
      <c r="P1297" s="181"/>
      <c r="Q1297" s="1840" t="str">
        <f>CHOOSE(2, "6722000004215", "Other Seg PL Gross Profit")</f>
        <v>Other Seg PL Gross Profit</v>
      </c>
      <c r="R1297" s="2117">
        <f t="shared" ref="R1297:AC1297" si="2276">R17+R1322+R1366</f>
        <v>206913</v>
      </c>
      <c r="S1297" s="2117">
        <f t="shared" si="2276"/>
        <v>191943</v>
      </c>
      <c r="T1297" s="2117">
        <f t="shared" si="2276"/>
        <v>223152</v>
      </c>
      <c r="U1297" s="2117">
        <f t="shared" si="2276"/>
        <v>235819</v>
      </c>
      <c r="V1297" s="2117">
        <f t="shared" si="2276"/>
        <v>278307.73464224086</v>
      </c>
      <c r="W1297" s="2117">
        <f t="shared" si="2276"/>
        <v>191024.64901147669</v>
      </c>
      <c r="X1297" s="2117">
        <f t="shared" si="2276"/>
        <v>310733.25199999998</v>
      </c>
      <c r="Y1297" s="2117">
        <f t="shared" si="2276"/>
        <v>257541</v>
      </c>
      <c r="Z1297" s="2117">
        <f t="shared" si="2276"/>
        <v>256498</v>
      </c>
      <c r="AA1297" s="2117">
        <f t="shared" si="2276"/>
        <v>293408</v>
      </c>
      <c r="AB1297" s="2117">
        <f t="shared" si="2276"/>
        <v>259197.85957958334</v>
      </c>
      <c r="AC1297" s="2117">
        <f t="shared" si="2276"/>
        <v>172894</v>
      </c>
      <c r="AD1297" s="180">
        <f>SUM(R1297,S1297,T1297)</f>
        <v>622008</v>
      </c>
      <c r="AE1297" s="180">
        <f>SUM(U1297,V1297,W1297)</f>
        <v>705151.38365371758</v>
      </c>
      <c r="AF1297" s="180">
        <f>SUM(X1297,Y1297,Z1297)</f>
        <v>824772.25199999998</v>
      </c>
      <c r="AG1297" s="180">
        <f>SUM(AA1297,AB1297,AC1297)</f>
        <v>725499.8595795834</v>
      </c>
      <c r="AH1297" s="180">
        <f>AD1297+AE1297</f>
        <v>1327159.3836537176</v>
      </c>
      <c r="AI1297" s="180">
        <f>AG1297+AF1297</f>
        <v>1550272.1115795835</v>
      </c>
      <c r="AJ1297" s="180">
        <f>AH1297+AI1297</f>
        <v>2877431.4952333011</v>
      </c>
    </row>
    <row r="1298" spans="1:36" ht="14.5">
      <c r="A1298" s="990">
        <v>1</v>
      </c>
      <c r="B1298" s="990">
        <v>1</v>
      </c>
      <c r="C1298" s="990" t="s">
        <v>863</v>
      </c>
      <c r="D1298" s="1121" t="s">
        <v>887</v>
      </c>
      <c r="E1298" s="1463" t="s">
        <v>1262</v>
      </c>
      <c r="F1298" s="1459"/>
      <c r="G1298" s="257" t="s">
        <v>94</v>
      </c>
      <c r="H1298" s="257" t="s">
        <v>99</v>
      </c>
      <c r="I1298" s="260" t="s">
        <v>134</v>
      </c>
      <c r="J1298" s="119"/>
      <c r="K1298" s="120"/>
      <c r="L1298" s="120"/>
      <c r="M1298" s="119"/>
      <c r="N1298" s="119"/>
      <c r="O1298" s="119"/>
      <c r="P1298" s="171" t="s">
        <v>135</v>
      </c>
      <c r="Q1298" s="1842" t="str">
        <f>CHOOSE(2, "6722000004216", "Other Seg PL Gross Profit (%)")</f>
        <v>Other Seg PL Gross Profit (%)</v>
      </c>
      <c r="R1298" s="261">
        <f t="shared" ref="R1298:AC1298" si="2277">IFERROR(R1297/R1294,0)</f>
        <v>0.318578634247284</v>
      </c>
      <c r="S1298" s="261">
        <f t="shared" si="2277"/>
        <v>0.29168673874886974</v>
      </c>
      <c r="T1298" s="261">
        <f t="shared" si="2277"/>
        <v>0.32200354684124782</v>
      </c>
      <c r="U1298" s="261">
        <f t="shared" si="2277"/>
        <v>0.33201832007760551</v>
      </c>
      <c r="V1298" s="261">
        <f t="shared" si="2277"/>
        <v>0.33594402626368719</v>
      </c>
      <c r="W1298" s="261">
        <f t="shared" si="2277"/>
        <v>0.26794757463197266</v>
      </c>
      <c r="X1298" s="261">
        <f t="shared" si="2277"/>
        <v>0.35579260667197188</v>
      </c>
      <c r="Y1298" s="261">
        <f t="shared" si="2277"/>
        <v>0.32255402076290979</v>
      </c>
      <c r="Z1298" s="261">
        <f t="shared" si="2277"/>
        <v>0.29972597937541995</v>
      </c>
      <c r="AA1298" s="261">
        <f t="shared" si="2277"/>
        <v>0.35084396359166414</v>
      </c>
      <c r="AB1298" s="261">
        <f t="shared" si="2277"/>
        <v>0.29711181510983309</v>
      </c>
      <c r="AC1298" s="261">
        <f t="shared" si="2277"/>
        <v>0.22540268172010769</v>
      </c>
      <c r="AD1298" s="261">
        <f t="shared" ref="AD1298:AJ1298" si="2278">IFERROR(AD1297/AD1294,0)</f>
        <v>0.31091942991506311</v>
      </c>
      <c r="AE1298" s="261">
        <f t="shared" si="2278"/>
        <v>0.31317626424904332</v>
      </c>
      <c r="AF1298" s="261">
        <f t="shared" si="2278"/>
        <v>0.32630996295655951</v>
      </c>
      <c r="AG1298" s="261">
        <f t="shared" si="2278"/>
        <v>0.29304498557296216</v>
      </c>
      <c r="AH1298" s="261">
        <f t="shared" si="2278"/>
        <v>0.31211447428675143</v>
      </c>
      <c r="AI1298" s="261">
        <f t="shared" si="2278"/>
        <v>0.30984982065191408</v>
      </c>
      <c r="AJ1298" s="261">
        <f t="shared" si="2278"/>
        <v>0.3108902511449872</v>
      </c>
    </row>
    <row r="1299" spans="1:36" ht="14.5">
      <c r="A1299" s="990">
        <v>1</v>
      </c>
      <c r="B1299" s="990">
        <v>1</v>
      </c>
      <c r="C1299" s="990" t="s">
        <v>863</v>
      </c>
      <c r="D1299" s="1121" t="s">
        <v>887</v>
      </c>
      <c r="E1299" s="1463" t="s">
        <v>1262</v>
      </c>
      <c r="F1299" s="1459"/>
      <c r="G1299" s="257" t="s">
        <v>94</v>
      </c>
      <c r="H1299" s="257" t="s">
        <v>99</v>
      </c>
      <c r="I1299" s="259" t="s">
        <v>97</v>
      </c>
      <c r="J1299" s="182"/>
      <c r="K1299" s="182"/>
      <c r="L1299" s="182"/>
      <c r="M1299" s="182"/>
      <c r="N1299" s="182"/>
      <c r="O1299" s="182"/>
      <c r="P1299" s="181"/>
      <c r="Q1299" s="1840" t="str">
        <f>CHOOSE(2, "6722000004217", "Other Seg PL SGA Expenses")</f>
        <v>Other Seg PL SGA Expenses</v>
      </c>
      <c r="R1299" s="2117">
        <f t="shared" ref="R1299:AC1299" si="2279">R1301+R1302+R1303</f>
        <v>163214</v>
      </c>
      <c r="S1299" s="2117">
        <f t="shared" si="2279"/>
        <v>153213.97056585748</v>
      </c>
      <c r="T1299" s="2117">
        <f t="shared" si="2279"/>
        <v>168784.21469932646</v>
      </c>
      <c r="U1299" s="2117">
        <f t="shared" si="2279"/>
        <v>169772.32413098158</v>
      </c>
      <c r="V1299" s="2117">
        <f t="shared" si="2279"/>
        <v>192956.18806931618</v>
      </c>
      <c r="W1299" s="2117">
        <f t="shared" si="2279"/>
        <v>130473.62551087383</v>
      </c>
      <c r="X1299" s="2117">
        <f t="shared" si="2279"/>
        <v>217081.08948609082</v>
      </c>
      <c r="Y1299" s="2117">
        <f t="shared" si="2279"/>
        <v>175254.70442100381</v>
      </c>
      <c r="Z1299" s="2117">
        <f t="shared" si="2279"/>
        <v>189501.45456450927</v>
      </c>
      <c r="AA1299" s="2117">
        <f t="shared" si="2279"/>
        <v>222260.66366268782</v>
      </c>
      <c r="AB1299" s="2117">
        <f t="shared" si="2279"/>
        <v>172643.75033016727</v>
      </c>
      <c r="AC1299" s="2117">
        <f t="shared" si="2279"/>
        <v>122367.6922744987</v>
      </c>
      <c r="AD1299" s="180">
        <f>SUM(R1299,S1299,T1299)</f>
        <v>485212.18526518391</v>
      </c>
      <c r="AE1299" s="180">
        <f>SUM(U1299,V1299,W1299)</f>
        <v>493202.13771117164</v>
      </c>
      <c r="AF1299" s="180">
        <f>SUM(X1299,Y1299,Z1299)</f>
        <v>581837.24847160396</v>
      </c>
      <c r="AG1299" s="180">
        <f>SUM(AA1299,AB1299,AC1299)</f>
        <v>517272.10626735381</v>
      </c>
      <c r="AH1299" s="180">
        <f>AD1299+AE1299</f>
        <v>978414.32297635556</v>
      </c>
      <c r="AI1299" s="180">
        <f>AG1299+AF1299</f>
        <v>1099109.3547389577</v>
      </c>
      <c r="AJ1299" s="180">
        <f>AH1299+AI1299</f>
        <v>2077523.6777153132</v>
      </c>
    </row>
    <row r="1300" spans="1:36" ht="14.5">
      <c r="A1300" s="990">
        <v>1</v>
      </c>
      <c r="B1300" s="990">
        <v>1</v>
      </c>
      <c r="C1300" s="990" t="s">
        <v>863</v>
      </c>
      <c r="D1300" s="1121" t="s">
        <v>887</v>
      </c>
      <c r="E1300" s="1463" t="s">
        <v>1262</v>
      </c>
      <c r="F1300" s="1459"/>
      <c r="G1300" s="257" t="s">
        <v>94</v>
      </c>
      <c r="H1300" s="257" t="s">
        <v>99</v>
      </c>
      <c r="I1300" s="262" t="s">
        <v>97</v>
      </c>
      <c r="J1300" s="40"/>
      <c r="K1300" s="39"/>
      <c r="L1300" s="39"/>
      <c r="M1300" s="40"/>
      <c r="N1300" s="40"/>
      <c r="O1300" s="40"/>
      <c r="P1300" s="179" t="s">
        <v>277</v>
      </c>
      <c r="Q1300" s="1842" t="str">
        <f>CHOOSE(2, "6722000004218", "Other Seg PL SGA Expenses (%)")</f>
        <v>Other Seg PL SGA Expenses (%)</v>
      </c>
      <c r="R1300" s="263">
        <f t="shared" ref="R1300:AC1300" si="2280">IFERROR(R1299/R1294,0)</f>
        <v>0.2512964057842485</v>
      </c>
      <c r="S1300" s="263">
        <f t="shared" si="2280"/>
        <v>0.23283205641841739</v>
      </c>
      <c r="T1300" s="263">
        <f t="shared" si="2280"/>
        <v>0.24355199946224007</v>
      </c>
      <c r="U1300" s="263">
        <f t="shared" si="2280"/>
        <v>0.23902875448390176</v>
      </c>
      <c r="V1300" s="263">
        <f t="shared" si="2280"/>
        <v>0.23291655474766931</v>
      </c>
      <c r="W1300" s="263">
        <f t="shared" si="2280"/>
        <v>0.18301350998414098</v>
      </c>
      <c r="X1300" s="263">
        <f t="shared" si="2280"/>
        <v>0.24855996643528785</v>
      </c>
      <c r="Y1300" s="263">
        <f t="shared" si="2280"/>
        <v>0.2194955737867372</v>
      </c>
      <c r="Z1300" s="263">
        <f t="shared" si="2280"/>
        <v>0.22143840911981452</v>
      </c>
      <c r="AA1300" s="263">
        <f t="shared" si="2280"/>
        <v>0.26576920939419224</v>
      </c>
      <c r="AB1300" s="263">
        <f t="shared" si="2280"/>
        <v>0.19789707411613688</v>
      </c>
      <c r="AC1300" s="263">
        <f t="shared" si="2280"/>
        <v>0.15953130816901054</v>
      </c>
      <c r="AD1300" s="263">
        <f t="shared" ref="AD1300:AJ1300" si="2281">IFERROR(AD1299/AD1294,0)</f>
        <v>0.24254012171948425</v>
      </c>
      <c r="AE1300" s="263">
        <f t="shared" si="2281"/>
        <v>0.21904403308081438</v>
      </c>
      <c r="AF1300" s="263">
        <f t="shared" si="2281"/>
        <v>0.23019602142909582</v>
      </c>
      <c r="AG1300" s="263">
        <f t="shared" si="2281"/>
        <v>0.20893732082353972</v>
      </c>
      <c r="AH1300" s="263">
        <f t="shared" si="2281"/>
        <v>0.23009841606942372</v>
      </c>
      <c r="AI1300" s="263">
        <f t="shared" si="2281"/>
        <v>0.21967681279882484</v>
      </c>
      <c r="AJ1300" s="263">
        <f t="shared" si="2281"/>
        <v>0.22446472105227419</v>
      </c>
    </row>
    <row r="1301" spans="1:36" ht="14.5">
      <c r="A1301" s="990">
        <v>1</v>
      </c>
      <c r="B1301" s="990">
        <v>1</v>
      </c>
      <c r="C1301" s="990" t="s">
        <v>863</v>
      </c>
      <c r="D1301" s="1121" t="s">
        <v>887</v>
      </c>
      <c r="E1301" s="1463" t="s">
        <v>1262</v>
      </c>
      <c r="F1301" s="1459"/>
      <c r="G1301" s="257" t="s">
        <v>94</v>
      </c>
      <c r="H1301" s="257" t="s">
        <v>99</v>
      </c>
      <c r="I1301" s="262" t="s">
        <v>97</v>
      </c>
      <c r="J1301" s="123" t="s">
        <v>278</v>
      </c>
      <c r="K1301" s="123"/>
      <c r="L1301" s="178"/>
      <c r="M1301" s="123"/>
      <c r="N1301" s="123"/>
      <c r="O1301" s="123"/>
      <c r="P1301" s="185"/>
      <c r="Q1301" s="1851" t="str">
        <f>CHOOSE(2, "6722000004219", "Other Seg PL SGA Expenses Variable Expenses")</f>
        <v>Other Seg PL SGA Expenses Variable Expenses</v>
      </c>
      <c r="R1301" s="41">
        <f t="shared" ref="R1301:AC1303" si="2282">R21+R1325+R1383</f>
        <v>61663.000000000007</v>
      </c>
      <c r="S1301" s="41">
        <f t="shared" si="2282"/>
        <v>49532.815859999893</v>
      </c>
      <c r="T1301" s="41">
        <f t="shared" si="2282"/>
        <v>47765.198640896393</v>
      </c>
      <c r="U1301" s="41">
        <f t="shared" si="2282"/>
        <v>67757.614665796646</v>
      </c>
      <c r="V1301" s="41">
        <f t="shared" si="2282"/>
        <v>73732.577379999973</v>
      </c>
      <c r="W1301" s="41">
        <f t="shared" si="2282"/>
        <v>50380.992796090977</v>
      </c>
      <c r="X1301" s="41">
        <f t="shared" si="2282"/>
        <v>42778.732098342494</v>
      </c>
      <c r="Y1301" s="41">
        <f t="shared" si="2282"/>
        <v>54978.632440000001</v>
      </c>
      <c r="Z1301" s="41">
        <f t="shared" si="2282"/>
        <v>73294.402940000014</v>
      </c>
      <c r="AA1301" s="41">
        <f t="shared" si="2282"/>
        <v>85193.170739999943</v>
      </c>
      <c r="AB1301" s="41">
        <f t="shared" si="2282"/>
        <v>80848.997169999988</v>
      </c>
      <c r="AC1301" s="41">
        <f t="shared" si="2282"/>
        <v>-4031.786570000033</v>
      </c>
      <c r="AD1301" s="264">
        <f>SUM(R1301,S1301,T1301)</f>
        <v>158961.0145008963</v>
      </c>
      <c r="AE1301" s="264">
        <f>SUM(U1301,V1301,W1301)</f>
        <v>191871.18484188759</v>
      </c>
      <c r="AF1301" s="264">
        <f>SUM(X1301,Y1301,Z1301)</f>
        <v>171051.76747834252</v>
      </c>
      <c r="AG1301" s="264">
        <f>SUM(AA1301,AB1301,AC1301)</f>
        <v>162010.38133999991</v>
      </c>
      <c r="AH1301" s="264">
        <f>AD1301+AE1301</f>
        <v>350832.19934278389</v>
      </c>
      <c r="AI1301" s="264">
        <f>AG1301+AF1301</f>
        <v>333062.14881834242</v>
      </c>
      <c r="AJ1301" s="264">
        <f>AH1301+AI1301</f>
        <v>683894.34816112625</v>
      </c>
    </row>
    <row r="1302" spans="1:36" ht="14.5">
      <c r="A1302" s="990">
        <v>1</v>
      </c>
      <c r="B1302" s="990">
        <v>1</v>
      </c>
      <c r="C1302" s="990" t="s">
        <v>863</v>
      </c>
      <c r="D1302" s="1121" t="s">
        <v>887</v>
      </c>
      <c r="E1302" s="1463" t="s">
        <v>1262</v>
      </c>
      <c r="F1302" s="1459"/>
      <c r="G1302" s="257" t="s">
        <v>94</v>
      </c>
      <c r="H1302" s="257" t="s">
        <v>99</v>
      </c>
      <c r="I1302" s="262" t="s">
        <v>97</v>
      </c>
      <c r="J1302" s="40" t="s">
        <v>171</v>
      </c>
      <c r="K1302" s="40"/>
      <c r="L1302" s="39"/>
      <c r="M1302" s="40"/>
      <c r="N1302" s="40"/>
      <c r="O1302" s="40"/>
      <c r="P1302" s="179"/>
      <c r="Q1302" s="1851" t="str">
        <f>CHOOSE(2, "6722000004220", "Other Seg PL SGA Expenses Wages &amp; Salaries")</f>
        <v>Other Seg PL SGA Expenses Wages &amp; Salaries</v>
      </c>
      <c r="R1302" s="41">
        <f t="shared" si="2282"/>
        <v>57774</v>
      </c>
      <c r="S1302" s="41">
        <f t="shared" si="2282"/>
        <v>56593.376708586613</v>
      </c>
      <c r="T1302" s="41">
        <f t="shared" si="2282"/>
        <v>57778.829556033968</v>
      </c>
      <c r="U1302" s="41">
        <f t="shared" si="2282"/>
        <v>54814.864514596768</v>
      </c>
      <c r="V1302" s="41">
        <f t="shared" si="2282"/>
        <v>57126.321322798387</v>
      </c>
      <c r="W1302" s="41">
        <f t="shared" si="2282"/>
        <v>61330.257943944365</v>
      </c>
      <c r="X1302" s="41">
        <f t="shared" si="2282"/>
        <v>88176.16495156211</v>
      </c>
      <c r="Y1302" s="41">
        <f t="shared" si="2282"/>
        <v>66065.360351003808</v>
      </c>
      <c r="Z1302" s="41">
        <f t="shared" si="2282"/>
        <v>68141.183444509254</v>
      </c>
      <c r="AA1302" s="41">
        <f t="shared" si="2282"/>
        <v>65667.929642687886</v>
      </c>
      <c r="AB1302" s="41">
        <f t="shared" si="2282"/>
        <v>63322.806170167292</v>
      </c>
      <c r="AC1302" s="41">
        <f t="shared" si="2282"/>
        <v>55750.188815961214</v>
      </c>
      <c r="AD1302" s="41">
        <f>SUM(R1302,S1302,T1302)</f>
        <v>172146.20626462059</v>
      </c>
      <c r="AE1302" s="41">
        <f>SUM(U1302,V1302,W1302)</f>
        <v>173271.44378133951</v>
      </c>
      <c r="AF1302" s="41">
        <f>SUM(X1302,Y1302,Z1302)</f>
        <v>222382.70874707517</v>
      </c>
      <c r="AG1302" s="41">
        <f>SUM(AA1302,AB1302,AC1302)</f>
        <v>184740.9246288164</v>
      </c>
      <c r="AH1302" s="41">
        <f>AD1302+AE1302</f>
        <v>345417.65004596009</v>
      </c>
      <c r="AI1302" s="41">
        <f>AG1302+AF1302</f>
        <v>407123.6333758916</v>
      </c>
      <c r="AJ1302" s="41">
        <f>AH1302+AI1302</f>
        <v>752541.28342185169</v>
      </c>
    </row>
    <row r="1303" spans="1:36" ht="14.5">
      <c r="A1303" s="990">
        <v>1</v>
      </c>
      <c r="B1303" s="990">
        <v>1</v>
      </c>
      <c r="C1303" s="990" t="s">
        <v>863</v>
      </c>
      <c r="D1303" s="1121" t="s">
        <v>887</v>
      </c>
      <c r="E1303" s="1463" t="s">
        <v>1262</v>
      </c>
      <c r="F1303" s="1459"/>
      <c r="G1303" s="257" t="s">
        <v>94</v>
      </c>
      <c r="H1303" s="257" t="s">
        <v>99</v>
      </c>
      <c r="I1303" s="262" t="s">
        <v>97</v>
      </c>
      <c r="J1303" s="40" t="s">
        <v>172</v>
      </c>
      <c r="K1303" s="40"/>
      <c r="L1303" s="39"/>
      <c r="M1303" s="40"/>
      <c r="N1303" s="40"/>
      <c r="O1303" s="40"/>
      <c r="P1303" s="179"/>
      <c r="Q1303" s="1851" t="str">
        <f>CHOOSE(2, "6722000004221", "Other Seg PL SGA Expenses Fixed Expenses")</f>
        <v>Other Seg PL SGA Expenses Fixed Expenses</v>
      </c>
      <c r="R1303" s="41">
        <f t="shared" si="2282"/>
        <v>43777.000000000007</v>
      </c>
      <c r="S1303" s="41">
        <f t="shared" si="2282"/>
        <v>47087.777997270983</v>
      </c>
      <c r="T1303" s="41">
        <f t="shared" si="2282"/>
        <v>63240.1865023961</v>
      </c>
      <c r="U1303" s="41">
        <f t="shared" si="2282"/>
        <v>47199.844950588151</v>
      </c>
      <c r="V1303" s="41">
        <f t="shared" si="2282"/>
        <v>62097.289366517834</v>
      </c>
      <c r="W1303" s="41">
        <f t="shared" si="2282"/>
        <v>18762.37477083848</v>
      </c>
      <c r="X1303" s="41">
        <f t="shared" si="2282"/>
        <v>86126.192436186233</v>
      </c>
      <c r="Y1303" s="41">
        <f t="shared" si="2282"/>
        <v>54210.711629999998</v>
      </c>
      <c r="Z1303" s="41">
        <f t="shared" si="2282"/>
        <v>48065.868180000005</v>
      </c>
      <c r="AA1303" s="41">
        <f t="shared" si="2282"/>
        <v>71399.563280000017</v>
      </c>
      <c r="AB1303" s="41">
        <f t="shared" si="2282"/>
        <v>28471.946989999986</v>
      </c>
      <c r="AC1303" s="41">
        <f t="shared" si="2282"/>
        <v>70649.290028537522</v>
      </c>
      <c r="AD1303" s="41">
        <f>SUM(R1303,S1303,T1303)</f>
        <v>154104.96449966708</v>
      </c>
      <c r="AE1303" s="41">
        <f>SUM(U1303,V1303,W1303)</f>
        <v>128059.50908794446</v>
      </c>
      <c r="AF1303" s="41">
        <f>SUM(X1303,Y1303,Z1303)</f>
        <v>188402.77224618621</v>
      </c>
      <c r="AG1303" s="41">
        <f>SUM(AA1303,AB1303,AC1303)</f>
        <v>170520.80029853754</v>
      </c>
      <c r="AH1303" s="41">
        <f>AD1303+AE1303</f>
        <v>282164.47358761157</v>
      </c>
      <c r="AI1303" s="41">
        <f>AG1303+AF1303</f>
        <v>358923.57254472375</v>
      </c>
      <c r="AJ1303" s="41">
        <f>AH1303+AI1303</f>
        <v>641088.04613233532</v>
      </c>
    </row>
    <row r="1304" spans="1:36" ht="14.5">
      <c r="A1304" s="990">
        <v>1</v>
      </c>
      <c r="B1304" s="990">
        <v>1</v>
      </c>
      <c r="C1304" s="990" t="s">
        <v>863</v>
      </c>
      <c r="D1304" s="1121" t="s">
        <v>887</v>
      </c>
      <c r="E1304" s="1463" t="s">
        <v>1262</v>
      </c>
      <c r="F1304" s="1459"/>
      <c r="G1304" s="257" t="s">
        <v>94</v>
      </c>
      <c r="H1304" s="257" t="s">
        <v>99</v>
      </c>
      <c r="I1304" s="259" t="s">
        <v>279</v>
      </c>
      <c r="J1304" s="182"/>
      <c r="K1304" s="182"/>
      <c r="L1304" s="182"/>
      <c r="M1304" s="182"/>
      <c r="N1304" s="182"/>
      <c r="O1304" s="182"/>
      <c r="P1304" s="181"/>
      <c r="Q1304" s="1840" t="str">
        <f>CHOOSE(2, "6722000004222", "Other Seg PL Business Contribution Profit")</f>
        <v>Other Seg PL Business Contribution Profit</v>
      </c>
      <c r="R1304" s="2117">
        <f t="shared" ref="R1304:AC1304" si="2283">R1297-R1299</f>
        <v>43699</v>
      </c>
      <c r="S1304" s="2117">
        <f t="shared" si="2283"/>
        <v>38729.029434142518</v>
      </c>
      <c r="T1304" s="2117">
        <f t="shared" si="2283"/>
        <v>54367.785300673539</v>
      </c>
      <c r="U1304" s="2117">
        <f t="shared" si="2283"/>
        <v>66046.675869018422</v>
      </c>
      <c r="V1304" s="2117">
        <f t="shared" si="2283"/>
        <v>85351.546572924679</v>
      </c>
      <c r="W1304" s="2117">
        <f t="shared" si="2283"/>
        <v>60551.023500602867</v>
      </c>
      <c r="X1304" s="2117">
        <f t="shared" si="2283"/>
        <v>93652.162513909163</v>
      </c>
      <c r="Y1304" s="2117">
        <f t="shared" si="2283"/>
        <v>82286.295578996185</v>
      </c>
      <c r="Z1304" s="2117">
        <f t="shared" si="2283"/>
        <v>66996.545435490727</v>
      </c>
      <c r="AA1304" s="2117">
        <f t="shared" si="2283"/>
        <v>71147.336337312183</v>
      </c>
      <c r="AB1304" s="2117">
        <f t="shared" si="2283"/>
        <v>86554.109249416069</v>
      </c>
      <c r="AC1304" s="2117">
        <f t="shared" si="2283"/>
        <v>50526.307725501305</v>
      </c>
      <c r="AD1304" s="180">
        <f>SUM(R1304,S1304,T1304)</f>
        <v>136795.81473481606</v>
      </c>
      <c r="AE1304" s="180">
        <f>SUM(U1304,V1304,W1304)</f>
        <v>211949.24594254597</v>
      </c>
      <c r="AF1304" s="180">
        <f>SUM(X1304,Y1304,Z1304)</f>
        <v>242935.00352839608</v>
      </c>
      <c r="AG1304" s="180">
        <f>SUM(AA1304,AB1304,AC1304)</f>
        <v>208227.75331222956</v>
      </c>
      <c r="AH1304" s="180">
        <f>AD1304+AE1304</f>
        <v>348745.06067736202</v>
      </c>
      <c r="AI1304" s="180">
        <f>AG1304+AF1304</f>
        <v>451162.75684062566</v>
      </c>
      <c r="AJ1304" s="180">
        <f>AH1304+AI1304</f>
        <v>799907.81751798769</v>
      </c>
    </row>
    <row r="1305" spans="1:36" ht="14.5">
      <c r="A1305" s="990">
        <v>1</v>
      </c>
      <c r="B1305" s="990">
        <v>1</v>
      </c>
      <c r="C1305" s="990" t="s">
        <v>863</v>
      </c>
      <c r="D1305" s="1121" t="s">
        <v>887</v>
      </c>
      <c r="E1305" s="1463" t="s">
        <v>1262</v>
      </c>
      <c r="F1305" s="1459"/>
      <c r="G1305" s="257" t="s">
        <v>94</v>
      </c>
      <c r="H1305" s="257" t="s">
        <v>99</v>
      </c>
      <c r="I1305" s="262" t="s">
        <v>136</v>
      </c>
      <c r="J1305" s="40"/>
      <c r="K1305" s="39"/>
      <c r="L1305" s="39"/>
      <c r="M1305" s="40"/>
      <c r="N1305" s="40"/>
      <c r="O1305" s="40"/>
      <c r="P1305" s="179" t="s">
        <v>135</v>
      </c>
      <c r="Q1305" s="1842" t="str">
        <f>CHOOSE(2, "6722000004223", "Other Seg PL Business Contribution Profit (%)")</f>
        <v>Other Seg PL Business Contribution Profit (%)</v>
      </c>
      <c r="R1305" s="265">
        <f t="shared" ref="R1305:AC1305" si="2284">IFERROR(R1304/R1294,0)</f>
        <v>6.7282228463035498E-2</v>
      </c>
      <c r="S1305" s="265">
        <f t="shared" si="2284"/>
        <v>5.8854682330452351E-2</v>
      </c>
      <c r="T1305" s="265">
        <f t="shared" si="2284"/>
        <v>7.8451547379007752E-2</v>
      </c>
      <c r="U1305" s="265">
        <f t="shared" si="2284"/>
        <v>9.2989565593703735E-2</v>
      </c>
      <c r="V1305" s="265">
        <f t="shared" si="2284"/>
        <v>0.10302747151601786</v>
      </c>
      <c r="W1305" s="265">
        <f t="shared" si="2284"/>
        <v>8.4934064647831681E-2</v>
      </c>
      <c r="X1305" s="265">
        <f t="shared" si="2284"/>
        <v>0.10723264023668401</v>
      </c>
      <c r="Y1305" s="265">
        <f t="shared" si="2284"/>
        <v>0.10305844697617261</v>
      </c>
      <c r="Z1305" s="265">
        <f t="shared" si="2284"/>
        <v>7.8287570255605413E-2</v>
      </c>
      <c r="AA1305" s="265">
        <f t="shared" si="2284"/>
        <v>8.5074754197471916E-2</v>
      </c>
      <c r="AB1305" s="265">
        <f t="shared" si="2284"/>
        <v>9.9214740993696204E-2</v>
      </c>
      <c r="AC1305" s="265">
        <f t="shared" si="2284"/>
        <v>6.5871373551097137E-2</v>
      </c>
      <c r="AD1305" s="265">
        <f t="shared" ref="AD1305:AJ1305" si="2285">IFERROR(AD1304/AD1294,0)</f>
        <v>6.8379308195578831E-2</v>
      </c>
      <c r="AE1305" s="265">
        <f t="shared" si="2285"/>
        <v>9.4132231168228955E-2</v>
      </c>
      <c r="AF1305" s="265">
        <f t="shared" si="2285"/>
        <v>9.6113941527463734E-2</v>
      </c>
      <c r="AG1305" s="265">
        <f t="shared" si="2285"/>
        <v>8.4107664749422412E-2</v>
      </c>
      <c r="AH1305" s="265">
        <f t="shared" si="2285"/>
        <v>8.2016058217327714E-2</v>
      </c>
      <c r="AI1305" s="265">
        <f t="shared" si="2285"/>
        <v>9.017300785308921E-2</v>
      </c>
      <c r="AJ1305" s="265">
        <f t="shared" si="2285"/>
        <v>8.642553009271299E-2</v>
      </c>
    </row>
    <row r="1306" spans="1:36" ht="14.5">
      <c r="A1306" s="990">
        <v>1</v>
      </c>
      <c r="B1306" s="990">
        <v>1</v>
      </c>
      <c r="C1306" s="990" t="s">
        <v>863</v>
      </c>
      <c r="D1306" s="1121" t="s">
        <v>887</v>
      </c>
      <c r="E1306" s="1463" t="s">
        <v>1262</v>
      </c>
      <c r="F1306" s="1459"/>
      <c r="G1306" s="266" t="s">
        <v>94</v>
      </c>
      <c r="H1306" s="266" t="s">
        <v>99</v>
      </c>
      <c r="I1306" s="175" t="s">
        <v>174</v>
      </c>
      <c r="J1306" s="40"/>
      <c r="K1306" s="39"/>
      <c r="L1306" s="39"/>
      <c r="M1306" s="40"/>
      <c r="N1306" s="40"/>
      <c r="O1306" s="40"/>
      <c r="P1306" s="174"/>
      <c r="Q1306" s="1851" t="str">
        <f>CHOOSE(2, "6722000004224", "Other Seg PL Other Income")</f>
        <v>Other Seg PL Other Income</v>
      </c>
      <c r="R1306" s="41">
        <f t="shared" ref="R1306:AC1307" si="2286">R26+R1330+R1388</f>
        <v>9951</v>
      </c>
      <c r="S1306" s="41">
        <f t="shared" si="2286"/>
        <v>376</v>
      </c>
      <c r="T1306" s="41">
        <f t="shared" si="2286"/>
        <v>21.466273979496748</v>
      </c>
      <c r="U1306" s="41">
        <f t="shared" si="2286"/>
        <v>236</v>
      </c>
      <c r="V1306" s="41">
        <f t="shared" si="2286"/>
        <v>440.28</v>
      </c>
      <c r="W1306" s="41">
        <f t="shared" si="2286"/>
        <v>20</v>
      </c>
      <c r="X1306" s="41">
        <f t="shared" si="2286"/>
        <v>0</v>
      </c>
      <c r="Y1306" s="41">
        <f t="shared" si="2286"/>
        <v>277</v>
      </c>
      <c r="Z1306" s="41">
        <f t="shared" si="2286"/>
        <v>90965.32</v>
      </c>
      <c r="AA1306" s="41">
        <f t="shared" si="2286"/>
        <v>5293</v>
      </c>
      <c r="AB1306" s="41">
        <f t="shared" si="2286"/>
        <v>1273.2400000000002</v>
      </c>
      <c r="AC1306" s="41">
        <f t="shared" si="2286"/>
        <v>34895.301446465513</v>
      </c>
      <c r="AD1306" s="41">
        <f>SUM(R1306,S1306,T1306)</f>
        <v>10348.466273979497</v>
      </c>
      <c r="AE1306" s="41">
        <f>SUM(U1306,V1306,W1306)</f>
        <v>696.28</v>
      </c>
      <c r="AF1306" s="41">
        <f>SUM(X1306,Y1306,Z1306)</f>
        <v>91242.32</v>
      </c>
      <c r="AG1306" s="41">
        <f>SUM(AA1306,AB1306,AC1306)</f>
        <v>41461.541446465511</v>
      </c>
      <c r="AH1306" s="41">
        <f>AD1306+AE1306</f>
        <v>11044.746273979497</v>
      </c>
      <c r="AI1306" s="41">
        <f>AG1306+AF1306</f>
        <v>132703.86144646551</v>
      </c>
      <c r="AJ1306" s="41">
        <f>AH1306+AI1306</f>
        <v>143748.607720445</v>
      </c>
    </row>
    <row r="1307" spans="1:36" ht="14.5">
      <c r="A1307" s="990">
        <v>1</v>
      </c>
      <c r="B1307" s="990">
        <v>1</v>
      </c>
      <c r="C1307" s="990" t="s">
        <v>863</v>
      </c>
      <c r="D1307" s="1121" t="s">
        <v>887</v>
      </c>
      <c r="E1307" s="1463" t="s">
        <v>1262</v>
      </c>
      <c r="F1307" s="1459"/>
      <c r="G1307" s="266" t="s">
        <v>94</v>
      </c>
      <c r="H1307" s="266" t="s">
        <v>99</v>
      </c>
      <c r="I1307" s="121" t="s">
        <v>153</v>
      </c>
      <c r="J1307" s="119"/>
      <c r="K1307" s="120"/>
      <c r="L1307" s="120"/>
      <c r="M1307" s="119"/>
      <c r="N1307" s="119"/>
      <c r="O1307" s="119"/>
      <c r="P1307" s="118"/>
      <c r="Q1307" s="1851" t="str">
        <f>CHOOSE(2, "6722000004225", "Other Seg PL Other Expenses")</f>
        <v>Other Seg PL Other Expenses</v>
      </c>
      <c r="R1307" s="66">
        <f t="shared" si="2286"/>
        <v>0</v>
      </c>
      <c r="S1307" s="66">
        <f t="shared" si="2286"/>
        <v>0</v>
      </c>
      <c r="T1307" s="66">
        <f t="shared" si="2286"/>
        <v>0</v>
      </c>
      <c r="U1307" s="66">
        <f t="shared" si="2286"/>
        <v>0</v>
      </c>
      <c r="V1307" s="66">
        <f t="shared" si="2286"/>
        <v>0</v>
      </c>
      <c r="W1307" s="66">
        <f t="shared" si="2286"/>
        <v>0</v>
      </c>
      <c r="X1307" s="66">
        <f t="shared" si="2286"/>
        <v>0</v>
      </c>
      <c r="Y1307" s="66">
        <f t="shared" si="2286"/>
        <v>0</v>
      </c>
      <c r="Z1307" s="66">
        <f t="shared" si="2286"/>
        <v>0</v>
      </c>
      <c r="AA1307" s="66">
        <f t="shared" si="2286"/>
        <v>0</v>
      </c>
      <c r="AB1307" s="66">
        <f t="shared" si="2286"/>
        <v>0</v>
      </c>
      <c r="AC1307" s="66">
        <f t="shared" si="2286"/>
        <v>0</v>
      </c>
      <c r="AD1307" s="66">
        <f>SUM(R1307,S1307,T1307)</f>
        <v>0</v>
      </c>
      <c r="AE1307" s="66">
        <f>SUM(U1307,V1307,W1307)</f>
        <v>0</v>
      </c>
      <c r="AF1307" s="66">
        <f>SUM(X1307,Y1307,Z1307)</f>
        <v>0</v>
      </c>
      <c r="AG1307" s="66">
        <f>SUM(AA1307,AB1307,AC1307)</f>
        <v>0</v>
      </c>
      <c r="AH1307" s="66">
        <f>AD1307+AE1307</f>
        <v>0</v>
      </c>
      <c r="AI1307" s="66">
        <f>AG1307+AF1307</f>
        <v>0</v>
      </c>
      <c r="AJ1307" s="66">
        <f>AH1307+AI1307</f>
        <v>0</v>
      </c>
    </row>
    <row r="1308" spans="1:36" ht="14.5">
      <c r="A1308" s="990">
        <v>1</v>
      </c>
      <c r="B1308" s="990">
        <v>1</v>
      </c>
      <c r="C1308" s="990" t="s">
        <v>863</v>
      </c>
      <c r="D1308" s="1121" t="s">
        <v>887</v>
      </c>
      <c r="E1308" s="1463" t="s">
        <v>1262</v>
      </c>
      <c r="F1308" s="1459"/>
      <c r="G1308" s="266" t="s">
        <v>94</v>
      </c>
      <c r="H1308" s="266" t="s">
        <v>99</v>
      </c>
      <c r="I1308" s="259" t="s">
        <v>176</v>
      </c>
      <c r="J1308" s="182"/>
      <c r="K1308" s="182"/>
      <c r="L1308" s="182"/>
      <c r="M1308" s="182"/>
      <c r="N1308" s="182"/>
      <c r="O1308" s="182"/>
      <c r="P1308" s="181"/>
      <c r="Q1308" s="1840" t="str">
        <f>CHOOSE(2, "6722000004226", "Other Seg PL Operating Profit")</f>
        <v>Other Seg PL Operating Profit</v>
      </c>
      <c r="R1308" s="2117">
        <f t="shared" ref="R1308:AC1308" si="2287">R1304+R1306-R1307</f>
        <v>53650</v>
      </c>
      <c r="S1308" s="2117">
        <f t="shared" si="2287"/>
        <v>39105.029434142518</v>
      </c>
      <c r="T1308" s="2117">
        <f t="shared" si="2287"/>
        <v>54389.251574653033</v>
      </c>
      <c r="U1308" s="2117">
        <f t="shared" si="2287"/>
        <v>66282.675869018422</v>
      </c>
      <c r="V1308" s="2117">
        <f t="shared" si="2287"/>
        <v>85791.826572924678</v>
      </c>
      <c r="W1308" s="2117">
        <f t="shared" si="2287"/>
        <v>60571.023500602867</v>
      </c>
      <c r="X1308" s="2117">
        <f t="shared" si="2287"/>
        <v>93652.162513909163</v>
      </c>
      <c r="Y1308" s="2117">
        <f t="shared" si="2287"/>
        <v>82563.295578996185</v>
      </c>
      <c r="Z1308" s="2117">
        <f t="shared" si="2287"/>
        <v>157961.86543549073</v>
      </c>
      <c r="AA1308" s="2117">
        <f t="shared" si="2287"/>
        <v>76440.336337312183</v>
      </c>
      <c r="AB1308" s="2117">
        <f t="shared" si="2287"/>
        <v>87827.349249416075</v>
      </c>
      <c r="AC1308" s="2117">
        <f t="shared" si="2287"/>
        <v>85421.609171966818</v>
      </c>
      <c r="AD1308" s="180">
        <f>SUM(R1308,S1308,T1308)</f>
        <v>147144.28100879554</v>
      </c>
      <c r="AE1308" s="180">
        <f>SUM(U1308,V1308,W1308)</f>
        <v>212645.52594254597</v>
      </c>
      <c r="AF1308" s="180">
        <f>SUM(X1308,Y1308,Z1308)</f>
        <v>334177.32352839608</v>
      </c>
      <c r="AG1308" s="180">
        <f>SUM(AA1308,AB1308,AC1308)</f>
        <v>249689.29475869509</v>
      </c>
      <c r="AH1308" s="180">
        <f>AD1308+AE1308</f>
        <v>359789.80695134151</v>
      </c>
      <c r="AI1308" s="180">
        <f>AG1308+AF1308</f>
        <v>583866.61828709114</v>
      </c>
      <c r="AJ1308" s="180">
        <f>AH1308+AI1308</f>
        <v>943656.4252384326</v>
      </c>
    </row>
    <row r="1309" spans="1:36" ht="14.5">
      <c r="A1309" s="990">
        <v>1</v>
      </c>
      <c r="B1309" s="990">
        <v>1</v>
      </c>
      <c r="C1309" s="990" t="s">
        <v>863</v>
      </c>
      <c r="D1309" s="1121" t="s">
        <v>887</v>
      </c>
      <c r="E1309" s="1463" t="s">
        <v>1262</v>
      </c>
      <c r="F1309" s="1459"/>
      <c r="G1309" s="266" t="s">
        <v>94</v>
      </c>
      <c r="H1309" s="266" t="s">
        <v>99</v>
      </c>
      <c r="I1309" s="260" t="s">
        <v>10</v>
      </c>
      <c r="J1309" s="119"/>
      <c r="K1309" s="120"/>
      <c r="L1309" s="120"/>
      <c r="M1309" s="119"/>
      <c r="N1309" s="119"/>
      <c r="O1309" s="119"/>
      <c r="P1309" s="171" t="s">
        <v>135</v>
      </c>
      <c r="Q1309" s="1842" t="str">
        <f>CHOOSE(2, "6722000004227", "Other Seg PL Operating Profit (%)")</f>
        <v>Other Seg PL Operating Profit (%)</v>
      </c>
      <c r="R1309" s="261">
        <f t="shared" ref="R1309:AC1309" si="2288">IFERROR(R1308/R1294,0)</f>
        <v>8.2603527701820514E-2</v>
      </c>
      <c r="S1309" s="261">
        <f t="shared" si="2288"/>
        <v>5.9426071825091777E-2</v>
      </c>
      <c r="T1309" s="261">
        <f t="shared" si="2288"/>
        <v>7.8482522751663439E-2</v>
      </c>
      <c r="U1309" s="261">
        <f t="shared" si="2288"/>
        <v>9.3321838750397276E-2</v>
      </c>
      <c r="V1309" s="261">
        <f t="shared" si="2288"/>
        <v>0.10355893154199777</v>
      </c>
      <c r="W1309" s="261">
        <f t="shared" si="2288"/>
        <v>8.496211836508949E-2</v>
      </c>
      <c r="X1309" s="261">
        <f t="shared" si="2288"/>
        <v>0.10723264023668401</v>
      </c>
      <c r="Y1309" s="261">
        <f t="shared" si="2288"/>
        <v>0.10340537217934929</v>
      </c>
      <c r="Z1309" s="261">
        <f t="shared" si="2288"/>
        <v>0.18458340736232157</v>
      </c>
      <c r="AA1309" s="261">
        <f t="shared" si="2288"/>
        <v>9.1403883257656637E-2</v>
      </c>
      <c r="AB1309" s="261">
        <f t="shared" si="2288"/>
        <v>0.10067422313634984</v>
      </c>
      <c r="AC1309" s="261">
        <f t="shared" si="2288"/>
        <v>0.11136453424762148</v>
      </c>
      <c r="AD1309" s="261">
        <f t="shared" ref="AD1309:AJ1309" si="2289">IFERROR(AD1308/AD1294,0)</f>
        <v>7.3552134323861679E-2</v>
      </c>
      <c r="AE1309" s="261">
        <f t="shared" si="2289"/>
        <v>9.444146741781477E-2</v>
      </c>
      <c r="AF1309" s="261">
        <f t="shared" si="2289"/>
        <v>0.13221272878306425</v>
      </c>
      <c r="AG1309" s="261">
        <f t="shared" si="2289"/>
        <v>0.10085487242228545</v>
      </c>
      <c r="AH1309" s="261">
        <f t="shared" si="2289"/>
        <v>8.4613504476904564E-2</v>
      </c>
      <c r="AI1309" s="261">
        <f t="shared" si="2289"/>
        <v>0.11669626616488847</v>
      </c>
      <c r="AJ1309" s="261">
        <f t="shared" si="2289"/>
        <v>0.10195675675440208</v>
      </c>
    </row>
    <row r="1310" spans="1:36" ht="14.5">
      <c r="A1310" s="990">
        <v>1</v>
      </c>
      <c r="B1310" s="990">
        <v>1</v>
      </c>
      <c r="C1310" s="990" t="s">
        <v>863</v>
      </c>
      <c r="D1310" s="1121" t="s">
        <v>887</v>
      </c>
      <c r="E1310" s="1463" t="s">
        <v>1262</v>
      </c>
      <c r="F1310" s="1459"/>
      <c r="G1310" s="266" t="s">
        <v>94</v>
      </c>
      <c r="H1310" s="266" t="s">
        <v>99</v>
      </c>
      <c r="I1310" s="175" t="s">
        <v>177</v>
      </c>
      <c r="J1310" s="40"/>
      <c r="K1310" s="39"/>
      <c r="L1310" s="39"/>
      <c r="M1310" s="40"/>
      <c r="N1310" s="40"/>
      <c r="O1310" s="40"/>
      <c r="P1310" s="179"/>
      <c r="Q1310" s="1851" t="str">
        <f>CHOOSE(2, "6722000004228", "Other Seg PL Financial Income (Expenses), net")</f>
        <v>Other Seg PL Financial Income (Expenses), net</v>
      </c>
      <c r="R1310" s="41">
        <f t="shared" ref="R1310:AC1310" si="2290">R1311-R1312</f>
        <v>13664</v>
      </c>
      <c r="S1310" s="41">
        <f t="shared" si="2290"/>
        <v>9779</v>
      </c>
      <c r="T1310" s="41">
        <f t="shared" si="2290"/>
        <v>6584</v>
      </c>
      <c r="U1310" s="41">
        <f t="shared" si="2290"/>
        <v>9159</v>
      </c>
      <c r="V1310" s="41">
        <f t="shared" si="2290"/>
        <v>11283</v>
      </c>
      <c r="W1310" s="41">
        <f t="shared" si="2290"/>
        <v>7253</v>
      </c>
      <c r="X1310" s="41">
        <f t="shared" si="2290"/>
        <v>99064</v>
      </c>
      <c r="Y1310" s="41">
        <f t="shared" si="2290"/>
        <v>10743</v>
      </c>
      <c r="Z1310" s="41">
        <f t="shared" si="2290"/>
        <v>-78979</v>
      </c>
      <c r="AA1310" s="41">
        <f t="shared" si="2290"/>
        <v>12314</v>
      </c>
      <c r="AB1310" s="41">
        <f t="shared" si="2290"/>
        <v>12686</v>
      </c>
      <c r="AC1310" s="41">
        <f t="shared" si="2290"/>
        <v>4853</v>
      </c>
      <c r="AD1310" s="41">
        <f t="shared" ref="AD1310:AD1315" si="2291">SUM(R1310,S1310,T1310)</f>
        <v>30027</v>
      </c>
      <c r="AE1310" s="41">
        <f t="shared" ref="AE1310:AE1315" si="2292">SUM(U1310,V1310,W1310)</f>
        <v>27695</v>
      </c>
      <c r="AF1310" s="41">
        <f t="shared" ref="AF1310:AF1315" si="2293">SUM(X1310,Y1310,Z1310)</f>
        <v>30828</v>
      </c>
      <c r="AG1310" s="41">
        <f t="shared" ref="AG1310:AG1315" si="2294">SUM(AA1310,AB1310,AC1310)</f>
        <v>29853</v>
      </c>
      <c r="AH1310" s="41">
        <f t="shared" ref="AH1310:AH1315" si="2295">AD1310+AE1310</f>
        <v>57722</v>
      </c>
      <c r="AI1310" s="41">
        <f t="shared" ref="AI1310:AI1315" si="2296">AG1310+AF1310</f>
        <v>60681</v>
      </c>
      <c r="AJ1310" s="41">
        <f t="shared" ref="AJ1310:AJ1315" si="2297">AH1310+AI1310</f>
        <v>118403</v>
      </c>
    </row>
    <row r="1311" spans="1:36" ht="14.5">
      <c r="A1311" s="990">
        <v>1</v>
      </c>
      <c r="B1311" s="990">
        <v>1</v>
      </c>
      <c r="C1311" s="990" t="s">
        <v>863</v>
      </c>
      <c r="D1311" s="1121" t="s">
        <v>887</v>
      </c>
      <c r="E1311" s="1463" t="s">
        <v>1262</v>
      </c>
      <c r="F1311" s="1459"/>
      <c r="G1311" s="257" t="s">
        <v>94</v>
      </c>
      <c r="H1311" s="257" t="s">
        <v>99</v>
      </c>
      <c r="I1311" s="267" t="s">
        <v>280</v>
      </c>
      <c r="J1311" s="123" t="s">
        <v>178</v>
      </c>
      <c r="K1311" s="123"/>
      <c r="L1311" s="178"/>
      <c r="M1311" s="123"/>
      <c r="N1311" s="123"/>
      <c r="O1311" s="123"/>
      <c r="P1311" s="177"/>
      <c r="Q1311" s="1886" t="str">
        <f>CHOOSE(2, "6722000004229", "Other Seg PL Financial Income Financial Income")</f>
        <v>Other Seg PL Financial Income Financial Income</v>
      </c>
      <c r="R1311" s="2099">
        <f t="shared" ref="R1311:AC1312" si="2298">R31</f>
        <v>13664</v>
      </c>
      <c r="S1311" s="2099">
        <f t="shared" si="2298"/>
        <v>10055</v>
      </c>
      <c r="T1311" s="2099">
        <f t="shared" si="2298"/>
        <v>11309</v>
      </c>
      <c r="U1311" s="2099">
        <f t="shared" si="2298"/>
        <v>10773</v>
      </c>
      <c r="V1311" s="2099">
        <f t="shared" si="2298"/>
        <v>11283</v>
      </c>
      <c r="W1311" s="2099">
        <f t="shared" si="2298"/>
        <v>11160</v>
      </c>
      <c r="X1311" s="2099">
        <f t="shared" si="2298"/>
        <v>100099</v>
      </c>
      <c r="Y1311" s="2099">
        <f t="shared" si="2298"/>
        <v>11100</v>
      </c>
      <c r="Z1311" s="2099">
        <f t="shared" si="2298"/>
        <v>-76347</v>
      </c>
      <c r="AA1311" s="2099">
        <f t="shared" si="2298"/>
        <v>12512</v>
      </c>
      <c r="AB1311" s="2099">
        <f t="shared" si="2298"/>
        <v>12769</v>
      </c>
      <c r="AC1311" s="2099">
        <f t="shared" si="2298"/>
        <v>7492</v>
      </c>
      <c r="AD1311" s="264">
        <f t="shared" si="2291"/>
        <v>35028</v>
      </c>
      <c r="AE1311" s="264">
        <f t="shared" si="2292"/>
        <v>33216</v>
      </c>
      <c r="AF1311" s="264">
        <f t="shared" si="2293"/>
        <v>34852</v>
      </c>
      <c r="AG1311" s="264">
        <f t="shared" si="2294"/>
        <v>32773</v>
      </c>
      <c r="AH1311" s="264">
        <f t="shared" si="2295"/>
        <v>68244</v>
      </c>
      <c r="AI1311" s="264">
        <f t="shared" si="2296"/>
        <v>67625</v>
      </c>
      <c r="AJ1311" s="264">
        <f t="shared" si="2297"/>
        <v>135869</v>
      </c>
    </row>
    <row r="1312" spans="1:36" ht="14.5">
      <c r="A1312" s="990">
        <v>1</v>
      </c>
      <c r="B1312" s="990">
        <v>1</v>
      </c>
      <c r="C1312" s="990" t="s">
        <v>863</v>
      </c>
      <c r="D1312" s="1121" t="s">
        <v>887</v>
      </c>
      <c r="E1312" s="1463" t="s">
        <v>1262</v>
      </c>
      <c r="F1312" s="1459"/>
      <c r="G1312" s="257" t="s">
        <v>94</v>
      </c>
      <c r="H1312" s="257" t="s">
        <v>99</v>
      </c>
      <c r="I1312" s="267" t="s">
        <v>281</v>
      </c>
      <c r="J1312" s="40" t="s">
        <v>282</v>
      </c>
      <c r="K1312" s="40"/>
      <c r="L1312" s="39"/>
      <c r="M1312" s="40"/>
      <c r="N1312" s="40"/>
      <c r="O1312" s="40"/>
      <c r="P1312" s="174"/>
      <c r="Q1312" s="1886" t="str">
        <f>CHOOSE(2, "6722000004230", "Other Seg PL Financial Expenses Financial Expenses")</f>
        <v>Other Seg PL Financial Expenses Financial Expenses</v>
      </c>
      <c r="R1312" s="2047">
        <f t="shared" si="2298"/>
        <v>0</v>
      </c>
      <c r="S1312" s="2047">
        <f t="shared" si="2298"/>
        <v>276</v>
      </c>
      <c r="T1312" s="2047">
        <f t="shared" si="2298"/>
        <v>4725</v>
      </c>
      <c r="U1312" s="2047">
        <f t="shared" si="2298"/>
        <v>1614</v>
      </c>
      <c r="V1312" s="2047">
        <f t="shared" si="2298"/>
        <v>0</v>
      </c>
      <c r="W1312" s="2047">
        <f t="shared" si="2298"/>
        <v>3907</v>
      </c>
      <c r="X1312" s="2047">
        <f t="shared" si="2298"/>
        <v>1035</v>
      </c>
      <c r="Y1312" s="2047">
        <f t="shared" si="2298"/>
        <v>357</v>
      </c>
      <c r="Z1312" s="2047">
        <f t="shared" si="2298"/>
        <v>2632</v>
      </c>
      <c r="AA1312" s="2047">
        <f t="shared" si="2298"/>
        <v>198</v>
      </c>
      <c r="AB1312" s="2047">
        <f t="shared" si="2298"/>
        <v>83</v>
      </c>
      <c r="AC1312" s="2047">
        <f t="shared" si="2298"/>
        <v>2639</v>
      </c>
      <c r="AD1312" s="41">
        <f t="shared" si="2291"/>
        <v>5001</v>
      </c>
      <c r="AE1312" s="41">
        <f t="shared" si="2292"/>
        <v>5521</v>
      </c>
      <c r="AF1312" s="41">
        <f t="shared" si="2293"/>
        <v>4024</v>
      </c>
      <c r="AG1312" s="41">
        <f t="shared" si="2294"/>
        <v>2920</v>
      </c>
      <c r="AH1312" s="41">
        <f t="shared" si="2295"/>
        <v>10522</v>
      </c>
      <c r="AI1312" s="41">
        <f t="shared" si="2296"/>
        <v>6944</v>
      </c>
      <c r="AJ1312" s="41">
        <f t="shared" si="2297"/>
        <v>17466</v>
      </c>
    </row>
    <row r="1313" spans="1:36" ht="14.5">
      <c r="A1313" s="990">
        <v>1</v>
      </c>
      <c r="B1313" s="990">
        <v>1</v>
      </c>
      <c r="C1313" s="990" t="s">
        <v>863</v>
      </c>
      <c r="D1313" s="1121" t="s">
        <v>887</v>
      </c>
      <c r="E1313" s="1463" t="s">
        <v>1262</v>
      </c>
      <c r="F1313" s="1459"/>
      <c r="G1313" s="266" t="s">
        <v>94</v>
      </c>
      <c r="H1313" s="266" t="s">
        <v>99</v>
      </c>
      <c r="I1313" s="172" t="s">
        <v>144</v>
      </c>
      <c r="J1313" s="167"/>
      <c r="K1313" s="167"/>
      <c r="L1313" s="167"/>
      <c r="M1313" s="167"/>
      <c r="N1313" s="167"/>
      <c r="O1313" s="167"/>
      <c r="P1313" s="166"/>
      <c r="Q1313" s="1840" t="str">
        <f>CHOOSE(2, "6722000004231", "Other Seg PL Profit before Taxes")</f>
        <v>Other Seg PL Profit before Taxes</v>
      </c>
      <c r="R1313" s="2101">
        <f t="shared" ref="R1313:AC1313" si="2299">R1308+R1310</f>
        <v>67314</v>
      </c>
      <c r="S1313" s="2101">
        <f t="shared" si="2299"/>
        <v>48884.029434142518</v>
      </c>
      <c r="T1313" s="2101">
        <f t="shared" si="2299"/>
        <v>60973.251574653033</v>
      </c>
      <c r="U1313" s="2101">
        <f t="shared" si="2299"/>
        <v>75441.675869018422</v>
      </c>
      <c r="V1313" s="2101">
        <f t="shared" si="2299"/>
        <v>97074.826572924678</v>
      </c>
      <c r="W1313" s="2101">
        <f t="shared" si="2299"/>
        <v>67824.023500602867</v>
      </c>
      <c r="X1313" s="2101">
        <f t="shared" si="2299"/>
        <v>192716.16251390916</v>
      </c>
      <c r="Y1313" s="2101">
        <f t="shared" si="2299"/>
        <v>93306.295578996185</v>
      </c>
      <c r="Z1313" s="2101">
        <f t="shared" si="2299"/>
        <v>78982.865435490734</v>
      </c>
      <c r="AA1313" s="2101">
        <f t="shared" si="2299"/>
        <v>88754.336337312183</v>
      </c>
      <c r="AB1313" s="2101">
        <f t="shared" si="2299"/>
        <v>100513.34924941607</v>
      </c>
      <c r="AC1313" s="2101">
        <f t="shared" si="2299"/>
        <v>90274.609171966818</v>
      </c>
      <c r="AD1313" s="170">
        <f t="shared" si="2291"/>
        <v>177171.28100879554</v>
      </c>
      <c r="AE1313" s="170">
        <f t="shared" si="2292"/>
        <v>240340.52594254597</v>
      </c>
      <c r="AF1313" s="170">
        <f t="shared" si="2293"/>
        <v>365005.32352839608</v>
      </c>
      <c r="AG1313" s="170">
        <f t="shared" si="2294"/>
        <v>279542.29475869506</v>
      </c>
      <c r="AH1313" s="170">
        <f t="shared" si="2295"/>
        <v>417511.80695134151</v>
      </c>
      <c r="AI1313" s="170">
        <f t="shared" si="2296"/>
        <v>644547.61828709114</v>
      </c>
      <c r="AJ1313" s="170">
        <f t="shared" si="2297"/>
        <v>1062059.4252384326</v>
      </c>
    </row>
    <row r="1314" spans="1:36" ht="14.5">
      <c r="A1314" s="990">
        <v>1</v>
      </c>
      <c r="B1314" s="990">
        <v>1</v>
      </c>
      <c r="C1314" s="990" t="s">
        <v>863</v>
      </c>
      <c r="D1314" s="1121" t="s">
        <v>887</v>
      </c>
      <c r="E1314" s="1463" t="s">
        <v>1262</v>
      </c>
      <c r="F1314" s="1459"/>
      <c r="G1314" s="266" t="s">
        <v>94</v>
      </c>
      <c r="H1314" s="266" t="s">
        <v>99</v>
      </c>
      <c r="I1314" s="258" t="s">
        <v>283</v>
      </c>
      <c r="J1314" s="56"/>
      <c r="K1314" s="57"/>
      <c r="L1314" s="57"/>
      <c r="M1314" s="56"/>
      <c r="N1314" s="56"/>
      <c r="O1314" s="56"/>
      <c r="P1314" s="117"/>
      <c r="Q1314" s="1886" t="str">
        <f>CHOOSE(2, "6722000004232", "Other Seg PL Tax Expenses &amp; Others")</f>
        <v>Other Seg PL Tax Expenses &amp; Others</v>
      </c>
      <c r="R1314" s="2016">
        <f t="shared" ref="R1314:AC1314" si="2300">R34</f>
        <v>16943.200433360998</v>
      </c>
      <c r="S1314" s="2016">
        <f t="shared" si="2300"/>
        <v>12303.851100000002</v>
      </c>
      <c r="T1314" s="2016">
        <f t="shared" si="2300"/>
        <v>15347</v>
      </c>
      <c r="U1314" s="2016">
        <f t="shared" si="2300"/>
        <v>18988</v>
      </c>
      <c r="V1314" s="2016">
        <f t="shared" si="2300"/>
        <v>24434</v>
      </c>
      <c r="W1314" s="2016">
        <f t="shared" si="2300"/>
        <v>17073</v>
      </c>
      <c r="X1314" s="2016">
        <f t="shared" si="2300"/>
        <v>48507</v>
      </c>
      <c r="Y1314" s="2016">
        <f t="shared" si="2300"/>
        <v>23485</v>
      </c>
      <c r="Z1314" s="2016">
        <f t="shared" si="2300"/>
        <v>19880</v>
      </c>
      <c r="AA1314" s="2016">
        <f t="shared" si="2300"/>
        <v>22340</v>
      </c>
      <c r="AB1314" s="2016">
        <f t="shared" si="2300"/>
        <v>25299</v>
      </c>
      <c r="AC1314" s="2016">
        <f t="shared" si="2300"/>
        <v>22722</v>
      </c>
      <c r="AD1314" s="62">
        <f t="shared" si="2291"/>
        <v>44594.051533361002</v>
      </c>
      <c r="AE1314" s="62">
        <f t="shared" si="2292"/>
        <v>60495</v>
      </c>
      <c r="AF1314" s="62">
        <f t="shared" si="2293"/>
        <v>91872</v>
      </c>
      <c r="AG1314" s="62">
        <f t="shared" si="2294"/>
        <v>70361</v>
      </c>
      <c r="AH1314" s="62">
        <f t="shared" si="2295"/>
        <v>105089.05153336099</v>
      </c>
      <c r="AI1314" s="62">
        <f t="shared" si="2296"/>
        <v>162233</v>
      </c>
      <c r="AJ1314" s="62">
        <f t="shared" si="2297"/>
        <v>267322.05153336097</v>
      </c>
    </row>
    <row r="1315" spans="1:36" ht="14.5">
      <c r="A1315" s="990">
        <v>1</v>
      </c>
      <c r="B1315" s="990">
        <v>1</v>
      </c>
      <c r="C1315" s="990" t="s">
        <v>863</v>
      </c>
      <c r="D1315" s="1121" t="s">
        <v>887</v>
      </c>
      <c r="E1315" s="1463" t="s">
        <v>1262</v>
      </c>
      <c r="F1315" s="1459"/>
      <c r="G1315" s="266" t="s">
        <v>94</v>
      </c>
      <c r="H1315" s="266" t="s">
        <v>99</v>
      </c>
      <c r="I1315" s="172" t="s">
        <v>284</v>
      </c>
      <c r="J1315" s="167"/>
      <c r="K1315" s="167"/>
      <c r="L1315" s="167"/>
      <c r="M1315" s="167"/>
      <c r="N1315" s="167"/>
      <c r="O1315" s="167"/>
      <c r="P1315" s="166"/>
      <c r="Q1315" s="1840" t="str">
        <f>CHOOSE(2, "6722000004233", "Other Seg PL Net Profit")</f>
        <v>Other Seg PL Net Profit</v>
      </c>
      <c r="R1315" s="2101">
        <f t="shared" ref="R1315:AC1315" si="2301">R1313-R1314</f>
        <v>50370.799566639005</v>
      </c>
      <c r="S1315" s="2101">
        <f t="shared" si="2301"/>
        <v>36580.178334142518</v>
      </c>
      <c r="T1315" s="2101">
        <f t="shared" si="2301"/>
        <v>45626.251574653033</v>
      </c>
      <c r="U1315" s="2101">
        <f t="shared" si="2301"/>
        <v>56453.675869018422</v>
      </c>
      <c r="V1315" s="2101">
        <f t="shared" si="2301"/>
        <v>72640.826572924678</v>
      </c>
      <c r="W1315" s="2101">
        <f t="shared" si="2301"/>
        <v>50751.023500602867</v>
      </c>
      <c r="X1315" s="2101">
        <f t="shared" si="2301"/>
        <v>144209.16251390916</v>
      </c>
      <c r="Y1315" s="2101">
        <f t="shared" si="2301"/>
        <v>69821.295578996185</v>
      </c>
      <c r="Z1315" s="2101">
        <f t="shared" si="2301"/>
        <v>59102.865435490734</v>
      </c>
      <c r="AA1315" s="2101">
        <f t="shared" si="2301"/>
        <v>66414.336337312183</v>
      </c>
      <c r="AB1315" s="2101">
        <f t="shared" si="2301"/>
        <v>75214.349249416075</v>
      </c>
      <c r="AC1315" s="2101">
        <f t="shared" si="2301"/>
        <v>67552.609171966818</v>
      </c>
      <c r="AD1315" s="170">
        <f t="shared" si="2291"/>
        <v>132577.22947543455</v>
      </c>
      <c r="AE1315" s="170">
        <f t="shared" si="2292"/>
        <v>179845.52594254597</v>
      </c>
      <c r="AF1315" s="170">
        <f t="shared" si="2293"/>
        <v>273133.32352839608</v>
      </c>
      <c r="AG1315" s="170">
        <f t="shared" si="2294"/>
        <v>209181.29475869509</v>
      </c>
      <c r="AH1315" s="170">
        <f t="shared" si="2295"/>
        <v>312422.75541798049</v>
      </c>
      <c r="AI1315" s="170">
        <f t="shared" si="2296"/>
        <v>482314.61828709114</v>
      </c>
      <c r="AJ1315" s="170">
        <f t="shared" si="2297"/>
        <v>794737.37370507163</v>
      </c>
    </row>
    <row r="1316" spans="1:36" ht="14.5">
      <c r="A1316" s="990">
        <v>1</v>
      </c>
      <c r="B1316" s="990">
        <v>1</v>
      </c>
      <c r="C1316" s="990" t="s">
        <v>863</v>
      </c>
      <c r="D1316" s="1121" t="s">
        <v>887</v>
      </c>
      <c r="E1316" s="1463" t="s">
        <v>1262</v>
      </c>
      <c r="F1316" s="1459"/>
      <c r="G1316" s="266" t="s">
        <v>94</v>
      </c>
      <c r="H1316" s="266" t="s">
        <v>99</v>
      </c>
      <c r="I1316" s="260" t="s">
        <v>285</v>
      </c>
      <c r="J1316" s="119"/>
      <c r="K1316" s="120"/>
      <c r="L1316" s="120"/>
      <c r="M1316" s="119"/>
      <c r="N1316" s="119"/>
      <c r="O1316" s="119"/>
      <c r="P1316" s="171" t="s">
        <v>135</v>
      </c>
      <c r="Q1316" s="1842" t="str">
        <f>CHOOSE(2, "6722000004234", "Other Seg PL Net Profit (%)")</f>
        <v>Other Seg PL Net Profit (%)</v>
      </c>
      <c r="R1316" s="261">
        <f t="shared" ref="R1316:AC1316" si="2302">IFERROR(R1315/R1294,0)</f>
        <v>7.75546269779257E-2</v>
      </c>
      <c r="S1316" s="261">
        <f t="shared" si="2302"/>
        <v>5.5589174500440729E-2</v>
      </c>
      <c r="T1316" s="261">
        <f t="shared" si="2302"/>
        <v>6.5837701818085181E-2</v>
      </c>
      <c r="U1316" s="261">
        <f t="shared" si="2302"/>
        <v>7.9483224948953018E-2</v>
      </c>
      <c r="V1316" s="261">
        <f t="shared" si="2302"/>
        <v>8.768441804680871E-2</v>
      </c>
      <c r="W1316" s="261">
        <f t="shared" si="2302"/>
        <v>7.1187743191507113E-2</v>
      </c>
      <c r="X1316" s="261">
        <f t="shared" si="2302"/>
        <v>0.1651208987340877</v>
      </c>
      <c r="Y1316" s="261">
        <f t="shared" si="2302"/>
        <v>8.7446812833221893E-2</v>
      </c>
      <c r="Z1316" s="261">
        <f t="shared" si="2302"/>
        <v>6.9063556934346917E-2</v>
      </c>
      <c r="AA1316" s="261">
        <f t="shared" si="2302"/>
        <v>7.9415247709307496E-2</v>
      </c>
      <c r="AB1316" s="261">
        <f t="shared" si="2302"/>
        <v>8.6216266847441089E-2</v>
      </c>
      <c r="AC1316" s="261">
        <f t="shared" si="2302"/>
        <v>8.8068638961165013E-2</v>
      </c>
      <c r="AD1316" s="268">
        <f t="shared" ref="AD1316:AJ1316" si="2303">IFERROR(AD1315/AD1294,0)</f>
        <v>6.6270589137471886E-2</v>
      </c>
      <c r="AE1316" s="268">
        <f t="shared" si="2303"/>
        <v>7.9874125276126459E-2</v>
      </c>
      <c r="AF1316" s="268">
        <f t="shared" si="2303"/>
        <v>0.10806149754266092</v>
      </c>
      <c r="AG1316" s="268">
        <f t="shared" si="2303"/>
        <v>8.4492820632959917E-2</v>
      </c>
      <c r="AH1316" s="268">
        <f t="shared" si="2303"/>
        <v>7.3473966475713096E-2</v>
      </c>
      <c r="AI1316" s="268">
        <f t="shared" si="2303"/>
        <v>9.6399268785001158E-2</v>
      </c>
      <c r="AJ1316" s="268">
        <f t="shared" si="2303"/>
        <v>8.5866892787814023E-2</v>
      </c>
    </row>
    <row r="1317" spans="1:36" ht="14.5">
      <c r="A1317" s="990">
        <v>1</v>
      </c>
      <c r="B1317" s="990">
        <v>1</v>
      </c>
      <c r="C1317" s="990" t="s">
        <v>863</v>
      </c>
      <c r="D1317" s="1121" t="s">
        <v>887</v>
      </c>
      <c r="E1317" s="1463" t="s">
        <v>1262</v>
      </c>
      <c r="F1317" s="1459"/>
      <c r="G1317" s="269" t="s">
        <v>94</v>
      </c>
      <c r="H1317" s="269" t="s">
        <v>99</v>
      </c>
      <c r="Q1317" s="1851" t="str">
        <f>CHOOSE(2, "6722000004235", "▷ Blank 53")</f>
        <v>▷ Blank 53</v>
      </c>
      <c r="R1317" s="2046"/>
      <c r="S1317" s="2046"/>
      <c r="T1317" s="2046"/>
      <c r="U1317" s="2046"/>
      <c r="V1317" s="2046"/>
      <c r="W1317" s="2046"/>
      <c r="X1317" s="2046"/>
      <c r="Y1317" s="2046"/>
      <c r="Z1317" s="2046"/>
      <c r="AA1317" s="270"/>
      <c r="AB1317" s="270"/>
      <c r="AC1317" s="270"/>
      <c r="AD1317" s="270"/>
      <c r="AE1317" s="270"/>
      <c r="AF1317" s="270"/>
      <c r="AG1317" s="270"/>
      <c r="AH1317" s="270"/>
      <c r="AI1317" s="270"/>
      <c r="AJ1317" s="270"/>
    </row>
    <row r="1318" spans="1:36" ht="14.5">
      <c r="A1318" s="990">
        <v>1</v>
      </c>
      <c r="B1318" s="990">
        <v>1</v>
      </c>
      <c r="C1318" s="990" t="s">
        <v>863</v>
      </c>
      <c r="D1318" s="1121" t="s">
        <v>887</v>
      </c>
      <c r="E1318" s="1463" t="s">
        <v>1262</v>
      </c>
      <c r="F1318" s="1459"/>
      <c r="G1318" s="93" t="s">
        <v>1373</v>
      </c>
      <c r="H1318"/>
      <c r="I1318"/>
      <c r="J1318"/>
      <c r="K1318"/>
      <c r="L1318"/>
      <c r="M1318"/>
      <c r="N1318"/>
      <c r="O1318"/>
      <c r="P1318"/>
      <c r="Q1318" s="1911" t="str">
        <f>CHOOSE(2, "6722000004236", "9-2. P/L Statement by BU")</f>
        <v>9-2. P/L Statement by BU</v>
      </c>
      <c r="R1318"/>
      <c r="S1318"/>
      <c r="T1318" s="2800"/>
      <c r="U1318"/>
      <c r="V1318"/>
      <c r="W1318"/>
      <c r="X1318"/>
      <c r="Y1318"/>
      <c r="Z1318"/>
      <c r="AA1318"/>
      <c r="AB1318"/>
      <c r="AC1318"/>
      <c r="AD1318" s="2800"/>
      <c r="AE1318"/>
      <c r="AF1318"/>
      <c r="AG1318"/>
      <c r="AH1318"/>
      <c r="AI1318"/>
      <c r="AJ1318"/>
    </row>
    <row r="1319" spans="1:36" ht="14.5">
      <c r="A1319" s="990">
        <v>1</v>
      </c>
      <c r="B1319" s="990">
        <v>1</v>
      </c>
      <c r="C1319" s="990" t="s">
        <v>863</v>
      </c>
      <c r="D1319" s="1121" t="s">
        <v>887</v>
      </c>
      <c r="E1319" s="1463" t="s">
        <v>1262</v>
      </c>
      <c r="F1319" s="1459"/>
      <c r="G1319"/>
      <c r="H1319" s="5" t="s">
        <v>476</v>
      </c>
      <c r="I1319" s="5"/>
      <c r="J1319" s="4"/>
      <c r="K1319" s="5"/>
      <c r="L1319" s="5"/>
      <c r="M1319" s="4"/>
      <c r="N1319" s="4"/>
      <c r="O1319" s="4"/>
      <c r="P1319" s="4"/>
      <c r="Q1319" s="1839" t="str">
        <f>CHOOSE(2, "6722000004237", "PL (1) BIC")</f>
        <v>PL (1) BIC</v>
      </c>
      <c r="R1319" s="1151"/>
      <c r="S1319" s="1151"/>
      <c r="T1319" s="1151"/>
      <c r="U1319" s="1151"/>
      <c r="V1319" s="1151"/>
      <c r="W1319" s="1151"/>
    </row>
    <row r="1320" spans="1:36" ht="14.5">
      <c r="A1320" s="990">
        <v>1</v>
      </c>
      <c r="B1320" s="990">
        <v>1</v>
      </c>
      <c r="C1320" s="990" t="s">
        <v>863</v>
      </c>
      <c r="D1320" s="1121" t="s">
        <v>887</v>
      </c>
      <c r="E1320" s="1463" t="s">
        <v>1262</v>
      </c>
      <c r="F1320" s="1459"/>
      <c r="G1320"/>
      <c r="H1320" s="5"/>
      <c r="I1320" s="1801" t="s">
        <v>9</v>
      </c>
      <c r="J1320" s="1802"/>
      <c r="K1320" s="1803"/>
      <c r="L1320" s="1803"/>
      <c r="M1320" s="1803"/>
      <c r="N1320" s="1803"/>
      <c r="O1320" s="1803"/>
      <c r="P1320" s="1804"/>
      <c r="Q1320" s="1912" t="str">
        <f>CHOOSE(2, "6722000004238", "BIC Net Sales")</f>
        <v>BIC Net Sales</v>
      </c>
      <c r="R1320" s="2020">
        <v>0</v>
      </c>
      <c r="S1320" s="2020">
        <v>0</v>
      </c>
      <c r="T1320" s="2020">
        <v>0</v>
      </c>
      <c r="U1320" s="2020">
        <v>0</v>
      </c>
      <c r="V1320" s="2020">
        <v>0</v>
      </c>
      <c r="W1320" s="2020">
        <v>0</v>
      </c>
      <c r="X1320" s="2020">
        <v>0</v>
      </c>
      <c r="Y1320" s="2020">
        <v>0</v>
      </c>
      <c r="Z1320" s="2020">
        <v>0</v>
      </c>
      <c r="AA1320" s="2020">
        <v>0</v>
      </c>
      <c r="AB1320" s="2020">
        <v>0</v>
      </c>
      <c r="AC1320" s="2020">
        <v>0</v>
      </c>
      <c r="AD1320" s="1806">
        <f>SUM(R1320,S1320,T1320)</f>
        <v>0</v>
      </c>
      <c r="AE1320" s="1806">
        <f>SUM(U1320,V1320,W1320)</f>
        <v>0</v>
      </c>
      <c r="AF1320" s="1806">
        <f>SUM(X1320,Y1320,Z1320)</f>
        <v>0</v>
      </c>
      <c r="AG1320" s="1806">
        <f>SUM(AA1320,AB1320,AC1320)</f>
        <v>0</v>
      </c>
      <c r="AH1320" s="1806">
        <f>AD1320+AE1320</f>
        <v>0</v>
      </c>
      <c r="AI1320" s="1806">
        <f>AG1320+AF1320</f>
        <v>0</v>
      </c>
      <c r="AJ1320" s="1806">
        <f>AH1320+AI1320</f>
        <v>0</v>
      </c>
    </row>
    <row r="1321" spans="1:36" ht="14.5">
      <c r="A1321" s="990">
        <v>1</v>
      </c>
      <c r="B1321" s="990">
        <v>1</v>
      </c>
      <c r="C1321" s="990" t="s">
        <v>863</v>
      </c>
      <c r="D1321" s="1121" t="s">
        <v>887</v>
      </c>
      <c r="E1321" s="1463" t="s">
        <v>1262</v>
      </c>
      <c r="F1321" s="1459"/>
      <c r="G1321"/>
      <c r="H1321" s="5"/>
      <c r="I1321" s="1807" t="s">
        <v>678</v>
      </c>
      <c r="J1321" s="1802"/>
      <c r="K1321" s="1803"/>
      <c r="L1321" s="1803"/>
      <c r="M1321" s="1808" t="s">
        <v>679</v>
      </c>
      <c r="N1321" s="1803"/>
      <c r="O1321" s="1803"/>
      <c r="P1321" s="1804"/>
      <c r="Q1321" s="1912" t="str">
        <f>CHOOSE(2, "6722000004239", "BIC Consolidated Sales (Excludes Sales to KM-Gr. Companies)")</f>
        <v>BIC Consolidated Sales (Excludes Sales to KM-Gr. Companies)</v>
      </c>
      <c r="R1321" s="2020">
        <v>0</v>
      </c>
      <c r="S1321" s="2020">
        <v>0</v>
      </c>
      <c r="T1321" s="2020">
        <v>0</v>
      </c>
      <c r="U1321" s="2020">
        <v>0</v>
      </c>
      <c r="V1321" s="2020">
        <v>0</v>
      </c>
      <c r="W1321" s="2020">
        <v>0</v>
      </c>
      <c r="X1321" s="2020">
        <v>0</v>
      </c>
      <c r="Y1321" s="2020">
        <v>0</v>
      </c>
      <c r="Z1321" s="2020">
        <v>0</v>
      </c>
      <c r="AA1321" s="2020">
        <v>0</v>
      </c>
      <c r="AB1321" s="2020">
        <v>0</v>
      </c>
      <c r="AC1321" s="2020">
        <v>0</v>
      </c>
      <c r="AD1321" s="1805">
        <f>SUM(R1321,S1321,T1321)</f>
        <v>0</v>
      </c>
      <c r="AE1321" s="1805">
        <f>SUM(U1321,V1321,W1321)</f>
        <v>0</v>
      </c>
      <c r="AF1321" s="1805">
        <f>SUM(X1321,Y1321,Z1321)</f>
        <v>0</v>
      </c>
      <c r="AG1321" s="1805">
        <f>SUM(AA1321,AB1321,AC1321)</f>
        <v>0</v>
      </c>
      <c r="AH1321" s="1805">
        <f>AD1321+AE1321</f>
        <v>0</v>
      </c>
      <c r="AI1321" s="1805">
        <f>AG1321+AF1321</f>
        <v>0</v>
      </c>
      <c r="AJ1321" s="1805">
        <f>AH1321+AI1321</f>
        <v>0</v>
      </c>
    </row>
    <row r="1322" spans="1:36" ht="14.5">
      <c r="A1322" s="990">
        <v>1</v>
      </c>
      <c r="B1322" s="990">
        <v>1</v>
      </c>
      <c r="C1322" s="990" t="s">
        <v>863</v>
      </c>
      <c r="D1322" s="1121" t="s">
        <v>887</v>
      </c>
      <c r="E1322" s="1463" t="s">
        <v>1262</v>
      </c>
      <c r="F1322" s="1459"/>
      <c r="G1322"/>
      <c r="H1322" s="5"/>
      <c r="I1322" s="1801" t="s">
        <v>134</v>
      </c>
      <c r="J1322" s="1802"/>
      <c r="K1322" s="1803"/>
      <c r="L1322" s="1803"/>
      <c r="M1322" s="1803"/>
      <c r="N1322" s="1803"/>
      <c r="O1322" s="1803"/>
      <c r="P1322" s="1804"/>
      <c r="Q1322" s="1912" t="str">
        <f>CHOOSE(2, "6722000004240", "BIC Gross Profit")</f>
        <v>BIC Gross Profit</v>
      </c>
      <c r="R1322" s="2020">
        <v>0</v>
      </c>
      <c r="S1322" s="2020">
        <v>0</v>
      </c>
      <c r="T1322" s="2020">
        <v>0</v>
      </c>
      <c r="U1322" s="2020">
        <v>0</v>
      </c>
      <c r="V1322" s="2020">
        <v>0</v>
      </c>
      <c r="W1322" s="2020">
        <v>0</v>
      </c>
      <c r="X1322" s="2020">
        <v>0</v>
      </c>
      <c r="Y1322" s="2020">
        <v>0</v>
      </c>
      <c r="Z1322" s="2020">
        <v>0</v>
      </c>
      <c r="AA1322" s="2020">
        <v>0</v>
      </c>
      <c r="AB1322" s="2020">
        <v>0</v>
      </c>
      <c r="AC1322" s="2020">
        <v>0</v>
      </c>
      <c r="AD1322" s="1806">
        <f>SUM(R1322,S1322,T1322)</f>
        <v>0</v>
      </c>
      <c r="AE1322" s="1806">
        <f>SUM(U1322,V1322,W1322)</f>
        <v>0</v>
      </c>
      <c r="AF1322" s="1806">
        <f>SUM(X1322,Y1322,Z1322)</f>
        <v>0</v>
      </c>
      <c r="AG1322" s="1806">
        <f>SUM(AA1322,AB1322,AC1322)</f>
        <v>0</v>
      </c>
      <c r="AH1322" s="1806">
        <f>AD1322+AE1322</f>
        <v>0</v>
      </c>
      <c r="AI1322" s="1806">
        <f>AG1322+AF1322</f>
        <v>0</v>
      </c>
      <c r="AJ1322" s="1806">
        <f>AH1322+AI1322</f>
        <v>0</v>
      </c>
    </row>
    <row r="1323" spans="1:36" ht="14.5">
      <c r="A1323" s="990">
        <v>1</v>
      </c>
      <c r="B1323" s="990">
        <v>1</v>
      </c>
      <c r="C1323" s="990" t="s">
        <v>863</v>
      </c>
      <c r="D1323" s="1121" t="s">
        <v>887</v>
      </c>
      <c r="E1323" s="1463" t="s">
        <v>1262</v>
      </c>
      <c r="F1323" s="1459"/>
      <c r="G1323"/>
      <c r="H1323" s="5"/>
      <c r="I1323" s="30"/>
      <c r="J1323" s="4" t="s">
        <v>198</v>
      </c>
      <c r="K1323" s="5"/>
      <c r="L1323" s="5"/>
      <c r="M1323" s="5"/>
      <c r="N1323" s="5"/>
      <c r="O1323" s="5"/>
      <c r="P1323" s="91"/>
      <c r="Q1323" s="1850" t="str">
        <f>CHOOSE(2, "6722000004241", "BIC Gross Profit (%)")</f>
        <v>BIC Gross Profit (%)</v>
      </c>
      <c r="R1323" s="90">
        <f t="shared" ref="R1323:AC1323" si="2304">IFERROR(R1322/R1320,0)</f>
        <v>0</v>
      </c>
      <c r="S1323" s="90">
        <f t="shared" si="2304"/>
        <v>0</v>
      </c>
      <c r="T1323" s="90">
        <f t="shared" si="2304"/>
        <v>0</v>
      </c>
      <c r="U1323" s="90">
        <f t="shared" si="2304"/>
        <v>0</v>
      </c>
      <c r="V1323" s="90">
        <f t="shared" si="2304"/>
        <v>0</v>
      </c>
      <c r="W1323" s="90">
        <f t="shared" si="2304"/>
        <v>0</v>
      </c>
      <c r="X1323" s="90">
        <f t="shared" si="2304"/>
        <v>0</v>
      </c>
      <c r="Y1323" s="90">
        <f t="shared" si="2304"/>
        <v>0</v>
      </c>
      <c r="Z1323" s="90">
        <f t="shared" si="2304"/>
        <v>0</v>
      </c>
      <c r="AA1323" s="90">
        <f t="shared" si="2304"/>
        <v>0</v>
      </c>
      <c r="AB1323" s="90">
        <f t="shared" si="2304"/>
        <v>0</v>
      </c>
      <c r="AC1323" s="90">
        <f t="shared" si="2304"/>
        <v>0</v>
      </c>
      <c r="AD1323" s="90">
        <f t="shared" ref="AD1323:AJ1323" si="2305">IFERROR(AD1322/AD1320,0)</f>
        <v>0</v>
      </c>
      <c r="AE1323" s="90">
        <f t="shared" si="2305"/>
        <v>0</v>
      </c>
      <c r="AF1323" s="90">
        <f t="shared" si="2305"/>
        <v>0</v>
      </c>
      <c r="AG1323" s="90">
        <f t="shared" si="2305"/>
        <v>0</v>
      </c>
      <c r="AH1323" s="90">
        <f t="shared" si="2305"/>
        <v>0</v>
      </c>
      <c r="AI1323" s="90">
        <f t="shared" si="2305"/>
        <v>0</v>
      </c>
      <c r="AJ1323" s="90">
        <f t="shared" si="2305"/>
        <v>0</v>
      </c>
    </row>
    <row r="1324" spans="1:36" ht="14.5">
      <c r="A1324" s="990">
        <v>1</v>
      </c>
      <c r="B1324" s="990">
        <v>1</v>
      </c>
      <c r="C1324" s="990" t="s">
        <v>863</v>
      </c>
      <c r="D1324" s="1121" t="s">
        <v>887</v>
      </c>
      <c r="E1324" s="1463" t="s">
        <v>1262</v>
      </c>
      <c r="F1324" s="1459"/>
      <c r="G1324"/>
      <c r="H1324" s="5"/>
      <c r="I1324" s="1809" t="s">
        <v>97</v>
      </c>
      <c r="J1324" s="1810"/>
      <c r="K1324" s="1811"/>
      <c r="L1324" s="1811"/>
      <c r="M1324" s="1811"/>
      <c r="N1324" s="1811"/>
      <c r="O1324" s="1811"/>
      <c r="P1324" s="1812"/>
      <c r="Q1324" s="1912" t="str">
        <f>CHOOSE(2, "6722000004242", "BIC SGA Expenses")</f>
        <v>BIC SGA Expenses</v>
      </c>
      <c r="R1324" s="1813">
        <f t="shared" ref="R1324" si="2306">SUM(R1325:R1327)</f>
        <v>0</v>
      </c>
      <c r="S1324" s="1813">
        <f t="shared" ref="S1324:AC1324" si="2307">SUM(S1325:S1327)</f>
        <v>0</v>
      </c>
      <c r="T1324" s="1813">
        <f t="shared" si="2307"/>
        <v>0</v>
      </c>
      <c r="U1324" s="1813">
        <f t="shared" si="2307"/>
        <v>0</v>
      </c>
      <c r="V1324" s="1813">
        <f t="shared" si="2307"/>
        <v>0</v>
      </c>
      <c r="W1324" s="1813">
        <f t="shared" si="2307"/>
        <v>0</v>
      </c>
      <c r="X1324" s="1813">
        <f t="shared" si="2307"/>
        <v>0</v>
      </c>
      <c r="Y1324" s="1813">
        <f t="shared" si="2307"/>
        <v>0</v>
      </c>
      <c r="Z1324" s="1813">
        <f t="shared" si="2307"/>
        <v>0</v>
      </c>
      <c r="AA1324" s="1813">
        <f t="shared" si="2307"/>
        <v>0</v>
      </c>
      <c r="AB1324" s="1813">
        <f t="shared" si="2307"/>
        <v>0</v>
      </c>
      <c r="AC1324" s="1813">
        <f t="shared" si="2307"/>
        <v>0</v>
      </c>
      <c r="AD1324" s="1813">
        <f>SUM(R1324,S1324,T1324)</f>
        <v>0</v>
      </c>
      <c r="AE1324" s="1813">
        <f>SUM(U1324,V1324,W1324)</f>
        <v>0</v>
      </c>
      <c r="AF1324" s="1813">
        <f>SUM(X1324,Y1324,Z1324)</f>
        <v>0</v>
      </c>
      <c r="AG1324" s="1813">
        <f>SUM(AA1324,AB1324,AC1324)</f>
        <v>0</v>
      </c>
      <c r="AH1324" s="1813">
        <f>AD1324+AE1324</f>
        <v>0</v>
      </c>
      <c r="AI1324" s="1813">
        <f>AG1324+AF1324</f>
        <v>0</v>
      </c>
      <c r="AJ1324" s="1813">
        <f>AH1324+AI1324</f>
        <v>0</v>
      </c>
    </row>
    <row r="1325" spans="1:36" ht="14.5">
      <c r="A1325" s="990">
        <v>1</v>
      </c>
      <c r="B1325" s="990">
        <v>1</v>
      </c>
      <c r="C1325" s="990" t="s">
        <v>863</v>
      </c>
      <c r="D1325" s="1121" t="s">
        <v>887</v>
      </c>
      <c r="E1325" s="1463" t="s">
        <v>1262</v>
      </c>
      <c r="F1325" s="1459"/>
      <c r="G1325"/>
      <c r="H1325" s="5"/>
      <c r="I1325" s="30"/>
      <c r="J1325" s="40" t="s">
        <v>578</v>
      </c>
      <c r="K1325" s="5"/>
      <c r="L1325" s="5"/>
      <c r="M1325" s="4"/>
      <c r="N1325" s="4"/>
      <c r="O1325" s="4"/>
      <c r="P1325" s="29"/>
      <c r="Q1325" s="1855" t="str">
        <f>CHOOSE(2, "6722000004243", "BIC SGA Expenses Variable Expenses")</f>
        <v>BIC SGA Expenses Variable Expenses</v>
      </c>
      <c r="R1325" s="2039">
        <v>0</v>
      </c>
      <c r="S1325" s="2039">
        <v>0</v>
      </c>
      <c r="T1325" s="2039">
        <v>0</v>
      </c>
      <c r="U1325" s="2039">
        <v>0</v>
      </c>
      <c r="V1325" s="2039">
        <v>0</v>
      </c>
      <c r="W1325" s="2039">
        <v>0</v>
      </c>
      <c r="X1325" s="2039">
        <v>0</v>
      </c>
      <c r="Y1325" s="2039">
        <v>0</v>
      </c>
      <c r="Z1325" s="2039">
        <v>0</v>
      </c>
      <c r="AA1325" s="2039">
        <v>0</v>
      </c>
      <c r="AB1325" s="2039">
        <v>0</v>
      </c>
      <c r="AC1325" s="2039">
        <v>0</v>
      </c>
      <c r="AD1325" s="89">
        <f>SUM(R1325:T1325)</f>
        <v>0</v>
      </c>
      <c r="AE1325" s="89">
        <f>SUM(U1325:W1325)</f>
        <v>0</v>
      </c>
      <c r="AF1325" s="89">
        <f>SUM(X1325:Z1325)</f>
        <v>0</v>
      </c>
      <c r="AG1325" s="89">
        <f>SUM(AA1325:AC1325)</f>
        <v>0</v>
      </c>
      <c r="AH1325" s="89">
        <f>AD1325+AE1325</f>
        <v>0</v>
      </c>
      <c r="AI1325" s="89">
        <f>AG1325+AF1325</f>
        <v>0</v>
      </c>
      <c r="AJ1325" s="89">
        <f>AH1325+AI1325</f>
        <v>0</v>
      </c>
    </row>
    <row r="1326" spans="1:36" ht="14.5">
      <c r="A1326" s="990">
        <v>1</v>
      </c>
      <c r="B1326" s="990">
        <v>1</v>
      </c>
      <c r="C1326" s="990" t="s">
        <v>863</v>
      </c>
      <c r="D1326" s="1121" t="s">
        <v>887</v>
      </c>
      <c r="E1326" s="1463" t="s">
        <v>1262</v>
      </c>
      <c r="F1326" s="1459"/>
      <c r="G1326"/>
      <c r="H1326" s="5"/>
      <c r="I1326" s="30"/>
      <c r="J1326" s="40" t="s">
        <v>579</v>
      </c>
      <c r="K1326" s="5"/>
      <c r="L1326" s="5"/>
      <c r="M1326" s="4"/>
      <c r="N1326" s="4"/>
      <c r="O1326" s="4"/>
      <c r="P1326" s="29"/>
      <c r="Q1326" s="1855" t="str">
        <f>CHOOSE(2, "6722000004244", "BIC SGA Expenses Wages &amp; Salaries")</f>
        <v>BIC SGA Expenses Wages &amp; Salaries</v>
      </c>
      <c r="R1326" s="2039">
        <v>0</v>
      </c>
      <c r="S1326" s="2039">
        <v>0</v>
      </c>
      <c r="T1326" s="2039">
        <v>0</v>
      </c>
      <c r="U1326" s="2039">
        <v>0</v>
      </c>
      <c r="V1326" s="2039">
        <v>0</v>
      </c>
      <c r="W1326" s="2039">
        <v>0</v>
      </c>
      <c r="X1326" s="2039">
        <v>0</v>
      </c>
      <c r="Y1326" s="2039">
        <v>0</v>
      </c>
      <c r="Z1326" s="2039">
        <v>0</v>
      </c>
      <c r="AA1326" s="2039">
        <v>0</v>
      </c>
      <c r="AB1326" s="2039">
        <v>0</v>
      </c>
      <c r="AC1326" s="2039">
        <v>0</v>
      </c>
      <c r="AD1326" s="89">
        <f>SUM(R1326:T1326)</f>
        <v>0</v>
      </c>
      <c r="AE1326" s="89">
        <f>SUM(U1326:W1326)</f>
        <v>0</v>
      </c>
      <c r="AF1326" s="89">
        <f>SUM(X1326:Z1326)</f>
        <v>0</v>
      </c>
      <c r="AG1326" s="89">
        <f>SUM(AA1326:AC1326)</f>
        <v>0</v>
      </c>
      <c r="AH1326" s="89">
        <f>AD1326+AE1326</f>
        <v>0</v>
      </c>
      <c r="AI1326" s="89">
        <f>AG1326+AF1326</f>
        <v>0</v>
      </c>
      <c r="AJ1326" s="89">
        <f>AH1326+AI1326</f>
        <v>0</v>
      </c>
    </row>
    <row r="1327" spans="1:36" ht="14.5">
      <c r="A1327" s="990">
        <v>1</v>
      </c>
      <c r="B1327" s="990">
        <v>1</v>
      </c>
      <c r="C1327" s="990" t="s">
        <v>863</v>
      </c>
      <c r="D1327" s="1121" t="s">
        <v>887</v>
      </c>
      <c r="E1327" s="1463" t="s">
        <v>1262</v>
      </c>
      <c r="F1327" s="1459"/>
      <c r="G1327"/>
      <c r="H1327" s="5"/>
      <c r="I1327" s="30"/>
      <c r="J1327" s="40" t="s">
        <v>577</v>
      </c>
      <c r="K1327" s="52"/>
      <c r="L1327" s="52"/>
      <c r="M1327" s="51"/>
      <c r="N1327" s="51"/>
      <c r="O1327" s="51"/>
      <c r="P1327" s="50"/>
      <c r="Q1327" s="1855" t="str">
        <f>CHOOSE(2, "6722000004245", "BIC SGA Expenses Fixed Expenses")</f>
        <v>BIC SGA Expenses Fixed Expenses</v>
      </c>
      <c r="R1327" s="2043">
        <v>0</v>
      </c>
      <c r="S1327" s="2043">
        <v>0</v>
      </c>
      <c r="T1327" s="2043">
        <v>0</v>
      </c>
      <c r="U1327" s="2043">
        <v>0</v>
      </c>
      <c r="V1327" s="2043">
        <v>0</v>
      </c>
      <c r="W1327" s="2043">
        <v>0</v>
      </c>
      <c r="X1327" s="2043">
        <v>0</v>
      </c>
      <c r="Y1327" s="2043">
        <v>0</v>
      </c>
      <c r="Z1327" s="2043">
        <v>0</v>
      </c>
      <c r="AA1327" s="2043">
        <v>0</v>
      </c>
      <c r="AB1327" s="2043">
        <v>0</v>
      </c>
      <c r="AC1327" s="2043">
        <v>0</v>
      </c>
      <c r="AD1327" s="134">
        <f>SUM(R1327:T1327)</f>
        <v>0</v>
      </c>
      <c r="AE1327" s="134">
        <f>SUM(U1327:W1327)</f>
        <v>0</v>
      </c>
      <c r="AF1327" s="134">
        <f>SUM(X1327:Z1327)</f>
        <v>0</v>
      </c>
      <c r="AG1327" s="134">
        <f>SUM(AA1327:AC1327)</f>
        <v>0</v>
      </c>
      <c r="AH1327" s="134">
        <f>AD1327+AE1327</f>
        <v>0</v>
      </c>
      <c r="AI1327" s="134">
        <f>AG1327+AF1327</f>
        <v>0</v>
      </c>
      <c r="AJ1327" s="134">
        <f>AH1327+AI1327</f>
        <v>0</v>
      </c>
    </row>
    <row r="1328" spans="1:36" ht="14.5">
      <c r="A1328" s="990">
        <v>1</v>
      </c>
      <c r="B1328" s="990">
        <v>1</v>
      </c>
      <c r="C1328" s="990" t="s">
        <v>863</v>
      </c>
      <c r="D1328" s="1121" t="s">
        <v>887</v>
      </c>
      <c r="E1328" s="1463" t="s">
        <v>1262</v>
      </c>
      <c r="F1328" s="1459"/>
      <c r="G1328"/>
      <c r="H1328" s="5"/>
      <c r="I1328" s="1814" t="s">
        <v>136</v>
      </c>
      <c r="J1328" s="1815"/>
      <c r="K1328" s="1816"/>
      <c r="L1328" s="1816"/>
      <c r="M1328" s="1816"/>
      <c r="N1328" s="1816"/>
      <c r="O1328" s="1816"/>
      <c r="P1328" s="1817"/>
      <c r="Q1328" s="1840" t="str">
        <f>CHOOSE(2, "6722000004246", "BIC Business Contribution Profit")</f>
        <v>BIC Business Contribution Profit</v>
      </c>
      <c r="R1328" s="2011">
        <f t="shared" ref="R1328:AC1328" si="2308">R1322-R1324</f>
        <v>0</v>
      </c>
      <c r="S1328" s="2011">
        <f t="shared" si="2308"/>
        <v>0</v>
      </c>
      <c r="T1328" s="2011">
        <f t="shared" si="2308"/>
        <v>0</v>
      </c>
      <c r="U1328" s="2011">
        <f t="shared" si="2308"/>
        <v>0</v>
      </c>
      <c r="V1328" s="2011">
        <f t="shared" si="2308"/>
        <v>0</v>
      </c>
      <c r="W1328" s="2011">
        <f t="shared" si="2308"/>
        <v>0</v>
      </c>
      <c r="X1328" s="2011">
        <f t="shared" si="2308"/>
        <v>0</v>
      </c>
      <c r="Y1328" s="2011">
        <f t="shared" si="2308"/>
        <v>0</v>
      </c>
      <c r="Z1328" s="2011">
        <f t="shared" si="2308"/>
        <v>0</v>
      </c>
      <c r="AA1328" s="2011">
        <f t="shared" si="2308"/>
        <v>0</v>
      </c>
      <c r="AB1328" s="2011">
        <f t="shared" si="2308"/>
        <v>0</v>
      </c>
      <c r="AC1328" s="2011">
        <f t="shared" si="2308"/>
        <v>0</v>
      </c>
      <c r="AD1328" s="181">
        <f t="shared" ref="AD1328:AJ1328" si="2309">AD1322-AD1324</f>
        <v>0</v>
      </c>
      <c r="AE1328" s="181">
        <f t="shared" si="2309"/>
        <v>0</v>
      </c>
      <c r="AF1328" s="181">
        <f t="shared" si="2309"/>
        <v>0</v>
      </c>
      <c r="AG1328" s="181">
        <f t="shared" si="2309"/>
        <v>0</v>
      </c>
      <c r="AH1328" s="181">
        <f t="shared" si="2309"/>
        <v>0</v>
      </c>
      <c r="AI1328" s="181">
        <f t="shared" si="2309"/>
        <v>0</v>
      </c>
      <c r="AJ1328" s="181">
        <f t="shared" si="2309"/>
        <v>0</v>
      </c>
    </row>
    <row r="1329" spans="1:36" ht="14.5">
      <c r="A1329" s="990">
        <v>1</v>
      </c>
      <c r="B1329" s="990">
        <v>1</v>
      </c>
      <c r="C1329" s="990" t="s">
        <v>863</v>
      </c>
      <c r="D1329" s="1121" t="s">
        <v>887</v>
      </c>
      <c r="E1329" s="1463" t="s">
        <v>1262</v>
      </c>
      <c r="F1329" s="1459"/>
      <c r="G1329"/>
      <c r="H1329" s="5"/>
      <c r="I1329" s="28"/>
      <c r="J1329" s="2" t="s">
        <v>135</v>
      </c>
      <c r="K1329" s="3"/>
      <c r="L1329" s="3"/>
      <c r="M1329" s="2"/>
      <c r="N1329" s="2"/>
      <c r="O1329" s="2"/>
      <c r="P1329" s="27"/>
      <c r="Q1329" s="1857" t="str">
        <f>CHOOSE(2, "6722000004247", "BIC Business Contribution Profit (%)")</f>
        <v>BIC Business Contribution Profit (%)</v>
      </c>
      <c r="R1329" s="124">
        <f t="shared" ref="R1329:AC1329" si="2310">IFERROR(R1328/R1320,0)</f>
        <v>0</v>
      </c>
      <c r="S1329" s="124">
        <f t="shared" si="2310"/>
        <v>0</v>
      </c>
      <c r="T1329" s="124">
        <f t="shared" si="2310"/>
        <v>0</v>
      </c>
      <c r="U1329" s="124">
        <f t="shared" si="2310"/>
        <v>0</v>
      </c>
      <c r="V1329" s="124">
        <f t="shared" si="2310"/>
        <v>0</v>
      </c>
      <c r="W1329" s="124">
        <f t="shared" si="2310"/>
        <v>0</v>
      </c>
      <c r="X1329" s="124">
        <f t="shared" si="2310"/>
        <v>0</v>
      </c>
      <c r="Y1329" s="124">
        <f t="shared" si="2310"/>
        <v>0</v>
      </c>
      <c r="Z1329" s="124">
        <f t="shared" si="2310"/>
        <v>0</v>
      </c>
      <c r="AA1329" s="124">
        <f t="shared" si="2310"/>
        <v>0</v>
      </c>
      <c r="AB1329" s="124">
        <f t="shared" si="2310"/>
        <v>0</v>
      </c>
      <c r="AC1329" s="124">
        <f t="shared" si="2310"/>
        <v>0</v>
      </c>
      <c r="AD1329" s="124">
        <f t="shared" ref="AD1329:AJ1329" si="2311">IFERROR(AD1328/AD1320,0)</f>
        <v>0</v>
      </c>
      <c r="AE1329" s="124">
        <f t="shared" si="2311"/>
        <v>0</v>
      </c>
      <c r="AF1329" s="124">
        <f t="shared" si="2311"/>
        <v>0</v>
      </c>
      <c r="AG1329" s="124">
        <f t="shared" si="2311"/>
        <v>0</v>
      </c>
      <c r="AH1329" s="124">
        <f t="shared" si="2311"/>
        <v>0</v>
      </c>
      <c r="AI1329" s="124">
        <f t="shared" si="2311"/>
        <v>0</v>
      </c>
      <c r="AJ1329" s="124">
        <f t="shared" si="2311"/>
        <v>0</v>
      </c>
    </row>
    <row r="1330" spans="1:36" ht="14.5">
      <c r="A1330" s="990">
        <v>1</v>
      </c>
      <c r="B1330" s="990">
        <v>1</v>
      </c>
      <c r="C1330" s="990" t="s">
        <v>863</v>
      </c>
      <c r="D1330" s="1121" t="s">
        <v>887</v>
      </c>
      <c r="E1330" s="1463" t="s">
        <v>1262</v>
      </c>
      <c r="F1330" s="1459"/>
      <c r="G1330"/>
      <c r="H1330" s="5"/>
      <c r="I1330" s="58" t="s">
        <v>575</v>
      </c>
      <c r="J1330" s="555"/>
      <c r="K1330" s="636"/>
      <c r="L1330" s="636"/>
      <c r="M1330" s="555"/>
      <c r="N1330" s="555"/>
      <c r="O1330" s="555"/>
      <c r="P1330" s="637"/>
      <c r="Q1330" s="1855" t="str">
        <f>CHOOSE(2, "6722000004248", "BIC Other Income")</f>
        <v>BIC Other Income</v>
      </c>
      <c r="R1330" s="2015">
        <v>0</v>
      </c>
      <c r="S1330" s="2761">
        <v>0</v>
      </c>
      <c r="T1330" s="2761">
        <v>0</v>
      </c>
      <c r="U1330" s="2761">
        <v>0</v>
      </c>
      <c r="V1330" s="2761">
        <v>0</v>
      </c>
      <c r="W1330" s="2761">
        <v>0</v>
      </c>
      <c r="X1330" s="2761">
        <v>0</v>
      </c>
      <c r="Y1330" s="2761">
        <v>0</v>
      </c>
      <c r="Z1330" s="2761">
        <v>0</v>
      </c>
      <c r="AA1330" s="2761">
        <v>0</v>
      </c>
      <c r="AB1330" s="2761">
        <v>0</v>
      </c>
      <c r="AC1330" s="2761">
        <v>0</v>
      </c>
      <c r="AD1330" s="117">
        <f>SUM(R1330,S1330,T1330)</f>
        <v>0</v>
      </c>
      <c r="AE1330" s="117">
        <f>SUM(U1330,V1330,W1330)</f>
        <v>0</v>
      </c>
      <c r="AF1330" s="117">
        <f>SUM(X1330,Y1330,Z1330)</f>
        <v>0</v>
      </c>
      <c r="AG1330" s="117">
        <f>SUM(AA1330,AB1330,AC1330)</f>
        <v>0</v>
      </c>
      <c r="AH1330" s="117">
        <f>AD1330+AE1330</f>
        <v>0</v>
      </c>
      <c r="AI1330" s="117">
        <f>AG1330+AF1330</f>
        <v>0</v>
      </c>
      <c r="AJ1330" s="117">
        <f>AH1330+AI1330</f>
        <v>0</v>
      </c>
    </row>
    <row r="1331" spans="1:36" ht="14.5">
      <c r="A1331" s="990">
        <v>1</v>
      </c>
      <c r="B1331" s="990">
        <v>1</v>
      </c>
      <c r="C1331" s="990" t="s">
        <v>863</v>
      </c>
      <c r="D1331" s="1121" t="s">
        <v>887</v>
      </c>
      <c r="E1331" s="1463" t="s">
        <v>1262</v>
      </c>
      <c r="F1331" s="1459"/>
      <c r="G1331"/>
      <c r="H1331" s="5"/>
      <c r="I1331" s="121" t="s">
        <v>580</v>
      </c>
      <c r="J1331" s="119"/>
      <c r="K1331" s="120"/>
      <c r="L1331" s="120"/>
      <c r="M1331" s="119"/>
      <c r="N1331" s="119"/>
      <c r="O1331" s="119"/>
      <c r="P1331" s="118"/>
      <c r="Q1331" s="1855" t="str">
        <f>CHOOSE(2, "6722000004249", "BIC Other Expenses")</f>
        <v>BIC Other Expenses</v>
      </c>
      <c r="R1331" s="2035">
        <v>0</v>
      </c>
      <c r="S1331" s="2762">
        <v>0</v>
      </c>
      <c r="T1331" s="2762">
        <v>0</v>
      </c>
      <c r="U1331" s="2762">
        <v>0</v>
      </c>
      <c r="V1331" s="2762">
        <v>0</v>
      </c>
      <c r="W1331" s="2762">
        <v>0</v>
      </c>
      <c r="X1331" s="2762">
        <v>0</v>
      </c>
      <c r="Y1331" s="2762">
        <v>0</v>
      </c>
      <c r="Z1331" s="2762">
        <v>0</v>
      </c>
      <c r="AA1331" s="2762">
        <v>0</v>
      </c>
      <c r="AB1331" s="2762">
        <v>0</v>
      </c>
      <c r="AC1331" s="2762">
        <v>0</v>
      </c>
      <c r="AD1331" s="118">
        <f>SUM(R1331,S1331,T1331)</f>
        <v>0</v>
      </c>
      <c r="AE1331" s="118">
        <f>SUM(U1331,V1331,W1331)</f>
        <v>0</v>
      </c>
      <c r="AF1331" s="118">
        <f>SUM(X1331,Y1331,Z1331)</f>
        <v>0</v>
      </c>
      <c r="AG1331" s="118">
        <f>SUM(AA1331,AB1331,AC1331)</f>
        <v>0</v>
      </c>
      <c r="AH1331" s="118">
        <f>AD1331+AE1331</f>
        <v>0</v>
      </c>
      <c r="AI1331" s="118">
        <f>AG1331+AF1331</f>
        <v>0</v>
      </c>
      <c r="AJ1331" s="118">
        <f>AH1331+AI1331</f>
        <v>0</v>
      </c>
    </row>
    <row r="1332" spans="1:36" ht="14.5">
      <c r="A1332" s="990">
        <v>1</v>
      </c>
      <c r="B1332" s="990">
        <v>1</v>
      </c>
      <c r="C1332" s="990" t="s">
        <v>863</v>
      </c>
      <c r="D1332" s="1121" t="s">
        <v>887</v>
      </c>
      <c r="E1332" s="1463" t="s">
        <v>1262</v>
      </c>
      <c r="F1332" s="1459"/>
      <c r="G1332"/>
      <c r="H1332" s="5"/>
      <c r="I1332" s="1814" t="s">
        <v>576</v>
      </c>
      <c r="J1332" s="1815"/>
      <c r="K1332" s="1816"/>
      <c r="L1332" s="1816"/>
      <c r="M1332" s="1816"/>
      <c r="N1332" s="1816"/>
      <c r="O1332" s="1816"/>
      <c r="P1332" s="1817"/>
      <c r="Q1332" s="1840" t="str">
        <f>CHOOSE(2, "6722000004250", "BIC Operating Profit")</f>
        <v>BIC Operating Profit</v>
      </c>
      <c r="R1332" s="2011">
        <f t="shared" ref="R1332:AC1332" si="2312">R1328+R1330-R1331</f>
        <v>0</v>
      </c>
      <c r="S1332" s="2002">
        <f t="shared" si="2312"/>
        <v>0</v>
      </c>
      <c r="T1332" s="2002">
        <f t="shared" si="2312"/>
        <v>0</v>
      </c>
      <c r="U1332" s="2002">
        <f t="shared" si="2312"/>
        <v>0</v>
      </c>
      <c r="V1332" s="2002">
        <f t="shared" si="2312"/>
        <v>0</v>
      </c>
      <c r="W1332" s="2002">
        <f t="shared" si="2312"/>
        <v>0</v>
      </c>
      <c r="X1332" s="2002">
        <f t="shared" si="2312"/>
        <v>0</v>
      </c>
      <c r="Y1332" s="2002">
        <f t="shared" si="2312"/>
        <v>0</v>
      </c>
      <c r="Z1332" s="2002">
        <f t="shared" si="2312"/>
        <v>0</v>
      </c>
      <c r="AA1332" s="2002">
        <f t="shared" si="2312"/>
        <v>0</v>
      </c>
      <c r="AB1332" s="2002">
        <f t="shared" si="2312"/>
        <v>0</v>
      </c>
      <c r="AC1332" s="2002">
        <f t="shared" si="2312"/>
        <v>0</v>
      </c>
      <c r="AD1332" s="1818">
        <f t="shared" ref="AD1332:AJ1332" si="2313">AD1328+AD1330-AD1331</f>
        <v>0</v>
      </c>
      <c r="AE1332" s="1818">
        <f t="shared" si="2313"/>
        <v>0</v>
      </c>
      <c r="AF1332" s="1818">
        <f t="shared" si="2313"/>
        <v>0</v>
      </c>
      <c r="AG1332" s="1818">
        <f t="shared" si="2313"/>
        <v>0</v>
      </c>
      <c r="AH1332" s="1818">
        <f t="shared" si="2313"/>
        <v>0</v>
      </c>
      <c r="AI1332" s="1818">
        <f t="shared" si="2313"/>
        <v>0</v>
      </c>
      <c r="AJ1332" s="1818">
        <f t="shared" si="2313"/>
        <v>0</v>
      </c>
    </row>
    <row r="1333" spans="1:36" ht="14.5">
      <c r="A1333" s="990">
        <v>1</v>
      </c>
      <c r="B1333" s="990">
        <v>1</v>
      </c>
      <c r="C1333" s="990" t="s">
        <v>863</v>
      </c>
      <c r="D1333" s="1121" t="s">
        <v>887</v>
      </c>
      <c r="E1333" s="1463" t="s">
        <v>1262</v>
      </c>
      <c r="F1333" s="1459"/>
      <c r="G1333"/>
      <c r="H1333" s="5"/>
      <c r="I1333" s="28"/>
      <c r="J1333" s="2" t="s">
        <v>135</v>
      </c>
      <c r="K1333" s="3"/>
      <c r="L1333" s="3"/>
      <c r="M1333" s="2"/>
      <c r="N1333" s="2"/>
      <c r="O1333" s="2"/>
      <c r="P1333" s="27"/>
      <c r="Q1333" s="1857" t="str">
        <f>CHOOSE(2, "6722000004251", "BIC Operating Profit (%)")</f>
        <v>BIC Operating Profit (%)</v>
      </c>
      <c r="R1333" s="124">
        <f t="shared" ref="R1333:AC1333" si="2314">IFERROR(R1332/R1320,0)</f>
        <v>0</v>
      </c>
      <c r="S1333" s="124">
        <f t="shared" si="2314"/>
        <v>0</v>
      </c>
      <c r="T1333" s="124">
        <f t="shared" si="2314"/>
        <v>0</v>
      </c>
      <c r="U1333" s="124">
        <f t="shared" si="2314"/>
        <v>0</v>
      </c>
      <c r="V1333" s="124">
        <f t="shared" si="2314"/>
        <v>0</v>
      </c>
      <c r="W1333" s="124">
        <f t="shared" si="2314"/>
        <v>0</v>
      </c>
      <c r="X1333" s="124">
        <f t="shared" si="2314"/>
        <v>0</v>
      </c>
      <c r="Y1333" s="124">
        <f t="shared" si="2314"/>
        <v>0</v>
      </c>
      <c r="Z1333" s="124">
        <f t="shared" si="2314"/>
        <v>0</v>
      </c>
      <c r="AA1333" s="124">
        <f t="shared" si="2314"/>
        <v>0</v>
      </c>
      <c r="AB1333" s="124">
        <f t="shared" si="2314"/>
        <v>0</v>
      </c>
      <c r="AC1333" s="124">
        <f t="shared" si="2314"/>
        <v>0</v>
      </c>
      <c r="AD1333" s="124">
        <f t="shared" ref="AD1333:AJ1333" si="2315">IFERROR(AD1332/AD1320,0)</f>
        <v>0</v>
      </c>
      <c r="AE1333" s="124">
        <f t="shared" si="2315"/>
        <v>0</v>
      </c>
      <c r="AF1333" s="124">
        <f t="shared" si="2315"/>
        <v>0</v>
      </c>
      <c r="AG1333" s="124">
        <f t="shared" si="2315"/>
        <v>0</v>
      </c>
      <c r="AH1333" s="124">
        <f t="shared" si="2315"/>
        <v>0</v>
      </c>
      <c r="AI1333" s="124">
        <f t="shared" si="2315"/>
        <v>0</v>
      </c>
      <c r="AJ1333" s="124">
        <f t="shared" si="2315"/>
        <v>0</v>
      </c>
    </row>
    <row r="1334" spans="1:36" ht="14.5">
      <c r="A1334" s="990">
        <v>1</v>
      </c>
      <c r="B1334" s="990">
        <v>1</v>
      </c>
      <c r="C1334" s="990" t="s">
        <v>863</v>
      </c>
      <c r="D1334" s="1121" t="s">
        <v>887</v>
      </c>
      <c r="E1334" s="1463" t="s">
        <v>1262</v>
      </c>
      <c r="F1334" s="1459"/>
      <c r="G1334"/>
      <c r="H1334" s="5"/>
      <c r="I1334" s="5"/>
      <c r="J1334" s="4"/>
      <c r="K1334" s="5"/>
      <c r="L1334" s="5"/>
      <c r="M1334" s="4"/>
      <c r="N1334" s="4"/>
      <c r="O1334" s="4"/>
      <c r="P1334" s="4"/>
      <c r="Q1334" s="1913" t="str">
        <f>CHOOSE(2, "6722000004252", "▷ Blank 54")</f>
        <v>▷ Blank 54</v>
      </c>
      <c r="R1334" s="133"/>
      <c r="S1334" s="133"/>
      <c r="T1334" s="133"/>
      <c r="U1334" s="133"/>
      <c r="V1334" s="133"/>
      <c r="W1334" s="133"/>
      <c r="X1334" s="133"/>
      <c r="Y1334" s="133"/>
      <c r="Z1334" s="133"/>
      <c r="AA1334" s="133"/>
      <c r="AB1334" s="133"/>
      <c r="AC1334" s="133"/>
      <c r="AD1334" s="133"/>
      <c r="AE1334" s="133"/>
      <c r="AF1334" s="133"/>
      <c r="AG1334" s="133"/>
      <c r="AH1334" s="133"/>
      <c r="AI1334" s="133"/>
      <c r="AJ1334" s="133"/>
    </row>
    <row r="1335" spans="1:36" ht="14.5">
      <c r="A1335" s="990">
        <v>1</v>
      </c>
      <c r="B1335" s="990">
        <v>1</v>
      </c>
      <c r="C1335" s="990" t="s">
        <v>863</v>
      </c>
      <c r="D1335" s="1121" t="s">
        <v>887</v>
      </c>
      <c r="E1335" s="1463" t="s">
        <v>1262</v>
      </c>
      <c r="F1335" s="1459"/>
      <c r="G1335"/>
      <c r="H1335" s="5" t="s">
        <v>962</v>
      </c>
      <c r="I1335" s="1286"/>
      <c r="J1335" s="4"/>
      <c r="K1335" s="5"/>
      <c r="L1335" s="5"/>
      <c r="M1335" s="4"/>
      <c r="N1335" s="4" t="s">
        <v>963</v>
      </c>
      <c r="O1335" s="4"/>
      <c r="P1335" s="4"/>
      <c r="Q1335" s="1839" t="str">
        <f>CHOOSE(2, "6722000004253", "PL (2) IIS (Imaging-IoT Solution)")</f>
        <v>PL (2) IIS (Imaging-IoT Solution)</v>
      </c>
      <c r="R1335" s="1987"/>
      <c r="S1335" s="1987"/>
      <c r="T1335" s="1987"/>
      <c r="U1335" s="1987"/>
      <c r="V1335" s="1987"/>
      <c r="W1335" s="1987"/>
    </row>
    <row r="1336" spans="1:36" ht="14.5">
      <c r="A1336" s="990">
        <v>1</v>
      </c>
      <c r="B1336" s="990">
        <v>1</v>
      </c>
      <c r="C1336" s="990" t="s">
        <v>863</v>
      </c>
      <c r="D1336" s="1121" t="s">
        <v>887</v>
      </c>
      <c r="E1336" s="1463" t="s">
        <v>1262</v>
      </c>
      <c r="F1336" s="1459"/>
      <c r="G1336"/>
      <c r="H1336" s="5"/>
      <c r="I1336" s="1807" t="s">
        <v>9</v>
      </c>
      <c r="J1336" s="1802"/>
      <c r="K1336" s="1803"/>
      <c r="L1336" s="1803"/>
      <c r="M1336" s="1803"/>
      <c r="N1336" s="1803"/>
      <c r="O1336" s="1803"/>
      <c r="P1336" s="1819"/>
      <c r="Q1336" s="1912" t="str">
        <f>CHOOSE(2, "6722000004254", "IIS Net Sales")</f>
        <v>IIS Net Sales</v>
      </c>
      <c r="R1336" s="2020">
        <f t="shared" ref="R1336:AC1336" si="2316">R1337+R1349+R1350</f>
        <v>233</v>
      </c>
      <c r="S1336" s="2020">
        <f t="shared" si="2316"/>
        <v>1224</v>
      </c>
      <c r="T1336" s="2020">
        <f t="shared" si="2316"/>
        <v>0</v>
      </c>
      <c r="U1336" s="2020">
        <f t="shared" si="2316"/>
        <v>917</v>
      </c>
      <c r="V1336" s="2020">
        <f t="shared" si="2316"/>
        <v>782.24099999999999</v>
      </c>
      <c r="W1336" s="2020">
        <f t="shared" si="2316"/>
        <v>1831</v>
      </c>
      <c r="X1336" s="2020">
        <f t="shared" si="2316"/>
        <v>0</v>
      </c>
      <c r="Y1336" s="2020">
        <f t="shared" si="2316"/>
        <v>779</v>
      </c>
      <c r="Z1336" s="2020">
        <f t="shared" si="2316"/>
        <v>2998</v>
      </c>
      <c r="AA1336" s="2020">
        <f t="shared" si="2316"/>
        <v>1695</v>
      </c>
      <c r="AB1336" s="2020">
        <f t="shared" si="2316"/>
        <v>1298</v>
      </c>
      <c r="AC1336" s="2020">
        <f t="shared" si="2316"/>
        <v>2928</v>
      </c>
      <c r="AD1336" s="1820">
        <f t="shared" ref="AD1336:AJ1336" si="2317">AD1337+AD1349+AD1350</f>
        <v>1457</v>
      </c>
      <c r="AE1336" s="1820">
        <f t="shared" si="2317"/>
        <v>3530.241</v>
      </c>
      <c r="AF1336" s="1820">
        <f t="shared" si="2317"/>
        <v>3777</v>
      </c>
      <c r="AG1336" s="1820">
        <f t="shared" si="2317"/>
        <v>5921</v>
      </c>
      <c r="AH1336" s="1820">
        <f t="shared" si="2317"/>
        <v>4987.241</v>
      </c>
      <c r="AI1336" s="1820">
        <f t="shared" si="2317"/>
        <v>9698</v>
      </c>
      <c r="AJ1336" s="1820">
        <f t="shared" si="2317"/>
        <v>14685.241</v>
      </c>
    </row>
    <row r="1337" spans="1:36" ht="14.5">
      <c r="A1337" s="990">
        <v>1</v>
      </c>
      <c r="B1337" s="990">
        <v>1</v>
      </c>
      <c r="C1337" s="990" t="s">
        <v>863</v>
      </c>
      <c r="D1337" s="1121" t="s">
        <v>887</v>
      </c>
      <c r="E1337" s="1463" t="s">
        <v>1262</v>
      </c>
      <c r="F1337" s="1459"/>
      <c r="G1337"/>
      <c r="H1337" s="5"/>
      <c r="I1337" s="1809"/>
      <c r="J1337" s="1828" t="s">
        <v>968</v>
      </c>
      <c r="K1337" s="1829"/>
      <c r="L1337" s="1829"/>
      <c r="M1337" s="1829"/>
      <c r="N1337" s="1829"/>
      <c r="O1337" s="1829"/>
      <c r="P1337" s="1830"/>
      <c r="Q1337" s="1914" t="str">
        <f>CHOOSE(2, "6722000004255", "IIS Net Sales MX")</f>
        <v>IIS Net Sales MX</v>
      </c>
      <c r="R1337" s="1831">
        <f t="shared" ref="R1337:AC1337" si="2318">R1338+R1348</f>
        <v>233</v>
      </c>
      <c r="S1337" s="1831">
        <f t="shared" si="2318"/>
        <v>1224</v>
      </c>
      <c r="T1337" s="1831">
        <f t="shared" si="2318"/>
        <v>0</v>
      </c>
      <c r="U1337" s="1831">
        <f t="shared" si="2318"/>
        <v>917</v>
      </c>
      <c r="V1337" s="1831">
        <f t="shared" si="2318"/>
        <v>782.24099999999999</v>
      </c>
      <c r="W1337" s="1831">
        <f t="shared" si="2318"/>
        <v>1831</v>
      </c>
      <c r="X1337" s="1831">
        <f t="shared" si="2318"/>
        <v>0</v>
      </c>
      <c r="Y1337" s="1831">
        <f t="shared" si="2318"/>
        <v>779</v>
      </c>
      <c r="Z1337" s="1831">
        <f t="shared" si="2318"/>
        <v>2998</v>
      </c>
      <c r="AA1337" s="1831">
        <f t="shared" si="2318"/>
        <v>1695</v>
      </c>
      <c r="AB1337" s="1831">
        <f t="shared" si="2318"/>
        <v>1298</v>
      </c>
      <c r="AC1337" s="1831">
        <f t="shared" si="2318"/>
        <v>2928</v>
      </c>
      <c r="AD1337" s="1831">
        <f t="shared" ref="AD1337:AJ1337" si="2319">AD1338+AD1348</f>
        <v>1457</v>
      </c>
      <c r="AE1337" s="1831">
        <f t="shared" si="2319"/>
        <v>3530.241</v>
      </c>
      <c r="AF1337" s="1831">
        <f t="shared" si="2319"/>
        <v>3777</v>
      </c>
      <c r="AG1337" s="1831">
        <f t="shared" si="2319"/>
        <v>5921</v>
      </c>
      <c r="AH1337" s="1831">
        <f t="shared" si="2319"/>
        <v>4987.241</v>
      </c>
      <c r="AI1337" s="1831">
        <f t="shared" si="2319"/>
        <v>9698</v>
      </c>
      <c r="AJ1337" s="1831">
        <f t="shared" si="2319"/>
        <v>14685.241</v>
      </c>
    </row>
    <row r="1338" spans="1:36" ht="14.5">
      <c r="A1338" s="990">
        <v>1</v>
      </c>
      <c r="B1338" s="990">
        <v>1</v>
      </c>
      <c r="C1338" s="990" t="s">
        <v>863</v>
      </c>
      <c r="D1338" s="1121" t="s">
        <v>887</v>
      </c>
      <c r="E1338" s="1463" t="s">
        <v>1262</v>
      </c>
      <c r="F1338" s="1459"/>
      <c r="G1338"/>
      <c r="H1338" s="5"/>
      <c r="I1338" s="1809"/>
      <c r="J1338" s="1832"/>
      <c r="K1338" s="1347" t="s">
        <v>967</v>
      </c>
      <c r="L1338" s="1344"/>
      <c r="M1338" s="1345"/>
      <c r="N1338" s="1344"/>
      <c r="O1338" s="1344"/>
      <c r="P1338" s="1346"/>
      <c r="Q1338" s="1848" t="str">
        <f>CHOOSE(2, "6722000004256", "IIS Net Sales MX Direct")</f>
        <v>IIS Net Sales MX Direct</v>
      </c>
      <c r="R1338" s="1357">
        <f t="shared" ref="R1338:AC1338" si="2320">R1339+R1345</f>
        <v>0</v>
      </c>
      <c r="S1338" s="1357">
        <f t="shared" si="2320"/>
        <v>0</v>
      </c>
      <c r="T1338" s="1357">
        <f t="shared" si="2320"/>
        <v>0</v>
      </c>
      <c r="U1338" s="1357">
        <f t="shared" si="2320"/>
        <v>0</v>
      </c>
      <c r="V1338" s="1357">
        <f t="shared" si="2320"/>
        <v>0</v>
      </c>
      <c r="W1338" s="1357">
        <f t="shared" si="2320"/>
        <v>0</v>
      </c>
      <c r="X1338" s="1357">
        <f t="shared" si="2320"/>
        <v>0</v>
      </c>
      <c r="Y1338" s="1357">
        <f t="shared" si="2320"/>
        <v>0</v>
      </c>
      <c r="Z1338" s="1357">
        <f t="shared" si="2320"/>
        <v>0</v>
      </c>
      <c r="AA1338" s="1357">
        <f t="shared" si="2320"/>
        <v>0</v>
      </c>
      <c r="AB1338" s="1357">
        <f t="shared" si="2320"/>
        <v>0</v>
      </c>
      <c r="AC1338" s="1357">
        <f t="shared" si="2320"/>
        <v>0</v>
      </c>
      <c r="AD1338" s="1357">
        <f t="shared" ref="AD1338:AJ1338" si="2321">AD1339+AD1345</f>
        <v>0</v>
      </c>
      <c r="AE1338" s="1357">
        <f t="shared" si="2321"/>
        <v>0</v>
      </c>
      <c r="AF1338" s="1357">
        <f t="shared" si="2321"/>
        <v>0</v>
      </c>
      <c r="AG1338" s="1357">
        <f t="shared" si="2321"/>
        <v>0</v>
      </c>
      <c r="AH1338" s="1357">
        <f t="shared" si="2321"/>
        <v>0</v>
      </c>
      <c r="AI1338" s="1357">
        <f t="shared" si="2321"/>
        <v>0</v>
      </c>
      <c r="AJ1338" s="1357">
        <f t="shared" si="2321"/>
        <v>0</v>
      </c>
    </row>
    <row r="1339" spans="1:36" ht="14.5">
      <c r="A1339" s="990">
        <v>1</v>
      </c>
      <c r="B1339" s="990">
        <v>1</v>
      </c>
      <c r="C1339" s="990" t="s">
        <v>863</v>
      </c>
      <c r="D1339" s="1121" t="s">
        <v>887</v>
      </c>
      <c r="E1339" s="1463" t="s">
        <v>1262</v>
      </c>
      <c r="F1339" s="1459"/>
      <c r="G1339"/>
      <c r="H1339" s="5"/>
      <c r="I1339" s="1809"/>
      <c r="J1339" s="1832"/>
      <c r="K1339" s="32"/>
      <c r="L1339" s="14" t="s">
        <v>969</v>
      </c>
      <c r="M1339" s="1354"/>
      <c r="N1339" s="1355"/>
      <c r="O1339" s="1355"/>
      <c r="P1339" s="1356"/>
      <c r="Q1339" s="1848" t="str">
        <f>CHOOSE(2, "6722000004257", "IIS Net Sales MX Direct Product")</f>
        <v>IIS Net Sales MX Direct Product</v>
      </c>
      <c r="R1339" s="1358">
        <f t="shared" ref="R1339:AC1339" si="2322">R1340+R1343</f>
        <v>0</v>
      </c>
      <c r="S1339" s="1358">
        <f t="shared" si="2322"/>
        <v>0</v>
      </c>
      <c r="T1339" s="1358">
        <f t="shared" si="2322"/>
        <v>0</v>
      </c>
      <c r="U1339" s="1358">
        <f t="shared" si="2322"/>
        <v>0</v>
      </c>
      <c r="V1339" s="1358">
        <f t="shared" si="2322"/>
        <v>0</v>
      </c>
      <c r="W1339" s="1358">
        <f t="shared" si="2322"/>
        <v>0</v>
      </c>
      <c r="X1339" s="1358">
        <f t="shared" si="2322"/>
        <v>0</v>
      </c>
      <c r="Y1339" s="1358">
        <f t="shared" si="2322"/>
        <v>0</v>
      </c>
      <c r="Z1339" s="1358">
        <f t="shared" si="2322"/>
        <v>0</v>
      </c>
      <c r="AA1339" s="1358">
        <f t="shared" si="2322"/>
        <v>0</v>
      </c>
      <c r="AB1339" s="1358">
        <f t="shared" si="2322"/>
        <v>0</v>
      </c>
      <c r="AC1339" s="1358">
        <f t="shared" si="2322"/>
        <v>0</v>
      </c>
      <c r="AD1339" s="1358">
        <f t="shared" ref="AD1339:AJ1339" si="2323">AD1340+AD1343</f>
        <v>0</v>
      </c>
      <c r="AE1339" s="1358">
        <f t="shared" si="2323"/>
        <v>0</v>
      </c>
      <c r="AF1339" s="1358">
        <f t="shared" si="2323"/>
        <v>0</v>
      </c>
      <c r="AG1339" s="1358">
        <f t="shared" si="2323"/>
        <v>0</v>
      </c>
      <c r="AH1339" s="1358">
        <f t="shared" si="2323"/>
        <v>0</v>
      </c>
      <c r="AI1339" s="1358">
        <f t="shared" si="2323"/>
        <v>0</v>
      </c>
      <c r="AJ1339" s="1358">
        <f t="shared" si="2323"/>
        <v>0</v>
      </c>
    </row>
    <row r="1340" spans="1:36" ht="14.5">
      <c r="A1340" s="990">
        <v>1</v>
      </c>
      <c r="B1340" s="990">
        <v>1</v>
      </c>
      <c r="C1340" s="990" t="s">
        <v>863</v>
      </c>
      <c r="D1340" s="1121" t="s">
        <v>887</v>
      </c>
      <c r="E1340" s="1463" t="s">
        <v>1262</v>
      </c>
      <c r="F1340" s="1459"/>
      <c r="G1340"/>
      <c r="H1340" s="5"/>
      <c r="I1340" s="1809"/>
      <c r="J1340" s="1832"/>
      <c r="K1340" s="1348"/>
      <c r="L1340" s="31"/>
      <c r="M1340" s="14" t="s">
        <v>298</v>
      </c>
      <c r="N1340" s="14"/>
      <c r="O1340" s="14"/>
      <c r="P1340" s="1340"/>
      <c r="Q1340" s="1848" t="str">
        <f>CHOOSE(2, "6722000004258", "IIS Net Sales MX Direct Product HW")</f>
        <v>IIS Net Sales MX Direct Product HW</v>
      </c>
      <c r="R1340" s="1359">
        <f t="shared" ref="R1340" si="2324">SUM(R1341:R1342)</f>
        <v>0</v>
      </c>
      <c r="S1340" s="1359">
        <f t="shared" ref="S1340:AC1340" si="2325">SUM(S1341:S1342)</f>
        <v>0</v>
      </c>
      <c r="T1340" s="1359">
        <f t="shared" si="2325"/>
        <v>0</v>
      </c>
      <c r="U1340" s="1359">
        <f t="shared" si="2325"/>
        <v>0</v>
      </c>
      <c r="V1340" s="1359">
        <f t="shared" si="2325"/>
        <v>0</v>
      </c>
      <c r="W1340" s="1359">
        <f t="shared" si="2325"/>
        <v>0</v>
      </c>
      <c r="X1340" s="1359">
        <f t="shared" si="2325"/>
        <v>0</v>
      </c>
      <c r="Y1340" s="1359">
        <f t="shared" si="2325"/>
        <v>0</v>
      </c>
      <c r="Z1340" s="1359">
        <f t="shared" si="2325"/>
        <v>0</v>
      </c>
      <c r="AA1340" s="1359">
        <f t="shared" si="2325"/>
        <v>0</v>
      </c>
      <c r="AB1340" s="1359">
        <f t="shared" si="2325"/>
        <v>0</v>
      </c>
      <c r="AC1340" s="1359">
        <f t="shared" si="2325"/>
        <v>0</v>
      </c>
      <c r="AD1340" s="1359">
        <f t="shared" ref="AD1340:AJ1340" si="2326">SUM(AD1341:AD1342)</f>
        <v>0</v>
      </c>
      <c r="AE1340" s="1359">
        <f t="shared" si="2326"/>
        <v>0</v>
      </c>
      <c r="AF1340" s="1359">
        <f t="shared" si="2326"/>
        <v>0</v>
      </c>
      <c r="AG1340" s="1359">
        <f t="shared" si="2326"/>
        <v>0</v>
      </c>
      <c r="AH1340" s="1359">
        <f t="shared" si="2326"/>
        <v>0</v>
      </c>
      <c r="AI1340" s="1359">
        <f t="shared" si="2326"/>
        <v>0</v>
      </c>
      <c r="AJ1340" s="1359">
        <f t="shared" si="2326"/>
        <v>0</v>
      </c>
    </row>
    <row r="1341" spans="1:36" ht="14.5">
      <c r="A1341" s="990">
        <v>1</v>
      </c>
      <c r="B1341" s="990">
        <v>1</v>
      </c>
      <c r="C1341" s="990" t="s">
        <v>863</v>
      </c>
      <c r="D1341" s="1121" t="s">
        <v>887</v>
      </c>
      <c r="E1341" s="1463" t="s">
        <v>1262</v>
      </c>
      <c r="F1341" s="1459"/>
      <c r="G1341"/>
      <c r="H1341" s="5"/>
      <c r="I1341" s="1809"/>
      <c r="J1341" s="1832"/>
      <c r="K1341" s="1348"/>
      <c r="L1341" s="31"/>
      <c r="M1341" s="31"/>
      <c r="N1341" s="31" t="s">
        <v>970</v>
      </c>
      <c r="O1341" s="14"/>
      <c r="P1341" s="1340"/>
      <c r="Q1341" s="1845" t="str">
        <f>CHOOSE(2, "6722000004259", "IIS Net Sales MX Direct Product HW Camera Device")</f>
        <v>IIS Net Sales MX Direct Product HW Camera Device</v>
      </c>
      <c r="R1341" s="2188">
        <v>0</v>
      </c>
      <c r="S1341" s="2188">
        <v>0</v>
      </c>
      <c r="T1341" s="2188">
        <v>0</v>
      </c>
      <c r="U1341" s="2188">
        <v>0</v>
      </c>
      <c r="V1341" s="2188">
        <v>0</v>
      </c>
      <c r="W1341" s="2188">
        <v>0</v>
      </c>
      <c r="X1341" s="2188">
        <v>0</v>
      </c>
      <c r="Y1341" s="2188">
        <v>0</v>
      </c>
      <c r="Z1341" s="2188">
        <v>0</v>
      </c>
      <c r="AA1341" s="2188">
        <v>0</v>
      </c>
      <c r="AB1341" s="2188">
        <v>0</v>
      </c>
      <c r="AC1341" s="2188">
        <v>0</v>
      </c>
      <c r="AD1341" s="1359">
        <f>SUM(R1341,S1341,T1341)</f>
        <v>0</v>
      </c>
      <c r="AE1341" s="1359">
        <f>SUM(U1341,V1341,W1341)</f>
        <v>0</v>
      </c>
      <c r="AF1341" s="1359">
        <f>SUM(X1341,Y1341,Z1341)</f>
        <v>0</v>
      </c>
      <c r="AG1341" s="1359">
        <f>SUM(AA1341,AB1341,AC1341)</f>
        <v>0</v>
      </c>
      <c r="AH1341" s="1359">
        <f>AD1341+AE1341</f>
        <v>0</v>
      </c>
      <c r="AI1341" s="1359">
        <f>AG1341+AF1341</f>
        <v>0</v>
      </c>
      <c r="AJ1341" s="1359">
        <f>AH1341+AI1341</f>
        <v>0</v>
      </c>
    </row>
    <row r="1342" spans="1:36" ht="14.5">
      <c r="A1342" s="990">
        <v>1</v>
      </c>
      <c r="B1342" s="990">
        <v>1</v>
      </c>
      <c r="C1342" s="990" t="s">
        <v>863</v>
      </c>
      <c r="D1342" s="1121" t="s">
        <v>887</v>
      </c>
      <c r="E1342" s="1463" t="s">
        <v>1262</v>
      </c>
      <c r="F1342" s="1459"/>
      <c r="G1342"/>
      <c r="H1342" s="5"/>
      <c r="I1342" s="1809"/>
      <c r="J1342" s="1832"/>
      <c r="K1342" s="1348"/>
      <c r="L1342" s="31"/>
      <c r="M1342" s="1351"/>
      <c r="N1342" s="1351" t="s">
        <v>971</v>
      </c>
      <c r="O1342" s="1352"/>
      <c r="P1342" s="1353"/>
      <c r="Q1342" s="1845" t="str">
        <f>CHOOSE(2, "6722000004260", "IIS Net Sales MX Direct Product HW Others")</f>
        <v>IIS Net Sales MX Direct Product HW Others</v>
      </c>
      <c r="R1342" s="2189">
        <v>0</v>
      </c>
      <c r="S1342" s="2189">
        <v>0</v>
      </c>
      <c r="T1342" s="2189">
        <v>0</v>
      </c>
      <c r="U1342" s="2189">
        <v>0</v>
      </c>
      <c r="V1342" s="2189">
        <v>0</v>
      </c>
      <c r="W1342" s="2189">
        <v>0</v>
      </c>
      <c r="X1342" s="2189">
        <v>0</v>
      </c>
      <c r="Y1342" s="2189">
        <v>0</v>
      </c>
      <c r="Z1342" s="2189">
        <v>0</v>
      </c>
      <c r="AA1342" s="2189">
        <v>0</v>
      </c>
      <c r="AB1342" s="2189">
        <v>0</v>
      </c>
      <c r="AC1342" s="2189">
        <v>0</v>
      </c>
      <c r="AD1342" s="1360">
        <f>SUM(R1342,S1342,T1342)</f>
        <v>0</v>
      </c>
      <c r="AE1342" s="1360">
        <f>SUM(U1342,V1342,W1342)</f>
        <v>0</v>
      </c>
      <c r="AF1342" s="1360">
        <f>SUM(X1342,Y1342,Z1342)</f>
        <v>0</v>
      </c>
      <c r="AG1342" s="1360">
        <f>SUM(AA1342,AB1342,AC1342)</f>
        <v>0</v>
      </c>
      <c r="AH1342" s="1360">
        <f>AD1342+AE1342</f>
        <v>0</v>
      </c>
      <c r="AI1342" s="1360">
        <f>AG1342+AF1342</f>
        <v>0</v>
      </c>
      <c r="AJ1342" s="1360">
        <f>AH1342+AI1342</f>
        <v>0</v>
      </c>
    </row>
    <row r="1343" spans="1:36" ht="14.5">
      <c r="A1343" s="990">
        <v>1</v>
      </c>
      <c r="B1343" s="990">
        <v>1</v>
      </c>
      <c r="C1343" s="990" t="s">
        <v>863</v>
      </c>
      <c r="D1343" s="1121" t="s">
        <v>887</v>
      </c>
      <c r="E1343" s="1463" t="s">
        <v>1262</v>
      </c>
      <c r="F1343" s="1459"/>
      <c r="G1343"/>
      <c r="H1343" s="5"/>
      <c r="I1343" s="1809"/>
      <c r="J1343" s="1832"/>
      <c r="K1343" s="1348"/>
      <c r="L1343" s="31"/>
      <c r="M1343" s="14" t="s">
        <v>972</v>
      </c>
      <c r="N1343" s="14"/>
      <c r="O1343" s="14"/>
      <c r="P1343" s="1340"/>
      <c r="Q1343" s="1848" t="str">
        <f>CHOOSE(2, "6722000004261", "IIS Net Sales MX Direct Product NH")</f>
        <v>IIS Net Sales MX Direct Product NH</v>
      </c>
      <c r="R1343" s="1359">
        <f t="shared" ref="R1343:AC1343" si="2327">R1344</f>
        <v>0</v>
      </c>
      <c r="S1343" s="1359">
        <f t="shared" si="2327"/>
        <v>0</v>
      </c>
      <c r="T1343" s="1359">
        <f t="shared" si="2327"/>
        <v>0</v>
      </c>
      <c r="U1343" s="1359">
        <f t="shared" si="2327"/>
        <v>0</v>
      </c>
      <c r="V1343" s="1359">
        <f t="shared" si="2327"/>
        <v>0</v>
      </c>
      <c r="W1343" s="1359">
        <f t="shared" si="2327"/>
        <v>0</v>
      </c>
      <c r="X1343" s="1359">
        <f t="shared" si="2327"/>
        <v>0</v>
      </c>
      <c r="Y1343" s="1359">
        <f t="shared" si="2327"/>
        <v>0</v>
      </c>
      <c r="Z1343" s="1359">
        <f t="shared" si="2327"/>
        <v>0</v>
      </c>
      <c r="AA1343" s="1359">
        <f t="shared" si="2327"/>
        <v>0</v>
      </c>
      <c r="AB1343" s="1359">
        <f t="shared" si="2327"/>
        <v>0</v>
      </c>
      <c r="AC1343" s="1359">
        <f t="shared" si="2327"/>
        <v>0</v>
      </c>
      <c r="AD1343" s="1359">
        <f t="shared" ref="AD1343:AJ1343" si="2328">AD1344</f>
        <v>0</v>
      </c>
      <c r="AE1343" s="1359">
        <f t="shared" si="2328"/>
        <v>0</v>
      </c>
      <c r="AF1343" s="1359">
        <f t="shared" si="2328"/>
        <v>0</v>
      </c>
      <c r="AG1343" s="1359">
        <f t="shared" si="2328"/>
        <v>0</v>
      </c>
      <c r="AH1343" s="1359">
        <f t="shared" si="2328"/>
        <v>0</v>
      </c>
      <c r="AI1343" s="1359">
        <f t="shared" si="2328"/>
        <v>0</v>
      </c>
      <c r="AJ1343" s="1359">
        <f t="shared" si="2328"/>
        <v>0</v>
      </c>
    </row>
    <row r="1344" spans="1:36" ht="14.5">
      <c r="A1344" s="990">
        <v>1</v>
      </c>
      <c r="B1344" s="990">
        <v>1</v>
      </c>
      <c r="C1344" s="990" t="s">
        <v>863</v>
      </c>
      <c r="D1344" s="1121" t="s">
        <v>887</v>
      </c>
      <c r="E1344" s="1463" t="s">
        <v>1262</v>
      </c>
      <c r="F1344" s="1459"/>
      <c r="G1344"/>
      <c r="H1344" s="5"/>
      <c r="I1344" s="1809"/>
      <c r="J1344" s="1832"/>
      <c r="K1344" s="1348"/>
      <c r="L1344" s="1351"/>
      <c r="M1344" s="1351"/>
      <c r="N1344" s="1351" t="s">
        <v>973</v>
      </c>
      <c r="O1344" s="1352"/>
      <c r="P1344" s="1353"/>
      <c r="Q1344" s="1845" t="str">
        <f>CHOOSE(2, "6722000004262", "IIS Net Sales MX Direct Product NH SW/Apps")</f>
        <v>IIS Net Sales MX Direct Product NH SW/Apps</v>
      </c>
      <c r="R1344" s="2189">
        <v>0</v>
      </c>
      <c r="S1344" s="2189">
        <v>0</v>
      </c>
      <c r="T1344" s="2189">
        <v>0</v>
      </c>
      <c r="U1344" s="2189">
        <v>0</v>
      </c>
      <c r="V1344" s="2189">
        <v>0</v>
      </c>
      <c r="W1344" s="2189">
        <v>0</v>
      </c>
      <c r="X1344" s="2189">
        <v>0</v>
      </c>
      <c r="Y1344" s="2189">
        <v>0</v>
      </c>
      <c r="Z1344" s="2189">
        <v>0</v>
      </c>
      <c r="AA1344" s="2189">
        <v>0</v>
      </c>
      <c r="AB1344" s="2189">
        <v>0</v>
      </c>
      <c r="AC1344" s="2189">
        <v>0</v>
      </c>
      <c r="AD1344" s="1360">
        <f>SUM(R1344,S1344,T1344)</f>
        <v>0</v>
      </c>
      <c r="AE1344" s="1360">
        <f>SUM(U1344,V1344,W1344)</f>
        <v>0</v>
      </c>
      <c r="AF1344" s="1360">
        <f>SUM(X1344,Y1344,Z1344)</f>
        <v>0</v>
      </c>
      <c r="AG1344" s="1360">
        <f>SUM(AA1344,AB1344,AC1344)</f>
        <v>0</v>
      </c>
      <c r="AH1344" s="1360">
        <f>AD1344+AE1344</f>
        <v>0</v>
      </c>
      <c r="AI1344" s="1360">
        <f>AG1344+AF1344</f>
        <v>0</v>
      </c>
      <c r="AJ1344" s="1360">
        <f>AH1344+AI1344</f>
        <v>0</v>
      </c>
    </row>
    <row r="1345" spans="1:36" ht="14.5">
      <c r="A1345" s="990">
        <v>1</v>
      </c>
      <c r="B1345" s="990">
        <v>1</v>
      </c>
      <c r="C1345" s="990" t="s">
        <v>863</v>
      </c>
      <c r="D1345" s="1121" t="s">
        <v>887</v>
      </c>
      <c r="E1345" s="1463" t="s">
        <v>1262</v>
      </c>
      <c r="F1345" s="1459"/>
      <c r="G1345"/>
      <c r="H1345" s="5"/>
      <c r="I1345" s="1809"/>
      <c r="J1345" s="1832"/>
      <c r="K1345" s="1348"/>
      <c r="L1345" s="14" t="s">
        <v>974</v>
      </c>
      <c r="M1345" s="31"/>
      <c r="N1345" s="14"/>
      <c r="O1345" s="14"/>
      <c r="P1345" s="1340"/>
      <c r="Q1345" s="1848" t="str">
        <f>CHOOSE(2, "6722000004263", "IIS Net Sales MX Direct Service")</f>
        <v>IIS Net Sales MX Direct Service</v>
      </c>
      <c r="R1345" s="1359">
        <f t="shared" ref="R1345" si="2329">SUM(R1346:R1347)</f>
        <v>0</v>
      </c>
      <c r="S1345" s="1359">
        <f t="shared" ref="S1345:AC1345" si="2330">SUM(S1346:S1347)</f>
        <v>0</v>
      </c>
      <c r="T1345" s="1359">
        <f t="shared" si="2330"/>
        <v>0</v>
      </c>
      <c r="U1345" s="1359">
        <f t="shared" si="2330"/>
        <v>0</v>
      </c>
      <c r="V1345" s="1359">
        <f t="shared" si="2330"/>
        <v>0</v>
      </c>
      <c r="W1345" s="1359">
        <f t="shared" si="2330"/>
        <v>0</v>
      </c>
      <c r="X1345" s="1359">
        <f t="shared" si="2330"/>
        <v>0</v>
      </c>
      <c r="Y1345" s="1359">
        <f t="shared" si="2330"/>
        <v>0</v>
      </c>
      <c r="Z1345" s="1359">
        <f t="shared" si="2330"/>
        <v>0</v>
      </c>
      <c r="AA1345" s="1359">
        <f t="shared" si="2330"/>
        <v>0</v>
      </c>
      <c r="AB1345" s="1359">
        <f t="shared" si="2330"/>
        <v>0</v>
      </c>
      <c r="AC1345" s="1359">
        <f t="shared" si="2330"/>
        <v>0</v>
      </c>
      <c r="AD1345" s="1359">
        <f t="shared" ref="AD1345:AJ1345" si="2331">SUM(AD1346:AD1347)</f>
        <v>0</v>
      </c>
      <c r="AE1345" s="1359">
        <f t="shared" si="2331"/>
        <v>0</v>
      </c>
      <c r="AF1345" s="1359">
        <f t="shared" si="2331"/>
        <v>0</v>
      </c>
      <c r="AG1345" s="1359">
        <f t="shared" si="2331"/>
        <v>0</v>
      </c>
      <c r="AH1345" s="1359">
        <f t="shared" si="2331"/>
        <v>0</v>
      </c>
      <c r="AI1345" s="1359">
        <f t="shared" si="2331"/>
        <v>0</v>
      </c>
      <c r="AJ1345" s="1359">
        <f t="shared" si="2331"/>
        <v>0</v>
      </c>
    </row>
    <row r="1346" spans="1:36" ht="14.5">
      <c r="A1346" s="990">
        <v>1</v>
      </c>
      <c r="B1346" s="990">
        <v>1</v>
      </c>
      <c r="C1346" s="990" t="s">
        <v>863</v>
      </c>
      <c r="D1346" s="1121" t="s">
        <v>887</v>
      </c>
      <c r="E1346" s="1463" t="s">
        <v>1262</v>
      </c>
      <c r="F1346" s="1459"/>
      <c r="G1346"/>
      <c r="H1346" s="5"/>
      <c r="I1346" s="1809"/>
      <c r="J1346" s="1832"/>
      <c r="K1346" s="1348"/>
      <c r="L1346" s="31"/>
      <c r="M1346" s="31" t="s">
        <v>975</v>
      </c>
      <c r="N1346" s="14"/>
      <c r="O1346" s="14"/>
      <c r="P1346" s="1340"/>
      <c r="Q1346" s="1845" t="str">
        <f>CHOOSE(2, "6722000004264", "IIS Net Sales MX Direct Service Onetime")</f>
        <v>IIS Net Sales MX Direct Service Onetime</v>
      </c>
      <c r="R1346" s="2188">
        <v>0</v>
      </c>
      <c r="S1346" s="2188">
        <v>0</v>
      </c>
      <c r="T1346" s="2188">
        <v>0</v>
      </c>
      <c r="U1346" s="2188">
        <v>0</v>
      </c>
      <c r="V1346" s="2188">
        <v>0</v>
      </c>
      <c r="W1346" s="2188">
        <v>0</v>
      </c>
      <c r="X1346" s="2188">
        <v>0</v>
      </c>
      <c r="Y1346" s="2188">
        <v>0</v>
      </c>
      <c r="Z1346" s="2188">
        <v>0</v>
      </c>
      <c r="AA1346" s="2188">
        <v>0</v>
      </c>
      <c r="AB1346" s="2188">
        <v>0</v>
      </c>
      <c r="AC1346" s="2188">
        <v>0</v>
      </c>
      <c r="AD1346" s="1359">
        <f>SUM(R1346,S1346,T1346)</f>
        <v>0</v>
      </c>
      <c r="AE1346" s="1359">
        <f>SUM(U1346,V1346,W1346)</f>
        <v>0</v>
      </c>
      <c r="AF1346" s="1359">
        <f>SUM(X1346,Y1346,Z1346)</f>
        <v>0</v>
      </c>
      <c r="AG1346" s="1359">
        <f>SUM(AA1346,AB1346,AC1346)</f>
        <v>0</v>
      </c>
      <c r="AH1346" s="1359">
        <f>AD1346+AE1346</f>
        <v>0</v>
      </c>
      <c r="AI1346" s="1359">
        <f>AG1346+AF1346</f>
        <v>0</v>
      </c>
      <c r="AJ1346" s="1359">
        <f>AH1346+AI1346</f>
        <v>0</v>
      </c>
    </row>
    <row r="1347" spans="1:36" ht="14.5">
      <c r="A1347" s="990">
        <v>1</v>
      </c>
      <c r="B1347" s="990">
        <v>1</v>
      </c>
      <c r="C1347" s="990" t="s">
        <v>863</v>
      </c>
      <c r="D1347" s="1121" t="s">
        <v>887</v>
      </c>
      <c r="E1347" s="1463" t="s">
        <v>1262</v>
      </c>
      <c r="F1347" s="1459"/>
      <c r="G1347"/>
      <c r="H1347" s="5"/>
      <c r="I1347" s="1809"/>
      <c r="J1347" s="1832"/>
      <c r="K1347" s="1349"/>
      <c r="L1347" s="1343"/>
      <c r="M1347" s="1343" t="s">
        <v>976</v>
      </c>
      <c r="N1347" s="1341"/>
      <c r="O1347" s="1341"/>
      <c r="P1347" s="1342"/>
      <c r="Q1347" s="1845" t="str">
        <f>CHOOSE(2, "6722000004265", "IIS Net Sales MX Direct Service Recurring")</f>
        <v>IIS Net Sales MX Direct Service Recurring</v>
      </c>
      <c r="R1347" s="2190">
        <v>0</v>
      </c>
      <c r="S1347" s="2190">
        <v>0</v>
      </c>
      <c r="T1347" s="2190">
        <v>0</v>
      </c>
      <c r="U1347" s="2190">
        <v>0</v>
      </c>
      <c r="V1347" s="2190">
        <v>0</v>
      </c>
      <c r="W1347" s="2190">
        <v>0</v>
      </c>
      <c r="X1347" s="2190">
        <v>0</v>
      </c>
      <c r="Y1347" s="2190">
        <v>0</v>
      </c>
      <c r="Z1347" s="2190">
        <v>0</v>
      </c>
      <c r="AA1347" s="2190">
        <v>0</v>
      </c>
      <c r="AB1347" s="2190">
        <v>0</v>
      </c>
      <c r="AC1347" s="2190">
        <v>0</v>
      </c>
      <c r="AD1347" s="1361">
        <f>SUM(R1347,S1347,T1347)</f>
        <v>0</v>
      </c>
      <c r="AE1347" s="1361">
        <f>SUM(U1347,V1347,W1347)</f>
        <v>0</v>
      </c>
      <c r="AF1347" s="1361">
        <f>SUM(X1347,Y1347,Z1347)</f>
        <v>0</v>
      </c>
      <c r="AG1347" s="1361">
        <f>SUM(AA1347,AB1347,AC1347)</f>
        <v>0</v>
      </c>
      <c r="AH1347" s="1361">
        <f>AD1347+AE1347</f>
        <v>0</v>
      </c>
      <c r="AI1347" s="1361">
        <f>AG1347+AF1347</f>
        <v>0</v>
      </c>
      <c r="AJ1347" s="1361">
        <f>AH1347+AI1347</f>
        <v>0</v>
      </c>
    </row>
    <row r="1348" spans="1:36" ht="14.5">
      <c r="A1348" s="990">
        <v>1</v>
      </c>
      <c r="B1348" s="990">
        <v>1</v>
      </c>
      <c r="C1348" s="990" t="s">
        <v>863</v>
      </c>
      <c r="D1348" s="1121" t="s">
        <v>887</v>
      </c>
      <c r="E1348" s="1463" t="s">
        <v>1262</v>
      </c>
      <c r="F1348" s="1459"/>
      <c r="G1348"/>
      <c r="H1348" s="5"/>
      <c r="I1348" s="1809"/>
      <c r="J1348" s="1833"/>
      <c r="K1348" s="435" t="s">
        <v>977</v>
      </c>
      <c r="L1348" s="436"/>
      <c r="M1348" s="436"/>
      <c r="N1348" s="437"/>
      <c r="O1348" s="437"/>
      <c r="P1348" s="1350"/>
      <c r="Q1348" s="1845" t="str">
        <f>CHOOSE(2, "6722000004266", "IIS Net Sales MX Indirect")</f>
        <v>IIS Net Sales MX Indirect</v>
      </c>
      <c r="R1348" s="2191">
        <v>233</v>
      </c>
      <c r="S1348" s="2191">
        <v>1224</v>
      </c>
      <c r="T1348" s="2191">
        <v>0</v>
      </c>
      <c r="U1348" s="2191">
        <v>917</v>
      </c>
      <c r="V1348" s="2191">
        <v>782.24099999999999</v>
      </c>
      <c r="W1348" s="2191">
        <v>1831</v>
      </c>
      <c r="X1348" s="2191">
        <v>0</v>
      </c>
      <c r="Y1348" s="2191">
        <v>779</v>
      </c>
      <c r="Z1348" s="2191">
        <v>2998</v>
      </c>
      <c r="AA1348" s="2191">
        <v>1695</v>
      </c>
      <c r="AB1348" s="2191">
        <v>1298</v>
      </c>
      <c r="AC1348" s="2191">
        <v>2928</v>
      </c>
      <c r="AD1348" s="1362">
        <f>SUM(R1348,S1348,T1348)</f>
        <v>1457</v>
      </c>
      <c r="AE1348" s="1362">
        <f>SUM(U1348,V1348,W1348)</f>
        <v>3530.241</v>
      </c>
      <c r="AF1348" s="1362">
        <f>SUM(X1348,Y1348,Z1348)</f>
        <v>3777</v>
      </c>
      <c r="AG1348" s="1362">
        <f>SUM(AA1348,AB1348,AC1348)</f>
        <v>5921</v>
      </c>
      <c r="AH1348" s="1362">
        <f>AD1348+AE1348</f>
        <v>4987.241</v>
      </c>
      <c r="AI1348" s="1362">
        <f>AG1348+AF1348</f>
        <v>9698</v>
      </c>
      <c r="AJ1348" s="1362">
        <f>AH1348+AI1348</f>
        <v>14685.241</v>
      </c>
    </row>
    <row r="1349" spans="1:36" ht="14.5">
      <c r="A1349" s="990">
        <v>1</v>
      </c>
      <c r="B1349" s="990">
        <v>1</v>
      </c>
      <c r="C1349" s="990" t="s">
        <v>863</v>
      </c>
      <c r="D1349" s="1121" t="s">
        <v>887</v>
      </c>
      <c r="E1349" s="1463" t="s">
        <v>1262</v>
      </c>
      <c r="F1349" s="1459"/>
      <c r="G1349"/>
      <c r="H1349" s="5"/>
      <c r="I1349" s="1809"/>
      <c r="J1349" s="1834" t="s">
        <v>978</v>
      </c>
      <c r="K1349" s="1833"/>
      <c r="L1349" s="1833"/>
      <c r="M1349" s="1833"/>
      <c r="N1349" s="1829"/>
      <c r="O1349" s="1829"/>
      <c r="P1349" s="1830"/>
      <c r="Q1349" s="1914" t="str">
        <f>CHOOSE(2, "6722000004267", "IIS Net Sales DM")</f>
        <v>IIS Net Sales DM</v>
      </c>
      <c r="R1349" s="1831">
        <v>0</v>
      </c>
      <c r="S1349" s="1831">
        <v>0</v>
      </c>
      <c r="T1349" s="1831">
        <v>0</v>
      </c>
      <c r="U1349" s="1831">
        <v>0</v>
      </c>
      <c r="V1349" s="1831">
        <v>0</v>
      </c>
      <c r="W1349" s="1831">
        <v>0</v>
      </c>
      <c r="X1349" s="1831">
        <v>0</v>
      </c>
      <c r="Y1349" s="1831">
        <v>0</v>
      </c>
      <c r="Z1349" s="1831">
        <v>0</v>
      </c>
      <c r="AA1349" s="1831">
        <v>0</v>
      </c>
      <c r="AB1349" s="1831">
        <v>0</v>
      </c>
      <c r="AC1349" s="1831">
        <v>0</v>
      </c>
      <c r="AD1349" s="1831">
        <f>SUM(R1349,S1349,T1349)</f>
        <v>0</v>
      </c>
      <c r="AE1349" s="1831">
        <f>SUM(U1349,V1349,W1349)</f>
        <v>0</v>
      </c>
      <c r="AF1349" s="1831">
        <f>SUM(X1349,Y1349,Z1349)</f>
        <v>0</v>
      </c>
      <c r="AG1349" s="1831">
        <f>SUM(AA1349,AB1349,AC1349)</f>
        <v>0</v>
      </c>
      <c r="AH1349" s="1831">
        <f>AD1349+AE1349</f>
        <v>0</v>
      </c>
      <c r="AI1349" s="1831">
        <f>AG1349+AF1349</f>
        <v>0</v>
      </c>
      <c r="AJ1349" s="1831">
        <f>AH1349+AI1349</f>
        <v>0</v>
      </c>
    </row>
    <row r="1350" spans="1:36" ht="14.5">
      <c r="A1350" s="990">
        <v>1</v>
      </c>
      <c r="B1350" s="990">
        <v>1</v>
      </c>
      <c r="C1350" s="990" t="s">
        <v>863</v>
      </c>
      <c r="D1350" s="1121" t="s">
        <v>887</v>
      </c>
      <c r="E1350" s="1463" t="s">
        <v>1262</v>
      </c>
      <c r="F1350" s="1459"/>
      <c r="G1350"/>
      <c r="H1350" s="5"/>
      <c r="I1350" s="1809"/>
      <c r="J1350" s="1828" t="s">
        <v>979</v>
      </c>
      <c r="K1350" s="1832"/>
      <c r="L1350" s="1832"/>
      <c r="M1350" s="1832"/>
      <c r="N1350" s="1828"/>
      <c r="O1350" s="1828"/>
      <c r="P1350" s="1835"/>
      <c r="Q1350" s="1914" t="str">
        <f>CHOOSE(2, "6722000004268", "IIS Net Sales Gas")</f>
        <v>IIS Net Sales Gas</v>
      </c>
      <c r="R1350" s="1836">
        <v>0</v>
      </c>
      <c r="S1350" s="1836">
        <v>0</v>
      </c>
      <c r="T1350" s="1836">
        <v>0</v>
      </c>
      <c r="U1350" s="1836">
        <v>0</v>
      </c>
      <c r="V1350" s="1836">
        <v>0</v>
      </c>
      <c r="W1350" s="1836">
        <v>0</v>
      </c>
      <c r="X1350" s="1836">
        <v>0</v>
      </c>
      <c r="Y1350" s="1836">
        <v>0</v>
      </c>
      <c r="Z1350" s="1836">
        <v>0</v>
      </c>
      <c r="AA1350" s="1836">
        <v>0</v>
      </c>
      <c r="AB1350" s="1836">
        <v>0</v>
      </c>
      <c r="AC1350" s="1836">
        <v>0</v>
      </c>
      <c r="AD1350" s="1836">
        <f>SUM(R1350,S1350,T1350)</f>
        <v>0</v>
      </c>
      <c r="AE1350" s="1836">
        <f>SUM(U1350,V1350,W1350)</f>
        <v>0</v>
      </c>
      <c r="AF1350" s="1836">
        <f>SUM(X1350,Y1350,Z1350)</f>
        <v>0</v>
      </c>
      <c r="AG1350" s="1836">
        <f>SUM(AA1350,AB1350,AC1350)</f>
        <v>0</v>
      </c>
      <c r="AH1350" s="1836">
        <f>AD1350+AE1350</f>
        <v>0</v>
      </c>
      <c r="AI1350" s="1836">
        <f>AG1350+AF1350</f>
        <v>0</v>
      </c>
      <c r="AJ1350" s="1836">
        <f>AH1350+AI1350</f>
        <v>0</v>
      </c>
    </row>
    <row r="1351" spans="1:36" ht="14.5">
      <c r="A1351" s="990">
        <v>1</v>
      </c>
      <c r="B1351" s="990">
        <v>1</v>
      </c>
      <c r="C1351" s="990" t="s">
        <v>863</v>
      </c>
      <c r="D1351" s="1121" t="s">
        <v>887</v>
      </c>
      <c r="E1351" s="1463" t="s">
        <v>1262</v>
      </c>
      <c r="F1351" s="1459"/>
      <c r="G1351"/>
      <c r="H1351" s="5"/>
      <c r="I1351" s="1807" t="s">
        <v>678</v>
      </c>
      <c r="J1351" s="1802"/>
      <c r="K1351" s="1803"/>
      <c r="L1351" s="1803"/>
      <c r="M1351" s="1808"/>
      <c r="N1351" s="1808" t="s">
        <v>1384</v>
      </c>
      <c r="O1351" s="1803"/>
      <c r="P1351" s="1819"/>
      <c r="Q1351" s="1912" t="str">
        <f>CHOOSE(2, "6722000004269", "IIS Consolidated Sales")</f>
        <v>IIS Consolidated Sales</v>
      </c>
      <c r="R1351" s="2020">
        <f t="shared" ref="R1351:AC1351" si="2332">R1352+R1364+R1365</f>
        <v>233</v>
      </c>
      <c r="S1351" s="2020">
        <f t="shared" si="2332"/>
        <v>1224</v>
      </c>
      <c r="T1351" s="2020">
        <f t="shared" si="2332"/>
        <v>0</v>
      </c>
      <c r="U1351" s="2020">
        <f t="shared" si="2332"/>
        <v>917</v>
      </c>
      <c r="V1351" s="2020">
        <f t="shared" si="2332"/>
        <v>782</v>
      </c>
      <c r="W1351" s="2020">
        <f t="shared" si="2332"/>
        <v>1831</v>
      </c>
      <c r="X1351" s="2020">
        <f t="shared" si="2332"/>
        <v>0</v>
      </c>
      <c r="Y1351" s="2020">
        <f t="shared" si="2332"/>
        <v>779</v>
      </c>
      <c r="Z1351" s="2020">
        <f t="shared" si="2332"/>
        <v>2998</v>
      </c>
      <c r="AA1351" s="2020">
        <f t="shared" si="2332"/>
        <v>1695</v>
      </c>
      <c r="AB1351" s="2020">
        <f t="shared" si="2332"/>
        <v>1298</v>
      </c>
      <c r="AC1351" s="2020">
        <f t="shared" si="2332"/>
        <v>2928</v>
      </c>
      <c r="AD1351" s="1820">
        <f t="shared" ref="AD1351:AJ1351" si="2333">AD1352+AD1364+AD1365</f>
        <v>1457</v>
      </c>
      <c r="AE1351" s="1820">
        <f t="shared" si="2333"/>
        <v>3530</v>
      </c>
      <c r="AF1351" s="1820">
        <f t="shared" si="2333"/>
        <v>3777</v>
      </c>
      <c r="AG1351" s="1820">
        <f t="shared" si="2333"/>
        <v>5921</v>
      </c>
      <c r="AH1351" s="1820">
        <f t="shared" si="2333"/>
        <v>4987</v>
      </c>
      <c r="AI1351" s="1820">
        <f t="shared" si="2333"/>
        <v>9698</v>
      </c>
      <c r="AJ1351" s="1820">
        <f t="shared" si="2333"/>
        <v>14685</v>
      </c>
    </row>
    <row r="1352" spans="1:36" ht="14.5">
      <c r="A1352" s="990">
        <v>1</v>
      </c>
      <c r="B1352" s="990">
        <v>1</v>
      </c>
      <c r="C1352" s="990" t="s">
        <v>863</v>
      </c>
      <c r="D1352" s="1121" t="s">
        <v>887</v>
      </c>
      <c r="E1352" s="1463" t="s">
        <v>1262</v>
      </c>
      <c r="F1352" s="1459"/>
      <c r="G1352"/>
      <c r="H1352" s="5"/>
      <c r="I1352" s="1809"/>
      <c r="J1352" s="1828" t="s">
        <v>968</v>
      </c>
      <c r="K1352" s="1829"/>
      <c r="L1352" s="1829"/>
      <c r="M1352" s="1829"/>
      <c r="N1352" s="1829"/>
      <c r="O1352" s="1829"/>
      <c r="P1352" s="1830"/>
      <c r="Q1352" s="1914" t="str">
        <f>CHOOSE(2, "6722000004270", "IIS Consolidated Sales MX")</f>
        <v>IIS Consolidated Sales MX</v>
      </c>
      <c r="R1352" s="1831">
        <f t="shared" ref="R1352:AC1352" si="2334">R1353+R1363</f>
        <v>233</v>
      </c>
      <c r="S1352" s="1831">
        <f t="shared" si="2334"/>
        <v>1224</v>
      </c>
      <c r="T1352" s="1831">
        <f t="shared" si="2334"/>
        <v>0</v>
      </c>
      <c r="U1352" s="1831">
        <f t="shared" si="2334"/>
        <v>917</v>
      </c>
      <c r="V1352" s="1831">
        <f t="shared" si="2334"/>
        <v>782</v>
      </c>
      <c r="W1352" s="1831">
        <f t="shared" si="2334"/>
        <v>1831</v>
      </c>
      <c r="X1352" s="1831">
        <f t="shared" si="2334"/>
        <v>0</v>
      </c>
      <c r="Y1352" s="1831">
        <f t="shared" si="2334"/>
        <v>779</v>
      </c>
      <c r="Z1352" s="1831">
        <f t="shared" si="2334"/>
        <v>2998</v>
      </c>
      <c r="AA1352" s="1831">
        <f t="shared" si="2334"/>
        <v>1695</v>
      </c>
      <c r="AB1352" s="1831">
        <f t="shared" si="2334"/>
        <v>1298</v>
      </c>
      <c r="AC1352" s="1831">
        <f t="shared" si="2334"/>
        <v>2928</v>
      </c>
      <c r="AD1352" s="1831">
        <f t="shared" ref="AD1352:AJ1352" si="2335">AD1353+AD1363</f>
        <v>1457</v>
      </c>
      <c r="AE1352" s="1831">
        <f t="shared" si="2335"/>
        <v>3530</v>
      </c>
      <c r="AF1352" s="1831">
        <f t="shared" si="2335"/>
        <v>3777</v>
      </c>
      <c r="AG1352" s="1831">
        <f t="shared" si="2335"/>
        <v>5921</v>
      </c>
      <c r="AH1352" s="1831">
        <f t="shared" si="2335"/>
        <v>4987</v>
      </c>
      <c r="AI1352" s="1831">
        <f t="shared" si="2335"/>
        <v>9698</v>
      </c>
      <c r="AJ1352" s="1831">
        <f t="shared" si="2335"/>
        <v>14685</v>
      </c>
    </row>
    <row r="1353" spans="1:36" ht="14.5">
      <c r="A1353" s="990">
        <v>1</v>
      </c>
      <c r="B1353" s="990">
        <v>1</v>
      </c>
      <c r="C1353" s="990" t="s">
        <v>863</v>
      </c>
      <c r="D1353" s="1121" t="s">
        <v>887</v>
      </c>
      <c r="E1353" s="1463" t="s">
        <v>1262</v>
      </c>
      <c r="F1353" s="1459"/>
      <c r="G1353"/>
      <c r="H1353" s="5"/>
      <c r="I1353" s="1809"/>
      <c r="J1353" s="1832"/>
      <c r="K1353" s="1347" t="s">
        <v>967</v>
      </c>
      <c r="L1353" s="1344"/>
      <c r="M1353" s="1345"/>
      <c r="N1353" s="1344"/>
      <c r="O1353" s="1344"/>
      <c r="P1353" s="1346"/>
      <c r="Q1353" s="1848" t="str">
        <f>CHOOSE(2, "6722000004271", "IIS Consolidated Sales MX Direct")</f>
        <v>IIS Consolidated Sales MX Direct</v>
      </c>
      <c r="R1353" s="1357">
        <f t="shared" ref="R1353:AC1353" si="2336">R1354+R1360</f>
        <v>0</v>
      </c>
      <c r="S1353" s="1357">
        <f t="shared" si="2336"/>
        <v>0</v>
      </c>
      <c r="T1353" s="1357">
        <f t="shared" si="2336"/>
        <v>0</v>
      </c>
      <c r="U1353" s="1357">
        <f t="shared" si="2336"/>
        <v>0</v>
      </c>
      <c r="V1353" s="1357">
        <f t="shared" si="2336"/>
        <v>0</v>
      </c>
      <c r="W1353" s="1357">
        <f t="shared" si="2336"/>
        <v>0</v>
      </c>
      <c r="X1353" s="1357">
        <f t="shared" si="2336"/>
        <v>0</v>
      </c>
      <c r="Y1353" s="1357">
        <f t="shared" si="2336"/>
        <v>0</v>
      </c>
      <c r="Z1353" s="1357">
        <f t="shared" si="2336"/>
        <v>0</v>
      </c>
      <c r="AA1353" s="1357">
        <f t="shared" si="2336"/>
        <v>0</v>
      </c>
      <c r="AB1353" s="1357">
        <f t="shared" si="2336"/>
        <v>0</v>
      </c>
      <c r="AC1353" s="1357">
        <f t="shared" si="2336"/>
        <v>0</v>
      </c>
      <c r="AD1353" s="1357">
        <f t="shared" ref="AD1353:AJ1353" si="2337">AD1354+AD1360</f>
        <v>0</v>
      </c>
      <c r="AE1353" s="1357">
        <f t="shared" si="2337"/>
        <v>0</v>
      </c>
      <c r="AF1353" s="1357">
        <f t="shared" si="2337"/>
        <v>0</v>
      </c>
      <c r="AG1353" s="1357">
        <f t="shared" si="2337"/>
        <v>0</v>
      </c>
      <c r="AH1353" s="1357">
        <f t="shared" si="2337"/>
        <v>0</v>
      </c>
      <c r="AI1353" s="1357">
        <f t="shared" si="2337"/>
        <v>0</v>
      </c>
      <c r="AJ1353" s="1357">
        <f t="shared" si="2337"/>
        <v>0</v>
      </c>
    </row>
    <row r="1354" spans="1:36" ht="14.5">
      <c r="A1354" s="990">
        <v>1</v>
      </c>
      <c r="B1354" s="990">
        <v>1</v>
      </c>
      <c r="C1354" s="990" t="s">
        <v>863</v>
      </c>
      <c r="D1354" s="1121" t="s">
        <v>887</v>
      </c>
      <c r="E1354" s="1463" t="s">
        <v>1262</v>
      </c>
      <c r="F1354" s="1459"/>
      <c r="G1354"/>
      <c r="H1354" s="5"/>
      <c r="I1354" s="1809"/>
      <c r="J1354" s="1832"/>
      <c r="K1354" s="32"/>
      <c r="L1354" s="14" t="s">
        <v>969</v>
      </c>
      <c r="M1354" s="1354"/>
      <c r="N1354" s="1355"/>
      <c r="O1354" s="1355"/>
      <c r="P1354" s="1356"/>
      <c r="Q1354" s="1848" t="str">
        <f>CHOOSE(2, "6722000004272", "IIS Consolidated Sales MX Direct Product")</f>
        <v>IIS Consolidated Sales MX Direct Product</v>
      </c>
      <c r="R1354" s="1358">
        <f t="shared" ref="R1354:AC1354" si="2338">R1355+R1358</f>
        <v>0</v>
      </c>
      <c r="S1354" s="1358">
        <f t="shared" si="2338"/>
        <v>0</v>
      </c>
      <c r="T1354" s="1358">
        <f t="shared" si="2338"/>
        <v>0</v>
      </c>
      <c r="U1354" s="1358">
        <f t="shared" si="2338"/>
        <v>0</v>
      </c>
      <c r="V1354" s="1358">
        <f t="shared" si="2338"/>
        <v>0</v>
      </c>
      <c r="W1354" s="1358">
        <f t="shared" si="2338"/>
        <v>0</v>
      </c>
      <c r="X1354" s="1358">
        <f t="shared" si="2338"/>
        <v>0</v>
      </c>
      <c r="Y1354" s="1358">
        <f t="shared" si="2338"/>
        <v>0</v>
      </c>
      <c r="Z1354" s="1358">
        <f t="shared" si="2338"/>
        <v>0</v>
      </c>
      <c r="AA1354" s="1358">
        <f t="shared" si="2338"/>
        <v>0</v>
      </c>
      <c r="AB1354" s="1358">
        <f t="shared" si="2338"/>
        <v>0</v>
      </c>
      <c r="AC1354" s="1358">
        <f t="shared" si="2338"/>
        <v>0</v>
      </c>
      <c r="AD1354" s="1358">
        <f t="shared" ref="AD1354:AJ1354" si="2339">AD1355+AD1358</f>
        <v>0</v>
      </c>
      <c r="AE1354" s="1358">
        <f t="shared" si="2339"/>
        <v>0</v>
      </c>
      <c r="AF1354" s="1358">
        <f t="shared" si="2339"/>
        <v>0</v>
      </c>
      <c r="AG1354" s="1358">
        <f t="shared" si="2339"/>
        <v>0</v>
      </c>
      <c r="AH1354" s="1358">
        <f t="shared" si="2339"/>
        <v>0</v>
      </c>
      <c r="AI1354" s="1358">
        <f t="shared" si="2339"/>
        <v>0</v>
      </c>
      <c r="AJ1354" s="1358">
        <f t="shared" si="2339"/>
        <v>0</v>
      </c>
    </row>
    <row r="1355" spans="1:36" ht="14.5">
      <c r="A1355" s="990">
        <v>1</v>
      </c>
      <c r="B1355" s="990">
        <v>1</v>
      </c>
      <c r="C1355" s="990" t="s">
        <v>863</v>
      </c>
      <c r="D1355" s="1121" t="s">
        <v>887</v>
      </c>
      <c r="E1355" s="1463" t="s">
        <v>1262</v>
      </c>
      <c r="F1355" s="1459"/>
      <c r="G1355"/>
      <c r="H1355" s="5"/>
      <c r="I1355" s="1809"/>
      <c r="J1355" s="1832"/>
      <c r="K1355" s="1348"/>
      <c r="L1355" s="31"/>
      <c r="M1355" s="14" t="s">
        <v>298</v>
      </c>
      <c r="N1355" s="14"/>
      <c r="O1355" s="14"/>
      <c r="P1355" s="1340"/>
      <c r="Q1355" s="1848" t="str">
        <f>CHOOSE(2, "6722000004273", "IIS Consolidated Sales MX Direct Product HW")</f>
        <v>IIS Consolidated Sales MX Direct Product HW</v>
      </c>
      <c r="R1355" s="1359">
        <f t="shared" ref="R1355" si="2340">SUM(R1356:R1357)</f>
        <v>0</v>
      </c>
      <c r="S1355" s="1359">
        <f t="shared" ref="S1355:AC1355" si="2341">SUM(S1356:S1357)</f>
        <v>0</v>
      </c>
      <c r="T1355" s="1359">
        <f t="shared" si="2341"/>
        <v>0</v>
      </c>
      <c r="U1355" s="1359">
        <f t="shared" si="2341"/>
        <v>0</v>
      </c>
      <c r="V1355" s="1359">
        <f t="shared" si="2341"/>
        <v>0</v>
      </c>
      <c r="W1355" s="1359">
        <f t="shared" si="2341"/>
        <v>0</v>
      </c>
      <c r="X1355" s="1359">
        <f t="shared" si="2341"/>
        <v>0</v>
      </c>
      <c r="Y1355" s="1359">
        <f t="shared" si="2341"/>
        <v>0</v>
      </c>
      <c r="Z1355" s="1359">
        <f t="shared" si="2341"/>
        <v>0</v>
      </c>
      <c r="AA1355" s="1359">
        <f t="shared" si="2341"/>
        <v>0</v>
      </c>
      <c r="AB1355" s="1359">
        <f t="shared" si="2341"/>
        <v>0</v>
      </c>
      <c r="AC1355" s="1359">
        <f t="shared" si="2341"/>
        <v>0</v>
      </c>
      <c r="AD1355" s="1359">
        <f t="shared" ref="AD1355:AJ1355" si="2342">SUM(AD1356:AD1357)</f>
        <v>0</v>
      </c>
      <c r="AE1355" s="1359">
        <f t="shared" si="2342"/>
        <v>0</v>
      </c>
      <c r="AF1355" s="1359">
        <f t="shared" si="2342"/>
        <v>0</v>
      </c>
      <c r="AG1355" s="1359">
        <f t="shared" si="2342"/>
        <v>0</v>
      </c>
      <c r="AH1355" s="1359">
        <f t="shared" si="2342"/>
        <v>0</v>
      </c>
      <c r="AI1355" s="1359">
        <f t="shared" si="2342"/>
        <v>0</v>
      </c>
      <c r="AJ1355" s="1359">
        <f t="shared" si="2342"/>
        <v>0</v>
      </c>
    </row>
    <row r="1356" spans="1:36" ht="14.5">
      <c r="A1356" s="990">
        <v>1</v>
      </c>
      <c r="B1356" s="990">
        <v>1</v>
      </c>
      <c r="C1356" s="990" t="s">
        <v>863</v>
      </c>
      <c r="D1356" s="1121" t="s">
        <v>887</v>
      </c>
      <c r="E1356" s="1463" t="s">
        <v>1262</v>
      </c>
      <c r="F1356" s="1459"/>
      <c r="G1356"/>
      <c r="H1356" s="5"/>
      <c r="I1356" s="1809"/>
      <c r="J1356" s="1832"/>
      <c r="K1356" s="1348"/>
      <c r="L1356" s="31"/>
      <c r="M1356" s="31"/>
      <c r="N1356" s="31" t="s">
        <v>970</v>
      </c>
      <c r="O1356" s="14"/>
      <c r="P1356" s="1340"/>
      <c r="Q1356" s="1845" t="str">
        <f>CHOOSE(2, "6722000004274", "IIS Consolidated Sales MX Direct Product HW Camera Device")</f>
        <v>IIS Consolidated Sales MX Direct Product HW Camera Device</v>
      </c>
      <c r="R1356" s="2188">
        <v>0</v>
      </c>
      <c r="S1356" s="2188">
        <v>0</v>
      </c>
      <c r="T1356" s="2188">
        <v>0</v>
      </c>
      <c r="U1356" s="2188">
        <v>0</v>
      </c>
      <c r="V1356" s="2188">
        <v>0</v>
      </c>
      <c r="W1356" s="2188">
        <v>0</v>
      </c>
      <c r="X1356" s="2188">
        <v>0</v>
      </c>
      <c r="Y1356" s="2188">
        <v>0</v>
      </c>
      <c r="Z1356" s="2188">
        <v>0</v>
      </c>
      <c r="AA1356" s="2188">
        <v>0</v>
      </c>
      <c r="AB1356" s="2188">
        <v>0</v>
      </c>
      <c r="AC1356" s="2188">
        <v>0</v>
      </c>
      <c r="AD1356" s="1359">
        <f>SUM(R1356,S1356,T1356)</f>
        <v>0</v>
      </c>
      <c r="AE1356" s="1359">
        <f>SUM(U1356,V1356,W1356)</f>
        <v>0</v>
      </c>
      <c r="AF1356" s="1359">
        <f>SUM(X1356,Y1356,Z1356)</f>
        <v>0</v>
      </c>
      <c r="AG1356" s="1359">
        <f>SUM(AA1356,AB1356,AC1356)</f>
        <v>0</v>
      </c>
      <c r="AH1356" s="1359">
        <f>AD1356+AE1356</f>
        <v>0</v>
      </c>
      <c r="AI1356" s="1359">
        <f>AG1356+AF1356</f>
        <v>0</v>
      </c>
      <c r="AJ1356" s="1359">
        <f>AH1356+AI1356</f>
        <v>0</v>
      </c>
    </row>
    <row r="1357" spans="1:36" ht="14.5">
      <c r="A1357" s="990">
        <v>1</v>
      </c>
      <c r="B1357" s="990">
        <v>1</v>
      </c>
      <c r="C1357" s="990" t="s">
        <v>863</v>
      </c>
      <c r="D1357" s="1121" t="s">
        <v>887</v>
      </c>
      <c r="E1357" s="1463" t="s">
        <v>1262</v>
      </c>
      <c r="F1357" s="1459"/>
      <c r="G1357"/>
      <c r="H1357" s="5"/>
      <c r="I1357" s="1809"/>
      <c r="J1357" s="1832"/>
      <c r="K1357" s="1348"/>
      <c r="L1357" s="31"/>
      <c r="M1357" s="1351"/>
      <c r="N1357" s="1351" t="s">
        <v>971</v>
      </c>
      <c r="O1357" s="1352"/>
      <c r="P1357" s="1353"/>
      <c r="Q1357" s="1845" t="str">
        <f>CHOOSE(2, "6722000004275", "IIS Consolidated Sales MX Direct Product HW Others")</f>
        <v>IIS Consolidated Sales MX Direct Product HW Others</v>
      </c>
      <c r="R1357" s="2189">
        <v>0</v>
      </c>
      <c r="S1357" s="2189">
        <v>0</v>
      </c>
      <c r="T1357" s="2189">
        <v>0</v>
      </c>
      <c r="U1357" s="2189">
        <v>0</v>
      </c>
      <c r="V1357" s="2189">
        <v>0</v>
      </c>
      <c r="W1357" s="2189">
        <v>0</v>
      </c>
      <c r="X1357" s="2189">
        <v>0</v>
      </c>
      <c r="Y1357" s="2189">
        <v>0</v>
      </c>
      <c r="Z1357" s="2189">
        <v>0</v>
      </c>
      <c r="AA1357" s="2189">
        <v>0</v>
      </c>
      <c r="AB1357" s="2189">
        <v>0</v>
      </c>
      <c r="AC1357" s="2189">
        <v>0</v>
      </c>
      <c r="AD1357" s="1360">
        <f>SUM(R1357,S1357,T1357)</f>
        <v>0</v>
      </c>
      <c r="AE1357" s="1360">
        <f>SUM(U1357,V1357,W1357)</f>
        <v>0</v>
      </c>
      <c r="AF1357" s="1360">
        <f>SUM(X1357,Y1357,Z1357)</f>
        <v>0</v>
      </c>
      <c r="AG1357" s="1360">
        <f>SUM(AA1357,AB1357,AC1357)</f>
        <v>0</v>
      </c>
      <c r="AH1357" s="1360">
        <f>AD1357+AE1357</f>
        <v>0</v>
      </c>
      <c r="AI1357" s="1360">
        <f>AG1357+AF1357</f>
        <v>0</v>
      </c>
      <c r="AJ1357" s="1360">
        <f>AH1357+AI1357</f>
        <v>0</v>
      </c>
    </row>
    <row r="1358" spans="1:36" ht="14.5">
      <c r="A1358" s="990">
        <v>1</v>
      </c>
      <c r="B1358" s="990">
        <v>1</v>
      </c>
      <c r="C1358" s="990" t="s">
        <v>863</v>
      </c>
      <c r="D1358" s="1121" t="s">
        <v>887</v>
      </c>
      <c r="E1358" s="1463" t="s">
        <v>1262</v>
      </c>
      <c r="F1358" s="1459"/>
      <c r="G1358"/>
      <c r="H1358" s="5"/>
      <c r="I1358" s="1809"/>
      <c r="J1358" s="1832"/>
      <c r="K1358" s="1348"/>
      <c r="L1358" s="31"/>
      <c r="M1358" s="14" t="s">
        <v>972</v>
      </c>
      <c r="N1358" s="14"/>
      <c r="O1358" s="14"/>
      <c r="P1358" s="1340"/>
      <c r="Q1358" s="1848" t="str">
        <f>CHOOSE(2, "6722000004276", "IIS Consolidated Sales MX Direct Product NH")</f>
        <v>IIS Consolidated Sales MX Direct Product NH</v>
      </c>
      <c r="R1358" s="1359">
        <f t="shared" ref="R1358:AC1358" si="2343">R1359</f>
        <v>0</v>
      </c>
      <c r="S1358" s="1359">
        <f t="shared" si="2343"/>
        <v>0</v>
      </c>
      <c r="T1358" s="1359">
        <f t="shared" si="2343"/>
        <v>0</v>
      </c>
      <c r="U1358" s="1359">
        <f t="shared" si="2343"/>
        <v>0</v>
      </c>
      <c r="V1358" s="1359">
        <f t="shared" si="2343"/>
        <v>0</v>
      </c>
      <c r="W1358" s="1359">
        <f t="shared" si="2343"/>
        <v>0</v>
      </c>
      <c r="X1358" s="1359">
        <f t="shared" si="2343"/>
        <v>0</v>
      </c>
      <c r="Y1358" s="1359">
        <f t="shared" si="2343"/>
        <v>0</v>
      </c>
      <c r="Z1358" s="1359">
        <f t="shared" si="2343"/>
        <v>0</v>
      </c>
      <c r="AA1358" s="1359">
        <f t="shared" si="2343"/>
        <v>0</v>
      </c>
      <c r="AB1358" s="1359">
        <f t="shared" si="2343"/>
        <v>0</v>
      </c>
      <c r="AC1358" s="1359">
        <f t="shared" si="2343"/>
        <v>0</v>
      </c>
      <c r="AD1358" s="1359">
        <f t="shared" ref="AD1358:AJ1358" si="2344">AD1359</f>
        <v>0</v>
      </c>
      <c r="AE1358" s="1359">
        <f t="shared" si="2344"/>
        <v>0</v>
      </c>
      <c r="AF1358" s="1359">
        <f t="shared" si="2344"/>
        <v>0</v>
      </c>
      <c r="AG1358" s="1359">
        <f t="shared" si="2344"/>
        <v>0</v>
      </c>
      <c r="AH1358" s="1359">
        <f t="shared" si="2344"/>
        <v>0</v>
      </c>
      <c r="AI1358" s="1359">
        <f t="shared" si="2344"/>
        <v>0</v>
      </c>
      <c r="AJ1358" s="1359">
        <f t="shared" si="2344"/>
        <v>0</v>
      </c>
    </row>
    <row r="1359" spans="1:36" ht="14.5">
      <c r="A1359" s="990">
        <v>1</v>
      </c>
      <c r="B1359" s="990">
        <v>1</v>
      </c>
      <c r="C1359" s="990" t="s">
        <v>863</v>
      </c>
      <c r="D1359" s="1121" t="s">
        <v>887</v>
      </c>
      <c r="E1359" s="1463" t="s">
        <v>1262</v>
      </c>
      <c r="F1359" s="1459"/>
      <c r="G1359"/>
      <c r="H1359" s="5"/>
      <c r="I1359" s="1809"/>
      <c r="J1359" s="1832"/>
      <c r="K1359" s="1348"/>
      <c r="L1359" s="1351"/>
      <c r="M1359" s="1351"/>
      <c r="N1359" s="1351" t="s">
        <v>973</v>
      </c>
      <c r="O1359" s="1352"/>
      <c r="P1359" s="1353"/>
      <c r="Q1359" s="1845" t="str">
        <f>CHOOSE(2, "6722000004277", "IIS Consolidated Sales MX Direct Product NH SW/Apps")</f>
        <v>IIS Consolidated Sales MX Direct Product NH SW/Apps</v>
      </c>
      <c r="R1359" s="2189">
        <v>0</v>
      </c>
      <c r="S1359" s="2189">
        <v>0</v>
      </c>
      <c r="T1359" s="2189">
        <v>0</v>
      </c>
      <c r="U1359" s="2189">
        <v>0</v>
      </c>
      <c r="V1359" s="2189">
        <v>0</v>
      </c>
      <c r="W1359" s="2189">
        <v>0</v>
      </c>
      <c r="X1359" s="2189">
        <v>0</v>
      </c>
      <c r="Y1359" s="2189">
        <v>0</v>
      </c>
      <c r="Z1359" s="2189">
        <v>0</v>
      </c>
      <c r="AA1359" s="2189">
        <v>0</v>
      </c>
      <c r="AB1359" s="2189">
        <v>0</v>
      </c>
      <c r="AC1359" s="2189">
        <v>0</v>
      </c>
      <c r="AD1359" s="1360">
        <f>SUM(R1359,S1359,T1359)</f>
        <v>0</v>
      </c>
      <c r="AE1359" s="1360">
        <f>SUM(U1359,V1359,W1359)</f>
        <v>0</v>
      </c>
      <c r="AF1359" s="1360">
        <f>SUM(X1359,Y1359,Z1359)</f>
        <v>0</v>
      </c>
      <c r="AG1359" s="1360">
        <f>SUM(AA1359,AB1359,AC1359)</f>
        <v>0</v>
      </c>
      <c r="AH1359" s="1360">
        <f>AD1359+AE1359</f>
        <v>0</v>
      </c>
      <c r="AI1359" s="1360">
        <f>AG1359+AF1359</f>
        <v>0</v>
      </c>
      <c r="AJ1359" s="1360">
        <f>AH1359+AI1359</f>
        <v>0</v>
      </c>
    </row>
    <row r="1360" spans="1:36" ht="14.5">
      <c r="A1360" s="990">
        <v>1</v>
      </c>
      <c r="B1360" s="990">
        <v>1</v>
      </c>
      <c r="C1360" s="990" t="s">
        <v>863</v>
      </c>
      <c r="D1360" s="1121" t="s">
        <v>887</v>
      </c>
      <c r="E1360" s="1463" t="s">
        <v>1262</v>
      </c>
      <c r="F1360" s="1459"/>
      <c r="G1360"/>
      <c r="H1360" s="5"/>
      <c r="I1360" s="1809"/>
      <c r="J1360" s="1832"/>
      <c r="K1360" s="1348"/>
      <c r="L1360" s="14" t="s">
        <v>974</v>
      </c>
      <c r="M1360" s="31"/>
      <c r="N1360" s="14"/>
      <c r="O1360" s="14"/>
      <c r="P1360" s="1340"/>
      <c r="Q1360" s="1848" t="str">
        <f>CHOOSE(2, "6722000004278", "IIS Consolidated Sales MX Direct Service")</f>
        <v>IIS Consolidated Sales MX Direct Service</v>
      </c>
      <c r="R1360" s="1359">
        <f t="shared" ref="R1360" si="2345">SUM(R1361:R1362)</f>
        <v>0</v>
      </c>
      <c r="S1360" s="1359">
        <f t="shared" ref="S1360:AC1360" si="2346">SUM(S1361:S1362)</f>
        <v>0</v>
      </c>
      <c r="T1360" s="1359">
        <f t="shared" si="2346"/>
        <v>0</v>
      </c>
      <c r="U1360" s="1359">
        <f t="shared" si="2346"/>
        <v>0</v>
      </c>
      <c r="V1360" s="1359">
        <f t="shared" si="2346"/>
        <v>0</v>
      </c>
      <c r="W1360" s="1359">
        <f t="shared" si="2346"/>
        <v>0</v>
      </c>
      <c r="X1360" s="1359">
        <f t="shared" si="2346"/>
        <v>0</v>
      </c>
      <c r="Y1360" s="1359">
        <f t="shared" si="2346"/>
        <v>0</v>
      </c>
      <c r="Z1360" s="1359">
        <f t="shared" si="2346"/>
        <v>0</v>
      </c>
      <c r="AA1360" s="1359">
        <f t="shared" si="2346"/>
        <v>0</v>
      </c>
      <c r="AB1360" s="1359">
        <f t="shared" si="2346"/>
        <v>0</v>
      </c>
      <c r="AC1360" s="1359">
        <f t="shared" si="2346"/>
        <v>0</v>
      </c>
      <c r="AD1360" s="1359">
        <f t="shared" ref="AD1360:AJ1360" si="2347">SUM(AD1361:AD1362)</f>
        <v>0</v>
      </c>
      <c r="AE1360" s="1359">
        <f t="shared" si="2347"/>
        <v>0</v>
      </c>
      <c r="AF1360" s="1359">
        <f t="shared" si="2347"/>
        <v>0</v>
      </c>
      <c r="AG1360" s="1359">
        <f t="shared" si="2347"/>
        <v>0</v>
      </c>
      <c r="AH1360" s="1359">
        <f t="shared" si="2347"/>
        <v>0</v>
      </c>
      <c r="AI1360" s="1359">
        <f t="shared" si="2347"/>
        <v>0</v>
      </c>
      <c r="AJ1360" s="1359">
        <f t="shared" si="2347"/>
        <v>0</v>
      </c>
    </row>
    <row r="1361" spans="1:36" ht="14.5">
      <c r="A1361" s="990">
        <v>1</v>
      </c>
      <c r="B1361" s="990">
        <v>1</v>
      </c>
      <c r="C1361" s="990" t="s">
        <v>863</v>
      </c>
      <c r="D1361" s="1121" t="s">
        <v>887</v>
      </c>
      <c r="E1361" s="1463" t="s">
        <v>1262</v>
      </c>
      <c r="F1361" s="1459"/>
      <c r="G1361"/>
      <c r="H1361" s="5"/>
      <c r="I1361" s="1809"/>
      <c r="J1361" s="1832"/>
      <c r="K1361" s="1348"/>
      <c r="L1361" s="31"/>
      <c r="M1361" s="31" t="s">
        <v>975</v>
      </c>
      <c r="N1361" s="14"/>
      <c r="O1361" s="14"/>
      <c r="P1361" s="1340"/>
      <c r="Q1361" s="1845" t="str">
        <f>CHOOSE(2, "6722000004279", "IIS Consolidated Sales MX Direct Service Onetime")</f>
        <v>IIS Consolidated Sales MX Direct Service Onetime</v>
      </c>
      <c r="R1361" s="2188">
        <v>0</v>
      </c>
      <c r="S1361" s="2188">
        <v>0</v>
      </c>
      <c r="T1361" s="2188">
        <v>0</v>
      </c>
      <c r="U1361" s="2188">
        <v>0</v>
      </c>
      <c r="V1361" s="2188">
        <v>0</v>
      </c>
      <c r="W1361" s="2188">
        <v>0</v>
      </c>
      <c r="X1361" s="2188">
        <v>0</v>
      </c>
      <c r="Y1361" s="2188">
        <v>0</v>
      </c>
      <c r="Z1361" s="2188">
        <v>0</v>
      </c>
      <c r="AA1361" s="2188">
        <v>0</v>
      </c>
      <c r="AB1361" s="2188">
        <v>0</v>
      </c>
      <c r="AC1361" s="2188">
        <v>0</v>
      </c>
      <c r="AD1361" s="1359">
        <f>SUM(R1361,S1361,T1361)</f>
        <v>0</v>
      </c>
      <c r="AE1361" s="1359">
        <f>SUM(U1361,V1361,W1361)</f>
        <v>0</v>
      </c>
      <c r="AF1361" s="1359">
        <f>SUM(X1361,Y1361,Z1361)</f>
        <v>0</v>
      </c>
      <c r="AG1361" s="1359">
        <f>SUM(AA1361,AB1361,AC1361)</f>
        <v>0</v>
      </c>
      <c r="AH1361" s="1359">
        <f>AD1361+AE1361</f>
        <v>0</v>
      </c>
      <c r="AI1361" s="1359">
        <f>AG1361+AF1361</f>
        <v>0</v>
      </c>
      <c r="AJ1361" s="1359">
        <f>AH1361+AI1361</f>
        <v>0</v>
      </c>
    </row>
    <row r="1362" spans="1:36" ht="14.5">
      <c r="A1362" s="990">
        <v>1</v>
      </c>
      <c r="B1362" s="990">
        <v>1</v>
      </c>
      <c r="C1362" s="990" t="s">
        <v>863</v>
      </c>
      <c r="D1362" s="1121" t="s">
        <v>887</v>
      </c>
      <c r="E1362" s="1463" t="s">
        <v>1262</v>
      </c>
      <c r="F1362" s="1459"/>
      <c r="G1362"/>
      <c r="H1362" s="5"/>
      <c r="I1362" s="1809"/>
      <c r="J1362" s="1832"/>
      <c r="K1362" s="1349"/>
      <c r="L1362" s="1343"/>
      <c r="M1362" s="1343" t="s">
        <v>976</v>
      </c>
      <c r="N1362" s="1341"/>
      <c r="O1362" s="1341"/>
      <c r="P1362" s="1342"/>
      <c r="Q1362" s="1845" t="str">
        <f>CHOOSE(2, "6722000004280", "IIS Consolidated Sales MX Direct Service Recurring")</f>
        <v>IIS Consolidated Sales MX Direct Service Recurring</v>
      </c>
      <c r="R1362" s="2190">
        <v>0</v>
      </c>
      <c r="S1362" s="2190">
        <v>0</v>
      </c>
      <c r="T1362" s="2190">
        <v>0</v>
      </c>
      <c r="U1362" s="2190">
        <v>0</v>
      </c>
      <c r="V1362" s="2190">
        <v>0</v>
      </c>
      <c r="W1362" s="2190">
        <v>0</v>
      </c>
      <c r="X1362" s="2190">
        <v>0</v>
      </c>
      <c r="Y1362" s="2190">
        <v>0</v>
      </c>
      <c r="Z1362" s="2190">
        <v>0</v>
      </c>
      <c r="AA1362" s="2190">
        <v>0</v>
      </c>
      <c r="AB1362" s="2190">
        <v>0</v>
      </c>
      <c r="AC1362" s="2190">
        <v>0</v>
      </c>
      <c r="AD1362" s="1361">
        <f>SUM(R1362,S1362,T1362)</f>
        <v>0</v>
      </c>
      <c r="AE1362" s="1361">
        <f>SUM(U1362,V1362,W1362)</f>
        <v>0</v>
      </c>
      <c r="AF1362" s="1361">
        <f>SUM(X1362,Y1362,Z1362)</f>
        <v>0</v>
      </c>
      <c r="AG1362" s="1361">
        <f>SUM(AA1362,AB1362,AC1362)</f>
        <v>0</v>
      </c>
      <c r="AH1362" s="1361">
        <f>AD1362+AE1362</f>
        <v>0</v>
      </c>
      <c r="AI1362" s="1361">
        <f>AG1362+AF1362</f>
        <v>0</v>
      </c>
      <c r="AJ1362" s="1361">
        <f>AH1362+AI1362</f>
        <v>0</v>
      </c>
    </row>
    <row r="1363" spans="1:36" ht="14.5">
      <c r="A1363" s="990">
        <v>1</v>
      </c>
      <c r="B1363" s="990">
        <v>1</v>
      </c>
      <c r="C1363" s="990" t="s">
        <v>863</v>
      </c>
      <c r="D1363" s="1121" t="s">
        <v>887</v>
      </c>
      <c r="E1363" s="1463" t="s">
        <v>1262</v>
      </c>
      <c r="F1363" s="1459"/>
      <c r="G1363"/>
      <c r="H1363" s="5"/>
      <c r="I1363" s="1809"/>
      <c r="J1363" s="1833"/>
      <c r="K1363" s="435" t="s">
        <v>977</v>
      </c>
      <c r="L1363" s="436"/>
      <c r="M1363" s="436"/>
      <c r="N1363" s="437"/>
      <c r="O1363" s="437"/>
      <c r="P1363" s="1350"/>
      <c r="Q1363" s="1845" t="str">
        <f>CHOOSE(2, "6722000004281", "IIS Consolidated Sales MX Indirect")</f>
        <v>IIS Consolidated Sales MX Indirect</v>
      </c>
      <c r="R1363" s="2191">
        <v>233</v>
      </c>
      <c r="S1363" s="2191">
        <v>1224</v>
      </c>
      <c r="T1363" s="2191">
        <v>0</v>
      </c>
      <c r="U1363" s="2191">
        <v>917</v>
      </c>
      <c r="V1363" s="2191">
        <v>782</v>
      </c>
      <c r="W1363" s="2191">
        <v>1831</v>
      </c>
      <c r="X1363" s="2191">
        <v>0</v>
      </c>
      <c r="Y1363" s="2191">
        <v>779</v>
      </c>
      <c r="Z1363" s="2191">
        <v>2998</v>
      </c>
      <c r="AA1363" s="2191">
        <v>1695</v>
      </c>
      <c r="AB1363" s="2191">
        <v>1298</v>
      </c>
      <c r="AC1363" s="2191">
        <v>2928</v>
      </c>
      <c r="AD1363" s="1362">
        <f>SUM(R1363,S1363,T1363)</f>
        <v>1457</v>
      </c>
      <c r="AE1363" s="1362">
        <f>SUM(U1363,V1363,W1363)</f>
        <v>3530</v>
      </c>
      <c r="AF1363" s="1362">
        <f>SUM(X1363,Y1363,Z1363)</f>
        <v>3777</v>
      </c>
      <c r="AG1363" s="1362">
        <f>SUM(AA1363,AB1363,AC1363)</f>
        <v>5921</v>
      </c>
      <c r="AH1363" s="1362">
        <f>AD1363+AE1363</f>
        <v>4987</v>
      </c>
      <c r="AI1363" s="1362">
        <f>AG1363+AF1363</f>
        <v>9698</v>
      </c>
      <c r="AJ1363" s="1362">
        <f>AH1363+AI1363</f>
        <v>14685</v>
      </c>
    </row>
    <row r="1364" spans="1:36" ht="14.5">
      <c r="A1364" s="990">
        <v>1</v>
      </c>
      <c r="B1364" s="990">
        <v>1</v>
      </c>
      <c r="C1364" s="990" t="s">
        <v>863</v>
      </c>
      <c r="D1364" s="1121" t="s">
        <v>887</v>
      </c>
      <c r="E1364" s="1463" t="s">
        <v>1262</v>
      </c>
      <c r="F1364" s="1459"/>
      <c r="G1364"/>
      <c r="H1364" s="5"/>
      <c r="I1364" s="1809"/>
      <c r="J1364" s="1834" t="s">
        <v>978</v>
      </c>
      <c r="K1364" s="1833"/>
      <c r="L1364" s="1833"/>
      <c r="M1364" s="1833"/>
      <c r="N1364" s="1829"/>
      <c r="O1364" s="1829"/>
      <c r="P1364" s="1830"/>
      <c r="Q1364" s="1914" t="str">
        <f>CHOOSE(2, "6722000004282", "IIS Consolidated Sales DM")</f>
        <v>IIS Consolidated Sales DM</v>
      </c>
      <c r="R1364" s="1831">
        <v>0</v>
      </c>
      <c r="S1364" s="1831">
        <v>0</v>
      </c>
      <c r="T1364" s="1831">
        <v>0</v>
      </c>
      <c r="U1364" s="1831">
        <v>0</v>
      </c>
      <c r="V1364" s="1831">
        <v>0</v>
      </c>
      <c r="W1364" s="1831">
        <v>0</v>
      </c>
      <c r="X1364" s="1831">
        <v>0</v>
      </c>
      <c r="Y1364" s="1831">
        <v>0</v>
      </c>
      <c r="Z1364" s="1831">
        <v>0</v>
      </c>
      <c r="AA1364" s="1831">
        <v>0</v>
      </c>
      <c r="AB1364" s="1831">
        <v>0</v>
      </c>
      <c r="AC1364" s="1831">
        <v>0</v>
      </c>
      <c r="AD1364" s="1831">
        <f>SUM(R1364,S1364,T1364)</f>
        <v>0</v>
      </c>
      <c r="AE1364" s="1831">
        <f>SUM(U1364,V1364,W1364)</f>
        <v>0</v>
      </c>
      <c r="AF1364" s="1831">
        <f>SUM(X1364,Y1364,Z1364)</f>
        <v>0</v>
      </c>
      <c r="AG1364" s="1831">
        <f>SUM(AA1364,AB1364,AC1364)</f>
        <v>0</v>
      </c>
      <c r="AH1364" s="1831">
        <f>AD1364+AE1364</f>
        <v>0</v>
      </c>
      <c r="AI1364" s="1831">
        <f>AG1364+AF1364</f>
        <v>0</v>
      </c>
      <c r="AJ1364" s="1831">
        <f>AH1364+AI1364</f>
        <v>0</v>
      </c>
    </row>
    <row r="1365" spans="1:36" ht="14.5">
      <c r="A1365" s="990">
        <v>1</v>
      </c>
      <c r="B1365" s="990">
        <v>1</v>
      </c>
      <c r="C1365" s="990" t="s">
        <v>863</v>
      </c>
      <c r="D1365" s="1121" t="s">
        <v>887</v>
      </c>
      <c r="E1365" s="1463" t="s">
        <v>1262</v>
      </c>
      <c r="F1365" s="1459"/>
      <c r="G1365"/>
      <c r="H1365" s="5"/>
      <c r="I1365" s="1809"/>
      <c r="J1365" s="1828" t="s">
        <v>979</v>
      </c>
      <c r="K1365" s="1832"/>
      <c r="L1365" s="1832"/>
      <c r="M1365" s="1832"/>
      <c r="N1365" s="1828"/>
      <c r="O1365" s="1828"/>
      <c r="P1365" s="1835"/>
      <c r="Q1365" s="1914" t="str">
        <f>CHOOSE(2, "6722000004283", "IIS Consolidated Sales Gas")</f>
        <v>IIS Consolidated Sales Gas</v>
      </c>
      <c r="R1365" s="1836">
        <v>0</v>
      </c>
      <c r="S1365" s="1836">
        <v>0</v>
      </c>
      <c r="T1365" s="1836">
        <v>0</v>
      </c>
      <c r="U1365" s="1836">
        <v>0</v>
      </c>
      <c r="V1365" s="1836">
        <v>0</v>
      </c>
      <c r="W1365" s="1836">
        <v>0</v>
      </c>
      <c r="X1365" s="1836">
        <v>0</v>
      </c>
      <c r="Y1365" s="1836">
        <v>0</v>
      </c>
      <c r="Z1365" s="1836">
        <v>0</v>
      </c>
      <c r="AA1365" s="1836">
        <v>0</v>
      </c>
      <c r="AB1365" s="1836">
        <v>0</v>
      </c>
      <c r="AC1365" s="1836">
        <v>0</v>
      </c>
      <c r="AD1365" s="1836">
        <f>SUM(R1365,S1365,T1365)</f>
        <v>0</v>
      </c>
      <c r="AE1365" s="1836">
        <f>SUM(U1365,V1365,W1365)</f>
        <v>0</v>
      </c>
      <c r="AF1365" s="1836">
        <f>SUM(X1365,Y1365,Z1365)</f>
        <v>0</v>
      </c>
      <c r="AG1365" s="1836">
        <f>SUM(AA1365,AB1365,AC1365)</f>
        <v>0</v>
      </c>
      <c r="AH1365" s="1836">
        <f>AD1365+AE1365</f>
        <v>0</v>
      </c>
      <c r="AI1365" s="1836">
        <f>AG1365+AF1365</f>
        <v>0</v>
      </c>
      <c r="AJ1365" s="1836">
        <f>AH1365+AI1365</f>
        <v>0</v>
      </c>
    </row>
    <row r="1366" spans="1:36" ht="14.5">
      <c r="A1366" s="990">
        <v>1</v>
      </c>
      <c r="B1366" s="990">
        <v>1</v>
      </c>
      <c r="C1366" s="990" t="s">
        <v>863</v>
      </c>
      <c r="D1366" s="1121" t="s">
        <v>887</v>
      </c>
      <c r="E1366" s="1463" t="s">
        <v>1262</v>
      </c>
      <c r="F1366" s="1459"/>
      <c r="G1366"/>
      <c r="H1366" s="5"/>
      <c r="I1366" s="1801" t="s">
        <v>134</v>
      </c>
      <c r="J1366" s="1802"/>
      <c r="K1366" s="1803"/>
      <c r="L1366" s="1803"/>
      <c r="M1366" s="1803"/>
      <c r="N1366" s="1803"/>
      <c r="O1366" s="1803"/>
      <c r="P1366" s="1819"/>
      <c r="Q1366" s="1912" t="str">
        <f>CHOOSE(2, "6722000004284", "IIS Gross Profit")</f>
        <v>IIS Gross Profit</v>
      </c>
      <c r="R1366" s="2020">
        <f t="shared" ref="R1366:AC1366" si="2348">R1367+R1379+R1380</f>
        <v>39</v>
      </c>
      <c r="S1366" s="2020">
        <f t="shared" si="2348"/>
        <v>275</v>
      </c>
      <c r="T1366" s="2020">
        <f t="shared" si="2348"/>
        <v>-17</v>
      </c>
      <c r="U1366" s="2020">
        <f t="shared" si="2348"/>
        <v>178</v>
      </c>
      <c r="V1366" s="2020">
        <f t="shared" si="2348"/>
        <v>242</v>
      </c>
      <c r="W1366" s="2020">
        <f t="shared" si="2348"/>
        <v>576</v>
      </c>
      <c r="X1366" s="2020">
        <f t="shared" si="2348"/>
        <v>-10</v>
      </c>
      <c r="Y1366" s="2020">
        <f t="shared" si="2348"/>
        <v>207</v>
      </c>
      <c r="Z1366" s="2020">
        <f t="shared" si="2348"/>
        <v>358</v>
      </c>
      <c r="AA1366" s="2020">
        <f t="shared" si="2348"/>
        <v>-1392</v>
      </c>
      <c r="AB1366" s="2020">
        <f t="shared" si="2348"/>
        <v>77</v>
      </c>
      <c r="AC1366" s="2020">
        <f t="shared" si="2348"/>
        <v>-839</v>
      </c>
      <c r="AD1366" s="1820">
        <f t="shared" ref="AD1366:AJ1366" si="2349">AD1367+AD1379+AD1380</f>
        <v>297</v>
      </c>
      <c r="AE1366" s="1820">
        <f t="shared" si="2349"/>
        <v>996</v>
      </c>
      <c r="AF1366" s="1820">
        <f t="shared" si="2349"/>
        <v>555</v>
      </c>
      <c r="AG1366" s="1820">
        <f t="shared" si="2349"/>
        <v>-2154</v>
      </c>
      <c r="AH1366" s="1820">
        <f t="shared" si="2349"/>
        <v>1293</v>
      </c>
      <c r="AI1366" s="1820">
        <f t="shared" si="2349"/>
        <v>-1599</v>
      </c>
      <c r="AJ1366" s="1820">
        <f t="shared" si="2349"/>
        <v>-306</v>
      </c>
    </row>
    <row r="1367" spans="1:36" ht="14.5">
      <c r="A1367" s="990">
        <v>1</v>
      </c>
      <c r="B1367" s="990">
        <v>1</v>
      </c>
      <c r="C1367" s="990" t="s">
        <v>863</v>
      </c>
      <c r="D1367" s="1121" t="s">
        <v>887</v>
      </c>
      <c r="E1367" s="1463" t="s">
        <v>1262</v>
      </c>
      <c r="F1367" s="1459"/>
      <c r="G1367"/>
      <c r="H1367" s="5"/>
      <c r="I1367" s="1809"/>
      <c r="J1367" s="1828" t="s">
        <v>968</v>
      </c>
      <c r="K1367" s="1829"/>
      <c r="L1367" s="1829"/>
      <c r="M1367" s="1829"/>
      <c r="N1367" s="1829"/>
      <c r="O1367" s="1829"/>
      <c r="P1367" s="1830"/>
      <c r="Q1367" s="1914" t="str">
        <f>CHOOSE(2, "6722000004285", "IIS Gross Profit MX")</f>
        <v>IIS Gross Profit MX</v>
      </c>
      <c r="R1367" s="1831">
        <f t="shared" ref="R1367:AC1367" si="2350">R1368+R1378</f>
        <v>39</v>
      </c>
      <c r="S1367" s="1831">
        <f t="shared" si="2350"/>
        <v>275</v>
      </c>
      <c r="T1367" s="1831">
        <f t="shared" si="2350"/>
        <v>-17</v>
      </c>
      <c r="U1367" s="1831">
        <f t="shared" si="2350"/>
        <v>178</v>
      </c>
      <c r="V1367" s="1831">
        <f t="shared" si="2350"/>
        <v>242</v>
      </c>
      <c r="W1367" s="1831">
        <f t="shared" si="2350"/>
        <v>576</v>
      </c>
      <c r="X1367" s="1831">
        <f t="shared" si="2350"/>
        <v>-10</v>
      </c>
      <c r="Y1367" s="1831">
        <f t="shared" si="2350"/>
        <v>207</v>
      </c>
      <c r="Z1367" s="1831">
        <f t="shared" si="2350"/>
        <v>358</v>
      </c>
      <c r="AA1367" s="1831">
        <f t="shared" si="2350"/>
        <v>-1392</v>
      </c>
      <c r="AB1367" s="1831">
        <f t="shared" si="2350"/>
        <v>77</v>
      </c>
      <c r="AC1367" s="1831">
        <f t="shared" si="2350"/>
        <v>-839</v>
      </c>
      <c r="AD1367" s="1831">
        <f t="shared" ref="AD1367:AJ1367" si="2351">AD1368+AD1378</f>
        <v>297</v>
      </c>
      <c r="AE1367" s="1831">
        <f t="shared" si="2351"/>
        <v>996</v>
      </c>
      <c r="AF1367" s="1831">
        <f t="shared" si="2351"/>
        <v>555</v>
      </c>
      <c r="AG1367" s="1831">
        <f t="shared" si="2351"/>
        <v>-2154</v>
      </c>
      <c r="AH1367" s="1831">
        <f t="shared" si="2351"/>
        <v>1293</v>
      </c>
      <c r="AI1367" s="1831">
        <f t="shared" si="2351"/>
        <v>-1599</v>
      </c>
      <c r="AJ1367" s="1831">
        <f t="shared" si="2351"/>
        <v>-306</v>
      </c>
    </row>
    <row r="1368" spans="1:36" ht="14.5">
      <c r="A1368" s="990">
        <v>1</v>
      </c>
      <c r="B1368" s="990">
        <v>1</v>
      </c>
      <c r="C1368" s="990" t="s">
        <v>863</v>
      </c>
      <c r="D1368" s="1121" t="s">
        <v>887</v>
      </c>
      <c r="E1368" s="1463" t="s">
        <v>1262</v>
      </c>
      <c r="F1368" s="1459"/>
      <c r="G1368"/>
      <c r="H1368" s="5"/>
      <c r="I1368" s="1809"/>
      <c r="J1368" s="1832"/>
      <c r="K1368" s="1347" t="s">
        <v>967</v>
      </c>
      <c r="L1368" s="1344"/>
      <c r="M1368" s="1345"/>
      <c r="N1368" s="1344"/>
      <c r="O1368" s="1344"/>
      <c r="P1368" s="1346"/>
      <c r="Q1368" s="1848" t="str">
        <f>CHOOSE(2, "6722000004286", "IIS Gross Profit MX Direct")</f>
        <v>IIS Gross Profit MX Direct</v>
      </c>
      <c r="R1368" s="1357">
        <f t="shared" ref="R1368:AC1368" si="2352">R1369+R1375</f>
        <v>0</v>
      </c>
      <c r="S1368" s="1357">
        <f t="shared" si="2352"/>
        <v>0</v>
      </c>
      <c r="T1368" s="1357">
        <f t="shared" si="2352"/>
        <v>0</v>
      </c>
      <c r="U1368" s="1357">
        <f t="shared" si="2352"/>
        <v>0</v>
      </c>
      <c r="V1368" s="1357">
        <f t="shared" si="2352"/>
        <v>0</v>
      </c>
      <c r="W1368" s="1357">
        <f t="shared" si="2352"/>
        <v>0</v>
      </c>
      <c r="X1368" s="1357">
        <f t="shared" si="2352"/>
        <v>0</v>
      </c>
      <c r="Y1368" s="1357">
        <f t="shared" si="2352"/>
        <v>0</v>
      </c>
      <c r="Z1368" s="1357">
        <f t="shared" si="2352"/>
        <v>0</v>
      </c>
      <c r="AA1368" s="1357">
        <f t="shared" si="2352"/>
        <v>0</v>
      </c>
      <c r="AB1368" s="1357">
        <f t="shared" si="2352"/>
        <v>0</v>
      </c>
      <c r="AC1368" s="1357">
        <f t="shared" si="2352"/>
        <v>0</v>
      </c>
      <c r="AD1368" s="1357">
        <f t="shared" ref="AD1368:AJ1368" si="2353">AD1369+AD1375</f>
        <v>0</v>
      </c>
      <c r="AE1368" s="1357">
        <f t="shared" si="2353"/>
        <v>0</v>
      </c>
      <c r="AF1368" s="1357">
        <f t="shared" si="2353"/>
        <v>0</v>
      </c>
      <c r="AG1368" s="1357">
        <f t="shared" si="2353"/>
        <v>0</v>
      </c>
      <c r="AH1368" s="1357">
        <f t="shared" si="2353"/>
        <v>0</v>
      </c>
      <c r="AI1368" s="1357">
        <f t="shared" si="2353"/>
        <v>0</v>
      </c>
      <c r="AJ1368" s="1357">
        <f t="shared" si="2353"/>
        <v>0</v>
      </c>
    </row>
    <row r="1369" spans="1:36" ht="14.5">
      <c r="A1369" s="990">
        <v>1</v>
      </c>
      <c r="B1369" s="990">
        <v>1</v>
      </c>
      <c r="C1369" s="990" t="s">
        <v>863</v>
      </c>
      <c r="D1369" s="1121" t="s">
        <v>887</v>
      </c>
      <c r="E1369" s="1463" t="s">
        <v>1262</v>
      </c>
      <c r="F1369" s="1459"/>
      <c r="G1369"/>
      <c r="H1369" s="5"/>
      <c r="I1369" s="1809"/>
      <c r="J1369" s="1832"/>
      <c r="K1369" s="32"/>
      <c r="L1369" s="14" t="s">
        <v>969</v>
      </c>
      <c r="M1369" s="1354"/>
      <c r="N1369" s="1355"/>
      <c r="O1369" s="1355"/>
      <c r="P1369" s="1356"/>
      <c r="Q1369" s="1848" t="str">
        <f>CHOOSE(2, "6722000004287", "IIS Gross Profit MX Direct Product")</f>
        <v>IIS Gross Profit MX Direct Product</v>
      </c>
      <c r="R1369" s="1358">
        <f t="shared" ref="R1369:AC1369" si="2354">R1370+R1373</f>
        <v>0</v>
      </c>
      <c r="S1369" s="1358">
        <f t="shared" si="2354"/>
        <v>0</v>
      </c>
      <c r="T1369" s="1358">
        <f t="shared" si="2354"/>
        <v>0</v>
      </c>
      <c r="U1369" s="1358">
        <f t="shared" si="2354"/>
        <v>0</v>
      </c>
      <c r="V1369" s="1358">
        <f t="shared" si="2354"/>
        <v>0</v>
      </c>
      <c r="W1369" s="1358">
        <f t="shared" si="2354"/>
        <v>0</v>
      </c>
      <c r="X1369" s="1358">
        <f t="shared" si="2354"/>
        <v>0</v>
      </c>
      <c r="Y1369" s="1358">
        <f t="shared" si="2354"/>
        <v>0</v>
      </c>
      <c r="Z1369" s="1358">
        <f t="shared" si="2354"/>
        <v>0</v>
      </c>
      <c r="AA1369" s="1358">
        <f t="shared" si="2354"/>
        <v>0</v>
      </c>
      <c r="AB1369" s="1358">
        <f t="shared" si="2354"/>
        <v>0</v>
      </c>
      <c r="AC1369" s="1358">
        <f t="shared" si="2354"/>
        <v>0</v>
      </c>
      <c r="AD1369" s="1358">
        <f t="shared" ref="AD1369:AJ1369" si="2355">AD1370+AD1373</f>
        <v>0</v>
      </c>
      <c r="AE1369" s="1358">
        <f t="shared" si="2355"/>
        <v>0</v>
      </c>
      <c r="AF1369" s="1358">
        <f t="shared" si="2355"/>
        <v>0</v>
      </c>
      <c r="AG1369" s="1358">
        <f t="shared" si="2355"/>
        <v>0</v>
      </c>
      <c r="AH1369" s="1358">
        <f t="shared" si="2355"/>
        <v>0</v>
      </c>
      <c r="AI1369" s="1358">
        <f t="shared" si="2355"/>
        <v>0</v>
      </c>
      <c r="AJ1369" s="1358">
        <f t="shared" si="2355"/>
        <v>0</v>
      </c>
    </row>
    <row r="1370" spans="1:36" ht="14.5">
      <c r="A1370" s="990">
        <v>1</v>
      </c>
      <c r="B1370" s="990">
        <v>1</v>
      </c>
      <c r="C1370" s="990" t="s">
        <v>863</v>
      </c>
      <c r="D1370" s="1121" t="s">
        <v>887</v>
      </c>
      <c r="E1370" s="1463" t="s">
        <v>1262</v>
      </c>
      <c r="F1370" s="1459"/>
      <c r="G1370"/>
      <c r="H1370" s="5"/>
      <c r="I1370" s="1809"/>
      <c r="J1370" s="1832"/>
      <c r="K1370" s="1348"/>
      <c r="L1370" s="31"/>
      <c r="M1370" s="14" t="s">
        <v>298</v>
      </c>
      <c r="N1370" s="14"/>
      <c r="O1370" s="14"/>
      <c r="P1370" s="1340"/>
      <c r="Q1370" s="1848" t="str">
        <f>CHOOSE(2, "6722000004288", "IIS Gross Profit MX Direct Product HW")</f>
        <v>IIS Gross Profit MX Direct Product HW</v>
      </c>
      <c r="R1370" s="1359">
        <f t="shared" ref="R1370" si="2356">SUM(R1371:R1372)</f>
        <v>0</v>
      </c>
      <c r="S1370" s="1359">
        <f t="shared" ref="S1370:AC1370" si="2357">SUM(S1371:S1372)</f>
        <v>0</v>
      </c>
      <c r="T1370" s="1359">
        <f t="shared" si="2357"/>
        <v>0</v>
      </c>
      <c r="U1370" s="1359">
        <f t="shared" si="2357"/>
        <v>0</v>
      </c>
      <c r="V1370" s="1359">
        <f t="shared" si="2357"/>
        <v>0</v>
      </c>
      <c r="W1370" s="1359">
        <f t="shared" si="2357"/>
        <v>0</v>
      </c>
      <c r="X1370" s="1359">
        <f t="shared" si="2357"/>
        <v>0</v>
      </c>
      <c r="Y1370" s="1359">
        <f t="shared" si="2357"/>
        <v>0</v>
      </c>
      <c r="Z1370" s="1359">
        <f t="shared" si="2357"/>
        <v>0</v>
      </c>
      <c r="AA1370" s="1359">
        <f t="shared" si="2357"/>
        <v>0</v>
      </c>
      <c r="AB1370" s="1359">
        <f t="shared" si="2357"/>
        <v>0</v>
      </c>
      <c r="AC1370" s="1359">
        <f t="shared" si="2357"/>
        <v>0</v>
      </c>
      <c r="AD1370" s="1359">
        <f t="shared" ref="AD1370:AJ1370" si="2358">SUM(AD1371:AD1372)</f>
        <v>0</v>
      </c>
      <c r="AE1370" s="1359">
        <f t="shared" si="2358"/>
        <v>0</v>
      </c>
      <c r="AF1370" s="1359">
        <f t="shared" si="2358"/>
        <v>0</v>
      </c>
      <c r="AG1370" s="1359">
        <f t="shared" si="2358"/>
        <v>0</v>
      </c>
      <c r="AH1370" s="1359">
        <f t="shared" si="2358"/>
        <v>0</v>
      </c>
      <c r="AI1370" s="1359">
        <f t="shared" si="2358"/>
        <v>0</v>
      </c>
      <c r="AJ1370" s="1359">
        <f t="shared" si="2358"/>
        <v>0</v>
      </c>
    </row>
    <row r="1371" spans="1:36" ht="14.5">
      <c r="A1371" s="990">
        <v>1</v>
      </c>
      <c r="B1371" s="990">
        <v>1</v>
      </c>
      <c r="C1371" s="990" t="s">
        <v>863</v>
      </c>
      <c r="D1371" s="1121" t="s">
        <v>887</v>
      </c>
      <c r="E1371" s="1463" t="s">
        <v>1262</v>
      </c>
      <c r="F1371" s="1459"/>
      <c r="G1371"/>
      <c r="H1371" s="5"/>
      <c r="I1371" s="1809"/>
      <c r="J1371" s="1832"/>
      <c r="K1371" s="1348"/>
      <c r="L1371" s="31"/>
      <c r="M1371" s="31"/>
      <c r="N1371" s="31" t="s">
        <v>970</v>
      </c>
      <c r="O1371" s="14"/>
      <c r="P1371" s="1340"/>
      <c r="Q1371" s="1845" t="str">
        <f>CHOOSE(2, "6722000004289", "IIS Gross Profit MX Direct Product HW Camera Device")</f>
        <v>IIS Gross Profit MX Direct Product HW Camera Device</v>
      </c>
      <c r="R1371" s="2188">
        <v>0</v>
      </c>
      <c r="S1371" s="2188">
        <v>0</v>
      </c>
      <c r="T1371" s="2188">
        <v>0</v>
      </c>
      <c r="U1371" s="2188">
        <v>0</v>
      </c>
      <c r="V1371" s="2188">
        <v>0</v>
      </c>
      <c r="W1371" s="2188">
        <v>0</v>
      </c>
      <c r="X1371" s="2188">
        <v>0</v>
      </c>
      <c r="Y1371" s="2188">
        <v>0</v>
      </c>
      <c r="Z1371" s="2188">
        <v>0</v>
      </c>
      <c r="AA1371" s="2188">
        <v>0</v>
      </c>
      <c r="AB1371" s="2188">
        <v>0</v>
      </c>
      <c r="AC1371" s="2188">
        <v>0</v>
      </c>
      <c r="AD1371" s="1359">
        <f>SUM(R1371,S1371,T1371)</f>
        <v>0</v>
      </c>
      <c r="AE1371" s="1359">
        <f>SUM(U1371,V1371,W1371)</f>
        <v>0</v>
      </c>
      <c r="AF1371" s="1359">
        <f>SUM(X1371,Y1371,Z1371)</f>
        <v>0</v>
      </c>
      <c r="AG1371" s="1359">
        <f>SUM(AA1371,AB1371,AC1371)</f>
        <v>0</v>
      </c>
      <c r="AH1371" s="1359">
        <f>AD1371+AE1371</f>
        <v>0</v>
      </c>
      <c r="AI1371" s="1359">
        <f>AG1371+AF1371</f>
        <v>0</v>
      </c>
      <c r="AJ1371" s="1359">
        <f>AH1371+AI1371</f>
        <v>0</v>
      </c>
    </row>
    <row r="1372" spans="1:36" ht="14.5">
      <c r="A1372" s="990">
        <v>1</v>
      </c>
      <c r="B1372" s="990">
        <v>1</v>
      </c>
      <c r="C1372" s="990" t="s">
        <v>863</v>
      </c>
      <c r="D1372" s="1121" t="s">
        <v>887</v>
      </c>
      <c r="E1372" s="1463" t="s">
        <v>1262</v>
      </c>
      <c r="F1372" s="1459"/>
      <c r="G1372"/>
      <c r="H1372" s="5"/>
      <c r="I1372" s="1809"/>
      <c r="J1372" s="1832"/>
      <c r="K1372" s="1348"/>
      <c r="L1372" s="31"/>
      <c r="M1372" s="1351"/>
      <c r="N1372" s="1351" t="s">
        <v>971</v>
      </c>
      <c r="O1372" s="1352"/>
      <c r="P1372" s="1353"/>
      <c r="Q1372" s="1845" t="str">
        <f>CHOOSE(2, "6722000004290", "IIS Gross Profit MX Direct Product HW Others")</f>
        <v>IIS Gross Profit MX Direct Product HW Others</v>
      </c>
      <c r="R1372" s="2189">
        <v>0</v>
      </c>
      <c r="S1372" s="2189">
        <v>0</v>
      </c>
      <c r="T1372" s="2189">
        <v>0</v>
      </c>
      <c r="U1372" s="2189">
        <v>0</v>
      </c>
      <c r="V1372" s="2189">
        <v>0</v>
      </c>
      <c r="W1372" s="2189">
        <v>0</v>
      </c>
      <c r="X1372" s="2189">
        <v>0</v>
      </c>
      <c r="Y1372" s="2189">
        <v>0</v>
      </c>
      <c r="Z1372" s="2189">
        <v>0</v>
      </c>
      <c r="AA1372" s="2189">
        <v>0</v>
      </c>
      <c r="AB1372" s="2189">
        <v>0</v>
      </c>
      <c r="AC1372" s="2189">
        <v>0</v>
      </c>
      <c r="AD1372" s="1360">
        <f>SUM(R1372,S1372,T1372)</f>
        <v>0</v>
      </c>
      <c r="AE1372" s="1360">
        <f>SUM(U1372,V1372,W1372)</f>
        <v>0</v>
      </c>
      <c r="AF1372" s="1360">
        <f>SUM(X1372,Y1372,Z1372)</f>
        <v>0</v>
      </c>
      <c r="AG1372" s="1360">
        <f>SUM(AA1372,AB1372,AC1372)</f>
        <v>0</v>
      </c>
      <c r="AH1372" s="1360">
        <f>AD1372+AE1372</f>
        <v>0</v>
      </c>
      <c r="AI1372" s="1360">
        <f>AG1372+AF1372</f>
        <v>0</v>
      </c>
      <c r="AJ1372" s="1360">
        <f>AH1372+AI1372</f>
        <v>0</v>
      </c>
    </row>
    <row r="1373" spans="1:36" ht="14.5">
      <c r="A1373" s="990">
        <v>1</v>
      </c>
      <c r="B1373" s="990">
        <v>1</v>
      </c>
      <c r="C1373" s="990" t="s">
        <v>863</v>
      </c>
      <c r="D1373" s="1121" t="s">
        <v>887</v>
      </c>
      <c r="E1373" s="1463" t="s">
        <v>1262</v>
      </c>
      <c r="F1373" s="1459"/>
      <c r="G1373"/>
      <c r="H1373" s="5"/>
      <c r="I1373" s="1809"/>
      <c r="J1373" s="1832"/>
      <c r="K1373" s="1348"/>
      <c r="L1373" s="31"/>
      <c r="M1373" s="14" t="s">
        <v>972</v>
      </c>
      <c r="N1373" s="14"/>
      <c r="O1373" s="14"/>
      <c r="P1373" s="1340"/>
      <c r="Q1373" s="1848" t="str">
        <f>CHOOSE(2, "6722000004291", "IIS Gross Profit MX Direct Product NH")</f>
        <v>IIS Gross Profit MX Direct Product NH</v>
      </c>
      <c r="R1373" s="1359">
        <f t="shared" ref="R1373:AC1373" si="2359">R1374</f>
        <v>0</v>
      </c>
      <c r="S1373" s="1359">
        <f t="shared" si="2359"/>
        <v>0</v>
      </c>
      <c r="T1373" s="1359">
        <f t="shared" si="2359"/>
        <v>0</v>
      </c>
      <c r="U1373" s="1359">
        <f t="shared" si="2359"/>
        <v>0</v>
      </c>
      <c r="V1373" s="1359">
        <f t="shared" si="2359"/>
        <v>0</v>
      </c>
      <c r="W1373" s="1359">
        <f t="shared" si="2359"/>
        <v>0</v>
      </c>
      <c r="X1373" s="1359">
        <f t="shared" si="2359"/>
        <v>0</v>
      </c>
      <c r="Y1373" s="1359">
        <f t="shared" si="2359"/>
        <v>0</v>
      </c>
      <c r="Z1373" s="1359">
        <f t="shared" si="2359"/>
        <v>0</v>
      </c>
      <c r="AA1373" s="1359">
        <f t="shared" si="2359"/>
        <v>0</v>
      </c>
      <c r="AB1373" s="1359">
        <f t="shared" si="2359"/>
        <v>0</v>
      </c>
      <c r="AC1373" s="1359">
        <f t="shared" si="2359"/>
        <v>0</v>
      </c>
      <c r="AD1373" s="1359">
        <f t="shared" ref="AD1373:AJ1373" si="2360">AD1374</f>
        <v>0</v>
      </c>
      <c r="AE1373" s="1359">
        <f t="shared" si="2360"/>
        <v>0</v>
      </c>
      <c r="AF1373" s="1359">
        <f t="shared" si="2360"/>
        <v>0</v>
      </c>
      <c r="AG1373" s="1359">
        <f t="shared" si="2360"/>
        <v>0</v>
      </c>
      <c r="AH1373" s="1359">
        <f t="shared" si="2360"/>
        <v>0</v>
      </c>
      <c r="AI1373" s="1359">
        <f t="shared" si="2360"/>
        <v>0</v>
      </c>
      <c r="AJ1373" s="1359">
        <f t="shared" si="2360"/>
        <v>0</v>
      </c>
    </row>
    <row r="1374" spans="1:36" ht="14.5">
      <c r="A1374" s="990">
        <v>1</v>
      </c>
      <c r="B1374" s="990">
        <v>1</v>
      </c>
      <c r="C1374" s="990" t="s">
        <v>863</v>
      </c>
      <c r="D1374" s="1121" t="s">
        <v>887</v>
      </c>
      <c r="E1374" s="1463" t="s">
        <v>1262</v>
      </c>
      <c r="F1374" s="1459"/>
      <c r="G1374"/>
      <c r="H1374" s="5"/>
      <c r="I1374" s="1809"/>
      <c r="J1374" s="1832"/>
      <c r="K1374" s="1348"/>
      <c r="L1374" s="1351"/>
      <c r="M1374" s="1351"/>
      <c r="N1374" s="1351" t="s">
        <v>973</v>
      </c>
      <c r="O1374" s="1352"/>
      <c r="P1374" s="1353"/>
      <c r="Q1374" s="1845" t="str">
        <f>CHOOSE(2, "6722000004292", "IIS Gross Profit MX Direct Product NH SW/Apps")</f>
        <v>IIS Gross Profit MX Direct Product NH SW/Apps</v>
      </c>
      <c r="R1374" s="2189">
        <v>0</v>
      </c>
      <c r="S1374" s="2189">
        <v>0</v>
      </c>
      <c r="T1374" s="2189">
        <v>0</v>
      </c>
      <c r="U1374" s="2189">
        <v>0</v>
      </c>
      <c r="V1374" s="2189">
        <v>0</v>
      </c>
      <c r="W1374" s="2189">
        <v>0</v>
      </c>
      <c r="X1374" s="2189">
        <v>0</v>
      </c>
      <c r="Y1374" s="2189">
        <v>0</v>
      </c>
      <c r="Z1374" s="2189">
        <v>0</v>
      </c>
      <c r="AA1374" s="2189">
        <v>0</v>
      </c>
      <c r="AB1374" s="2189">
        <v>0</v>
      </c>
      <c r="AC1374" s="2189">
        <v>0</v>
      </c>
      <c r="AD1374" s="1360">
        <f>SUM(R1374,S1374,T1374)</f>
        <v>0</v>
      </c>
      <c r="AE1374" s="1360">
        <f>SUM(U1374,V1374,W1374)</f>
        <v>0</v>
      </c>
      <c r="AF1374" s="1360">
        <f>SUM(X1374,Y1374,Z1374)</f>
        <v>0</v>
      </c>
      <c r="AG1374" s="1360">
        <f>SUM(AA1374,AB1374,AC1374)</f>
        <v>0</v>
      </c>
      <c r="AH1374" s="1360">
        <f>AD1374+AE1374</f>
        <v>0</v>
      </c>
      <c r="AI1374" s="1360">
        <f>AG1374+AF1374</f>
        <v>0</v>
      </c>
      <c r="AJ1374" s="1360">
        <f>AH1374+AI1374</f>
        <v>0</v>
      </c>
    </row>
    <row r="1375" spans="1:36" ht="14.5">
      <c r="A1375" s="990">
        <v>1</v>
      </c>
      <c r="B1375" s="990">
        <v>1</v>
      </c>
      <c r="C1375" s="990" t="s">
        <v>863</v>
      </c>
      <c r="D1375" s="1121" t="s">
        <v>887</v>
      </c>
      <c r="E1375" s="1463" t="s">
        <v>1262</v>
      </c>
      <c r="F1375" s="1459"/>
      <c r="G1375"/>
      <c r="H1375" s="5"/>
      <c r="I1375" s="1809"/>
      <c r="J1375" s="1832"/>
      <c r="K1375" s="1348"/>
      <c r="L1375" s="14" t="s">
        <v>974</v>
      </c>
      <c r="M1375" s="31"/>
      <c r="N1375" s="14"/>
      <c r="O1375" s="14"/>
      <c r="P1375" s="1340"/>
      <c r="Q1375" s="1848" t="str">
        <f>CHOOSE(2, "6722000004293", "IIS Gross Profit MX Direct Service")</f>
        <v>IIS Gross Profit MX Direct Service</v>
      </c>
      <c r="R1375" s="1359">
        <f t="shared" ref="R1375" si="2361">SUM(R1376:R1377)</f>
        <v>0</v>
      </c>
      <c r="S1375" s="1359">
        <f t="shared" ref="S1375:AC1375" si="2362">SUM(S1376:S1377)</f>
        <v>0</v>
      </c>
      <c r="T1375" s="1359">
        <f t="shared" si="2362"/>
        <v>0</v>
      </c>
      <c r="U1375" s="1359">
        <f t="shared" si="2362"/>
        <v>0</v>
      </c>
      <c r="V1375" s="1359">
        <f t="shared" si="2362"/>
        <v>0</v>
      </c>
      <c r="W1375" s="1359">
        <f t="shared" si="2362"/>
        <v>0</v>
      </c>
      <c r="X1375" s="1359">
        <f t="shared" si="2362"/>
        <v>0</v>
      </c>
      <c r="Y1375" s="1359">
        <f t="shared" si="2362"/>
        <v>0</v>
      </c>
      <c r="Z1375" s="1359">
        <f t="shared" si="2362"/>
        <v>0</v>
      </c>
      <c r="AA1375" s="1359">
        <f t="shared" si="2362"/>
        <v>0</v>
      </c>
      <c r="AB1375" s="1359">
        <f t="shared" si="2362"/>
        <v>0</v>
      </c>
      <c r="AC1375" s="1359">
        <f t="shared" si="2362"/>
        <v>0</v>
      </c>
      <c r="AD1375" s="1359">
        <f t="shared" ref="AD1375:AJ1375" si="2363">SUM(AD1376:AD1377)</f>
        <v>0</v>
      </c>
      <c r="AE1375" s="1359">
        <f t="shared" si="2363"/>
        <v>0</v>
      </c>
      <c r="AF1375" s="1359">
        <f t="shared" si="2363"/>
        <v>0</v>
      </c>
      <c r="AG1375" s="1359">
        <f t="shared" si="2363"/>
        <v>0</v>
      </c>
      <c r="AH1375" s="1359">
        <f t="shared" si="2363"/>
        <v>0</v>
      </c>
      <c r="AI1375" s="1359">
        <f t="shared" si="2363"/>
        <v>0</v>
      </c>
      <c r="AJ1375" s="1359">
        <f t="shared" si="2363"/>
        <v>0</v>
      </c>
    </row>
    <row r="1376" spans="1:36" ht="14.5">
      <c r="A1376" s="990">
        <v>1</v>
      </c>
      <c r="B1376" s="990">
        <v>1</v>
      </c>
      <c r="C1376" s="990" t="s">
        <v>863</v>
      </c>
      <c r="D1376" s="1121" t="s">
        <v>887</v>
      </c>
      <c r="E1376" s="1463" t="s">
        <v>1262</v>
      </c>
      <c r="F1376" s="1459"/>
      <c r="G1376"/>
      <c r="H1376" s="5"/>
      <c r="I1376" s="1809"/>
      <c r="J1376" s="1832"/>
      <c r="K1376" s="1348"/>
      <c r="L1376" s="31"/>
      <c r="M1376" s="31" t="s">
        <v>975</v>
      </c>
      <c r="N1376" s="14"/>
      <c r="O1376" s="14"/>
      <c r="P1376" s="1340"/>
      <c r="Q1376" s="1845" t="str">
        <f>CHOOSE(2, "6722000004294", "IIS Gross Profit MX Direct Service Onetime")</f>
        <v>IIS Gross Profit MX Direct Service Onetime</v>
      </c>
      <c r="R1376" s="2188">
        <v>0</v>
      </c>
      <c r="S1376" s="2188">
        <v>0</v>
      </c>
      <c r="T1376" s="2188">
        <v>0</v>
      </c>
      <c r="U1376" s="2188">
        <v>0</v>
      </c>
      <c r="V1376" s="2188">
        <v>0</v>
      </c>
      <c r="W1376" s="2188">
        <v>0</v>
      </c>
      <c r="X1376" s="2188">
        <v>0</v>
      </c>
      <c r="Y1376" s="2188">
        <v>0</v>
      </c>
      <c r="Z1376" s="2188">
        <v>0</v>
      </c>
      <c r="AA1376" s="2188">
        <v>0</v>
      </c>
      <c r="AB1376" s="2188">
        <v>0</v>
      </c>
      <c r="AC1376" s="2188">
        <v>0</v>
      </c>
      <c r="AD1376" s="1359">
        <f>SUM(R1376,S1376,T1376)</f>
        <v>0</v>
      </c>
      <c r="AE1376" s="1359">
        <f>SUM(U1376,V1376,W1376)</f>
        <v>0</v>
      </c>
      <c r="AF1376" s="1359">
        <f>SUM(X1376,Y1376,Z1376)</f>
        <v>0</v>
      </c>
      <c r="AG1376" s="1359">
        <f>SUM(AA1376,AB1376,AC1376)</f>
        <v>0</v>
      </c>
      <c r="AH1376" s="1359">
        <f>AD1376+AE1376</f>
        <v>0</v>
      </c>
      <c r="AI1376" s="1359">
        <f>AG1376+AF1376</f>
        <v>0</v>
      </c>
      <c r="AJ1376" s="1359">
        <f>AH1376+AI1376</f>
        <v>0</v>
      </c>
    </row>
    <row r="1377" spans="1:36" ht="14.5">
      <c r="A1377" s="990">
        <v>1</v>
      </c>
      <c r="B1377" s="990">
        <v>1</v>
      </c>
      <c r="C1377" s="990" t="s">
        <v>863</v>
      </c>
      <c r="D1377" s="1121" t="s">
        <v>887</v>
      </c>
      <c r="E1377" s="1463" t="s">
        <v>1262</v>
      </c>
      <c r="F1377" s="1459"/>
      <c r="G1377"/>
      <c r="H1377" s="5"/>
      <c r="I1377" s="1809"/>
      <c r="J1377" s="1832"/>
      <c r="K1377" s="1349"/>
      <c r="L1377" s="1343"/>
      <c r="M1377" s="1343" t="s">
        <v>976</v>
      </c>
      <c r="N1377" s="1341"/>
      <c r="O1377" s="1341"/>
      <c r="P1377" s="1342"/>
      <c r="Q1377" s="1845" t="str">
        <f>CHOOSE(2, "6722000004295", "IIS Gross Profit MX Direct Service Recurring")</f>
        <v>IIS Gross Profit MX Direct Service Recurring</v>
      </c>
      <c r="R1377" s="2190">
        <v>0</v>
      </c>
      <c r="S1377" s="2190">
        <v>0</v>
      </c>
      <c r="T1377" s="2190">
        <v>0</v>
      </c>
      <c r="U1377" s="2190">
        <v>0</v>
      </c>
      <c r="V1377" s="2190">
        <v>0</v>
      </c>
      <c r="W1377" s="2190">
        <v>0</v>
      </c>
      <c r="X1377" s="2190">
        <v>0</v>
      </c>
      <c r="Y1377" s="2190">
        <v>0</v>
      </c>
      <c r="Z1377" s="2190">
        <v>0</v>
      </c>
      <c r="AA1377" s="2190">
        <v>0</v>
      </c>
      <c r="AB1377" s="2190">
        <v>0</v>
      </c>
      <c r="AC1377" s="2190">
        <v>0</v>
      </c>
      <c r="AD1377" s="1361">
        <f>SUM(R1377,S1377,T1377)</f>
        <v>0</v>
      </c>
      <c r="AE1377" s="1361">
        <f>SUM(U1377,V1377,W1377)</f>
        <v>0</v>
      </c>
      <c r="AF1377" s="1361">
        <f>SUM(X1377,Y1377,Z1377)</f>
        <v>0</v>
      </c>
      <c r="AG1377" s="1361">
        <f>SUM(AA1377,AB1377,AC1377)</f>
        <v>0</v>
      </c>
      <c r="AH1377" s="1361">
        <f>AD1377+AE1377</f>
        <v>0</v>
      </c>
      <c r="AI1377" s="1361">
        <f>AG1377+AF1377</f>
        <v>0</v>
      </c>
      <c r="AJ1377" s="1361">
        <f>AH1377+AI1377</f>
        <v>0</v>
      </c>
    </row>
    <row r="1378" spans="1:36" ht="14.5">
      <c r="A1378" s="990">
        <v>1</v>
      </c>
      <c r="B1378" s="990">
        <v>1</v>
      </c>
      <c r="C1378" s="990" t="s">
        <v>863</v>
      </c>
      <c r="D1378" s="1121" t="s">
        <v>887</v>
      </c>
      <c r="E1378" s="1463" t="s">
        <v>1262</v>
      </c>
      <c r="F1378" s="1459"/>
      <c r="G1378"/>
      <c r="H1378" s="5"/>
      <c r="I1378" s="1809"/>
      <c r="J1378" s="1833"/>
      <c r="K1378" s="435" t="s">
        <v>977</v>
      </c>
      <c r="L1378" s="436"/>
      <c r="M1378" s="436"/>
      <c r="N1378" s="437"/>
      <c r="O1378" s="437"/>
      <c r="P1378" s="1350"/>
      <c r="Q1378" s="1845" t="str">
        <f>CHOOSE(2, "6722000004296", "IIS Gross Profit MX Indirect")</f>
        <v>IIS Gross Profit MX Indirect</v>
      </c>
      <c r="R1378" s="2191">
        <v>39</v>
      </c>
      <c r="S1378" s="2191">
        <v>275</v>
      </c>
      <c r="T1378" s="2191">
        <v>-17</v>
      </c>
      <c r="U1378" s="2191">
        <v>178</v>
      </c>
      <c r="V1378" s="2191">
        <v>242</v>
      </c>
      <c r="W1378" s="2191">
        <v>576</v>
      </c>
      <c r="X1378" s="2191">
        <v>-10</v>
      </c>
      <c r="Y1378" s="2191">
        <v>207</v>
      </c>
      <c r="Z1378" s="2191">
        <v>358</v>
      </c>
      <c r="AA1378" s="2191">
        <v>-1392</v>
      </c>
      <c r="AB1378" s="2191">
        <v>77</v>
      </c>
      <c r="AC1378" s="2191">
        <v>-839</v>
      </c>
      <c r="AD1378" s="1362">
        <f>SUM(R1378,S1378,T1378)</f>
        <v>297</v>
      </c>
      <c r="AE1378" s="1362">
        <f>SUM(U1378,V1378,W1378)</f>
        <v>996</v>
      </c>
      <c r="AF1378" s="1362">
        <f>SUM(X1378,Y1378,Z1378)</f>
        <v>555</v>
      </c>
      <c r="AG1378" s="1362">
        <f>SUM(AA1378,AB1378,AC1378)</f>
        <v>-2154</v>
      </c>
      <c r="AH1378" s="1362">
        <f>AD1378+AE1378</f>
        <v>1293</v>
      </c>
      <c r="AI1378" s="1362">
        <f>AG1378+AF1378</f>
        <v>-1599</v>
      </c>
      <c r="AJ1378" s="1362">
        <f>AH1378+AI1378</f>
        <v>-306</v>
      </c>
    </row>
    <row r="1379" spans="1:36" ht="14.5">
      <c r="A1379" s="990">
        <v>1</v>
      </c>
      <c r="B1379" s="990">
        <v>1</v>
      </c>
      <c r="C1379" s="990" t="s">
        <v>863</v>
      </c>
      <c r="D1379" s="1121" t="s">
        <v>887</v>
      </c>
      <c r="E1379" s="1463" t="s">
        <v>1262</v>
      </c>
      <c r="F1379" s="1459"/>
      <c r="G1379"/>
      <c r="H1379" s="5"/>
      <c r="I1379" s="1809"/>
      <c r="J1379" s="1834" t="s">
        <v>978</v>
      </c>
      <c r="K1379" s="1833"/>
      <c r="L1379" s="1833"/>
      <c r="M1379" s="1833"/>
      <c r="N1379" s="1829"/>
      <c r="O1379" s="1829"/>
      <c r="P1379" s="1830"/>
      <c r="Q1379" s="1914" t="str">
        <f>CHOOSE(2, "6722000004297", "IIS Gross Profit DM")</f>
        <v>IIS Gross Profit DM</v>
      </c>
      <c r="R1379" s="1831">
        <v>0</v>
      </c>
      <c r="S1379" s="1831">
        <v>0</v>
      </c>
      <c r="T1379" s="1831">
        <v>0</v>
      </c>
      <c r="U1379" s="1831">
        <v>0</v>
      </c>
      <c r="V1379" s="1831">
        <v>0</v>
      </c>
      <c r="W1379" s="1831">
        <v>0</v>
      </c>
      <c r="X1379" s="1831">
        <v>0</v>
      </c>
      <c r="Y1379" s="1831">
        <v>0</v>
      </c>
      <c r="Z1379" s="1831">
        <v>0</v>
      </c>
      <c r="AA1379" s="1831">
        <v>0</v>
      </c>
      <c r="AB1379" s="1831">
        <v>0</v>
      </c>
      <c r="AC1379" s="1831">
        <v>0</v>
      </c>
      <c r="AD1379" s="1831">
        <f>SUM(R1379,S1379,T1379)</f>
        <v>0</v>
      </c>
      <c r="AE1379" s="1831">
        <f>SUM(U1379,V1379,W1379)</f>
        <v>0</v>
      </c>
      <c r="AF1379" s="1831">
        <f>SUM(X1379,Y1379,Z1379)</f>
        <v>0</v>
      </c>
      <c r="AG1379" s="1831">
        <f>SUM(AA1379,AB1379,AC1379)</f>
        <v>0</v>
      </c>
      <c r="AH1379" s="1831">
        <f>AD1379+AE1379</f>
        <v>0</v>
      </c>
      <c r="AI1379" s="1831">
        <f>AG1379+AF1379</f>
        <v>0</v>
      </c>
      <c r="AJ1379" s="1831">
        <f>AH1379+AI1379</f>
        <v>0</v>
      </c>
    </row>
    <row r="1380" spans="1:36" ht="14.5">
      <c r="A1380" s="990">
        <v>1</v>
      </c>
      <c r="B1380" s="990">
        <v>1</v>
      </c>
      <c r="C1380" s="990" t="s">
        <v>863</v>
      </c>
      <c r="D1380" s="1121" t="s">
        <v>887</v>
      </c>
      <c r="E1380" s="1463" t="s">
        <v>1262</v>
      </c>
      <c r="F1380" s="1459"/>
      <c r="G1380"/>
      <c r="H1380" s="5"/>
      <c r="I1380" s="1809"/>
      <c r="J1380" s="1828" t="s">
        <v>979</v>
      </c>
      <c r="K1380" s="1832"/>
      <c r="L1380" s="1832"/>
      <c r="M1380" s="1832"/>
      <c r="N1380" s="1828"/>
      <c r="O1380" s="1828"/>
      <c r="P1380" s="1835"/>
      <c r="Q1380" s="1914" t="str">
        <f>CHOOSE(2, "6722000004298", "IIS Gross Profit Gas")</f>
        <v>IIS Gross Profit Gas</v>
      </c>
      <c r="R1380" s="1836">
        <v>0</v>
      </c>
      <c r="S1380" s="1836">
        <v>0</v>
      </c>
      <c r="T1380" s="1836">
        <v>0</v>
      </c>
      <c r="U1380" s="1836">
        <v>0</v>
      </c>
      <c r="V1380" s="1836">
        <v>0</v>
      </c>
      <c r="W1380" s="1836">
        <v>0</v>
      </c>
      <c r="X1380" s="1836">
        <v>0</v>
      </c>
      <c r="Y1380" s="1836">
        <v>0</v>
      </c>
      <c r="Z1380" s="1836">
        <v>0</v>
      </c>
      <c r="AA1380" s="1836">
        <v>0</v>
      </c>
      <c r="AB1380" s="1836">
        <v>0</v>
      </c>
      <c r="AC1380" s="1836">
        <v>0</v>
      </c>
      <c r="AD1380" s="1836">
        <f>SUM(R1380,S1380,T1380)</f>
        <v>0</v>
      </c>
      <c r="AE1380" s="1836">
        <f>SUM(U1380,V1380,W1380)</f>
        <v>0</v>
      </c>
      <c r="AF1380" s="1836">
        <f>SUM(X1380,Y1380,Z1380)</f>
        <v>0</v>
      </c>
      <c r="AG1380" s="1836">
        <f>SUM(AA1380,AB1380,AC1380)</f>
        <v>0</v>
      </c>
      <c r="AH1380" s="1836">
        <f>AD1380+AE1380</f>
        <v>0</v>
      </c>
      <c r="AI1380" s="1836">
        <f>AG1380+AF1380</f>
        <v>0</v>
      </c>
      <c r="AJ1380" s="1836">
        <f>AH1380+AI1380</f>
        <v>0</v>
      </c>
    </row>
    <row r="1381" spans="1:36" ht="14.5">
      <c r="A1381" s="990">
        <v>1</v>
      </c>
      <c r="B1381" s="990">
        <v>1</v>
      </c>
      <c r="C1381" s="990" t="s">
        <v>863</v>
      </c>
      <c r="D1381" s="1121" t="s">
        <v>887</v>
      </c>
      <c r="E1381" s="1463" t="s">
        <v>1262</v>
      </c>
      <c r="F1381" s="1459"/>
      <c r="G1381"/>
      <c r="H1381" s="5"/>
      <c r="I1381" s="1821"/>
      <c r="J1381" s="4" t="s">
        <v>574</v>
      </c>
      <c r="K1381" s="5"/>
      <c r="L1381" s="5"/>
      <c r="M1381" s="5"/>
      <c r="N1381" s="5"/>
      <c r="O1381" s="5"/>
      <c r="P1381" s="91"/>
      <c r="Q1381" s="1850" t="str">
        <f>CHOOSE(2, "6722000004299", "IIS Gross Profit (%)")</f>
        <v>IIS Gross Profit (%)</v>
      </c>
      <c r="R1381" s="90">
        <f t="shared" ref="R1381:AC1381" si="2364">IFERROR(R1366/R1336,0)</f>
        <v>0.16738197424892703</v>
      </c>
      <c r="S1381" s="90">
        <f t="shared" si="2364"/>
        <v>0.22467320261437909</v>
      </c>
      <c r="T1381" s="90">
        <f t="shared" si="2364"/>
        <v>0</v>
      </c>
      <c r="U1381" s="90">
        <f t="shared" si="2364"/>
        <v>0.19411123227917121</v>
      </c>
      <c r="V1381" s="90">
        <f t="shared" si="2364"/>
        <v>0.30936757342046761</v>
      </c>
      <c r="W1381" s="90">
        <f t="shared" si="2364"/>
        <v>0.3145821955215729</v>
      </c>
      <c r="X1381" s="90">
        <f t="shared" si="2364"/>
        <v>0</v>
      </c>
      <c r="Y1381" s="90">
        <f t="shared" si="2364"/>
        <v>0.26572528883183566</v>
      </c>
      <c r="Z1381" s="90">
        <f t="shared" si="2364"/>
        <v>0.11941294196130754</v>
      </c>
      <c r="AA1381" s="90">
        <f t="shared" si="2364"/>
        <v>-0.82123893805309733</v>
      </c>
      <c r="AB1381" s="90">
        <f t="shared" si="2364"/>
        <v>5.9322033898305086E-2</v>
      </c>
      <c r="AC1381" s="90">
        <f t="shared" si="2364"/>
        <v>-0.28654371584699456</v>
      </c>
      <c r="AD1381" s="90">
        <f t="shared" ref="AD1381:AJ1381" si="2365">IFERROR(AD1366/AD1336,0)</f>
        <v>0.20384351407000686</v>
      </c>
      <c r="AE1381" s="90">
        <f t="shared" si="2365"/>
        <v>0.28213371268420484</v>
      </c>
      <c r="AF1381" s="90">
        <f t="shared" si="2365"/>
        <v>0.14694201747418587</v>
      </c>
      <c r="AG1381" s="90">
        <f t="shared" si="2365"/>
        <v>-0.36378990035466979</v>
      </c>
      <c r="AH1381" s="90">
        <f t="shared" si="2365"/>
        <v>0.25926158370930941</v>
      </c>
      <c r="AI1381" s="90">
        <f t="shared" si="2365"/>
        <v>-0.16487935656836461</v>
      </c>
      <c r="AJ1381" s="90">
        <f t="shared" si="2365"/>
        <v>-2.0837247410512363E-2</v>
      </c>
    </row>
    <row r="1382" spans="1:36" ht="14.5">
      <c r="A1382" s="990">
        <v>1</v>
      </c>
      <c r="B1382" s="990">
        <v>1</v>
      </c>
      <c r="C1382" s="990" t="s">
        <v>863</v>
      </c>
      <c r="D1382" s="1121" t="s">
        <v>887</v>
      </c>
      <c r="E1382" s="1463" t="s">
        <v>1262</v>
      </c>
      <c r="F1382" s="1459"/>
      <c r="G1382"/>
      <c r="H1382" s="5"/>
      <c r="I1382" s="1809" t="s">
        <v>97</v>
      </c>
      <c r="J1382" s="1810"/>
      <c r="K1382" s="1811"/>
      <c r="L1382" s="1811"/>
      <c r="M1382" s="1811"/>
      <c r="N1382" s="1811"/>
      <c r="O1382" s="1811"/>
      <c r="P1382" s="1812"/>
      <c r="Q1382" s="1912" t="str">
        <f>CHOOSE(2, "6722000004300", "IIS SGA Expenses")</f>
        <v>IIS SGA Expenses</v>
      </c>
      <c r="R1382" s="1813">
        <f t="shared" ref="R1382" si="2366">SUM(R1383:R1385)</f>
        <v>717</v>
      </c>
      <c r="S1382" s="1813">
        <f t="shared" ref="S1382:AC1382" si="2367">SUM(S1383:S1385)</f>
        <v>613.00447890376654</v>
      </c>
      <c r="T1382" s="1813">
        <f t="shared" si="2367"/>
        <v>640.1846188167226</v>
      </c>
      <c r="U1382" s="1813">
        <f t="shared" si="2367"/>
        <v>546.32802966535849</v>
      </c>
      <c r="V1382" s="1813">
        <f t="shared" si="2367"/>
        <v>616.97069671144641</v>
      </c>
      <c r="W1382" s="1813">
        <f t="shared" si="2367"/>
        <v>756.41316703478356</v>
      </c>
      <c r="X1382" s="1813">
        <f t="shared" si="2367"/>
        <v>622.3089774279531</v>
      </c>
      <c r="Y1382" s="1813">
        <f t="shared" si="2367"/>
        <v>767.17063816221389</v>
      </c>
      <c r="Z1382" s="1813">
        <f t="shared" si="2367"/>
        <v>809.77798160526891</v>
      </c>
      <c r="AA1382" s="1813">
        <f t="shared" si="2367"/>
        <v>568.90979000000004</v>
      </c>
      <c r="AB1382" s="1813">
        <f t="shared" si="2367"/>
        <v>498.80925999999999</v>
      </c>
      <c r="AC1382" s="1813">
        <f t="shared" si="2367"/>
        <v>513.80925999999999</v>
      </c>
      <c r="AD1382" s="1813">
        <f t="shared" ref="AD1382:AJ1382" si="2368">SUM(AD1383:AD1385)</f>
        <v>1970.1890977204889</v>
      </c>
      <c r="AE1382" s="1813">
        <f t="shared" si="2368"/>
        <v>1919.7118934115883</v>
      </c>
      <c r="AF1382" s="1813">
        <f t="shared" si="2368"/>
        <v>2199.2575971954357</v>
      </c>
      <c r="AG1382" s="1813">
        <f t="shared" si="2368"/>
        <v>1581.5283100000001</v>
      </c>
      <c r="AH1382" s="1813">
        <f t="shared" si="2368"/>
        <v>3889.9009911320773</v>
      </c>
      <c r="AI1382" s="1813">
        <f t="shared" si="2368"/>
        <v>3780.7859071954358</v>
      </c>
      <c r="AJ1382" s="1813">
        <f t="shared" si="2368"/>
        <v>7670.6868983275135</v>
      </c>
    </row>
    <row r="1383" spans="1:36" ht="14.5">
      <c r="A1383" s="990">
        <v>1</v>
      </c>
      <c r="B1383" s="990">
        <v>1</v>
      </c>
      <c r="C1383" s="990" t="s">
        <v>863</v>
      </c>
      <c r="D1383" s="1121" t="s">
        <v>887</v>
      </c>
      <c r="E1383" s="1463" t="s">
        <v>1262</v>
      </c>
      <c r="F1383" s="1459"/>
      <c r="G1383"/>
      <c r="H1383" s="5"/>
      <c r="I1383" s="30"/>
      <c r="J1383" s="40" t="s">
        <v>578</v>
      </c>
      <c r="K1383" s="5"/>
      <c r="L1383" s="5"/>
      <c r="M1383" s="4"/>
      <c r="N1383" s="4"/>
      <c r="O1383" s="4"/>
      <c r="P1383" s="29"/>
      <c r="Q1383" s="1855" t="str">
        <f>CHOOSE(2, "6722000004301", "IIS SGA Expenses Variable Expenses")</f>
        <v>IIS SGA Expenses Variable Expenses</v>
      </c>
      <c r="R1383" s="2039">
        <v>0</v>
      </c>
      <c r="S1383" s="2039">
        <v>0</v>
      </c>
      <c r="T1383" s="2039">
        <v>0</v>
      </c>
      <c r="U1383" s="2039">
        <v>0</v>
      </c>
      <c r="V1383" s="2039">
        <v>0</v>
      </c>
      <c r="W1383" s="2039">
        <v>0</v>
      </c>
      <c r="X1383" s="2039">
        <v>0</v>
      </c>
      <c r="Y1383" s="2039">
        <v>0</v>
      </c>
      <c r="Z1383" s="2039">
        <v>0</v>
      </c>
      <c r="AA1383" s="2039">
        <v>0</v>
      </c>
      <c r="AB1383" s="2039">
        <v>0</v>
      </c>
      <c r="AC1383" s="2039">
        <v>0</v>
      </c>
      <c r="AD1383" s="89">
        <f>SUM(R1383:T1383)</f>
        <v>0</v>
      </c>
      <c r="AE1383" s="89">
        <f>SUM(U1383:W1383)</f>
        <v>0</v>
      </c>
      <c r="AF1383" s="89">
        <f>SUM(X1383:Z1383)</f>
        <v>0</v>
      </c>
      <c r="AG1383" s="89">
        <f>SUM(AA1383:AC1383)</f>
        <v>0</v>
      </c>
      <c r="AH1383" s="89">
        <f>AD1383+AE1383</f>
        <v>0</v>
      </c>
      <c r="AI1383" s="89">
        <f>AG1383+AF1383</f>
        <v>0</v>
      </c>
      <c r="AJ1383" s="89">
        <f>AH1383+AI1383</f>
        <v>0</v>
      </c>
    </row>
    <row r="1384" spans="1:36" ht="14.5">
      <c r="A1384" s="990">
        <v>1</v>
      </c>
      <c r="B1384" s="990">
        <v>1</v>
      </c>
      <c r="C1384" s="990" t="s">
        <v>863</v>
      </c>
      <c r="D1384" s="1121" t="s">
        <v>887</v>
      </c>
      <c r="E1384" s="1463" t="s">
        <v>1262</v>
      </c>
      <c r="F1384" s="1459"/>
      <c r="G1384"/>
      <c r="H1384" s="5"/>
      <c r="I1384" s="30"/>
      <c r="J1384" s="40" t="s">
        <v>579</v>
      </c>
      <c r="K1384" s="5"/>
      <c r="L1384" s="5"/>
      <c r="M1384" s="4"/>
      <c r="N1384" s="4"/>
      <c r="O1384" s="4"/>
      <c r="P1384" s="29"/>
      <c r="Q1384" s="1855" t="str">
        <f>CHOOSE(2, "6722000004302", "IIS SGA Expenses Wages &amp; Salaries")</f>
        <v>IIS SGA Expenses Wages &amp; Salaries</v>
      </c>
      <c r="R1384" s="2039">
        <v>692</v>
      </c>
      <c r="S1384" s="2039">
        <v>587</v>
      </c>
      <c r="T1384" s="2039">
        <v>567.34832884789296</v>
      </c>
      <c r="U1384" s="2039">
        <v>502.73892454735773</v>
      </c>
      <c r="V1384" s="2039">
        <v>542.99</v>
      </c>
      <c r="W1384" s="2039">
        <v>715.43376092914002</v>
      </c>
      <c r="X1384" s="2039">
        <v>673.61881119999998</v>
      </c>
      <c r="Y1384" s="2039">
        <v>744.59921270766847</v>
      </c>
      <c r="Z1384" s="2039">
        <v>786.77798160526891</v>
      </c>
      <c r="AA1384" s="2039">
        <v>545.90979000000004</v>
      </c>
      <c r="AB1384" s="2039">
        <v>474.80925999999999</v>
      </c>
      <c r="AC1384" s="2039">
        <v>474.80925999999999</v>
      </c>
      <c r="AD1384" s="89">
        <f>SUM(R1384:T1384)</f>
        <v>1846.3483288478928</v>
      </c>
      <c r="AE1384" s="89">
        <f>SUM(U1384:W1384)</f>
        <v>1761.1626854764977</v>
      </c>
      <c r="AF1384" s="89">
        <f>SUM(X1384:Z1384)</f>
        <v>2204.9960055129372</v>
      </c>
      <c r="AG1384" s="89">
        <f>SUM(AA1384:AC1384)</f>
        <v>1495.5283100000001</v>
      </c>
      <c r="AH1384" s="89">
        <f>AD1384+AE1384</f>
        <v>3607.5110143243905</v>
      </c>
      <c r="AI1384" s="89">
        <f>AG1384+AF1384</f>
        <v>3700.5243155129374</v>
      </c>
      <c r="AJ1384" s="89">
        <f>AH1384+AI1384</f>
        <v>7308.0353298373284</v>
      </c>
    </row>
    <row r="1385" spans="1:36" ht="14.5">
      <c r="A1385" s="990">
        <v>1</v>
      </c>
      <c r="B1385" s="990">
        <v>1</v>
      </c>
      <c r="C1385" s="990" t="s">
        <v>863</v>
      </c>
      <c r="D1385" s="1121" t="s">
        <v>887</v>
      </c>
      <c r="E1385" s="1463" t="s">
        <v>1262</v>
      </c>
      <c r="F1385" s="1459"/>
      <c r="G1385"/>
      <c r="H1385" s="5"/>
      <c r="I1385" s="30"/>
      <c r="J1385" s="40" t="s">
        <v>577</v>
      </c>
      <c r="K1385" s="52"/>
      <c r="L1385" s="52"/>
      <c r="M1385" s="51"/>
      <c r="N1385" s="51"/>
      <c r="O1385" s="51"/>
      <c r="P1385" s="50"/>
      <c r="Q1385" s="1855" t="str">
        <f>CHOOSE(2, "6722000004303", "IIS SGA Expenses Fixed Expenses")</f>
        <v>IIS SGA Expenses Fixed Expenses</v>
      </c>
      <c r="R1385" s="2043">
        <v>25</v>
      </c>
      <c r="S1385" s="2043">
        <v>26.00447890376654</v>
      </c>
      <c r="T1385" s="2043">
        <v>72.836289968829632</v>
      </c>
      <c r="U1385" s="2043">
        <v>43.589105118000731</v>
      </c>
      <c r="V1385" s="2043">
        <v>73.980696711446456</v>
      </c>
      <c r="W1385" s="2043">
        <v>40.979406105643534</v>
      </c>
      <c r="X1385" s="2043">
        <v>-51.309833772046943</v>
      </c>
      <c r="Y1385" s="2043">
        <v>22.571425454545452</v>
      </c>
      <c r="Z1385" s="2043">
        <v>23</v>
      </c>
      <c r="AA1385" s="2043">
        <v>23</v>
      </c>
      <c r="AB1385" s="2043">
        <v>24</v>
      </c>
      <c r="AC1385" s="2043">
        <v>39</v>
      </c>
      <c r="AD1385" s="134">
        <f>SUM(R1385:T1385)</f>
        <v>123.84076887259617</v>
      </c>
      <c r="AE1385" s="134">
        <f>SUM(U1385:W1385)</f>
        <v>158.54920793509072</v>
      </c>
      <c r="AF1385" s="134">
        <f>SUM(X1385:Z1385)</f>
        <v>-5.7384083175014915</v>
      </c>
      <c r="AG1385" s="134">
        <f>SUM(AA1385:AC1385)</f>
        <v>86</v>
      </c>
      <c r="AH1385" s="134">
        <f>AD1385+AE1385</f>
        <v>282.38997680768688</v>
      </c>
      <c r="AI1385" s="134">
        <f>AG1385+AF1385</f>
        <v>80.261591682498505</v>
      </c>
      <c r="AJ1385" s="134">
        <f>AH1385+AI1385</f>
        <v>362.65156849018535</v>
      </c>
    </row>
    <row r="1386" spans="1:36" ht="14.5">
      <c r="A1386" s="990">
        <v>1</v>
      </c>
      <c r="B1386" s="990">
        <v>1</v>
      </c>
      <c r="C1386" s="990" t="s">
        <v>863</v>
      </c>
      <c r="D1386" s="1121" t="s">
        <v>887</v>
      </c>
      <c r="E1386" s="1463" t="s">
        <v>1262</v>
      </c>
      <c r="F1386" s="1459"/>
      <c r="G1386"/>
      <c r="H1386" s="5"/>
      <c r="I1386" s="1814" t="s">
        <v>136</v>
      </c>
      <c r="J1386" s="1815"/>
      <c r="K1386" s="1816"/>
      <c r="L1386" s="1816"/>
      <c r="M1386" s="1816"/>
      <c r="N1386" s="1816"/>
      <c r="O1386" s="1816"/>
      <c r="P1386" s="1817"/>
      <c r="Q1386" s="1840" t="str">
        <f>CHOOSE(2, "6722000004304", "IIS Business Contribution Profit")</f>
        <v>IIS Business Contribution Profit</v>
      </c>
      <c r="R1386" s="2011">
        <f t="shared" ref="R1386:AC1386" si="2369">R1366-R1382</f>
        <v>-678</v>
      </c>
      <c r="S1386" s="2011">
        <f t="shared" si="2369"/>
        <v>-338.00447890376654</v>
      </c>
      <c r="T1386" s="2011">
        <f t="shared" si="2369"/>
        <v>-657.1846188167226</v>
      </c>
      <c r="U1386" s="2011">
        <f t="shared" si="2369"/>
        <v>-368.32802966535849</v>
      </c>
      <c r="V1386" s="2011">
        <f t="shared" si="2369"/>
        <v>-374.97069671144641</v>
      </c>
      <c r="W1386" s="2011">
        <f t="shared" si="2369"/>
        <v>-180.41316703478356</v>
      </c>
      <c r="X1386" s="2011">
        <f t="shared" si="2369"/>
        <v>-632.3089774279531</v>
      </c>
      <c r="Y1386" s="2011">
        <f t="shared" si="2369"/>
        <v>-560.17063816221389</v>
      </c>
      <c r="Z1386" s="2011">
        <f t="shared" si="2369"/>
        <v>-451.77798160526891</v>
      </c>
      <c r="AA1386" s="2011">
        <f t="shared" si="2369"/>
        <v>-1960.9097900000002</v>
      </c>
      <c r="AB1386" s="2011">
        <f t="shared" si="2369"/>
        <v>-421.80925999999999</v>
      </c>
      <c r="AC1386" s="2011">
        <f t="shared" si="2369"/>
        <v>-1352.80926</v>
      </c>
      <c r="AD1386" s="181">
        <f t="shared" ref="AD1386:AJ1386" si="2370">AD1366-AD1382</f>
        <v>-1673.1890977204889</v>
      </c>
      <c r="AE1386" s="181">
        <f t="shared" si="2370"/>
        <v>-923.71189341158833</v>
      </c>
      <c r="AF1386" s="181">
        <f t="shared" si="2370"/>
        <v>-1644.2575971954357</v>
      </c>
      <c r="AG1386" s="181">
        <f t="shared" si="2370"/>
        <v>-3735.5283100000001</v>
      </c>
      <c r="AH1386" s="181">
        <f t="shared" si="2370"/>
        <v>-2596.9009911320773</v>
      </c>
      <c r="AI1386" s="181">
        <f t="shared" si="2370"/>
        <v>-5379.7859071954354</v>
      </c>
      <c r="AJ1386" s="181">
        <f t="shared" si="2370"/>
        <v>-7976.6868983275135</v>
      </c>
    </row>
    <row r="1387" spans="1:36" ht="14.5">
      <c r="A1387" s="990">
        <v>1</v>
      </c>
      <c r="B1387" s="990">
        <v>1</v>
      </c>
      <c r="C1387" s="990" t="s">
        <v>863</v>
      </c>
      <c r="D1387" s="1121" t="s">
        <v>887</v>
      </c>
      <c r="E1387" s="1463" t="s">
        <v>1262</v>
      </c>
      <c r="F1387" s="1459"/>
      <c r="G1387"/>
      <c r="H1387" s="5"/>
      <c r="I1387" s="28"/>
      <c r="J1387" s="2" t="s">
        <v>135</v>
      </c>
      <c r="K1387" s="3"/>
      <c r="L1387" s="3"/>
      <c r="M1387" s="2"/>
      <c r="N1387" s="2"/>
      <c r="O1387" s="2"/>
      <c r="P1387" s="27"/>
      <c r="Q1387" s="1857" t="str">
        <f>CHOOSE(2, "6722000004305", "IIS Business Contribution Profit (%)")</f>
        <v>IIS Business Contribution Profit (%)</v>
      </c>
      <c r="R1387" s="124">
        <f t="shared" ref="R1387:AC1387" si="2371">IFERROR(R1386/R1336,0)</f>
        <v>-2.9098712446351933</v>
      </c>
      <c r="S1387" s="124">
        <f t="shared" si="2371"/>
        <v>-0.27614745008477659</v>
      </c>
      <c r="T1387" s="124">
        <f t="shared" si="2371"/>
        <v>0</v>
      </c>
      <c r="U1387" s="124">
        <f t="shared" si="2371"/>
        <v>-0.40166633551293185</v>
      </c>
      <c r="V1387" s="124">
        <f t="shared" si="2371"/>
        <v>-0.47935444027025742</v>
      </c>
      <c r="W1387" s="124">
        <f t="shared" si="2371"/>
        <v>-9.8532587129865401E-2</v>
      </c>
      <c r="X1387" s="124">
        <f t="shared" si="2371"/>
        <v>0</v>
      </c>
      <c r="Y1387" s="124">
        <f t="shared" si="2371"/>
        <v>-0.71908939430322705</v>
      </c>
      <c r="Z1387" s="124">
        <f t="shared" si="2371"/>
        <v>-0.15069312261683418</v>
      </c>
      <c r="AA1387" s="124">
        <f t="shared" si="2371"/>
        <v>-1.1568789321533923</v>
      </c>
      <c r="AB1387" s="124">
        <f t="shared" si="2371"/>
        <v>-0.32496861325115561</v>
      </c>
      <c r="AC1387" s="124">
        <f t="shared" si="2371"/>
        <v>-0.46202502049180327</v>
      </c>
      <c r="AD1387" s="124">
        <f t="shared" ref="AD1387:AJ1387" si="2372">IFERROR(AD1386/AD1336,0)</f>
        <v>-1.1483796140840692</v>
      </c>
      <c r="AE1387" s="124">
        <f t="shared" si="2372"/>
        <v>-0.26165689351281918</v>
      </c>
      <c r="AF1387" s="124">
        <f t="shared" si="2372"/>
        <v>-0.43533428572820643</v>
      </c>
      <c r="AG1387" s="124">
        <f t="shared" si="2372"/>
        <v>-0.63089483364296572</v>
      </c>
      <c r="AH1387" s="124">
        <f t="shared" si="2372"/>
        <v>-0.5207089433079487</v>
      </c>
      <c r="AI1387" s="124">
        <f t="shared" si="2372"/>
        <v>-0.55473148145962414</v>
      </c>
      <c r="AJ1387" s="124">
        <f t="shared" si="2372"/>
        <v>-0.54317711900863686</v>
      </c>
    </row>
    <row r="1388" spans="1:36" ht="14.5">
      <c r="A1388" s="990">
        <v>1</v>
      </c>
      <c r="B1388" s="990">
        <v>1</v>
      </c>
      <c r="C1388" s="990" t="s">
        <v>863</v>
      </c>
      <c r="D1388" s="1121" t="s">
        <v>887</v>
      </c>
      <c r="E1388" s="1463" t="s">
        <v>1262</v>
      </c>
      <c r="F1388" s="1459"/>
      <c r="G1388"/>
      <c r="H1388" s="5"/>
      <c r="I1388" s="58" t="s">
        <v>174</v>
      </c>
      <c r="J1388" s="555"/>
      <c r="K1388" s="636"/>
      <c r="L1388" s="636"/>
      <c r="M1388" s="555"/>
      <c r="N1388" s="555"/>
      <c r="O1388" s="555"/>
      <c r="P1388" s="637"/>
      <c r="Q1388" s="1855" t="str">
        <f>CHOOSE(2, "6722000004306", "IIS Other Income")</f>
        <v>IIS Other Income</v>
      </c>
      <c r="R1388" s="2015">
        <v>0</v>
      </c>
      <c r="S1388" s="2761">
        <v>0</v>
      </c>
      <c r="T1388" s="2761">
        <v>0</v>
      </c>
      <c r="U1388" s="2761">
        <v>0</v>
      </c>
      <c r="V1388" s="2761">
        <v>0</v>
      </c>
      <c r="W1388" s="2761">
        <v>0</v>
      </c>
      <c r="X1388" s="2761">
        <v>0</v>
      </c>
      <c r="Y1388" s="2761">
        <v>0</v>
      </c>
      <c r="Z1388" s="2761">
        <v>0</v>
      </c>
      <c r="AA1388" s="2761">
        <v>0</v>
      </c>
      <c r="AB1388" s="2761">
        <v>0</v>
      </c>
      <c r="AC1388" s="2761">
        <v>0</v>
      </c>
      <c r="AD1388" s="117">
        <f>SUM(R1388:T1388)</f>
        <v>0</v>
      </c>
      <c r="AE1388" s="117">
        <f>SUM(U1388:W1388)</f>
        <v>0</v>
      </c>
      <c r="AF1388" s="117">
        <f>SUM(X1388:Z1388)</f>
        <v>0</v>
      </c>
      <c r="AG1388" s="117">
        <f>SUM(AA1388:AC1388)</f>
        <v>0</v>
      </c>
      <c r="AH1388" s="117">
        <f>AD1388+AE1388</f>
        <v>0</v>
      </c>
      <c r="AI1388" s="117">
        <f>AG1388+AF1388</f>
        <v>0</v>
      </c>
      <c r="AJ1388" s="117">
        <f>AH1388+AI1388</f>
        <v>0</v>
      </c>
    </row>
    <row r="1389" spans="1:36" ht="14.5">
      <c r="A1389" s="990">
        <v>1</v>
      </c>
      <c r="B1389" s="990">
        <v>1</v>
      </c>
      <c r="C1389" s="990" t="s">
        <v>863</v>
      </c>
      <c r="D1389" s="1121" t="s">
        <v>887</v>
      </c>
      <c r="E1389" s="1463" t="s">
        <v>1262</v>
      </c>
      <c r="F1389" s="1459"/>
      <c r="G1389"/>
      <c r="H1389" s="5"/>
      <c r="I1389" s="121" t="s">
        <v>153</v>
      </c>
      <c r="J1389" s="119"/>
      <c r="K1389" s="120"/>
      <c r="L1389" s="120"/>
      <c r="M1389" s="119"/>
      <c r="N1389" s="119"/>
      <c r="O1389" s="119"/>
      <c r="P1389" s="118"/>
      <c r="Q1389" s="1855" t="str">
        <f>CHOOSE(2, "6722000004307", "IIS Other Expenses")</f>
        <v>IIS Other Expenses</v>
      </c>
      <c r="R1389" s="2035">
        <v>0</v>
      </c>
      <c r="S1389" s="2762">
        <v>0</v>
      </c>
      <c r="T1389" s="2762">
        <v>0</v>
      </c>
      <c r="U1389" s="2762">
        <v>0</v>
      </c>
      <c r="V1389" s="2762">
        <v>0</v>
      </c>
      <c r="W1389" s="2762">
        <v>0</v>
      </c>
      <c r="X1389" s="2762">
        <v>0</v>
      </c>
      <c r="Y1389" s="2762">
        <v>0</v>
      </c>
      <c r="Z1389" s="2762">
        <v>0</v>
      </c>
      <c r="AA1389" s="2762">
        <v>0</v>
      </c>
      <c r="AB1389" s="2762">
        <v>0</v>
      </c>
      <c r="AC1389" s="2762">
        <v>0</v>
      </c>
      <c r="AD1389" s="118">
        <f>SUM(R1389:T1389)</f>
        <v>0</v>
      </c>
      <c r="AE1389" s="118">
        <f>SUM(U1389:W1389)</f>
        <v>0</v>
      </c>
      <c r="AF1389" s="118">
        <f>SUM(X1389:Z1389)</f>
        <v>0</v>
      </c>
      <c r="AG1389" s="118">
        <f>SUM(AA1389:AC1389)</f>
        <v>0</v>
      </c>
      <c r="AH1389" s="118">
        <f>AD1389+AE1389</f>
        <v>0</v>
      </c>
      <c r="AI1389" s="118">
        <f>AG1389+AF1389</f>
        <v>0</v>
      </c>
      <c r="AJ1389" s="118">
        <f>AH1389+AI1389</f>
        <v>0</v>
      </c>
    </row>
    <row r="1390" spans="1:36" ht="14.5">
      <c r="A1390" s="990">
        <v>1</v>
      </c>
      <c r="B1390" s="990">
        <v>1</v>
      </c>
      <c r="C1390" s="990" t="s">
        <v>863</v>
      </c>
      <c r="D1390" s="1121" t="s">
        <v>887</v>
      </c>
      <c r="E1390" s="1463" t="s">
        <v>1262</v>
      </c>
      <c r="F1390" s="1459"/>
      <c r="G1390"/>
      <c r="H1390" s="5"/>
      <c r="I1390" s="1814" t="s">
        <v>581</v>
      </c>
      <c r="J1390" s="1815"/>
      <c r="K1390" s="1816"/>
      <c r="L1390" s="1816"/>
      <c r="M1390" s="1816"/>
      <c r="N1390" s="1816"/>
      <c r="O1390" s="1816"/>
      <c r="P1390" s="1817"/>
      <c r="Q1390" s="1840" t="str">
        <f>CHOOSE(2, "6722000004308", "IIS Operating Profit")</f>
        <v>IIS Operating Profit</v>
      </c>
      <c r="R1390" s="2011">
        <f t="shared" ref="R1390:AC1390" si="2373">R1386+R1388-R1389</f>
        <v>-678</v>
      </c>
      <c r="S1390" s="2002">
        <f t="shared" si="2373"/>
        <v>-338.00447890376654</v>
      </c>
      <c r="T1390" s="2002">
        <f t="shared" si="2373"/>
        <v>-657.1846188167226</v>
      </c>
      <c r="U1390" s="2002">
        <f t="shared" si="2373"/>
        <v>-368.32802966535849</v>
      </c>
      <c r="V1390" s="2002">
        <f t="shared" si="2373"/>
        <v>-374.97069671144641</v>
      </c>
      <c r="W1390" s="2002">
        <f t="shared" si="2373"/>
        <v>-180.41316703478356</v>
      </c>
      <c r="X1390" s="2002">
        <f t="shared" si="2373"/>
        <v>-632.3089774279531</v>
      </c>
      <c r="Y1390" s="2002">
        <f t="shared" si="2373"/>
        <v>-560.17063816221389</v>
      </c>
      <c r="Z1390" s="2002">
        <f t="shared" si="2373"/>
        <v>-451.77798160526891</v>
      </c>
      <c r="AA1390" s="2002">
        <f t="shared" si="2373"/>
        <v>-1960.9097900000002</v>
      </c>
      <c r="AB1390" s="2002">
        <f t="shared" si="2373"/>
        <v>-421.80925999999999</v>
      </c>
      <c r="AC1390" s="2002">
        <f t="shared" si="2373"/>
        <v>-1352.80926</v>
      </c>
      <c r="AD1390" s="1818">
        <f t="shared" ref="AD1390:AJ1390" si="2374">AD1386+AD1388-AD1389</f>
        <v>-1673.1890977204889</v>
      </c>
      <c r="AE1390" s="1818">
        <f t="shared" si="2374"/>
        <v>-923.71189341158833</v>
      </c>
      <c r="AF1390" s="1818">
        <f t="shared" si="2374"/>
        <v>-1644.2575971954357</v>
      </c>
      <c r="AG1390" s="1818">
        <f t="shared" si="2374"/>
        <v>-3735.5283100000001</v>
      </c>
      <c r="AH1390" s="1818">
        <f t="shared" si="2374"/>
        <v>-2596.9009911320773</v>
      </c>
      <c r="AI1390" s="1818">
        <f t="shared" si="2374"/>
        <v>-5379.7859071954354</v>
      </c>
      <c r="AJ1390" s="1818">
        <f t="shared" si="2374"/>
        <v>-7976.6868983275135</v>
      </c>
    </row>
    <row r="1391" spans="1:36" ht="14.5">
      <c r="A1391" s="990">
        <v>1</v>
      </c>
      <c r="B1391" s="990">
        <v>1</v>
      </c>
      <c r="C1391" s="990" t="s">
        <v>863</v>
      </c>
      <c r="D1391" s="1121" t="s">
        <v>887</v>
      </c>
      <c r="E1391" s="1463" t="s">
        <v>1262</v>
      </c>
      <c r="F1391" s="1459"/>
      <c r="G1391"/>
      <c r="H1391" s="5"/>
      <c r="I1391" s="28"/>
      <c r="J1391" s="2" t="s">
        <v>135</v>
      </c>
      <c r="K1391" s="3"/>
      <c r="L1391" s="3"/>
      <c r="M1391" s="2"/>
      <c r="N1391" s="2"/>
      <c r="O1391" s="2"/>
      <c r="P1391" s="27"/>
      <c r="Q1391" s="1857" t="str">
        <f>CHOOSE(2, "6722000004309", "IIS Operating Profit (%)")</f>
        <v>IIS Operating Profit (%)</v>
      </c>
      <c r="R1391" s="124">
        <f t="shared" ref="R1391:AC1391" si="2375">IFERROR(R1390/R1336,0)</f>
        <v>-2.9098712446351933</v>
      </c>
      <c r="S1391" s="124">
        <f t="shared" si="2375"/>
        <v>-0.27614745008477659</v>
      </c>
      <c r="T1391" s="124">
        <f t="shared" si="2375"/>
        <v>0</v>
      </c>
      <c r="U1391" s="124">
        <f t="shared" si="2375"/>
        <v>-0.40166633551293185</v>
      </c>
      <c r="V1391" s="124">
        <f t="shared" si="2375"/>
        <v>-0.47935444027025742</v>
      </c>
      <c r="W1391" s="124">
        <f t="shared" si="2375"/>
        <v>-9.8532587129865401E-2</v>
      </c>
      <c r="X1391" s="124">
        <f t="shared" si="2375"/>
        <v>0</v>
      </c>
      <c r="Y1391" s="124">
        <f t="shared" si="2375"/>
        <v>-0.71908939430322705</v>
      </c>
      <c r="Z1391" s="124">
        <f t="shared" si="2375"/>
        <v>-0.15069312261683418</v>
      </c>
      <c r="AA1391" s="124">
        <f t="shared" si="2375"/>
        <v>-1.1568789321533923</v>
      </c>
      <c r="AB1391" s="124">
        <f t="shared" si="2375"/>
        <v>-0.32496861325115561</v>
      </c>
      <c r="AC1391" s="124">
        <f t="shared" si="2375"/>
        <v>-0.46202502049180327</v>
      </c>
      <c r="AD1391" s="124">
        <f t="shared" ref="AD1391:AJ1391" si="2376">IFERROR(AD1390/AD1336,0)</f>
        <v>-1.1483796140840692</v>
      </c>
      <c r="AE1391" s="124">
        <f t="shared" si="2376"/>
        <v>-0.26165689351281918</v>
      </c>
      <c r="AF1391" s="124">
        <f t="shared" si="2376"/>
        <v>-0.43533428572820643</v>
      </c>
      <c r="AG1391" s="124">
        <f t="shared" si="2376"/>
        <v>-0.63089483364296572</v>
      </c>
      <c r="AH1391" s="124">
        <f t="shared" si="2376"/>
        <v>-0.5207089433079487</v>
      </c>
      <c r="AI1391" s="124">
        <f t="shared" si="2376"/>
        <v>-0.55473148145962414</v>
      </c>
      <c r="AJ1391" s="124">
        <f t="shared" si="2376"/>
        <v>-0.54317711900863686</v>
      </c>
    </row>
    <row r="1392" spans="1:36" ht="14.5">
      <c r="A1392" s="990">
        <v>1</v>
      </c>
      <c r="B1392" s="990">
        <v>1</v>
      </c>
      <c r="C1392" s="990" t="s">
        <v>863</v>
      </c>
      <c r="D1392" s="1121" t="s">
        <v>887</v>
      </c>
      <c r="E1392" s="1463" t="s">
        <v>1262</v>
      </c>
      <c r="F1392" s="1459"/>
      <c r="G1392"/>
      <c r="H1392" s="5"/>
      <c r="I1392" s="5"/>
      <c r="J1392" s="4"/>
      <c r="K1392" s="5"/>
      <c r="L1392" s="5"/>
      <c r="M1392" s="4"/>
      <c r="N1392" s="4"/>
      <c r="O1392" s="4"/>
      <c r="P1392" s="4"/>
      <c r="Q1392" s="1913" t="str">
        <f>CHOOSE(2, "6722000004310", "▷ Blank 55")</f>
        <v>▷ Blank 55</v>
      </c>
      <c r="R1392" s="133"/>
      <c r="S1392" s="133"/>
      <c r="T1392" s="133"/>
      <c r="U1392" s="133"/>
      <c r="V1392" s="133"/>
      <c r="W1392" s="133"/>
      <c r="X1392" s="133"/>
      <c r="Y1392" s="133"/>
      <c r="Z1392" s="133"/>
      <c r="AA1392" s="133"/>
      <c r="AB1392" s="133"/>
      <c r="AC1392" s="133"/>
      <c r="AD1392" s="133"/>
      <c r="AE1392" s="133"/>
      <c r="AF1392" s="133"/>
      <c r="AG1392" s="133"/>
      <c r="AH1392" s="133"/>
      <c r="AI1392" s="133"/>
      <c r="AJ1392" s="133"/>
    </row>
    <row r="1393" spans="1:36" ht="14.5">
      <c r="A1393" s="990">
        <v>1</v>
      </c>
      <c r="B1393" s="990">
        <v>1</v>
      </c>
      <c r="C1393" s="990" t="s">
        <v>863</v>
      </c>
      <c r="D1393" s="1121" t="s">
        <v>887</v>
      </c>
      <c r="E1393" s="1463" t="s">
        <v>1262</v>
      </c>
      <c r="F1393" s="1459"/>
      <c r="G1393" s="39" t="s">
        <v>1374</v>
      </c>
      <c r="H1393" s="10"/>
      <c r="J1393"/>
      <c r="K1393"/>
      <c r="L1393"/>
      <c r="M1393"/>
      <c r="N1393"/>
      <c r="O1393"/>
      <c r="P1393"/>
      <c r="Q1393" s="1911" t="str">
        <f>CHOOSE(2, "6722000004311", "9-3. Headcount : includes BIC, IIS(Mobotix and DM)")</f>
        <v>9-3. Headcount : includes BIC, IIS(Mobotix and DM)</v>
      </c>
      <c r="R1393"/>
      <c r="S1393"/>
      <c r="T1393"/>
      <c r="U1393"/>
      <c r="V1393"/>
      <c r="W1393"/>
      <c r="X1393"/>
      <c r="Y1393"/>
      <c r="Z1393"/>
      <c r="AA1393"/>
      <c r="AB1393"/>
      <c r="AC1393"/>
      <c r="AD1393"/>
      <c r="AE1393"/>
      <c r="AF1393"/>
      <c r="AG1393"/>
      <c r="AH1393"/>
      <c r="AI1393"/>
      <c r="AJ1393"/>
    </row>
    <row r="1394" spans="1:36" ht="14.5">
      <c r="A1394" s="990">
        <v>1</v>
      </c>
      <c r="B1394" s="990">
        <v>1</v>
      </c>
      <c r="C1394" s="990" t="s">
        <v>863</v>
      </c>
      <c r="D1394" s="1121" t="s">
        <v>887</v>
      </c>
      <c r="E1394" s="1463" t="s">
        <v>1262</v>
      </c>
      <c r="F1394" s="1459"/>
      <c r="G1394" s="271"/>
      <c r="H1394" s="5" t="s">
        <v>1375</v>
      </c>
      <c r="I1394" s="5"/>
      <c r="J1394" s="4"/>
      <c r="K1394" s="5"/>
      <c r="L1394" s="5"/>
      <c r="M1394" s="4"/>
      <c r="N1394" s="4"/>
      <c r="O1394" s="4"/>
      <c r="P1394" s="4"/>
      <c r="Q1394" s="1839" t="str">
        <f>CHOOSE(2, "6722000004312", "(0) Total : BT + BIC +IIS")</f>
        <v>(0) Total : BT + BIC +IIS</v>
      </c>
      <c r="R1394" s="1151"/>
      <c r="S1394" s="1151"/>
      <c r="T1394" s="1151"/>
      <c r="U1394" s="1151"/>
      <c r="V1394" s="1151"/>
      <c r="W1394" s="1151"/>
      <c r="X1394" s="2179"/>
      <c r="Y1394" s="2179"/>
      <c r="Z1394" s="2179"/>
      <c r="AA1394" s="2179"/>
      <c r="AB1394" s="38"/>
      <c r="AC1394" s="38"/>
      <c r="AD1394" s="38"/>
      <c r="AE1394" s="38"/>
      <c r="AF1394" s="38"/>
      <c r="AG1394" s="38"/>
      <c r="AH1394" s="38"/>
      <c r="AI1394" s="38"/>
      <c r="AJ1394" s="38"/>
    </row>
    <row r="1395" spans="1:36" ht="14.5">
      <c r="A1395" s="990">
        <v>1</v>
      </c>
      <c r="B1395" s="990">
        <v>1</v>
      </c>
      <c r="C1395" s="990" t="s">
        <v>863</v>
      </c>
      <c r="D1395" s="1121" t="s">
        <v>887</v>
      </c>
      <c r="E1395" s="1463" t="s">
        <v>1262</v>
      </c>
      <c r="F1395" s="1459"/>
      <c r="G1395" s="271"/>
      <c r="H1395" s="271" t="s">
        <v>286</v>
      </c>
      <c r="I1395" s="258"/>
      <c r="J1395" s="56"/>
      <c r="K1395" s="57"/>
      <c r="L1395" s="57"/>
      <c r="M1395" s="56"/>
      <c r="N1395" s="56"/>
      <c r="O1395" s="56"/>
      <c r="P1395" s="56"/>
      <c r="Q1395" s="1839" t="str">
        <f>CHOOSE(2, "6722000004313", "▷ Blank 56")</f>
        <v>▷ Blank 56</v>
      </c>
      <c r="R1395" s="2175">
        <f>R1293</f>
        <v>44652</v>
      </c>
      <c r="S1395" s="2175">
        <f t="shared" ref="S1395:AC1395" si="2377">DATE(YEAR(R1395),MONTH(R1395)+1,DAY(R1395))</f>
        <v>44682</v>
      </c>
      <c r="T1395" s="2175">
        <f t="shared" si="2377"/>
        <v>44713</v>
      </c>
      <c r="U1395" s="2175">
        <f t="shared" si="2377"/>
        <v>44743</v>
      </c>
      <c r="V1395" s="2175">
        <f t="shared" si="2377"/>
        <v>44774</v>
      </c>
      <c r="W1395" s="2175">
        <f t="shared" si="2377"/>
        <v>44805</v>
      </c>
      <c r="X1395" s="2175">
        <f t="shared" si="2377"/>
        <v>44835</v>
      </c>
      <c r="Y1395" s="2175">
        <f t="shared" si="2377"/>
        <v>44866</v>
      </c>
      <c r="Z1395" s="2175">
        <f t="shared" si="2377"/>
        <v>44896</v>
      </c>
      <c r="AA1395" s="2175">
        <f t="shared" si="2377"/>
        <v>44927</v>
      </c>
      <c r="AB1395" s="2175">
        <f t="shared" si="2377"/>
        <v>44958</v>
      </c>
      <c r="AC1395" s="2175">
        <f t="shared" si="2377"/>
        <v>44986</v>
      </c>
      <c r="AD1395" s="26" t="s">
        <v>1426</v>
      </c>
      <c r="AE1395" s="26" t="s">
        <v>104</v>
      </c>
      <c r="AF1395" s="26" t="s">
        <v>103</v>
      </c>
      <c r="AG1395" s="26" t="s">
        <v>102</v>
      </c>
      <c r="AH1395" s="26" t="s">
        <v>101</v>
      </c>
      <c r="AI1395" s="26" t="s">
        <v>100</v>
      </c>
      <c r="AJ1395" s="26" t="s">
        <v>118</v>
      </c>
    </row>
    <row r="1396" spans="1:36" ht="14.5">
      <c r="A1396" s="990">
        <v>1</v>
      </c>
      <c r="B1396" s="990">
        <v>1</v>
      </c>
      <c r="C1396" s="990" t="s">
        <v>863</v>
      </c>
      <c r="D1396" s="1121" t="s">
        <v>887</v>
      </c>
      <c r="E1396" s="1463" t="s">
        <v>1262</v>
      </c>
      <c r="F1396" s="1459"/>
      <c r="G1396" s="271"/>
      <c r="H1396" s="271" t="s">
        <v>286</v>
      </c>
      <c r="I1396" s="259" t="s">
        <v>328</v>
      </c>
      <c r="J1396" s="1827"/>
      <c r="K1396" s="1497"/>
      <c r="L1396" s="1497"/>
      <c r="M1396" s="1497"/>
      <c r="N1396" s="1497"/>
      <c r="O1396" s="1497"/>
      <c r="P1396" s="1497"/>
      <c r="Q1396" s="1840" t="str">
        <f>CHOOSE(2, "6722000004314", "Total FE/TTOC")</f>
        <v>Total FE/TTOC</v>
      </c>
      <c r="R1396" s="2011">
        <f t="shared" ref="R1396:AC1396" si="2378">R1397+R1398+R1399+R1400+R1401</f>
        <v>714</v>
      </c>
      <c r="S1396" s="2011">
        <f t="shared" si="2378"/>
        <v>714</v>
      </c>
      <c r="T1396" s="2011">
        <f t="shared" si="2378"/>
        <v>709</v>
      </c>
      <c r="U1396" s="2011">
        <f t="shared" si="2378"/>
        <v>718</v>
      </c>
      <c r="V1396" s="2011">
        <f t="shared" si="2378"/>
        <v>719</v>
      </c>
      <c r="W1396" s="2011">
        <f t="shared" si="2378"/>
        <v>721</v>
      </c>
      <c r="X1396" s="2011">
        <f t="shared" si="2378"/>
        <v>727</v>
      </c>
      <c r="Y1396" s="2011">
        <f t="shared" si="2378"/>
        <v>730</v>
      </c>
      <c r="Z1396" s="2011">
        <f t="shared" si="2378"/>
        <v>732</v>
      </c>
      <c r="AA1396" s="2011">
        <f t="shared" si="2378"/>
        <v>736</v>
      </c>
      <c r="AB1396" s="2011">
        <f t="shared" si="2378"/>
        <v>739</v>
      </c>
      <c r="AC1396" s="2011">
        <f t="shared" si="2378"/>
        <v>736</v>
      </c>
      <c r="AD1396" s="1507">
        <f t="shared" ref="AD1396:AJ1396" si="2379">AD1397+AD1398+AD1399+AD1400+AD1401</f>
        <v>709</v>
      </c>
      <c r="AE1396" s="1507">
        <f t="shared" si="2379"/>
        <v>721</v>
      </c>
      <c r="AF1396" s="1507">
        <f t="shared" si="2379"/>
        <v>732</v>
      </c>
      <c r="AG1396" s="1507">
        <f t="shared" si="2379"/>
        <v>736</v>
      </c>
      <c r="AH1396" s="1507">
        <f t="shared" si="2379"/>
        <v>721</v>
      </c>
      <c r="AI1396" s="1507">
        <f t="shared" si="2379"/>
        <v>736</v>
      </c>
      <c r="AJ1396" s="1507">
        <f t="shared" si="2379"/>
        <v>736</v>
      </c>
    </row>
    <row r="1397" spans="1:36" ht="14.5">
      <c r="A1397" s="990">
        <v>1</v>
      </c>
      <c r="B1397" s="990">
        <v>1</v>
      </c>
      <c r="C1397" s="990" t="s">
        <v>863</v>
      </c>
      <c r="D1397" s="1121" t="s">
        <v>887</v>
      </c>
      <c r="E1397" s="1463" t="s">
        <v>1262</v>
      </c>
      <c r="F1397" s="1459"/>
      <c r="G1397" s="271"/>
      <c r="H1397" s="271" t="s">
        <v>286</v>
      </c>
      <c r="I1397" s="1824"/>
      <c r="J1397" s="5" t="s">
        <v>287</v>
      </c>
      <c r="K1397" s="5"/>
      <c r="L1397" s="5"/>
      <c r="M1397" s="4"/>
      <c r="N1397" s="4"/>
      <c r="O1397" s="4"/>
      <c r="P1397" s="29"/>
      <c r="Q1397" s="1851" t="str">
        <f>CHOOSE(2, "6722000004315", "Total FE/TTOC Sales Total")</f>
        <v>Total FE/TTOC Sales Total</v>
      </c>
      <c r="R1397" s="41">
        <f t="shared" ref="R1397:AC1397" si="2380">R880+R1406+R1415</f>
        <v>176</v>
      </c>
      <c r="S1397" s="41">
        <f t="shared" si="2380"/>
        <v>175</v>
      </c>
      <c r="T1397" s="41">
        <f t="shared" si="2380"/>
        <v>172</v>
      </c>
      <c r="U1397" s="41">
        <f t="shared" si="2380"/>
        <v>174</v>
      </c>
      <c r="V1397" s="41">
        <f t="shared" si="2380"/>
        <v>175</v>
      </c>
      <c r="W1397" s="41">
        <f t="shared" si="2380"/>
        <v>178</v>
      </c>
      <c r="X1397" s="41">
        <f t="shared" si="2380"/>
        <v>181</v>
      </c>
      <c r="Y1397" s="41">
        <f t="shared" si="2380"/>
        <v>180</v>
      </c>
      <c r="Z1397" s="41">
        <f t="shared" si="2380"/>
        <v>182</v>
      </c>
      <c r="AA1397" s="41">
        <f t="shared" si="2380"/>
        <v>183</v>
      </c>
      <c r="AB1397" s="41">
        <f t="shared" si="2380"/>
        <v>185</v>
      </c>
      <c r="AC1397" s="41">
        <f t="shared" si="2380"/>
        <v>180</v>
      </c>
      <c r="AD1397" s="41">
        <f t="shared" ref="AD1397:AJ1397" si="2381">AD880+AD1406+AD1415</f>
        <v>172</v>
      </c>
      <c r="AE1397" s="41">
        <f t="shared" si="2381"/>
        <v>178</v>
      </c>
      <c r="AF1397" s="41">
        <f t="shared" si="2381"/>
        <v>182</v>
      </c>
      <c r="AG1397" s="41">
        <f t="shared" si="2381"/>
        <v>180</v>
      </c>
      <c r="AH1397" s="41">
        <f t="shared" si="2381"/>
        <v>178</v>
      </c>
      <c r="AI1397" s="41">
        <f t="shared" si="2381"/>
        <v>180</v>
      </c>
      <c r="AJ1397" s="41">
        <f t="shared" si="2381"/>
        <v>180</v>
      </c>
    </row>
    <row r="1398" spans="1:36" ht="14.5">
      <c r="A1398" s="990">
        <v>1</v>
      </c>
      <c r="B1398" s="990">
        <v>1</v>
      </c>
      <c r="C1398" s="990" t="s">
        <v>863</v>
      </c>
      <c r="D1398" s="1121" t="s">
        <v>887</v>
      </c>
      <c r="E1398" s="1463" t="s">
        <v>1262</v>
      </c>
      <c r="F1398" s="1459"/>
      <c r="G1398" s="271"/>
      <c r="H1398" s="271" t="s">
        <v>286</v>
      </c>
      <c r="I1398" s="1824"/>
      <c r="J1398" s="5" t="s">
        <v>288</v>
      </c>
      <c r="K1398" s="5"/>
      <c r="L1398" s="5"/>
      <c r="M1398" s="4"/>
      <c r="N1398" s="4"/>
      <c r="O1398" s="4"/>
      <c r="P1398" s="29"/>
      <c r="Q1398" s="1880" t="str">
        <f>CHOOSE(2, "6722000004316", "Total FE/TTOC Service Total")</f>
        <v>Total FE/TTOC Service Total</v>
      </c>
      <c r="R1398" s="2097">
        <f t="shared" ref="R1398:AC1398" si="2382">R885+R1407+R1416</f>
        <v>414</v>
      </c>
      <c r="S1398" s="2097">
        <f t="shared" si="2382"/>
        <v>415</v>
      </c>
      <c r="T1398" s="2097">
        <f t="shared" si="2382"/>
        <v>410</v>
      </c>
      <c r="U1398" s="2097">
        <f t="shared" si="2382"/>
        <v>416</v>
      </c>
      <c r="V1398" s="2097">
        <f t="shared" si="2382"/>
        <v>417</v>
      </c>
      <c r="W1398" s="2097">
        <f t="shared" si="2382"/>
        <v>416</v>
      </c>
      <c r="X1398" s="2097">
        <f t="shared" si="2382"/>
        <v>419</v>
      </c>
      <c r="Y1398" s="2097">
        <f t="shared" si="2382"/>
        <v>422</v>
      </c>
      <c r="Z1398" s="2097">
        <f t="shared" si="2382"/>
        <v>421</v>
      </c>
      <c r="AA1398" s="2097">
        <f t="shared" si="2382"/>
        <v>421</v>
      </c>
      <c r="AB1398" s="2097">
        <f t="shared" si="2382"/>
        <v>420</v>
      </c>
      <c r="AC1398" s="2097">
        <f t="shared" si="2382"/>
        <v>423</v>
      </c>
      <c r="AD1398" s="41">
        <f t="shared" ref="AD1398:AJ1398" si="2383">AD885+AD1407+AD1416</f>
        <v>410</v>
      </c>
      <c r="AE1398" s="41">
        <f t="shared" si="2383"/>
        <v>416</v>
      </c>
      <c r="AF1398" s="41">
        <f t="shared" si="2383"/>
        <v>421</v>
      </c>
      <c r="AG1398" s="41">
        <f t="shared" si="2383"/>
        <v>423</v>
      </c>
      <c r="AH1398" s="41">
        <f t="shared" si="2383"/>
        <v>416</v>
      </c>
      <c r="AI1398" s="41">
        <f t="shared" si="2383"/>
        <v>423</v>
      </c>
      <c r="AJ1398" s="41">
        <f t="shared" si="2383"/>
        <v>423</v>
      </c>
    </row>
    <row r="1399" spans="1:36" ht="14.5">
      <c r="A1399" s="990">
        <v>1</v>
      </c>
      <c r="B1399" s="990">
        <v>1</v>
      </c>
      <c r="C1399" s="990" t="s">
        <v>863</v>
      </c>
      <c r="D1399" s="1121" t="s">
        <v>887</v>
      </c>
      <c r="E1399" s="1463" t="s">
        <v>1262</v>
      </c>
      <c r="F1399" s="1459"/>
      <c r="G1399" s="271"/>
      <c r="H1399" s="271" t="s">
        <v>130</v>
      </c>
      <c r="I1399" s="1824"/>
      <c r="J1399" s="5" t="s">
        <v>276</v>
      </c>
      <c r="K1399" s="5"/>
      <c r="L1399" s="5"/>
      <c r="M1399" s="4"/>
      <c r="N1399" s="4"/>
      <c r="O1399" s="4"/>
      <c r="P1399" s="29"/>
      <c r="Q1399" s="1880" t="str">
        <f>CHOOSE(2, "6722000004317", "Total FE/TTOC Marketing Total")</f>
        <v>Total FE/TTOC Marketing Total</v>
      </c>
      <c r="R1399" s="2097">
        <f t="shared" ref="R1399:AC1399" si="2384">R891+R1408+R1417</f>
        <v>18</v>
      </c>
      <c r="S1399" s="2097">
        <f t="shared" si="2384"/>
        <v>18</v>
      </c>
      <c r="T1399" s="2097">
        <f t="shared" si="2384"/>
        <v>18</v>
      </c>
      <c r="U1399" s="2097">
        <f t="shared" si="2384"/>
        <v>18</v>
      </c>
      <c r="V1399" s="2097">
        <f t="shared" si="2384"/>
        <v>18</v>
      </c>
      <c r="W1399" s="2097">
        <f t="shared" si="2384"/>
        <v>17</v>
      </c>
      <c r="X1399" s="2097">
        <f t="shared" si="2384"/>
        <v>17</v>
      </c>
      <c r="Y1399" s="2097">
        <f t="shared" si="2384"/>
        <v>16</v>
      </c>
      <c r="Z1399" s="2097">
        <f t="shared" si="2384"/>
        <v>16</v>
      </c>
      <c r="AA1399" s="2097">
        <f t="shared" si="2384"/>
        <v>16</v>
      </c>
      <c r="AB1399" s="2097">
        <f t="shared" si="2384"/>
        <v>16</v>
      </c>
      <c r="AC1399" s="2097">
        <f t="shared" si="2384"/>
        <v>16</v>
      </c>
      <c r="AD1399" s="41">
        <f t="shared" ref="AD1399:AJ1399" si="2385">AD891+AD1408+AD1417</f>
        <v>18</v>
      </c>
      <c r="AE1399" s="41">
        <f t="shared" si="2385"/>
        <v>17</v>
      </c>
      <c r="AF1399" s="41">
        <f t="shared" si="2385"/>
        <v>16</v>
      </c>
      <c r="AG1399" s="41">
        <f t="shared" si="2385"/>
        <v>16</v>
      </c>
      <c r="AH1399" s="41">
        <f t="shared" si="2385"/>
        <v>17</v>
      </c>
      <c r="AI1399" s="41">
        <f t="shared" si="2385"/>
        <v>16</v>
      </c>
      <c r="AJ1399" s="41">
        <f t="shared" si="2385"/>
        <v>16</v>
      </c>
    </row>
    <row r="1400" spans="1:36" ht="14.5">
      <c r="A1400" s="990">
        <v>1</v>
      </c>
      <c r="B1400" s="990">
        <v>1</v>
      </c>
      <c r="C1400" s="990" t="s">
        <v>863</v>
      </c>
      <c r="D1400" s="1121" t="s">
        <v>887</v>
      </c>
      <c r="E1400" s="1463" t="s">
        <v>1262</v>
      </c>
      <c r="F1400" s="1459"/>
      <c r="G1400" s="271"/>
      <c r="H1400" s="271" t="s">
        <v>286</v>
      </c>
      <c r="I1400" s="1824"/>
      <c r="J1400" s="5" t="s">
        <v>289</v>
      </c>
      <c r="K1400" s="5"/>
      <c r="L1400" s="5"/>
      <c r="M1400" s="4"/>
      <c r="N1400" s="4"/>
      <c r="O1400" s="4"/>
      <c r="P1400" s="29"/>
      <c r="Q1400" s="1880" t="str">
        <f>CHOOSE(2, "6722000004318", "Total FE/TTOC Administration Total")</f>
        <v>Total FE/TTOC Administration Total</v>
      </c>
      <c r="R1400" s="2097">
        <f t="shared" ref="R1400:AC1400" si="2386">R896+R1409+R1418</f>
        <v>71</v>
      </c>
      <c r="S1400" s="2097">
        <f t="shared" si="2386"/>
        <v>73</v>
      </c>
      <c r="T1400" s="2097">
        <f t="shared" si="2386"/>
        <v>73</v>
      </c>
      <c r="U1400" s="2097">
        <f t="shared" si="2386"/>
        <v>73</v>
      </c>
      <c r="V1400" s="2097">
        <f t="shared" si="2386"/>
        <v>72</v>
      </c>
      <c r="W1400" s="2097">
        <f t="shared" si="2386"/>
        <v>73</v>
      </c>
      <c r="X1400" s="2097">
        <f t="shared" si="2386"/>
        <v>73</v>
      </c>
      <c r="Y1400" s="2097">
        <f t="shared" si="2386"/>
        <v>74</v>
      </c>
      <c r="Z1400" s="2097">
        <f t="shared" si="2386"/>
        <v>74</v>
      </c>
      <c r="AA1400" s="2097">
        <f t="shared" si="2386"/>
        <v>77</v>
      </c>
      <c r="AB1400" s="2097">
        <f t="shared" si="2386"/>
        <v>79</v>
      </c>
      <c r="AC1400" s="2097">
        <f t="shared" si="2386"/>
        <v>78</v>
      </c>
      <c r="AD1400" s="41">
        <f t="shared" ref="AD1400:AJ1400" si="2387">AD896+AD1409+AD1418</f>
        <v>73</v>
      </c>
      <c r="AE1400" s="41">
        <f t="shared" si="2387"/>
        <v>73</v>
      </c>
      <c r="AF1400" s="41">
        <f t="shared" si="2387"/>
        <v>74</v>
      </c>
      <c r="AG1400" s="41">
        <f t="shared" si="2387"/>
        <v>78</v>
      </c>
      <c r="AH1400" s="41">
        <f t="shared" si="2387"/>
        <v>73</v>
      </c>
      <c r="AI1400" s="41">
        <f t="shared" si="2387"/>
        <v>78</v>
      </c>
      <c r="AJ1400" s="41">
        <f t="shared" si="2387"/>
        <v>78</v>
      </c>
    </row>
    <row r="1401" spans="1:36" ht="14.5">
      <c r="A1401" s="990">
        <v>1</v>
      </c>
      <c r="B1401" s="990">
        <v>1</v>
      </c>
      <c r="C1401" s="990" t="s">
        <v>863</v>
      </c>
      <c r="D1401" s="1121" t="s">
        <v>887</v>
      </c>
      <c r="E1401" s="1463" t="s">
        <v>1262</v>
      </c>
      <c r="F1401" s="1459"/>
      <c r="G1401" s="271"/>
      <c r="H1401" s="271" t="s">
        <v>130</v>
      </c>
      <c r="I1401" s="1824"/>
      <c r="J1401" s="3" t="s">
        <v>232</v>
      </c>
      <c r="K1401" s="3"/>
      <c r="L1401" s="3"/>
      <c r="M1401" s="2"/>
      <c r="N1401" s="2"/>
      <c r="O1401" s="2"/>
      <c r="P1401" s="27"/>
      <c r="Q1401" s="1880" t="str">
        <f>CHOOSE(2, "6722000004319", "Total FE/TTOC Logistics Total")</f>
        <v>Total FE/TTOC Logistics Total</v>
      </c>
      <c r="R1401" s="2098">
        <f t="shared" ref="R1401:AC1401" si="2388">R902+R1410+R1419</f>
        <v>35</v>
      </c>
      <c r="S1401" s="2098">
        <f t="shared" si="2388"/>
        <v>33</v>
      </c>
      <c r="T1401" s="2098">
        <f t="shared" si="2388"/>
        <v>36</v>
      </c>
      <c r="U1401" s="2098">
        <f t="shared" si="2388"/>
        <v>37</v>
      </c>
      <c r="V1401" s="2098">
        <f t="shared" si="2388"/>
        <v>37</v>
      </c>
      <c r="W1401" s="2098">
        <f t="shared" si="2388"/>
        <v>37</v>
      </c>
      <c r="X1401" s="2098">
        <f t="shared" si="2388"/>
        <v>37</v>
      </c>
      <c r="Y1401" s="2098">
        <f t="shared" si="2388"/>
        <v>38</v>
      </c>
      <c r="Z1401" s="2098">
        <f t="shared" si="2388"/>
        <v>39</v>
      </c>
      <c r="AA1401" s="2098">
        <f t="shared" si="2388"/>
        <v>39</v>
      </c>
      <c r="AB1401" s="2098">
        <f t="shared" si="2388"/>
        <v>39</v>
      </c>
      <c r="AC1401" s="2098">
        <f t="shared" si="2388"/>
        <v>39</v>
      </c>
      <c r="AD1401" s="66">
        <f t="shared" ref="AD1401:AJ1401" si="2389">AD902+AD1410+AD1419</f>
        <v>36</v>
      </c>
      <c r="AE1401" s="66">
        <f t="shared" si="2389"/>
        <v>37</v>
      </c>
      <c r="AF1401" s="66">
        <f t="shared" si="2389"/>
        <v>39</v>
      </c>
      <c r="AG1401" s="66">
        <f t="shared" si="2389"/>
        <v>39</v>
      </c>
      <c r="AH1401" s="66">
        <f t="shared" si="2389"/>
        <v>37</v>
      </c>
      <c r="AI1401" s="66">
        <f t="shared" si="2389"/>
        <v>39</v>
      </c>
      <c r="AJ1401" s="66">
        <f t="shared" si="2389"/>
        <v>39</v>
      </c>
    </row>
    <row r="1402" spans="1:36" ht="14.5">
      <c r="A1402" s="990">
        <v>1</v>
      </c>
      <c r="B1402" s="990">
        <v>1</v>
      </c>
      <c r="C1402" s="990" t="s">
        <v>863</v>
      </c>
      <c r="D1402" s="1121" t="s">
        <v>887</v>
      </c>
      <c r="E1402" s="1463" t="s">
        <v>1262</v>
      </c>
      <c r="F1402" s="1459"/>
      <c r="G1402" s="271"/>
      <c r="H1402" s="271" t="s">
        <v>130</v>
      </c>
      <c r="I1402" s="318" t="s">
        <v>296</v>
      </c>
      <c r="J1402" s="319"/>
      <c r="K1402" s="320"/>
      <c r="L1402" s="320"/>
      <c r="M1402" s="319"/>
      <c r="N1402" s="319"/>
      <c r="O1402" s="319"/>
      <c r="P1402" s="321"/>
      <c r="Q1402" s="1880" t="str">
        <f>CHOOSE(2, "6722000004320", "Total Semi-Full-Time/Part-Time Employees /Contractors")</f>
        <v>Total Semi-Full-Time/Part-Time Employees /Contractors</v>
      </c>
      <c r="R1402" s="2060">
        <f t="shared" ref="R1402:AC1402" si="2390">R906+R1411+R1420</f>
        <v>19</v>
      </c>
      <c r="S1402" s="2060">
        <f t="shared" si="2390"/>
        <v>19</v>
      </c>
      <c r="T1402" s="2060">
        <f t="shared" si="2390"/>
        <v>18</v>
      </c>
      <c r="U1402" s="2060">
        <f t="shared" si="2390"/>
        <v>17</v>
      </c>
      <c r="V1402" s="2060">
        <f t="shared" si="2390"/>
        <v>17</v>
      </c>
      <c r="W1402" s="2060">
        <f t="shared" si="2390"/>
        <v>22</v>
      </c>
      <c r="X1402" s="2060">
        <f t="shared" si="2390"/>
        <v>25</v>
      </c>
      <c r="Y1402" s="2060">
        <f t="shared" si="2390"/>
        <v>25</v>
      </c>
      <c r="Z1402" s="2060">
        <f t="shared" si="2390"/>
        <v>27</v>
      </c>
      <c r="AA1402" s="2060">
        <f t="shared" si="2390"/>
        <v>28</v>
      </c>
      <c r="AB1402" s="2060">
        <f t="shared" si="2390"/>
        <v>28</v>
      </c>
      <c r="AC1402" s="2060">
        <f t="shared" si="2390"/>
        <v>28</v>
      </c>
      <c r="AD1402" s="322">
        <f t="shared" ref="AD1402:AJ1402" si="2391">AD906+AD1411+AD1420</f>
        <v>18</v>
      </c>
      <c r="AE1402" s="322">
        <f t="shared" si="2391"/>
        <v>22</v>
      </c>
      <c r="AF1402" s="322">
        <f t="shared" si="2391"/>
        <v>27</v>
      </c>
      <c r="AG1402" s="322">
        <f t="shared" si="2391"/>
        <v>28</v>
      </c>
      <c r="AH1402" s="322">
        <f t="shared" si="2391"/>
        <v>22</v>
      </c>
      <c r="AI1402" s="322">
        <f t="shared" si="2391"/>
        <v>28</v>
      </c>
      <c r="AJ1402" s="322">
        <f t="shared" si="2391"/>
        <v>28</v>
      </c>
    </row>
    <row r="1403" spans="1:36" ht="14.5">
      <c r="A1403" s="990">
        <v>1</v>
      </c>
      <c r="B1403" s="990">
        <v>1</v>
      </c>
      <c r="C1403" s="990" t="s">
        <v>863</v>
      </c>
      <c r="D1403" s="1121" t="s">
        <v>887</v>
      </c>
      <c r="E1403" s="1463" t="s">
        <v>1262</v>
      </c>
      <c r="F1403" s="1459"/>
      <c r="G1403" s="271"/>
      <c r="H1403" s="5"/>
      <c r="I1403" s="5"/>
      <c r="J1403" s="4"/>
      <c r="K1403" s="5"/>
      <c r="L1403" s="5"/>
      <c r="M1403" s="4"/>
      <c r="N1403" s="4"/>
      <c r="O1403" s="4"/>
      <c r="P1403" s="4"/>
      <c r="Q1403" s="1839" t="str">
        <f>CHOOSE(2, "6722000004321", "▷ Blank 57")</f>
        <v>▷ Blank 57</v>
      </c>
      <c r="R1403" s="2180"/>
      <c r="S1403" s="2180"/>
      <c r="T1403" s="2180"/>
      <c r="U1403" s="2180"/>
      <c r="V1403" s="2180"/>
      <c r="W1403" s="2180"/>
      <c r="X1403" s="2180"/>
      <c r="Y1403" s="2180"/>
      <c r="Z1403" s="2180"/>
      <c r="AA1403" s="2180"/>
      <c r="AB1403" s="38"/>
      <c r="AC1403" s="38"/>
      <c r="AD1403" s="38"/>
      <c r="AE1403" s="38"/>
      <c r="AF1403" s="38"/>
      <c r="AG1403" s="38"/>
      <c r="AH1403" s="38"/>
      <c r="AI1403" s="38"/>
      <c r="AJ1403" s="38"/>
    </row>
    <row r="1404" spans="1:36" ht="14.5">
      <c r="A1404" s="990">
        <v>1</v>
      </c>
      <c r="B1404" s="990">
        <v>1</v>
      </c>
      <c r="C1404" s="990" t="s">
        <v>863</v>
      </c>
      <c r="D1404" s="1121" t="s">
        <v>887</v>
      </c>
      <c r="E1404" s="1463" t="s">
        <v>1262</v>
      </c>
      <c r="F1404" s="1459"/>
      <c r="G1404" s="5"/>
      <c r="H1404" s="5" t="s">
        <v>477</v>
      </c>
      <c r="I1404" s="5"/>
      <c r="J1404" s="4"/>
      <c r="K1404" s="5"/>
      <c r="L1404" s="5"/>
      <c r="M1404" s="38"/>
      <c r="N1404" s="4"/>
      <c r="O1404" s="4"/>
      <c r="P1404" s="4"/>
      <c r="Q1404" s="1839" t="str">
        <f>CHOOSE(2, "6722000004322", "(1) BIC")</f>
        <v>(1) BIC</v>
      </c>
      <c r="R1404" s="1151"/>
      <c r="S1404" s="1151"/>
      <c r="T1404" s="1151"/>
      <c r="U1404" s="1151"/>
      <c r="V1404" s="1151"/>
      <c r="W1404" s="1151"/>
      <c r="X1404" s="1151"/>
      <c r="Y1404" s="1151"/>
      <c r="Z1404" s="1151"/>
      <c r="AA1404" s="1151"/>
      <c r="AB1404" s="38"/>
      <c r="AC1404" s="38"/>
      <c r="AD1404" s="38"/>
      <c r="AE1404" s="38"/>
      <c r="AF1404" s="38"/>
      <c r="AG1404" s="38"/>
      <c r="AH1404" s="38"/>
      <c r="AI1404" s="38"/>
      <c r="AJ1404" s="38"/>
    </row>
    <row r="1405" spans="1:36" ht="14.5">
      <c r="A1405" s="990">
        <v>1</v>
      </c>
      <c r="B1405" s="990">
        <v>1</v>
      </c>
      <c r="C1405" s="990" t="s">
        <v>863</v>
      </c>
      <c r="D1405" s="1121" t="s">
        <v>887</v>
      </c>
      <c r="E1405" s="1463" t="s">
        <v>1262</v>
      </c>
      <c r="F1405" s="1459"/>
      <c r="G1405" s="271"/>
      <c r="H1405" s="271" t="s">
        <v>286</v>
      </c>
      <c r="I1405" s="259" t="s">
        <v>328</v>
      </c>
      <c r="J1405" s="1822"/>
      <c r="K1405" s="1823"/>
      <c r="L1405" s="1823"/>
      <c r="M1405" s="1823"/>
      <c r="N1405" s="1823"/>
      <c r="O1405" s="1823"/>
      <c r="P1405" s="1823"/>
      <c r="Q1405" s="1840" t="str">
        <f>CHOOSE(2, "6722000004323", "BIC FE/TTOC")</f>
        <v>BIC FE/TTOC</v>
      </c>
      <c r="R1405" s="2011">
        <f t="shared" ref="R1405" si="2392">SUM(R1406:R1410)</f>
        <v>0</v>
      </c>
      <c r="S1405" s="2011">
        <f t="shared" ref="S1405:AC1405" si="2393">SUM(S1406:S1410)</f>
        <v>0</v>
      </c>
      <c r="T1405" s="2011">
        <f t="shared" si="2393"/>
        <v>0</v>
      </c>
      <c r="U1405" s="2011">
        <f t="shared" si="2393"/>
        <v>0</v>
      </c>
      <c r="V1405" s="2011">
        <f t="shared" si="2393"/>
        <v>0</v>
      </c>
      <c r="W1405" s="2011">
        <f t="shared" si="2393"/>
        <v>0</v>
      </c>
      <c r="X1405" s="2011">
        <f t="shared" si="2393"/>
        <v>0</v>
      </c>
      <c r="Y1405" s="2011">
        <f t="shared" si="2393"/>
        <v>0</v>
      </c>
      <c r="Z1405" s="2011">
        <f t="shared" si="2393"/>
        <v>0</v>
      </c>
      <c r="AA1405" s="2011">
        <f t="shared" si="2393"/>
        <v>0</v>
      </c>
      <c r="AB1405" s="2011">
        <f t="shared" si="2393"/>
        <v>0</v>
      </c>
      <c r="AC1405" s="2011">
        <f t="shared" si="2393"/>
        <v>0</v>
      </c>
      <c r="AD1405" s="181">
        <f t="shared" ref="AD1405:AJ1405" si="2394">SUM(AD1406:AD1410)</f>
        <v>0</v>
      </c>
      <c r="AE1405" s="181">
        <f t="shared" si="2394"/>
        <v>0</v>
      </c>
      <c r="AF1405" s="181">
        <f t="shared" si="2394"/>
        <v>0</v>
      </c>
      <c r="AG1405" s="181">
        <f t="shared" si="2394"/>
        <v>0</v>
      </c>
      <c r="AH1405" s="181">
        <f t="shared" si="2394"/>
        <v>0</v>
      </c>
      <c r="AI1405" s="181">
        <f t="shared" si="2394"/>
        <v>0</v>
      </c>
      <c r="AJ1405" s="181">
        <f t="shared" si="2394"/>
        <v>0</v>
      </c>
    </row>
    <row r="1406" spans="1:36" ht="14.5">
      <c r="A1406" s="990">
        <v>1</v>
      </c>
      <c r="B1406" s="990">
        <v>1</v>
      </c>
      <c r="C1406" s="990" t="s">
        <v>863</v>
      </c>
      <c r="D1406" s="1121" t="s">
        <v>887</v>
      </c>
      <c r="E1406" s="1463" t="s">
        <v>1262</v>
      </c>
      <c r="F1406" s="1459"/>
      <c r="G1406" s="5"/>
      <c r="H1406" s="5"/>
      <c r="I1406" s="1824"/>
      <c r="J1406" s="272" t="s">
        <v>287</v>
      </c>
      <c r="K1406" s="37"/>
      <c r="L1406" s="37"/>
      <c r="M1406" s="36"/>
      <c r="N1406" s="36"/>
      <c r="O1406" s="36"/>
      <c r="P1406" s="55"/>
      <c r="Q1406" s="1865" t="str">
        <f>CHOOSE(2, "6722000004324", "BIC FE/TTOC Sales Total")</f>
        <v>BIC FE/TTOC Sales Total</v>
      </c>
      <c r="R1406" s="2761">
        <v>0</v>
      </c>
      <c r="S1406" s="2761">
        <v>0</v>
      </c>
      <c r="T1406" s="2761">
        <v>0</v>
      </c>
      <c r="U1406" s="2761">
        <v>0</v>
      </c>
      <c r="V1406" s="2761">
        <v>0</v>
      </c>
      <c r="W1406" s="2761">
        <v>0</v>
      </c>
      <c r="X1406" s="2761">
        <v>0</v>
      </c>
      <c r="Y1406" s="2761">
        <v>0</v>
      </c>
      <c r="Z1406" s="2761">
        <v>0</v>
      </c>
      <c r="AA1406" s="2761">
        <v>0</v>
      </c>
      <c r="AB1406" s="2761">
        <v>0</v>
      </c>
      <c r="AC1406" s="2761">
        <v>0</v>
      </c>
      <c r="AD1406" s="544">
        <f t="shared" ref="AD1406:AD1411" si="2395">T1406</f>
        <v>0</v>
      </c>
      <c r="AE1406" s="544">
        <f t="shared" ref="AE1406:AE1411" si="2396">W1406</f>
        <v>0</v>
      </c>
      <c r="AF1406" s="544">
        <f t="shared" ref="AF1406:AF1411" si="2397">Z1406</f>
        <v>0</v>
      </c>
      <c r="AG1406" s="544">
        <f t="shared" ref="AG1406:AG1411" si="2398">AC1406</f>
        <v>0</v>
      </c>
      <c r="AH1406" s="544">
        <f t="shared" ref="AH1406:AH1411" si="2399">AE1406</f>
        <v>0</v>
      </c>
      <c r="AI1406" s="544">
        <f t="shared" ref="AI1406:AI1411" si="2400">AG1406</f>
        <v>0</v>
      </c>
      <c r="AJ1406" s="544">
        <f t="shared" ref="AJ1406:AJ1411" si="2401">AI1406</f>
        <v>0</v>
      </c>
    </row>
    <row r="1407" spans="1:36" ht="14.5">
      <c r="A1407" s="990">
        <v>1</v>
      </c>
      <c r="B1407" s="990">
        <v>1</v>
      </c>
      <c r="C1407" s="990" t="s">
        <v>863</v>
      </c>
      <c r="D1407" s="1121" t="s">
        <v>887</v>
      </c>
      <c r="E1407" s="1463" t="s">
        <v>1262</v>
      </c>
      <c r="F1407" s="1459"/>
      <c r="G1407" s="5"/>
      <c r="H1407" s="5"/>
      <c r="I1407" s="1824"/>
      <c r="J1407" s="30" t="s">
        <v>288</v>
      </c>
      <c r="K1407" s="5"/>
      <c r="L1407" s="5"/>
      <c r="M1407" s="4"/>
      <c r="N1407" s="4"/>
      <c r="O1407" s="4"/>
      <c r="P1407" s="29"/>
      <c r="Q1407" s="1865" t="str">
        <f>CHOOSE(2, "6722000004325", "BIC FE/TTOC Service Total")</f>
        <v>BIC FE/TTOC Service Total</v>
      </c>
      <c r="R1407" s="2763">
        <v>0</v>
      </c>
      <c r="S1407" s="2763">
        <v>0</v>
      </c>
      <c r="T1407" s="2763">
        <v>0</v>
      </c>
      <c r="U1407" s="2763">
        <v>0</v>
      </c>
      <c r="V1407" s="2763">
        <v>0</v>
      </c>
      <c r="W1407" s="2763">
        <v>0</v>
      </c>
      <c r="X1407" s="2763">
        <v>0</v>
      </c>
      <c r="Y1407" s="2763">
        <v>0</v>
      </c>
      <c r="Z1407" s="2763">
        <v>0</v>
      </c>
      <c r="AA1407" s="2763">
        <v>0</v>
      </c>
      <c r="AB1407" s="2763">
        <v>0</v>
      </c>
      <c r="AC1407" s="2763">
        <v>0</v>
      </c>
      <c r="AD1407" s="545">
        <f t="shared" si="2395"/>
        <v>0</v>
      </c>
      <c r="AE1407" s="545">
        <f t="shared" si="2396"/>
        <v>0</v>
      </c>
      <c r="AF1407" s="545">
        <f t="shared" si="2397"/>
        <v>0</v>
      </c>
      <c r="AG1407" s="545">
        <f t="shared" si="2398"/>
        <v>0</v>
      </c>
      <c r="AH1407" s="545">
        <f t="shared" si="2399"/>
        <v>0</v>
      </c>
      <c r="AI1407" s="545">
        <f t="shared" si="2400"/>
        <v>0</v>
      </c>
      <c r="AJ1407" s="545">
        <f t="shared" si="2401"/>
        <v>0</v>
      </c>
    </row>
    <row r="1408" spans="1:36" ht="14.5">
      <c r="A1408" s="990">
        <v>1</v>
      </c>
      <c r="B1408" s="990">
        <v>1</v>
      </c>
      <c r="C1408" s="990" t="s">
        <v>863</v>
      </c>
      <c r="D1408" s="1121" t="s">
        <v>887</v>
      </c>
      <c r="E1408" s="1463" t="s">
        <v>1262</v>
      </c>
      <c r="F1408" s="1459"/>
      <c r="G1408" s="5"/>
      <c r="H1408" s="5"/>
      <c r="I1408" s="1824"/>
      <c r="J1408" s="30" t="s">
        <v>443</v>
      </c>
      <c r="K1408" s="5"/>
      <c r="L1408" s="5"/>
      <c r="M1408" s="4"/>
      <c r="N1408" s="4"/>
      <c r="O1408" s="4"/>
      <c r="P1408" s="29"/>
      <c r="Q1408" s="1865" t="str">
        <f>CHOOSE(2, "6722000004326", "BIC FE/TTOC MarketingTotal")</f>
        <v>BIC FE/TTOC MarketingTotal</v>
      </c>
      <c r="R1408" s="2763">
        <v>0</v>
      </c>
      <c r="S1408" s="2763">
        <v>0</v>
      </c>
      <c r="T1408" s="2763">
        <v>0</v>
      </c>
      <c r="U1408" s="2763">
        <v>0</v>
      </c>
      <c r="V1408" s="2763">
        <v>0</v>
      </c>
      <c r="W1408" s="2763">
        <v>0</v>
      </c>
      <c r="X1408" s="2763">
        <v>0</v>
      </c>
      <c r="Y1408" s="2763">
        <v>0</v>
      </c>
      <c r="Z1408" s="2763">
        <v>0</v>
      </c>
      <c r="AA1408" s="2763">
        <v>0</v>
      </c>
      <c r="AB1408" s="2763">
        <v>0</v>
      </c>
      <c r="AC1408" s="2763">
        <v>0</v>
      </c>
      <c r="AD1408" s="545">
        <f t="shared" si="2395"/>
        <v>0</v>
      </c>
      <c r="AE1408" s="545">
        <f t="shared" si="2396"/>
        <v>0</v>
      </c>
      <c r="AF1408" s="545">
        <f t="shared" si="2397"/>
        <v>0</v>
      </c>
      <c r="AG1408" s="545">
        <f t="shared" si="2398"/>
        <v>0</v>
      </c>
      <c r="AH1408" s="545">
        <f t="shared" si="2399"/>
        <v>0</v>
      </c>
      <c r="AI1408" s="545">
        <f t="shared" si="2400"/>
        <v>0</v>
      </c>
      <c r="AJ1408" s="545">
        <f t="shared" si="2401"/>
        <v>0</v>
      </c>
    </row>
    <row r="1409" spans="1:36" ht="14.5">
      <c r="A1409" s="990">
        <v>1</v>
      </c>
      <c r="B1409" s="990">
        <v>1</v>
      </c>
      <c r="C1409" s="990" t="s">
        <v>863</v>
      </c>
      <c r="D1409" s="1121" t="s">
        <v>887</v>
      </c>
      <c r="E1409" s="1463" t="s">
        <v>1262</v>
      </c>
      <c r="F1409" s="1459"/>
      <c r="G1409" s="5"/>
      <c r="H1409" s="5"/>
      <c r="I1409" s="1824"/>
      <c r="J1409" s="30" t="s">
        <v>73</v>
      </c>
      <c r="K1409" s="5"/>
      <c r="L1409" s="5"/>
      <c r="M1409" s="4"/>
      <c r="N1409" s="4"/>
      <c r="O1409" s="4"/>
      <c r="P1409" s="29"/>
      <c r="Q1409" s="1865" t="str">
        <f>CHOOSE(2, "6722000004327", "BIC FE/TTOC Administration Total")</f>
        <v>BIC FE/TTOC Administration Total</v>
      </c>
      <c r="R1409" s="2763">
        <v>0</v>
      </c>
      <c r="S1409" s="2763">
        <v>0</v>
      </c>
      <c r="T1409" s="2763">
        <v>0</v>
      </c>
      <c r="U1409" s="2763">
        <v>0</v>
      </c>
      <c r="V1409" s="2763">
        <v>0</v>
      </c>
      <c r="W1409" s="2763">
        <v>0</v>
      </c>
      <c r="X1409" s="2763">
        <v>0</v>
      </c>
      <c r="Y1409" s="2763">
        <v>0</v>
      </c>
      <c r="Z1409" s="2763">
        <v>0</v>
      </c>
      <c r="AA1409" s="2763">
        <v>0</v>
      </c>
      <c r="AB1409" s="2763">
        <v>0</v>
      </c>
      <c r="AC1409" s="2763">
        <v>0</v>
      </c>
      <c r="AD1409" s="545">
        <f t="shared" si="2395"/>
        <v>0</v>
      </c>
      <c r="AE1409" s="545">
        <f t="shared" si="2396"/>
        <v>0</v>
      </c>
      <c r="AF1409" s="545">
        <f t="shared" si="2397"/>
        <v>0</v>
      </c>
      <c r="AG1409" s="545">
        <f t="shared" si="2398"/>
        <v>0</v>
      </c>
      <c r="AH1409" s="545">
        <f t="shared" si="2399"/>
        <v>0</v>
      </c>
      <c r="AI1409" s="545">
        <f t="shared" si="2400"/>
        <v>0</v>
      </c>
      <c r="AJ1409" s="545">
        <f t="shared" si="2401"/>
        <v>0</v>
      </c>
    </row>
    <row r="1410" spans="1:36" ht="14.5">
      <c r="A1410" s="990">
        <v>1</v>
      </c>
      <c r="B1410" s="990">
        <v>1</v>
      </c>
      <c r="C1410" s="990" t="s">
        <v>863</v>
      </c>
      <c r="D1410" s="1121" t="s">
        <v>887</v>
      </c>
      <c r="E1410" s="1463" t="s">
        <v>1262</v>
      </c>
      <c r="F1410" s="1459"/>
      <c r="G1410" s="5"/>
      <c r="H1410" s="5"/>
      <c r="I1410" s="1825"/>
      <c r="J1410" s="53" t="s">
        <v>290</v>
      </c>
      <c r="K1410" s="52"/>
      <c r="L1410" s="52"/>
      <c r="M1410" s="51"/>
      <c r="N1410" s="51"/>
      <c r="O1410" s="51"/>
      <c r="P1410" s="50"/>
      <c r="Q1410" s="1865" t="str">
        <f>CHOOSE(2, "6722000004328", "BIC FE/TTOC Logistics Total")</f>
        <v>BIC FE/TTOC Logistics Total</v>
      </c>
      <c r="R1410" s="2764">
        <v>0</v>
      </c>
      <c r="S1410" s="2764">
        <v>0</v>
      </c>
      <c r="T1410" s="2764">
        <v>0</v>
      </c>
      <c r="U1410" s="2764">
        <v>0</v>
      </c>
      <c r="V1410" s="2764">
        <v>0</v>
      </c>
      <c r="W1410" s="2764">
        <v>0</v>
      </c>
      <c r="X1410" s="2764">
        <v>0</v>
      </c>
      <c r="Y1410" s="2764">
        <v>0</v>
      </c>
      <c r="Z1410" s="2764">
        <v>0</v>
      </c>
      <c r="AA1410" s="2764">
        <v>0</v>
      </c>
      <c r="AB1410" s="2764">
        <v>0</v>
      </c>
      <c r="AC1410" s="2764">
        <v>0</v>
      </c>
      <c r="AD1410" s="546">
        <f t="shared" si="2395"/>
        <v>0</v>
      </c>
      <c r="AE1410" s="546">
        <f t="shared" si="2396"/>
        <v>0</v>
      </c>
      <c r="AF1410" s="546">
        <f t="shared" si="2397"/>
        <v>0</v>
      </c>
      <c r="AG1410" s="546">
        <f t="shared" si="2398"/>
        <v>0</v>
      </c>
      <c r="AH1410" s="546">
        <f t="shared" si="2399"/>
        <v>0</v>
      </c>
      <c r="AI1410" s="546">
        <f t="shared" si="2400"/>
        <v>0</v>
      </c>
      <c r="AJ1410" s="546">
        <f t="shared" si="2401"/>
        <v>0</v>
      </c>
    </row>
    <row r="1411" spans="1:36" ht="14.5">
      <c r="A1411" s="990">
        <v>1</v>
      </c>
      <c r="B1411" s="990">
        <v>1</v>
      </c>
      <c r="C1411" s="990" t="s">
        <v>863</v>
      </c>
      <c r="D1411" s="1121" t="s">
        <v>887</v>
      </c>
      <c r="E1411" s="1463" t="s">
        <v>1262</v>
      </c>
      <c r="F1411" s="1459"/>
      <c r="G1411" s="271" t="s">
        <v>229</v>
      </c>
      <c r="H1411" s="271" t="s">
        <v>130</v>
      </c>
      <c r="I1411" s="318" t="s">
        <v>296</v>
      </c>
      <c r="J1411" s="319"/>
      <c r="K1411" s="320"/>
      <c r="L1411" s="320"/>
      <c r="M1411" s="319"/>
      <c r="N1411" s="319"/>
      <c r="O1411" s="319"/>
      <c r="P1411" s="321"/>
      <c r="Q1411" s="1855" t="str">
        <f>CHOOSE(2, "6722000004329", "BIC Semi-Full-Time/Part-Time Employees /Contractors")</f>
        <v>BIC Semi-Full-Time/Part-Time Employees /Contractors</v>
      </c>
      <c r="R1411" s="2050">
        <v>0</v>
      </c>
      <c r="S1411" s="2050">
        <v>0</v>
      </c>
      <c r="T1411" s="2050">
        <v>0</v>
      </c>
      <c r="U1411" s="2050">
        <v>0</v>
      </c>
      <c r="V1411" s="2050">
        <v>0</v>
      </c>
      <c r="W1411" s="2050">
        <v>0</v>
      </c>
      <c r="X1411" s="2050">
        <v>0</v>
      </c>
      <c r="Y1411" s="2050">
        <v>0</v>
      </c>
      <c r="Z1411" s="2050">
        <v>0</v>
      </c>
      <c r="AA1411" s="2050">
        <v>0</v>
      </c>
      <c r="AB1411" s="2050">
        <v>0</v>
      </c>
      <c r="AC1411" s="2050">
        <v>0</v>
      </c>
      <c r="AD1411" s="322">
        <f t="shared" si="2395"/>
        <v>0</v>
      </c>
      <c r="AE1411" s="322">
        <f t="shared" si="2396"/>
        <v>0</v>
      </c>
      <c r="AF1411" s="322">
        <f t="shared" si="2397"/>
        <v>0</v>
      </c>
      <c r="AG1411" s="322">
        <f t="shared" si="2398"/>
        <v>0</v>
      </c>
      <c r="AH1411" s="322">
        <f t="shared" si="2399"/>
        <v>0</v>
      </c>
      <c r="AI1411" s="322">
        <f t="shared" si="2400"/>
        <v>0</v>
      </c>
      <c r="AJ1411" s="322">
        <f t="shared" si="2401"/>
        <v>0</v>
      </c>
    </row>
    <row r="1412" spans="1:36" ht="14.5">
      <c r="A1412" s="990">
        <v>1</v>
      </c>
      <c r="B1412" s="990">
        <v>1</v>
      </c>
      <c r="C1412" s="990" t="s">
        <v>863</v>
      </c>
      <c r="D1412" s="1121" t="s">
        <v>887</v>
      </c>
      <c r="E1412" s="1463" t="s">
        <v>1262</v>
      </c>
      <c r="F1412" s="1459"/>
      <c r="G1412" s="5"/>
      <c r="H1412" s="5"/>
      <c r="I1412" s="5"/>
      <c r="J1412" s="4"/>
      <c r="K1412" s="5"/>
      <c r="L1412" s="5"/>
      <c r="M1412" s="4"/>
      <c r="N1412" s="4"/>
      <c r="O1412" s="4"/>
      <c r="P1412" s="4"/>
      <c r="Q1412" s="1839" t="str">
        <f>CHOOSE(2, "6722000004330", "▷ Blank 58")</f>
        <v>▷ Blank 58</v>
      </c>
      <c r="R1412" s="1151"/>
      <c r="S1412" s="1151"/>
      <c r="T1412" s="1151"/>
      <c r="U1412" s="1151"/>
      <c r="V1412" s="1151"/>
      <c r="W1412" s="1151"/>
      <c r="X1412" s="1151"/>
      <c r="Y1412" s="1151"/>
      <c r="Z1412" s="1151"/>
      <c r="AA1412" s="1151"/>
      <c r="AB1412" s="38"/>
      <c r="AC1412" s="38"/>
      <c r="AD1412" s="38"/>
      <c r="AE1412" s="38"/>
      <c r="AF1412" s="38"/>
      <c r="AG1412" s="38"/>
      <c r="AH1412" s="38"/>
      <c r="AI1412" s="38"/>
      <c r="AJ1412" s="38"/>
    </row>
    <row r="1413" spans="1:36" ht="14.5">
      <c r="A1413" s="990">
        <v>1</v>
      </c>
      <c r="B1413" s="990">
        <v>1</v>
      </c>
      <c r="C1413" s="990" t="s">
        <v>863</v>
      </c>
      <c r="D1413" s="1121" t="s">
        <v>887</v>
      </c>
      <c r="E1413" s="1463" t="s">
        <v>1262</v>
      </c>
      <c r="F1413" s="1459"/>
      <c r="G1413" s="5"/>
      <c r="H1413" s="5" t="s">
        <v>962</v>
      </c>
      <c r="I1413" s="1286"/>
      <c r="J1413" s="4"/>
      <c r="K1413" s="5"/>
      <c r="L1413" s="5"/>
      <c r="M1413" s="4"/>
      <c r="N1413" s="4" t="s">
        <v>963</v>
      </c>
      <c r="O1413" s="4"/>
      <c r="P1413" s="4"/>
      <c r="Q1413" s="1839" t="str">
        <f>CHOOSE(2, "6722000004331", "(2) IIS (Imaging-IoT Solution)")</f>
        <v>(2) IIS (Imaging-IoT Solution)</v>
      </c>
      <c r="R1413" s="1151"/>
      <c r="S1413" s="1151"/>
      <c r="T1413" s="1151"/>
      <c r="U1413" s="1151"/>
      <c r="V1413" s="1151"/>
      <c r="W1413" s="1151"/>
      <c r="X1413" s="1151"/>
      <c r="Y1413" s="1151"/>
      <c r="Z1413" s="1151"/>
      <c r="AA1413" s="1151"/>
      <c r="AB1413" s="38"/>
      <c r="AC1413" s="38"/>
      <c r="AD1413" s="38"/>
      <c r="AE1413" s="38"/>
      <c r="AF1413" s="38"/>
      <c r="AG1413" s="38"/>
      <c r="AH1413" s="38"/>
      <c r="AI1413" s="38"/>
      <c r="AJ1413" s="38"/>
    </row>
    <row r="1414" spans="1:36" ht="14.5">
      <c r="A1414" s="990">
        <v>1</v>
      </c>
      <c r="B1414" s="990">
        <v>1</v>
      </c>
      <c r="C1414" s="990" t="s">
        <v>863</v>
      </c>
      <c r="D1414" s="1121" t="s">
        <v>887</v>
      </c>
      <c r="E1414" s="1463" t="s">
        <v>1262</v>
      </c>
      <c r="F1414" s="1459"/>
      <c r="G1414" s="271"/>
      <c r="H1414" s="271" t="s">
        <v>286</v>
      </c>
      <c r="I1414" s="259" t="s">
        <v>328</v>
      </c>
      <c r="J1414" s="1822"/>
      <c r="K1414" s="1823"/>
      <c r="L1414" s="1823"/>
      <c r="M1414" s="1823"/>
      <c r="N1414" s="1823"/>
      <c r="O1414" s="1823"/>
      <c r="P1414" s="1823"/>
      <c r="Q1414" s="1840" t="str">
        <f>CHOOSE(2, "6722000004332", "(0) Total FE/TTOC")</f>
        <v>(0) Total FE/TTOC</v>
      </c>
      <c r="R1414" s="2011">
        <f t="shared" ref="R1414:AC1414" si="2402">SUM(R1415:R1419)</f>
        <v>3</v>
      </c>
      <c r="S1414" s="2011">
        <f t="shared" si="2402"/>
        <v>3</v>
      </c>
      <c r="T1414" s="2011">
        <f t="shared" si="2402"/>
        <v>3</v>
      </c>
      <c r="U1414" s="2011">
        <f t="shared" si="2402"/>
        <v>3</v>
      </c>
      <c r="V1414" s="2011">
        <f t="shared" si="2402"/>
        <v>4</v>
      </c>
      <c r="W1414" s="2011">
        <f t="shared" si="2402"/>
        <v>5</v>
      </c>
      <c r="X1414" s="2011">
        <f t="shared" si="2402"/>
        <v>5</v>
      </c>
      <c r="Y1414" s="2011">
        <f t="shared" si="2402"/>
        <v>5</v>
      </c>
      <c r="Z1414" s="2011">
        <f t="shared" si="2402"/>
        <v>5</v>
      </c>
      <c r="AA1414" s="2011">
        <f t="shared" si="2402"/>
        <v>4</v>
      </c>
      <c r="AB1414" s="2011">
        <f t="shared" si="2402"/>
        <v>4</v>
      </c>
      <c r="AC1414" s="2011">
        <f t="shared" si="2402"/>
        <v>4</v>
      </c>
      <c r="AD1414" s="181">
        <f t="shared" ref="AD1414:AJ1414" si="2403">SUM(AD1415:AD1419)</f>
        <v>3</v>
      </c>
      <c r="AE1414" s="181">
        <f t="shared" si="2403"/>
        <v>5</v>
      </c>
      <c r="AF1414" s="181">
        <f t="shared" si="2403"/>
        <v>5</v>
      </c>
      <c r="AG1414" s="181">
        <f t="shared" si="2403"/>
        <v>4</v>
      </c>
      <c r="AH1414" s="181">
        <f t="shared" si="2403"/>
        <v>5</v>
      </c>
      <c r="AI1414" s="181">
        <f t="shared" si="2403"/>
        <v>4</v>
      </c>
      <c r="AJ1414" s="181">
        <f t="shared" si="2403"/>
        <v>4</v>
      </c>
    </row>
    <row r="1415" spans="1:36" ht="14.5">
      <c r="A1415" s="990">
        <v>1</v>
      </c>
      <c r="B1415" s="990">
        <v>1</v>
      </c>
      <c r="C1415" s="990" t="s">
        <v>863</v>
      </c>
      <c r="D1415" s="1121" t="s">
        <v>887</v>
      </c>
      <c r="E1415" s="1463" t="s">
        <v>1262</v>
      </c>
      <c r="F1415" s="1459"/>
      <c r="G1415" s="547"/>
      <c r="H1415" s="547"/>
      <c r="I1415" s="1824"/>
      <c r="J1415" s="272" t="s">
        <v>287</v>
      </c>
      <c r="K1415" s="37"/>
      <c r="L1415" s="549"/>
      <c r="M1415" s="548"/>
      <c r="N1415" s="548"/>
      <c r="O1415" s="548"/>
      <c r="P1415" s="544"/>
      <c r="Q1415" s="1865" t="str">
        <f>CHOOSE(2, "6722000004333", "FE/TTOC Sales Total")</f>
        <v>FE/TTOC Sales Total</v>
      </c>
      <c r="R1415" s="2761">
        <v>3</v>
      </c>
      <c r="S1415" s="2761">
        <v>3</v>
      </c>
      <c r="T1415" s="2761">
        <v>3</v>
      </c>
      <c r="U1415" s="2761">
        <v>3</v>
      </c>
      <c r="V1415" s="2761">
        <v>4</v>
      </c>
      <c r="W1415" s="2761">
        <v>5</v>
      </c>
      <c r="X1415" s="2761">
        <v>5</v>
      </c>
      <c r="Y1415" s="2761">
        <v>5</v>
      </c>
      <c r="Z1415" s="2761">
        <v>5</v>
      </c>
      <c r="AA1415" s="2761">
        <v>4</v>
      </c>
      <c r="AB1415" s="2761">
        <v>4</v>
      </c>
      <c r="AC1415" s="2761">
        <v>4</v>
      </c>
      <c r="AD1415" s="544">
        <f t="shared" ref="AD1415:AD1420" si="2404">T1415</f>
        <v>3</v>
      </c>
      <c r="AE1415" s="544">
        <f t="shared" ref="AE1415:AE1420" si="2405">W1415</f>
        <v>5</v>
      </c>
      <c r="AF1415" s="544">
        <f t="shared" ref="AF1415:AF1420" si="2406">Z1415</f>
        <v>5</v>
      </c>
      <c r="AG1415" s="544">
        <f t="shared" ref="AG1415:AG1420" si="2407">AC1415</f>
        <v>4</v>
      </c>
      <c r="AH1415" s="544">
        <f t="shared" ref="AH1415:AH1420" si="2408">AE1415</f>
        <v>5</v>
      </c>
      <c r="AI1415" s="544">
        <f t="shared" ref="AI1415:AI1420" si="2409">AG1415</f>
        <v>4</v>
      </c>
      <c r="AJ1415" s="544">
        <f t="shared" ref="AJ1415:AJ1420" si="2410">AI1415</f>
        <v>4</v>
      </c>
    </row>
    <row r="1416" spans="1:36" ht="14.5">
      <c r="A1416" s="990">
        <v>1</v>
      </c>
      <c r="B1416" s="990">
        <v>1</v>
      </c>
      <c r="C1416" s="990" t="s">
        <v>863</v>
      </c>
      <c r="D1416" s="1121" t="s">
        <v>887</v>
      </c>
      <c r="E1416" s="1463" t="s">
        <v>1262</v>
      </c>
      <c r="F1416" s="1459"/>
      <c r="G1416" s="547"/>
      <c r="H1416" s="547"/>
      <c r="I1416" s="1824"/>
      <c r="J1416" s="30" t="s">
        <v>288</v>
      </c>
      <c r="K1416" s="5"/>
      <c r="L1416" s="547"/>
      <c r="M1416" s="550"/>
      <c r="N1416" s="550"/>
      <c r="O1416" s="550"/>
      <c r="P1416" s="545"/>
      <c r="Q1416" s="1865" t="str">
        <f>CHOOSE(2, "6722000004334", "FE/TTOC Service Total")</f>
        <v>FE/TTOC Service Total</v>
      </c>
      <c r="R1416" s="2763">
        <v>0</v>
      </c>
      <c r="S1416" s="2763">
        <v>0</v>
      </c>
      <c r="T1416" s="2763">
        <v>0</v>
      </c>
      <c r="U1416" s="2763">
        <v>0</v>
      </c>
      <c r="V1416" s="2763">
        <v>0</v>
      </c>
      <c r="W1416" s="2763">
        <v>0</v>
      </c>
      <c r="X1416" s="2763">
        <v>0</v>
      </c>
      <c r="Y1416" s="2763">
        <v>0</v>
      </c>
      <c r="Z1416" s="2763">
        <v>0</v>
      </c>
      <c r="AA1416" s="2763">
        <v>0</v>
      </c>
      <c r="AB1416" s="2763">
        <v>0</v>
      </c>
      <c r="AC1416" s="2763">
        <v>0</v>
      </c>
      <c r="AD1416" s="545">
        <f t="shared" si="2404"/>
        <v>0</v>
      </c>
      <c r="AE1416" s="545">
        <f t="shared" si="2405"/>
        <v>0</v>
      </c>
      <c r="AF1416" s="545">
        <f t="shared" si="2406"/>
        <v>0</v>
      </c>
      <c r="AG1416" s="545">
        <f t="shared" si="2407"/>
        <v>0</v>
      </c>
      <c r="AH1416" s="545">
        <f t="shared" si="2408"/>
        <v>0</v>
      </c>
      <c r="AI1416" s="545">
        <f t="shared" si="2409"/>
        <v>0</v>
      </c>
      <c r="AJ1416" s="545">
        <f t="shared" si="2410"/>
        <v>0</v>
      </c>
    </row>
    <row r="1417" spans="1:36" ht="14.5">
      <c r="A1417" s="990">
        <v>1</v>
      </c>
      <c r="B1417" s="990">
        <v>1</v>
      </c>
      <c r="C1417" s="990" t="s">
        <v>863</v>
      </c>
      <c r="D1417" s="1121" t="s">
        <v>887</v>
      </c>
      <c r="E1417" s="1463" t="s">
        <v>1262</v>
      </c>
      <c r="F1417" s="1459"/>
      <c r="G1417" s="547"/>
      <c r="H1417" s="547"/>
      <c r="I1417" s="1824"/>
      <c r="J1417" s="30" t="s">
        <v>443</v>
      </c>
      <c r="K1417" s="5"/>
      <c r="L1417" s="547"/>
      <c r="M1417" s="550"/>
      <c r="N1417" s="550"/>
      <c r="O1417" s="550"/>
      <c r="P1417" s="545"/>
      <c r="Q1417" s="1865" t="str">
        <f>CHOOSE(2, "6722000004335", "FE/TTOC MarketingTotal")</f>
        <v>FE/TTOC MarketingTotal</v>
      </c>
      <c r="R1417" s="2763">
        <v>0</v>
      </c>
      <c r="S1417" s="2763">
        <v>0</v>
      </c>
      <c r="T1417" s="2763">
        <v>0</v>
      </c>
      <c r="U1417" s="2763">
        <v>0</v>
      </c>
      <c r="V1417" s="2763">
        <v>0</v>
      </c>
      <c r="W1417" s="2763">
        <v>0</v>
      </c>
      <c r="X1417" s="2763">
        <v>0</v>
      </c>
      <c r="Y1417" s="2763">
        <v>0</v>
      </c>
      <c r="Z1417" s="2763">
        <v>0</v>
      </c>
      <c r="AA1417" s="2763">
        <v>0</v>
      </c>
      <c r="AB1417" s="2763">
        <v>0</v>
      </c>
      <c r="AC1417" s="2763">
        <v>0</v>
      </c>
      <c r="AD1417" s="545">
        <f t="shared" si="2404"/>
        <v>0</v>
      </c>
      <c r="AE1417" s="545">
        <f t="shared" si="2405"/>
        <v>0</v>
      </c>
      <c r="AF1417" s="545">
        <f t="shared" si="2406"/>
        <v>0</v>
      </c>
      <c r="AG1417" s="545">
        <f t="shared" si="2407"/>
        <v>0</v>
      </c>
      <c r="AH1417" s="545">
        <f t="shared" si="2408"/>
        <v>0</v>
      </c>
      <c r="AI1417" s="545">
        <f t="shared" si="2409"/>
        <v>0</v>
      </c>
      <c r="AJ1417" s="545">
        <f t="shared" si="2410"/>
        <v>0</v>
      </c>
    </row>
    <row r="1418" spans="1:36" ht="14.5">
      <c r="A1418" s="990">
        <v>1</v>
      </c>
      <c r="B1418" s="990">
        <v>1</v>
      </c>
      <c r="C1418" s="990" t="s">
        <v>863</v>
      </c>
      <c r="D1418" s="1121" t="s">
        <v>887</v>
      </c>
      <c r="E1418" s="1463" t="s">
        <v>1262</v>
      </c>
      <c r="F1418" s="1459"/>
      <c r="G1418" s="5"/>
      <c r="H1418" s="5"/>
      <c r="I1418" s="1824"/>
      <c r="J1418" s="30" t="s">
        <v>73</v>
      </c>
      <c r="K1418" s="5"/>
      <c r="L1418" s="5"/>
      <c r="M1418" s="4"/>
      <c r="N1418" s="4"/>
      <c r="O1418" s="4"/>
      <c r="P1418" s="29"/>
      <c r="Q1418" s="1865" t="str">
        <f>CHOOSE(2, "6722000004336", "FE/TTOC Administration Total")</f>
        <v>FE/TTOC Administration Total</v>
      </c>
      <c r="R1418" s="2763">
        <v>0</v>
      </c>
      <c r="S1418" s="2763">
        <v>0</v>
      </c>
      <c r="T1418" s="2763">
        <v>0</v>
      </c>
      <c r="U1418" s="2763">
        <v>0</v>
      </c>
      <c r="V1418" s="2763">
        <v>0</v>
      </c>
      <c r="W1418" s="2763">
        <v>0</v>
      </c>
      <c r="X1418" s="2763">
        <v>0</v>
      </c>
      <c r="Y1418" s="2763">
        <v>0</v>
      </c>
      <c r="Z1418" s="2763">
        <v>0</v>
      </c>
      <c r="AA1418" s="2763">
        <v>0</v>
      </c>
      <c r="AB1418" s="2763">
        <v>0</v>
      </c>
      <c r="AC1418" s="2763">
        <v>0</v>
      </c>
      <c r="AD1418" s="545">
        <f t="shared" si="2404"/>
        <v>0</v>
      </c>
      <c r="AE1418" s="545">
        <f t="shared" si="2405"/>
        <v>0</v>
      </c>
      <c r="AF1418" s="545">
        <f t="shared" si="2406"/>
        <v>0</v>
      </c>
      <c r="AG1418" s="545">
        <f t="shared" si="2407"/>
        <v>0</v>
      </c>
      <c r="AH1418" s="545">
        <f t="shared" si="2408"/>
        <v>0</v>
      </c>
      <c r="AI1418" s="545">
        <f t="shared" si="2409"/>
        <v>0</v>
      </c>
      <c r="AJ1418" s="545">
        <f t="shared" si="2410"/>
        <v>0</v>
      </c>
    </row>
    <row r="1419" spans="1:36" ht="14.5">
      <c r="A1419" s="990">
        <v>1</v>
      </c>
      <c r="B1419" s="990">
        <v>1</v>
      </c>
      <c r="C1419" s="990" t="s">
        <v>863</v>
      </c>
      <c r="D1419" s="1121" t="s">
        <v>887</v>
      </c>
      <c r="E1419" s="1463" t="s">
        <v>1262</v>
      </c>
      <c r="F1419" s="1459"/>
      <c r="G1419" s="547"/>
      <c r="H1419" s="547"/>
      <c r="I1419" s="1825"/>
      <c r="J1419" s="53" t="s">
        <v>290</v>
      </c>
      <c r="K1419" s="52"/>
      <c r="L1419" s="552"/>
      <c r="M1419" s="551"/>
      <c r="N1419" s="551"/>
      <c r="O1419" s="551"/>
      <c r="P1419" s="546"/>
      <c r="Q1419" s="1865" t="str">
        <f>CHOOSE(2, "6722000004337", "FE/TTOC Logistics Total")</f>
        <v>FE/TTOC Logistics Total</v>
      </c>
      <c r="R1419" s="2764">
        <v>0</v>
      </c>
      <c r="S1419" s="2764">
        <v>0</v>
      </c>
      <c r="T1419" s="2764">
        <v>0</v>
      </c>
      <c r="U1419" s="2764">
        <v>0</v>
      </c>
      <c r="V1419" s="2764">
        <v>0</v>
      </c>
      <c r="W1419" s="2764">
        <v>0</v>
      </c>
      <c r="X1419" s="2764">
        <v>0</v>
      </c>
      <c r="Y1419" s="2764">
        <v>0</v>
      </c>
      <c r="Z1419" s="2764">
        <v>0</v>
      </c>
      <c r="AA1419" s="2764">
        <v>0</v>
      </c>
      <c r="AB1419" s="2764">
        <v>0</v>
      </c>
      <c r="AC1419" s="2764">
        <v>0</v>
      </c>
      <c r="AD1419" s="546">
        <f t="shared" si="2404"/>
        <v>0</v>
      </c>
      <c r="AE1419" s="546">
        <f t="shared" si="2405"/>
        <v>0</v>
      </c>
      <c r="AF1419" s="546">
        <f t="shared" si="2406"/>
        <v>0</v>
      </c>
      <c r="AG1419" s="546">
        <f t="shared" si="2407"/>
        <v>0</v>
      </c>
      <c r="AH1419" s="546">
        <f t="shared" si="2408"/>
        <v>0</v>
      </c>
      <c r="AI1419" s="546">
        <f t="shared" si="2409"/>
        <v>0</v>
      </c>
      <c r="AJ1419" s="546">
        <f t="shared" si="2410"/>
        <v>0</v>
      </c>
    </row>
    <row r="1420" spans="1:36" ht="14.5">
      <c r="A1420" s="990">
        <v>1</v>
      </c>
      <c r="B1420" s="990">
        <v>1</v>
      </c>
      <c r="C1420" s="990" t="s">
        <v>863</v>
      </c>
      <c r="D1420" s="1121" t="s">
        <v>887</v>
      </c>
      <c r="E1420" s="1463" t="s">
        <v>1262</v>
      </c>
      <c r="F1420" s="1459"/>
      <c r="G1420" s="547"/>
      <c r="H1420" s="271" t="s">
        <v>130</v>
      </c>
      <c r="I1420" s="318" t="s">
        <v>296</v>
      </c>
      <c r="J1420" s="319"/>
      <c r="K1420" s="320"/>
      <c r="L1420" s="320"/>
      <c r="M1420" s="319"/>
      <c r="N1420" s="319"/>
      <c r="O1420" s="319"/>
      <c r="P1420" s="321"/>
      <c r="Q1420" s="1855" t="str">
        <f>CHOOSE(2, "6722000004338", "IIS Semi-Full-Time/Part-Time Employees /Contractors")</f>
        <v>IIS Semi-Full-Time/Part-Time Employees /Contractors</v>
      </c>
      <c r="R1420" s="2050">
        <v>0</v>
      </c>
      <c r="S1420" s="2050">
        <v>0</v>
      </c>
      <c r="T1420" s="2050">
        <v>0</v>
      </c>
      <c r="U1420" s="2050">
        <v>0</v>
      </c>
      <c r="V1420" s="2050">
        <v>0</v>
      </c>
      <c r="W1420" s="2050">
        <v>0</v>
      </c>
      <c r="X1420" s="2050">
        <v>0</v>
      </c>
      <c r="Y1420" s="2050">
        <v>0</v>
      </c>
      <c r="Z1420" s="2050">
        <v>0</v>
      </c>
      <c r="AA1420" s="2050">
        <v>0</v>
      </c>
      <c r="AB1420" s="2050">
        <v>0</v>
      </c>
      <c r="AC1420" s="2050">
        <v>0</v>
      </c>
      <c r="AD1420" s="322">
        <f t="shared" si="2404"/>
        <v>0</v>
      </c>
      <c r="AE1420" s="322">
        <f t="shared" si="2405"/>
        <v>0</v>
      </c>
      <c r="AF1420" s="322">
        <f t="shared" si="2406"/>
        <v>0</v>
      </c>
      <c r="AG1420" s="322">
        <f t="shared" si="2407"/>
        <v>0</v>
      </c>
      <c r="AH1420" s="322">
        <f t="shared" si="2408"/>
        <v>0</v>
      </c>
      <c r="AI1420" s="322">
        <f t="shared" si="2409"/>
        <v>0</v>
      </c>
      <c r="AJ1420" s="322">
        <f t="shared" si="2410"/>
        <v>0</v>
      </c>
    </row>
    <row r="1421" spans="1:36" ht="14.5">
      <c r="A1421" s="990">
        <v>1</v>
      </c>
      <c r="B1421" s="990">
        <v>1</v>
      </c>
      <c r="C1421" s="990" t="s">
        <v>863</v>
      </c>
      <c r="D1421" s="1121" t="s">
        <v>887</v>
      </c>
      <c r="E1421" s="1463" t="s">
        <v>1262</v>
      </c>
      <c r="F1421" s="1459"/>
      <c r="G1421" s="547"/>
      <c r="H1421"/>
      <c r="I1421"/>
      <c r="J1421"/>
      <c r="K1421"/>
      <c r="L1421"/>
      <c r="M1421"/>
      <c r="N1421"/>
      <c r="O1421"/>
      <c r="P1421"/>
      <c r="Q1421" s="1911" t="str">
        <f>CHOOSE(2, "6722000004339", "▷ Blank 59")</f>
        <v>▷ Blank 59</v>
      </c>
      <c r="R1421"/>
      <c r="S1421"/>
      <c r="T1421"/>
      <c r="U1421"/>
      <c r="V1421"/>
      <c r="W1421"/>
      <c r="X1421"/>
      <c r="Y1421"/>
      <c r="Z1421"/>
      <c r="AA1421"/>
      <c r="AB1421"/>
      <c r="AC1421"/>
      <c r="AD1421"/>
      <c r="AE1421"/>
      <c r="AF1421"/>
      <c r="AG1421"/>
      <c r="AH1421"/>
      <c r="AI1421"/>
      <c r="AJ1421"/>
    </row>
    <row r="1422" spans="1:36" ht="14.5">
      <c r="A1422" s="990">
        <v>1</v>
      </c>
      <c r="B1422" s="990">
        <v>1</v>
      </c>
      <c r="C1422" s="990" t="s">
        <v>863</v>
      </c>
      <c r="D1422" s="1121" t="s">
        <v>887</v>
      </c>
      <c r="E1422" s="1611" t="s">
        <v>460</v>
      </c>
      <c r="F1422" s="1610"/>
      <c r="G1422" s="5" t="s">
        <v>1376</v>
      </c>
      <c r="I1422" s="24"/>
      <c r="J1422" s="24"/>
      <c r="K1422" s="5"/>
      <c r="L1422" s="4"/>
      <c r="M1422" s="5"/>
      <c r="N1422" s="5"/>
      <c r="O1422" s="4"/>
      <c r="P1422" s="4"/>
      <c r="Q1422" s="1911" t="str">
        <f>CHOOSE(2, "6722000004340", "9-4. Inventories: BT + BIC +IIS")</f>
        <v>9-4. Inventories: BT + BIC +IIS</v>
      </c>
      <c r="R1422"/>
      <c r="S1422"/>
      <c r="T1422"/>
      <c r="U1422"/>
      <c r="V1422"/>
      <c r="W1422"/>
      <c r="X1422"/>
      <c r="Y1422"/>
      <c r="Z1422"/>
      <c r="AA1422"/>
      <c r="AB1422"/>
      <c r="AC1422"/>
      <c r="AD1422"/>
      <c r="AE1422"/>
      <c r="AF1422"/>
      <c r="AG1422"/>
      <c r="AH1422"/>
      <c r="AI1422"/>
      <c r="AJ1422"/>
    </row>
    <row r="1423" spans="1:36" ht="14.5">
      <c r="A1423" s="990">
        <v>1</v>
      </c>
      <c r="B1423" s="990">
        <v>1</v>
      </c>
      <c r="C1423" s="990" t="s">
        <v>863</v>
      </c>
      <c r="D1423" s="1121" t="s">
        <v>887</v>
      </c>
      <c r="E1423" s="1611" t="s">
        <v>460</v>
      </c>
      <c r="F1423" s="1610"/>
      <c r="G1423" s="9"/>
      <c r="H1423" s="5"/>
      <c r="I1423" s="258"/>
      <c r="J1423" s="555"/>
      <c r="K1423" s="636"/>
      <c r="L1423" s="636"/>
      <c r="M1423" s="555"/>
      <c r="N1423" s="555"/>
      <c r="O1423" s="555"/>
      <c r="P1423" s="555"/>
      <c r="Q1423" s="1839" t="str">
        <f>CHOOSE(2, "6722000004341", "▷ Blank 60")</f>
        <v>▷ Blank 60</v>
      </c>
      <c r="R1423" s="2175">
        <f>R13</f>
        <v>44652</v>
      </c>
      <c r="S1423" s="2175">
        <f t="shared" ref="S1423:AC1423" si="2411">S13</f>
        <v>44682</v>
      </c>
      <c r="T1423" s="2175">
        <f t="shared" si="2411"/>
        <v>44713</v>
      </c>
      <c r="U1423" s="2175">
        <f t="shared" si="2411"/>
        <v>44743</v>
      </c>
      <c r="V1423" s="2175">
        <f t="shared" si="2411"/>
        <v>44774</v>
      </c>
      <c r="W1423" s="2175">
        <f t="shared" si="2411"/>
        <v>44805</v>
      </c>
      <c r="X1423" s="2175">
        <f t="shared" si="2411"/>
        <v>44835</v>
      </c>
      <c r="Y1423" s="2175">
        <f t="shared" si="2411"/>
        <v>44866</v>
      </c>
      <c r="Z1423" s="2175">
        <f t="shared" si="2411"/>
        <v>44896</v>
      </c>
      <c r="AA1423" s="2175">
        <f t="shared" si="2411"/>
        <v>44927</v>
      </c>
      <c r="AB1423" s="2175">
        <f t="shared" si="2411"/>
        <v>44958</v>
      </c>
      <c r="AC1423" s="2175">
        <f t="shared" si="2411"/>
        <v>44986</v>
      </c>
      <c r="AD1423" s="772" t="s">
        <v>1426</v>
      </c>
      <c r="AE1423" s="772" t="s">
        <v>104</v>
      </c>
      <c r="AF1423" s="772" t="s">
        <v>103</v>
      </c>
      <c r="AG1423" s="772" t="s">
        <v>102</v>
      </c>
      <c r="AH1423" s="772" t="s">
        <v>101</v>
      </c>
      <c r="AI1423" s="772" t="s">
        <v>100</v>
      </c>
      <c r="AJ1423" s="772" t="s">
        <v>118</v>
      </c>
    </row>
    <row r="1424" spans="1:36" ht="14.5">
      <c r="A1424" s="990">
        <v>1</v>
      </c>
      <c r="B1424" s="990">
        <v>1</v>
      </c>
      <c r="C1424" s="990" t="s">
        <v>863</v>
      </c>
      <c r="D1424" s="1121" t="s">
        <v>887</v>
      </c>
      <c r="E1424" s="1611" t="s">
        <v>460</v>
      </c>
      <c r="F1424" s="1610"/>
      <c r="G1424" s="9"/>
      <c r="H1424" s="5"/>
      <c r="I1424" s="318" t="s">
        <v>1308</v>
      </c>
      <c r="J1424" s="320"/>
      <c r="K1424" s="320"/>
      <c r="L1424" s="320"/>
      <c r="M1424" s="319"/>
      <c r="N1424" s="319"/>
      <c r="O1424" s="319"/>
      <c r="P1424" s="319"/>
      <c r="Q1424" s="1915" t="str">
        <f>CHOOSE(2, "6722000004342", "Inventories (0) TIS")</f>
        <v>Inventories (0) TIS</v>
      </c>
      <c r="R1424" s="2110">
        <f t="shared" ref="R1424:AC1424" si="2412">R1425+R1426+R1427</f>
        <v>977521.44212309434</v>
      </c>
      <c r="S1424" s="2110">
        <f t="shared" si="2412"/>
        <v>1157746.4073328776</v>
      </c>
      <c r="T1424" s="2110">
        <f t="shared" si="2412"/>
        <v>1166119.1469635426</v>
      </c>
      <c r="U1424" s="2110">
        <f t="shared" si="2412"/>
        <v>1423792.9568983035</v>
      </c>
      <c r="V1424" s="2110">
        <f t="shared" si="2412"/>
        <v>1326364</v>
      </c>
      <c r="W1424" s="2110">
        <f t="shared" si="2412"/>
        <v>1459701.9303787234</v>
      </c>
      <c r="X1424" s="2110">
        <f t="shared" si="2412"/>
        <v>1469834.3832580918</v>
      </c>
      <c r="Y1424" s="2110">
        <f t="shared" si="2412"/>
        <v>1626519.3673690674</v>
      </c>
      <c r="Z1424" s="2110">
        <f t="shared" si="2412"/>
        <v>1594020.3093000001</v>
      </c>
      <c r="AA1424" s="2110">
        <f t="shared" si="2412"/>
        <v>1653495.060136005</v>
      </c>
      <c r="AB1424" s="2110">
        <f t="shared" si="2412"/>
        <v>1900406</v>
      </c>
      <c r="AC1424" s="2110">
        <f t="shared" si="2412"/>
        <v>1807537.7760207402</v>
      </c>
      <c r="AD1424" s="833">
        <f t="shared" ref="AD1424:AJ1424" si="2413">AD1425+AD1426+AD1427</f>
        <v>1166119.1469635426</v>
      </c>
      <c r="AE1424" s="833">
        <f t="shared" si="2413"/>
        <v>1459701.9303787234</v>
      </c>
      <c r="AF1424" s="833">
        <f t="shared" si="2413"/>
        <v>1594020.3093000001</v>
      </c>
      <c r="AG1424" s="833">
        <f t="shared" si="2413"/>
        <v>1807537.7760207402</v>
      </c>
      <c r="AH1424" s="833">
        <f t="shared" si="2413"/>
        <v>1459701.9303787234</v>
      </c>
      <c r="AI1424" s="833">
        <f t="shared" si="2413"/>
        <v>1807537.7760207402</v>
      </c>
      <c r="AJ1424" s="833">
        <f t="shared" si="2413"/>
        <v>1807537.7760207402</v>
      </c>
    </row>
    <row r="1425" spans="1:36" ht="14.5">
      <c r="A1425" s="990">
        <v>1</v>
      </c>
      <c r="B1425" s="990">
        <v>1</v>
      </c>
      <c r="C1425" s="990" t="s">
        <v>863</v>
      </c>
      <c r="D1425" s="1121" t="s">
        <v>887</v>
      </c>
      <c r="E1425" s="1611" t="s">
        <v>460</v>
      </c>
      <c r="F1425" s="1610"/>
      <c r="G1425" s="9"/>
      <c r="H1425" s="5"/>
      <c r="I1425" s="30"/>
      <c r="J1425" s="4" t="s">
        <v>1309</v>
      </c>
      <c r="K1425" s="4"/>
      <c r="L1425" s="4"/>
      <c r="M1425" s="5"/>
      <c r="N1425" s="4"/>
      <c r="O1425" s="4"/>
      <c r="P1425" s="4"/>
      <c r="Q1425" s="1915" t="str">
        <f>CHOOSE(2, "6722000004343", "Inventories (0) TIS Purchased from KM group")</f>
        <v>Inventories (0) TIS Purchased from KM group</v>
      </c>
      <c r="R1425" s="2111">
        <f t="shared" ref="R1425:AC1425" si="2414">R1429+R1442+R1432+R1435+R1439+R1445+R1448+R1449</f>
        <v>922410.0072930943</v>
      </c>
      <c r="S1425" s="2111">
        <f t="shared" si="2414"/>
        <v>1066791.1900828776</v>
      </c>
      <c r="T1425" s="2111">
        <f t="shared" si="2414"/>
        <v>1073658.5355435426</v>
      </c>
      <c r="U1425" s="2111">
        <f t="shared" si="2414"/>
        <v>1319598.5068683035</v>
      </c>
      <c r="V1425" s="2111">
        <f t="shared" si="2414"/>
        <v>1229766</v>
      </c>
      <c r="W1425" s="2111">
        <f t="shared" si="2414"/>
        <v>1382701.3772287234</v>
      </c>
      <c r="X1425" s="2111">
        <f t="shared" si="2414"/>
        <v>1390649.6760780916</v>
      </c>
      <c r="Y1425" s="2111">
        <f t="shared" si="2414"/>
        <v>1580210.2130390673</v>
      </c>
      <c r="Z1425" s="2111">
        <f t="shared" si="2414"/>
        <v>1548001</v>
      </c>
      <c r="AA1425" s="2111">
        <f t="shared" si="2414"/>
        <v>1611601.8306660051</v>
      </c>
      <c r="AB1425" s="2107">
        <f t="shared" si="2414"/>
        <v>1859090.3840899998</v>
      </c>
      <c r="AC1425" s="2107">
        <f t="shared" si="2414"/>
        <v>1752599.4376707401</v>
      </c>
      <c r="AD1425" s="782">
        <f t="shared" ref="AD1425:AJ1425" si="2415">AD1429+AD1442+AD1432+AD1435+AD1439+AD1445+AD1448+AD1449</f>
        <v>1073658.5355435426</v>
      </c>
      <c r="AE1425" s="782">
        <f t="shared" si="2415"/>
        <v>1382701.3772287234</v>
      </c>
      <c r="AF1425" s="782">
        <f t="shared" si="2415"/>
        <v>1548001</v>
      </c>
      <c r="AG1425" s="782">
        <f t="shared" si="2415"/>
        <v>1752599.4376707401</v>
      </c>
      <c r="AH1425" s="782">
        <f t="shared" si="2415"/>
        <v>1382701.3772287234</v>
      </c>
      <c r="AI1425" s="782">
        <f t="shared" si="2415"/>
        <v>1752599.4376707401</v>
      </c>
      <c r="AJ1425" s="782">
        <f t="shared" si="2415"/>
        <v>1752599.4376707401</v>
      </c>
    </row>
    <row r="1426" spans="1:36" ht="14.5">
      <c r="A1426" s="990">
        <v>1</v>
      </c>
      <c r="B1426" s="990">
        <v>1</v>
      </c>
      <c r="C1426" s="990" t="s">
        <v>863</v>
      </c>
      <c r="D1426" s="1121" t="s">
        <v>887</v>
      </c>
      <c r="E1426" s="1611" t="s">
        <v>460</v>
      </c>
      <c r="F1426" s="1610"/>
      <c r="G1426" s="9"/>
      <c r="H1426" s="9"/>
      <c r="I1426" s="30"/>
      <c r="J1426" s="4" t="s">
        <v>1118</v>
      </c>
      <c r="K1426" s="4"/>
      <c r="L1426" s="4"/>
      <c r="M1426" s="5"/>
      <c r="N1426" s="4"/>
      <c r="O1426" s="4"/>
      <c r="P1426" s="4"/>
      <c r="Q1426" s="1915" t="str">
        <f>CHOOSE(2, "6722000004344", "Inventories (0) TIS Purchased from MGI (BT-Gr)")</f>
        <v>Inventories (0) TIS Purchased from MGI (BT-Gr)</v>
      </c>
      <c r="R1426" s="2112">
        <f t="shared" ref="R1426:AC1426" si="2416">R1436</f>
        <v>14131</v>
      </c>
      <c r="S1426" s="2112">
        <f t="shared" si="2416"/>
        <v>18188</v>
      </c>
      <c r="T1426" s="2112">
        <f t="shared" si="2416"/>
        <v>15879</v>
      </c>
      <c r="U1426" s="2112">
        <f t="shared" si="2416"/>
        <v>20626</v>
      </c>
      <c r="V1426" s="2112">
        <f t="shared" si="2416"/>
        <v>22247</v>
      </c>
      <c r="W1426" s="2112">
        <f t="shared" si="2416"/>
        <v>22395</v>
      </c>
      <c r="X1426" s="2112">
        <f t="shared" si="2416"/>
        <v>21938.57761</v>
      </c>
      <c r="Y1426" s="2112">
        <f t="shared" si="2416"/>
        <v>18211</v>
      </c>
      <c r="Z1426" s="2112">
        <f t="shared" si="2416"/>
        <v>20238.521679999998</v>
      </c>
      <c r="AA1426" s="2112">
        <f t="shared" si="2416"/>
        <v>18741.294670000003</v>
      </c>
      <c r="AB1426" s="782">
        <f t="shared" si="2416"/>
        <v>17607.8033</v>
      </c>
      <c r="AC1426" s="782">
        <f t="shared" si="2416"/>
        <v>21659.121199999998</v>
      </c>
      <c r="AD1426" s="782">
        <f t="shared" ref="AD1426:AJ1426" si="2417">AD1436</f>
        <v>15879</v>
      </c>
      <c r="AE1426" s="782">
        <f t="shared" si="2417"/>
        <v>22395</v>
      </c>
      <c r="AF1426" s="782">
        <f t="shared" si="2417"/>
        <v>20238.521679999998</v>
      </c>
      <c r="AG1426" s="782">
        <f t="shared" si="2417"/>
        <v>21659.121199999998</v>
      </c>
      <c r="AH1426" s="782">
        <f t="shared" si="2417"/>
        <v>22395</v>
      </c>
      <c r="AI1426" s="782">
        <f t="shared" si="2417"/>
        <v>21659.121199999998</v>
      </c>
      <c r="AJ1426" s="782">
        <f t="shared" si="2417"/>
        <v>21659.121199999998</v>
      </c>
    </row>
    <row r="1427" spans="1:36" ht="14.5">
      <c r="A1427" s="990">
        <v>1</v>
      </c>
      <c r="B1427" s="990">
        <v>1</v>
      </c>
      <c r="C1427" s="990" t="s">
        <v>863</v>
      </c>
      <c r="D1427" s="1121" t="s">
        <v>887</v>
      </c>
      <c r="E1427" s="1611" t="s">
        <v>460</v>
      </c>
      <c r="F1427" s="1610"/>
      <c r="G1427" s="9"/>
      <c r="H1427" s="5"/>
      <c r="I1427" s="28"/>
      <c r="J1427" s="4" t="s">
        <v>146</v>
      </c>
      <c r="K1427" s="4"/>
      <c r="L1427" s="4"/>
      <c r="M1427" s="5"/>
      <c r="N1427" s="4"/>
      <c r="O1427" s="4"/>
      <c r="P1427" s="4"/>
      <c r="Q1427" s="1915" t="str">
        <f>CHOOSE(2, "6722000004345", "Inventories (0) TIS 3rd Party")</f>
        <v>Inventories (0) TIS 3rd Party</v>
      </c>
      <c r="R1427" s="2113">
        <f t="shared" ref="R1427:AC1427" si="2418">R1430+R1443+R1433+R1437+R1440+R1446+R1450</f>
        <v>40980.434829999998</v>
      </c>
      <c r="S1427" s="2113">
        <f t="shared" si="2418"/>
        <v>72767.217250000045</v>
      </c>
      <c r="T1427" s="2113">
        <f t="shared" si="2418"/>
        <v>76581.611420000074</v>
      </c>
      <c r="U1427" s="2113">
        <f t="shared" si="2418"/>
        <v>83568.450030000051</v>
      </c>
      <c r="V1427" s="2113">
        <f t="shared" si="2418"/>
        <v>74351</v>
      </c>
      <c r="W1427" s="2113">
        <f t="shared" si="2418"/>
        <v>54605.553150000051</v>
      </c>
      <c r="X1427" s="2113">
        <f t="shared" si="2418"/>
        <v>57246.129570000048</v>
      </c>
      <c r="Y1427" s="2113">
        <f t="shared" si="2418"/>
        <v>28098.154330000027</v>
      </c>
      <c r="Z1427" s="2113">
        <f t="shared" si="2418"/>
        <v>25780.787620000025</v>
      </c>
      <c r="AA1427" s="2113">
        <f t="shared" si="2418"/>
        <v>23151.934800000035</v>
      </c>
      <c r="AB1427" s="2108">
        <f t="shared" si="2418"/>
        <v>23707.812610000037</v>
      </c>
      <c r="AC1427" s="2108">
        <f t="shared" si="2418"/>
        <v>33279.21715000004</v>
      </c>
      <c r="AD1427" s="782">
        <f t="shared" ref="AD1427:AJ1427" si="2419">AD1430+AD1443+AD1433+AD1437+AD1440</f>
        <v>76581.611420000074</v>
      </c>
      <c r="AE1427" s="782">
        <f t="shared" si="2419"/>
        <v>54605.553150000051</v>
      </c>
      <c r="AF1427" s="782">
        <f t="shared" si="2419"/>
        <v>25780.787620000025</v>
      </c>
      <c r="AG1427" s="782">
        <f t="shared" si="2419"/>
        <v>33279.21715000004</v>
      </c>
      <c r="AH1427" s="782">
        <f t="shared" si="2419"/>
        <v>54605.553150000051</v>
      </c>
      <c r="AI1427" s="782">
        <f t="shared" si="2419"/>
        <v>33279.21715000004</v>
      </c>
      <c r="AJ1427" s="782">
        <f t="shared" si="2419"/>
        <v>33279.21715000004</v>
      </c>
    </row>
    <row r="1428" spans="1:36" ht="14.5">
      <c r="A1428" s="990">
        <v>1</v>
      </c>
      <c r="B1428" s="990">
        <v>1</v>
      </c>
      <c r="C1428" s="990" t="s">
        <v>863</v>
      </c>
      <c r="D1428" s="1121" t="s">
        <v>887</v>
      </c>
      <c r="E1428" s="1611" t="s">
        <v>460</v>
      </c>
      <c r="F1428" s="1610"/>
      <c r="G1428" s="9"/>
      <c r="H1428" s="5"/>
      <c r="I1428" s="613" t="s">
        <v>98</v>
      </c>
      <c r="J1428" s="798"/>
      <c r="K1428" s="798"/>
      <c r="L1428" s="798"/>
      <c r="M1428" s="1116"/>
      <c r="N1428" s="798"/>
      <c r="O1428" s="798"/>
      <c r="P1428" s="798"/>
      <c r="Q1428" s="1916" t="str">
        <f>CHOOSE(2, "6722000004346", "Inventories (1) Office")</f>
        <v>Inventories (1) Office</v>
      </c>
      <c r="R1428" s="2251">
        <f t="shared" ref="R1428:AC1428" si="2420">SUM(R1429:R1430)</f>
        <v>216570</v>
      </c>
      <c r="S1428" s="2251">
        <f t="shared" si="2420"/>
        <v>246006</v>
      </c>
      <c r="T1428" s="2251">
        <f t="shared" si="2420"/>
        <v>253403</v>
      </c>
      <c r="U1428" s="2251">
        <f t="shared" si="2420"/>
        <v>355360</v>
      </c>
      <c r="V1428" s="2251">
        <f t="shared" si="2420"/>
        <v>337162</v>
      </c>
      <c r="W1428" s="2251">
        <f t="shared" si="2420"/>
        <v>384687</v>
      </c>
      <c r="X1428" s="2251">
        <f t="shared" si="2420"/>
        <v>358623.00989188929</v>
      </c>
      <c r="Y1428" s="2251">
        <f t="shared" si="2420"/>
        <v>431745</v>
      </c>
      <c r="Z1428" s="2251">
        <f t="shared" si="2420"/>
        <v>409311</v>
      </c>
      <c r="AA1428" s="2251">
        <f t="shared" si="2420"/>
        <v>479339</v>
      </c>
      <c r="AB1428" s="2251">
        <f t="shared" si="2420"/>
        <v>587597.64107224962</v>
      </c>
      <c r="AC1428" s="2251">
        <f t="shared" si="2420"/>
        <v>586352.85967000003</v>
      </c>
      <c r="AD1428" s="1612">
        <f t="shared" ref="AD1428:AJ1428" si="2421">SUM(AD1429:AD1430)</f>
        <v>253403</v>
      </c>
      <c r="AE1428" s="1612">
        <f t="shared" si="2421"/>
        <v>384687</v>
      </c>
      <c r="AF1428" s="1612">
        <f t="shared" si="2421"/>
        <v>409311</v>
      </c>
      <c r="AG1428" s="1612">
        <f t="shared" si="2421"/>
        <v>586352.85967000003</v>
      </c>
      <c r="AH1428" s="1612">
        <f t="shared" si="2421"/>
        <v>384687</v>
      </c>
      <c r="AI1428" s="1612">
        <f t="shared" si="2421"/>
        <v>586352.85967000003</v>
      </c>
      <c r="AJ1428" s="1612">
        <f t="shared" si="2421"/>
        <v>586352.85967000003</v>
      </c>
    </row>
    <row r="1429" spans="1:36" ht="14.5">
      <c r="A1429" s="990">
        <v>1</v>
      </c>
      <c r="B1429" s="990">
        <v>1</v>
      </c>
      <c r="C1429" s="990" t="s">
        <v>863</v>
      </c>
      <c r="D1429" s="1121" t="s">
        <v>887</v>
      </c>
      <c r="E1429" s="1611" t="s">
        <v>460</v>
      </c>
      <c r="F1429" s="1610"/>
      <c r="G1429" s="9"/>
      <c r="H1429" s="5"/>
      <c r="I1429" s="613"/>
      <c r="J1429" s="4" t="s">
        <v>988</v>
      </c>
      <c r="K1429" s="4"/>
      <c r="L1429" s="4"/>
      <c r="M1429" s="5"/>
      <c r="N1429" s="4"/>
      <c r="O1429" s="4"/>
      <c r="P1429" s="4"/>
      <c r="Q1429" s="1916" t="str">
        <f>CHOOSE(2, "6722000004347", "Inventories (1) Office Purchased from BT cons. companies")</f>
        <v>Inventories (1) Office Purchased from BT cons. companies</v>
      </c>
      <c r="R1429" s="1375">
        <f t="shared" ref="R1429:AC1430" si="2422">R1067</f>
        <v>214437</v>
      </c>
      <c r="S1429" s="1375">
        <f t="shared" si="2422"/>
        <v>243760</v>
      </c>
      <c r="T1429" s="1375">
        <f t="shared" si="2422"/>
        <v>251175</v>
      </c>
      <c r="U1429" s="1375">
        <f t="shared" si="2422"/>
        <v>350102</v>
      </c>
      <c r="V1429" s="1375">
        <f t="shared" si="2422"/>
        <v>332502</v>
      </c>
      <c r="W1429" s="1375">
        <f t="shared" si="2422"/>
        <v>380405</v>
      </c>
      <c r="X1429" s="1375">
        <f t="shared" si="2422"/>
        <v>353496.00989188929</v>
      </c>
      <c r="Y1429" s="1375">
        <f t="shared" si="2422"/>
        <v>427338</v>
      </c>
      <c r="Z1429" s="1375">
        <f t="shared" si="2422"/>
        <v>405737</v>
      </c>
      <c r="AA1429" s="1375">
        <f t="shared" si="2422"/>
        <v>475891</v>
      </c>
      <c r="AB1429" s="1375">
        <f t="shared" si="2422"/>
        <v>582284.04480224964</v>
      </c>
      <c r="AC1429" s="1375">
        <f t="shared" si="2422"/>
        <v>575224</v>
      </c>
      <c r="AD1429" s="1375">
        <f>T1429</f>
        <v>251175</v>
      </c>
      <c r="AE1429" s="1375">
        <f>W1429</f>
        <v>380405</v>
      </c>
      <c r="AF1429" s="1375">
        <f>Z1429</f>
        <v>405737</v>
      </c>
      <c r="AG1429" s="1375">
        <f>AC1429</f>
        <v>575224</v>
      </c>
      <c r="AH1429" s="1375">
        <f>AE1429</f>
        <v>380405</v>
      </c>
      <c r="AI1429" s="1375">
        <f>AG1429</f>
        <v>575224</v>
      </c>
      <c r="AJ1429" s="1375">
        <f>AI1429</f>
        <v>575224</v>
      </c>
    </row>
    <row r="1430" spans="1:36" ht="14.5">
      <c r="A1430" s="990">
        <v>1</v>
      </c>
      <c r="B1430" s="990">
        <v>1</v>
      </c>
      <c r="C1430" s="990" t="s">
        <v>863</v>
      </c>
      <c r="D1430" s="1121" t="s">
        <v>887</v>
      </c>
      <c r="E1430" s="1611" t="s">
        <v>460</v>
      </c>
      <c r="F1430" s="1610"/>
      <c r="G1430" s="9"/>
      <c r="H1430" s="5"/>
      <c r="I1430" s="1398"/>
      <c r="J1430" s="4" t="s">
        <v>146</v>
      </c>
      <c r="K1430" s="4"/>
      <c r="L1430" s="4"/>
      <c r="M1430" s="5"/>
      <c r="N1430" s="4"/>
      <c r="O1430" s="4"/>
      <c r="P1430" s="4"/>
      <c r="Q1430" s="1916" t="str">
        <f>CHOOSE(2, "6722000004348", "Inventories (1) Office 3rd Party")</f>
        <v>Inventories (1) Office 3rd Party</v>
      </c>
      <c r="R1430" s="1375">
        <f t="shared" si="2422"/>
        <v>2133</v>
      </c>
      <c r="S1430" s="1375">
        <f t="shared" si="2422"/>
        <v>2246</v>
      </c>
      <c r="T1430" s="1375">
        <f t="shared" si="2422"/>
        <v>2228</v>
      </c>
      <c r="U1430" s="1375">
        <f t="shared" si="2422"/>
        <v>5258</v>
      </c>
      <c r="V1430" s="1375">
        <f t="shared" si="2422"/>
        <v>4660</v>
      </c>
      <c r="W1430" s="1375">
        <f t="shared" si="2422"/>
        <v>4282</v>
      </c>
      <c r="X1430" s="1375">
        <f t="shared" si="2422"/>
        <v>5127</v>
      </c>
      <c r="Y1430" s="1375">
        <f t="shared" si="2422"/>
        <v>4407</v>
      </c>
      <c r="Z1430" s="1375">
        <f t="shared" si="2422"/>
        <v>3574</v>
      </c>
      <c r="AA1430" s="1375">
        <f t="shared" si="2422"/>
        <v>3448</v>
      </c>
      <c r="AB1430" s="1375">
        <f t="shared" si="2422"/>
        <v>5313.5962700000055</v>
      </c>
      <c r="AC1430" s="1375">
        <f t="shared" si="2422"/>
        <v>11128.859670000002</v>
      </c>
      <c r="AD1430" s="1375">
        <f>T1430</f>
        <v>2228</v>
      </c>
      <c r="AE1430" s="1375">
        <f>W1430</f>
        <v>4282</v>
      </c>
      <c r="AF1430" s="1375">
        <f>Z1430</f>
        <v>3574</v>
      </c>
      <c r="AG1430" s="1375">
        <f>AC1430</f>
        <v>11128.859670000002</v>
      </c>
      <c r="AH1430" s="1375">
        <f>AE1430</f>
        <v>4282</v>
      </c>
      <c r="AI1430" s="1375">
        <f>AG1430</f>
        <v>11128.859670000002</v>
      </c>
      <c r="AJ1430" s="1375">
        <f>AI1430</f>
        <v>11128.859670000002</v>
      </c>
    </row>
    <row r="1431" spans="1:36" ht="14.5">
      <c r="A1431" s="990">
        <v>1</v>
      </c>
      <c r="B1431" s="990">
        <v>1</v>
      </c>
      <c r="C1431" s="990" t="s">
        <v>863</v>
      </c>
      <c r="D1431" s="1121" t="s">
        <v>887</v>
      </c>
      <c r="E1431" s="1611" t="s">
        <v>460</v>
      </c>
      <c r="F1431" s="1610"/>
      <c r="G1431" s="9"/>
      <c r="H1431" s="5"/>
      <c r="I1431" s="613" t="s">
        <v>481</v>
      </c>
      <c r="J1431" s="798"/>
      <c r="K1431" s="798"/>
      <c r="L1431" s="798"/>
      <c r="M1431" s="1116"/>
      <c r="N1431" s="798"/>
      <c r="O1431" s="798"/>
      <c r="P1431" s="798"/>
      <c r="Q1431" s="1916" t="str">
        <f>CHOOSE(2, "6722000004349", "Inventories (2) PP")</f>
        <v>Inventories (2) PP</v>
      </c>
      <c r="R1431" s="2251">
        <f t="shared" ref="R1431:AC1431" si="2423">SUM(R1432:R1433)</f>
        <v>711417.44212309434</v>
      </c>
      <c r="S1431" s="2251">
        <f t="shared" si="2423"/>
        <v>843713.61815188744</v>
      </c>
      <c r="T1431" s="2251">
        <f t="shared" si="2423"/>
        <v>840783.29475354264</v>
      </c>
      <c r="U1431" s="2251">
        <f t="shared" si="2423"/>
        <v>986395.95689830359</v>
      </c>
      <c r="V1431" s="2251">
        <f t="shared" si="2423"/>
        <v>915550</v>
      </c>
      <c r="W1431" s="2251">
        <f t="shared" si="2423"/>
        <v>998566.93037872354</v>
      </c>
      <c r="X1431" s="2251">
        <f t="shared" si="2423"/>
        <v>1025900.7996262023</v>
      </c>
      <c r="Y1431" s="2251">
        <f t="shared" si="2423"/>
        <v>1117019.3673690674</v>
      </c>
      <c r="Z1431" s="2251">
        <f t="shared" si="2423"/>
        <v>1104374.1585200001</v>
      </c>
      <c r="AA1431" s="2251">
        <f t="shared" si="2423"/>
        <v>1088677.3579382203</v>
      </c>
      <c r="AB1431" s="2251">
        <f t="shared" si="2423"/>
        <v>1160828.024790497</v>
      </c>
      <c r="AC1431" s="2251">
        <f t="shared" si="2423"/>
        <v>1100482.1667938512</v>
      </c>
      <c r="AD1431" s="1612">
        <f t="shared" ref="AD1431:AJ1431" si="2424">SUM(AD1432:AD1433)</f>
        <v>840783.29475354264</v>
      </c>
      <c r="AE1431" s="1612">
        <f t="shared" si="2424"/>
        <v>998566.93037872354</v>
      </c>
      <c r="AF1431" s="1612">
        <f t="shared" si="2424"/>
        <v>1104374.1585200001</v>
      </c>
      <c r="AG1431" s="1612">
        <f t="shared" si="2424"/>
        <v>1100482.1667938512</v>
      </c>
      <c r="AH1431" s="1612">
        <f t="shared" si="2424"/>
        <v>998566.93037872354</v>
      </c>
      <c r="AI1431" s="1612">
        <f t="shared" si="2424"/>
        <v>1100482.1667938512</v>
      </c>
      <c r="AJ1431" s="1612">
        <f t="shared" si="2424"/>
        <v>1100482.1667938512</v>
      </c>
    </row>
    <row r="1432" spans="1:36" ht="14.5">
      <c r="A1432" s="990">
        <v>1</v>
      </c>
      <c r="B1432" s="990">
        <v>1</v>
      </c>
      <c r="C1432" s="990" t="s">
        <v>863</v>
      </c>
      <c r="D1432" s="1121" t="s">
        <v>887</v>
      </c>
      <c r="E1432" s="1611" t="s">
        <v>460</v>
      </c>
      <c r="F1432" s="1610"/>
      <c r="G1432" s="9"/>
      <c r="H1432" s="5"/>
      <c r="I1432" s="613"/>
      <c r="J1432" s="4" t="s">
        <v>988</v>
      </c>
      <c r="K1432" s="4"/>
      <c r="L1432" s="4"/>
      <c r="M1432" s="5"/>
      <c r="N1432" s="4"/>
      <c r="O1432" s="4"/>
      <c r="P1432" s="4"/>
      <c r="Q1432" s="1916" t="str">
        <f>CHOOSE(2, "6722000004350", "Inventories (2) PP Purchased from BT cons. companies")</f>
        <v>Inventories (2) PP Purchased from BT cons. companies</v>
      </c>
      <c r="R1432" s="1375">
        <f t="shared" ref="R1432:AC1433" si="2425">R1070</f>
        <v>680613.0072930943</v>
      </c>
      <c r="S1432" s="1375">
        <f t="shared" si="2425"/>
        <v>783863.16616188735</v>
      </c>
      <c r="T1432" s="1375">
        <f t="shared" si="2425"/>
        <v>774370.53554354259</v>
      </c>
      <c r="U1432" s="1375">
        <f t="shared" si="2425"/>
        <v>917600.50686830352</v>
      </c>
      <c r="V1432" s="1375">
        <f t="shared" si="2425"/>
        <v>855220</v>
      </c>
      <c r="W1432" s="1375">
        <f t="shared" si="2425"/>
        <v>952471.37722872349</v>
      </c>
      <c r="X1432" s="1375">
        <f t="shared" si="2425"/>
        <v>983683.66618620232</v>
      </c>
      <c r="Y1432" s="1375">
        <f t="shared" si="2425"/>
        <v>1102388.2130390673</v>
      </c>
      <c r="Z1432" s="1375">
        <f t="shared" si="2425"/>
        <v>1090795</v>
      </c>
      <c r="AA1432" s="1375">
        <f t="shared" si="2425"/>
        <v>1076297.3190482203</v>
      </c>
      <c r="AB1432" s="1375">
        <f t="shared" si="2425"/>
        <v>1150361.513350497</v>
      </c>
      <c r="AC1432" s="1375">
        <f t="shared" si="2425"/>
        <v>1090209.2609738512</v>
      </c>
      <c r="AD1432" s="1375">
        <f>T1432</f>
        <v>774370.53554354259</v>
      </c>
      <c r="AE1432" s="1375">
        <f>W1432</f>
        <v>952471.37722872349</v>
      </c>
      <c r="AF1432" s="1375">
        <f>Z1432</f>
        <v>1090795</v>
      </c>
      <c r="AG1432" s="1375">
        <f>AC1432</f>
        <v>1090209.2609738512</v>
      </c>
      <c r="AH1432" s="1375">
        <f>AE1432</f>
        <v>952471.37722872349</v>
      </c>
      <c r="AI1432" s="1375">
        <f>AG1432</f>
        <v>1090209.2609738512</v>
      </c>
      <c r="AJ1432" s="1375">
        <f>AI1432</f>
        <v>1090209.2609738512</v>
      </c>
    </row>
    <row r="1433" spans="1:36" ht="14.5">
      <c r="A1433" s="990">
        <v>1</v>
      </c>
      <c r="B1433" s="990">
        <v>1</v>
      </c>
      <c r="C1433" s="990" t="s">
        <v>863</v>
      </c>
      <c r="D1433" s="1121" t="s">
        <v>887</v>
      </c>
      <c r="E1433" s="1611" t="s">
        <v>460</v>
      </c>
      <c r="F1433" s="1610"/>
      <c r="G1433" s="9"/>
      <c r="H1433" s="5"/>
      <c r="I1433" s="1398"/>
      <c r="J1433" s="4" t="s">
        <v>146</v>
      </c>
      <c r="K1433" s="4"/>
      <c r="L1433" s="4"/>
      <c r="M1433" s="5"/>
      <c r="N1433" s="4"/>
      <c r="O1433" s="4"/>
      <c r="P1433" s="4"/>
      <c r="Q1433" s="1916" t="str">
        <f>CHOOSE(2, "6722000004351", "Inventories (2) PP 3rd Party")</f>
        <v>Inventories (2) PP 3rd Party</v>
      </c>
      <c r="R1433" s="1375">
        <f t="shared" si="2425"/>
        <v>30804.434830000002</v>
      </c>
      <c r="S1433" s="1375">
        <f t="shared" si="2425"/>
        <v>59850.451990000038</v>
      </c>
      <c r="T1433" s="1375">
        <f t="shared" si="2425"/>
        <v>66412.759210000047</v>
      </c>
      <c r="U1433" s="1375">
        <f t="shared" si="2425"/>
        <v>68795.450030000051</v>
      </c>
      <c r="V1433" s="1375">
        <f t="shared" si="2425"/>
        <v>60330</v>
      </c>
      <c r="W1433" s="1375">
        <f t="shared" si="2425"/>
        <v>46095.553150000051</v>
      </c>
      <c r="X1433" s="1375">
        <f t="shared" si="2425"/>
        <v>42217.133440000063</v>
      </c>
      <c r="Y1433" s="1375">
        <f t="shared" si="2425"/>
        <v>14631.154330000025</v>
      </c>
      <c r="Z1433" s="1375">
        <f t="shared" si="2425"/>
        <v>13579.158520000008</v>
      </c>
      <c r="AA1433" s="1375">
        <f t="shared" si="2425"/>
        <v>12380.038890000023</v>
      </c>
      <c r="AB1433" s="1375">
        <f t="shared" si="2425"/>
        <v>10466.511440000017</v>
      </c>
      <c r="AC1433" s="1375">
        <f t="shared" si="2425"/>
        <v>10272.905820000015</v>
      </c>
      <c r="AD1433" s="1375">
        <f>T1433</f>
        <v>66412.759210000047</v>
      </c>
      <c r="AE1433" s="1375">
        <f>W1433</f>
        <v>46095.553150000051</v>
      </c>
      <c r="AF1433" s="1375">
        <f>Z1433</f>
        <v>13579.158520000008</v>
      </c>
      <c r="AG1433" s="1375">
        <f>AC1433</f>
        <v>10272.905820000015</v>
      </c>
      <c r="AH1433" s="1375">
        <f>AE1433</f>
        <v>46095.553150000051</v>
      </c>
      <c r="AI1433" s="1375">
        <f>AG1433</f>
        <v>10272.905820000015</v>
      </c>
      <c r="AJ1433" s="1375">
        <f>AI1433</f>
        <v>10272.905820000015</v>
      </c>
    </row>
    <row r="1434" spans="1:36" ht="14.5">
      <c r="A1434" s="990">
        <v>1</v>
      </c>
      <c r="B1434" s="990">
        <v>1</v>
      </c>
      <c r="C1434" s="990" t="s">
        <v>863</v>
      </c>
      <c r="D1434" s="1121" t="s">
        <v>887</v>
      </c>
      <c r="E1434" s="1611" t="s">
        <v>460</v>
      </c>
      <c r="F1434" s="1610"/>
      <c r="G1434" s="9"/>
      <c r="H1434" s="5"/>
      <c r="I1434" s="764" t="s">
        <v>482</v>
      </c>
      <c r="J1434" s="798"/>
      <c r="K1434" s="798"/>
      <c r="L1434" s="798"/>
      <c r="M1434" s="1116"/>
      <c r="N1434" s="798"/>
      <c r="O1434" s="798"/>
      <c r="P1434" s="798"/>
      <c r="Q1434" s="1916" t="str">
        <f>CHOOSE(2, "6722000004352", "Inventories (3) IP")</f>
        <v>Inventories (3) IP</v>
      </c>
      <c r="R1434" s="2251">
        <f t="shared" ref="R1434:AC1434" si="2426">SUM(R1435:R1437)</f>
        <v>38764</v>
      </c>
      <c r="S1434" s="2251">
        <f t="shared" si="2426"/>
        <v>58038</v>
      </c>
      <c r="T1434" s="2251">
        <f t="shared" si="2426"/>
        <v>62141.852210000026</v>
      </c>
      <c r="U1434" s="2251">
        <f t="shared" si="2426"/>
        <v>70620</v>
      </c>
      <c r="V1434" s="2251">
        <f t="shared" si="2426"/>
        <v>62910</v>
      </c>
      <c r="W1434" s="2251">
        <f t="shared" si="2426"/>
        <v>64868</v>
      </c>
      <c r="X1434" s="2251">
        <f t="shared" si="2426"/>
        <v>73506.573739999993</v>
      </c>
      <c r="Y1434" s="2251">
        <f t="shared" si="2426"/>
        <v>67043</v>
      </c>
      <c r="Z1434" s="2251">
        <f t="shared" si="2426"/>
        <v>70024.150780000011</v>
      </c>
      <c r="AA1434" s="2251">
        <f t="shared" si="2426"/>
        <v>73665.861800000013</v>
      </c>
      <c r="AB1434" s="2251">
        <f t="shared" si="2426"/>
        <v>139148.15546332579</v>
      </c>
      <c r="AC1434" s="2251">
        <f t="shared" si="2426"/>
        <v>105994.45755000002</v>
      </c>
      <c r="AD1434" s="1612">
        <f t="shared" ref="AD1434:AJ1434" si="2427">SUM(AD1435:AD1437)</f>
        <v>62141.852210000026</v>
      </c>
      <c r="AE1434" s="1612">
        <f t="shared" si="2427"/>
        <v>64868</v>
      </c>
      <c r="AF1434" s="1612">
        <f t="shared" si="2427"/>
        <v>70024.150780000011</v>
      </c>
      <c r="AG1434" s="1612">
        <f t="shared" si="2427"/>
        <v>105994.45755000002</v>
      </c>
      <c r="AH1434" s="1612">
        <f t="shared" si="2427"/>
        <v>64868</v>
      </c>
      <c r="AI1434" s="1612">
        <f t="shared" si="2427"/>
        <v>105994.45755000002</v>
      </c>
      <c r="AJ1434" s="1612">
        <f t="shared" si="2427"/>
        <v>105994.45755000002</v>
      </c>
    </row>
    <row r="1435" spans="1:36" ht="14.5">
      <c r="A1435" s="990">
        <v>1</v>
      </c>
      <c r="B1435" s="990">
        <v>1</v>
      </c>
      <c r="C1435" s="990" t="s">
        <v>863</v>
      </c>
      <c r="D1435" s="1121" t="s">
        <v>887</v>
      </c>
      <c r="E1435" s="1611" t="s">
        <v>460</v>
      </c>
      <c r="F1435" s="1610"/>
      <c r="G1435" s="9"/>
      <c r="H1435" s="5"/>
      <c r="I1435" s="613"/>
      <c r="J1435" s="4" t="s">
        <v>1117</v>
      </c>
      <c r="K1435" s="4"/>
      <c r="L1435" s="4"/>
      <c r="M1435" s="5"/>
      <c r="N1435" s="4"/>
      <c r="O1435" s="4"/>
      <c r="P1435" s="4"/>
      <c r="Q1435" s="1916" t="str">
        <f>CHOOSE(2, "6722000004353", "Inventories (3) IP Purchased from BT cons. Companies")</f>
        <v>Inventories (3) IP Purchased from BT cons. Companies</v>
      </c>
      <c r="R1435" s="1375">
        <f t="shared" ref="R1435:AC1437" si="2428">R1073</f>
        <v>17212</v>
      </c>
      <c r="S1435" s="1375">
        <f t="shared" si="2428"/>
        <v>29855</v>
      </c>
      <c r="T1435" s="1375">
        <f t="shared" si="2428"/>
        <v>38885</v>
      </c>
      <c r="U1435" s="1375">
        <f t="shared" si="2428"/>
        <v>42651</v>
      </c>
      <c r="V1435" s="1375">
        <f t="shared" si="2428"/>
        <v>33358</v>
      </c>
      <c r="W1435" s="1375">
        <f t="shared" si="2428"/>
        <v>40406</v>
      </c>
      <c r="X1435" s="1375">
        <f t="shared" si="2428"/>
        <v>44062</v>
      </c>
      <c r="Y1435" s="1375">
        <f t="shared" si="2428"/>
        <v>41013</v>
      </c>
      <c r="Z1435" s="1375">
        <f t="shared" si="2428"/>
        <v>41728</v>
      </c>
      <c r="AA1435" s="1375">
        <f t="shared" si="2428"/>
        <v>48930</v>
      </c>
      <c r="AB1435" s="1375">
        <f t="shared" si="2428"/>
        <v>115180.70584332576</v>
      </c>
      <c r="AC1435" s="1375">
        <f t="shared" si="2428"/>
        <v>73505</v>
      </c>
      <c r="AD1435" s="1375">
        <f>T1435</f>
        <v>38885</v>
      </c>
      <c r="AE1435" s="1375">
        <f>W1435</f>
        <v>40406</v>
      </c>
      <c r="AF1435" s="1375">
        <f>Z1435</f>
        <v>41728</v>
      </c>
      <c r="AG1435" s="1375">
        <f>AC1435</f>
        <v>73505</v>
      </c>
      <c r="AH1435" s="1375">
        <f>AE1435</f>
        <v>40406</v>
      </c>
      <c r="AI1435" s="1375">
        <f>AG1435</f>
        <v>73505</v>
      </c>
      <c r="AJ1435" s="1375">
        <f>AI1435</f>
        <v>73505</v>
      </c>
    </row>
    <row r="1436" spans="1:36" ht="14.5">
      <c r="A1436" s="990">
        <v>1</v>
      </c>
      <c r="B1436" s="990">
        <v>1</v>
      </c>
      <c r="C1436" s="990" t="s">
        <v>863</v>
      </c>
      <c r="D1436" s="1121" t="s">
        <v>887</v>
      </c>
      <c r="E1436" s="1611" t="s">
        <v>460</v>
      </c>
      <c r="F1436" s="1610"/>
      <c r="G1436" s="9"/>
      <c r="H1436" s="9"/>
      <c r="I1436" s="613"/>
      <c r="J1436" s="4" t="s">
        <v>1118</v>
      </c>
      <c r="K1436" s="4"/>
      <c r="L1436" s="4"/>
      <c r="M1436" s="5"/>
      <c r="N1436" s="4"/>
      <c r="O1436" s="4"/>
      <c r="P1436" s="4"/>
      <c r="Q1436" s="1916" t="str">
        <f>CHOOSE(2, "6722000004354", "Inventories (3) IP Purchased from MGI (BT-Gr)")</f>
        <v>Inventories (3) IP Purchased from MGI (BT-Gr)</v>
      </c>
      <c r="R1436" s="1375">
        <f t="shared" si="2428"/>
        <v>14131</v>
      </c>
      <c r="S1436" s="1375">
        <f t="shared" si="2428"/>
        <v>18188</v>
      </c>
      <c r="T1436" s="1375">
        <f t="shared" si="2428"/>
        <v>15879</v>
      </c>
      <c r="U1436" s="1375">
        <f t="shared" si="2428"/>
        <v>20626</v>
      </c>
      <c r="V1436" s="1375">
        <f t="shared" si="2428"/>
        <v>22247</v>
      </c>
      <c r="W1436" s="1375">
        <f t="shared" si="2428"/>
        <v>22395</v>
      </c>
      <c r="X1436" s="1375">
        <f t="shared" si="2428"/>
        <v>21938.57761</v>
      </c>
      <c r="Y1436" s="1375">
        <f t="shared" si="2428"/>
        <v>18211</v>
      </c>
      <c r="Z1436" s="1375">
        <f t="shared" si="2428"/>
        <v>20238.521679999998</v>
      </c>
      <c r="AA1436" s="1375">
        <f t="shared" si="2428"/>
        <v>18741.294670000003</v>
      </c>
      <c r="AB1436" s="1375">
        <f t="shared" si="2428"/>
        <v>17607.8033</v>
      </c>
      <c r="AC1436" s="1375">
        <f t="shared" si="2428"/>
        <v>21659.121199999998</v>
      </c>
      <c r="AD1436" s="1375">
        <f>T1436</f>
        <v>15879</v>
      </c>
      <c r="AE1436" s="1375">
        <f>W1436</f>
        <v>22395</v>
      </c>
      <c r="AF1436" s="1375">
        <f>Z1436</f>
        <v>20238.521679999998</v>
      </c>
      <c r="AG1436" s="1375">
        <f>AC1436</f>
        <v>21659.121199999998</v>
      </c>
      <c r="AH1436" s="1375">
        <f>AE1436</f>
        <v>22395</v>
      </c>
      <c r="AI1436" s="1375">
        <f>AG1436</f>
        <v>21659.121199999998</v>
      </c>
      <c r="AJ1436" s="1375">
        <f>AI1436</f>
        <v>21659.121199999998</v>
      </c>
    </row>
    <row r="1437" spans="1:36" ht="14.5">
      <c r="A1437" s="990">
        <v>1</v>
      </c>
      <c r="B1437" s="990">
        <v>1</v>
      </c>
      <c r="C1437" s="990" t="s">
        <v>863</v>
      </c>
      <c r="D1437" s="1121" t="s">
        <v>887</v>
      </c>
      <c r="E1437" s="1611" t="s">
        <v>460</v>
      </c>
      <c r="F1437" s="1610"/>
      <c r="G1437" s="9"/>
      <c r="H1437" s="5"/>
      <c r="I1437" s="1398"/>
      <c r="J1437" s="2" t="s">
        <v>146</v>
      </c>
      <c r="K1437" s="2"/>
      <c r="L1437" s="2"/>
      <c r="M1437" s="3"/>
      <c r="N1437" s="2"/>
      <c r="O1437" s="2"/>
      <c r="P1437" s="2"/>
      <c r="Q1437" s="1916" t="str">
        <f>CHOOSE(2, "6722000004355", "Inventories (3) IP 3rd Party")</f>
        <v>Inventories (3) IP 3rd Party</v>
      </c>
      <c r="R1437" s="1375">
        <f t="shared" si="2428"/>
        <v>7421</v>
      </c>
      <c r="S1437" s="1375">
        <f t="shared" si="2428"/>
        <v>9995</v>
      </c>
      <c r="T1437" s="1375">
        <f t="shared" si="2428"/>
        <v>7377.8522100000228</v>
      </c>
      <c r="U1437" s="1375">
        <f t="shared" si="2428"/>
        <v>7343</v>
      </c>
      <c r="V1437" s="1375">
        <f t="shared" si="2428"/>
        <v>7305</v>
      </c>
      <c r="W1437" s="1375">
        <f t="shared" si="2428"/>
        <v>2067</v>
      </c>
      <c r="X1437" s="1375">
        <f t="shared" si="2428"/>
        <v>7505.9961299999886</v>
      </c>
      <c r="Y1437" s="1375">
        <f t="shared" si="2428"/>
        <v>7819</v>
      </c>
      <c r="Z1437" s="1375">
        <f t="shared" si="2428"/>
        <v>8057.6291000000165</v>
      </c>
      <c r="AA1437" s="1375">
        <f t="shared" si="2428"/>
        <v>5994.5671300000104</v>
      </c>
      <c r="AB1437" s="1375">
        <f t="shared" si="2428"/>
        <v>6359.6463200000144</v>
      </c>
      <c r="AC1437" s="1375">
        <f t="shared" si="2428"/>
        <v>10830.336350000023</v>
      </c>
      <c r="AD1437" s="1375">
        <f>T1437</f>
        <v>7377.8522100000228</v>
      </c>
      <c r="AE1437" s="1375">
        <f>W1437</f>
        <v>2067</v>
      </c>
      <c r="AF1437" s="1375">
        <f>Z1437</f>
        <v>8057.6291000000165</v>
      </c>
      <c r="AG1437" s="1375">
        <f>AC1437</f>
        <v>10830.336350000023</v>
      </c>
      <c r="AH1437" s="1375">
        <f>AE1437</f>
        <v>2067</v>
      </c>
      <c r="AI1437" s="1375">
        <f>AG1437</f>
        <v>10830.336350000023</v>
      </c>
      <c r="AJ1437" s="1375">
        <f>AI1437</f>
        <v>10830.336350000023</v>
      </c>
    </row>
    <row r="1438" spans="1:36" ht="14.5">
      <c r="A1438" s="990">
        <v>1</v>
      </c>
      <c r="B1438" s="990">
        <v>1</v>
      </c>
      <c r="C1438" s="990" t="s">
        <v>863</v>
      </c>
      <c r="D1438" s="1121" t="s">
        <v>887</v>
      </c>
      <c r="E1438" s="1611" t="s">
        <v>460</v>
      </c>
      <c r="F1438" s="1610"/>
      <c r="G1438" s="9"/>
      <c r="H1438" s="5"/>
      <c r="I1438" s="613" t="s">
        <v>486</v>
      </c>
      <c r="J1438" s="798"/>
      <c r="K1438" s="798"/>
      <c r="L1438" s="798"/>
      <c r="M1438" s="1116"/>
      <c r="N1438" s="798"/>
      <c r="O1438" s="798"/>
      <c r="P1438" s="798"/>
      <c r="Q1438" s="1916" t="str">
        <f>CHOOSE(2, "6722000004356", "Inventories (4) MS")</f>
        <v>Inventories (4) MS</v>
      </c>
      <c r="R1438" s="2251">
        <f t="shared" ref="R1438:AC1438" si="2429">SUM(R1439:R1440)</f>
        <v>0</v>
      </c>
      <c r="S1438" s="2251">
        <f t="shared" si="2429"/>
        <v>0</v>
      </c>
      <c r="T1438" s="2251">
        <f t="shared" si="2429"/>
        <v>0</v>
      </c>
      <c r="U1438" s="2251">
        <f t="shared" si="2429"/>
        <v>0</v>
      </c>
      <c r="V1438" s="2251">
        <f t="shared" si="2429"/>
        <v>0</v>
      </c>
      <c r="W1438" s="2251">
        <f t="shared" si="2429"/>
        <v>0</v>
      </c>
      <c r="X1438" s="2251">
        <f t="shared" si="2429"/>
        <v>0</v>
      </c>
      <c r="Y1438" s="2251">
        <f t="shared" si="2429"/>
        <v>0</v>
      </c>
      <c r="Z1438" s="2251">
        <f t="shared" si="2429"/>
        <v>0</v>
      </c>
      <c r="AA1438" s="2251">
        <f t="shared" si="2429"/>
        <v>0</v>
      </c>
      <c r="AB1438" s="2251">
        <f t="shared" si="2429"/>
        <v>0</v>
      </c>
      <c r="AC1438" s="2251">
        <f t="shared" si="2429"/>
        <v>0</v>
      </c>
      <c r="AD1438" s="1612">
        <f t="shared" ref="AD1438:AJ1438" si="2430">SUM(AD1439:AD1440)</f>
        <v>0</v>
      </c>
      <c r="AE1438" s="1612">
        <f t="shared" si="2430"/>
        <v>0</v>
      </c>
      <c r="AF1438" s="1612">
        <f t="shared" si="2430"/>
        <v>0</v>
      </c>
      <c r="AG1438" s="1612">
        <f t="shared" si="2430"/>
        <v>0</v>
      </c>
      <c r="AH1438" s="1612">
        <f t="shared" si="2430"/>
        <v>0</v>
      </c>
      <c r="AI1438" s="1612">
        <f t="shared" si="2430"/>
        <v>0</v>
      </c>
      <c r="AJ1438" s="1612">
        <f t="shared" si="2430"/>
        <v>0</v>
      </c>
    </row>
    <row r="1439" spans="1:36" ht="14.5">
      <c r="A1439" s="990">
        <v>1</v>
      </c>
      <c r="B1439" s="990">
        <v>1</v>
      </c>
      <c r="C1439" s="990" t="s">
        <v>863</v>
      </c>
      <c r="D1439" s="1121" t="s">
        <v>887</v>
      </c>
      <c r="E1439" s="1611" t="s">
        <v>460</v>
      </c>
      <c r="F1439" s="1610"/>
      <c r="G1439" s="9"/>
      <c r="H1439" s="5"/>
      <c r="I1439" s="613"/>
      <c r="J1439" s="4" t="s">
        <v>988</v>
      </c>
      <c r="K1439" s="4"/>
      <c r="L1439" s="4"/>
      <c r="M1439" s="5"/>
      <c r="N1439" s="4"/>
      <c r="O1439" s="4"/>
      <c r="P1439" s="4"/>
      <c r="Q1439" s="1916" t="str">
        <f>CHOOSE(2, "6722000004357", "Inventories (4) MS Purchased from BT cons. companies")</f>
        <v>Inventories (4) MS Purchased from BT cons. companies</v>
      </c>
      <c r="R1439" s="1375">
        <f t="shared" ref="R1439:AC1440" si="2431">R1077</f>
        <v>0</v>
      </c>
      <c r="S1439" s="1375">
        <f t="shared" si="2431"/>
        <v>0</v>
      </c>
      <c r="T1439" s="1375">
        <f t="shared" si="2431"/>
        <v>0</v>
      </c>
      <c r="U1439" s="1375">
        <f t="shared" si="2431"/>
        <v>0</v>
      </c>
      <c r="V1439" s="1375">
        <f t="shared" si="2431"/>
        <v>0</v>
      </c>
      <c r="W1439" s="1375">
        <f t="shared" si="2431"/>
        <v>0</v>
      </c>
      <c r="X1439" s="1375">
        <f t="shared" si="2431"/>
        <v>0</v>
      </c>
      <c r="Y1439" s="1375">
        <f t="shared" si="2431"/>
        <v>0</v>
      </c>
      <c r="Z1439" s="1375">
        <f t="shared" si="2431"/>
        <v>0</v>
      </c>
      <c r="AA1439" s="1375">
        <f t="shared" si="2431"/>
        <v>0</v>
      </c>
      <c r="AB1439" s="1375">
        <f t="shared" si="2431"/>
        <v>0</v>
      </c>
      <c r="AC1439" s="1375">
        <f t="shared" si="2431"/>
        <v>0</v>
      </c>
      <c r="AD1439" s="1375">
        <f>T1439</f>
        <v>0</v>
      </c>
      <c r="AE1439" s="1375">
        <f>W1439</f>
        <v>0</v>
      </c>
      <c r="AF1439" s="1375">
        <f>Z1439</f>
        <v>0</v>
      </c>
      <c r="AG1439" s="1375">
        <f>AC1439</f>
        <v>0</v>
      </c>
      <c r="AH1439" s="1375">
        <f>AE1439</f>
        <v>0</v>
      </c>
      <c r="AI1439" s="1375">
        <f>AG1439</f>
        <v>0</v>
      </c>
      <c r="AJ1439" s="1375">
        <f>AI1439</f>
        <v>0</v>
      </c>
    </row>
    <row r="1440" spans="1:36" ht="14.5">
      <c r="A1440" s="990">
        <v>1</v>
      </c>
      <c r="B1440" s="990">
        <v>1</v>
      </c>
      <c r="C1440" s="990" t="s">
        <v>863</v>
      </c>
      <c r="D1440" s="1121" t="s">
        <v>887</v>
      </c>
      <c r="E1440" s="1611" t="s">
        <v>460</v>
      </c>
      <c r="F1440" s="1610"/>
      <c r="G1440" s="9"/>
      <c r="H1440" s="5"/>
      <c r="I1440" s="1398"/>
      <c r="J1440" s="2" t="s">
        <v>146</v>
      </c>
      <c r="K1440" s="2"/>
      <c r="L1440" s="2"/>
      <c r="M1440" s="3"/>
      <c r="N1440" s="2"/>
      <c r="O1440" s="2"/>
      <c r="P1440" s="2"/>
      <c r="Q1440" s="1916" t="str">
        <f>CHOOSE(2, "6722000004358", "Inventories (4) MS 3rd Party")</f>
        <v>Inventories (4) MS 3rd Party</v>
      </c>
      <c r="R1440" s="1376">
        <f t="shared" si="2431"/>
        <v>0</v>
      </c>
      <c r="S1440" s="1376">
        <f t="shared" si="2431"/>
        <v>0</v>
      </c>
      <c r="T1440" s="1376">
        <f t="shared" si="2431"/>
        <v>0</v>
      </c>
      <c r="U1440" s="1376">
        <f t="shared" si="2431"/>
        <v>0</v>
      </c>
      <c r="V1440" s="1376">
        <f t="shared" si="2431"/>
        <v>0</v>
      </c>
      <c r="W1440" s="1376">
        <f t="shared" si="2431"/>
        <v>0</v>
      </c>
      <c r="X1440" s="1376">
        <f t="shared" si="2431"/>
        <v>0</v>
      </c>
      <c r="Y1440" s="1376">
        <f t="shared" si="2431"/>
        <v>0</v>
      </c>
      <c r="Z1440" s="1376">
        <f t="shared" si="2431"/>
        <v>0</v>
      </c>
      <c r="AA1440" s="1376">
        <f t="shared" si="2431"/>
        <v>0</v>
      </c>
      <c r="AB1440" s="1376">
        <f t="shared" si="2431"/>
        <v>0</v>
      </c>
      <c r="AC1440" s="1376">
        <f t="shared" si="2431"/>
        <v>0</v>
      </c>
      <c r="AD1440" s="1376">
        <f>T1440</f>
        <v>0</v>
      </c>
      <c r="AE1440" s="1376">
        <f>W1440</f>
        <v>0</v>
      </c>
      <c r="AF1440" s="1376">
        <f>Z1440</f>
        <v>0</v>
      </c>
      <c r="AG1440" s="1376">
        <f>AC1440</f>
        <v>0</v>
      </c>
      <c r="AH1440" s="1376">
        <f>AE1440</f>
        <v>0</v>
      </c>
      <c r="AI1440" s="1376">
        <f>AG1440</f>
        <v>0</v>
      </c>
      <c r="AJ1440" s="1376">
        <f>AI1440</f>
        <v>0</v>
      </c>
    </row>
    <row r="1441" spans="1:60" ht="14.5">
      <c r="A1441" s="990">
        <v>1</v>
      </c>
      <c r="B1441" s="990">
        <v>1</v>
      </c>
      <c r="C1441" s="990" t="s">
        <v>863</v>
      </c>
      <c r="D1441" s="1121" t="s">
        <v>887</v>
      </c>
      <c r="E1441" s="1611" t="s">
        <v>460</v>
      </c>
      <c r="F1441" s="1610"/>
      <c r="G1441" s="9"/>
      <c r="H1441" s="5"/>
      <c r="I1441" s="1613" t="s">
        <v>922</v>
      </c>
      <c r="J1441" s="1614"/>
      <c r="K1441" s="1614"/>
      <c r="L1441" s="1614"/>
      <c r="M1441" s="1615"/>
      <c r="N1441" s="1615"/>
      <c r="O1441" s="1615"/>
      <c r="P1441" s="1615"/>
      <c r="Q1441" s="1917" t="str">
        <f>CHOOSE(2, "6722000004359", "Inventories (5) DW-DX")</f>
        <v>Inventories (5) DW-DX</v>
      </c>
      <c r="R1441" s="2252">
        <f t="shared" ref="R1441:AC1441" si="2432">SUM(R1442:R1443)</f>
        <v>860</v>
      </c>
      <c r="S1441" s="2252">
        <f t="shared" si="2432"/>
        <v>925.78918099027669</v>
      </c>
      <c r="T1441" s="2252">
        <f t="shared" si="2432"/>
        <v>784</v>
      </c>
      <c r="U1441" s="2252">
        <f t="shared" si="2432"/>
        <v>2441</v>
      </c>
      <c r="V1441" s="2252">
        <f t="shared" si="2432"/>
        <v>2286</v>
      </c>
      <c r="W1441" s="2252">
        <f t="shared" si="2432"/>
        <v>2400</v>
      </c>
      <c r="X1441" s="2252">
        <f t="shared" si="2432"/>
        <v>2615</v>
      </c>
      <c r="Y1441" s="2252">
        <f t="shared" si="2432"/>
        <v>1500</v>
      </c>
      <c r="Z1441" s="2252">
        <f t="shared" si="2432"/>
        <v>831</v>
      </c>
      <c r="AA1441" s="2252">
        <f t="shared" si="2432"/>
        <v>1585.5015877848073</v>
      </c>
      <c r="AB1441" s="2252">
        <f t="shared" si="2432"/>
        <v>1832.9475039275867</v>
      </c>
      <c r="AC1441" s="2252">
        <f t="shared" si="2432"/>
        <v>1405.1897568888669</v>
      </c>
      <c r="AD1441" s="1616">
        <f t="shared" ref="AD1441:AJ1441" si="2433">SUM(AD1442:AD1443)</f>
        <v>784</v>
      </c>
      <c r="AE1441" s="1616">
        <f t="shared" si="2433"/>
        <v>2400</v>
      </c>
      <c r="AF1441" s="1616">
        <f t="shared" si="2433"/>
        <v>831</v>
      </c>
      <c r="AG1441" s="1616">
        <f t="shared" si="2433"/>
        <v>1405.1897568888669</v>
      </c>
      <c r="AH1441" s="1616">
        <f t="shared" si="2433"/>
        <v>2400</v>
      </c>
      <c r="AI1441" s="1616">
        <f t="shared" si="2433"/>
        <v>1405.1897568888669</v>
      </c>
      <c r="AJ1441" s="1616">
        <f t="shared" si="2433"/>
        <v>1405.1897568888669</v>
      </c>
    </row>
    <row r="1442" spans="1:60" ht="14.5">
      <c r="A1442" s="990">
        <v>1</v>
      </c>
      <c r="B1442" s="990">
        <v>1</v>
      </c>
      <c r="C1442" s="990" t="s">
        <v>863</v>
      </c>
      <c r="D1442" s="1121" t="s">
        <v>887</v>
      </c>
      <c r="E1442" s="1611" t="s">
        <v>460</v>
      </c>
      <c r="F1442" s="1610"/>
      <c r="G1442" s="9"/>
      <c r="H1442" s="5"/>
      <c r="I1442" s="32"/>
      <c r="J1442" s="4" t="s">
        <v>988</v>
      </c>
      <c r="K1442" s="4"/>
      <c r="L1442" s="4"/>
      <c r="M1442" s="5"/>
      <c r="N1442" s="4"/>
      <c r="O1442" s="4"/>
      <c r="P1442" s="4"/>
      <c r="Q1442" s="1916" t="str">
        <f>CHOOSE(2, "6722000004360", "Inventories (5) DW-DX Purchased from BT cons. companies")</f>
        <v>Inventories (5) DW-DX Purchased from BT cons. companies</v>
      </c>
      <c r="R1442" s="1375">
        <f t="shared" ref="R1442:AC1443" si="2434">R1080</f>
        <v>238</v>
      </c>
      <c r="S1442" s="1375">
        <f t="shared" si="2434"/>
        <v>250.02392099027634</v>
      </c>
      <c r="T1442" s="1375">
        <f t="shared" si="2434"/>
        <v>221</v>
      </c>
      <c r="U1442" s="1375">
        <f t="shared" si="2434"/>
        <v>269</v>
      </c>
      <c r="V1442" s="1375">
        <f t="shared" si="2434"/>
        <v>230</v>
      </c>
      <c r="W1442" s="1375">
        <f t="shared" si="2434"/>
        <v>239</v>
      </c>
      <c r="X1442" s="1375">
        <f t="shared" si="2434"/>
        <v>219</v>
      </c>
      <c r="Y1442" s="1375">
        <f t="shared" si="2434"/>
        <v>259</v>
      </c>
      <c r="Z1442" s="1375">
        <f t="shared" si="2434"/>
        <v>261</v>
      </c>
      <c r="AA1442" s="1375">
        <f t="shared" si="2434"/>
        <v>256.1728077848062</v>
      </c>
      <c r="AB1442" s="1375">
        <f t="shared" si="2434"/>
        <v>264.88892392758595</v>
      </c>
      <c r="AC1442" s="1375">
        <f t="shared" si="2434"/>
        <v>358.07444688886579</v>
      </c>
      <c r="AD1442" s="834">
        <f>T1442</f>
        <v>221</v>
      </c>
      <c r="AE1442" s="834">
        <f>W1442</f>
        <v>239</v>
      </c>
      <c r="AF1442" s="834">
        <f>Z1442</f>
        <v>261</v>
      </c>
      <c r="AG1442" s="834">
        <f>AC1442</f>
        <v>358.07444688886579</v>
      </c>
      <c r="AH1442" s="834">
        <f>AE1442</f>
        <v>239</v>
      </c>
      <c r="AI1442" s="834">
        <f>AG1442</f>
        <v>358.07444688886579</v>
      </c>
      <c r="AJ1442" s="834">
        <f>AI1442</f>
        <v>358.07444688886579</v>
      </c>
    </row>
    <row r="1443" spans="1:60" ht="14.5">
      <c r="A1443" s="990">
        <v>1</v>
      </c>
      <c r="B1443" s="990">
        <v>1</v>
      </c>
      <c r="C1443" s="990" t="s">
        <v>863</v>
      </c>
      <c r="D1443" s="1121" t="s">
        <v>887</v>
      </c>
      <c r="E1443" s="1611" t="s">
        <v>460</v>
      </c>
      <c r="F1443" s="1610"/>
      <c r="G1443" s="9"/>
      <c r="H1443" s="5"/>
      <c r="I1443" s="459"/>
      <c r="J1443" s="2" t="s">
        <v>146</v>
      </c>
      <c r="K1443" s="2"/>
      <c r="L1443" s="2"/>
      <c r="M1443" s="3"/>
      <c r="N1443" s="2"/>
      <c r="O1443" s="2"/>
      <c r="P1443" s="2"/>
      <c r="Q1443" s="1916" t="str">
        <f>CHOOSE(2, "6722000004361", "Inventories (5) DW-DX 3rd Party")</f>
        <v>Inventories (5) DW-DX 3rd Party</v>
      </c>
      <c r="R1443" s="1376">
        <f t="shared" si="2434"/>
        <v>622</v>
      </c>
      <c r="S1443" s="1376">
        <f t="shared" si="2434"/>
        <v>675.76526000000035</v>
      </c>
      <c r="T1443" s="1376">
        <f t="shared" si="2434"/>
        <v>563</v>
      </c>
      <c r="U1443" s="1376">
        <f t="shared" si="2434"/>
        <v>2172</v>
      </c>
      <c r="V1443" s="1376">
        <f t="shared" si="2434"/>
        <v>2056</v>
      </c>
      <c r="W1443" s="1376">
        <f t="shared" si="2434"/>
        <v>2161</v>
      </c>
      <c r="X1443" s="1376">
        <f t="shared" si="2434"/>
        <v>2396</v>
      </c>
      <c r="Y1443" s="1376">
        <f t="shared" si="2434"/>
        <v>1241</v>
      </c>
      <c r="Z1443" s="1376">
        <f t="shared" si="2434"/>
        <v>570</v>
      </c>
      <c r="AA1443" s="1376">
        <f t="shared" si="2434"/>
        <v>1329.328780000001</v>
      </c>
      <c r="AB1443" s="1376">
        <f t="shared" si="2434"/>
        <v>1568.0585800000008</v>
      </c>
      <c r="AC1443" s="1376">
        <f t="shared" si="2434"/>
        <v>1047.115310000001</v>
      </c>
      <c r="AD1443" s="797">
        <f>T1443</f>
        <v>563</v>
      </c>
      <c r="AE1443" s="797">
        <f>W1443</f>
        <v>2161</v>
      </c>
      <c r="AF1443" s="797">
        <f>Z1443</f>
        <v>570</v>
      </c>
      <c r="AG1443" s="797">
        <f>AC1443</f>
        <v>1047.115310000001</v>
      </c>
      <c r="AH1443" s="797">
        <f>AE1443</f>
        <v>2161</v>
      </c>
      <c r="AI1443" s="797">
        <f>AG1443</f>
        <v>1047.115310000001</v>
      </c>
      <c r="AJ1443" s="797">
        <f>AI1443</f>
        <v>1047.115310000001</v>
      </c>
    </row>
    <row r="1444" spans="1:60" ht="14.5">
      <c r="A1444" s="990">
        <v>1</v>
      </c>
      <c r="B1444" s="990">
        <v>1</v>
      </c>
      <c r="C1444" s="990" t="s">
        <v>863</v>
      </c>
      <c r="D1444" s="1121" t="s">
        <v>887</v>
      </c>
      <c r="E1444" s="1611" t="s">
        <v>460</v>
      </c>
      <c r="F1444" s="1610"/>
      <c r="G1444" s="9"/>
      <c r="H1444"/>
      <c r="I1444" s="1807" t="s">
        <v>1310</v>
      </c>
      <c r="J1444" s="1802"/>
      <c r="K1444" s="1802"/>
      <c r="L1444" s="1802"/>
      <c r="M1444" s="1803"/>
      <c r="N1444" s="1803"/>
      <c r="O1444" s="1803"/>
      <c r="P1444" s="1803"/>
      <c r="Q1444" s="1918" t="str">
        <f>CHOOSE(2, "6722000004362", "Inventories (6) BIC")</f>
        <v>Inventories (6) BIC</v>
      </c>
      <c r="R1444" s="2319">
        <f t="shared" ref="R1444:AC1444" si="2435">SUM(R1445:R1446)</f>
        <v>0</v>
      </c>
      <c r="S1444" s="2319">
        <f t="shared" si="2435"/>
        <v>0</v>
      </c>
      <c r="T1444" s="2319">
        <f t="shared" si="2435"/>
        <v>0</v>
      </c>
      <c r="U1444" s="2319">
        <f t="shared" si="2435"/>
        <v>0</v>
      </c>
      <c r="V1444" s="2319">
        <f t="shared" si="2435"/>
        <v>0</v>
      </c>
      <c r="W1444" s="2319">
        <f t="shared" si="2435"/>
        <v>0</v>
      </c>
      <c r="X1444" s="2319">
        <f t="shared" si="2435"/>
        <v>0</v>
      </c>
      <c r="Y1444" s="2319">
        <f t="shared" si="2435"/>
        <v>0</v>
      </c>
      <c r="Z1444" s="2319">
        <f t="shared" si="2435"/>
        <v>0</v>
      </c>
      <c r="AA1444" s="2319">
        <f t="shared" si="2435"/>
        <v>0</v>
      </c>
      <c r="AB1444" s="2319">
        <f t="shared" si="2435"/>
        <v>0</v>
      </c>
      <c r="AC1444" s="2319">
        <f t="shared" si="2435"/>
        <v>0</v>
      </c>
      <c r="AD1444" s="1826">
        <f t="shared" ref="AD1444:AJ1444" si="2436">SUM(AD1445:AD1446)</f>
        <v>0</v>
      </c>
      <c r="AE1444" s="1826">
        <f t="shared" si="2436"/>
        <v>0</v>
      </c>
      <c r="AF1444" s="1826">
        <f t="shared" si="2436"/>
        <v>0</v>
      </c>
      <c r="AG1444" s="1826">
        <f t="shared" si="2436"/>
        <v>0</v>
      </c>
      <c r="AH1444" s="1826">
        <f t="shared" si="2436"/>
        <v>0</v>
      </c>
      <c r="AI1444" s="1826">
        <f t="shared" si="2436"/>
        <v>0</v>
      </c>
      <c r="AJ1444" s="1826">
        <f t="shared" si="2436"/>
        <v>0</v>
      </c>
    </row>
    <row r="1445" spans="1:60" ht="14.5">
      <c r="A1445" s="990">
        <v>1</v>
      </c>
      <c r="B1445" s="990">
        <v>1</v>
      </c>
      <c r="C1445" s="990" t="s">
        <v>863</v>
      </c>
      <c r="D1445" s="1121" t="s">
        <v>887</v>
      </c>
      <c r="E1445" s="1611" t="s">
        <v>460</v>
      </c>
      <c r="F1445" s="1610"/>
      <c r="G1445" s="9"/>
      <c r="H1445"/>
      <c r="I1445" s="32"/>
      <c r="J1445" s="4" t="s">
        <v>1309</v>
      </c>
      <c r="K1445" s="4"/>
      <c r="L1445" s="4"/>
      <c r="M1445" s="5"/>
      <c r="N1445" s="4"/>
      <c r="O1445" s="4"/>
      <c r="P1445" s="4"/>
      <c r="Q1445" s="1919" t="str">
        <f>CHOOSE(2, "6722000004363", "Inventories (6) BIC Purchased from KM group")</f>
        <v>Inventories (6) BIC Purchased from KM group</v>
      </c>
      <c r="R1445" s="2032">
        <v>0</v>
      </c>
      <c r="S1445" s="2032">
        <v>0</v>
      </c>
      <c r="T1445" s="2032">
        <v>0</v>
      </c>
      <c r="U1445" s="2032">
        <v>0</v>
      </c>
      <c r="V1445" s="2032">
        <v>0</v>
      </c>
      <c r="W1445" s="2032">
        <v>0</v>
      </c>
      <c r="X1445" s="2032">
        <v>0</v>
      </c>
      <c r="Y1445" s="2032">
        <v>0</v>
      </c>
      <c r="Z1445" s="2032">
        <v>0</v>
      </c>
      <c r="AA1445" s="2032">
        <v>0</v>
      </c>
      <c r="AB1445" s="2032">
        <v>0</v>
      </c>
      <c r="AC1445" s="2032">
        <v>0</v>
      </c>
      <c r="AD1445" s="834">
        <f>T1445</f>
        <v>0</v>
      </c>
      <c r="AE1445" s="834">
        <f>W1445</f>
        <v>0</v>
      </c>
      <c r="AF1445" s="834">
        <f>Z1445</f>
        <v>0</v>
      </c>
      <c r="AG1445" s="834">
        <f>AC1445</f>
        <v>0</v>
      </c>
      <c r="AH1445" s="834">
        <f>AE1445</f>
        <v>0</v>
      </c>
      <c r="AI1445" s="834">
        <f>AG1445</f>
        <v>0</v>
      </c>
      <c r="AJ1445" s="834">
        <f>AI1445</f>
        <v>0</v>
      </c>
    </row>
    <row r="1446" spans="1:60" ht="14.5">
      <c r="A1446" s="990">
        <v>1</v>
      </c>
      <c r="B1446" s="990">
        <v>1</v>
      </c>
      <c r="C1446" s="990" t="s">
        <v>863</v>
      </c>
      <c r="D1446" s="1121" t="s">
        <v>887</v>
      </c>
      <c r="E1446" s="1611" t="s">
        <v>460</v>
      </c>
      <c r="F1446" s="1610"/>
      <c r="G1446" s="9"/>
      <c r="H1446"/>
      <c r="I1446" s="459"/>
      <c r="J1446" s="2" t="s">
        <v>146</v>
      </c>
      <c r="K1446" s="2"/>
      <c r="L1446" s="2"/>
      <c r="M1446" s="3"/>
      <c r="N1446" s="2"/>
      <c r="O1446" s="2"/>
      <c r="P1446" s="2"/>
      <c r="Q1446" s="1919" t="str">
        <f>CHOOSE(2, "6722000004364", "Inventories (6) BIC 3rd Party")</f>
        <v>Inventories (6) BIC 3rd Party</v>
      </c>
      <c r="R1446" s="2031">
        <v>0</v>
      </c>
      <c r="S1446" s="2031">
        <v>0</v>
      </c>
      <c r="T1446" s="2031">
        <v>0</v>
      </c>
      <c r="U1446" s="2031">
        <v>0</v>
      </c>
      <c r="V1446" s="2031">
        <v>0</v>
      </c>
      <c r="W1446" s="2031">
        <v>0</v>
      </c>
      <c r="X1446" s="2031">
        <v>0</v>
      </c>
      <c r="Y1446" s="2031">
        <v>0</v>
      </c>
      <c r="Z1446" s="2031">
        <v>0</v>
      </c>
      <c r="AA1446" s="2031">
        <v>0</v>
      </c>
      <c r="AB1446" s="2031">
        <v>0</v>
      </c>
      <c r="AC1446" s="2031">
        <v>0</v>
      </c>
      <c r="AD1446" s="797">
        <f>T1446</f>
        <v>0</v>
      </c>
      <c r="AE1446" s="797">
        <f>W1446</f>
        <v>0</v>
      </c>
      <c r="AF1446" s="797">
        <f>Z1446</f>
        <v>0</v>
      </c>
      <c r="AG1446" s="797">
        <f>AC1446</f>
        <v>0</v>
      </c>
      <c r="AH1446" s="797">
        <f>AE1446</f>
        <v>0</v>
      </c>
      <c r="AI1446" s="797">
        <f>AG1446</f>
        <v>0</v>
      </c>
      <c r="AJ1446" s="797">
        <f>AI1446</f>
        <v>0</v>
      </c>
    </row>
    <row r="1447" spans="1:60" ht="14.5">
      <c r="A1447" s="990">
        <v>1</v>
      </c>
      <c r="B1447" s="990">
        <v>1</v>
      </c>
      <c r="C1447" s="990" t="s">
        <v>863</v>
      </c>
      <c r="D1447" s="1121" t="s">
        <v>887</v>
      </c>
      <c r="E1447" s="1611" t="s">
        <v>460</v>
      </c>
      <c r="F1447" s="1610"/>
      <c r="G1447" s="9"/>
      <c r="H1447"/>
      <c r="I1447" s="1807" t="s">
        <v>1311</v>
      </c>
      <c r="J1447" s="1802"/>
      <c r="K1447" s="1802"/>
      <c r="L1447" s="1802"/>
      <c r="M1447" s="1803"/>
      <c r="N1447" s="1803"/>
      <c r="O1447" s="1803"/>
      <c r="P1447" s="1803"/>
      <c r="Q1447" s="1918" t="str">
        <f>CHOOSE(2, "6722000004365", "Inventories (7) IIS (Imaging-IoT Solution)")</f>
        <v>Inventories (7) IIS (Imaging-IoT Solution)</v>
      </c>
      <c r="R1447" s="2319">
        <f t="shared" ref="R1447:AC1447" si="2437">SUM(R1448:R1450)</f>
        <v>9910</v>
      </c>
      <c r="S1447" s="2319">
        <f t="shared" si="2437"/>
        <v>9063</v>
      </c>
      <c r="T1447" s="2319">
        <f t="shared" si="2437"/>
        <v>9007</v>
      </c>
      <c r="U1447" s="2319">
        <f t="shared" si="2437"/>
        <v>8976</v>
      </c>
      <c r="V1447" s="2319">
        <f t="shared" si="2437"/>
        <v>8456</v>
      </c>
      <c r="W1447" s="2319">
        <f t="shared" si="2437"/>
        <v>9180</v>
      </c>
      <c r="X1447" s="2319">
        <f t="shared" si="2437"/>
        <v>9189</v>
      </c>
      <c r="Y1447" s="2319">
        <f t="shared" si="2437"/>
        <v>9212</v>
      </c>
      <c r="Z1447" s="2319">
        <f t="shared" si="2437"/>
        <v>9480</v>
      </c>
      <c r="AA1447" s="2319">
        <f t="shared" si="2437"/>
        <v>10227.338809999999</v>
      </c>
      <c r="AB1447" s="2319">
        <f t="shared" si="2437"/>
        <v>10999.231169999999</v>
      </c>
      <c r="AC1447" s="2319">
        <f t="shared" si="2437"/>
        <v>13303.10225</v>
      </c>
      <c r="AD1447" s="1826">
        <f t="shared" ref="AD1447:AJ1447" si="2438">SUM(AD1448:AD1450)</f>
        <v>9007</v>
      </c>
      <c r="AE1447" s="1826">
        <f t="shared" si="2438"/>
        <v>9180</v>
      </c>
      <c r="AF1447" s="1826">
        <f t="shared" si="2438"/>
        <v>9480</v>
      </c>
      <c r="AG1447" s="1826">
        <f t="shared" si="2438"/>
        <v>13303.10225</v>
      </c>
      <c r="AH1447" s="1826">
        <f t="shared" si="2438"/>
        <v>9180</v>
      </c>
      <c r="AI1447" s="1826">
        <f t="shared" si="2438"/>
        <v>13303.10225</v>
      </c>
      <c r="AJ1447" s="1826">
        <f t="shared" si="2438"/>
        <v>13303.10225</v>
      </c>
    </row>
    <row r="1448" spans="1:60" ht="14.5">
      <c r="A1448" s="990">
        <v>1</v>
      </c>
      <c r="B1448" s="990">
        <v>1</v>
      </c>
      <c r="C1448" s="990" t="s">
        <v>863</v>
      </c>
      <c r="D1448" s="1121" t="s">
        <v>887</v>
      </c>
      <c r="E1448" s="1611" t="s">
        <v>460</v>
      </c>
      <c r="F1448" s="1610"/>
      <c r="G1448" s="9"/>
      <c r="H1448"/>
      <c r="I1448" s="32"/>
      <c r="J1448" s="4" t="s">
        <v>1312</v>
      </c>
      <c r="K1448" s="4"/>
      <c r="L1448" s="4"/>
      <c r="M1448" s="5"/>
      <c r="N1448" s="4"/>
      <c r="O1448" s="4"/>
      <c r="P1448" s="4"/>
      <c r="Q1448" s="1919" t="str">
        <f>CHOOSE(2, "6722000004366", "Inventories (7) IIS (Imaging-IoT Solution) PKM")</f>
        <v>Inventories (7) IIS (Imaging-IoT Solution) PKM</v>
      </c>
      <c r="R1448" s="2032">
        <v>0</v>
      </c>
      <c r="S1448" s="2032">
        <v>0</v>
      </c>
      <c r="T1448" s="2032">
        <v>0</v>
      </c>
      <c r="U1448" s="2032">
        <v>0</v>
      </c>
      <c r="V1448" s="2032">
        <v>0</v>
      </c>
      <c r="W1448" s="2032">
        <v>0</v>
      </c>
      <c r="X1448" s="2032">
        <v>0</v>
      </c>
      <c r="Y1448" s="2032">
        <v>0</v>
      </c>
      <c r="Z1448" s="2032">
        <v>0</v>
      </c>
      <c r="AA1448" s="2032">
        <v>0</v>
      </c>
      <c r="AB1448" s="2032">
        <v>0</v>
      </c>
      <c r="AC1448" s="2032">
        <v>0</v>
      </c>
      <c r="AD1448" s="834">
        <f>T1448</f>
        <v>0</v>
      </c>
      <c r="AE1448" s="834">
        <f>W1448</f>
        <v>0</v>
      </c>
      <c r="AF1448" s="834">
        <f>Z1448</f>
        <v>0</v>
      </c>
      <c r="AG1448" s="834">
        <f>AC1448</f>
        <v>0</v>
      </c>
      <c r="AH1448" s="834">
        <f>AE1448</f>
        <v>0</v>
      </c>
      <c r="AI1448" s="834">
        <f>AG1448</f>
        <v>0</v>
      </c>
      <c r="AJ1448" s="834">
        <f>AI1448</f>
        <v>0</v>
      </c>
    </row>
    <row r="1449" spans="1:60" ht="14.5">
      <c r="A1449" s="990">
        <v>1</v>
      </c>
      <c r="B1449" s="990">
        <v>1</v>
      </c>
      <c r="C1449" s="990" t="s">
        <v>863</v>
      </c>
      <c r="D1449" s="1121" t="s">
        <v>887</v>
      </c>
      <c r="E1449" s="1611" t="s">
        <v>460</v>
      </c>
      <c r="F1449" s="1610"/>
      <c r="G1449" s="9"/>
      <c r="H1449"/>
      <c r="I1449" s="32"/>
      <c r="J1449" s="4" t="s">
        <v>1313</v>
      </c>
      <c r="K1449" s="4"/>
      <c r="L1449" s="4"/>
      <c r="M1449" s="5"/>
      <c r="N1449" s="4"/>
      <c r="O1449" s="4"/>
      <c r="P1449" s="4"/>
      <c r="Q1449" s="1919" t="str">
        <f>CHOOSE(2, "6722000004367", "(7) IIS (Imaging-IoT Solution) PurchasedfromHMX")</f>
        <v>(7) IIS (Imaging-IoT Solution) PurchasedfromHMX</v>
      </c>
      <c r="R1449" s="2032">
        <v>9910</v>
      </c>
      <c r="S1449" s="2032">
        <v>9063</v>
      </c>
      <c r="T1449" s="2032">
        <v>9007</v>
      </c>
      <c r="U1449" s="2032">
        <v>8976</v>
      </c>
      <c r="V1449" s="2032">
        <v>8456</v>
      </c>
      <c r="W1449" s="2032">
        <v>9180</v>
      </c>
      <c r="X1449" s="2032">
        <v>9189</v>
      </c>
      <c r="Y1449" s="2032">
        <v>9212</v>
      </c>
      <c r="Z1449" s="2032">
        <v>9480</v>
      </c>
      <c r="AA1449" s="2032">
        <v>10227.338809999999</v>
      </c>
      <c r="AB1449" s="2032">
        <v>10999.231169999999</v>
      </c>
      <c r="AC1449" s="2032">
        <v>13303.10225</v>
      </c>
      <c r="AD1449" s="834">
        <f>T1449</f>
        <v>9007</v>
      </c>
      <c r="AE1449" s="834">
        <f>W1449</f>
        <v>9180</v>
      </c>
      <c r="AF1449" s="834">
        <f>Z1449</f>
        <v>9480</v>
      </c>
      <c r="AG1449" s="834">
        <f>AC1449</f>
        <v>13303.10225</v>
      </c>
      <c r="AH1449" s="834">
        <f>AE1449</f>
        <v>9180</v>
      </c>
      <c r="AI1449" s="834">
        <f>AG1449</f>
        <v>13303.10225</v>
      </c>
      <c r="AJ1449" s="834">
        <f>AI1449</f>
        <v>13303.10225</v>
      </c>
    </row>
    <row r="1450" spans="1:60" ht="14.5">
      <c r="A1450" s="990">
        <v>1</v>
      </c>
      <c r="B1450" s="990">
        <v>1</v>
      </c>
      <c r="C1450" s="990" t="s">
        <v>863</v>
      </c>
      <c r="D1450" s="1121" t="s">
        <v>887</v>
      </c>
      <c r="E1450" s="1611" t="s">
        <v>460</v>
      </c>
      <c r="F1450" s="1610"/>
      <c r="G1450" s="9"/>
      <c r="H1450"/>
      <c r="I1450" s="459"/>
      <c r="J1450" s="2" t="s">
        <v>146</v>
      </c>
      <c r="K1450" s="2"/>
      <c r="L1450" s="2"/>
      <c r="M1450" s="3"/>
      <c r="N1450" s="2"/>
      <c r="O1450" s="2"/>
      <c r="P1450" s="2"/>
      <c r="Q1450" s="1919" t="str">
        <f>CHOOSE(2, "6722000004368", "(7) IIS (Imaging-IoT Solution) 3rd Party")</f>
        <v>(7) IIS (Imaging-IoT Solution) 3rd Party</v>
      </c>
      <c r="R1450" s="2031">
        <v>0</v>
      </c>
      <c r="S1450" s="2031">
        <v>0</v>
      </c>
      <c r="T1450" s="2031">
        <v>0</v>
      </c>
      <c r="U1450" s="2031">
        <v>0</v>
      </c>
      <c r="V1450" s="2031">
        <v>0</v>
      </c>
      <c r="W1450" s="2031">
        <v>0</v>
      </c>
      <c r="X1450" s="2031">
        <v>0</v>
      </c>
      <c r="Y1450" s="2031">
        <v>0</v>
      </c>
      <c r="Z1450" s="2031">
        <v>0</v>
      </c>
      <c r="AA1450" s="2031">
        <v>0</v>
      </c>
      <c r="AB1450" s="2031">
        <v>0</v>
      </c>
      <c r="AC1450" s="2031">
        <v>0</v>
      </c>
      <c r="AD1450" s="797">
        <f>T1450</f>
        <v>0</v>
      </c>
      <c r="AE1450" s="797">
        <f>W1450</f>
        <v>0</v>
      </c>
      <c r="AF1450" s="797">
        <f>Z1450</f>
        <v>0</v>
      </c>
      <c r="AG1450" s="797">
        <f>AC1450</f>
        <v>0</v>
      </c>
      <c r="AH1450" s="797">
        <f>AE1450</f>
        <v>0</v>
      </c>
      <c r="AI1450" s="797">
        <f>AG1450</f>
        <v>0</v>
      </c>
      <c r="AJ1450" s="797">
        <f>AI1450</f>
        <v>0</v>
      </c>
    </row>
    <row r="1451" spans="1:60" ht="14.5">
      <c r="A1451" s="990">
        <v>1</v>
      </c>
      <c r="B1451" s="990">
        <v>1</v>
      </c>
      <c r="C1451" s="990" t="s">
        <v>863</v>
      </c>
      <c r="D1451" s="1121" t="s">
        <v>887</v>
      </c>
      <c r="E1451" s="1243">
        <v>1</v>
      </c>
      <c r="G1451" s="24"/>
      <c r="H1451" s="10"/>
      <c r="I1451" s="9"/>
      <c r="J1451" s="10"/>
      <c r="L1451" s="9"/>
      <c r="P1451" s="1"/>
      <c r="Q1451" s="1838" t="str">
        <f>CHOOSE(2, "6722000004369", "▷ Blank 61")</f>
        <v>▷ Blank 61</v>
      </c>
      <c r="AA1451" s="9"/>
    </row>
    <row r="1452" spans="1:60" ht="18">
      <c r="A1452" s="990">
        <v>1</v>
      </c>
      <c r="B1452" s="990">
        <v>1</v>
      </c>
      <c r="C1452" s="990" t="s">
        <v>863</v>
      </c>
      <c r="D1452" s="1121" t="s">
        <v>887</v>
      </c>
      <c r="E1452" s="1243">
        <v>1</v>
      </c>
      <c r="F1452" s="314" t="s">
        <v>1377</v>
      </c>
      <c r="G1452" s="314"/>
      <c r="Q1452" s="1838" t="str">
        <f>CHOOSE(2, "6722000004370", "10. Reference")</f>
        <v>10. Reference</v>
      </c>
    </row>
    <row r="1453" spans="1:60" ht="14.5">
      <c r="A1453" s="990">
        <v>1</v>
      </c>
      <c r="B1453" s="990">
        <v>1</v>
      </c>
      <c r="C1453" s="990" t="s">
        <v>863</v>
      </c>
      <c r="D1453" s="1121" t="s">
        <v>887</v>
      </c>
      <c r="E1453" s="1243">
        <v>1</v>
      </c>
      <c r="G1453" s="5" t="s">
        <v>1418</v>
      </c>
      <c r="Q1453" s="1838" t="str">
        <f>CHOOSE(2, "6722000004371", "10-1. Variable Costing Income Statement")</f>
        <v>10-1. Variable Costing Income Statement</v>
      </c>
    </row>
    <row r="1454" spans="1:60" ht="14.5">
      <c r="A1454" s="990">
        <v>1</v>
      </c>
      <c r="B1454" s="990">
        <v>1</v>
      </c>
      <c r="C1454" s="990" t="s">
        <v>863</v>
      </c>
      <c r="D1454" s="1121" t="s">
        <v>887</v>
      </c>
      <c r="E1454" s="1243">
        <v>1</v>
      </c>
      <c r="I1454" s="985"/>
      <c r="J1454" s="986"/>
      <c r="K1454" s="987"/>
      <c r="L1454" s="987"/>
      <c r="M1454" s="986"/>
      <c r="N1454" s="986"/>
      <c r="O1454" s="986"/>
      <c r="P1454" s="988"/>
      <c r="Q1454" s="1839" t="str">
        <f>CHOOSE(2, "6722000004372", "▷ Blank 62")</f>
        <v>▷ Blank 62</v>
      </c>
      <c r="R1454" s="2185">
        <f>R13</f>
        <v>44652</v>
      </c>
      <c r="S1454" s="2185">
        <f t="shared" ref="S1454:AC1454" si="2439">S13</f>
        <v>44682</v>
      </c>
      <c r="T1454" s="2185">
        <f t="shared" si="2439"/>
        <v>44713</v>
      </c>
      <c r="U1454" s="2185">
        <f t="shared" si="2439"/>
        <v>44743</v>
      </c>
      <c r="V1454" s="2185">
        <f t="shared" si="2439"/>
        <v>44774</v>
      </c>
      <c r="W1454" s="2185">
        <f t="shared" si="2439"/>
        <v>44805</v>
      </c>
      <c r="X1454" s="2185">
        <f t="shared" si="2439"/>
        <v>44835</v>
      </c>
      <c r="Y1454" s="2185">
        <f t="shared" si="2439"/>
        <v>44866</v>
      </c>
      <c r="Z1454" s="2185">
        <f t="shared" si="2439"/>
        <v>44896</v>
      </c>
      <c r="AA1454" s="2185">
        <f t="shared" si="2439"/>
        <v>44927</v>
      </c>
      <c r="AB1454" s="2185">
        <f t="shared" si="2439"/>
        <v>44958</v>
      </c>
      <c r="AC1454" s="2185">
        <f t="shared" si="2439"/>
        <v>44986</v>
      </c>
      <c r="AD1454" s="989" t="str">
        <f t="shared" ref="AD1454:AJ1454" si="2440">AD$13</f>
        <v>Q1</v>
      </c>
      <c r="AE1454" s="989" t="str">
        <f t="shared" si="2440"/>
        <v>Q2</v>
      </c>
      <c r="AF1454" s="989" t="str">
        <f t="shared" si="2440"/>
        <v>Q3</v>
      </c>
      <c r="AG1454" s="989" t="str">
        <f t="shared" si="2440"/>
        <v>Q4</v>
      </c>
      <c r="AH1454" s="989" t="str">
        <f t="shared" si="2440"/>
        <v>1st H</v>
      </c>
      <c r="AI1454" s="989" t="str">
        <f t="shared" si="2440"/>
        <v>2nd H</v>
      </c>
      <c r="AJ1454" s="989" t="str">
        <f t="shared" si="2440"/>
        <v>Yr.</v>
      </c>
      <c r="AL1454" s="2484">
        <f>AL$10</f>
        <v>0</v>
      </c>
      <c r="AM1454" s="2485">
        <f t="shared" ref="AM1454:AR1454" si="2441">AM$10</f>
        <v>0</v>
      </c>
      <c r="AN1454" s="2486">
        <f t="shared" si="2441"/>
        <v>0</v>
      </c>
      <c r="AO1454" s="2487">
        <f t="shared" si="2441"/>
        <v>0</v>
      </c>
      <c r="AP1454" s="2485">
        <f t="shared" si="2441"/>
        <v>0</v>
      </c>
      <c r="AQ1454" s="2486">
        <f t="shared" si="2441"/>
        <v>0</v>
      </c>
      <c r="AR1454" s="2488">
        <f t="shared" si="2441"/>
        <v>0</v>
      </c>
      <c r="AT1454" s="2484">
        <f>AT$10</f>
        <v>0</v>
      </c>
      <c r="AU1454" s="2485">
        <f t="shared" ref="AU1454:AZ1454" si="2442">AU$10</f>
        <v>0</v>
      </c>
      <c r="AV1454" s="2486">
        <f t="shared" si="2442"/>
        <v>0</v>
      </c>
      <c r="AW1454" s="2487">
        <f t="shared" si="2442"/>
        <v>0</v>
      </c>
      <c r="AX1454" s="2485">
        <f t="shared" si="2442"/>
        <v>0</v>
      </c>
      <c r="AY1454" s="2486">
        <f t="shared" si="2442"/>
        <v>0</v>
      </c>
      <c r="AZ1454" s="2488">
        <f t="shared" si="2442"/>
        <v>0</v>
      </c>
      <c r="BB1454" s="2484">
        <f>BB$10</f>
        <v>0</v>
      </c>
      <c r="BC1454" s="2485">
        <f t="shared" ref="BC1454:BH1454" si="2443">BC$10</f>
        <v>0</v>
      </c>
      <c r="BD1454" s="2486">
        <f t="shared" si="2443"/>
        <v>0</v>
      </c>
      <c r="BE1454" s="2487">
        <f t="shared" si="2443"/>
        <v>0</v>
      </c>
      <c r="BF1454" s="2485">
        <f t="shared" si="2443"/>
        <v>0</v>
      </c>
      <c r="BG1454" s="2486">
        <f t="shared" si="2443"/>
        <v>0</v>
      </c>
      <c r="BH1454" s="2488">
        <f t="shared" si="2443"/>
        <v>0</v>
      </c>
    </row>
    <row r="1455" spans="1:60" s="998" customFormat="1" ht="14.5">
      <c r="A1455" s="990">
        <v>1</v>
      </c>
      <c r="B1455" s="990">
        <v>1</v>
      </c>
      <c r="C1455" s="990" t="s">
        <v>863</v>
      </c>
      <c r="D1455" s="1121" t="s">
        <v>887</v>
      </c>
      <c r="E1455" s="1243">
        <v>1</v>
      </c>
      <c r="F1455" s="999"/>
      <c r="G1455" s="999"/>
      <c r="H1455" s="1000"/>
      <c r="I1455" s="1018" t="s">
        <v>9</v>
      </c>
      <c r="J1455" s="1019"/>
      <c r="K1455" s="1019"/>
      <c r="L1455" s="1019"/>
      <c r="M1455" s="1019"/>
      <c r="N1455" s="1019"/>
      <c r="O1455" s="1019"/>
      <c r="P1455" s="1043" t="s">
        <v>874</v>
      </c>
      <c r="Q1455" s="1880" t="str">
        <f>CHOOSE(2, "6722000004373", "Net Sales A")</f>
        <v>Net Sales A</v>
      </c>
      <c r="R1455" s="2140">
        <f t="shared" ref="R1455:AC1455" si="2444">R14</f>
        <v>649255</v>
      </c>
      <c r="S1455" s="2140">
        <f t="shared" si="2444"/>
        <v>656821</v>
      </c>
      <c r="T1455" s="2140">
        <f t="shared" si="2444"/>
        <v>693011</v>
      </c>
      <c r="U1455" s="2140">
        <f t="shared" si="2444"/>
        <v>709342</v>
      </c>
      <c r="V1455" s="2140">
        <f t="shared" si="2444"/>
        <v>827652.59600999998</v>
      </c>
      <c r="W1455" s="2140">
        <f t="shared" si="2444"/>
        <v>711087</v>
      </c>
      <c r="X1455" s="2140">
        <f t="shared" si="2444"/>
        <v>873355</v>
      </c>
      <c r="Y1455" s="2140">
        <f t="shared" si="2444"/>
        <v>797664</v>
      </c>
      <c r="Z1455" s="2140">
        <f t="shared" si="2444"/>
        <v>852777</v>
      </c>
      <c r="AA1455" s="2140">
        <f t="shared" si="2444"/>
        <v>834597</v>
      </c>
      <c r="AB1455" s="2140">
        <f t="shared" si="2444"/>
        <v>871093.62631000008</v>
      </c>
      <c r="AC1455" s="2140">
        <f t="shared" si="2444"/>
        <v>764117</v>
      </c>
      <c r="AD1455" s="1020">
        <f t="shared" ref="AD1455:AJ1455" si="2445">AD14</f>
        <v>1999087</v>
      </c>
      <c r="AE1455" s="1020">
        <f t="shared" si="2445"/>
        <v>2248081.59601</v>
      </c>
      <c r="AF1455" s="1020">
        <f t="shared" si="2445"/>
        <v>2523796</v>
      </c>
      <c r="AG1455" s="1020">
        <f t="shared" si="2445"/>
        <v>2469807.6263100002</v>
      </c>
      <c r="AH1455" s="1020">
        <f t="shared" si="2445"/>
        <v>4247168.5960099995</v>
      </c>
      <c r="AI1455" s="1020">
        <f t="shared" si="2445"/>
        <v>4993603.6263100002</v>
      </c>
      <c r="AJ1455" s="1020">
        <f t="shared" si="2445"/>
        <v>9240772.2223199997</v>
      </c>
      <c r="AL1455" s="2140">
        <f ca="1">AL14</f>
        <v>764117</v>
      </c>
      <c r="AM1455" s="2140">
        <f ca="1">AM14</f>
        <v>0</v>
      </c>
      <c r="AN1455" s="2575">
        <f t="shared" ref="AN1455:AN1471" ca="1" si="2446">AL1455-AM1455</f>
        <v>764117</v>
      </c>
      <c r="AO1455" s="2576">
        <f ca="1">IFERROR(AL1455/AM1455,0)</f>
        <v>0</v>
      </c>
      <c r="AP1455" s="2140">
        <f ca="1">AP14</f>
        <v>770388</v>
      </c>
      <c r="AQ1455" s="2575">
        <f t="shared" ref="AQ1455:AQ1471" ca="1" si="2447">AL1455-AP1455</f>
        <v>-6271</v>
      </c>
      <c r="AR1455" s="2576">
        <f ca="1">IFERROR(AL1455/AP1455,0)</f>
        <v>0.99185994589739201</v>
      </c>
      <c r="AT1455" s="2140">
        <f ca="1">AT14</f>
        <v>2469807.6263100002</v>
      </c>
      <c r="AU1455" s="2140">
        <f ca="1">AU14</f>
        <v>0</v>
      </c>
      <c r="AV1455" s="2575">
        <f t="shared" ref="AV1455:AV1471" ca="1" si="2448">AT1455-AU1455</f>
        <v>2469807.6263100002</v>
      </c>
      <c r="AW1455" s="2576">
        <f ca="1">IFERROR(AT1455/AU1455,0)</f>
        <v>0</v>
      </c>
      <c r="AX1455" s="2140">
        <f ca="1">AX14</f>
        <v>1939949</v>
      </c>
      <c r="AY1455" s="2575">
        <f t="shared" ref="AY1455:AY1471" ca="1" si="2449">AT1455-AX1455</f>
        <v>529858.6263100002</v>
      </c>
      <c r="AZ1455" s="2576">
        <f ca="1">IFERROR(AT1455/AX1455,0)</f>
        <v>1.2731301834790503</v>
      </c>
      <c r="BB1455" s="2140">
        <f ca="1">BB14</f>
        <v>9240772.2223199997</v>
      </c>
      <c r="BC1455" s="2140">
        <f ca="1">BC14</f>
        <v>0</v>
      </c>
      <c r="BD1455" s="2575">
        <f t="shared" ref="BD1455:BD1471" ca="1" si="2450">BB1455-BC1455</f>
        <v>9240772.2223199997</v>
      </c>
      <c r="BE1455" s="2576">
        <f ca="1">IFERROR(BB1455/BC1455,0)</f>
        <v>0</v>
      </c>
      <c r="BF1455" s="2140">
        <f ca="1">BF14</f>
        <v>6980546</v>
      </c>
      <c r="BG1455" s="2575">
        <f t="shared" ref="BG1455:BG1471" ca="1" si="2451">BB1455-BF1455</f>
        <v>2260226.2223199997</v>
      </c>
      <c r="BH1455" s="2576">
        <f ca="1">IFERROR(BB1455/BF1455,0)</f>
        <v>1.3237893170992641</v>
      </c>
    </row>
    <row r="1456" spans="1:60" s="998" customFormat="1" ht="14.5">
      <c r="A1456" s="990">
        <v>1</v>
      </c>
      <c r="B1456" s="990">
        <v>1</v>
      </c>
      <c r="C1456" s="990" t="s">
        <v>863</v>
      </c>
      <c r="D1456" s="1121" t="s">
        <v>887</v>
      </c>
      <c r="E1456" s="1243">
        <v>1</v>
      </c>
      <c r="F1456" s="999"/>
      <c r="G1456" s="999"/>
      <c r="H1456" s="1000"/>
      <c r="I1456" s="1007" t="s">
        <v>864</v>
      </c>
      <c r="J1456" s="1006"/>
      <c r="K1456" s="1006"/>
      <c r="L1456" s="1021"/>
      <c r="M1456" s="1004"/>
      <c r="N1456" s="1004"/>
      <c r="O1456" s="1004"/>
      <c r="P1456" s="1044" t="s">
        <v>875</v>
      </c>
      <c r="Q1456" s="1880" t="str">
        <f>CHOOSE(2, "6722000004374", "Variable Cost B")</f>
        <v>Variable Cost B</v>
      </c>
      <c r="R1456" s="1005">
        <f>SUM(R1458:R1460)</f>
        <v>490037</v>
      </c>
      <c r="S1456" s="1005">
        <f t="shared" ref="S1456:AC1456" si="2452">SUM(S1458:S1460)</f>
        <v>496942.37670858658</v>
      </c>
      <c r="T1456" s="1005">
        <f t="shared" si="2452"/>
        <v>498562.04822718608</v>
      </c>
      <c r="U1456" s="1005">
        <f t="shared" si="2452"/>
        <v>520411.01785004942</v>
      </c>
      <c r="V1456" s="1005">
        <f t="shared" si="2452"/>
        <v>603884.34793055744</v>
      </c>
      <c r="W1456" s="1005">
        <f t="shared" si="2452"/>
        <v>551291.7025530152</v>
      </c>
      <c r="X1456" s="1005">
        <f t="shared" si="2452"/>
        <v>598322.59219036205</v>
      </c>
      <c r="Y1456" s="1005">
        <f t="shared" si="2452"/>
        <v>585212.27957829612</v>
      </c>
      <c r="Z1456" s="1005">
        <f t="shared" si="2452"/>
        <v>656011.17906290398</v>
      </c>
      <c r="AA1456" s="1005">
        <f t="shared" si="2452"/>
        <v>612855.8227926878</v>
      </c>
      <c r="AB1456" s="1005">
        <f t="shared" si="2452"/>
        <v>667029.02953058411</v>
      </c>
      <c r="AC1456" s="1005">
        <f t="shared" si="2452"/>
        <v>553543.66414033354</v>
      </c>
      <c r="AD1456" s="1005">
        <f t="shared" ref="AD1456:AJ1456" si="2453">SUM(AD1458:AD1460)</f>
        <v>1485542.439436669</v>
      </c>
      <c r="AE1456" s="1005">
        <f t="shared" si="2453"/>
        <v>1675585.5556655095</v>
      </c>
      <c r="AF1456" s="1005">
        <f t="shared" si="2453"/>
        <v>1839546.2861199048</v>
      </c>
      <c r="AG1456" s="1005">
        <f t="shared" si="2453"/>
        <v>1833428.5185436055</v>
      </c>
      <c r="AH1456" s="1005">
        <f t="shared" si="2453"/>
        <v>3161127.9951021788</v>
      </c>
      <c r="AI1456" s="1005">
        <f t="shared" si="2453"/>
        <v>3672974.8046635105</v>
      </c>
      <c r="AJ1456" s="1005">
        <f t="shared" si="2453"/>
        <v>6834102.7997656893</v>
      </c>
      <c r="AL1456" s="1007">
        <f ca="1">SUM(AL1458:AL1460)</f>
        <v>553543.66414033354</v>
      </c>
      <c r="AM1456" s="1005">
        <f ca="1">SUM(AM1458:AM1460)</f>
        <v>0</v>
      </c>
      <c r="AN1456" s="1008">
        <f t="shared" ca="1" si="2446"/>
        <v>553543.66414033354</v>
      </c>
      <c r="AO1456" s="1009">
        <f ca="1">IFERROR(AL1456/AM1456,0)</f>
        <v>0</v>
      </c>
      <c r="AP1456" s="1007">
        <f ca="1">SUM(AP1458:AP1460)</f>
        <v>525941.89318999997</v>
      </c>
      <c r="AQ1456" s="1008">
        <f t="shared" ca="1" si="2447"/>
        <v>27601.770950333565</v>
      </c>
      <c r="AR1456" s="1009">
        <f ca="1">IFERROR(AL1456/AP1456,0)</f>
        <v>1.0524806472116535</v>
      </c>
      <c r="AT1456" s="1007">
        <f ca="1">SUM(AT1458:AT1460)</f>
        <v>1833428.5185436055</v>
      </c>
      <c r="AU1456" s="1005">
        <f ca="1">SUM(AU1458:AU1460)</f>
        <v>0</v>
      </c>
      <c r="AV1456" s="1008">
        <f t="shared" ca="1" si="2448"/>
        <v>1833428.5185436055</v>
      </c>
      <c r="AW1456" s="1009">
        <f ca="1">IFERROR(AT1456/AU1456,0)</f>
        <v>0</v>
      </c>
      <c r="AX1456" s="1007">
        <f ca="1">SUM(AX1458:AX1460)</f>
        <v>1322678.69319</v>
      </c>
      <c r="AY1456" s="1008">
        <f t="shared" ca="1" si="2449"/>
        <v>510749.82535360544</v>
      </c>
      <c r="AZ1456" s="1009">
        <f ca="1">IFERROR(AT1456/AX1456,0)</f>
        <v>1.3861480705656437</v>
      </c>
      <c r="BB1456" s="1007">
        <f ca="1">SUM(BB1458:BB1460)</f>
        <v>6834102.7997656884</v>
      </c>
      <c r="BC1456" s="1005">
        <f ca="1">SUM(BC1458:BC1460)</f>
        <v>0</v>
      </c>
      <c r="BD1456" s="1008">
        <f t="shared" ca="1" si="2450"/>
        <v>6834102.7997656884</v>
      </c>
      <c r="BE1456" s="1009">
        <f ca="1">IFERROR(BB1456/BC1456,0)</f>
        <v>0</v>
      </c>
      <c r="BF1456" s="1007">
        <f ca="1">SUM(BF1458:BF1460)</f>
        <v>4799282.69319</v>
      </c>
      <c r="BG1456" s="1008">
        <f t="shared" ca="1" si="2451"/>
        <v>2034820.1065756883</v>
      </c>
      <c r="BH1456" s="1009">
        <f ca="1">IFERROR(BB1456/BF1456,0)</f>
        <v>1.4239842152793001</v>
      </c>
    </row>
    <row r="1457" spans="1:60" s="1030" customFormat="1" ht="14.5">
      <c r="A1457" s="990">
        <v>1</v>
      </c>
      <c r="B1457" s="990">
        <v>1</v>
      </c>
      <c r="C1457" s="990" t="s">
        <v>863</v>
      </c>
      <c r="D1457" s="1121" t="s">
        <v>887</v>
      </c>
      <c r="E1457" s="1243">
        <v>1</v>
      </c>
      <c r="F1457" s="1025"/>
      <c r="G1457" s="1025"/>
      <c r="H1457" s="1025"/>
      <c r="I1457" s="1026"/>
      <c r="J1457" s="1027" t="s">
        <v>135</v>
      </c>
      <c r="K1457" s="1027"/>
      <c r="L1457" s="1027"/>
      <c r="M1457" s="1028"/>
      <c r="N1457" s="1028"/>
      <c r="O1457" s="1028"/>
      <c r="P1457" s="1045"/>
      <c r="Q1457" s="1850" t="str">
        <f>CHOOSE(2, "6722000004375", "Variable Cost (%)")</f>
        <v>Variable Cost (%)</v>
      </c>
      <c r="R1457" s="1029">
        <f>IFERROR(R1456/R1455,0)</f>
        <v>0.75476815734957758</v>
      </c>
      <c r="S1457" s="1029">
        <f t="shared" ref="S1457:AC1457" si="2454">IFERROR(S1456/S1455,0)</f>
        <v>0.75658722347273699</v>
      </c>
      <c r="T1457" s="1029">
        <f t="shared" si="2454"/>
        <v>0.71941433574241398</v>
      </c>
      <c r="U1457" s="1029">
        <f t="shared" si="2454"/>
        <v>0.73365318541697722</v>
      </c>
      <c r="V1457" s="1029">
        <f t="shared" si="2454"/>
        <v>0.72963505562817221</v>
      </c>
      <c r="W1457" s="1029">
        <f t="shared" si="2454"/>
        <v>0.77528024356093583</v>
      </c>
      <c r="X1457" s="1029">
        <f t="shared" si="2454"/>
        <v>0.68508520840936626</v>
      </c>
      <c r="Y1457" s="1029">
        <f t="shared" si="2454"/>
        <v>0.7336576297517452</v>
      </c>
      <c r="Z1457" s="1029">
        <f t="shared" si="2454"/>
        <v>0.7692646249405225</v>
      </c>
      <c r="AA1457" s="1029">
        <f t="shared" si="2454"/>
        <v>0.73431347439864725</v>
      </c>
      <c r="AB1457" s="1029">
        <f t="shared" si="2454"/>
        <v>0.76573746998489167</v>
      </c>
      <c r="AC1457" s="1029">
        <f t="shared" si="2454"/>
        <v>0.72442265273555428</v>
      </c>
      <c r="AD1457" s="1029">
        <f t="shared" ref="AD1457:AJ1457" si="2455">IFERROR(AD1456/AD1455,0)</f>
        <v>0.74311044963859452</v>
      </c>
      <c r="AE1457" s="1029">
        <f t="shared" si="2455"/>
        <v>0.74534018633461385</v>
      </c>
      <c r="AF1457" s="1029">
        <f t="shared" si="2455"/>
        <v>0.72888073604994419</v>
      </c>
      <c r="AG1457" s="1029">
        <f t="shared" si="2455"/>
        <v>0.74233656865123021</v>
      </c>
      <c r="AH1457" s="1029">
        <f t="shared" si="2455"/>
        <v>0.74429067828197326</v>
      </c>
      <c r="AI1457" s="1029">
        <f t="shared" si="2455"/>
        <v>0.73553591344566482</v>
      </c>
      <c r="AJ1457" s="1029">
        <f t="shared" si="2455"/>
        <v>0.7395597072784369</v>
      </c>
      <c r="AL1457" s="1034">
        <f ca="1">IFERROR(AL1456/AL1455,0)</f>
        <v>0.72442265273555428</v>
      </c>
      <c r="AM1457" s="1029">
        <f ca="1">IFERROR(AM1456/AM1455,0)</f>
        <v>0</v>
      </c>
      <c r="AN1457" s="1034">
        <f t="shared" ca="1" si="2446"/>
        <v>0.72442265273555428</v>
      </c>
      <c r="AO1457" s="1034"/>
      <c r="AP1457" s="1034">
        <f ca="1">IFERROR(AP1456/AP1455,0)</f>
        <v>0.68269741116164839</v>
      </c>
      <c r="AQ1457" s="1034">
        <f t="shared" ca="1" si="2447"/>
        <v>4.1725241573905891E-2</v>
      </c>
      <c r="AR1457" s="1034"/>
      <c r="AT1457" s="1034">
        <f ca="1">IFERROR(AT1456/AT1455,0)</f>
        <v>0.74233656865123021</v>
      </c>
      <c r="AU1457" s="1029">
        <f ca="1">IFERROR(AU1456/AU1455,0)</f>
        <v>0</v>
      </c>
      <c r="AV1457" s="1034">
        <f t="shared" ca="1" si="2448"/>
        <v>0.74233656865123021</v>
      </c>
      <c r="AW1457" s="1034"/>
      <c r="AX1457" s="1034">
        <f ca="1">IFERROR(AX1456/AX1455,0)</f>
        <v>0.68181106471871167</v>
      </c>
      <c r="AY1457" s="1034">
        <f t="shared" ca="1" si="2449"/>
        <v>6.0525503932518543E-2</v>
      </c>
      <c r="AZ1457" s="1034"/>
      <c r="BB1457" s="1034">
        <f ca="1">IFERROR(BB1456/BB1455,0)</f>
        <v>0.73955970727843678</v>
      </c>
      <c r="BC1457" s="1029">
        <f ca="1">IFERROR(BC1456/BC1455,0)</f>
        <v>0</v>
      </c>
      <c r="BD1457" s="1034">
        <f t="shared" ca="1" si="2450"/>
        <v>0.73955970727843678</v>
      </c>
      <c r="BE1457" s="1034"/>
      <c r="BF1457" s="1034">
        <f ca="1">IFERROR(BF1456/BF1455,0)</f>
        <v>0.68752253665973984</v>
      </c>
      <c r="BG1457" s="1034">
        <f t="shared" ca="1" si="2451"/>
        <v>5.2037170618696948E-2</v>
      </c>
      <c r="BH1457" s="1034"/>
    </row>
    <row r="1458" spans="1:60" s="1002" customFormat="1" ht="14.5">
      <c r="A1458" s="990">
        <v>1</v>
      </c>
      <c r="B1458" s="990">
        <v>1</v>
      </c>
      <c r="C1458" s="990" t="s">
        <v>863</v>
      </c>
      <c r="D1458" s="1121" t="s">
        <v>887</v>
      </c>
      <c r="E1458" s="1243">
        <v>1</v>
      </c>
      <c r="F1458" s="1000"/>
      <c r="G1458" s="1000"/>
      <c r="H1458" s="1000"/>
      <c r="I1458" s="1003"/>
      <c r="J1458" s="1004" t="s">
        <v>869</v>
      </c>
      <c r="K1458" s="1004"/>
      <c r="L1458" s="1004"/>
      <c r="M1458" s="1004"/>
      <c r="N1458" s="1004"/>
      <c r="O1458" s="1004"/>
      <c r="P1458" s="1044"/>
      <c r="Q1458" s="1880" t="str">
        <f>CHOOSE(2, "6722000004376", "Variable Cost COGS (material cost)")</f>
        <v>Variable Cost COGS (material cost)</v>
      </c>
      <c r="R1458" s="1006">
        <f t="shared" ref="R1458:AC1458" si="2456">R16-R1465</f>
        <v>420274</v>
      </c>
      <c r="S1458" s="1006">
        <f t="shared" si="2456"/>
        <v>441629</v>
      </c>
      <c r="T1458" s="1006">
        <f t="shared" si="2456"/>
        <v>444719</v>
      </c>
      <c r="U1458" s="1006">
        <f t="shared" si="2456"/>
        <v>447212</v>
      </c>
      <c r="V1458" s="1006">
        <f t="shared" si="2456"/>
        <v>524214.18046775908</v>
      </c>
      <c r="W1458" s="1006">
        <f t="shared" si="2456"/>
        <v>495055</v>
      </c>
      <c r="X1458" s="1006">
        <f t="shared" si="2456"/>
        <v>522776</v>
      </c>
      <c r="Y1458" s="1006">
        <f t="shared" si="2456"/>
        <v>516342</v>
      </c>
      <c r="Z1458" s="1006">
        <f t="shared" si="2456"/>
        <v>571433</v>
      </c>
      <c r="AA1458" s="1006">
        <f t="shared" si="2456"/>
        <v>515323</v>
      </c>
      <c r="AB1458" s="1006">
        <f t="shared" si="2456"/>
        <v>576577.67473041685</v>
      </c>
      <c r="AC1458" s="1006">
        <f t="shared" si="2456"/>
        <v>559479</v>
      </c>
      <c r="AD1458" s="1006">
        <f t="shared" ref="AD1458:AJ1458" si="2457">AD16-AD1465</f>
        <v>1306622</v>
      </c>
      <c r="AE1458" s="1006">
        <f t="shared" si="2457"/>
        <v>1466481.180467759</v>
      </c>
      <c r="AF1458" s="1006">
        <f t="shared" si="2457"/>
        <v>1610551.0000000002</v>
      </c>
      <c r="AG1458" s="1006">
        <f t="shared" si="2457"/>
        <v>1651379.6747304169</v>
      </c>
      <c r="AH1458" s="1006">
        <f t="shared" si="2457"/>
        <v>2773103.1804677593</v>
      </c>
      <c r="AI1458" s="1006">
        <f t="shared" si="2457"/>
        <v>3261930.6747304173</v>
      </c>
      <c r="AJ1458" s="1006">
        <f t="shared" si="2457"/>
        <v>6035033.8551981766</v>
      </c>
      <c r="AL1458" s="1006">
        <f ca="1">AL16-AL1465</f>
        <v>559479</v>
      </c>
      <c r="AM1458" s="1006">
        <f ca="1">AM16-AM1465</f>
        <v>0</v>
      </c>
      <c r="AN1458" s="1041">
        <f t="shared" ca="1" si="2446"/>
        <v>559479</v>
      </c>
      <c r="AO1458" s="1039">
        <f ca="1">IFERROR(AL1458/AM1458,0)</f>
        <v>0</v>
      </c>
      <c r="AP1458" s="1006">
        <f ca="1">AP16-AP1465</f>
        <v>478603</v>
      </c>
      <c r="AQ1458" s="1041">
        <f t="shared" ca="1" si="2447"/>
        <v>80876</v>
      </c>
      <c r="AR1458" s="1039">
        <f ca="1">IFERROR(AL1458/AP1458,0)</f>
        <v>1.1689834790003406</v>
      </c>
      <c r="AT1458" s="1006">
        <f ca="1">AT16-AT1465</f>
        <v>1651379.6747304169</v>
      </c>
      <c r="AU1458" s="1006">
        <f ca="1">AU16-AU1465</f>
        <v>0</v>
      </c>
      <c r="AV1458" s="1041">
        <f t="shared" ca="1" si="2448"/>
        <v>1651379.6747304169</v>
      </c>
      <c r="AW1458" s="1039">
        <f ca="1">IFERROR(AT1458/AU1458,0)</f>
        <v>0</v>
      </c>
      <c r="AX1458" s="1006">
        <f ca="1">AX16-AX1465</f>
        <v>1212756</v>
      </c>
      <c r="AY1458" s="1041">
        <f t="shared" ca="1" si="2449"/>
        <v>438623.67473041685</v>
      </c>
      <c r="AZ1458" s="1039">
        <f ca="1">IFERROR(AT1458/AX1458,0)</f>
        <v>1.3616751223909977</v>
      </c>
      <c r="BB1458" s="1006">
        <f ca="1">BB16-BB1465</f>
        <v>6035033.8551981756</v>
      </c>
      <c r="BC1458" s="1006">
        <f ca="1">BC16-BC1465</f>
        <v>0</v>
      </c>
      <c r="BD1458" s="1041">
        <f t="shared" ca="1" si="2450"/>
        <v>6035033.8551981756</v>
      </c>
      <c r="BE1458" s="1039">
        <f ca="1">IFERROR(BB1458/BC1458,0)</f>
        <v>0</v>
      </c>
      <c r="BF1458" s="1006">
        <f ca="1">BF16-BF1465</f>
        <v>4297763</v>
      </c>
      <c r="BG1458" s="1041">
        <f t="shared" ca="1" si="2451"/>
        <v>1737270.8551981756</v>
      </c>
      <c r="BH1458" s="1039">
        <f ca="1">IFERROR(BB1458/BF1458,0)</f>
        <v>1.4042267698796271</v>
      </c>
    </row>
    <row r="1459" spans="1:60" s="1002" customFormat="1" ht="14.5">
      <c r="A1459" s="990">
        <v>1</v>
      </c>
      <c r="B1459" s="990">
        <v>1</v>
      </c>
      <c r="C1459" s="990" t="s">
        <v>863</v>
      </c>
      <c r="D1459" s="1121" t="s">
        <v>887</v>
      </c>
      <c r="E1459" s="1243">
        <v>1</v>
      </c>
      <c r="F1459" s="1000"/>
      <c r="G1459" s="1000"/>
      <c r="H1459" s="1000"/>
      <c r="I1459" s="1003"/>
      <c r="J1459" s="1004" t="s">
        <v>870</v>
      </c>
      <c r="K1459" s="1004"/>
      <c r="L1459" s="1004"/>
      <c r="M1459" s="1004"/>
      <c r="N1459" s="1004"/>
      <c r="O1459" s="1004"/>
      <c r="P1459" s="1044"/>
      <c r="Q1459" s="1880" t="str">
        <f>CHOOSE(2, "6722000004377", "Variable Cost Wages &amp; Salaries (SG&amp;A - variable)")</f>
        <v>Variable Cost Wages &amp; Salaries (SG&amp;A - variable)</v>
      </c>
      <c r="R1459" s="1006">
        <f t="shared" ref="R1459:AC1459" si="2458">R22-SUM(R46:R47)</f>
        <v>8101</v>
      </c>
      <c r="S1459" s="1006">
        <f t="shared" si="2458"/>
        <v>5780.3767085866129</v>
      </c>
      <c r="T1459" s="1006">
        <f t="shared" si="2458"/>
        <v>6078.0482271860747</v>
      </c>
      <c r="U1459" s="1006">
        <f t="shared" si="2458"/>
        <v>5440.0178500494076</v>
      </c>
      <c r="V1459" s="1006">
        <f t="shared" si="2458"/>
        <v>5937.5893227983906</v>
      </c>
      <c r="W1459" s="1006">
        <f t="shared" si="2458"/>
        <v>5855.5831830152238</v>
      </c>
      <c r="X1459" s="1006">
        <f t="shared" si="2458"/>
        <v>32768.096140362119</v>
      </c>
      <c r="Y1459" s="1006">
        <f t="shared" si="2458"/>
        <v>13891.647138296139</v>
      </c>
      <c r="Z1459" s="1006">
        <f t="shared" si="2458"/>
        <v>11283.775362903994</v>
      </c>
      <c r="AA1459" s="1006">
        <f t="shared" si="2458"/>
        <v>12339.649852687886</v>
      </c>
      <c r="AB1459" s="1006">
        <f t="shared" si="2458"/>
        <v>9602.3619101672957</v>
      </c>
      <c r="AC1459" s="1006">
        <f t="shared" si="2458"/>
        <v>-1903.5492896664873</v>
      </c>
      <c r="AD1459" s="1006">
        <f t="shared" ref="AD1459:AJ1459" si="2459">AD22-SUM(AD46:AD47)</f>
        <v>19959.424935772695</v>
      </c>
      <c r="AE1459" s="1006">
        <f t="shared" si="2459"/>
        <v>17233.190355863044</v>
      </c>
      <c r="AF1459" s="1006">
        <f t="shared" si="2459"/>
        <v>57943.518641562259</v>
      </c>
      <c r="AG1459" s="1006">
        <f t="shared" si="2459"/>
        <v>20038.462473188672</v>
      </c>
      <c r="AH1459" s="1006">
        <f t="shared" si="2459"/>
        <v>37192.615291635739</v>
      </c>
      <c r="AI1459" s="1006">
        <f t="shared" si="2459"/>
        <v>77981.981114750903</v>
      </c>
      <c r="AJ1459" s="1006">
        <f t="shared" si="2459"/>
        <v>115174.59640638658</v>
      </c>
      <c r="AL1459" s="1006">
        <f ca="1">AL22-SUM(AL46:AL47)</f>
        <v>-1903.5492896664873</v>
      </c>
      <c r="AM1459" s="1006">
        <f ca="1">AM22-SUM(AM46:AM47)</f>
        <v>0</v>
      </c>
      <c r="AN1459" s="1041">
        <f t="shared" ca="1" si="2446"/>
        <v>-1903.5492896664873</v>
      </c>
      <c r="AO1459" s="1039">
        <f ca="1">IFERROR(AL1459/AM1459,0)</f>
        <v>0</v>
      </c>
      <c r="AP1459" s="1006">
        <f ca="1">AP22-SUM(AP46:AP47)</f>
        <v>8887.8931899999588</v>
      </c>
      <c r="AQ1459" s="1041">
        <f t="shared" ca="1" si="2447"/>
        <v>-10791.442479666446</v>
      </c>
      <c r="AR1459" s="1039">
        <f ca="1">IFERROR(AL1459/AP1459,0)</f>
        <v>-0.21417328594905136</v>
      </c>
      <c r="AT1459" s="1006">
        <f ca="1">AT22-SUM(AT46:AT47)</f>
        <v>20038.462473188672</v>
      </c>
      <c r="AU1459" s="1006">
        <f ca="1">AU22-SUM(AU46:AU47)</f>
        <v>0</v>
      </c>
      <c r="AV1459" s="1041">
        <f t="shared" ca="1" si="2448"/>
        <v>20038.462473188672</v>
      </c>
      <c r="AW1459" s="1039">
        <f ca="1">IFERROR(AT1459/AU1459,0)</f>
        <v>0</v>
      </c>
      <c r="AX1459" s="1006">
        <f ca="1">AX22-SUM(AX46:AX47)</f>
        <v>28546.693189999991</v>
      </c>
      <c r="AY1459" s="1041">
        <f t="shared" ca="1" si="2449"/>
        <v>-8508.2307168113184</v>
      </c>
      <c r="AZ1459" s="1039">
        <f ca="1">IFERROR(AT1459/AX1459,0)</f>
        <v>0.70195389496840976</v>
      </c>
      <c r="BB1459" s="1006">
        <f ca="1">BB22-SUM(BB46:BB47)</f>
        <v>115174.59640638658</v>
      </c>
      <c r="BC1459" s="1006">
        <f ca="1">BC22-SUM(BC46:BC47)</f>
        <v>0</v>
      </c>
      <c r="BD1459" s="1041">
        <f t="shared" ca="1" si="2450"/>
        <v>115174.59640638658</v>
      </c>
      <c r="BE1459" s="1039">
        <f ca="1">IFERROR(BB1459/BC1459,0)</f>
        <v>0</v>
      </c>
      <c r="BF1459" s="1006">
        <f ca="1">BF22-SUM(BF46:BF47)</f>
        <v>93354.69319000002</v>
      </c>
      <c r="BG1459" s="1041">
        <f t="shared" ca="1" si="2451"/>
        <v>21819.903216386563</v>
      </c>
      <c r="BH1459" s="1039">
        <f ca="1">IFERROR(BB1459/BF1459,0)</f>
        <v>1.2337311866258038</v>
      </c>
    </row>
    <row r="1460" spans="1:60" s="1002" customFormat="1" ht="14.5">
      <c r="A1460" s="990">
        <v>1</v>
      </c>
      <c r="B1460" s="990">
        <v>1</v>
      </c>
      <c r="C1460" s="990" t="s">
        <v>863</v>
      </c>
      <c r="D1460" s="1121" t="s">
        <v>887</v>
      </c>
      <c r="E1460" s="1243">
        <v>1</v>
      </c>
      <c r="F1460" s="1000"/>
      <c r="G1460" s="1000"/>
      <c r="H1460" s="1000"/>
      <c r="I1460" s="1010"/>
      <c r="J1460" s="1011" t="s">
        <v>872</v>
      </c>
      <c r="K1460" s="1011"/>
      <c r="L1460" s="1011"/>
      <c r="M1460" s="1011"/>
      <c r="N1460" s="1011"/>
      <c r="O1460" s="1011"/>
      <c r="P1460" s="1046"/>
      <c r="Q1460" s="1880" t="str">
        <f>CHOOSE(2, "6722000004378", "Variable Cost SG&amp;A variable")</f>
        <v>Variable Cost SG&amp;A variable</v>
      </c>
      <c r="R1460" s="1012">
        <f t="shared" ref="R1460:AC1460" si="2460">R40</f>
        <v>61662</v>
      </c>
      <c r="S1460" s="1012">
        <f t="shared" si="2460"/>
        <v>49533</v>
      </c>
      <c r="T1460" s="1012">
        <f t="shared" si="2460"/>
        <v>47765</v>
      </c>
      <c r="U1460" s="1012">
        <f t="shared" si="2460"/>
        <v>67759</v>
      </c>
      <c r="V1460" s="1012">
        <f t="shared" si="2460"/>
        <v>73732.578139999998</v>
      </c>
      <c r="W1460" s="1012">
        <f t="shared" si="2460"/>
        <v>50381.11937</v>
      </c>
      <c r="X1460" s="1012">
        <f t="shared" si="2460"/>
        <v>42778.496050000002</v>
      </c>
      <c r="Y1460" s="1012">
        <f t="shared" si="2460"/>
        <v>54978.632440000001</v>
      </c>
      <c r="Z1460" s="1012">
        <f t="shared" si="2460"/>
        <v>73294.403699999995</v>
      </c>
      <c r="AA1460" s="1012">
        <f t="shared" si="2460"/>
        <v>85193.172939999989</v>
      </c>
      <c r="AB1460" s="1012">
        <f t="shared" si="2460"/>
        <v>80848.992889999994</v>
      </c>
      <c r="AC1460" s="1012">
        <f t="shared" si="2460"/>
        <v>-4031.786569999982</v>
      </c>
      <c r="AD1460" s="1012">
        <f t="shared" ref="AD1460:AJ1460" si="2461">AD21</f>
        <v>158961.0145008963</v>
      </c>
      <c r="AE1460" s="1012">
        <f t="shared" si="2461"/>
        <v>191871.18484188759</v>
      </c>
      <c r="AF1460" s="1012">
        <f t="shared" si="2461"/>
        <v>171051.76747834252</v>
      </c>
      <c r="AG1460" s="1012">
        <f t="shared" si="2461"/>
        <v>162010.38133999991</v>
      </c>
      <c r="AH1460" s="1012">
        <f t="shared" si="2461"/>
        <v>350832.19934278389</v>
      </c>
      <c r="AI1460" s="1012">
        <f t="shared" si="2461"/>
        <v>333062.14881834242</v>
      </c>
      <c r="AJ1460" s="1012">
        <f t="shared" si="2461"/>
        <v>683894.34816112625</v>
      </c>
      <c r="AL1460" s="1012">
        <f ca="1">AL21</f>
        <v>-4031.786570000033</v>
      </c>
      <c r="AM1460" s="1012">
        <f ca="1">AM21</f>
        <v>0</v>
      </c>
      <c r="AN1460" s="1042">
        <f t="shared" ca="1" si="2446"/>
        <v>-4031.786570000033</v>
      </c>
      <c r="AO1460" s="1040">
        <f ca="1">IFERROR(AL1460/AM1460,0)</f>
        <v>0</v>
      </c>
      <c r="AP1460" s="1012">
        <f ca="1">AP21</f>
        <v>38451</v>
      </c>
      <c r="AQ1460" s="1042">
        <f t="shared" ca="1" si="2447"/>
        <v>-42482.786570000033</v>
      </c>
      <c r="AR1460" s="1040">
        <f ca="1">IFERROR(AL1460/AP1460,0)</f>
        <v>-0.10485518113963312</v>
      </c>
      <c r="AT1460" s="1012">
        <f ca="1">AT21</f>
        <v>162010.38133999991</v>
      </c>
      <c r="AU1460" s="1012">
        <f ca="1">AU21</f>
        <v>0</v>
      </c>
      <c r="AV1460" s="1042">
        <f t="shared" ca="1" si="2448"/>
        <v>162010.38133999991</v>
      </c>
      <c r="AW1460" s="1040">
        <f ca="1">IFERROR(AT1460/AU1460,0)</f>
        <v>0</v>
      </c>
      <c r="AX1460" s="1012">
        <f ca="1">AX21</f>
        <v>81376</v>
      </c>
      <c r="AY1460" s="1042">
        <f t="shared" ca="1" si="2449"/>
        <v>80634.381339999905</v>
      </c>
      <c r="AZ1460" s="1040">
        <f ca="1">IFERROR(AT1460/AX1460,0)</f>
        <v>1.9908865186295701</v>
      </c>
      <c r="BB1460" s="1012">
        <f ca="1">BB21</f>
        <v>683894.34816112637</v>
      </c>
      <c r="BC1460" s="1012">
        <f ca="1">BC21</f>
        <v>0</v>
      </c>
      <c r="BD1460" s="1042">
        <f t="shared" ca="1" si="2450"/>
        <v>683894.34816112637</v>
      </c>
      <c r="BE1460" s="1040">
        <f ca="1">IFERROR(BB1460/BC1460,0)</f>
        <v>0</v>
      </c>
      <c r="BF1460" s="1012">
        <f ca="1">BF21</f>
        <v>408165</v>
      </c>
      <c r="BG1460" s="1042">
        <f t="shared" ca="1" si="2451"/>
        <v>275729.34816112637</v>
      </c>
      <c r="BH1460" s="1040">
        <f ca="1">IFERROR(BB1460/BF1460,0)</f>
        <v>1.6755340319751237</v>
      </c>
    </row>
    <row r="1461" spans="1:60" s="998" customFormat="1" ht="14.5">
      <c r="A1461" s="990">
        <v>1</v>
      </c>
      <c r="B1461" s="990">
        <v>1</v>
      </c>
      <c r="C1461" s="990" t="s">
        <v>863</v>
      </c>
      <c r="D1461" s="1121" t="s">
        <v>887</v>
      </c>
      <c r="E1461" s="1243">
        <v>1</v>
      </c>
      <c r="F1461" s="999"/>
      <c r="G1461" s="999"/>
      <c r="H1461" s="1000"/>
      <c r="I1461" s="1013" t="s">
        <v>865</v>
      </c>
      <c r="J1461" s="1014"/>
      <c r="K1461" s="1014"/>
      <c r="L1461" s="1014"/>
      <c r="M1461" s="1014"/>
      <c r="N1461" s="1014"/>
      <c r="O1461" s="1014"/>
      <c r="P1461" s="1047" t="s">
        <v>876</v>
      </c>
      <c r="Q1461" s="1840" t="str">
        <f>CHOOSE(2, "6722000004379", "Marginal Profit C = A - B")</f>
        <v>Marginal Profit C = A - B</v>
      </c>
      <c r="R1461" s="1015">
        <f>R1455-R1456</f>
        <v>159218</v>
      </c>
      <c r="S1461" s="1015">
        <f t="shared" ref="S1461:AC1461" si="2462">S1455-S1456</f>
        <v>159878.62329141342</v>
      </c>
      <c r="T1461" s="1015">
        <f t="shared" si="2462"/>
        <v>194448.95177281392</v>
      </c>
      <c r="U1461" s="1015">
        <f t="shared" si="2462"/>
        <v>188930.98214995058</v>
      </c>
      <c r="V1461" s="1015">
        <f t="shared" si="2462"/>
        <v>223768.24807944254</v>
      </c>
      <c r="W1461" s="1015">
        <f t="shared" si="2462"/>
        <v>159795.2974469848</v>
      </c>
      <c r="X1461" s="1015">
        <f t="shared" si="2462"/>
        <v>275032.40780963795</v>
      </c>
      <c r="Y1461" s="1015">
        <f t="shared" si="2462"/>
        <v>212451.72042170388</v>
      </c>
      <c r="Z1461" s="1015">
        <f t="shared" si="2462"/>
        <v>196765.82093709602</v>
      </c>
      <c r="AA1461" s="1015">
        <f t="shared" si="2462"/>
        <v>221741.1772073122</v>
      </c>
      <c r="AB1461" s="1015">
        <f t="shared" si="2462"/>
        <v>204064.59677941597</v>
      </c>
      <c r="AC1461" s="1015">
        <f t="shared" si="2462"/>
        <v>210573.33585966646</v>
      </c>
      <c r="AD1461" s="1015">
        <f t="shared" ref="AD1461:AJ1461" si="2463">AD1455-AD1456</f>
        <v>513544.560563331</v>
      </c>
      <c r="AE1461" s="1015">
        <f t="shared" si="2463"/>
        <v>572496.04034449044</v>
      </c>
      <c r="AF1461" s="1015">
        <f t="shared" si="2463"/>
        <v>684249.71388009517</v>
      </c>
      <c r="AG1461" s="1015">
        <f t="shared" si="2463"/>
        <v>636379.10776639474</v>
      </c>
      <c r="AH1461" s="1015">
        <f t="shared" si="2463"/>
        <v>1086040.6009078207</v>
      </c>
      <c r="AI1461" s="1015">
        <f t="shared" si="2463"/>
        <v>1320628.8216464897</v>
      </c>
      <c r="AJ1461" s="1015">
        <f t="shared" si="2463"/>
        <v>2406669.4225543104</v>
      </c>
      <c r="AL1461" s="1015">
        <f ca="1">AL1455-AL1456</f>
        <v>210573.33585966646</v>
      </c>
      <c r="AM1461" s="1015">
        <f ca="1">AM1455-AM1456</f>
        <v>0</v>
      </c>
      <c r="AN1461" s="1016">
        <f t="shared" ca="1" si="2446"/>
        <v>210573.33585966646</v>
      </c>
      <c r="AO1461" s="1017">
        <f ca="1">IFERROR(AL1461/AM1461,0)</f>
        <v>0</v>
      </c>
      <c r="AP1461" s="1015">
        <f ca="1">AP1455-AP1456</f>
        <v>244446.10681000003</v>
      </c>
      <c r="AQ1461" s="1016">
        <f t="shared" ca="1" si="2447"/>
        <v>-33872.770950333565</v>
      </c>
      <c r="AR1461" s="1017">
        <f ca="1">IFERROR(AL1461/AP1461,0)</f>
        <v>0.86143051573874418</v>
      </c>
      <c r="AT1461" s="1015">
        <f ca="1">AT1455-AT1456</f>
        <v>636379.10776639474</v>
      </c>
      <c r="AU1461" s="1015">
        <f ca="1">AU1455-AU1456</f>
        <v>0</v>
      </c>
      <c r="AV1461" s="1016">
        <f t="shared" ca="1" si="2448"/>
        <v>636379.10776639474</v>
      </c>
      <c r="AW1461" s="1017">
        <f ca="1">IFERROR(AT1461/AU1461,0)</f>
        <v>0</v>
      </c>
      <c r="AX1461" s="1015">
        <f ca="1">AX1455-AX1456</f>
        <v>617270.30680999998</v>
      </c>
      <c r="AY1461" s="1016">
        <f t="shared" ca="1" si="2449"/>
        <v>19108.800956394756</v>
      </c>
      <c r="AZ1461" s="1017">
        <f ca="1">IFERROR(AT1461/AX1461,0)</f>
        <v>1.0309569417896471</v>
      </c>
      <c r="BB1461" s="1015">
        <f ca="1">BB1455-BB1456</f>
        <v>2406669.4225543113</v>
      </c>
      <c r="BC1461" s="1015">
        <f ca="1">BC1455-BC1456</f>
        <v>0</v>
      </c>
      <c r="BD1461" s="1016">
        <f t="shared" ca="1" si="2450"/>
        <v>2406669.4225543113</v>
      </c>
      <c r="BE1461" s="1017">
        <f ca="1">IFERROR(BB1461/BC1461,0)</f>
        <v>0</v>
      </c>
      <c r="BF1461" s="1015">
        <f ca="1">BF1455-BF1456</f>
        <v>2181263.30681</v>
      </c>
      <c r="BG1461" s="1016">
        <f t="shared" ca="1" si="2451"/>
        <v>225406.11574431136</v>
      </c>
      <c r="BH1461" s="1017">
        <f ca="1">IFERROR(BB1461/BF1461,0)</f>
        <v>1.1033374169182526</v>
      </c>
    </row>
    <row r="1462" spans="1:60" s="1030" customFormat="1" ht="14.5">
      <c r="A1462" s="990">
        <v>1</v>
      </c>
      <c r="B1462" s="990">
        <v>1</v>
      </c>
      <c r="C1462" s="990" t="s">
        <v>863</v>
      </c>
      <c r="D1462" s="1121" t="s">
        <v>887</v>
      </c>
      <c r="E1462" s="1243">
        <v>1</v>
      </c>
      <c r="F1462" s="1025"/>
      <c r="G1462" s="1025"/>
      <c r="H1462" s="1025"/>
      <c r="I1462" s="1026"/>
      <c r="J1462" s="1031" t="s">
        <v>135</v>
      </c>
      <c r="K1462" s="1032"/>
      <c r="L1462" s="1032"/>
      <c r="M1462" s="1032"/>
      <c r="N1462" s="1032"/>
      <c r="O1462" s="1032"/>
      <c r="P1462" s="1044" t="s">
        <v>877</v>
      </c>
      <c r="Q1462" s="1850" t="str">
        <f>CHOOSE(2, "6722000004380", "Marginal Profit (%) D = C / A")</f>
        <v>Marginal Profit (%) D = C / A</v>
      </c>
      <c r="R1462" s="1033">
        <f>IFERROR(R1461/R1455,0)</f>
        <v>0.24523184265042242</v>
      </c>
      <c r="S1462" s="1033">
        <f t="shared" ref="S1462:AC1462" si="2464">IFERROR(S1461/S1455,0)</f>
        <v>0.24341277652726301</v>
      </c>
      <c r="T1462" s="1033">
        <f t="shared" si="2464"/>
        <v>0.28058566425758596</v>
      </c>
      <c r="U1462" s="1033">
        <f t="shared" si="2464"/>
        <v>0.26634681458302284</v>
      </c>
      <c r="V1462" s="1033">
        <f t="shared" si="2464"/>
        <v>0.27036494437182784</v>
      </c>
      <c r="W1462" s="1033">
        <f t="shared" si="2464"/>
        <v>0.22471975643906414</v>
      </c>
      <c r="X1462" s="1033">
        <f t="shared" si="2464"/>
        <v>0.31491479159063379</v>
      </c>
      <c r="Y1462" s="1033">
        <f t="shared" si="2464"/>
        <v>0.26634237024825475</v>
      </c>
      <c r="Z1462" s="1033">
        <f t="shared" si="2464"/>
        <v>0.23073537505947747</v>
      </c>
      <c r="AA1462" s="1033">
        <f t="shared" si="2464"/>
        <v>0.26568652560135275</v>
      </c>
      <c r="AB1462" s="1033">
        <f t="shared" si="2464"/>
        <v>0.23426253001510836</v>
      </c>
      <c r="AC1462" s="1033">
        <f t="shared" si="2464"/>
        <v>0.27557734726444572</v>
      </c>
      <c r="AD1462" s="1033">
        <f t="shared" ref="AD1462:AJ1462" si="2465">IFERROR(AD1461/AD1455,0)</f>
        <v>0.25688955036140548</v>
      </c>
      <c r="AE1462" s="1033">
        <f t="shared" si="2465"/>
        <v>0.25465981366538615</v>
      </c>
      <c r="AF1462" s="1033">
        <f t="shared" si="2465"/>
        <v>0.27111926395005587</v>
      </c>
      <c r="AG1462" s="1033">
        <f t="shared" si="2465"/>
        <v>0.25766343134876973</v>
      </c>
      <c r="AH1462" s="1033">
        <f t="shared" si="2465"/>
        <v>0.25570932171802668</v>
      </c>
      <c r="AI1462" s="1033">
        <f t="shared" si="2465"/>
        <v>0.26446408655433512</v>
      </c>
      <c r="AJ1462" s="1033">
        <f t="shared" si="2465"/>
        <v>0.26044029272156316</v>
      </c>
      <c r="AL1462" s="1033">
        <f ca="1">IFERROR(AL1461/AL1455,0)</f>
        <v>0.27557734726444572</v>
      </c>
      <c r="AM1462" s="1033">
        <f ca="1">IFERROR(AM1461/AM1455,0)</f>
        <v>0</v>
      </c>
      <c r="AN1462" s="1033">
        <f t="shared" ca="1" si="2446"/>
        <v>0.27557734726444572</v>
      </c>
      <c r="AO1462" s="1033"/>
      <c r="AP1462" s="1033">
        <f ca="1">IFERROR(AP1461/AP1455,0)</f>
        <v>0.31730258883835161</v>
      </c>
      <c r="AQ1462" s="1033">
        <f t="shared" ca="1" si="2447"/>
        <v>-4.1725241573905891E-2</v>
      </c>
      <c r="AR1462" s="1033"/>
      <c r="AT1462" s="1033">
        <f ca="1">IFERROR(AT1461/AT1455,0)</f>
        <v>0.25766343134876973</v>
      </c>
      <c r="AU1462" s="1033">
        <f ca="1">IFERROR(AU1461/AU1455,0)</f>
        <v>0</v>
      </c>
      <c r="AV1462" s="1033">
        <f t="shared" ca="1" si="2448"/>
        <v>0.25766343134876973</v>
      </c>
      <c r="AW1462" s="1033"/>
      <c r="AX1462" s="1033">
        <f ca="1">IFERROR(AX1461/AX1455,0)</f>
        <v>0.31818893528128833</v>
      </c>
      <c r="AY1462" s="1033">
        <f t="shared" ca="1" si="2449"/>
        <v>-6.0525503932518598E-2</v>
      </c>
      <c r="AZ1462" s="1033"/>
      <c r="BB1462" s="1033">
        <f ca="1">IFERROR(BB1461/BB1455,0)</f>
        <v>0.26044029272156327</v>
      </c>
      <c r="BC1462" s="1033">
        <f ca="1">IFERROR(BC1461/BC1455,0)</f>
        <v>0</v>
      </c>
      <c r="BD1462" s="1033">
        <f t="shared" ca="1" si="2450"/>
        <v>0.26044029272156327</v>
      </c>
      <c r="BE1462" s="1033"/>
      <c r="BF1462" s="1033">
        <f ca="1">IFERROR(BF1461/BF1455,0)</f>
        <v>0.31247746334026022</v>
      </c>
      <c r="BG1462" s="1033">
        <f t="shared" ca="1" si="2451"/>
        <v>-5.2037170618696948E-2</v>
      </c>
      <c r="BH1462" s="1033"/>
    </row>
    <row r="1463" spans="1:60" s="998" customFormat="1" ht="14.5">
      <c r="A1463" s="990">
        <v>1</v>
      </c>
      <c r="B1463" s="990">
        <v>1</v>
      </c>
      <c r="C1463" s="990" t="s">
        <v>863</v>
      </c>
      <c r="D1463" s="1121" t="s">
        <v>887</v>
      </c>
      <c r="E1463" s="1243">
        <v>1</v>
      </c>
      <c r="F1463" s="999"/>
      <c r="G1463" s="999"/>
      <c r="H1463" s="1000"/>
      <c r="I1463" s="1003" t="s">
        <v>866</v>
      </c>
      <c r="J1463" s="1004"/>
      <c r="K1463" s="1004"/>
      <c r="L1463" s="1004"/>
      <c r="M1463" s="1004"/>
      <c r="N1463" s="1004"/>
      <c r="O1463" s="1004"/>
      <c r="P1463" s="1044" t="s">
        <v>878</v>
      </c>
      <c r="Q1463" s="1880" t="str">
        <f>CHOOSE(2, "6722000004381", "Fixed Cost E")</f>
        <v>Fixed Cost E</v>
      </c>
      <c r="R1463" s="1007">
        <f>SUM(R1465:R1467)</f>
        <v>114840</v>
      </c>
      <c r="S1463" s="1007">
        <f t="shared" ref="S1463:AC1463" si="2466">SUM(S1465:S1467)</f>
        <v>120811.77351836722</v>
      </c>
      <c r="T1463" s="1007">
        <f t="shared" si="2466"/>
        <v>139423.78321242725</v>
      </c>
      <c r="U1463" s="1007">
        <f t="shared" si="2466"/>
        <v>122517.36358547016</v>
      </c>
      <c r="V1463" s="1007">
        <f t="shared" si="2466"/>
        <v>138041.73156980638</v>
      </c>
      <c r="W1463" s="1007">
        <f t="shared" si="2466"/>
        <v>99063.987353256147</v>
      </c>
      <c r="X1463" s="1007">
        <f t="shared" si="2466"/>
        <v>180747.7002699583</v>
      </c>
      <c r="Y1463" s="1007">
        <f t="shared" si="2466"/>
        <v>129605.25420454546</v>
      </c>
      <c r="Z1463" s="1007">
        <f t="shared" si="2466"/>
        <v>129317.49828</v>
      </c>
      <c r="AA1463" s="1007">
        <f t="shared" si="2466"/>
        <v>148632.93328</v>
      </c>
      <c r="AB1463" s="1007">
        <f t="shared" si="2466"/>
        <v>117088.67398999998</v>
      </c>
      <c r="AC1463" s="1007">
        <f t="shared" si="2466"/>
        <v>158694.21887416521</v>
      </c>
      <c r="AD1463" s="1007">
        <f t="shared" ref="AD1463:AJ1463" si="2467">SUM(AD1465:AD1467)</f>
        <v>375075.55673079449</v>
      </c>
      <c r="AE1463" s="1007">
        <f t="shared" si="2467"/>
        <v>359623.08250853268</v>
      </c>
      <c r="AF1463" s="1007">
        <f t="shared" si="2467"/>
        <v>439670.4527545037</v>
      </c>
      <c r="AG1463" s="1007">
        <f t="shared" si="2467"/>
        <v>424415.82614416524</v>
      </c>
      <c r="AH1463" s="1007">
        <f t="shared" si="2467"/>
        <v>734698.63923932717</v>
      </c>
      <c r="AI1463" s="1007">
        <f t="shared" si="2467"/>
        <v>864086.27889866894</v>
      </c>
      <c r="AJ1463" s="1007">
        <f t="shared" si="2467"/>
        <v>1598784.9181379962</v>
      </c>
      <c r="AK1463" s="1002"/>
      <c r="AL1463" s="1007">
        <f ca="1">SUM(AL1465:AL1467)</f>
        <v>158694.21887416521</v>
      </c>
      <c r="AM1463" s="1007">
        <f ca="1">SUM(AM1465:AM1467)</f>
        <v>0</v>
      </c>
      <c r="AN1463" s="1008">
        <f t="shared" ca="1" si="2446"/>
        <v>158694.21887416521</v>
      </c>
      <c r="AO1463" s="1009">
        <f ca="1">IFERROR(AL1463/AM1463,0)</f>
        <v>0</v>
      </c>
      <c r="AP1463" s="1007">
        <f ca="1">SUM(AP1465:AP1467)</f>
        <v>184865</v>
      </c>
      <c r="AQ1463" s="1008">
        <f t="shared" ca="1" si="2447"/>
        <v>-26170.781125834794</v>
      </c>
      <c r="AR1463" s="1009">
        <f ca="1">IFERROR(AL1463/AP1463,0)</f>
        <v>0.85843301259927629</v>
      </c>
      <c r="AS1463" s="1002"/>
      <c r="AT1463" s="1007">
        <f ca="1">SUM(AT1465:AT1467)</f>
        <v>424415.82614416524</v>
      </c>
      <c r="AU1463" s="1007">
        <f ca="1">SUM(AU1465:AU1467)</f>
        <v>0</v>
      </c>
      <c r="AV1463" s="1008">
        <f t="shared" ca="1" si="2448"/>
        <v>424415.82614416524</v>
      </c>
      <c r="AW1463" s="1009">
        <f ca="1">IFERROR(AT1463/AU1463,0)</f>
        <v>0</v>
      </c>
      <c r="AX1463" s="1007">
        <f ca="1">SUM(AX1465:AX1467)</f>
        <v>392753.2</v>
      </c>
      <c r="AY1463" s="1008">
        <f t="shared" ca="1" si="2449"/>
        <v>31662.626144165231</v>
      </c>
      <c r="AZ1463" s="1009">
        <f ca="1">IFERROR(AT1463/AX1463,0)</f>
        <v>1.0806171054600324</v>
      </c>
      <c r="BA1463" s="1002"/>
      <c r="BB1463" s="1007">
        <f ca="1">SUM(BB1465:BB1467)</f>
        <v>1598784.918137996</v>
      </c>
      <c r="BC1463" s="1007">
        <f ca="1">SUM(BC1465:BC1467)</f>
        <v>0</v>
      </c>
      <c r="BD1463" s="1008">
        <f t="shared" ca="1" si="2450"/>
        <v>1598784.918137996</v>
      </c>
      <c r="BE1463" s="1009">
        <f ca="1">IFERROR(BB1463/BC1463,0)</f>
        <v>0</v>
      </c>
      <c r="BF1463" s="1007">
        <f ca="1">SUM(BF1465:BF1467)</f>
        <v>1433143.2</v>
      </c>
      <c r="BG1463" s="1008">
        <f t="shared" ca="1" si="2451"/>
        <v>165641.71813799604</v>
      </c>
      <c r="BH1463" s="1009">
        <f ca="1">IFERROR(BB1463/BF1463,0)</f>
        <v>1.1155793211299443</v>
      </c>
    </row>
    <row r="1464" spans="1:60" s="1030" customFormat="1" ht="14.5">
      <c r="A1464" s="990">
        <v>1</v>
      </c>
      <c r="B1464" s="990">
        <v>1</v>
      </c>
      <c r="C1464" s="990" t="s">
        <v>863</v>
      </c>
      <c r="D1464" s="1121" t="s">
        <v>887</v>
      </c>
      <c r="E1464" s="1243">
        <v>1</v>
      </c>
      <c r="F1464" s="1025"/>
      <c r="G1464" s="1025"/>
      <c r="H1464" s="1025"/>
      <c r="I1464" s="1026"/>
      <c r="J1464" s="1027" t="s">
        <v>135</v>
      </c>
      <c r="K1464" s="1028"/>
      <c r="L1464" s="1028"/>
      <c r="M1464" s="1028"/>
      <c r="N1464" s="1028"/>
      <c r="O1464" s="1028"/>
      <c r="P1464" s="1045"/>
      <c r="Q1464" s="1850" t="str">
        <f>CHOOSE(2, "6722000004382", "Fixed Cost (%)")</f>
        <v>Fixed Cost (%)</v>
      </c>
      <c r="R1464" s="1034">
        <f>IFERROR(R1463/R1455,0)</f>
        <v>0.17687965437308917</v>
      </c>
      <c r="S1464" s="1034">
        <f t="shared" ref="S1464:AC1464" si="2468">IFERROR(S1463/S1455,0)</f>
        <v>0.1839340908989926</v>
      </c>
      <c r="T1464" s="1034">
        <f t="shared" si="2468"/>
        <v>0.20118552694319031</v>
      </c>
      <c r="U1464" s="1034">
        <f t="shared" si="2468"/>
        <v>0.17271973686243047</v>
      </c>
      <c r="V1464" s="1034">
        <f t="shared" si="2468"/>
        <v>0.16678704596020927</v>
      </c>
      <c r="W1464" s="1034">
        <f t="shared" si="2468"/>
        <v>0.13931345581237758</v>
      </c>
      <c r="X1464" s="1034">
        <f t="shared" si="2468"/>
        <v>0.20695788112503885</v>
      </c>
      <c r="Y1464" s="1034">
        <f t="shared" si="2468"/>
        <v>0.16248101231163178</v>
      </c>
      <c r="Z1464" s="1034">
        <f t="shared" si="2468"/>
        <v>0.15164280729897733</v>
      </c>
      <c r="AA1464" s="1034">
        <f t="shared" si="2468"/>
        <v>0.17808946507116608</v>
      </c>
      <c r="AB1464" s="1034">
        <f t="shared" si="2468"/>
        <v>0.13441571658145859</v>
      </c>
      <c r="AC1464" s="1034">
        <f t="shared" si="2468"/>
        <v>0.20768314129140591</v>
      </c>
      <c r="AD1464" s="1034">
        <f t="shared" ref="AD1464:AJ1464" si="2469">IFERROR(AD1463/AD1455,0)</f>
        <v>0.18762342846048946</v>
      </c>
      <c r="AE1464" s="1034">
        <f t="shared" si="2469"/>
        <v>0.15996887441577232</v>
      </c>
      <c r="AF1464" s="1034">
        <f t="shared" si="2469"/>
        <v>0.17420998082036096</v>
      </c>
      <c r="AG1464" s="1034">
        <f t="shared" si="2469"/>
        <v>0.17184165342393931</v>
      </c>
      <c r="AH1464" s="1034">
        <f t="shared" si="2469"/>
        <v>0.1729855132027345</v>
      </c>
      <c r="AI1464" s="1034">
        <f t="shared" si="2469"/>
        <v>0.17303861971463311</v>
      </c>
      <c r="AJ1464" s="1034">
        <f t="shared" si="2469"/>
        <v>0.17301421133142089</v>
      </c>
      <c r="AL1464" s="1034">
        <f ca="1">IFERROR(AL1463/AL1455,0)</f>
        <v>0.20768314129140591</v>
      </c>
      <c r="AM1464" s="1034">
        <f ca="1">IFERROR(AM1463/AM1455,0)</f>
        <v>0</v>
      </c>
      <c r="AN1464" s="1034">
        <f t="shared" ca="1" si="2446"/>
        <v>0.20768314129140591</v>
      </c>
      <c r="AO1464" s="1034"/>
      <c r="AP1464" s="1034">
        <f ca="1">IFERROR(AP1463/AP1455,0)</f>
        <v>0.23996349891223642</v>
      </c>
      <c r="AQ1464" s="1034">
        <f t="shared" ca="1" si="2447"/>
        <v>-3.2280357620830508E-2</v>
      </c>
      <c r="AR1464" s="1034"/>
      <c r="AT1464" s="1034">
        <f ca="1">IFERROR(AT1463/AT1455,0)</f>
        <v>0.17184165342393931</v>
      </c>
      <c r="AU1464" s="1034">
        <f ca="1">IFERROR(AU1463/AU1455,0)</f>
        <v>0</v>
      </c>
      <c r="AV1464" s="1034">
        <f t="shared" ca="1" si="2448"/>
        <v>0.17184165342393931</v>
      </c>
      <c r="AW1464" s="1034"/>
      <c r="AX1464" s="1034">
        <f ca="1">IFERROR(AX1463/AX1455,0)</f>
        <v>0.20245542537458461</v>
      </c>
      <c r="AY1464" s="1034">
        <f t="shared" ca="1" si="2449"/>
        <v>-3.0613771950645297E-2</v>
      </c>
      <c r="AZ1464" s="1034"/>
      <c r="BB1464" s="1034">
        <f ca="1">IFERROR(BB1463/BB1455,0)</f>
        <v>0.17301421133142086</v>
      </c>
      <c r="BC1464" s="1034">
        <f ca="1">IFERROR(BC1463/BC1455,0)</f>
        <v>0</v>
      </c>
      <c r="BD1464" s="1034">
        <f t="shared" ca="1" si="2450"/>
        <v>0.17301421133142086</v>
      </c>
      <c r="BE1464" s="1034"/>
      <c r="BF1464" s="1034">
        <f ca="1">IFERROR(BF1463/BF1455,0)</f>
        <v>0.20530531565868915</v>
      </c>
      <c r="BG1464" s="1034">
        <f t="shared" ca="1" si="2451"/>
        <v>-3.2291104327268283E-2</v>
      </c>
      <c r="BH1464" s="1034"/>
    </row>
    <row r="1465" spans="1:60" s="1002" customFormat="1" ht="14.5">
      <c r="A1465" s="990">
        <v>1</v>
      </c>
      <c r="B1465" s="990">
        <v>1</v>
      </c>
      <c r="C1465" s="990" t="s">
        <v>863</v>
      </c>
      <c r="D1465" s="1121" t="s">
        <v>887</v>
      </c>
      <c r="E1465" s="1243">
        <v>1</v>
      </c>
      <c r="F1465" s="1000"/>
      <c r="G1465" s="1000"/>
      <c r="H1465" s="1000"/>
      <c r="I1465" s="1003"/>
      <c r="J1465" s="1004" t="s">
        <v>868</v>
      </c>
      <c r="K1465" s="1004"/>
      <c r="L1465" s="1004"/>
      <c r="M1465" s="1004"/>
      <c r="N1465" s="1004"/>
      <c r="O1465" s="1004"/>
      <c r="P1465" s="1044"/>
      <c r="Q1465" s="1880" t="str">
        <f>CHOOSE(2, "6722000004383", "Fixed Cost COGS (ex. field service cost/ Service desk cost)")</f>
        <v>Fixed Cost COGS (ex. field service cost/ Service desk cost)</v>
      </c>
      <c r="R1465" s="1006">
        <f t="shared" ref="R1465:AC1465" si="2470">R834</f>
        <v>22107</v>
      </c>
      <c r="S1465" s="1006">
        <f t="shared" si="2470"/>
        <v>23524</v>
      </c>
      <c r="T1465" s="1006">
        <f t="shared" si="2470"/>
        <v>25123</v>
      </c>
      <c r="U1465" s="1006">
        <f t="shared" si="2470"/>
        <v>26489</v>
      </c>
      <c r="V1465" s="1006">
        <f t="shared" si="2470"/>
        <v>25372.680899999992</v>
      </c>
      <c r="W1465" s="1006">
        <f t="shared" si="2470"/>
        <v>25583.350988523314</v>
      </c>
      <c r="X1465" s="1006">
        <f t="shared" si="2470"/>
        <v>39835.748</v>
      </c>
      <c r="Y1465" s="1006">
        <f t="shared" si="2470"/>
        <v>23988</v>
      </c>
      <c r="Z1465" s="1006">
        <f t="shared" si="2470"/>
        <v>25204</v>
      </c>
      <c r="AA1465" s="1006">
        <f t="shared" si="2470"/>
        <v>24474</v>
      </c>
      <c r="AB1465" s="1006">
        <f t="shared" si="2470"/>
        <v>35395.092000000004</v>
      </c>
      <c r="AC1465" s="1006">
        <f t="shared" si="2470"/>
        <v>30905</v>
      </c>
      <c r="AD1465" s="1006">
        <f t="shared" ref="AD1465:AJ1465" si="2471">AD834</f>
        <v>70754</v>
      </c>
      <c r="AE1465" s="1006">
        <f t="shared" si="2471"/>
        <v>77445.031888523299</v>
      </c>
      <c r="AF1465" s="1006">
        <f t="shared" si="2471"/>
        <v>89027.747999999992</v>
      </c>
      <c r="AG1465" s="1006">
        <f t="shared" si="2471"/>
        <v>90774.092000000004</v>
      </c>
      <c r="AH1465" s="1006">
        <f t="shared" si="2471"/>
        <v>148199.03188852331</v>
      </c>
      <c r="AI1465" s="1006">
        <f t="shared" si="2471"/>
        <v>179801.84000000003</v>
      </c>
      <c r="AJ1465" s="1006">
        <f t="shared" si="2471"/>
        <v>328000.87188852328</v>
      </c>
      <c r="AL1465" s="1006">
        <f ca="1">AL834</f>
        <v>30905</v>
      </c>
      <c r="AM1465" s="1006">
        <f ca="1">AM834</f>
        <v>0</v>
      </c>
      <c r="AN1465" s="1041">
        <f t="shared" ca="1" si="2446"/>
        <v>30905</v>
      </c>
      <c r="AO1465" s="1039">
        <f ca="1">IFERROR(AL1465/AM1465,0)</f>
        <v>0</v>
      </c>
      <c r="AP1465" s="1006">
        <f ca="1">AP834</f>
        <v>32022</v>
      </c>
      <c r="AQ1465" s="1041">
        <f t="shared" ca="1" si="2447"/>
        <v>-1117</v>
      </c>
      <c r="AR1465" s="1039">
        <f ca="1">IFERROR(AL1465/AP1465,0)</f>
        <v>0.96511773155955283</v>
      </c>
      <c r="AT1465" s="1006">
        <f ca="1">AT834</f>
        <v>90774.092000000004</v>
      </c>
      <c r="AU1465" s="1006">
        <f ca="1">AU834</f>
        <v>0</v>
      </c>
      <c r="AV1465" s="1041">
        <f t="shared" ca="1" si="2448"/>
        <v>90774.092000000004</v>
      </c>
      <c r="AW1465" s="1039">
        <f ca="1">IFERROR(AT1465/AU1465,0)</f>
        <v>0</v>
      </c>
      <c r="AX1465" s="1006">
        <f ca="1">AX834</f>
        <v>75581</v>
      </c>
      <c r="AY1465" s="1041">
        <f t="shared" ca="1" si="2449"/>
        <v>15193.092000000004</v>
      </c>
      <c r="AZ1465" s="1039">
        <f ca="1">IFERROR(AT1465/AX1465,0)</f>
        <v>1.2010173456291926</v>
      </c>
      <c r="BB1465" s="1006">
        <f ca="1">BB834</f>
        <v>328000.87188852334</v>
      </c>
      <c r="BC1465" s="1006">
        <f ca="1">BC834</f>
        <v>0</v>
      </c>
      <c r="BD1465" s="1041">
        <f t="shared" ca="1" si="2450"/>
        <v>328000.87188852334</v>
      </c>
      <c r="BE1465" s="1039">
        <f ca="1">IFERROR(BB1465/BC1465,0)</f>
        <v>0</v>
      </c>
      <c r="BF1465" s="1006">
        <f ca="1">BF834</f>
        <v>261633</v>
      </c>
      <c r="BG1465" s="1041">
        <f t="shared" ca="1" si="2451"/>
        <v>66367.871888523339</v>
      </c>
      <c r="BH1465" s="1039">
        <f ca="1">IFERROR(BB1465/BF1465,0)</f>
        <v>1.2536678167070796</v>
      </c>
    </row>
    <row r="1466" spans="1:60" s="1002" customFormat="1" ht="14.5">
      <c r="A1466" s="990">
        <v>1</v>
      </c>
      <c r="B1466" s="990">
        <v>1</v>
      </c>
      <c r="C1466" s="990" t="s">
        <v>863</v>
      </c>
      <c r="D1466" s="1121" t="s">
        <v>887</v>
      </c>
      <c r="E1466" s="1243">
        <v>1</v>
      </c>
      <c r="F1466" s="1000"/>
      <c r="G1466" s="1000"/>
      <c r="H1466" s="1000"/>
      <c r="I1466" s="1003"/>
      <c r="J1466" s="1004" t="s">
        <v>871</v>
      </c>
      <c r="K1466" s="1004"/>
      <c r="L1466" s="1004"/>
      <c r="M1466" s="1004"/>
      <c r="N1466" s="1004"/>
      <c r="O1466" s="1004"/>
      <c r="P1466" s="1044"/>
      <c r="Q1466" s="1880" t="str">
        <f>CHOOSE(2, "6722000004384", "Fixed Cost Wages &amp; Salaries (SG&amp;A - fixed)")</f>
        <v>Fixed Cost Wages &amp; Salaries (SG&amp;A - fixed)</v>
      </c>
      <c r="R1466" s="1006">
        <f t="shared" ref="R1466:AC1466" si="2472">SUM(R46:R47)</f>
        <v>48981</v>
      </c>
      <c r="S1466" s="1006">
        <f t="shared" si="2472"/>
        <v>50226</v>
      </c>
      <c r="T1466" s="1006">
        <f t="shared" si="2472"/>
        <v>51133.432999999997</v>
      </c>
      <c r="U1466" s="1006">
        <f t="shared" si="2472"/>
        <v>48872.107739999999</v>
      </c>
      <c r="V1466" s="1006">
        <f t="shared" si="2472"/>
        <v>50645.741999999998</v>
      </c>
      <c r="W1466" s="1006">
        <f t="shared" si="2472"/>
        <v>54759.241000000002</v>
      </c>
      <c r="X1466" s="1006">
        <f t="shared" si="2472"/>
        <v>54734.45</v>
      </c>
      <c r="Y1466" s="1006">
        <f t="shared" si="2472"/>
        <v>51429.114000000001</v>
      </c>
      <c r="Z1466" s="1006">
        <f t="shared" si="2472"/>
        <v>56070.630099999995</v>
      </c>
      <c r="AA1466" s="1006">
        <f t="shared" si="2472"/>
        <v>52782.37</v>
      </c>
      <c r="AB1466" s="1006">
        <f t="shared" si="2472"/>
        <v>53245.634999999995</v>
      </c>
      <c r="AC1466" s="1006">
        <f t="shared" si="2472"/>
        <v>57178.928845627699</v>
      </c>
      <c r="AD1466" s="1006">
        <f t="shared" ref="AD1466:AJ1466" si="2473">SUM(AD46:AD47)</f>
        <v>150340.43299999999</v>
      </c>
      <c r="AE1466" s="1006">
        <f t="shared" si="2473"/>
        <v>154277.09073999999</v>
      </c>
      <c r="AF1466" s="1006">
        <f t="shared" si="2473"/>
        <v>162234.19409999999</v>
      </c>
      <c r="AG1466" s="1006">
        <f t="shared" si="2473"/>
        <v>163206.9338456277</v>
      </c>
      <c r="AH1466" s="1006">
        <f t="shared" si="2473"/>
        <v>304617.52373999998</v>
      </c>
      <c r="AI1466" s="1006">
        <f t="shared" si="2473"/>
        <v>325441.12794562773</v>
      </c>
      <c r="AJ1466" s="1006">
        <f t="shared" si="2473"/>
        <v>630058.65168562776</v>
      </c>
      <c r="AL1466" s="1006">
        <f ca="1">SUM(AL46:AL47)</f>
        <v>57178.928845627699</v>
      </c>
      <c r="AM1466" s="1006">
        <f ca="1">SUM(AM46:AM47)</f>
        <v>0</v>
      </c>
      <c r="AN1466" s="1041">
        <f t="shared" ca="1" si="2446"/>
        <v>57178.928845627699</v>
      </c>
      <c r="AO1466" s="1039">
        <f ca="1">IFERROR(AL1466/AM1466,0)</f>
        <v>0</v>
      </c>
      <c r="AP1466" s="1006">
        <f ca="1">SUM(AP46:AP47)</f>
        <v>59516</v>
      </c>
      <c r="AQ1466" s="1041">
        <f t="shared" ca="1" si="2447"/>
        <v>-2337.071154372301</v>
      </c>
      <c r="AR1466" s="1039">
        <f ca="1">IFERROR(AL1466/AP1466,0)</f>
        <v>0.96073205265185324</v>
      </c>
      <c r="AT1466" s="1006">
        <f ca="1">SUM(AT46:AT47)</f>
        <v>163206.9338456277</v>
      </c>
      <c r="AU1466" s="1006">
        <f ca="1">SUM(AU46:AU47)</f>
        <v>0</v>
      </c>
      <c r="AV1466" s="1041">
        <f t="shared" ca="1" si="2448"/>
        <v>163206.9338456277</v>
      </c>
      <c r="AW1466" s="1039">
        <f ca="1">IFERROR(AT1466/AU1466,0)</f>
        <v>0</v>
      </c>
      <c r="AX1466" s="1006">
        <f ca="1">SUM(AX46:AX47)</f>
        <v>164537.20000000001</v>
      </c>
      <c r="AY1466" s="1041">
        <f t="shared" ca="1" si="2449"/>
        <v>-1330.2661543723079</v>
      </c>
      <c r="AZ1466" s="1039">
        <f ca="1">IFERROR(AT1466/AX1466,0)</f>
        <v>0.991915103974224</v>
      </c>
      <c r="BB1466" s="1006">
        <f ca="1">SUM(BB46:BB47)</f>
        <v>630058.65168562764</v>
      </c>
      <c r="BC1466" s="1006">
        <f ca="1">SUM(BC46:BC47)</f>
        <v>0</v>
      </c>
      <c r="BD1466" s="1041">
        <f t="shared" ca="1" si="2450"/>
        <v>630058.65168562764</v>
      </c>
      <c r="BE1466" s="1039">
        <f ca="1">IFERROR(BB1466/BC1466,0)</f>
        <v>0</v>
      </c>
      <c r="BF1466" s="1006">
        <f ca="1">SUM(BF46:BF47)</f>
        <v>558573.19999999995</v>
      </c>
      <c r="BG1466" s="1041">
        <f t="shared" ca="1" si="2451"/>
        <v>71485.45168562769</v>
      </c>
      <c r="BH1466" s="1039">
        <f ca="1">IFERROR(BB1466/BF1466,0)</f>
        <v>1.1279786636480729</v>
      </c>
    </row>
    <row r="1467" spans="1:60" s="1002" customFormat="1" ht="14.5">
      <c r="A1467" s="990">
        <v>1</v>
      </c>
      <c r="B1467" s="990">
        <v>1</v>
      </c>
      <c r="C1467" s="990" t="s">
        <v>863</v>
      </c>
      <c r="D1467" s="1121" t="s">
        <v>887</v>
      </c>
      <c r="E1467" s="1243">
        <v>1</v>
      </c>
      <c r="F1467" s="1000"/>
      <c r="G1467" s="1000"/>
      <c r="H1467" s="1000"/>
      <c r="I1467" s="1010"/>
      <c r="J1467" s="1011" t="s">
        <v>873</v>
      </c>
      <c r="K1467" s="1011"/>
      <c r="L1467" s="1011"/>
      <c r="M1467" s="1011"/>
      <c r="N1467" s="1011"/>
      <c r="O1467" s="1011"/>
      <c r="P1467" s="1046"/>
      <c r="Q1467" s="1880" t="str">
        <f>CHOOSE(2, "6722000004385", "Fixed Cost SG&amp;A fixed (ex.SG&amp;A Fixed expenses)")</f>
        <v>Fixed Cost SG&amp;A fixed (ex.SG&amp;A Fixed expenses)</v>
      </c>
      <c r="R1467" s="1012">
        <f t="shared" ref="R1467:AC1467" si="2474">R23</f>
        <v>43752.000000000007</v>
      </c>
      <c r="S1467" s="1012">
        <f t="shared" si="2474"/>
        <v>47061.773518367219</v>
      </c>
      <c r="T1467" s="1012">
        <f t="shared" si="2474"/>
        <v>63167.350212427271</v>
      </c>
      <c r="U1467" s="1012">
        <f t="shared" si="2474"/>
        <v>47156.25584547015</v>
      </c>
      <c r="V1467" s="1012">
        <f t="shared" si="2474"/>
        <v>62023.308669806385</v>
      </c>
      <c r="W1467" s="1012">
        <f t="shared" si="2474"/>
        <v>18721.395364732838</v>
      </c>
      <c r="X1467" s="1012">
        <f t="shared" si="2474"/>
        <v>86177.502269958277</v>
      </c>
      <c r="Y1467" s="1012">
        <f t="shared" si="2474"/>
        <v>54188.140204545452</v>
      </c>
      <c r="Z1467" s="1012">
        <f t="shared" si="2474"/>
        <v>48042.868180000005</v>
      </c>
      <c r="AA1467" s="1012">
        <f t="shared" si="2474"/>
        <v>71376.563280000017</v>
      </c>
      <c r="AB1467" s="1012">
        <f t="shared" si="2474"/>
        <v>28447.946989999986</v>
      </c>
      <c r="AC1467" s="1012">
        <f t="shared" si="2474"/>
        <v>70610.290028537522</v>
      </c>
      <c r="AD1467" s="1012">
        <f t="shared" ref="AD1467:AJ1467" si="2475">AD23</f>
        <v>153981.1237307945</v>
      </c>
      <c r="AE1467" s="1012">
        <f t="shared" si="2475"/>
        <v>127900.95988000938</v>
      </c>
      <c r="AF1467" s="1012">
        <f t="shared" si="2475"/>
        <v>188408.51065450371</v>
      </c>
      <c r="AG1467" s="1012">
        <f t="shared" si="2475"/>
        <v>170434.80029853754</v>
      </c>
      <c r="AH1467" s="1012">
        <f t="shared" si="2475"/>
        <v>281882.08361080388</v>
      </c>
      <c r="AI1467" s="1012">
        <f t="shared" si="2475"/>
        <v>358843.31095304125</v>
      </c>
      <c r="AJ1467" s="1012">
        <f t="shared" si="2475"/>
        <v>640725.39456384513</v>
      </c>
      <c r="AL1467" s="1012">
        <f ca="1">AL23</f>
        <v>70610.290028537522</v>
      </c>
      <c r="AM1467" s="1012">
        <f ca="1">AM23</f>
        <v>0</v>
      </c>
      <c r="AN1467" s="1042">
        <f t="shared" ca="1" si="2446"/>
        <v>70610.290028537522</v>
      </c>
      <c r="AO1467" s="1040">
        <f ca="1">IFERROR(AL1467/AM1467,0)</f>
        <v>0</v>
      </c>
      <c r="AP1467" s="1012">
        <f ca="1">AP23</f>
        <v>93327</v>
      </c>
      <c r="AQ1467" s="1042">
        <f t="shared" ca="1" si="2447"/>
        <v>-22716.709971462478</v>
      </c>
      <c r="AR1467" s="1040">
        <f ca="1">IFERROR(AL1467/AP1467,0)</f>
        <v>0.7565901617810229</v>
      </c>
      <c r="AT1467" s="1012">
        <f ca="1">AT23</f>
        <v>170434.80029853754</v>
      </c>
      <c r="AU1467" s="1012">
        <f ca="1">AU23</f>
        <v>0</v>
      </c>
      <c r="AV1467" s="1042">
        <f t="shared" ca="1" si="2448"/>
        <v>170434.80029853754</v>
      </c>
      <c r="AW1467" s="1040">
        <f ca="1">IFERROR(AT1467/AU1467,0)</f>
        <v>0</v>
      </c>
      <c r="AX1467" s="1012">
        <f ca="1">AX23</f>
        <v>152635</v>
      </c>
      <c r="AY1467" s="1042">
        <f t="shared" ca="1" si="2449"/>
        <v>17799.800298537535</v>
      </c>
      <c r="AZ1467" s="1040">
        <f ca="1">IFERROR(AT1467/AX1467,0)</f>
        <v>1.1166167674421825</v>
      </c>
      <c r="BB1467" s="1012">
        <f ca="1">BB23</f>
        <v>640725.39456384513</v>
      </c>
      <c r="BC1467" s="1012">
        <f ca="1">BC23</f>
        <v>0</v>
      </c>
      <c r="BD1467" s="1042">
        <f t="shared" ca="1" si="2450"/>
        <v>640725.39456384513</v>
      </c>
      <c r="BE1467" s="1040">
        <f ca="1">IFERROR(BB1467/BC1467,0)</f>
        <v>0</v>
      </c>
      <c r="BF1467" s="1012">
        <f ca="1">BF23</f>
        <v>612937</v>
      </c>
      <c r="BG1467" s="1042">
        <f t="shared" ca="1" si="2451"/>
        <v>27788.394563845126</v>
      </c>
      <c r="BH1467" s="1040">
        <f ca="1">IFERROR(BB1467/BF1467,0)</f>
        <v>1.0453364612739076</v>
      </c>
    </row>
    <row r="1468" spans="1:60" s="998" customFormat="1" ht="14.5">
      <c r="A1468" s="990">
        <v>1</v>
      </c>
      <c r="B1468" s="990">
        <v>1</v>
      </c>
      <c r="C1468" s="990" t="s">
        <v>863</v>
      </c>
      <c r="D1468" s="1121" t="s">
        <v>887</v>
      </c>
      <c r="E1468" s="1243">
        <v>1</v>
      </c>
      <c r="F1468" s="999"/>
      <c r="G1468" s="999"/>
      <c r="H1468" s="1000"/>
      <c r="I1468" s="1013" t="s">
        <v>880</v>
      </c>
      <c r="J1468" s="1014"/>
      <c r="K1468" s="1014"/>
      <c r="L1468" s="1014"/>
      <c r="M1468" s="1014"/>
      <c r="N1468" s="1014"/>
      <c r="O1468" s="1014"/>
      <c r="P1468" s="1047" t="s">
        <v>879</v>
      </c>
      <c r="Q1468" s="1840" t="str">
        <f>CHOOSE(2, "6722000004386", "Break-even Point Net Sales F = E / D")</f>
        <v>Break-even Point Net Sales F = E / D</v>
      </c>
      <c r="R1468" s="1015">
        <f>IFERROR(R1463/R1462,0)</f>
        <v>468291.55120652186</v>
      </c>
      <c r="S1468" s="1015">
        <f t="shared" ref="S1468:AC1468" si="2476">IFERROR(S1463/S1462,0)</f>
        <v>496324.70095437212</v>
      </c>
      <c r="T1468" s="1015">
        <f t="shared" si="2476"/>
        <v>496902.73229509004</v>
      </c>
      <c r="U1468" s="1015">
        <f t="shared" si="2476"/>
        <v>459991.84851253527</v>
      </c>
      <c r="V1468" s="1015">
        <f t="shared" si="2476"/>
        <v>510575.55516502232</v>
      </c>
      <c r="W1468" s="1015">
        <f t="shared" si="2476"/>
        <v>440833.45818381</v>
      </c>
      <c r="X1468" s="1015">
        <f t="shared" si="2476"/>
        <v>573957.4802345807</v>
      </c>
      <c r="Y1468" s="1015">
        <f t="shared" si="2476"/>
        <v>486611.47711399372</v>
      </c>
      <c r="Z1468" s="1015">
        <f t="shared" si="2476"/>
        <v>560458.04960191029</v>
      </c>
      <c r="AA1468" s="1015">
        <f t="shared" si="2476"/>
        <v>559429.69988254167</v>
      </c>
      <c r="AB1468" s="1015">
        <f t="shared" si="2476"/>
        <v>499818.1910801038</v>
      </c>
      <c r="AC1468" s="1015">
        <f t="shared" si="2476"/>
        <v>575860.89876204974</v>
      </c>
      <c r="AD1468" s="1015">
        <f t="shared" ref="AD1468:AJ1468" si="2477">IFERROR(AD1463/AD1462,0)</f>
        <v>1460065.449151664</v>
      </c>
      <c r="AE1468" s="1015">
        <f t="shared" si="2477"/>
        <v>1412170.5240115526</v>
      </c>
      <c r="AF1468" s="1015">
        <f t="shared" si="2477"/>
        <v>1621686.5092828572</v>
      </c>
      <c r="AG1468" s="1015">
        <f t="shared" si="2477"/>
        <v>1647171.36584928</v>
      </c>
      <c r="AH1468" s="1015">
        <f t="shared" si="2477"/>
        <v>2873178.9451519758</v>
      </c>
      <c r="AI1468" s="1015">
        <f t="shared" si="2477"/>
        <v>3267310.4698514109</v>
      </c>
      <c r="AJ1468" s="1015">
        <f t="shared" si="2477"/>
        <v>6138777.1509197997</v>
      </c>
      <c r="AL1468" s="1015">
        <f ca="1">IFERROR(AL1463/AL1462,0)</f>
        <v>575860.89876204974</v>
      </c>
      <c r="AM1468" s="1015">
        <f ca="1">IFERROR(AM1463/AM1462,0)</f>
        <v>0</v>
      </c>
      <c r="AN1468" s="1016">
        <f t="shared" ca="1" si="2446"/>
        <v>575860.89876204974</v>
      </c>
      <c r="AO1468" s="1017">
        <f ca="1">IFERROR(AL1468/AM1468,0)</f>
        <v>0</v>
      </c>
      <c r="AP1468" s="1015">
        <f ca="1">IFERROR(AP1463/AP1462,0)</f>
        <v>582614.21905441384</v>
      </c>
      <c r="AQ1468" s="1016">
        <f t="shared" ca="1" si="2447"/>
        <v>-6753.3202923641074</v>
      </c>
      <c r="AR1468" s="1017">
        <f ca="1">IFERROR(AL1468/AP1468,0)</f>
        <v>0.98840858998717063</v>
      </c>
      <c r="AT1468" s="1015">
        <f ca="1">IFERROR(AT1463/AT1462,0)</f>
        <v>1647171.36584928</v>
      </c>
      <c r="AU1468" s="1015">
        <f ca="1">IFERROR(AU1463/AU1462,0)</f>
        <v>0</v>
      </c>
      <c r="AV1468" s="1016">
        <f t="shared" ca="1" si="2448"/>
        <v>1647171.36584928</v>
      </c>
      <c r="AW1468" s="1017">
        <f ca="1">IFERROR(AT1468/AU1468,0)</f>
        <v>0</v>
      </c>
      <c r="AX1468" s="1015">
        <f ca="1">IFERROR(AX1463/AX1462,0)</f>
        <v>1234339.5902588337</v>
      </c>
      <c r="AY1468" s="1016">
        <f t="shared" ca="1" si="2449"/>
        <v>412831.77559044631</v>
      </c>
      <c r="AZ1468" s="1017">
        <f ca="1">IFERROR(AT1468/AX1468,0)</f>
        <v>1.3344555897327071</v>
      </c>
      <c r="BB1468" s="1015">
        <f ca="1">IFERROR(BB1463/BB1462,0)</f>
        <v>6138777.1509197969</v>
      </c>
      <c r="BC1468" s="1015">
        <f ca="1">IFERROR(BC1463/BC1462,0)</f>
        <v>0</v>
      </c>
      <c r="BD1468" s="1016">
        <f t="shared" ca="1" si="2450"/>
        <v>6138777.1509197969</v>
      </c>
      <c r="BE1468" s="1017">
        <f ca="1">IFERROR(BB1468/BC1468,0)</f>
        <v>0</v>
      </c>
      <c r="BF1468" s="1015">
        <f ca="1">IFERROR(BF1463/BF1462,0)</f>
        <v>4586388.9980425062</v>
      </c>
      <c r="BG1468" s="1016">
        <f t="shared" ca="1" si="2451"/>
        <v>1552388.1528772907</v>
      </c>
      <c r="BH1468" s="1017">
        <f ca="1">IFERROR(BB1468/BF1468,0)</f>
        <v>1.3384772101842775</v>
      </c>
    </row>
    <row r="1469" spans="1:60" s="1030" customFormat="1" ht="14.5">
      <c r="A1469" s="990">
        <v>1</v>
      </c>
      <c r="B1469" s="990">
        <v>1</v>
      </c>
      <c r="C1469" s="990" t="s">
        <v>863</v>
      </c>
      <c r="D1469" s="1121" t="s">
        <v>887</v>
      </c>
      <c r="E1469" s="1243">
        <v>1</v>
      </c>
      <c r="F1469" s="1025"/>
      <c r="G1469" s="1025"/>
      <c r="H1469" s="1025"/>
      <c r="I1469" s="1035"/>
      <c r="J1469" s="1036" t="s">
        <v>135</v>
      </c>
      <c r="K1469" s="1037"/>
      <c r="L1469" s="1037"/>
      <c r="M1469" s="1037"/>
      <c r="N1469" s="1037"/>
      <c r="O1469" s="1037"/>
      <c r="P1469" s="1046" t="s">
        <v>881</v>
      </c>
      <c r="Q1469" s="1850" t="str">
        <f>CHOOSE(2, "6722000004387", "Break-even Point Net Sales (%) G = F / A")</f>
        <v>Break-even Point Net Sales (%) G = F / A</v>
      </c>
      <c r="R1469" s="1038">
        <f>IFERROR(R1468/R1455,0)</f>
        <v>0.7212752326998203</v>
      </c>
      <c r="S1469" s="1038">
        <f t="shared" ref="S1469:AC1469" si="2478">IFERROR(S1468/S1455,0)</f>
        <v>0.75564682151510398</v>
      </c>
      <c r="T1469" s="1038">
        <f t="shared" si="2478"/>
        <v>0.71701997846367527</v>
      </c>
      <c r="U1469" s="1038">
        <f t="shared" si="2478"/>
        <v>0.64847682572374854</v>
      </c>
      <c r="V1469" s="1038">
        <f t="shared" si="2478"/>
        <v>0.61689597498568516</v>
      </c>
      <c r="W1469" s="1038">
        <f t="shared" si="2478"/>
        <v>0.61994307051571751</v>
      </c>
      <c r="X1469" s="1038">
        <f t="shared" si="2478"/>
        <v>0.65718691738706558</v>
      </c>
      <c r="Y1469" s="1038">
        <f t="shared" si="2478"/>
        <v>0.61004567977744228</v>
      </c>
      <c r="Z1469" s="1038">
        <f t="shared" si="2478"/>
        <v>0.65721525041354334</v>
      </c>
      <c r="AA1469" s="1038">
        <f t="shared" si="2478"/>
        <v>0.67029919815496786</v>
      </c>
      <c r="AB1469" s="1038">
        <f t="shared" si="2478"/>
        <v>0.57378239948484167</v>
      </c>
      <c r="AC1469" s="1038">
        <f t="shared" si="2478"/>
        <v>0.75362922008285349</v>
      </c>
      <c r="AD1469" s="1038">
        <f t="shared" ref="AD1469:AJ1469" si="2479">IFERROR(AD1468/AD1455,0)</f>
        <v>0.73036613671724349</v>
      </c>
      <c r="AE1469" s="1038">
        <f t="shared" si="2479"/>
        <v>0.62816693420645342</v>
      </c>
      <c r="AF1469" s="1038">
        <f t="shared" si="2479"/>
        <v>0.64255847512352704</v>
      </c>
      <c r="AG1469" s="1038">
        <f t="shared" si="2479"/>
        <v>0.66692294100258553</v>
      </c>
      <c r="AH1469" s="1038">
        <f t="shared" si="2479"/>
        <v>0.6764927928340736</v>
      </c>
      <c r="AI1469" s="1038">
        <f t="shared" si="2479"/>
        <v>0.65429912230854703</v>
      </c>
      <c r="AJ1469" s="1038">
        <f t="shared" si="2479"/>
        <v>0.66431430222815191</v>
      </c>
      <c r="AL1469" s="1038">
        <f ca="1">IFERROR(AL1468/AL1455,0)</f>
        <v>0.75362922008285349</v>
      </c>
      <c r="AM1469" s="1038">
        <f ca="1">IFERROR(AM1468/AM1455,0)</f>
        <v>0</v>
      </c>
      <c r="AN1469" s="1038">
        <f t="shared" ca="1" si="2446"/>
        <v>0.75362922008285349</v>
      </c>
      <c r="AO1469" s="1038"/>
      <c r="AP1469" s="1038">
        <f ca="1">IFERROR(AP1468/AP1455,0)</f>
        <v>0.75626076607425585</v>
      </c>
      <c r="AQ1469" s="1038">
        <f t="shared" ca="1" si="2447"/>
        <v>-2.631545991402362E-3</v>
      </c>
      <c r="AR1469" s="1038"/>
      <c r="AT1469" s="1038">
        <f ca="1">IFERROR(AT1468/AT1455,0)</f>
        <v>0.66692294100258553</v>
      </c>
      <c r="AU1469" s="1038">
        <f ca="1">IFERROR(AU1468/AU1455,0)</f>
        <v>0</v>
      </c>
      <c r="AV1469" s="1038">
        <f t="shared" ca="1" si="2448"/>
        <v>0.66692294100258553</v>
      </c>
      <c r="AW1469" s="1038"/>
      <c r="AX1469" s="1038">
        <f ca="1">IFERROR(AX1468/AX1455,0)</f>
        <v>0.63627424754920558</v>
      </c>
      <c r="AY1469" s="1038">
        <f t="shared" ca="1" si="2449"/>
        <v>3.0648693453379949E-2</v>
      </c>
      <c r="AZ1469" s="1038"/>
      <c r="BB1469" s="1038">
        <f ca="1">IFERROR(BB1468/BB1455,0)</f>
        <v>0.66431430222815169</v>
      </c>
      <c r="BC1469" s="1038">
        <f ca="1">IFERROR(BC1468/BC1455,0)</f>
        <v>0</v>
      </c>
      <c r="BD1469" s="1038">
        <f t="shared" ca="1" si="2450"/>
        <v>0.66431430222815169</v>
      </c>
      <c r="BE1469" s="1038"/>
      <c r="BF1469" s="1038">
        <f ca="1">IFERROR(BF1468/BF1455,0)</f>
        <v>0.6570243929403955</v>
      </c>
      <c r="BG1469" s="1038">
        <f t="shared" ca="1" si="2451"/>
        <v>7.2899092877561911E-3</v>
      </c>
      <c r="BH1469" s="1038"/>
    </row>
    <row r="1470" spans="1:60" s="998" customFormat="1" ht="14.5">
      <c r="A1470" s="990">
        <v>1</v>
      </c>
      <c r="B1470" s="990">
        <v>1</v>
      </c>
      <c r="C1470" s="990" t="s">
        <v>863</v>
      </c>
      <c r="D1470" s="1121" t="s">
        <v>887</v>
      </c>
      <c r="E1470" s="1243">
        <v>1</v>
      </c>
      <c r="F1470" s="999"/>
      <c r="G1470" s="999"/>
      <c r="H1470" s="1000"/>
      <c r="I1470" s="1003" t="s">
        <v>867</v>
      </c>
      <c r="J1470" s="1004"/>
      <c r="K1470" s="1004"/>
      <c r="L1470" s="1004"/>
      <c r="M1470" s="1004"/>
      <c r="N1470" s="1004"/>
      <c r="O1470" s="1004"/>
      <c r="P1470" s="1044" t="s">
        <v>882</v>
      </c>
      <c r="Q1470" s="1880" t="str">
        <f>CHOOSE(2, "6722000004388", "BCP H = C - D")</f>
        <v>BCP H = C - D</v>
      </c>
      <c r="R1470" s="1007">
        <f t="shared" ref="R1470:AC1470" si="2480">R1461-R1463</f>
        <v>44378</v>
      </c>
      <c r="S1470" s="1007">
        <f t="shared" si="2480"/>
        <v>39066.849773046197</v>
      </c>
      <c r="T1470" s="1007">
        <f t="shared" si="2480"/>
        <v>55025.168560386664</v>
      </c>
      <c r="U1470" s="1007">
        <f t="shared" si="2480"/>
        <v>66413.618564480421</v>
      </c>
      <c r="V1470" s="1007">
        <f t="shared" si="2480"/>
        <v>85726.51650963616</v>
      </c>
      <c r="W1470" s="1007">
        <f t="shared" si="2480"/>
        <v>60731.310093728651</v>
      </c>
      <c r="X1470" s="1007">
        <f t="shared" si="2480"/>
        <v>94284.707539679657</v>
      </c>
      <c r="Y1470" s="1007">
        <f t="shared" si="2480"/>
        <v>82846.46621715842</v>
      </c>
      <c r="Z1470" s="1007">
        <f t="shared" si="2480"/>
        <v>67448.322657096025</v>
      </c>
      <c r="AA1470" s="1007">
        <f t="shared" si="2480"/>
        <v>73108.2439273122</v>
      </c>
      <c r="AB1470" s="1007">
        <f t="shared" si="2480"/>
        <v>86975.922789415985</v>
      </c>
      <c r="AC1470" s="1007">
        <f t="shared" si="2480"/>
        <v>51879.116985501256</v>
      </c>
      <c r="AD1470" s="1007">
        <f t="shared" ref="AD1470:AJ1470" si="2481">AD1461-AD1463</f>
        <v>138469.00383253652</v>
      </c>
      <c r="AE1470" s="1007">
        <f t="shared" si="2481"/>
        <v>212872.95783595776</v>
      </c>
      <c r="AF1470" s="1007">
        <f t="shared" si="2481"/>
        <v>244579.26112559147</v>
      </c>
      <c r="AG1470" s="1007">
        <f t="shared" si="2481"/>
        <v>211963.28162222949</v>
      </c>
      <c r="AH1470" s="1007">
        <f t="shared" si="2481"/>
        <v>351341.96166849358</v>
      </c>
      <c r="AI1470" s="1007">
        <f t="shared" si="2481"/>
        <v>456542.54274782073</v>
      </c>
      <c r="AJ1470" s="1007">
        <f t="shared" si="2481"/>
        <v>807884.50441631419</v>
      </c>
      <c r="AL1470" s="1007">
        <f ca="1">AL1461-AL1463</f>
        <v>51879.116985501256</v>
      </c>
      <c r="AM1470" s="1007">
        <f ca="1">AM1461-AM1463</f>
        <v>0</v>
      </c>
      <c r="AN1470" s="1008">
        <f t="shared" ca="1" si="2446"/>
        <v>51879.116985501256</v>
      </c>
      <c r="AO1470" s="1009">
        <f ca="1">IFERROR(AL1470/AM1470,0)</f>
        <v>0</v>
      </c>
      <c r="AP1470" s="1007">
        <f ca="1">AP1461-AP1463</f>
        <v>59581.106810000027</v>
      </c>
      <c r="AQ1470" s="1008">
        <f t="shared" ca="1" si="2447"/>
        <v>-7701.9898244987708</v>
      </c>
      <c r="AR1470" s="1009">
        <f ca="1">IFERROR(AL1470/AP1470,0)</f>
        <v>0.87073100456055852</v>
      </c>
      <c r="AT1470" s="1007">
        <f ca="1">AT1461-AT1463</f>
        <v>211963.28162222949</v>
      </c>
      <c r="AU1470" s="1007">
        <f ca="1">AU1461-AU1463</f>
        <v>0</v>
      </c>
      <c r="AV1470" s="1008">
        <f t="shared" ca="1" si="2448"/>
        <v>211963.28162222949</v>
      </c>
      <c r="AW1470" s="1009">
        <f ca="1">IFERROR(AT1470/AU1470,0)</f>
        <v>0</v>
      </c>
      <c r="AX1470" s="1007">
        <f ca="1">AX1461-AX1463</f>
        <v>224517.10680999997</v>
      </c>
      <c r="AY1470" s="1008">
        <f t="shared" ca="1" si="2449"/>
        <v>-12553.825187770475</v>
      </c>
      <c r="AZ1470" s="1009">
        <f ca="1">IFERROR(AT1470/AX1470,0)</f>
        <v>0.94408521753135588</v>
      </c>
      <c r="BB1470" s="1007">
        <f ca="1">BB1461-BB1463</f>
        <v>807884.50441631535</v>
      </c>
      <c r="BC1470" s="1007">
        <f ca="1">BC1461-BC1463</f>
        <v>0</v>
      </c>
      <c r="BD1470" s="1008">
        <f t="shared" ca="1" si="2450"/>
        <v>807884.50441631535</v>
      </c>
      <c r="BE1470" s="1009">
        <f ca="1">IFERROR(BB1470/BC1470,0)</f>
        <v>0</v>
      </c>
      <c r="BF1470" s="1007">
        <f ca="1">BF1461-BF1463</f>
        <v>748120.10681000003</v>
      </c>
      <c r="BG1470" s="1008">
        <f t="shared" ca="1" si="2451"/>
        <v>59764.397606315324</v>
      </c>
      <c r="BH1470" s="1009">
        <f ca="1">IFERROR(BB1470/BF1470,0)</f>
        <v>1.0798860999220459</v>
      </c>
    </row>
    <row r="1471" spans="1:60" s="1030" customFormat="1" ht="14.5">
      <c r="A1471" s="990">
        <v>1</v>
      </c>
      <c r="B1471" s="990">
        <v>1</v>
      </c>
      <c r="C1471" s="990" t="s">
        <v>863</v>
      </c>
      <c r="D1471" s="1121" t="s">
        <v>887</v>
      </c>
      <c r="E1471" s="1243">
        <v>1</v>
      </c>
      <c r="F1471" s="1025"/>
      <c r="G1471" s="1025"/>
      <c r="H1471" s="1025"/>
      <c r="I1471" s="1035"/>
      <c r="J1471" s="1036" t="s">
        <v>135</v>
      </c>
      <c r="K1471" s="1037"/>
      <c r="L1471" s="1037"/>
      <c r="M1471" s="1037"/>
      <c r="N1471" s="1037"/>
      <c r="O1471" s="1037"/>
      <c r="P1471" s="1048"/>
      <c r="Q1471" s="1850" t="str">
        <f>CHOOSE(2, "6722000004389", "BCP (%)")</f>
        <v>BCP (%)</v>
      </c>
      <c r="R1471" s="1038">
        <f>IFERROR(R1470/R1455,0)</f>
        <v>6.8352188277333248E-2</v>
      </c>
      <c r="S1471" s="1038">
        <f t="shared" ref="S1471:AC1471" si="2482">IFERROR(S1470/S1455,0)</f>
        <v>5.9478685628270404E-2</v>
      </c>
      <c r="T1471" s="1038">
        <f t="shared" si="2482"/>
        <v>7.9400137314395686E-2</v>
      </c>
      <c r="U1471" s="1038">
        <f t="shared" si="2482"/>
        <v>9.3627077720592353E-2</v>
      </c>
      <c r="V1471" s="1038">
        <f t="shared" si="2482"/>
        <v>0.10357789841161856</v>
      </c>
      <c r="W1471" s="1038">
        <f t="shared" si="2482"/>
        <v>8.540630062668654E-2</v>
      </c>
      <c r="X1471" s="1038">
        <f t="shared" si="2482"/>
        <v>0.10795691046559493</v>
      </c>
      <c r="Y1471" s="1038">
        <f t="shared" si="2482"/>
        <v>0.10386135793662296</v>
      </c>
      <c r="Z1471" s="1038">
        <f t="shared" si="2482"/>
        <v>7.9092567760500138E-2</v>
      </c>
      <c r="AA1471" s="1038">
        <f t="shared" si="2482"/>
        <v>8.7597060530186663E-2</v>
      </c>
      <c r="AB1471" s="1038">
        <f t="shared" si="2482"/>
        <v>9.9846813433649748E-2</v>
      </c>
      <c r="AC1471" s="1038">
        <f t="shared" si="2482"/>
        <v>6.7894205973039801E-2</v>
      </c>
      <c r="AD1471" s="1038">
        <f t="shared" ref="AD1471:AJ1471" si="2483">IFERROR(AD1470/AD1455,0)</f>
        <v>6.9266121900916022E-2</v>
      </c>
      <c r="AE1471" s="1038">
        <f t="shared" si="2483"/>
        <v>9.4690939249613804E-2</v>
      </c>
      <c r="AF1471" s="1038">
        <f t="shared" si="2483"/>
        <v>9.6909283129694893E-2</v>
      </c>
      <c r="AG1471" s="1038">
        <f t="shared" si="2483"/>
        <v>8.5821777924830464E-2</v>
      </c>
      <c r="AH1471" s="1038">
        <f t="shared" si="2483"/>
        <v>8.2723808515292194E-2</v>
      </c>
      <c r="AI1471" s="1038">
        <f t="shared" si="2483"/>
        <v>9.1425466839702027E-2</v>
      </c>
      <c r="AJ1471" s="1038">
        <f t="shared" si="2483"/>
        <v>8.7426081390142268E-2</v>
      </c>
      <c r="AL1471" s="1038">
        <f ca="1">IFERROR(AL1470/AL1455,0)</f>
        <v>6.7894205973039801E-2</v>
      </c>
      <c r="AM1471" s="1038">
        <f ca="1">IFERROR(AM1470/AM1455,0)</f>
        <v>0</v>
      </c>
      <c r="AN1471" s="1038">
        <f t="shared" ca="1" si="2446"/>
        <v>6.7894205973039801E-2</v>
      </c>
      <c r="AO1471" s="1038"/>
      <c r="AP1471" s="1038">
        <f ca="1">IFERROR(AP1470/AP1455,0)</f>
        <v>7.7339089926115184E-2</v>
      </c>
      <c r="AQ1471" s="1038">
        <f t="shared" ca="1" si="2447"/>
        <v>-9.4448839530753836E-3</v>
      </c>
      <c r="AR1471" s="1038"/>
      <c r="AT1471" s="1038">
        <f ca="1">IFERROR(AT1470/AT1455,0)</f>
        <v>8.5821777924830464E-2</v>
      </c>
      <c r="AU1471" s="1038">
        <f ca="1">IFERROR(AU1470/AU1455,0)</f>
        <v>0</v>
      </c>
      <c r="AV1471" s="1038">
        <f t="shared" ca="1" si="2448"/>
        <v>8.5821777924830464E-2</v>
      </c>
      <c r="AW1471" s="1038"/>
      <c r="AX1471" s="1038">
        <f ca="1">IFERROR(AX1470/AX1455,0)</f>
        <v>0.11573350990670371</v>
      </c>
      <c r="AY1471" s="1038">
        <f t="shared" ca="1" si="2449"/>
        <v>-2.9911731981873246E-2</v>
      </c>
      <c r="AZ1471" s="1038"/>
      <c r="BB1471" s="1038">
        <f ca="1">IFERROR(BB1470/BB1455,0)</f>
        <v>8.7426081390142393E-2</v>
      </c>
      <c r="BC1471" s="1038">
        <f ca="1">IFERROR(BC1470/BC1455,0)</f>
        <v>0</v>
      </c>
      <c r="BD1471" s="1038">
        <f t="shared" ca="1" si="2450"/>
        <v>8.7426081390142393E-2</v>
      </c>
      <c r="BE1471" s="1038"/>
      <c r="BF1471" s="1038">
        <f ca="1">IFERROR(BF1470/BF1455,0)</f>
        <v>0.10717214768157104</v>
      </c>
      <c r="BG1471" s="1038">
        <f t="shared" ca="1" si="2451"/>
        <v>-1.9746066291428652E-2</v>
      </c>
      <c r="BH1471" s="1038"/>
    </row>
    <row r="1472" spans="1:60" ht="14.5">
      <c r="A1472" s="990">
        <v>1</v>
      </c>
      <c r="B1472" s="990">
        <v>1</v>
      </c>
      <c r="C1472" s="990" t="s">
        <v>863</v>
      </c>
      <c r="E1472" s="1611" t="s">
        <v>460</v>
      </c>
      <c r="F1472" s="1610"/>
      <c r="Q1472" s="1838" t="str">
        <f>CHOOSE(2, "6722000004390", "▷ Blank 63")</f>
        <v>▷ Blank 63</v>
      </c>
    </row>
    <row r="1473" spans="1:36" ht="14.5">
      <c r="A1473" s="990">
        <v>1</v>
      </c>
      <c r="B1473" s="990">
        <v>1</v>
      </c>
      <c r="C1473" s="990" t="s">
        <v>863</v>
      </c>
      <c r="E1473" s="1611" t="s">
        <v>460</v>
      </c>
      <c r="F1473" s="1610"/>
      <c r="H1473" s="5" t="s">
        <v>98</v>
      </c>
      <c r="Q1473" s="1838" t="str">
        <f>CHOOSE(2, "6722000004391", "RF (1) Office")</f>
        <v>RF (1) Office</v>
      </c>
    </row>
    <row r="1474" spans="1:36" ht="14.5">
      <c r="A1474" s="990">
        <v>1</v>
      </c>
      <c r="B1474" s="990">
        <v>1</v>
      </c>
      <c r="C1474" s="990" t="s">
        <v>863</v>
      </c>
      <c r="E1474" s="1611" t="s">
        <v>460</v>
      </c>
      <c r="F1474" s="1610"/>
      <c r="G1474" s="1731"/>
      <c r="H1474" s="1732"/>
      <c r="I1474" s="1312" t="s">
        <v>9</v>
      </c>
      <c r="J1474" s="1313"/>
      <c r="K1474" s="1313"/>
      <c r="L1474" s="1733"/>
      <c r="M1474" s="1734"/>
      <c r="N1474" s="1734"/>
      <c r="O1474" s="1734"/>
      <c r="P1474" s="1734"/>
      <c r="Q1474" s="1912" t="str">
        <f>CHOOSE(2, "6722000004392", "RF (1) Office Net Sales")</f>
        <v>RF (1) Office Net Sales</v>
      </c>
      <c r="R1474" s="2311">
        <f>SUM(R1475,R1478,R1481,R1482)</f>
        <v>164198</v>
      </c>
      <c r="S1474" s="2311">
        <f t="shared" ref="S1474:AC1474" si="2484">SUM(S1475,S1478,S1481,S1482)</f>
        <v>184650</v>
      </c>
      <c r="T1474" s="2311">
        <f t="shared" si="2484"/>
        <v>198667</v>
      </c>
      <c r="U1474" s="2311">
        <f t="shared" si="2484"/>
        <v>210290</v>
      </c>
      <c r="V1474" s="2311">
        <f t="shared" si="2484"/>
        <v>262526.24494</v>
      </c>
      <c r="W1474" s="2311">
        <f t="shared" si="2484"/>
        <v>271607</v>
      </c>
      <c r="X1474" s="2311">
        <f t="shared" si="2484"/>
        <v>234197</v>
      </c>
      <c r="Y1474" s="2311">
        <f t="shared" si="2484"/>
        <v>255561</v>
      </c>
      <c r="Z1474" s="2311">
        <f t="shared" si="2484"/>
        <v>330439</v>
      </c>
      <c r="AA1474" s="2311">
        <f t="shared" si="2484"/>
        <v>242787</v>
      </c>
      <c r="AB1474" s="2311">
        <f t="shared" si="2484"/>
        <v>263940.37031000003</v>
      </c>
      <c r="AC1474" s="2311">
        <f t="shared" si="2484"/>
        <v>282292</v>
      </c>
      <c r="AD1474" s="1735">
        <f t="shared" ref="AD1474:AD1500" si="2485">SUM(R1474:T1474)</f>
        <v>547515</v>
      </c>
      <c r="AE1474" s="1735">
        <f t="shared" ref="AE1474:AE1514" si="2486">SUM(U1474:W1474)</f>
        <v>744423.24494</v>
      </c>
      <c r="AF1474" s="1735">
        <f t="shared" ref="AF1474:AF1514" si="2487">SUM(X1474:Z1474)</f>
        <v>820197</v>
      </c>
      <c r="AG1474" s="1735">
        <f t="shared" ref="AG1474:AG1514" si="2488">SUM(AA1474:AC1474)</f>
        <v>789019.37031000003</v>
      </c>
      <c r="AH1474" s="1735">
        <f t="shared" ref="AH1474:AH1514" si="2489">AD1474+AE1474</f>
        <v>1291938.2449400001</v>
      </c>
      <c r="AI1474" s="1735">
        <f t="shared" ref="AI1474:AI1514" si="2490">AG1474+AF1474</f>
        <v>1609216.3703100001</v>
      </c>
      <c r="AJ1474" s="1735">
        <f t="shared" ref="AJ1474:AJ1514" si="2491">AH1474+AI1474</f>
        <v>2901154.6152500003</v>
      </c>
    </row>
    <row r="1475" spans="1:36" ht="14.5">
      <c r="A1475" s="990">
        <v>1</v>
      </c>
      <c r="B1475" s="990">
        <v>1</v>
      </c>
      <c r="C1475" s="990" t="s">
        <v>863</v>
      </c>
      <c r="E1475" s="1611" t="s">
        <v>460</v>
      </c>
      <c r="F1475" s="1610"/>
      <c r="G1475" s="1731"/>
      <c r="H1475" s="1732"/>
      <c r="I1475" s="1327"/>
      <c r="J1475" s="1736" t="s">
        <v>1395</v>
      </c>
      <c r="K1475" s="1736"/>
      <c r="L1475" s="1737"/>
      <c r="M1475" s="278"/>
      <c r="N1475" s="278"/>
      <c r="O1475" s="278"/>
      <c r="P1475" s="278"/>
      <c r="Q1475" s="1914" t="str">
        <f>CHOOSE(2, "6722000004393", "RF (1) Office Net Sales HW")</f>
        <v>RF (1) Office Net Sales HW</v>
      </c>
      <c r="R1475" s="1738">
        <f>SUM(R1476:R1477)</f>
        <v>74186</v>
      </c>
      <c r="S1475" s="1738">
        <f t="shared" ref="S1475:AC1475" si="2492">SUM(S1476:S1477)</f>
        <v>121660</v>
      </c>
      <c r="T1475" s="1738">
        <f t="shared" si="2492"/>
        <v>104326</v>
      </c>
      <c r="U1475" s="1738">
        <f t="shared" si="2492"/>
        <v>128638</v>
      </c>
      <c r="V1475" s="1738">
        <f t="shared" si="2492"/>
        <v>166445.136</v>
      </c>
      <c r="W1475" s="1738">
        <f t="shared" si="2492"/>
        <v>191924</v>
      </c>
      <c r="X1475" s="1738">
        <f t="shared" si="2492"/>
        <v>147071</v>
      </c>
      <c r="Y1475" s="1738">
        <f t="shared" si="2492"/>
        <v>149635</v>
      </c>
      <c r="Z1475" s="1738">
        <f t="shared" si="2492"/>
        <v>242547</v>
      </c>
      <c r="AA1475" s="1738">
        <f t="shared" si="2492"/>
        <v>156409</v>
      </c>
      <c r="AB1475" s="1738">
        <f t="shared" si="2492"/>
        <v>179970.37031000003</v>
      </c>
      <c r="AC1475" s="1738">
        <f t="shared" si="2492"/>
        <v>199726</v>
      </c>
      <c r="AD1475" s="1738">
        <f t="shared" si="2485"/>
        <v>300172</v>
      </c>
      <c r="AE1475" s="1738">
        <f t="shared" si="2486"/>
        <v>487007.136</v>
      </c>
      <c r="AF1475" s="1738">
        <f t="shared" si="2487"/>
        <v>539253</v>
      </c>
      <c r="AG1475" s="1738">
        <f t="shared" si="2488"/>
        <v>536105.37031000003</v>
      </c>
      <c r="AH1475" s="1738">
        <f t="shared" si="2489"/>
        <v>787179.13599999994</v>
      </c>
      <c r="AI1475" s="1738">
        <f t="shared" si="2490"/>
        <v>1075358.3703100001</v>
      </c>
      <c r="AJ1475" s="1738">
        <f t="shared" si="2491"/>
        <v>1862537.5063100001</v>
      </c>
    </row>
    <row r="1476" spans="1:36" ht="14.5">
      <c r="A1476" s="990">
        <v>1</v>
      </c>
      <c r="B1476" s="990">
        <v>1</v>
      </c>
      <c r="C1476" s="990" t="s">
        <v>863</v>
      </c>
      <c r="E1476" s="1611" t="s">
        <v>460</v>
      </c>
      <c r="F1476" s="1610"/>
      <c r="G1476" s="1731"/>
      <c r="H1476" s="1732"/>
      <c r="I1476" s="1327"/>
      <c r="J1476" s="1321"/>
      <c r="K1476" s="1321" t="s">
        <v>212</v>
      </c>
      <c r="Q1476" s="1843" t="str">
        <f>CHOOSE(2, "6722000004394", "RF (1) Office Net Sales HW Direct")</f>
        <v>RF (1) Office Net Sales HW Direct</v>
      </c>
      <c r="R1476" s="19">
        <f t="shared" ref="R1476:AC1476" si="2493">R454</f>
        <v>22518</v>
      </c>
      <c r="S1476" s="19">
        <f t="shared" si="2493"/>
        <v>23635</v>
      </c>
      <c r="T1476" s="19">
        <f t="shared" si="2493"/>
        <v>29493</v>
      </c>
      <c r="U1476" s="19">
        <f t="shared" si="2493"/>
        <v>31693</v>
      </c>
      <c r="V1476" s="19">
        <f t="shared" si="2493"/>
        <v>27377.857</v>
      </c>
      <c r="W1476" s="19">
        <f t="shared" si="2493"/>
        <v>31593</v>
      </c>
      <c r="X1476" s="19">
        <f t="shared" si="2493"/>
        <v>30066</v>
      </c>
      <c r="Y1476" s="19">
        <f t="shared" si="2493"/>
        <v>30010</v>
      </c>
      <c r="Z1476" s="19">
        <f t="shared" si="2493"/>
        <v>38145</v>
      </c>
      <c r="AA1476" s="19">
        <f t="shared" si="2493"/>
        <v>33315</v>
      </c>
      <c r="AB1476" s="19">
        <f t="shared" si="2493"/>
        <v>35922.224000000002</v>
      </c>
      <c r="AC1476" s="19">
        <f t="shared" si="2493"/>
        <v>23681</v>
      </c>
      <c r="AD1476" s="19">
        <f t="shared" si="2485"/>
        <v>75646</v>
      </c>
      <c r="AE1476" s="19">
        <f t="shared" si="2486"/>
        <v>90663.857000000004</v>
      </c>
      <c r="AF1476" s="19">
        <f t="shared" si="2487"/>
        <v>98221</v>
      </c>
      <c r="AG1476" s="19">
        <f t="shared" si="2488"/>
        <v>92918.224000000002</v>
      </c>
      <c r="AH1476" s="19">
        <f t="shared" si="2489"/>
        <v>166309.85700000002</v>
      </c>
      <c r="AI1476" s="19">
        <f t="shared" si="2490"/>
        <v>191139.22399999999</v>
      </c>
      <c r="AJ1476" s="19">
        <f t="shared" si="2491"/>
        <v>357449.08100000001</v>
      </c>
    </row>
    <row r="1477" spans="1:36" ht="14.5">
      <c r="A1477" s="990">
        <v>1</v>
      </c>
      <c r="B1477" s="990">
        <v>1</v>
      </c>
      <c r="C1477" s="990" t="s">
        <v>863</v>
      </c>
      <c r="E1477" s="1611" t="s">
        <v>460</v>
      </c>
      <c r="F1477" s="1610"/>
      <c r="G1477" s="1731"/>
      <c r="H1477" s="1732"/>
      <c r="I1477" s="1327"/>
      <c r="J1477" s="1321"/>
      <c r="K1477" s="1321" t="s">
        <v>221</v>
      </c>
      <c r="Q1477" s="1843" t="str">
        <f>CHOOSE(2, "6722000004395", "RF (1) Office Net Sales HW Indirect")</f>
        <v>RF (1) Office Net Sales HW Indirect</v>
      </c>
      <c r="R1477" s="19">
        <f t="shared" ref="R1477:AC1477" si="2494">R470</f>
        <v>51668</v>
      </c>
      <c r="S1477" s="19">
        <f t="shared" si="2494"/>
        <v>98025</v>
      </c>
      <c r="T1477" s="19">
        <f t="shared" si="2494"/>
        <v>74833</v>
      </c>
      <c r="U1477" s="19">
        <f t="shared" si="2494"/>
        <v>96945</v>
      </c>
      <c r="V1477" s="19">
        <f t="shared" si="2494"/>
        <v>139067.27900000001</v>
      </c>
      <c r="W1477" s="19">
        <f t="shared" si="2494"/>
        <v>160331</v>
      </c>
      <c r="X1477" s="19">
        <f t="shared" si="2494"/>
        <v>117005</v>
      </c>
      <c r="Y1477" s="19">
        <f t="shared" si="2494"/>
        <v>119625</v>
      </c>
      <c r="Z1477" s="19">
        <f t="shared" si="2494"/>
        <v>204402</v>
      </c>
      <c r="AA1477" s="19">
        <f t="shared" si="2494"/>
        <v>123094</v>
      </c>
      <c r="AB1477" s="19">
        <f t="shared" si="2494"/>
        <v>144048.14631000001</v>
      </c>
      <c r="AC1477" s="19">
        <f t="shared" si="2494"/>
        <v>176045</v>
      </c>
      <c r="AD1477" s="19">
        <f t="shared" si="2485"/>
        <v>224526</v>
      </c>
      <c r="AE1477" s="19">
        <f t="shared" si="2486"/>
        <v>396343.27899999998</v>
      </c>
      <c r="AF1477" s="19">
        <f t="shared" si="2487"/>
        <v>441032</v>
      </c>
      <c r="AG1477" s="19">
        <f t="shared" si="2488"/>
        <v>443187.14630999998</v>
      </c>
      <c r="AH1477" s="19">
        <f t="shared" si="2489"/>
        <v>620869.27899999998</v>
      </c>
      <c r="AI1477" s="19">
        <f t="shared" si="2490"/>
        <v>884219.14630999998</v>
      </c>
      <c r="AJ1477" s="19">
        <f t="shared" si="2491"/>
        <v>1505088.4253099998</v>
      </c>
    </row>
    <row r="1478" spans="1:36" ht="14.5">
      <c r="A1478" s="990">
        <v>1</v>
      </c>
      <c r="B1478" s="990">
        <v>1</v>
      </c>
      <c r="C1478" s="990" t="s">
        <v>863</v>
      </c>
      <c r="E1478" s="1611" t="s">
        <v>460</v>
      </c>
      <c r="F1478" s="1610"/>
      <c r="G1478" s="1731"/>
      <c r="H1478" s="1732"/>
      <c r="I1478" s="1327"/>
      <c r="J1478" s="1736" t="s">
        <v>1396</v>
      </c>
      <c r="K1478" s="1736"/>
      <c r="L1478" s="1737"/>
      <c r="M1478" s="278"/>
      <c r="N1478" s="278"/>
      <c r="O1478" s="278"/>
      <c r="P1478" s="278"/>
      <c r="Q1478" s="1914" t="str">
        <f>CHOOSE(2, "6722000004396", "RF (1) Office Net Sales NH")</f>
        <v>RF (1) Office Net Sales NH</v>
      </c>
      <c r="R1478" s="1738">
        <f>SUM(R1479:R1480)</f>
        <v>88727</v>
      </c>
      <c r="S1478" s="1738">
        <f t="shared" ref="S1478:AC1478" si="2495">SUM(S1479:S1480)</f>
        <v>61213</v>
      </c>
      <c r="T1478" s="1738">
        <f t="shared" si="2495"/>
        <v>92849</v>
      </c>
      <c r="U1478" s="1738">
        <f t="shared" si="2495"/>
        <v>80385</v>
      </c>
      <c r="V1478" s="1738">
        <f t="shared" si="2495"/>
        <v>94526.223939999996</v>
      </c>
      <c r="W1478" s="1738">
        <f t="shared" si="2495"/>
        <v>77309</v>
      </c>
      <c r="X1478" s="1738">
        <f t="shared" si="2495"/>
        <v>85806</v>
      </c>
      <c r="Y1478" s="1738">
        <f t="shared" si="2495"/>
        <v>102055</v>
      </c>
      <c r="Z1478" s="1738">
        <f t="shared" si="2495"/>
        <v>84643</v>
      </c>
      <c r="AA1478" s="1738">
        <f t="shared" si="2495"/>
        <v>84570</v>
      </c>
      <c r="AB1478" s="1738">
        <f t="shared" si="2495"/>
        <v>81100</v>
      </c>
      <c r="AC1478" s="1738">
        <f t="shared" si="2495"/>
        <v>79337</v>
      </c>
      <c r="AD1478" s="1738">
        <f t="shared" si="2485"/>
        <v>242789</v>
      </c>
      <c r="AE1478" s="1738">
        <f t="shared" si="2486"/>
        <v>252220.22394</v>
      </c>
      <c r="AF1478" s="1738">
        <f t="shared" si="2487"/>
        <v>272504</v>
      </c>
      <c r="AG1478" s="1738">
        <f t="shared" si="2488"/>
        <v>245007</v>
      </c>
      <c r="AH1478" s="1738">
        <f t="shared" si="2489"/>
        <v>495009.22394</v>
      </c>
      <c r="AI1478" s="1738">
        <f t="shared" si="2490"/>
        <v>517511</v>
      </c>
      <c r="AJ1478" s="1738">
        <f t="shared" si="2491"/>
        <v>1012520.2239399999</v>
      </c>
    </row>
    <row r="1479" spans="1:36" ht="14.5">
      <c r="A1479" s="990">
        <v>1</v>
      </c>
      <c r="B1479" s="990">
        <v>1</v>
      </c>
      <c r="C1479" s="990" t="s">
        <v>863</v>
      </c>
      <c r="E1479" s="1611" t="s">
        <v>460</v>
      </c>
      <c r="F1479" s="1610"/>
      <c r="G1479" s="1731"/>
      <c r="H1479" s="1732"/>
      <c r="I1479" s="1327"/>
      <c r="J1479" s="1321"/>
      <c r="K1479" s="1321" t="s">
        <v>212</v>
      </c>
      <c r="Q1479" s="1843" t="str">
        <f>CHOOSE(2, "6722000004397", "RF (1) Office Net Sales NH Direct")</f>
        <v>RF (1) Office Net Sales NH Direct</v>
      </c>
      <c r="R1479" s="19">
        <f t="shared" ref="R1479:AC1479" si="2496">R459</f>
        <v>22497</v>
      </c>
      <c r="S1479" s="19">
        <f t="shared" si="2496"/>
        <v>25282</v>
      </c>
      <c r="T1479" s="19">
        <f t="shared" si="2496"/>
        <v>24598</v>
      </c>
      <c r="U1479" s="19">
        <f t="shared" si="2496"/>
        <v>22693</v>
      </c>
      <c r="V1479" s="19">
        <f t="shared" si="2496"/>
        <v>28309.485109999998</v>
      </c>
      <c r="W1479" s="19">
        <f t="shared" si="2496"/>
        <v>23155</v>
      </c>
      <c r="X1479" s="19">
        <f t="shared" si="2496"/>
        <v>24660</v>
      </c>
      <c r="Y1479" s="19">
        <f t="shared" si="2496"/>
        <v>29225</v>
      </c>
      <c r="Z1479" s="19">
        <f t="shared" si="2496"/>
        <v>26225</v>
      </c>
      <c r="AA1479" s="19">
        <f t="shared" si="2496"/>
        <v>26035</v>
      </c>
      <c r="AB1479" s="19">
        <f t="shared" si="2496"/>
        <v>27264</v>
      </c>
      <c r="AC1479" s="19">
        <f t="shared" si="2496"/>
        <v>21283</v>
      </c>
      <c r="AD1479" s="19">
        <f t="shared" si="2485"/>
        <v>72377</v>
      </c>
      <c r="AE1479" s="19">
        <f t="shared" si="2486"/>
        <v>74157.485109999994</v>
      </c>
      <c r="AF1479" s="19">
        <f t="shared" si="2487"/>
        <v>80110</v>
      </c>
      <c r="AG1479" s="19">
        <f t="shared" si="2488"/>
        <v>74582</v>
      </c>
      <c r="AH1479" s="19">
        <f t="shared" si="2489"/>
        <v>146534.48511000001</v>
      </c>
      <c r="AI1479" s="19">
        <f t="shared" si="2490"/>
        <v>154692</v>
      </c>
      <c r="AJ1479" s="19">
        <f t="shared" si="2491"/>
        <v>301226.48511000001</v>
      </c>
    </row>
    <row r="1480" spans="1:36" ht="14.5">
      <c r="A1480" s="990">
        <v>1</v>
      </c>
      <c r="B1480" s="990">
        <v>1</v>
      </c>
      <c r="C1480" s="990" t="s">
        <v>863</v>
      </c>
      <c r="E1480" s="1611" t="s">
        <v>460</v>
      </c>
      <c r="F1480" s="1610"/>
      <c r="G1480" s="1731"/>
      <c r="H1480" s="1732"/>
      <c r="I1480" s="1327"/>
      <c r="J1480" s="1321"/>
      <c r="K1480" s="1321" t="s">
        <v>221</v>
      </c>
      <c r="Q1480" s="1843" t="str">
        <f>CHOOSE(2, "6722000004398", "RF (1) Office Net Sales NH Indirect")</f>
        <v>RF (1) Office Net Sales NH Indirect</v>
      </c>
      <c r="R1480" s="19">
        <f t="shared" ref="R1480:AC1480" si="2497">R475</f>
        <v>66230</v>
      </c>
      <c r="S1480" s="19">
        <f t="shared" si="2497"/>
        <v>35931</v>
      </c>
      <c r="T1480" s="19">
        <f t="shared" si="2497"/>
        <v>68251</v>
      </c>
      <c r="U1480" s="19">
        <f t="shared" si="2497"/>
        <v>57692</v>
      </c>
      <c r="V1480" s="19">
        <f t="shared" si="2497"/>
        <v>66216.738830000002</v>
      </c>
      <c r="W1480" s="19">
        <f t="shared" si="2497"/>
        <v>54154</v>
      </c>
      <c r="X1480" s="19">
        <f t="shared" si="2497"/>
        <v>61146</v>
      </c>
      <c r="Y1480" s="19">
        <f t="shared" si="2497"/>
        <v>72830</v>
      </c>
      <c r="Z1480" s="19">
        <f t="shared" si="2497"/>
        <v>58418</v>
      </c>
      <c r="AA1480" s="19">
        <f t="shared" si="2497"/>
        <v>58535</v>
      </c>
      <c r="AB1480" s="19">
        <f t="shared" si="2497"/>
        <v>53836</v>
      </c>
      <c r="AC1480" s="19">
        <f t="shared" si="2497"/>
        <v>58054</v>
      </c>
      <c r="AD1480" s="19">
        <f t="shared" si="2485"/>
        <v>170412</v>
      </c>
      <c r="AE1480" s="19">
        <f t="shared" si="2486"/>
        <v>178062.73882999999</v>
      </c>
      <c r="AF1480" s="19">
        <f t="shared" si="2487"/>
        <v>192394</v>
      </c>
      <c r="AG1480" s="19">
        <f t="shared" si="2488"/>
        <v>170425</v>
      </c>
      <c r="AH1480" s="19">
        <f t="shared" si="2489"/>
        <v>348474.73882999999</v>
      </c>
      <c r="AI1480" s="19">
        <f t="shared" si="2490"/>
        <v>362819</v>
      </c>
      <c r="AJ1480" s="19">
        <f t="shared" si="2491"/>
        <v>711293.73882999993</v>
      </c>
    </row>
    <row r="1481" spans="1:36" ht="14.5">
      <c r="A1481" s="990">
        <v>1</v>
      </c>
      <c r="B1481" s="990">
        <v>1</v>
      </c>
      <c r="C1481" s="990" t="s">
        <v>863</v>
      </c>
      <c r="E1481" s="1611" t="s">
        <v>460</v>
      </c>
      <c r="F1481" s="1610"/>
      <c r="G1481" s="1731"/>
      <c r="H1481" s="1732"/>
      <c r="I1481" s="1327"/>
      <c r="J1481" s="1736" t="s">
        <v>778</v>
      </c>
      <c r="K1481" s="1736"/>
      <c r="L1481" s="1737"/>
      <c r="M1481" s="278"/>
      <c r="N1481" s="278"/>
      <c r="O1481" s="278"/>
      <c r="P1481" s="278"/>
      <c r="Q1481" s="1914" t="str">
        <f>CHOOSE(2, "6722000004399", "RF (1) Office Net Sales Office Solution")</f>
        <v>RF (1) Office Net Sales Office Solution</v>
      </c>
      <c r="R1481" s="1738">
        <f t="shared" ref="R1481:AC1481" si="2498">R143</f>
        <v>1285</v>
      </c>
      <c r="S1481" s="1738">
        <f t="shared" si="2498"/>
        <v>1777</v>
      </c>
      <c r="T1481" s="1738">
        <f t="shared" si="2498"/>
        <v>1492</v>
      </c>
      <c r="U1481" s="1738">
        <f t="shared" si="2498"/>
        <v>1267</v>
      </c>
      <c r="V1481" s="1738">
        <f t="shared" si="2498"/>
        <v>1554.885</v>
      </c>
      <c r="W1481" s="1738">
        <f t="shared" si="2498"/>
        <v>2374</v>
      </c>
      <c r="X1481" s="1738">
        <f t="shared" si="2498"/>
        <v>1320</v>
      </c>
      <c r="Y1481" s="1738">
        <f t="shared" si="2498"/>
        <v>3871</v>
      </c>
      <c r="Z1481" s="1738">
        <f t="shared" si="2498"/>
        <v>3249</v>
      </c>
      <c r="AA1481" s="1738">
        <f t="shared" si="2498"/>
        <v>1808</v>
      </c>
      <c r="AB1481" s="1738">
        <f t="shared" si="2498"/>
        <v>2870</v>
      </c>
      <c r="AC1481" s="1738">
        <f t="shared" si="2498"/>
        <v>3229</v>
      </c>
      <c r="AD1481" s="1738">
        <f t="shared" si="2485"/>
        <v>4554</v>
      </c>
      <c r="AE1481" s="1738">
        <f t="shared" si="2486"/>
        <v>5195.8850000000002</v>
      </c>
      <c r="AF1481" s="1738">
        <f t="shared" si="2487"/>
        <v>8440</v>
      </c>
      <c r="AG1481" s="1738">
        <f t="shared" si="2488"/>
        <v>7907</v>
      </c>
      <c r="AH1481" s="1738">
        <f t="shared" si="2489"/>
        <v>9749.8850000000002</v>
      </c>
      <c r="AI1481" s="1738">
        <f t="shared" si="2490"/>
        <v>16347</v>
      </c>
      <c r="AJ1481" s="1738">
        <f t="shared" si="2491"/>
        <v>26096.885000000002</v>
      </c>
    </row>
    <row r="1482" spans="1:36" ht="14.5">
      <c r="A1482" s="990">
        <v>1</v>
      </c>
      <c r="B1482" s="990">
        <v>1</v>
      </c>
      <c r="C1482" s="990" t="s">
        <v>863</v>
      </c>
      <c r="E1482" s="1611" t="s">
        <v>460</v>
      </c>
      <c r="F1482" s="1610"/>
      <c r="G1482" s="1731"/>
      <c r="H1482" s="1732"/>
      <c r="I1482" s="1327"/>
      <c r="J1482" s="1736" t="s">
        <v>131</v>
      </c>
      <c r="K1482" s="1736"/>
      <c r="L1482" s="1737"/>
      <c r="M1482" s="278"/>
      <c r="N1482" s="278"/>
      <c r="O1482" s="278"/>
      <c r="P1482" s="278"/>
      <c r="Q1482" s="1914" t="str">
        <f>CHOOSE(2, "6722000004400", "RF (1) Office Net Sales Others")</f>
        <v>RF (1) Office Net Sales Others</v>
      </c>
      <c r="R1482" s="1738">
        <f t="shared" ref="R1482:AC1482" si="2499">SUM(R468,R484)</f>
        <v>0</v>
      </c>
      <c r="S1482" s="1738">
        <f t="shared" si="2499"/>
        <v>0</v>
      </c>
      <c r="T1482" s="1738">
        <f t="shared" si="2499"/>
        <v>0</v>
      </c>
      <c r="U1482" s="1738">
        <f t="shared" si="2499"/>
        <v>0</v>
      </c>
      <c r="V1482" s="1738">
        <f t="shared" si="2499"/>
        <v>0</v>
      </c>
      <c r="W1482" s="1738">
        <f t="shared" si="2499"/>
        <v>0</v>
      </c>
      <c r="X1482" s="1738">
        <f t="shared" si="2499"/>
        <v>0</v>
      </c>
      <c r="Y1482" s="1738">
        <f t="shared" si="2499"/>
        <v>0</v>
      </c>
      <c r="Z1482" s="1738">
        <f t="shared" si="2499"/>
        <v>0</v>
      </c>
      <c r="AA1482" s="1738">
        <f t="shared" si="2499"/>
        <v>0</v>
      </c>
      <c r="AB1482" s="1738">
        <f t="shared" si="2499"/>
        <v>0</v>
      </c>
      <c r="AC1482" s="1738">
        <f t="shared" si="2499"/>
        <v>0</v>
      </c>
      <c r="AD1482" s="1738">
        <f t="shared" si="2485"/>
        <v>0</v>
      </c>
      <c r="AE1482" s="1738">
        <f t="shared" si="2486"/>
        <v>0</v>
      </c>
      <c r="AF1482" s="1738">
        <f t="shared" si="2487"/>
        <v>0</v>
      </c>
      <c r="AG1482" s="1738">
        <f t="shared" si="2488"/>
        <v>0</v>
      </c>
      <c r="AH1482" s="1738">
        <f t="shared" si="2489"/>
        <v>0</v>
      </c>
      <c r="AI1482" s="1738">
        <f t="shared" si="2490"/>
        <v>0</v>
      </c>
      <c r="AJ1482" s="1738">
        <f t="shared" si="2491"/>
        <v>0</v>
      </c>
    </row>
    <row r="1483" spans="1:36" ht="14.5">
      <c r="A1483" s="990">
        <v>1</v>
      </c>
      <c r="B1483" s="990">
        <v>1</v>
      </c>
      <c r="C1483" s="990" t="s">
        <v>863</v>
      </c>
      <c r="E1483" s="1611" t="s">
        <v>460</v>
      </c>
      <c r="F1483" s="1610"/>
      <c r="G1483" s="1731"/>
      <c r="H1483" s="1732"/>
      <c r="I1483" s="1312" t="s">
        <v>1397</v>
      </c>
      <c r="J1483" s="1313"/>
      <c r="K1483" s="1313"/>
      <c r="L1483" s="1733"/>
      <c r="M1483" s="1734"/>
      <c r="N1483" s="1734"/>
      <c r="O1483" s="1734"/>
      <c r="P1483" s="1734"/>
      <c r="Q1483" s="1912" t="str">
        <f>CHOOSE(2, "6722000004401", "RF (1) Office Variable cost")</f>
        <v>RF (1) Office Variable cost</v>
      </c>
      <c r="R1483" s="2311">
        <f>SUM(R1484,R1487,R1490,R1491)</f>
        <v>112244.97849282602</v>
      </c>
      <c r="S1483" s="2311">
        <f t="shared" ref="S1483:AC1483" si="2500">SUM(S1484,S1487,S1490,S1491)</f>
        <v>138027.4312858317</v>
      </c>
      <c r="T1483" s="2311">
        <f t="shared" si="2500"/>
        <v>137076.27279742443</v>
      </c>
      <c r="U1483" s="2311">
        <f t="shared" si="2500"/>
        <v>153206.01442732447</v>
      </c>
      <c r="V1483" s="2311">
        <f t="shared" si="2500"/>
        <v>192993.55058606277</v>
      </c>
      <c r="W1483" s="2311">
        <f t="shared" si="2500"/>
        <v>201937.46621075235</v>
      </c>
      <c r="X1483" s="2311">
        <f t="shared" si="2500"/>
        <v>147931.06276354101</v>
      </c>
      <c r="Y1483" s="2311">
        <f t="shared" si="2500"/>
        <v>175361.81039525435</v>
      </c>
      <c r="Z1483" s="2311">
        <f t="shared" si="2500"/>
        <v>262567.05704835651</v>
      </c>
      <c r="AA1483" s="2311">
        <f t="shared" si="2500"/>
        <v>177672.7152387893</v>
      </c>
      <c r="AB1483" s="2311">
        <f t="shared" si="2500"/>
        <v>215411.09850388311</v>
      </c>
      <c r="AC1483" s="2311">
        <f t="shared" si="2500"/>
        <v>214778.73228769144</v>
      </c>
      <c r="AD1483" s="1735">
        <f t="shared" si="2485"/>
        <v>387348.68257608218</v>
      </c>
      <c r="AE1483" s="1735">
        <f t="shared" si="2486"/>
        <v>548137.03122413962</v>
      </c>
      <c r="AF1483" s="1735">
        <f t="shared" si="2487"/>
        <v>585859.93020715192</v>
      </c>
      <c r="AG1483" s="1735">
        <f t="shared" si="2488"/>
        <v>607862.54603036388</v>
      </c>
      <c r="AH1483" s="1735">
        <f t="shared" si="2489"/>
        <v>935485.7138002218</v>
      </c>
      <c r="AI1483" s="1735">
        <f t="shared" si="2490"/>
        <v>1193722.4762375159</v>
      </c>
      <c r="AJ1483" s="1735">
        <f t="shared" si="2491"/>
        <v>2129208.1900377376</v>
      </c>
    </row>
    <row r="1484" spans="1:36" ht="14.5">
      <c r="A1484" s="990">
        <v>1</v>
      </c>
      <c r="B1484" s="990">
        <v>1</v>
      </c>
      <c r="C1484" s="990" t="s">
        <v>863</v>
      </c>
      <c r="E1484" s="1611" t="s">
        <v>460</v>
      </c>
      <c r="F1484" s="1610"/>
      <c r="G1484" s="1731"/>
      <c r="H1484" s="1732"/>
      <c r="I1484" s="1327"/>
      <c r="J1484" s="1736" t="s">
        <v>1395</v>
      </c>
      <c r="K1484" s="1736"/>
      <c r="L1484" s="1737"/>
      <c r="M1484" s="278"/>
      <c r="N1484" s="278"/>
      <c r="O1484" s="278"/>
      <c r="P1484" s="278"/>
      <c r="Q1484" s="1914" t="str">
        <f>CHOOSE(2, "6722000004402", "RF (1) Office Variable cost HW")</f>
        <v>RF (1) Office Variable cost HW</v>
      </c>
      <c r="R1484" s="1738">
        <f>SUM(R1485:R1486)</f>
        <v>48660</v>
      </c>
      <c r="S1484" s="1738">
        <f t="shared" ref="S1484:AC1484" si="2501">SUM(S1485:S1486)</f>
        <v>89316</v>
      </c>
      <c r="T1484" s="1738">
        <f t="shared" si="2501"/>
        <v>76223</v>
      </c>
      <c r="U1484" s="1738">
        <f t="shared" si="2501"/>
        <v>94449</v>
      </c>
      <c r="V1484" s="1738">
        <f t="shared" si="2501"/>
        <v>124743.89874018426</v>
      </c>
      <c r="W1484" s="1738">
        <f t="shared" si="2501"/>
        <v>137455</v>
      </c>
      <c r="X1484" s="1738">
        <f t="shared" si="2501"/>
        <v>93261</v>
      </c>
      <c r="Y1484" s="1738">
        <f t="shared" si="2501"/>
        <v>110667</v>
      </c>
      <c r="Z1484" s="1738">
        <f t="shared" si="2501"/>
        <v>179395</v>
      </c>
      <c r="AA1484" s="1738">
        <f t="shared" si="2501"/>
        <v>108170</v>
      </c>
      <c r="AB1484" s="1738">
        <f t="shared" si="2501"/>
        <v>143595.37031000003</v>
      </c>
      <c r="AC1484" s="1738">
        <f t="shared" si="2501"/>
        <v>158586</v>
      </c>
      <c r="AD1484" s="1738">
        <f t="shared" si="2485"/>
        <v>214199</v>
      </c>
      <c r="AE1484" s="1738">
        <f t="shared" si="2486"/>
        <v>356647.89874018426</v>
      </c>
      <c r="AF1484" s="1738">
        <f t="shared" si="2487"/>
        <v>383323</v>
      </c>
      <c r="AG1484" s="1738">
        <f t="shared" si="2488"/>
        <v>410351.37031000003</v>
      </c>
      <c r="AH1484" s="1738">
        <f t="shared" si="2489"/>
        <v>570846.89874018426</v>
      </c>
      <c r="AI1484" s="1738">
        <f t="shared" si="2490"/>
        <v>793674.37031000003</v>
      </c>
      <c r="AJ1484" s="1738">
        <f t="shared" si="2491"/>
        <v>1364521.2690501842</v>
      </c>
    </row>
    <row r="1485" spans="1:36" ht="14.5">
      <c r="A1485" s="990">
        <v>1</v>
      </c>
      <c r="B1485" s="990">
        <v>1</v>
      </c>
      <c r="C1485" s="990" t="s">
        <v>863</v>
      </c>
      <c r="E1485" s="1611" t="s">
        <v>460</v>
      </c>
      <c r="F1485" s="1610"/>
      <c r="G1485" s="1731"/>
      <c r="H1485" s="1732"/>
      <c r="I1485" s="1327"/>
      <c r="J1485" s="1321"/>
      <c r="K1485" s="1321" t="s">
        <v>212</v>
      </c>
      <c r="Q1485" s="1843" t="str">
        <f>CHOOSE(2, "6722000004403", "RF (1) Office Variable cost HW Direct")</f>
        <v>RF (1) Office Variable cost HW Direct</v>
      </c>
      <c r="R1485" s="19">
        <f t="shared" ref="R1485:AC1485" si="2502">R454-R487</f>
        <v>11314</v>
      </c>
      <c r="S1485" s="19">
        <f t="shared" si="2502"/>
        <v>12009</v>
      </c>
      <c r="T1485" s="19">
        <f t="shared" si="2502"/>
        <v>14214</v>
      </c>
      <c r="U1485" s="19">
        <f t="shared" si="2502"/>
        <v>16785</v>
      </c>
      <c r="V1485" s="19">
        <f t="shared" si="2502"/>
        <v>13834.00245</v>
      </c>
      <c r="W1485" s="19">
        <f t="shared" si="2502"/>
        <v>15714</v>
      </c>
      <c r="X1485" s="19">
        <f t="shared" si="2502"/>
        <v>13494</v>
      </c>
      <c r="Y1485" s="19">
        <f t="shared" si="2502"/>
        <v>14926</v>
      </c>
      <c r="Z1485" s="19">
        <f t="shared" si="2502"/>
        <v>20821</v>
      </c>
      <c r="AA1485" s="19">
        <f t="shared" si="2502"/>
        <v>17121</v>
      </c>
      <c r="AB1485" s="19">
        <f t="shared" si="2502"/>
        <v>18252.224000000002</v>
      </c>
      <c r="AC1485" s="19">
        <f t="shared" si="2502"/>
        <v>14515</v>
      </c>
      <c r="AD1485" s="19">
        <f t="shared" si="2485"/>
        <v>37537</v>
      </c>
      <c r="AE1485" s="19">
        <f t="shared" si="2486"/>
        <v>46333.00245</v>
      </c>
      <c r="AF1485" s="19">
        <f t="shared" si="2487"/>
        <v>49241</v>
      </c>
      <c r="AG1485" s="19">
        <f t="shared" si="2488"/>
        <v>49888.224000000002</v>
      </c>
      <c r="AH1485" s="19">
        <f t="shared" si="2489"/>
        <v>83870.00245</v>
      </c>
      <c r="AI1485" s="19">
        <f t="shared" si="2490"/>
        <v>99129.224000000002</v>
      </c>
      <c r="AJ1485" s="19">
        <f t="shared" si="2491"/>
        <v>182999.22645000002</v>
      </c>
    </row>
    <row r="1486" spans="1:36" ht="14.5">
      <c r="A1486" s="990">
        <v>1</v>
      </c>
      <c r="B1486" s="990">
        <v>1</v>
      </c>
      <c r="C1486" s="990" t="s">
        <v>863</v>
      </c>
      <c r="E1486" s="1611" t="s">
        <v>460</v>
      </c>
      <c r="F1486" s="1610"/>
      <c r="G1486" s="1731"/>
      <c r="H1486" s="1732"/>
      <c r="I1486" s="1327"/>
      <c r="J1486" s="1321"/>
      <c r="K1486" s="1321" t="s">
        <v>221</v>
      </c>
      <c r="Q1486" s="1843" t="str">
        <f>CHOOSE(2, "6722000004404", "RF (1) Office Variable cost HW Indirect")</f>
        <v>RF (1) Office Variable cost HW Indirect</v>
      </c>
      <c r="R1486" s="19">
        <f t="shared" ref="R1486:AC1486" si="2503">R470-R511</f>
        <v>37346</v>
      </c>
      <c r="S1486" s="19">
        <f t="shared" si="2503"/>
        <v>77307</v>
      </c>
      <c r="T1486" s="19">
        <f t="shared" si="2503"/>
        <v>62009</v>
      </c>
      <c r="U1486" s="19">
        <f t="shared" si="2503"/>
        <v>77664</v>
      </c>
      <c r="V1486" s="19">
        <f t="shared" si="2503"/>
        <v>110909.89629018426</v>
      </c>
      <c r="W1486" s="19">
        <f t="shared" si="2503"/>
        <v>121741</v>
      </c>
      <c r="X1486" s="19">
        <f t="shared" si="2503"/>
        <v>79767</v>
      </c>
      <c r="Y1486" s="19">
        <f t="shared" si="2503"/>
        <v>95741</v>
      </c>
      <c r="Z1486" s="19">
        <f t="shared" si="2503"/>
        <v>158574</v>
      </c>
      <c r="AA1486" s="19">
        <f t="shared" si="2503"/>
        <v>91049</v>
      </c>
      <c r="AB1486" s="19">
        <f t="shared" si="2503"/>
        <v>125343.14631000001</v>
      </c>
      <c r="AC1486" s="19">
        <f t="shared" si="2503"/>
        <v>144071</v>
      </c>
      <c r="AD1486" s="19">
        <f t="shared" si="2485"/>
        <v>176662</v>
      </c>
      <c r="AE1486" s="19">
        <f t="shared" si="2486"/>
        <v>310314.89629018423</v>
      </c>
      <c r="AF1486" s="19">
        <f t="shared" si="2487"/>
        <v>334082</v>
      </c>
      <c r="AG1486" s="19">
        <f t="shared" si="2488"/>
        <v>360463.14630999998</v>
      </c>
      <c r="AH1486" s="19">
        <f t="shared" si="2489"/>
        <v>486976.89629018423</v>
      </c>
      <c r="AI1486" s="19">
        <f t="shared" si="2490"/>
        <v>694545.14630999998</v>
      </c>
      <c r="AJ1486" s="19">
        <f t="shared" si="2491"/>
        <v>1181522.0426001842</v>
      </c>
    </row>
    <row r="1487" spans="1:36" ht="14.5">
      <c r="A1487" s="990">
        <v>1</v>
      </c>
      <c r="B1487" s="990">
        <v>1</v>
      </c>
      <c r="C1487" s="990" t="s">
        <v>863</v>
      </c>
      <c r="E1487" s="1611" t="s">
        <v>460</v>
      </c>
      <c r="F1487" s="1610"/>
      <c r="G1487" s="1731"/>
      <c r="H1487" s="1732"/>
      <c r="I1487" s="1327"/>
      <c r="J1487" s="1736" t="s">
        <v>1396</v>
      </c>
      <c r="K1487" s="1736"/>
      <c r="L1487" s="1737"/>
      <c r="M1487" s="278"/>
      <c r="N1487" s="278"/>
      <c r="O1487" s="278"/>
      <c r="P1487" s="278"/>
      <c r="Q1487" s="1914" t="str">
        <f>CHOOSE(2, "6722000004405", "RF (1) Office Variable cost NH")</f>
        <v>RF (1) Office Variable cost NH</v>
      </c>
      <c r="R1487" s="1738">
        <f>SUM(R1488:R1489)</f>
        <v>44542</v>
      </c>
      <c r="S1487" s="1738">
        <f t="shared" ref="S1487:AC1487" si="2504">SUM(S1488:S1489)</f>
        <v>34017</v>
      </c>
      <c r="T1487" s="1738">
        <f t="shared" si="2504"/>
        <v>44829</v>
      </c>
      <c r="U1487" s="1738">
        <f t="shared" si="2504"/>
        <v>40052</v>
      </c>
      <c r="V1487" s="1738">
        <f t="shared" si="2504"/>
        <v>47838.249475932142</v>
      </c>
      <c r="W1487" s="1738">
        <f t="shared" si="2504"/>
        <v>38405</v>
      </c>
      <c r="X1487" s="1738">
        <f t="shared" si="2504"/>
        <v>41562</v>
      </c>
      <c r="Y1487" s="1738">
        <f t="shared" si="2504"/>
        <v>50033</v>
      </c>
      <c r="Z1487" s="1738">
        <f t="shared" si="2504"/>
        <v>43851</v>
      </c>
      <c r="AA1487" s="1738">
        <f t="shared" si="2504"/>
        <v>43080</v>
      </c>
      <c r="AB1487" s="1738">
        <f t="shared" si="2504"/>
        <v>43502</v>
      </c>
      <c r="AC1487" s="1738">
        <f t="shared" si="2504"/>
        <v>37513</v>
      </c>
      <c r="AD1487" s="1738">
        <f t="shared" si="2485"/>
        <v>123388</v>
      </c>
      <c r="AE1487" s="1738">
        <f t="shared" si="2486"/>
        <v>126295.24947593214</v>
      </c>
      <c r="AF1487" s="1738">
        <f t="shared" si="2487"/>
        <v>135446</v>
      </c>
      <c r="AG1487" s="1738">
        <f t="shared" si="2488"/>
        <v>124095</v>
      </c>
      <c r="AH1487" s="1738">
        <f t="shared" si="2489"/>
        <v>249683.24947593216</v>
      </c>
      <c r="AI1487" s="1738">
        <f t="shared" si="2490"/>
        <v>259541</v>
      </c>
      <c r="AJ1487" s="1738">
        <f t="shared" si="2491"/>
        <v>509224.24947593216</v>
      </c>
    </row>
    <row r="1488" spans="1:36" ht="14.5">
      <c r="A1488" s="990">
        <v>1</v>
      </c>
      <c r="B1488" s="990">
        <v>1</v>
      </c>
      <c r="C1488" s="990" t="s">
        <v>863</v>
      </c>
      <c r="E1488" s="1611" t="s">
        <v>460</v>
      </c>
      <c r="F1488" s="1610"/>
      <c r="G1488" s="1731"/>
      <c r="H1488" s="1732"/>
      <c r="I1488" s="1327"/>
      <c r="J1488" s="1321"/>
      <c r="K1488" s="1321" t="s">
        <v>212</v>
      </c>
      <c r="Q1488" s="1843" t="str">
        <f>CHOOSE(2, "6722000004406", "RF (1) Office Variable cost NH Direct")</f>
        <v>RF (1) Office Variable cost NH Direct</v>
      </c>
      <c r="R1488" s="19">
        <f t="shared" ref="R1488:AC1488" si="2505">R1479-R492+(R501+R505+R508)</f>
        <v>4149</v>
      </c>
      <c r="S1488" s="19">
        <f t="shared" si="2505"/>
        <v>6864</v>
      </c>
      <c r="T1488" s="19">
        <f t="shared" si="2505"/>
        <v>6277</v>
      </c>
      <c r="U1488" s="19">
        <f t="shared" si="2505"/>
        <v>6199</v>
      </c>
      <c r="V1488" s="19">
        <f t="shared" si="2505"/>
        <v>8517.6836085885989</v>
      </c>
      <c r="W1488" s="19">
        <f t="shared" si="2505"/>
        <v>6554</v>
      </c>
      <c r="X1488" s="19">
        <f t="shared" si="2505"/>
        <v>6012</v>
      </c>
      <c r="Y1488" s="19">
        <f t="shared" si="2505"/>
        <v>6929</v>
      </c>
      <c r="Z1488" s="19">
        <f t="shared" si="2505"/>
        <v>7261</v>
      </c>
      <c r="AA1488" s="19">
        <f t="shared" si="2505"/>
        <v>6611</v>
      </c>
      <c r="AB1488" s="19">
        <f t="shared" si="2505"/>
        <v>8203</v>
      </c>
      <c r="AC1488" s="19">
        <f t="shared" si="2505"/>
        <v>2679</v>
      </c>
      <c r="AD1488" s="19">
        <f t="shared" si="2485"/>
        <v>17290</v>
      </c>
      <c r="AE1488" s="19">
        <f t="shared" si="2486"/>
        <v>21270.683608588599</v>
      </c>
      <c r="AF1488" s="19">
        <f t="shared" si="2487"/>
        <v>20202</v>
      </c>
      <c r="AG1488" s="19">
        <f t="shared" si="2488"/>
        <v>17493</v>
      </c>
      <c r="AH1488" s="19">
        <f t="shared" si="2489"/>
        <v>38560.683608588603</v>
      </c>
      <c r="AI1488" s="19">
        <f t="shared" si="2490"/>
        <v>37695</v>
      </c>
      <c r="AJ1488" s="19">
        <f t="shared" si="2491"/>
        <v>76255.683608588603</v>
      </c>
    </row>
    <row r="1489" spans="1:36" ht="14.5">
      <c r="A1489" s="990">
        <v>1</v>
      </c>
      <c r="B1489" s="990">
        <v>1</v>
      </c>
      <c r="C1489" s="990" t="s">
        <v>863</v>
      </c>
      <c r="E1489" s="1611" t="s">
        <v>460</v>
      </c>
      <c r="F1489" s="1610"/>
      <c r="G1489" s="1731"/>
      <c r="H1489" s="1732"/>
      <c r="I1489" s="1327"/>
      <c r="J1489" s="1321"/>
      <c r="K1489" s="1321" t="s">
        <v>221</v>
      </c>
      <c r="Q1489" s="1843" t="str">
        <f>CHOOSE(2, "6722000004407", "RF (1) Office Variable cost NH Indirect")</f>
        <v>RF (1) Office Variable cost NH Indirect</v>
      </c>
      <c r="R1489" s="19">
        <f t="shared" ref="R1489:AC1489" si="2506">R1480-R516+(R525+R529+R532)</f>
        <v>40393</v>
      </c>
      <c r="S1489" s="19">
        <f t="shared" si="2506"/>
        <v>27153</v>
      </c>
      <c r="T1489" s="19">
        <f t="shared" si="2506"/>
        <v>38552</v>
      </c>
      <c r="U1489" s="19">
        <f t="shared" si="2506"/>
        <v>33853</v>
      </c>
      <c r="V1489" s="19">
        <f t="shared" si="2506"/>
        <v>39320.565867343539</v>
      </c>
      <c r="W1489" s="19">
        <f t="shared" si="2506"/>
        <v>31851</v>
      </c>
      <c r="X1489" s="19">
        <f t="shared" si="2506"/>
        <v>35550</v>
      </c>
      <c r="Y1489" s="19">
        <f t="shared" si="2506"/>
        <v>43104</v>
      </c>
      <c r="Z1489" s="19">
        <f t="shared" si="2506"/>
        <v>36590</v>
      </c>
      <c r="AA1489" s="19">
        <f t="shared" si="2506"/>
        <v>36469</v>
      </c>
      <c r="AB1489" s="19">
        <f t="shared" si="2506"/>
        <v>35299</v>
      </c>
      <c r="AC1489" s="19">
        <f t="shared" si="2506"/>
        <v>34834</v>
      </c>
      <c r="AD1489" s="19">
        <f t="shared" si="2485"/>
        <v>106098</v>
      </c>
      <c r="AE1489" s="19">
        <f t="shared" si="2486"/>
        <v>105024.56586734354</v>
      </c>
      <c r="AF1489" s="19">
        <f t="shared" si="2487"/>
        <v>115244</v>
      </c>
      <c r="AG1489" s="19">
        <f t="shared" si="2488"/>
        <v>106602</v>
      </c>
      <c r="AH1489" s="19">
        <f t="shared" si="2489"/>
        <v>211122.56586734354</v>
      </c>
      <c r="AI1489" s="19">
        <f t="shared" si="2490"/>
        <v>221846</v>
      </c>
      <c r="AJ1489" s="19">
        <f t="shared" si="2491"/>
        <v>432968.56586734357</v>
      </c>
    </row>
    <row r="1490" spans="1:36" ht="14.5">
      <c r="A1490" s="990">
        <v>1</v>
      </c>
      <c r="B1490" s="990">
        <v>1</v>
      </c>
      <c r="C1490" s="990" t="s">
        <v>863</v>
      </c>
      <c r="E1490" s="1611" t="s">
        <v>460</v>
      </c>
      <c r="F1490" s="1610"/>
      <c r="G1490" s="1731"/>
      <c r="H1490" s="1732"/>
      <c r="I1490" s="1327"/>
      <c r="J1490" s="1736" t="s">
        <v>778</v>
      </c>
      <c r="K1490" s="1736"/>
      <c r="L1490" s="1737"/>
      <c r="M1490" s="278"/>
      <c r="N1490" s="278"/>
      <c r="O1490" s="278"/>
      <c r="P1490" s="278"/>
      <c r="Q1490" s="1914" t="str">
        <f>CHOOSE(2, "6722000004408", "RF (1) Office Variable cost Office Solution")</f>
        <v>RF (1) Office Variable cost Office Solution</v>
      </c>
      <c r="R1490" s="1738">
        <f t="shared" ref="R1490:AC1490" si="2507">R143-R145-(R849)</f>
        <v>450</v>
      </c>
      <c r="S1490" s="1738">
        <f t="shared" si="2507"/>
        <v>636</v>
      </c>
      <c r="T1490" s="1738">
        <f t="shared" si="2507"/>
        <v>477</v>
      </c>
      <c r="U1490" s="1738">
        <f t="shared" si="2507"/>
        <v>222</v>
      </c>
      <c r="V1490" s="1738">
        <f t="shared" si="2507"/>
        <v>439.88499999999999</v>
      </c>
      <c r="W1490" s="1738">
        <f t="shared" si="2507"/>
        <v>821</v>
      </c>
      <c r="X1490" s="1738">
        <f t="shared" si="2507"/>
        <v>344</v>
      </c>
      <c r="Y1490" s="1738">
        <f t="shared" si="2507"/>
        <v>1513</v>
      </c>
      <c r="Z1490" s="1738">
        <f t="shared" si="2507"/>
        <v>1633</v>
      </c>
      <c r="AA1490" s="1738">
        <f t="shared" si="2507"/>
        <v>381</v>
      </c>
      <c r="AB1490" s="1738">
        <f t="shared" si="2507"/>
        <v>881.14341000000013</v>
      </c>
      <c r="AC1490" s="1738">
        <f t="shared" si="2507"/>
        <v>1326</v>
      </c>
      <c r="AD1490" s="1738">
        <f t="shared" si="2485"/>
        <v>1563</v>
      </c>
      <c r="AE1490" s="1738">
        <f t="shared" si="2486"/>
        <v>1482.885</v>
      </c>
      <c r="AF1490" s="1738">
        <f t="shared" si="2487"/>
        <v>3490</v>
      </c>
      <c r="AG1490" s="1738">
        <f t="shared" si="2488"/>
        <v>2588.1434100000001</v>
      </c>
      <c r="AH1490" s="1738">
        <f t="shared" si="2489"/>
        <v>3045.8850000000002</v>
      </c>
      <c r="AI1490" s="1738">
        <f t="shared" si="2490"/>
        <v>6078.1434100000006</v>
      </c>
      <c r="AJ1490" s="1738">
        <f t="shared" si="2491"/>
        <v>9124.0284100000008</v>
      </c>
    </row>
    <row r="1491" spans="1:36" ht="14.5">
      <c r="A1491" s="990">
        <v>1</v>
      </c>
      <c r="B1491" s="990">
        <v>1</v>
      </c>
      <c r="C1491" s="990" t="s">
        <v>863</v>
      </c>
      <c r="E1491" s="1611" t="s">
        <v>460</v>
      </c>
      <c r="F1491" s="1610"/>
      <c r="G1491" s="1731"/>
      <c r="H1491" s="1732"/>
      <c r="I1491" s="1327"/>
      <c r="J1491" s="1736" t="s">
        <v>1398</v>
      </c>
      <c r="K1491" s="1736"/>
      <c r="L1491" s="1737"/>
      <c r="M1491" s="278"/>
      <c r="N1491" s="278"/>
      <c r="O1491" s="278"/>
      <c r="P1491" s="278"/>
      <c r="Q1491" s="1914" t="str">
        <f>CHOOSE(2, "6722000004409", "RF (1) Office Variable cost Others (inc. SG&amp;A variable)")</f>
        <v>RF (1) Office Variable cost Others (inc. SG&amp;A variable)</v>
      </c>
      <c r="R1491" s="1738">
        <f t="shared" ref="R1491:AC1491" si="2508">R122+R83</f>
        <v>18592.978492826012</v>
      </c>
      <c r="S1491" s="1738">
        <f t="shared" si="2508"/>
        <v>14058.431285831692</v>
      </c>
      <c r="T1491" s="1738">
        <f t="shared" si="2508"/>
        <v>15547.272797424426</v>
      </c>
      <c r="U1491" s="1738">
        <f t="shared" si="2508"/>
        <v>18483.014427324466</v>
      </c>
      <c r="V1491" s="1738">
        <f t="shared" si="2508"/>
        <v>19971.517369946348</v>
      </c>
      <c r="W1491" s="1738">
        <f t="shared" si="2508"/>
        <v>25256.466210752336</v>
      </c>
      <c r="X1491" s="1738">
        <f t="shared" si="2508"/>
        <v>12764.062763541016</v>
      </c>
      <c r="Y1491" s="1738">
        <f t="shared" si="2508"/>
        <v>13148.810395254335</v>
      </c>
      <c r="Z1491" s="1738">
        <f t="shared" si="2508"/>
        <v>37688.057048356502</v>
      </c>
      <c r="AA1491" s="1738">
        <f t="shared" si="2508"/>
        <v>26041.715238789289</v>
      </c>
      <c r="AB1491" s="1738">
        <f t="shared" si="2508"/>
        <v>27432.584783883085</v>
      </c>
      <c r="AC1491" s="1738">
        <f t="shared" si="2508"/>
        <v>17353.73228769144</v>
      </c>
      <c r="AD1491" s="1738">
        <f t="shared" si="2485"/>
        <v>48198.68257608213</v>
      </c>
      <c r="AE1491" s="1738">
        <f t="shared" si="2486"/>
        <v>63710.998008023147</v>
      </c>
      <c r="AF1491" s="1738">
        <f t="shared" si="2487"/>
        <v>63600.930207151854</v>
      </c>
      <c r="AG1491" s="1738">
        <f t="shared" si="2488"/>
        <v>70828.032310363807</v>
      </c>
      <c r="AH1491" s="1738">
        <f t="shared" si="2489"/>
        <v>111909.68058410528</v>
      </c>
      <c r="AI1491" s="1738">
        <f t="shared" si="2490"/>
        <v>134428.96251751567</v>
      </c>
      <c r="AJ1491" s="1738">
        <f t="shared" si="2491"/>
        <v>246338.64310162095</v>
      </c>
    </row>
    <row r="1492" spans="1:36" ht="14.5">
      <c r="A1492" s="990">
        <v>1</v>
      </c>
      <c r="B1492" s="990">
        <v>1</v>
      </c>
      <c r="C1492" s="990" t="s">
        <v>863</v>
      </c>
      <c r="E1492" s="1611" t="s">
        <v>460</v>
      </c>
      <c r="F1492" s="1610"/>
      <c r="G1492" s="1731"/>
      <c r="H1492" s="1732"/>
      <c r="I1492" s="1312" t="s">
        <v>865</v>
      </c>
      <c r="J1492" s="1313"/>
      <c r="K1492" s="1313"/>
      <c r="L1492" s="1733"/>
      <c r="M1492" s="1734"/>
      <c r="N1492" s="1734"/>
      <c r="O1492" s="1734"/>
      <c r="P1492" s="1734"/>
      <c r="Q1492" s="1912" t="str">
        <f>CHOOSE(2, "6722000004410", "RF (1) Office Marginal Profit")</f>
        <v>RF (1) Office Marginal Profit</v>
      </c>
      <c r="R1492" s="2311">
        <f t="shared" ref="R1492:AC1500" si="2509">R1474-R1483</f>
        <v>51953.02150717398</v>
      </c>
      <c r="S1492" s="2311">
        <f t="shared" si="2509"/>
        <v>46622.568714168301</v>
      </c>
      <c r="T1492" s="2311">
        <f t="shared" si="2509"/>
        <v>61590.727202575566</v>
      </c>
      <c r="U1492" s="2311">
        <f t="shared" si="2509"/>
        <v>57083.985572675534</v>
      </c>
      <c r="V1492" s="2311">
        <f t="shared" si="2509"/>
        <v>69532.69435393723</v>
      </c>
      <c r="W1492" s="2311">
        <f t="shared" si="2509"/>
        <v>69669.533789247653</v>
      </c>
      <c r="X1492" s="2311">
        <f t="shared" si="2509"/>
        <v>86265.937236458994</v>
      </c>
      <c r="Y1492" s="2311">
        <f t="shared" si="2509"/>
        <v>80199.189604745654</v>
      </c>
      <c r="Z1492" s="2311">
        <f t="shared" si="2509"/>
        <v>67871.94295164349</v>
      </c>
      <c r="AA1492" s="2311">
        <f t="shared" si="2509"/>
        <v>65114.2847612107</v>
      </c>
      <c r="AB1492" s="2311">
        <f t="shared" si="2509"/>
        <v>48529.271806116914</v>
      </c>
      <c r="AC1492" s="2311">
        <f t="shared" si="2509"/>
        <v>67513.26771230856</v>
      </c>
      <c r="AD1492" s="1735">
        <f t="shared" si="2485"/>
        <v>160166.31742391785</v>
      </c>
      <c r="AE1492" s="1735">
        <f t="shared" si="2486"/>
        <v>196286.21371586042</v>
      </c>
      <c r="AF1492" s="1735">
        <f t="shared" si="2487"/>
        <v>234337.06979284814</v>
      </c>
      <c r="AG1492" s="1735">
        <f t="shared" si="2488"/>
        <v>181156.82427963617</v>
      </c>
      <c r="AH1492" s="1735">
        <f t="shared" si="2489"/>
        <v>356452.53113977826</v>
      </c>
      <c r="AI1492" s="1735">
        <f t="shared" si="2490"/>
        <v>415493.89407248434</v>
      </c>
      <c r="AJ1492" s="1735">
        <f t="shared" si="2491"/>
        <v>771946.42521226266</v>
      </c>
    </row>
    <row r="1493" spans="1:36" ht="14.5">
      <c r="A1493" s="990">
        <v>1</v>
      </c>
      <c r="B1493" s="990">
        <v>1</v>
      </c>
      <c r="C1493" s="990" t="s">
        <v>863</v>
      </c>
      <c r="E1493" s="1611" t="s">
        <v>460</v>
      </c>
      <c r="F1493" s="1610"/>
      <c r="G1493" s="1731"/>
      <c r="H1493" s="1732"/>
      <c r="I1493" s="1327"/>
      <c r="J1493" s="1736" t="s">
        <v>1395</v>
      </c>
      <c r="K1493" s="1736"/>
      <c r="L1493" s="1737"/>
      <c r="M1493" s="278"/>
      <c r="N1493" s="278"/>
      <c r="O1493" s="278"/>
      <c r="P1493" s="278"/>
      <c r="Q1493" s="1914" t="str">
        <f>CHOOSE(2, "6722000004411", "RF (1) Office Marginal Profit HW")</f>
        <v>RF (1) Office Marginal Profit HW</v>
      </c>
      <c r="R1493" s="1738">
        <f t="shared" si="2509"/>
        <v>25526</v>
      </c>
      <c r="S1493" s="1738">
        <f t="shared" si="2509"/>
        <v>32344</v>
      </c>
      <c r="T1493" s="1738">
        <f t="shared" si="2509"/>
        <v>28103</v>
      </c>
      <c r="U1493" s="1738">
        <f t="shared" si="2509"/>
        <v>34189</v>
      </c>
      <c r="V1493" s="1738">
        <f t="shared" si="2509"/>
        <v>41701.237259815738</v>
      </c>
      <c r="W1493" s="1738">
        <f t="shared" si="2509"/>
        <v>54469</v>
      </c>
      <c r="X1493" s="1738">
        <f t="shared" si="2509"/>
        <v>53810</v>
      </c>
      <c r="Y1493" s="1738">
        <f t="shared" si="2509"/>
        <v>38968</v>
      </c>
      <c r="Z1493" s="1738">
        <f t="shared" si="2509"/>
        <v>63152</v>
      </c>
      <c r="AA1493" s="1738">
        <f t="shared" si="2509"/>
        <v>48239</v>
      </c>
      <c r="AB1493" s="1738">
        <f t="shared" si="2509"/>
        <v>36375</v>
      </c>
      <c r="AC1493" s="1738">
        <f t="shared" si="2509"/>
        <v>41140</v>
      </c>
      <c r="AD1493" s="1738">
        <f t="shared" si="2485"/>
        <v>85973</v>
      </c>
      <c r="AE1493" s="1738">
        <f t="shared" si="2486"/>
        <v>130359.23725981574</v>
      </c>
      <c r="AF1493" s="1738">
        <f t="shared" si="2487"/>
        <v>155930</v>
      </c>
      <c r="AG1493" s="1738">
        <f t="shared" si="2488"/>
        <v>125754</v>
      </c>
      <c r="AH1493" s="1738">
        <f t="shared" si="2489"/>
        <v>216332.23725981574</v>
      </c>
      <c r="AI1493" s="1738">
        <f t="shared" si="2490"/>
        <v>281684</v>
      </c>
      <c r="AJ1493" s="1738">
        <f t="shared" si="2491"/>
        <v>498016.23725981574</v>
      </c>
    </row>
    <row r="1494" spans="1:36" ht="14.5">
      <c r="A1494" s="990">
        <v>1</v>
      </c>
      <c r="B1494" s="990">
        <v>1</v>
      </c>
      <c r="C1494" s="990" t="s">
        <v>863</v>
      </c>
      <c r="E1494" s="1611" t="s">
        <v>460</v>
      </c>
      <c r="F1494" s="1610"/>
      <c r="G1494" s="1731"/>
      <c r="H1494" s="1732"/>
      <c r="I1494" s="1327"/>
      <c r="J1494" s="1321"/>
      <c r="K1494" s="1321" t="s">
        <v>212</v>
      </c>
      <c r="Q1494" s="1843" t="str">
        <f>CHOOSE(2, "6722000004412", "RF (1) Office Marginal Profit HW Direct")</f>
        <v>RF (1) Office Marginal Profit HW Direct</v>
      </c>
      <c r="R1494" s="19">
        <f t="shared" si="2509"/>
        <v>11204</v>
      </c>
      <c r="S1494" s="19">
        <f t="shared" si="2509"/>
        <v>11626</v>
      </c>
      <c r="T1494" s="19">
        <f t="shared" si="2509"/>
        <v>15279</v>
      </c>
      <c r="U1494" s="19">
        <f t="shared" si="2509"/>
        <v>14908</v>
      </c>
      <c r="V1494" s="19">
        <f t="shared" si="2509"/>
        <v>13543.85455</v>
      </c>
      <c r="W1494" s="19">
        <f t="shared" si="2509"/>
        <v>15879</v>
      </c>
      <c r="X1494" s="19">
        <f t="shared" si="2509"/>
        <v>16572</v>
      </c>
      <c r="Y1494" s="19">
        <f t="shared" si="2509"/>
        <v>15084</v>
      </c>
      <c r="Z1494" s="19">
        <f t="shared" si="2509"/>
        <v>17324</v>
      </c>
      <c r="AA1494" s="19">
        <f t="shared" si="2509"/>
        <v>16194</v>
      </c>
      <c r="AB1494" s="19">
        <f t="shared" si="2509"/>
        <v>17670</v>
      </c>
      <c r="AC1494" s="19">
        <f t="shared" si="2509"/>
        <v>9166</v>
      </c>
      <c r="AD1494" s="19">
        <f t="shared" si="2485"/>
        <v>38109</v>
      </c>
      <c r="AE1494" s="19">
        <f t="shared" si="2486"/>
        <v>44330.854550000004</v>
      </c>
      <c r="AF1494" s="19">
        <f t="shared" si="2487"/>
        <v>48980</v>
      </c>
      <c r="AG1494" s="19">
        <f t="shared" si="2488"/>
        <v>43030</v>
      </c>
      <c r="AH1494" s="19">
        <f t="shared" si="2489"/>
        <v>82439.854550000004</v>
      </c>
      <c r="AI1494" s="19">
        <f t="shared" si="2490"/>
        <v>92010</v>
      </c>
      <c r="AJ1494" s="19">
        <f t="shared" si="2491"/>
        <v>174449.85454999999</v>
      </c>
    </row>
    <row r="1495" spans="1:36" ht="14.5">
      <c r="A1495" s="990">
        <v>1</v>
      </c>
      <c r="B1495" s="990">
        <v>1</v>
      </c>
      <c r="C1495" s="990" t="s">
        <v>863</v>
      </c>
      <c r="E1495" s="1611" t="s">
        <v>460</v>
      </c>
      <c r="F1495" s="1610"/>
      <c r="G1495" s="1731"/>
      <c r="H1495" s="1732"/>
      <c r="I1495" s="1327"/>
      <c r="J1495" s="1321"/>
      <c r="K1495" s="1321" t="s">
        <v>221</v>
      </c>
      <c r="Q1495" s="1843" t="str">
        <f>CHOOSE(2, "6722000004413", "RF (1) Office Marginal Profit HW Indirect")</f>
        <v>RF (1) Office Marginal Profit HW Indirect</v>
      </c>
      <c r="R1495" s="19">
        <f t="shared" si="2509"/>
        <v>14322</v>
      </c>
      <c r="S1495" s="19">
        <f t="shared" si="2509"/>
        <v>20718</v>
      </c>
      <c r="T1495" s="19">
        <f t="shared" si="2509"/>
        <v>12824</v>
      </c>
      <c r="U1495" s="19">
        <f t="shared" si="2509"/>
        <v>19281</v>
      </c>
      <c r="V1495" s="19">
        <f t="shared" si="2509"/>
        <v>28157.382709815749</v>
      </c>
      <c r="W1495" s="19">
        <f t="shared" si="2509"/>
        <v>38590</v>
      </c>
      <c r="X1495" s="19">
        <f t="shared" si="2509"/>
        <v>37238</v>
      </c>
      <c r="Y1495" s="19">
        <f t="shared" si="2509"/>
        <v>23884</v>
      </c>
      <c r="Z1495" s="19">
        <f t="shared" si="2509"/>
        <v>45828</v>
      </c>
      <c r="AA1495" s="19">
        <f t="shared" si="2509"/>
        <v>32045</v>
      </c>
      <c r="AB1495" s="19">
        <f t="shared" si="2509"/>
        <v>18705</v>
      </c>
      <c r="AC1495" s="19">
        <f t="shared" si="2509"/>
        <v>31974</v>
      </c>
      <c r="AD1495" s="19">
        <f t="shared" si="2485"/>
        <v>47864</v>
      </c>
      <c r="AE1495" s="19">
        <f t="shared" si="2486"/>
        <v>86028.382709815749</v>
      </c>
      <c r="AF1495" s="19">
        <f t="shared" si="2487"/>
        <v>106950</v>
      </c>
      <c r="AG1495" s="19">
        <f t="shared" si="2488"/>
        <v>82724</v>
      </c>
      <c r="AH1495" s="19">
        <f t="shared" si="2489"/>
        <v>133892.38270981575</v>
      </c>
      <c r="AI1495" s="19">
        <f t="shared" si="2490"/>
        <v>189674</v>
      </c>
      <c r="AJ1495" s="19">
        <f t="shared" si="2491"/>
        <v>323566.38270981575</v>
      </c>
    </row>
    <row r="1496" spans="1:36" ht="14.5">
      <c r="A1496" s="990">
        <v>1</v>
      </c>
      <c r="B1496" s="990">
        <v>1</v>
      </c>
      <c r="C1496" s="990" t="s">
        <v>863</v>
      </c>
      <c r="E1496" s="1611" t="s">
        <v>460</v>
      </c>
      <c r="F1496" s="1610"/>
      <c r="G1496" s="1731"/>
      <c r="H1496" s="1732"/>
      <c r="I1496" s="1327"/>
      <c r="J1496" s="1736" t="s">
        <v>1396</v>
      </c>
      <c r="K1496" s="1736"/>
      <c r="L1496" s="1737"/>
      <c r="M1496" s="278"/>
      <c r="N1496" s="278"/>
      <c r="O1496" s="278"/>
      <c r="P1496" s="278"/>
      <c r="Q1496" s="1914" t="str">
        <f>CHOOSE(2, "6722000004414", "RF (1) Office Marginal Profit NH")</f>
        <v>RF (1) Office Marginal Profit NH</v>
      </c>
      <c r="R1496" s="1738">
        <f t="shared" si="2509"/>
        <v>44185</v>
      </c>
      <c r="S1496" s="1738">
        <f t="shared" si="2509"/>
        <v>27196</v>
      </c>
      <c r="T1496" s="1738">
        <f t="shared" si="2509"/>
        <v>48020</v>
      </c>
      <c r="U1496" s="1738">
        <f t="shared" si="2509"/>
        <v>40333</v>
      </c>
      <c r="V1496" s="1738">
        <f t="shared" si="2509"/>
        <v>46687.974464067855</v>
      </c>
      <c r="W1496" s="1738">
        <f t="shared" si="2509"/>
        <v>38904</v>
      </c>
      <c r="X1496" s="1738">
        <f t="shared" si="2509"/>
        <v>44244</v>
      </c>
      <c r="Y1496" s="1738">
        <f t="shared" si="2509"/>
        <v>52022</v>
      </c>
      <c r="Z1496" s="1738">
        <f t="shared" si="2509"/>
        <v>40792</v>
      </c>
      <c r="AA1496" s="1738">
        <f t="shared" si="2509"/>
        <v>41490</v>
      </c>
      <c r="AB1496" s="1738">
        <f t="shared" si="2509"/>
        <v>37598</v>
      </c>
      <c r="AC1496" s="1738">
        <f t="shared" si="2509"/>
        <v>41824</v>
      </c>
      <c r="AD1496" s="1738">
        <f t="shared" si="2485"/>
        <v>119401</v>
      </c>
      <c r="AE1496" s="1738">
        <f t="shared" si="2486"/>
        <v>125924.97446406785</v>
      </c>
      <c r="AF1496" s="1738">
        <f t="shared" si="2487"/>
        <v>137058</v>
      </c>
      <c r="AG1496" s="1738">
        <f t="shared" si="2488"/>
        <v>120912</v>
      </c>
      <c r="AH1496" s="1738">
        <f t="shared" si="2489"/>
        <v>245325.97446406784</v>
      </c>
      <c r="AI1496" s="1738">
        <f t="shared" si="2490"/>
        <v>257970</v>
      </c>
      <c r="AJ1496" s="1738">
        <f t="shared" si="2491"/>
        <v>503295.97446406784</v>
      </c>
    </row>
    <row r="1497" spans="1:36" ht="14.5">
      <c r="A1497" s="990">
        <v>1</v>
      </c>
      <c r="B1497" s="990">
        <v>1</v>
      </c>
      <c r="C1497" s="990" t="s">
        <v>863</v>
      </c>
      <c r="E1497" s="1611" t="s">
        <v>460</v>
      </c>
      <c r="F1497" s="1610"/>
      <c r="G1497" s="1731"/>
      <c r="H1497" s="1732"/>
      <c r="I1497" s="1327"/>
      <c r="J1497" s="1321"/>
      <c r="K1497" s="1321" t="s">
        <v>212</v>
      </c>
      <c r="Q1497" s="1843" t="str">
        <f>CHOOSE(2, "6722000004415", "RF (1) Office Marginal Profit NH Direct")</f>
        <v>RF (1) Office Marginal Profit NH Direct</v>
      </c>
      <c r="R1497" s="19">
        <f t="shared" si="2509"/>
        <v>18348</v>
      </c>
      <c r="S1497" s="19">
        <f t="shared" si="2509"/>
        <v>18418</v>
      </c>
      <c r="T1497" s="19">
        <f t="shared" si="2509"/>
        <v>18321</v>
      </c>
      <c r="U1497" s="19">
        <f t="shared" si="2509"/>
        <v>16494</v>
      </c>
      <c r="V1497" s="19">
        <f t="shared" si="2509"/>
        <v>19791.801501411399</v>
      </c>
      <c r="W1497" s="19">
        <f t="shared" si="2509"/>
        <v>16601</v>
      </c>
      <c r="X1497" s="19">
        <f t="shared" si="2509"/>
        <v>18648</v>
      </c>
      <c r="Y1497" s="19">
        <f t="shared" si="2509"/>
        <v>22296</v>
      </c>
      <c r="Z1497" s="19">
        <f t="shared" si="2509"/>
        <v>18964</v>
      </c>
      <c r="AA1497" s="19">
        <f t="shared" si="2509"/>
        <v>19424</v>
      </c>
      <c r="AB1497" s="19">
        <f t="shared" si="2509"/>
        <v>19061</v>
      </c>
      <c r="AC1497" s="19">
        <f t="shared" si="2509"/>
        <v>18604</v>
      </c>
      <c r="AD1497" s="19">
        <f t="shared" si="2485"/>
        <v>55087</v>
      </c>
      <c r="AE1497" s="19">
        <f t="shared" si="2486"/>
        <v>52886.801501411399</v>
      </c>
      <c r="AF1497" s="19">
        <f t="shared" si="2487"/>
        <v>59908</v>
      </c>
      <c r="AG1497" s="19">
        <f t="shared" si="2488"/>
        <v>57089</v>
      </c>
      <c r="AH1497" s="19">
        <f t="shared" si="2489"/>
        <v>107973.80150141139</v>
      </c>
      <c r="AI1497" s="19">
        <f t="shared" si="2490"/>
        <v>116997</v>
      </c>
      <c r="AJ1497" s="19">
        <f t="shared" si="2491"/>
        <v>224970.80150141139</v>
      </c>
    </row>
    <row r="1498" spans="1:36" ht="14.5">
      <c r="A1498" s="990">
        <v>1</v>
      </c>
      <c r="B1498" s="990">
        <v>1</v>
      </c>
      <c r="C1498" s="990" t="s">
        <v>863</v>
      </c>
      <c r="E1498" s="1611" t="s">
        <v>460</v>
      </c>
      <c r="F1498" s="1610"/>
      <c r="G1498" s="1731"/>
      <c r="H1498" s="1732"/>
      <c r="I1498" s="1327"/>
      <c r="J1498" s="1321"/>
      <c r="K1498" s="1321" t="s">
        <v>221</v>
      </c>
      <c r="Q1498" s="1843" t="str">
        <f>CHOOSE(2, "6722000004416", "RF (1) Office Marginal Profit NH Indirect")</f>
        <v>RF (1) Office Marginal Profit NH Indirect</v>
      </c>
      <c r="R1498" s="19">
        <f t="shared" si="2509"/>
        <v>25837</v>
      </c>
      <c r="S1498" s="19">
        <f t="shared" si="2509"/>
        <v>8778</v>
      </c>
      <c r="T1498" s="19">
        <f t="shared" si="2509"/>
        <v>29699</v>
      </c>
      <c r="U1498" s="19">
        <f t="shared" si="2509"/>
        <v>23839</v>
      </c>
      <c r="V1498" s="19">
        <f t="shared" si="2509"/>
        <v>26896.172962656463</v>
      </c>
      <c r="W1498" s="19">
        <f t="shared" si="2509"/>
        <v>22303</v>
      </c>
      <c r="X1498" s="19">
        <f t="shared" si="2509"/>
        <v>25596</v>
      </c>
      <c r="Y1498" s="19">
        <f t="shared" si="2509"/>
        <v>29726</v>
      </c>
      <c r="Z1498" s="19">
        <f t="shared" si="2509"/>
        <v>21828</v>
      </c>
      <c r="AA1498" s="19">
        <f t="shared" si="2509"/>
        <v>22066</v>
      </c>
      <c r="AB1498" s="19">
        <f t="shared" si="2509"/>
        <v>18537</v>
      </c>
      <c r="AC1498" s="19">
        <f t="shared" si="2509"/>
        <v>23220</v>
      </c>
      <c r="AD1498" s="19">
        <f t="shared" si="2485"/>
        <v>64314</v>
      </c>
      <c r="AE1498" s="19">
        <f t="shared" si="2486"/>
        <v>73038.172962656463</v>
      </c>
      <c r="AF1498" s="19">
        <f t="shared" si="2487"/>
        <v>77150</v>
      </c>
      <c r="AG1498" s="19">
        <f t="shared" si="2488"/>
        <v>63823</v>
      </c>
      <c r="AH1498" s="19">
        <f t="shared" si="2489"/>
        <v>137352.17296265648</v>
      </c>
      <c r="AI1498" s="19">
        <f t="shared" si="2490"/>
        <v>140973</v>
      </c>
      <c r="AJ1498" s="19">
        <f t="shared" si="2491"/>
        <v>278325.17296265648</v>
      </c>
    </row>
    <row r="1499" spans="1:36" ht="14.5">
      <c r="A1499" s="990">
        <v>1</v>
      </c>
      <c r="B1499" s="990">
        <v>1</v>
      </c>
      <c r="C1499" s="990" t="s">
        <v>863</v>
      </c>
      <c r="E1499" s="1611" t="s">
        <v>460</v>
      </c>
      <c r="F1499" s="1610"/>
      <c r="G1499" s="1731"/>
      <c r="H1499" s="1732"/>
      <c r="I1499" s="1327"/>
      <c r="J1499" s="1736" t="s">
        <v>778</v>
      </c>
      <c r="K1499" s="1736"/>
      <c r="L1499" s="1737"/>
      <c r="M1499" s="278"/>
      <c r="N1499" s="278"/>
      <c r="O1499" s="278"/>
      <c r="P1499" s="278"/>
      <c r="Q1499" s="1914" t="str">
        <f>CHOOSE(2, "6722000004417", "RF (1) Office Marginal Profit Office Solution")</f>
        <v>RF (1) Office Marginal Profit Office Solution</v>
      </c>
      <c r="R1499" s="1738">
        <f t="shared" si="2509"/>
        <v>835</v>
      </c>
      <c r="S1499" s="1738">
        <f t="shared" si="2509"/>
        <v>1141</v>
      </c>
      <c r="T1499" s="1738">
        <f t="shared" si="2509"/>
        <v>1015</v>
      </c>
      <c r="U1499" s="1738">
        <f t="shared" si="2509"/>
        <v>1045</v>
      </c>
      <c r="V1499" s="1738">
        <f t="shared" si="2509"/>
        <v>1115</v>
      </c>
      <c r="W1499" s="1738">
        <f t="shared" si="2509"/>
        <v>1553</v>
      </c>
      <c r="X1499" s="1738">
        <f t="shared" si="2509"/>
        <v>976</v>
      </c>
      <c r="Y1499" s="1738">
        <f t="shared" si="2509"/>
        <v>2358</v>
      </c>
      <c r="Z1499" s="1738">
        <f t="shared" si="2509"/>
        <v>1616</v>
      </c>
      <c r="AA1499" s="1738">
        <f t="shared" si="2509"/>
        <v>1427</v>
      </c>
      <c r="AB1499" s="1738">
        <f t="shared" si="2509"/>
        <v>1988.8565899999999</v>
      </c>
      <c r="AC1499" s="1738">
        <f t="shared" si="2509"/>
        <v>1903</v>
      </c>
      <c r="AD1499" s="1738">
        <f t="shared" si="2485"/>
        <v>2991</v>
      </c>
      <c r="AE1499" s="1738">
        <f t="shared" si="2486"/>
        <v>3713</v>
      </c>
      <c r="AF1499" s="1738">
        <f t="shared" si="2487"/>
        <v>4950</v>
      </c>
      <c r="AG1499" s="1738">
        <f t="shared" si="2488"/>
        <v>5318.8565899999994</v>
      </c>
      <c r="AH1499" s="1738">
        <f t="shared" si="2489"/>
        <v>6704</v>
      </c>
      <c r="AI1499" s="1738">
        <f t="shared" si="2490"/>
        <v>10268.856589999999</v>
      </c>
      <c r="AJ1499" s="1738">
        <f t="shared" si="2491"/>
        <v>16972.856589999999</v>
      </c>
    </row>
    <row r="1500" spans="1:36" ht="14.5">
      <c r="A1500" s="990">
        <v>1</v>
      </c>
      <c r="B1500" s="990">
        <v>1</v>
      </c>
      <c r="C1500" s="990" t="s">
        <v>863</v>
      </c>
      <c r="E1500" s="1611" t="s">
        <v>460</v>
      </c>
      <c r="F1500" s="1610"/>
      <c r="G1500" s="1731"/>
      <c r="H1500" s="1732"/>
      <c r="I1500" s="1327"/>
      <c r="J1500" s="1736" t="s">
        <v>131</v>
      </c>
      <c r="K1500" s="1736"/>
      <c r="L1500" s="1737"/>
      <c r="M1500" s="278"/>
      <c r="N1500" s="278"/>
      <c r="O1500" s="278"/>
      <c r="P1500" s="278"/>
      <c r="Q1500" s="1914" t="str">
        <f>CHOOSE(2, "6722000004418", "RF (1) Office Marginal Profit Others")</f>
        <v>RF (1) Office Marginal Profit Others</v>
      </c>
      <c r="R1500" s="1738">
        <f t="shared" si="2509"/>
        <v>-18592.978492826012</v>
      </c>
      <c r="S1500" s="1738">
        <f t="shared" si="2509"/>
        <v>-14058.431285831692</v>
      </c>
      <c r="T1500" s="1738">
        <f t="shared" si="2509"/>
        <v>-15547.272797424426</v>
      </c>
      <c r="U1500" s="1738">
        <f t="shared" si="2509"/>
        <v>-18483.014427324466</v>
      </c>
      <c r="V1500" s="1738">
        <f t="shared" si="2509"/>
        <v>-19971.517369946348</v>
      </c>
      <c r="W1500" s="1738">
        <f t="shared" si="2509"/>
        <v>-25256.466210752336</v>
      </c>
      <c r="X1500" s="1738">
        <f t="shared" si="2509"/>
        <v>-12764.062763541016</v>
      </c>
      <c r="Y1500" s="1738">
        <f t="shared" si="2509"/>
        <v>-13148.810395254335</v>
      </c>
      <c r="Z1500" s="1738">
        <f t="shared" si="2509"/>
        <v>-37688.057048356502</v>
      </c>
      <c r="AA1500" s="1738">
        <f t="shared" si="2509"/>
        <v>-26041.715238789289</v>
      </c>
      <c r="AB1500" s="1738">
        <f t="shared" si="2509"/>
        <v>-27432.584783883085</v>
      </c>
      <c r="AC1500" s="1738">
        <f t="shared" si="2509"/>
        <v>-17353.73228769144</v>
      </c>
      <c r="AD1500" s="1738">
        <f t="shared" si="2485"/>
        <v>-48198.68257608213</v>
      </c>
      <c r="AE1500" s="1738">
        <f t="shared" si="2486"/>
        <v>-63710.998008023147</v>
      </c>
      <c r="AF1500" s="1738">
        <f t="shared" si="2487"/>
        <v>-63600.930207151854</v>
      </c>
      <c r="AG1500" s="1738">
        <f t="shared" si="2488"/>
        <v>-70828.032310363807</v>
      </c>
      <c r="AH1500" s="1738">
        <f t="shared" si="2489"/>
        <v>-111909.68058410528</v>
      </c>
      <c r="AI1500" s="1738">
        <f t="shared" si="2490"/>
        <v>-134428.96251751567</v>
      </c>
      <c r="AJ1500" s="1738">
        <f t="shared" si="2491"/>
        <v>-246338.64310162095</v>
      </c>
    </row>
    <row r="1501" spans="1:36" ht="14.5">
      <c r="A1501" s="990">
        <v>1</v>
      </c>
      <c r="B1501" s="990">
        <v>1</v>
      </c>
      <c r="C1501" s="990" t="s">
        <v>863</v>
      </c>
      <c r="E1501" s="1611" t="s">
        <v>460</v>
      </c>
      <c r="F1501" s="1610"/>
      <c r="G1501" s="1731"/>
      <c r="H1501" s="1732"/>
      <c r="I1501" s="1312" t="s">
        <v>1399</v>
      </c>
      <c r="J1501" s="1313"/>
      <c r="K1501" s="1313"/>
      <c r="L1501" s="1733"/>
      <c r="M1501" s="1734"/>
      <c r="N1501" s="1734"/>
      <c r="O1501" s="1734"/>
      <c r="P1501" s="1734"/>
      <c r="Q1501" s="1912" t="str">
        <f>CHOOSE(2, "6722000004419", "RF (1) Office Marginal Profit %")</f>
        <v>RF (1) Office Marginal Profit %</v>
      </c>
      <c r="R1501" s="2312">
        <f t="shared" ref="R1501:AC1509" si="2510">IFERROR(R1492/R1474,"")</f>
        <v>0.3164047156918719</v>
      </c>
      <c r="S1501" s="2312">
        <f t="shared" si="2510"/>
        <v>0.25249157169871811</v>
      </c>
      <c r="T1501" s="2312">
        <f t="shared" si="2510"/>
        <v>0.31001991877148982</v>
      </c>
      <c r="U1501" s="2312">
        <f t="shared" si="2510"/>
        <v>0.27145363817906476</v>
      </c>
      <c r="V1501" s="2312">
        <f t="shared" si="2510"/>
        <v>0.26485997378977794</v>
      </c>
      <c r="W1501" s="2312">
        <f t="shared" si="2510"/>
        <v>0.25650860909051554</v>
      </c>
      <c r="X1501" s="2312">
        <f t="shared" si="2510"/>
        <v>0.36834774671092713</v>
      </c>
      <c r="Y1501" s="2312">
        <f t="shared" si="2510"/>
        <v>0.31381623019453536</v>
      </c>
      <c r="Z1501" s="2312">
        <f t="shared" si="2510"/>
        <v>0.20539931107297713</v>
      </c>
      <c r="AA1501" s="2312">
        <f t="shared" si="2510"/>
        <v>0.26819510419096038</v>
      </c>
      <c r="AB1501" s="2312">
        <f t="shared" si="2510"/>
        <v>0.18386452875366852</v>
      </c>
      <c r="AC1501" s="2312">
        <f t="shared" si="2510"/>
        <v>0.23916110875373217</v>
      </c>
      <c r="AD1501" s="1739">
        <f t="shared" ref="AD1501:AJ1509" si="2511">IFERROR(AD1492/AD1474,"")</f>
        <v>0.29253320443077879</v>
      </c>
      <c r="AE1501" s="1739">
        <f t="shared" si="2511"/>
        <v>0.26367555694970402</v>
      </c>
      <c r="AF1501" s="1739">
        <f t="shared" si="2511"/>
        <v>0.28570827471064653</v>
      </c>
      <c r="AG1501" s="1739">
        <f t="shared" si="2511"/>
        <v>0.22959743587595444</v>
      </c>
      <c r="AH1501" s="1739">
        <f t="shared" si="2511"/>
        <v>0.27590523969381564</v>
      </c>
      <c r="AI1501" s="1739">
        <f t="shared" si="2511"/>
        <v>0.25819641270020355</v>
      </c>
      <c r="AJ1501" s="1739">
        <f t="shared" si="2511"/>
        <v>0.26608248355827185</v>
      </c>
    </row>
    <row r="1502" spans="1:36" ht="14.5">
      <c r="A1502" s="990">
        <v>1</v>
      </c>
      <c r="B1502" s="990">
        <v>1</v>
      </c>
      <c r="C1502" s="990" t="s">
        <v>863</v>
      </c>
      <c r="E1502" s="1611" t="s">
        <v>460</v>
      </c>
      <c r="F1502" s="1610"/>
      <c r="G1502" s="1731"/>
      <c r="H1502" s="1732"/>
      <c r="I1502" s="1327"/>
      <c r="J1502" s="1736" t="s">
        <v>1395</v>
      </c>
      <c r="K1502" s="1736"/>
      <c r="L1502" s="1737"/>
      <c r="M1502" s="278"/>
      <c r="N1502" s="278"/>
      <c r="O1502" s="278"/>
      <c r="P1502" s="278"/>
      <c r="Q1502" s="1914" t="str">
        <f>CHOOSE(2, "6722000004420", "RF (1) Office Marginal Profit % HW")</f>
        <v>RF (1) Office Marginal Profit % HW</v>
      </c>
      <c r="R1502" s="1740">
        <f t="shared" si="2510"/>
        <v>0.34408109346777022</v>
      </c>
      <c r="S1502" s="1740">
        <f t="shared" si="2510"/>
        <v>0.26585566332401778</v>
      </c>
      <c r="T1502" s="1740">
        <f t="shared" si="2510"/>
        <v>0.26937676130590649</v>
      </c>
      <c r="U1502" s="1740">
        <f t="shared" si="2510"/>
        <v>0.26577683110744882</v>
      </c>
      <c r="V1502" s="1740">
        <f t="shared" si="2510"/>
        <v>0.2505404379003045</v>
      </c>
      <c r="W1502" s="1740">
        <f t="shared" si="2510"/>
        <v>0.28380504783143329</v>
      </c>
      <c r="X1502" s="1740">
        <f t="shared" si="2510"/>
        <v>0.365877705325999</v>
      </c>
      <c r="Y1502" s="1740">
        <f t="shared" si="2510"/>
        <v>0.26042035620008686</v>
      </c>
      <c r="Z1502" s="1740">
        <f t="shared" si="2510"/>
        <v>0.26037015506273009</v>
      </c>
      <c r="AA1502" s="1740">
        <f t="shared" si="2510"/>
        <v>0.30841575612656563</v>
      </c>
      <c r="AB1502" s="1740">
        <f t="shared" si="2510"/>
        <v>0.20211660362394013</v>
      </c>
      <c r="AC1502" s="1740">
        <f t="shared" si="2510"/>
        <v>0.20598219560798295</v>
      </c>
      <c r="AD1502" s="1740">
        <f t="shared" si="2511"/>
        <v>0.28641245685806804</v>
      </c>
      <c r="AE1502" s="1740">
        <f t="shared" si="2511"/>
        <v>0.26767418303253721</v>
      </c>
      <c r="AF1502" s="1740">
        <f t="shared" si="2511"/>
        <v>0.28915926290627963</v>
      </c>
      <c r="AG1502" s="1740">
        <f t="shared" si="2511"/>
        <v>0.23456955845691946</v>
      </c>
      <c r="AH1502" s="1740">
        <f t="shared" si="2511"/>
        <v>0.27481957710298838</v>
      </c>
      <c r="AI1502" s="1740">
        <f t="shared" si="2511"/>
        <v>0.26194430412886194</v>
      </c>
      <c r="AJ1502" s="1740">
        <f t="shared" si="2511"/>
        <v>0.26738588381313705</v>
      </c>
    </row>
    <row r="1503" spans="1:36" ht="14.5">
      <c r="A1503" s="990">
        <v>1</v>
      </c>
      <c r="B1503" s="990">
        <v>1</v>
      </c>
      <c r="C1503" s="990" t="s">
        <v>863</v>
      </c>
      <c r="E1503" s="1611" t="s">
        <v>460</v>
      </c>
      <c r="F1503" s="1610"/>
      <c r="G1503" s="1731"/>
      <c r="H1503" s="1732"/>
      <c r="I1503" s="1327"/>
      <c r="J1503" s="1321"/>
      <c r="K1503" s="1321" t="s">
        <v>212</v>
      </c>
      <c r="Q1503" s="1843" t="str">
        <f>CHOOSE(2, "6722000004421", "RF (1) Office Marginal Profit % HW Direct")</f>
        <v>RF (1) Office Marginal Profit % HW Direct</v>
      </c>
      <c r="R1503" s="1741">
        <f t="shared" si="2510"/>
        <v>0.49755750954791722</v>
      </c>
      <c r="S1503" s="1741">
        <f t="shared" si="2510"/>
        <v>0.49189760947746985</v>
      </c>
      <c r="T1503" s="1741">
        <f t="shared" si="2510"/>
        <v>0.51805513172617235</v>
      </c>
      <c r="U1503" s="1741">
        <f t="shared" si="2510"/>
        <v>0.47038778279115262</v>
      </c>
      <c r="V1503" s="1741">
        <f t="shared" si="2510"/>
        <v>0.49470104800386677</v>
      </c>
      <c r="W1503" s="1741">
        <f t="shared" si="2510"/>
        <v>0.50261133795461022</v>
      </c>
      <c r="X1503" s="1741">
        <f t="shared" si="2510"/>
        <v>0.55118738774695675</v>
      </c>
      <c r="Y1503" s="1741">
        <f t="shared" si="2510"/>
        <v>0.50263245584805061</v>
      </c>
      <c r="Z1503" s="1741">
        <f t="shared" si="2510"/>
        <v>0.4541617512124787</v>
      </c>
      <c r="AA1503" s="1741">
        <f t="shared" si="2510"/>
        <v>0.48608734804142278</v>
      </c>
      <c r="AB1503" s="1741">
        <f t="shared" si="2510"/>
        <v>0.49189604741621784</v>
      </c>
      <c r="AC1503" s="1741">
        <f t="shared" si="2510"/>
        <v>0.38706135720619905</v>
      </c>
      <c r="AD1503" s="1741">
        <f t="shared" si="2511"/>
        <v>0.50378076831557517</v>
      </c>
      <c r="AE1503" s="1741">
        <f t="shared" si="2511"/>
        <v>0.48895840103074373</v>
      </c>
      <c r="AF1503" s="1741">
        <f t="shared" si="2511"/>
        <v>0.49867136355769132</v>
      </c>
      <c r="AG1503" s="1741">
        <f t="shared" si="2511"/>
        <v>0.4630953772857303</v>
      </c>
      <c r="AH1503" s="1741">
        <f t="shared" si="2511"/>
        <v>0.49570035136281787</v>
      </c>
      <c r="AI1503" s="1741">
        <f t="shared" si="2511"/>
        <v>0.48137686276261121</v>
      </c>
      <c r="AJ1503" s="1741">
        <f t="shared" si="2511"/>
        <v>0.48804113319289799</v>
      </c>
    </row>
    <row r="1504" spans="1:36" ht="14.5">
      <c r="A1504" s="990">
        <v>1</v>
      </c>
      <c r="B1504" s="990">
        <v>1</v>
      </c>
      <c r="C1504" s="990" t="s">
        <v>863</v>
      </c>
      <c r="E1504" s="1611" t="s">
        <v>460</v>
      </c>
      <c r="F1504" s="1610"/>
      <c r="G1504" s="1731"/>
      <c r="H1504" s="1732"/>
      <c r="I1504" s="1327"/>
      <c r="J1504" s="1321"/>
      <c r="K1504" s="1321" t="s">
        <v>221</v>
      </c>
      <c r="Q1504" s="1843" t="str">
        <f>CHOOSE(2, "6722000004422", "RF (1) Office Marginal Profit % HW Indirect")</f>
        <v>RF (1) Office Marginal Profit % HW Indirect</v>
      </c>
      <c r="R1504" s="1741">
        <f t="shared" si="2510"/>
        <v>0.27719284663621585</v>
      </c>
      <c r="S1504" s="1741">
        <f t="shared" si="2510"/>
        <v>0.21135424636572303</v>
      </c>
      <c r="T1504" s="1741">
        <f t="shared" si="2510"/>
        <v>0.17136824662916092</v>
      </c>
      <c r="U1504" s="1741">
        <f t="shared" si="2510"/>
        <v>0.19888596626953428</v>
      </c>
      <c r="V1504" s="1741">
        <f t="shared" si="2510"/>
        <v>0.20247309728276014</v>
      </c>
      <c r="W1504" s="1741">
        <f t="shared" si="2510"/>
        <v>0.2406895734449358</v>
      </c>
      <c r="X1504" s="1741">
        <f t="shared" si="2510"/>
        <v>0.31825990342293065</v>
      </c>
      <c r="Y1504" s="1741">
        <f t="shared" si="2510"/>
        <v>0.19965726227795194</v>
      </c>
      <c r="Z1504" s="1741">
        <f t="shared" si="2510"/>
        <v>0.2242052426101506</v>
      </c>
      <c r="AA1504" s="1741">
        <f t="shared" si="2510"/>
        <v>0.26032950428128099</v>
      </c>
      <c r="AB1504" s="1741">
        <f t="shared" si="2510"/>
        <v>0.12985241725878061</v>
      </c>
      <c r="AC1504" s="1741">
        <f t="shared" si="2510"/>
        <v>0.18162401658666819</v>
      </c>
      <c r="AD1504" s="1741">
        <f t="shared" si="2511"/>
        <v>0.21317798384151501</v>
      </c>
      <c r="AE1504" s="1741">
        <f t="shared" si="2511"/>
        <v>0.21705523284479805</v>
      </c>
      <c r="AF1504" s="1741">
        <f t="shared" si="2511"/>
        <v>0.24249941047361642</v>
      </c>
      <c r="AG1504" s="1741">
        <f t="shared" si="2511"/>
        <v>0.18665703797766806</v>
      </c>
      <c r="AH1504" s="1741">
        <f t="shared" si="2511"/>
        <v>0.21565309677661754</v>
      </c>
      <c r="AI1504" s="1741">
        <f t="shared" si="2511"/>
        <v>0.21451017068737149</v>
      </c>
      <c r="AJ1504" s="1741">
        <f t="shared" si="2511"/>
        <v>0.21498164311719523</v>
      </c>
    </row>
    <row r="1505" spans="1:36" ht="14.5">
      <c r="A1505" s="990">
        <v>1</v>
      </c>
      <c r="B1505" s="990">
        <v>1</v>
      </c>
      <c r="C1505" s="990" t="s">
        <v>863</v>
      </c>
      <c r="E1505" s="1611" t="s">
        <v>460</v>
      </c>
      <c r="F1505" s="1610"/>
      <c r="G1505" s="1731"/>
      <c r="H1505" s="1732"/>
      <c r="I1505" s="1327"/>
      <c r="J1505" s="1736" t="s">
        <v>1396</v>
      </c>
      <c r="K1505" s="1736"/>
      <c r="L1505" s="1737"/>
      <c r="M1505" s="278"/>
      <c r="N1505" s="278"/>
      <c r="O1505" s="278"/>
      <c r="P1505" s="278"/>
      <c r="Q1505" s="1914" t="str">
        <f>CHOOSE(2, "6722000004423", "RF (1) Office Marginal Profit % NH")</f>
        <v>RF (1) Office Marginal Profit % NH</v>
      </c>
      <c r="R1505" s="1740">
        <f t="shared" si="2510"/>
        <v>0.49798821102933716</v>
      </c>
      <c r="S1505" s="1740">
        <f t="shared" si="2510"/>
        <v>0.4442847107640534</v>
      </c>
      <c r="T1505" s="1740">
        <f t="shared" si="2510"/>
        <v>0.5171838145806632</v>
      </c>
      <c r="U1505" s="1740">
        <f t="shared" si="2510"/>
        <v>0.50174783852708837</v>
      </c>
      <c r="V1505" s="1740">
        <f t="shared" si="2510"/>
        <v>0.49391557726565688</v>
      </c>
      <c r="W1505" s="1740">
        <f t="shared" si="2510"/>
        <v>0.50322730859278997</v>
      </c>
      <c r="X1505" s="1740">
        <f t="shared" si="2510"/>
        <v>0.51562827774281517</v>
      </c>
      <c r="Y1505" s="1740">
        <f t="shared" si="2510"/>
        <v>0.50974474548037818</v>
      </c>
      <c r="Z1505" s="1740">
        <f t="shared" si="2510"/>
        <v>0.48192998830381722</v>
      </c>
      <c r="AA1505" s="1740">
        <f t="shared" si="2510"/>
        <v>0.49059950336998936</v>
      </c>
      <c r="AB1505" s="1740">
        <f t="shared" si="2510"/>
        <v>0.46360049321824909</v>
      </c>
      <c r="AC1505" s="1740">
        <f t="shared" si="2510"/>
        <v>0.52716891236119334</v>
      </c>
      <c r="AD1505" s="1740">
        <f t="shared" si="2511"/>
        <v>0.49178916672501638</v>
      </c>
      <c r="AE1505" s="1740">
        <f t="shared" si="2511"/>
        <v>0.49926596883057173</v>
      </c>
      <c r="AF1505" s="1740">
        <f t="shared" si="2511"/>
        <v>0.5029577547485542</v>
      </c>
      <c r="AG1505" s="1740">
        <f t="shared" si="2511"/>
        <v>0.49350426722501806</v>
      </c>
      <c r="AH1505" s="1740">
        <f t="shared" si="2511"/>
        <v>0.49559879412227631</v>
      </c>
      <c r="AI1505" s="1740">
        <f t="shared" si="2511"/>
        <v>0.49848215786717576</v>
      </c>
      <c r="AJ1505" s="1740">
        <f t="shared" si="2511"/>
        <v>0.49707251525861101</v>
      </c>
    </row>
    <row r="1506" spans="1:36" ht="14.5">
      <c r="A1506" s="990">
        <v>1</v>
      </c>
      <c r="B1506" s="990">
        <v>1</v>
      </c>
      <c r="C1506" s="990" t="s">
        <v>863</v>
      </c>
      <c r="E1506" s="1611" t="s">
        <v>460</v>
      </c>
      <c r="F1506" s="1610"/>
      <c r="G1506" s="1731"/>
      <c r="H1506" s="1732"/>
      <c r="I1506" s="1327"/>
      <c r="J1506" s="1321"/>
      <c r="K1506" s="1321" t="s">
        <v>212</v>
      </c>
      <c r="Q1506" s="1843" t="str">
        <f>CHOOSE(2, "6722000004424", "RF (1) Office Marginal Profit % NH Direct")</f>
        <v>RF (1) Office Marginal Profit % NH Direct</v>
      </c>
      <c r="R1506" s="1741">
        <f t="shared" si="2510"/>
        <v>0.81557541005467393</v>
      </c>
      <c r="S1506" s="1741">
        <f t="shared" si="2510"/>
        <v>0.72850249189146432</v>
      </c>
      <c r="T1506" s="1741">
        <f t="shared" si="2510"/>
        <v>0.74481665176030576</v>
      </c>
      <c r="U1506" s="1741">
        <f t="shared" si="2510"/>
        <v>0.72683206275062795</v>
      </c>
      <c r="V1506" s="1741">
        <f t="shared" si="2510"/>
        <v>0.69912262354853549</v>
      </c>
      <c r="W1506" s="1741">
        <f t="shared" si="2510"/>
        <v>0.71695098250917733</v>
      </c>
      <c r="X1506" s="1741">
        <f t="shared" si="2510"/>
        <v>0.75620437956204378</v>
      </c>
      <c r="Y1506" s="1741">
        <f t="shared" si="2510"/>
        <v>0.76290846877673224</v>
      </c>
      <c r="Z1506" s="1741">
        <f t="shared" si="2510"/>
        <v>0.7231267874165872</v>
      </c>
      <c r="AA1506" s="1741">
        <f t="shared" si="2510"/>
        <v>0.7460725945842136</v>
      </c>
      <c r="AB1506" s="1741">
        <f t="shared" si="2510"/>
        <v>0.69912705399061037</v>
      </c>
      <c r="AC1506" s="1741">
        <f t="shared" si="2510"/>
        <v>0.87412488840858904</v>
      </c>
      <c r="AD1506" s="1741">
        <f t="shared" si="2511"/>
        <v>0.7611119554554624</v>
      </c>
      <c r="AE1506" s="1741">
        <f t="shared" si="2511"/>
        <v>0.71316875731374707</v>
      </c>
      <c r="AF1506" s="1741">
        <f t="shared" si="2511"/>
        <v>0.74782174510048682</v>
      </c>
      <c r="AG1506" s="1741">
        <f t="shared" si="2511"/>
        <v>0.7654527902174787</v>
      </c>
      <c r="AH1506" s="1741">
        <f t="shared" si="2511"/>
        <v>0.73684908655022729</v>
      </c>
      <c r="AI1506" s="1741">
        <f t="shared" si="2511"/>
        <v>0.75632224032270579</v>
      </c>
      <c r="AJ1506" s="1741">
        <f t="shared" si="2511"/>
        <v>0.74684933968956269</v>
      </c>
    </row>
    <row r="1507" spans="1:36" ht="14.5">
      <c r="A1507" s="990">
        <v>1</v>
      </c>
      <c r="B1507" s="990">
        <v>1</v>
      </c>
      <c r="C1507" s="990" t="s">
        <v>863</v>
      </c>
      <c r="E1507" s="1611" t="s">
        <v>460</v>
      </c>
      <c r="F1507" s="1610"/>
      <c r="G1507" s="1731"/>
      <c r="H1507" s="1732"/>
      <c r="I1507" s="1327"/>
      <c r="J1507" s="1321"/>
      <c r="K1507" s="1321" t="s">
        <v>221</v>
      </c>
      <c r="Q1507" s="1843" t="str">
        <f>CHOOSE(2, "6722000004425", "RF (1) Office Marginal Profit % NH Indirect")</f>
        <v>RF (1) Office Marginal Profit % NH Indirect</v>
      </c>
      <c r="R1507" s="1741">
        <f t="shared" si="2510"/>
        <v>0.39011022195379735</v>
      </c>
      <c r="S1507" s="1741">
        <f t="shared" si="2510"/>
        <v>0.24430157802454705</v>
      </c>
      <c r="T1507" s="1741">
        <f t="shared" si="2510"/>
        <v>0.43514380741674114</v>
      </c>
      <c r="U1507" s="1741">
        <f t="shared" si="2510"/>
        <v>0.41321153712819803</v>
      </c>
      <c r="V1507" s="1741">
        <f t="shared" si="2510"/>
        <v>0.40618389606452415</v>
      </c>
      <c r="W1507" s="1741">
        <f t="shared" si="2510"/>
        <v>0.41184400044318054</v>
      </c>
      <c r="X1507" s="1741">
        <f t="shared" si="2510"/>
        <v>0.41860465116279072</v>
      </c>
      <c r="Y1507" s="1741">
        <f t="shared" si="2510"/>
        <v>0.40815597967870382</v>
      </c>
      <c r="Z1507" s="1741">
        <f t="shared" si="2510"/>
        <v>0.37365195658872263</v>
      </c>
      <c r="AA1507" s="1741">
        <f t="shared" si="2510"/>
        <v>0.37697104296574702</v>
      </c>
      <c r="AB1507" s="1741">
        <f t="shared" si="2510"/>
        <v>0.34432350100304626</v>
      </c>
      <c r="AC1507" s="1741">
        <f t="shared" si="2510"/>
        <v>0.39997243945292316</v>
      </c>
      <c r="AD1507" s="1741">
        <f t="shared" si="2511"/>
        <v>0.37740299978874725</v>
      </c>
      <c r="AE1507" s="1741">
        <f t="shared" si="2511"/>
        <v>0.41018223937568121</v>
      </c>
      <c r="AF1507" s="1741">
        <f t="shared" si="2511"/>
        <v>0.40100003118600375</v>
      </c>
      <c r="AG1507" s="1741">
        <f t="shared" si="2511"/>
        <v>0.37449317881766175</v>
      </c>
      <c r="AH1507" s="1741">
        <f t="shared" si="2511"/>
        <v>0.39415245255313153</v>
      </c>
      <c r="AI1507" s="1741">
        <f t="shared" si="2511"/>
        <v>0.38854911126484554</v>
      </c>
      <c r="AJ1507" s="1741">
        <f t="shared" si="2511"/>
        <v>0.39129428219130791</v>
      </c>
    </row>
    <row r="1508" spans="1:36" ht="14.5">
      <c r="A1508" s="990">
        <v>1</v>
      </c>
      <c r="B1508" s="990">
        <v>1</v>
      </c>
      <c r="C1508" s="990" t="s">
        <v>863</v>
      </c>
      <c r="E1508" s="1611" t="s">
        <v>460</v>
      </c>
      <c r="F1508" s="1610"/>
      <c r="G1508" s="1731"/>
      <c r="H1508" s="1732"/>
      <c r="I1508" s="1327"/>
      <c r="J1508" s="1736" t="s">
        <v>778</v>
      </c>
      <c r="K1508" s="1736"/>
      <c r="L1508" s="1737"/>
      <c r="M1508" s="278"/>
      <c r="N1508" s="278"/>
      <c r="O1508" s="278"/>
      <c r="P1508" s="278"/>
      <c r="Q1508" s="1914" t="str">
        <f>CHOOSE(2, "6722000004426", "RF (1) Office Marginal Profit % Office Solution")</f>
        <v>RF (1) Office Marginal Profit % Office Solution</v>
      </c>
      <c r="R1508" s="1742">
        <f t="shared" si="2510"/>
        <v>0.64980544747081714</v>
      </c>
      <c r="S1508" s="1742">
        <f t="shared" si="2510"/>
        <v>0.64209341586944291</v>
      </c>
      <c r="T1508" s="1742">
        <f t="shared" si="2510"/>
        <v>0.68029490616621979</v>
      </c>
      <c r="U1508" s="1742">
        <f t="shared" si="2510"/>
        <v>0.82478295185477501</v>
      </c>
      <c r="V1508" s="1742">
        <f t="shared" si="2510"/>
        <v>0.71709483337996061</v>
      </c>
      <c r="W1508" s="1742">
        <f t="shared" si="2510"/>
        <v>0.65417017691659651</v>
      </c>
      <c r="X1508" s="1742">
        <f t="shared" si="2510"/>
        <v>0.73939393939393938</v>
      </c>
      <c r="Y1508" s="1742">
        <f t="shared" si="2510"/>
        <v>0.60914492379230178</v>
      </c>
      <c r="Z1508" s="1742">
        <f t="shared" si="2510"/>
        <v>0.49738381040320101</v>
      </c>
      <c r="AA1508" s="1742">
        <f t="shared" si="2510"/>
        <v>0.78926991150442483</v>
      </c>
      <c r="AB1508" s="1742">
        <f t="shared" si="2510"/>
        <v>0.69298139024390237</v>
      </c>
      <c r="AC1508" s="1742">
        <f t="shared" si="2510"/>
        <v>0.5893465469185506</v>
      </c>
      <c r="AD1508" s="1742">
        <f t="shared" si="2511"/>
        <v>0.6567852437417655</v>
      </c>
      <c r="AE1508" s="1742">
        <f t="shared" si="2511"/>
        <v>0.71460396063423259</v>
      </c>
      <c r="AF1508" s="1742">
        <f t="shared" si="2511"/>
        <v>0.5864928909952607</v>
      </c>
      <c r="AG1508" s="1742">
        <f t="shared" si="2511"/>
        <v>0.67267694321487281</v>
      </c>
      <c r="AH1508" s="1742">
        <f t="shared" si="2511"/>
        <v>0.68759785371827464</v>
      </c>
      <c r="AI1508" s="1742">
        <f t="shared" si="2511"/>
        <v>0.62817988560592153</v>
      </c>
      <c r="AJ1508" s="1742">
        <f t="shared" si="2511"/>
        <v>0.65037864059254569</v>
      </c>
    </row>
    <row r="1509" spans="1:36" ht="14.5">
      <c r="A1509" s="990">
        <v>1</v>
      </c>
      <c r="B1509" s="990">
        <v>1</v>
      </c>
      <c r="C1509" s="990" t="s">
        <v>863</v>
      </c>
      <c r="E1509" s="1611" t="s">
        <v>460</v>
      </c>
      <c r="F1509" s="1610"/>
      <c r="G1509" s="1731"/>
      <c r="H1509" s="1732"/>
      <c r="I1509" s="1327"/>
      <c r="J1509" s="1736" t="s">
        <v>131</v>
      </c>
      <c r="K1509" s="1736"/>
      <c r="L1509" s="1737"/>
      <c r="M1509" s="278"/>
      <c r="N1509" s="278"/>
      <c r="O1509" s="278"/>
      <c r="P1509" s="278"/>
      <c r="Q1509" s="1914" t="str">
        <f>CHOOSE(2, "6722000004427", "RF (1) Office Marginal Profit % Others")</f>
        <v>RF (1) Office Marginal Profit % Others</v>
      </c>
      <c r="R1509" s="1742" t="str">
        <f t="shared" si="2510"/>
        <v/>
      </c>
      <c r="S1509" s="1742" t="str">
        <f t="shared" si="2510"/>
        <v/>
      </c>
      <c r="T1509" s="1742" t="str">
        <f t="shared" si="2510"/>
        <v/>
      </c>
      <c r="U1509" s="1742" t="str">
        <f t="shared" si="2510"/>
        <v/>
      </c>
      <c r="V1509" s="1742" t="str">
        <f t="shared" si="2510"/>
        <v/>
      </c>
      <c r="W1509" s="1742" t="str">
        <f t="shared" si="2510"/>
        <v/>
      </c>
      <c r="X1509" s="1742" t="str">
        <f t="shared" si="2510"/>
        <v/>
      </c>
      <c r="Y1509" s="1742" t="str">
        <f t="shared" si="2510"/>
        <v/>
      </c>
      <c r="Z1509" s="1742" t="str">
        <f t="shared" si="2510"/>
        <v/>
      </c>
      <c r="AA1509" s="1742" t="str">
        <f t="shared" si="2510"/>
        <v/>
      </c>
      <c r="AB1509" s="1742" t="str">
        <f t="shared" si="2510"/>
        <v/>
      </c>
      <c r="AC1509" s="1742" t="str">
        <f t="shared" si="2510"/>
        <v/>
      </c>
      <c r="AD1509" s="1742" t="str">
        <f t="shared" si="2511"/>
        <v/>
      </c>
      <c r="AE1509" s="1742" t="str">
        <f t="shared" si="2511"/>
        <v/>
      </c>
      <c r="AF1509" s="1742" t="str">
        <f t="shared" si="2511"/>
        <v/>
      </c>
      <c r="AG1509" s="1742" t="str">
        <f t="shared" si="2511"/>
        <v/>
      </c>
      <c r="AH1509" s="1742" t="str">
        <f t="shared" si="2511"/>
        <v/>
      </c>
      <c r="AI1509" s="1742" t="str">
        <f t="shared" si="2511"/>
        <v/>
      </c>
      <c r="AJ1509" s="1742" t="str">
        <f t="shared" si="2511"/>
        <v/>
      </c>
    </row>
    <row r="1510" spans="1:36" ht="14.5">
      <c r="A1510" s="990">
        <v>1</v>
      </c>
      <c r="B1510" s="990">
        <v>1</v>
      </c>
      <c r="C1510" s="990" t="s">
        <v>863</v>
      </c>
      <c r="E1510" s="1611" t="s">
        <v>460</v>
      </c>
      <c r="F1510" s="1610"/>
      <c r="G1510" s="1731"/>
      <c r="H1510" s="1732"/>
      <c r="I1510" s="1312" t="s">
        <v>866</v>
      </c>
      <c r="J1510" s="1313"/>
      <c r="K1510" s="1313"/>
      <c r="L1510" s="1733"/>
      <c r="M1510" s="1734"/>
      <c r="N1510" s="1734"/>
      <c r="O1510" s="1734"/>
      <c r="P1510" s="1734"/>
      <c r="Q1510" s="1912" t="str">
        <f>CHOOSE(2, "6722000004428", "RF (1) Office Fixed Cost")</f>
        <v>RF (1) Office Fixed Cost</v>
      </c>
      <c r="R1510" s="2311">
        <f>SUM(R1511:R1512)</f>
        <v>44325.676383935715</v>
      </c>
      <c r="S1510" s="2311">
        <f t="shared" ref="S1510:AC1510" si="2512">SUM(S1511:S1512)</f>
        <v>45920.362510727355</v>
      </c>
      <c r="T1510" s="2311">
        <f t="shared" si="2512"/>
        <v>50977.305033771481</v>
      </c>
      <c r="U1510" s="2311">
        <f t="shared" si="2512"/>
        <v>44717.888159762733</v>
      </c>
      <c r="V1510" s="2311">
        <f t="shared" si="2512"/>
        <v>50013.409692365683</v>
      </c>
      <c r="W1510" s="2311">
        <f t="shared" si="2512"/>
        <v>37156.269709650602</v>
      </c>
      <c r="X1510" s="2311">
        <f t="shared" si="2512"/>
        <v>70482.568838647829</v>
      </c>
      <c r="Y1510" s="2311">
        <f t="shared" si="2512"/>
        <v>49999.601457800432</v>
      </c>
      <c r="Z1510" s="2311">
        <f t="shared" si="2512"/>
        <v>49108.53344419878</v>
      </c>
      <c r="AA1510" s="2311">
        <f t="shared" si="2512"/>
        <v>55176.899095687106</v>
      </c>
      <c r="AB1510" s="2311">
        <f t="shared" si="2512"/>
        <v>44899.74518133096</v>
      </c>
      <c r="AC1510" s="2311">
        <f t="shared" si="2512"/>
        <v>67679.782250398042</v>
      </c>
      <c r="AD1510" s="1735">
        <f>SUM(R1510:T1510)</f>
        <v>141223.34392843454</v>
      </c>
      <c r="AE1510" s="1735">
        <f t="shared" si="2486"/>
        <v>131887.56756177903</v>
      </c>
      <c r="AF1510" s="1735">
        <f t="shared" si="2487"/>
        <v>169590.70374064703</v>
      </c>
      <c r="AG1510" s="1735">
        <f t="shared" si="2488"/>
        <v>167756.4265274161</v>
      </c>
      <c r="AH1510" s="1735">
        <f t="shared" si="2489"/>
        <v>273110.91149021359</v>
      </c>
      <c r="AI1510" s="1735">
        <f t="shared" si="2490"/>
        <v>337347.13026806316</v>
      </c>
      <c r="AJ1510" s="1735">
        <f t="shared" si="2491"/>
        <v>610458.04175827675</v>
      </c>
    </row>
    <row r="1511" spans="1:36" ht="14.5">
      <c r="A1511" s="990">
        <v>1</v>
      </c>
      <c r="B1511" s="990">
        <v>1</v>
      </c>
      <c r="C1511" s="990" t="s">
        <v>863</v>
      </c>
      <c r="E1511" s="1611" t="s">
        <v>460</v>
      </c>
      <c r="F1511" s="1610"/>
      <c r="G1511" s="1731"/>
      <c r="H1511" s="1732"/>
      <c r="I1511" s="1327"/>
      <c r="J1511" s="1321" t="s">
        <v>1400</v>
      </c>
      <c r="K1511" s="1321"/>
      <c r="Q1511" s="1843" t="str">
        <f>CHOOSE(2, "6722000004429", "RF (1) Office Fixed Cost COGs")</f>
        <v>RF (1) Office Fixed Cost COGs</v>
      </c>
      <c r="R1511" s="19">
        <f t="shared" ref="R1511:AC1511" si="2513">R839</f>
        <v>7547</v>
      </c>
      <c r="S1511" s="19">
        <f t="shared" si="2513"/>
        <v>7821</v>
      </c>
      <c r="T1511" s="19">
        <f t="shared" si="2513"/>
        <v>7933</v>
      </c>
      <c r="U1511" s="19">
        <f t="shared" si="2513"/>
        <v>7742</v>
      </c>
      <c r="V1511" s="19">
        <f t="shared" si="2513"/>
        <v>7506.5874735241305</v>
      </c>
      <c r="W1511" s="19">
        <f t="shared" si="2513"/>
        <v>7541</v>
      </c>
      <c r="X1511" s="19">
        <f t="shared" si="2513"/>
        <v>11688</v>
      </c>
      <c r="Y1511" s="19">
        <f t="shared" si="2513"/>
        <v>7345</v>
      </c>
      <c r="Z1511" s="19">
        <f t="shared" si="2513"/>
        <v>7725</v>
      </c>
      <c r="AA1511" s="19">
        <f t="shared" si="2513"/>
        <v>7908</v>
      </c>
      <c r="AB1511" s="19">
        <f t="shared" si="2513"/>
        <v>8142</v>
      </c>
      <c r="AC1511" s="19">
        <f t="shared" si="2513"/>
        <v>8840</v>
      </c>
      <c r="AD1511" s="19">
        <f>SUM(R1511:T1511)</f>
        <v>23301</v>
      </c>
      <c r="AE1511" s="19">
        <f t="shared" si="2486"/>
        <v>22789.58747352413</v>
      </c>
      <c r="AF1511" s="19">
        <f t="shared" si="2487"/>
        <v>26758</v>
      </c>
      <c r="AG1511" s="19">
        <f t="shared" si="2488"/>
        <v>24890</v>
      </c>
      <c r="AH1511" s="19">
        <f t="shared" si="2489"/>
        <v>46090.58747352413</v>
      </c>
      <c r="AI1511" s="19">
        <f t="shared" si="2490"/>
        <v>51648</v>
      </c>
      <c r="AJ1511" s="19">
        <f t="shared" si="2491"/>
        <v>97738.587473524123</v>
      </c>
    </row>
    <row r="1512" spans="1:36" ht="14.5">
      <c r="A1512" s="990">
        <v>1</v>
      </c>
      <c r="B1512" s="990">
        <v>1</v>
      </c>
      <c r="C1512" s="990" t="s">
        <v>863</v>
      </c>
      <c r="E1512" s="1611" t="s">
        <v>460</v>
      </c>
      <c r="F1512" s="1610"/>
      <c r="G1512" s="1731"/>
      <c r="H1512" s="1732"/>
      <c r="I1512" s="1327"/>
      <c r="J1512" s="1321" t="s">
        <v>1401</v>
      </c>
      <c r="K1512" s="1321"/>
      <c r="Q1512" s="1843" t="str">
        <f>CHOOSE(2, "6722000004430", "RF (1) Office Fixed Cost SG&amp;A")</f>
        <v>RF (1) Office Fixed Cost SG&amp;A</v>
      </c>
      <c r="R1512" s="19">
        <f t="shared" ref="R1512:AC1512" si="2514">R84+R85</f>
        <v>36778.676383935715</v>
      </c>
      <c r="S1512" s="19">
        <f t="shared" si="2514"/>
        <v>38099.362510727355</v>
      </c>
      <c r="T1512" s="19">
        <f t="shared" si="2514"/>
        <v>43044.305033771481</v>
      </c>
      <c r="U1512" s="19">
        <f t="shared" si="2514"/>
        <v>36975.888159762733</v>
      </c>
      <c r="V1512" s="19">
        <f t="shared" si="2514"/>
        <v>42506.822218841553</v>
      </c>
      <c r="W1512" s="19">
        <f t="shared" si="2514"/>
        <v>29615.269709650598</v>
      </c>
      <c r="X1512" s="19">
        <f t="shared" si="2514"/>
        <v>58794.568838647829</v>
      </c>
      <c r="Y1512" s="19">
        <f t="shared" si="2514"/>
        <v>42654.601457800432</v>
      </c>
      <c r="Z1512" s="19">
        <f t="shared" si="2514"/>
        <v>41383.53344419878</v>
      </c>
      <c r="AA1512" s="19">
        <f t="shared" si="2514"/>
        <v>47268.899095687106</v>
      </c>
      <c r="AB1512" s="19">
        <f t="shared" si="2514"/>
        <v>36757.74518133096</v>
      </c>
      <c r="AC1512" s="19">
        <f t="shared" si="2514"/>
        <v>58839.78225039805</v>
      </c>
      <c r="AD1512" s="19">
        <f>SUM(R1512:T1512)</f>
        <v>117922.34392843455</v>
      </c>
      <c r="AE1512" s="19">
        <f t="shared" si="2486"/>
        <v>109097.98008825489</v>
      </c>
      <c r="AF1512" s="19">
        <f t="shared" si="2487"/>
        <v>142832.70374064703</v>
      </c>
      <c r="AG1512" s="19">
        <f t="shared" si="2488"/>
        <v>142866.4265274161</v>
      </c>
      <c r="AH1512" s="19">
        <f t="shared" si="2489"/>
        <v>227020.32401668944</v>
      </c>
      <c r="AI1512" s="19">
        <f t="shared" si="2490"/>
        <v>285699.13026806316</v>
      </c>
      <c r="AJ1512" s="19">
        <f t="shared" si="2491"/>
        <v>512719.4542847526</v>
      </c>
    </row>
    <row r="1513" spans="1:36" ht="14.5">
      <c r="A1513" s="990">
        <v>1</v>
      </c>
      <c r="B1513" s="990">
        <v>1</v>
      </c>
      <c r="C1513" s="990" t="s">
        <v>863</v>
      </c>
      <c r="E1513" s="1611" t="s">
        <v>460</v>
      </c>
      <c r="F1513" s="1610"/>
      <c r="G1513" s="1731"/>
      <c r="H1513" s="1732"/>
      <c r="I1513" s="1312" t="s">
        <v>867</v>
      </c>
      <c r="J1513" s="1313"/>
      <c r="K1513" s="1313"/>
      <c r="L1513" s="1733"/>
      <c r="M1513" s="1734"/>
      <c r="N1513" s="1734"/>
      <c r="O1513" s="1734"/>
      <c r="P1513" s="1734"/>
      <c r="Q1513" s="1912" t="str">
        <f>CHOOSE(2, "6722000004431", "RF (1) Office BCP")</f>
        <v>RF (1) Office BCP</v>
      </c>
      <c r="R1513" s="2311">
        <f>R1492-R1510</f>
        <v>7627.3451232382649</v>
      </c>
      <c r="S1513" s="2311">
        <f t="shared" ref="S1513:AC1513" si="2515">S1492-S1510</f>
        <v>702.20620344094641</v>
      </c>
      <c r="T1513" s="2311">
        <f t="shared" si="2515"/>
        <v>10613.422168804085</v>
      </c>
      <c r="U1513" s="2311">
        <f t="shared" si="2515"/>
        <v>12366.097412912801</v>
      </c>
      <c r="V1513" s="2311">
        <f t="shared" si="2515"/>
        <v>19519.284661571546</v>
      </c>
      <c r="W1513" s="2311">
        <f t="shared" si="2515"/>
        <v>32513.264079597051</v>
      </c>
      <c r="X1513" s="2311">
        <f t="shared" si="2515"/>
        <v>15783.368397811166</v>
      </c>
      <c r="Y1513" s="2311">
        <f t="shared" si="2515"/>
        <v>30199.588146945222</v>
      </c>
      <c r="Z1513" s="2311">
        <f t="shared" si="2515"/>
        <v>18763.40950744471</v>
      </c>
      <c r="AA1513" s="2311">
        <f t="shared" si="2515"/>
        <v>9937.3856655235941</v>
      </c>
      <c r="AB1513" s="2311">
        <f t="shared" si="2515"/>
        <v>3629.5266247859545</v>
      </c>
      <c r="AC1513" s="2311">
        <f t="shared" si="2515"/>
        <v>-166.51453808948281</v>
      </c>
      <c r="AD1513" s="1735">
        <f>SUM(R1513:T1513)</f>
        <v>18942.973495483297</v>
      </c>
      <c r="AE1513" s="1735">
        <f t="shared" ref="AE1513" si="2516">SUM(U1513:W1513)</f>
        <v>64398.646154081398</v>
      </c>
      <c r="AF1513" s="1735">
        <f t="shared" ref="AF1513" si="2517">SUM(X1513:Z1513)</f>
        <v>64746.366052201098</v>
      </c>
      <c r="AG1513" s="1735">
        <f t="shared" ref="AG1513" si="2518">SUM(AA1513:AC1513)</f>
        <v>13400.397752220066</v>
      </c>
      <c r="AH1513" s="1735">
        <f t="shared" si="2489"/>
        <v>83341.619649564702</v>
      </c>
      <c r="AI1513" s="1735">
        <f t="shared" si="2490"/>
        <v>78146.763804421164</v>
      </c>
      <c r="AJ1513" s="1735">
        <f t="shared" si="2491"/>
        <v>161488.38345398585</v>
      </c>
    </row>
    <row r="1514" spans="1:36" ht="14.5">
      <c r="A1514" s="990">
        <v>1</v>
      </c>
      <c r="B1514" s="990">
        <v>1</v>
      </c>
      <c r="C1514" s="990" t="s">
        <v>863</v>
      </c>
      <c r="E1514" s="1611" t="s">
        <v>460</v>
      </c>
      <c r="F1514" s="1610"/>
      <c r="G1514" s="1731"/>
      <c r="H1514" s="1732"/>
      <c r="I1514" s="1312" t="s">
        <v>880</v>
      </c>
      <c r="J1514" s="1313"/>
      <c r="K1514" s="1313"/>
      <c r="L1514" s="1733"/>
      <c r="M1514" s="1734"/>
      <c r="N1514" s="1734"/>
      <c r="O1514" s="1734"/>
      <c r="P1514" s="1734"/>
      <c r="Q1514" s="1912" t="str">
        <f>CHOOSE(2, "6722000004432", "RF (1) Office Break-even Point Net Sales")</f>
        <v>RF (1) Office Break-even Point Net Sales</v>
      </c>
      <c r="R1514" s="2311">
        <f>R1510/R1501</f>
        <v>140091.70592483174</v>
      </c>
      <c r="S1514" s="2311">
        <f t="shared" ref="S1514:AC1514" si="2519">S1510/S1501</f>
        <v>181868.89250117686</v>
      </c>
      <c r="T1514" s="2311">
        <f t="shared" si="2519"/>
        <v>164432.35401060132</v>
      </c>
      <c r="U1514" s="2311">
        <f t="shared" si="2519"/>
        <v>164734.90080934012</v>
      </c>
      <c r="V1514" s="2311">
        <f t="shared" si="2519"/>
        <v>188829.6256196938</v>
      </c>
      <c r="W1514" s="2311">
        <f t="shared" si="2519"/>
        <v>144853.88947136301</v>
      </c>
      <c r="X1514" s="2311">
        <f t="shared" si="2519"/>
        <v>191347.90281196241</v>
      </c>
      <c r="Y1514" s="2311">
        <f t="shared" si="2519"/>
        <v>159327.64671478455</v>
      </c>
      <c r="Z1514" s="2311">
        <f t="shared" si="2519"/>
        <v>239088.11177439059</v>
      </c>
      <c r="AA1514" s="2311">
        <f t="shared" si="2519"/>
        <v>205734.17722196761</v>
      </c>
      <c r="AB1514" s="2311">
        <f t="shared" si="2519"/>
        <v>244200.14825961969</v>
      </c>
      <c r="AC1514" s="2311">
        <f t="shared" si="2519"/>
        <v>282988.24421360641</v>
      </c>
      <c r="AD1514" s="1735">
        <f>SUM(R1514:T1514)</f>
        <v>486392.95243660989</v>
      </c>
      <c r="AE1514" s="1735">
        <f t="shared" si="2486"/>
        <v>498418.415900397</v>
      </c>
      <c r="AF1514" s="1735">
        <f t="shared" si="2487"/>
        <v>589763.66130113753</v>
      </c>
      <c r="AG1514" s="1735">
        <f t="shared" si="2488"/>
        <v>732922.56969519379</v>
      </c>
      <c r="AH1514" s="1735">
        <f t="shared" si="2489"/>
        <v>984811.36833700689</v>
      </c>
      <c r="AI1514" s="1735">
        <f t="shared" si="2490"/>
        <v>1322686.2309963312</v>
      </c>
      <c r="AJ1514" s="1735">
        <f t="shared" si="2491"/>
        <v>2307497.599333338</v>
      </c>
    </row>
    <row r="1515" spans="1:36" ht="14.5">
      <c r="A1515" s="990">
        <v>1</v>
      </c>
      <c r="B1515" s="990">
        <v>1</v>
      </c>
      <c r="C1515" s="990" t="s">
        <v>863</v>
      </c>
      <c r="E1515" s="1611" t="s">
        <v>460</v>
      </c>
      <c r="F1515" s="1610"/>
      <c r="G1515" s="1731"/>
      <c r="H1515" s="1732"/>
      <c r="I1515" s="1336"/>
      <c r="J1515" s="1337" t="s">
        <v>135</v>
      </c>
      <c r="K1515" s="1338"/>
      <c r="L1515" s="18"/>
      <c r="M1515" s="12"/>
      <c r="N1515" s="12"/>
      <c r="O1515" s="12"/>
      <c r="P1515" s="12"/>
      <c r="Q1515" s="1838" t="str">
        <f>CHOOSE(2, "6722000004433", "RF (1) Office Break-even Point Net Sales (%)")</f>
        <v>RF (1) Office Break-even Point Net Sales (%)</v>
      </c>
      <c r="R1515" s="1743">
        <f>R1514/R1474</f>
        <v>0.8531876510361377</v>
      </c>
      <c r="S1515" s="1743">
        <f t="shared" ref="S1515:AC1515" si="2520">S1514/S1474</f>
        <v>0.98493849174750536</v>
      </c>
      <c r="T1515" s="1743">
        <f t="shared" si="2520"/>
        <v>0.82767824555966174</v>
      </c>
      <c r="U1515" s="1743">
        <f t="shared" si="2520"/>
        <v>0.78337011179485527</v>
      </c>
      <c r="V1515" s="1743">
        <f t="shared" si="2520"/>
        <v>0.7192790407025802</v>
      </c>
      <c r="W1515" s="1743">
        <f t="shared" si="2520"/>
        <v>0.53332163556669387</v>
      </c>
      <c r="X1515" s="1743">
        <f t="shared" si="2520"/>
        <v>0.81703823196694414</v>
      </c>
      <c r="Y1515" s="1743">
        <f t="shared" si="2520"/>
        <v>0.6234427268432372</v>
      </c>
      <c r="Z1515" s="1743">
        <f t="shared" si="2520"/>
        <v>0.72354689299504782</v>
      </c>
      <c r="AA1515" s="1743">
        <f t="shared" si="2520"/>
        <v>0.84738547460106017</v>
      </c>
      <c r="AB1515" s="1743">
        <f t="shared" si="2520"/>
        <v>0.92520953870302114</v>
      </c>
      <c r="AC1515" s="1743">
        <f t="shared" si="2520"/>
        <v>1.0024663972539301</v>
      </c>
      <c r="AD1515" s="1743">
        <f t="shared" ref="AD1515:AJ1515" si="2521">AD1514/AD1474</f>
        <v>0.88836461546553047</v>
      </c>
      <c r="AE1515" s="1743">
        <f t="shared" si="2521"/>
        <v>0.66953634144050567</v>
      </c>
      <c r="AF1515" s="1743">
        <f t="shared" si="2521"/>
        <v>0.71905122952307499</v>
      </c>
      <c r="AG1515" s="1743">
        <f t="shared" si="2521"/>
        <v>0.92890313885099396</v>
      </c>
      <c r="AH1515" s="1743">
        <f t="shared" si="2521"/>
        <v>0.76227433640432496</v>
      </c>
      <c r="AI1515" s="1743">
        <f t="shared" si="2521"/>
        <v>0.8219443049423667</v>
      </c>
      <c r="AJ1515" s="1743">
        <f t="shared" si="2521"/>
        <v>0.79537215534942962</v>
      </c>
    </row>
    <row r="1516" spans="1:36" ht="14.5">
      <c r="A1516" s="990">
        <v>1</v>
      </c>
      <c r="B1516" s="990">
        <v>1</v>
      </c>
      <c r="C1516" s="990" t="s">
        <v>863</v>
      </c>
      <c r="E1516" s="1611" t="s">
        <v>460</v>
      </c>
      <c r="F1516" s="1610"/>
      <c r="Q1516" s="1838" t="str">
        <f>CHOOSE(2, "6722000004434", "▷ Blank 64")</f>
        <v>▷ Blank 64</v>
      </c>
    </row>
    <row r="1517" spans="1:36" ht="14.5">
      <c r="A1517" s="990">
        <v>1</v>
      </c>
      <c r="B1517" s="990">
        <v>1</v>
      </c>
      <c r="C1517" s="990" t="s">
        <v>863</v>
      </c>
      <c r="E1517" s="1611" t="s">
        <v>460</v>
      </c>
      <c r="F1517" s="1610"/>
      <c r="H1517" s="5" t="s">
        <v>481</v>
      </c>
      <c r="Q1517" s="1838" t="str">
        <f>CHOOSE(2, "6722000004435", "RF (2) PP")</f>
        <v>RF (2) PP</v>
      </c>
    </row>
    <row r="1518" spans="1:36" ht="14.5">
      <c r="A1518" s="990">
        <v>1</v>
      </c>
      <c r="B1518" s="990">
        <v>1</v>
      </c>
      <c r="C1518" s="990" t="s">
        <v>863</v>
      </c>
      <c r="E1518" s="1611" t="s">
        <v>460</v>
      </c>
      <c r="F1518" s="1610"/>
      <c r="G1518" s="1731"/>
      <c r="H1518" s="1732"/>
      <c r="I1518" s="1744" t="s">
        <v>9</v>
      </c>
      <c r="J1518" s="1745"/>
      <c r="K1518" s="1745"/>
      <c r="L1518" s="1746"/>
      <c r="M1518" s="1747"/>
      <c r="N1518" s="1747"/>
      <c r="O1518" s="1747"/>
      <c r="P1518" s="1747"/>
      <c r="Q1518" s="1920" t="str">
        <f>CHOOSE(2, "6722000004436", "RF (2) PP Net Sales")</f>
        <v>RF (2) PP Net Sales</v>
      </c>
      <c r="R1518" s="2313">
        <f>SUM(R1519,R1522,R1525,R1526)</f>
        <v>469389</v>
      </c>
      <c r="S1518" s="2313">
        <f t="shared" ref="S1518:AC1518" si="2522">SUM(S1519,S1522,S1525,S1526)</f>
        <v>465913</v>
      </c>
      <c r="T1518" s="2313">
        <f t="shared" si="2522"/>
        <v>468237</v>
      </c>
      <c r="U1518" s="2313">
        <f t="shared" si="2522"/>
        <v>490672</v>
      </c>
      <c r="V1518" s="2313">
        <f t="shared" si="2522"/>
        <v>544123.20207</v>
      </c>
      <c r="W1518" s="2313">
        <f t="shared" si="2522"/>
        <v>420374</v>
      </c>
      <c r="X1518" s="2313">
        <f t="shared" si="2522"/>
        <v>631088</v>
      </c>
      <c r="Y1518" s="2313">
        <f t="shared" si="2522"/>
        <v>524580</v>
      </c>
      <c r="Z1518" s="2313">
        <f t="shared" si="2522"/>
        <v>514753</v>
      </c>
      <c r="AA1518" s="2313">
        <f t="shared" si="2522"/>
        <v>565106</v>
      </c>
      <c r="AB1518" s="2313">
        <f t="shared" si="2522"/>
        <v>597727</v>
      </c>
      <c r="AC1518" s="2313">
        <f t="shared" si="2522"/>
        <v>455797</v>
      </c>
      <c r="AD1518" s="1748">
        <f t="shared" ref="AD1518:AD1544" si="2523">SUM(R1518:T1518)</f>
        <v>1403539</v>
      </c>
      <c r="AE1518" s="1748">
        <f t="shared" ref="AE1518:AE1544" si="2524">SUM(U1518:W1518)</f>
        <v>1455169.2020700001</v>
      </c>
      <c r="AF1518" s="1748">
        <f t="shared" ref="AF1518:AF1544" si="2525">SUM(X1518:Z1518)</f>
        <v>1670421</v>
      </c>
      <c r="AG1518" s="1748">
        <f t="shared" ref="AG1518:AG1544" si="2526">SUM(AA1518:AC1518)</f>
        <v>1618630</v>
      </c>
      <c r="AH1518" s="1748">
        <f t="shared" ref="AH1518:AH1544" si="2527">AD1518+AE1518</f>
        <v>2858708.2020700001</v>
      </c>
      <c r="AI1518" s="1748">
        <f t="shared" ref="AI1518:AI1544" si="2528">AG1518+AF1518</f>
        <v>3289051</v>
      </c>
      <c r="AJ1518" s="1748">
        <f t="shared" ref="AJ1518:AJ1544" si="2529">AH1518+AI1518</f>
        <v>6147759.2020699997</v>
      </c>
    </row>
    <row r="1519" spans="1:36" ht="14.5">
      <c r="A1519" s="990">
        <v>1</v>
      </c>
      <c r="B1519" s="990">
        <v>1</v>
      </c>
      <c r="C1519" s="990" t="s">
        <v>863</v>
      </c>
      <c r="E1519" s="1611" t="s">
        <v>460</v>
      </c>
      <c r="F1519" s="1610"/>
      <c r="G1519" s="1731"/>
      <c r="H1519" s="1732"/>
      <c r="I1519" s="1327"/>
      <c r="J1519" s="1736" t="s">
        <v>1395</v>
      </c>
      <c r="K1519" s="1736"/>
      <c r="L1519" s="1737"/>
      <c r="M1519" s="278"/>
      <c r="N1519" s="278"/>
      <c r="O1519" s="278"/>
      <c r="P1519" s="278"/>
      <c r="Q1519" s="1914" t="str">
        <f>CHOOSE(2, "6722000004437", "RF (2) PP Net Sales HW")</f>
        <v>RF (2) PP Net Sales HW</v>
      </c>
      <c r="R1519" s="1738">
        <f>SUM(R1520:R1521)</f>
        <v>124454</v>
      </c>
      <c r="S1519" s="1738">
        <f t="shared" ref="S1519:AC1519" si="2530">SUM(S1520:S1521)</f>
        <v>116887</v>
      </c>
      <c r="T1519" s="1738">
        <f t="shared" si="2530"/>
        <v>107627</v>
      </c>
      <c r="U1519" s="1738">
        <f t="shared" si="2530"/>
        <v>146609</v>
      </c>
      <c r="V1519" s="1738">
        <f t="shared" si="2530"/>
        <v>168081.10800000001</v>
      </c>
      <c r="W1519" s="1738">
        <f t="shared" si="2530"/>
        <v>125768</v>
      </c>
      <c r="X1519" s="1738">
        <f t="shared" si="2530"/>
        <v>185035</v>
      </c>
      <c r="Y1519" s="1738">
        <f t="shared" si="2530"/>
        <v>150968</v>
      </c>
      <c r="Z1519" s="1738">
        <f t="shared" si="2530"/>
        <v>126989</v>
      </c>
      <c r="AA1519" s="1738">
        <f t="shared" si="2530"/>
        <v>166014</v>
      </c>
      <c r="AB1519" s="1738">
        <f t="shared" si="2530"/>
        <v>165952</v>
      </c>
      <c r="AC1519" s="1738">
        <f t="shared" si="2530"/>
        <v>111879</v>
      </c>
      <c r="AD1519" s="1738">
        <f t="shared" si="2523"/>
        <v>348968</v>
      </c>
      <c r="AE1519" s="1738">
        <f t="shared" si="2524"/>
        <v>440458.10800000001</v>
      </c>
      <c r="AF1519" s="1738">
        <f t="shared" si="2525"/>
        <v>462992</v>
      </c>
      <c r="AG1519" s="1738">
        <f t="shared" si="2526"/>
        <v>443845</v>
      </c>
      <c r="AH1519" s="1738">
        <f t="shared" si="2527"/>
        <v>789426.10800000001</v>
      </c>
      <c r="AI1519" s="1738">
        <f t="shared" si="2528"/>
        <v>906837</v>
      </c>
      <c r="AJ1519" s="1738">
        <f t="shared" si="2529"/>
        <v>1696263.108</v>
      </c>
    </row>
    <row r="1520" spans="1:36" ht="14.5">
      <c r="A1520" s="990">
        <v>1</v>
      </c>
      <c r="B1520" s="990">
        <v>1</v>
      </c>
      <c r="C1520" s="990" t="s">
        <v>863</v>
      </c>
      <c r="E1520" s="1611" t="s">
        <v>460</v>
      </c>
      <c r="F1520" s="1610"/>
      <c r="G1520" s="1731"/>
      <c r="H1520" s="1732"/>
      <c r="I1520" s="1327"/>
      <c r="J1520" s="1321"/>
      <c r="K1520" s="1321" t="s">
        <v>212</v>
      </c>
      <c r="Q1520" s="1843" t="str">
        <f>CHOOSE(2, "6722000004438", "RF (2) PP Net Sales HW Direct")</f>
        <v>RF (2) PP Net Sales HW Direct</v>
      </c>
      <c r="R1520" s="19">
        <f t="shared" ref="R1520:AC1520" si="2531">R554</f>
        <v>109550</v>
      </c>
      <c r="S1520" s="19">
        <f t="shared" si="2531"/>
        <v>104685</v>
      </c>
      <c r="T1520" s="19">
        <f t="shared" si="2531"/>
        <v>95888</v>
      </c>
      <c r="U1520" s="19">
        <f t="shared" si="2531"/>
        <v>122248</v>
      </c>
      <c r="V1520" s="19">
        <f t="shared" si="2531"/>
        <v>146168.747</v>
      </c>
      <c r="W1520" s="19">
        <f t="shared" si="2531"/>
        <v>114818</v>
      </c>
      <c r="X1520" s="19">
        <f t="shared" si="2531"/>
        <v>171297</v>
      </c>
      <c r="Y1520" s="19">
        <f t="shared" si="2531"/>
        <v>132244</v>
      </c>
      <c r="Z1520" s="19">
        <f t="shared" si="2531"/>
        <v>117597</v>
      </c>
      <c r="AA1520" s="19">
        <f t="shared" si="2531"/>
        <v>150636</v>
      </c>
      <c r="AB1520" s="19">
        <f t="shared" si="2531"/>
        <v>151240</v>
      </c>
      <c r="AC1520" s="19">
        <f t="shared" si="2531"/>
        <v>97886</v>
      </c>
      <c r="AD1520" s="19">
        <f t="shared" si="2523"/>
        <v>310123</v>
      </c>
      <c r="AE1520" s="19">
        <f t="shared" si="2524"/>
        <v>383234.74699999997</v>
      </c>
      <c r="AF1520" s="19">
        <f t="shared" si="2525"/>
        <v>421138</v>
      </c>
      <c r="AG1520" s="19">
        <f t="shared" si="2526"/>
        <v>399762</v>
      </c>
      <c r="AH1520" s="19">
        <f t="shared" si="2527"/>
        <v>693357.74699999997</v>
      </c>
      <c r="AI1520" s="19">
        <f t="shared" si="2528"/>
        <v>820900</v>
      </c>
      <c r="AJ1520" s="19">
        <f t="shared" si="2529"/>
        <v>1514257.747</v>
      </c>
    </row>
    <row r="1521" spans="1:36" ht="14.5">
      <c r="A1521" s="990">
        <v>1</v>
      </c>
      <c r="B1521" s="990">
        <v>1</v>
      </c>
      <c r="C1521" s="990" t="s">
        <v>863</v>
      </c>
      <c r="E1521" s="1611" t="s">
        <v>460</v>
      </c>
      <c r="F1521" s="1610"/>
      <c r="G1521" s="1731"/>
      <c r="H1521" s="1732"/>
      <c r="I1521" s="1327"/>
      <c r="J1521" s="1321"/>
      <c r="K1521" s="1321" t="s">
        <v>221</v>
      </c>
      <c r="Q1521" s="1843" t="str">
        <f>CHOOSE(2, "6722000004439", "RF (2) PP Net Sales HW Indirect")</f>
        <v>RF (2) PP Net Sales HW Indirect</v>
      </c>
      <c r="R1521" s="19">
        <f t="shared" ref="R1521:AC1521" si="2532">R569</f>
        <v>14904</v>
      </c>
      <c r="S1521" s="19">
        <f t="shared" si="2532"/>
        <v>12202</v>
      </c>
      <c r="T1521" s="19">
        <f t="shared" si="2532"/>
        <v>11739</v>
      </c>
      <c r="U1521" s="19">
        <f t="shared" si="2532"/>
        <v>24361</v>
      </c>
      <c r="V1521" s="19">
        <f t="shared" si="2532"/>
        <v>21912.361000000001</v>
      </c>
      <c r="W1521" s="19">
        <f t="shared" si="2532"/>
        <v>10950</v>
      </c>
      <c r="X1521" s="19">
        <f t="shared" si="2532"/>
        <v>13738</v>
      </c>
      <c r="Y1521" s="19">
        <f t="shared" si="2532"/>
        <v>18724</v>
      </c>
      <c r="Z1521" s="19">
        <f t="shared" si="2532"/>
        <v>9392</v>
      </c>
      <c r="AA1521" s="19">
        <f t="shared" si="2532"/>
        <v>15378</v>
      </c>
      <c r="AB1521" s="19">
        <f t="shared" si="2532"/>
        <v>14712</v>
      </c>
      <c r="AC1521" s="19">
        <f t="shared" si="2532"/>
        <v>13993</v>
      </c>
      <c r="AD1521" s="19">
        <f t="shared" si="2523"/>
        <v>38845</v>
      </c>
      <c r="AE1521" s="19">
        <f t="shared" si="2524"/>
        <v>57223.361000000004</v>
      </c>
      <c r="AF1521" s="19">
        <f t="shared" si="2525"/>
        <v>41854</v>
      </c>
      <c r="AG1521" s="19">
        <f t="shared" si="2526"/>
        <v>44083</v>
      </c>
      <c r="AH1521" s="19">
        <f t="shared" si="2527"/>
        <v>96068.361000000004</v>
      </c>
      <c r="AI1521" s="19">
        <f t="shared" si="2528"/>
        <v>85937</v>
      </c>
      <c r="AJ1521" s="19">
        <f t="shared" si="2529"/>
        <v>182005.361</v>
      </c>
    </row>
    <row r="1522" spans="1:36" ht="14.5">
      <c r="A1522" s="990">
        <v>1</v>
      </c>
      <c r="B1522" s="990">
        <v>1</v>
      </c>
      <c r="C1522" s="990" t="s">
        <v>863</v>
      </c>
      <c r="E1522" s="1611" t="s">
        <v>460</v>
      </c>
      <c r="F1522" s="1610"/>
      <c r="G1522" s="1731"/>
      <c r="H1522" s="1732"/>
      <c r="I1522" s="1327"/>
      <c r="J1522" s="1736" t="s">
        <v>1396</v>
      </c>
      <c r="K1522" s="1736"/>
      <c r="L1522" s="1737"/>
      <c r="M1522" s="278"/>
      <c r="N1522" s="278"/>
      <c r="O1522" s="278"/>
      <c r="P1522" s="278"/>
      <c r="Q1522" s="1914" t="str">
        <f>CHOOSE(2, "6722000004440", "RF (2) PP Net Sales NH")</f>
        <v>RF (2) PP Net Sales NH</v>
      </c>
      <c r="R1522" s="1738">
        <f>SUM(R1523:R1524)</f>
        <v>344935</v>
      </c>
      <c r="S1522" s="1738">
        <f t="shared" ref="S1522:AC1522" si="2533">SUM(S1523:S1524)</f>
        <v>349026</v>
      </c>
      <c r="T1522" s="1738">
        <f t="shared" si="2533"/>
        <v>360610</v>
      </c>
      <c r="U1522" s="1738">
        <f t="shared" si="2533"/>
        <v>344063</v>
      </c>
      <c r="V1522" s="1738">
        <f t="shared" si="2533"/>
        <v>376042.09406999999</v>
      </c>
      <c r="W1522" s="1738">
        <f t="shared" si="2533"/>
        <v>294606</v>
      </c>
      <c r="X1522" s="1738">
        <f t="shared" si="2533"/>
        <v>446053</v>
      </c>
      <c r="Y1522" s="1738">
        <f t="shared" si="2533"/>
        <v>373612</v>
      </c>
      <c r="Z1522" s="1738">
        <f t="shared" si="2533"/>
        <v>387764</v>
      </c>
      <c r="AA1522" s="1738">
        <f t="shared" si="2533"/>
        <v>399092</v>
      </c>
      <c r="AB1522" s="1738">
        <f t="shared" si="2533"/>
        <v>431775</v>
      </c>
      <c r="AC1522" s="1738">
        <f t="shared" si="2533"/>
        <v>343918</v>
      </c>
      <c r="AD1522" s="1738">
        <f t="shared" si="2523"/>
        <v>1054571</v>
      </c>
      <c r="AE1522" s="1738">
        <f t="shared" si="2524"/>
        <v>1014711.09407</v>
      </c>
      <c r="AF1522" s="1738">
        <f t="shared" si="2525"/>
        <v>1207429</v>
      </c>
      <c r="AG1522" s="1738">
        <f t="shared" si="2526"/>
        <v>1174785</v>
      </c>
      <c r="AH1522" s="1738">
        <f t="shared" si="2527"/>
        <v>2069282.0940700001</v>
      </c>
      <c r="AI1522" s="1738">
        <f t="shared" si="2528"/>
        <v>2382214</v>
      </c>
      <c r="AJ1522" s="1738">
        <f t="shared" si="2529"/>
        <v>4451496.0940700006</v>
      </c>
    </row>
    <row r="1523" spans="1:36" ht="14.5">
      <c r="A1523" s="990">
        <v>1</v>
      </c>
      <c r="B1523" s="990">
        <v>1</v>
      </c>
      <c r="C1523" s="990" t="s">
        <v>863</v>
      </c>
      <c r="E1523" s="1611" t="s">
        <v>460</v>
      </c>
      <c r="F1523" s="1610"/>
      <c r="G1523" s="1731"/>
      <c r="H1523" s="1732"/>
      <c r="I1523" s="1327"/>
      <c r="J1523" s="1321"/>
      <c r="K1523" s="1321" t="s">
        <v>212</v>
      </c>
      <c r="Q1523" s="1843" t="str">
        <f>CHOOSE(2, "6722000004441", "RF (2) PP Net Sales NH Direct")</f>
        <v>RF (2) PP Net Sales NH Direct</v>
      </c>
      <c r="R1523" s="19">
        <f t="shared" ref="R1523:AC1523" si="2534">R557</f>
        <v>293849</v>
      </c>
      <c r="S1523" s="19">
        <f t="shared" si="2534"/>
        <v>306386</v>
      </c>
      <c r="T1523" s="19">
        <f t="shared" si="2534"/>
        <v>310533</v>
      </c>
      <c r="U1523" s="19">
        <f t="shared" si="2534"/>
        <v>296245</v>
      </c>
      <c r="V1523" s="19">
        <f t="shared" si="2534"/>
        <v>339586.24706999998</v>
      </c>
      <c r="W1523" s="19">
        <f t="shared" si="2534"/>
        <v>265277</v>
      </c>
      <c r="X1523" s="19">
        <f t="shared" si="2534"/>
        <v>401800</v>
      </c>
      <c r="Y1523" s="19">
        <f t="shared" si="2534"/>
        <v>332958</v>
      </c>
      <c r="Z1523" s="19">
        <f t="shared" si="2534"/>
        <v>341264</v>
      </c>
      <c r="AA1523" s="19">
        <f t="shared" si="2534"/>
        <v>351073</v>
      </c>
      <c r="AB1523" s="19">
        <f t="shared" si="2534"/>
        <v>358074</v>
      </c>
      <c r="AC1523" s="19">
        <f t="shared" si="2534"/>
        <v>296718</v>
      </c>
      <c r="AD1523" s="19">
        <f t="shared" si="2523"/>
        <v>910768</v>
      </c>
      <c r="AE1523" s="19">
        <f t="shared" si="2524"/>
        <v>901108.24707000004</v>
      </c>
      <c r="AF1523" s="19">
        <f t="shared" si="2525"/>
        <v>1076022</v>
      </c>
      <c r="AG1523" s="19">
        <f t="shared" si="2526"/>
        <v>1005865</v>
      </c>
      <c r="AH1523" s="19">
        <f t="shared" si="2527"/>
        <v>1811876.24707</v>
      </c>
      <c r="AI1523" s="19">
        <f t="shared" si="2528"/>
        <v>2081887</v>
      </c>
      <c r="AJ1523" s="19">
        <f t="shared" si="2529"/>
        <v>3893763.24707</v>
      </c>
    </row>
    <row r="1524" spans="1:36" ht="14.5">
      <c r="A1524" s="990">
        <v>1</v>
      </c>
      <c r="B1524" s="990">
        <v>1</v>
      </c>
      <c r="C1524" s="990" t="s">
        <v>863</v>
      </c>
      <c r="E1524" s="1611" t="s">
        <v>460</v>
      </c>
      <c r="F1524" s="1610"/>
      <c r="G1524" s="1731"/>
      <c r="H1524" s="1732"/>
      <c r="I1524" s="1327"/>
      <c r="J1524" s="1321"/>
      <c r="K1524" s="1321" t="s">
        <v>221</v>
      </c>
      <c r="Q1524" s="1843" t="str">
        <f>CHOOSE(2, "6722000004442", "RF (2) PP Net Sales NH Indirect")</f>
        <v>RF (2) PP Net Sales NH Indirect</v>
      </c>
      <c r="R1524" s="19">
        <f t="shared" ref="R1524:AC1524" si="2535">R572</f>
        <v>51086</v>
      </c>
      <c r="S1524" s="19">
        <f t="shared" si="2535"/>
        <v>42640</v>
      </c>
      <c r="T1524" s="19">
        <f t="shared" si="2535"/>
        <v>50077</v>
      </c>
      <c r="U1524" s="19">
        <f t="shared" si="2535"/>
        <v>47818</v>
      </c>
      <c r="V1524" s="19">
        <f t="shared" si="2535"/>
        <v>36455.847000000002</v>
      </c>
      <c r="W1524" s="19">
        <f t="shared" si="2535"/>
        <v>29329</v>
      </c>
      <c r="X1524" s="19">
        <f t="shared" si="2535"/>
        <v>44253</v>
      </c>
      <c r="Y1524" s="19">
        <f t="shared" si="2535"/>
        <v>40654</v>
      </c>
      <c r="Z1524" s="19">
        <f t="shared" si="2535"/>
        <v>46500</v>
      </c>
      <c r="AA1524" s="19">
        <f t="shared" si="2535"/>
        <v>48019</v>
      </c>
      <c r="AB1524" s="19">
        <f t="shared" si="2535"/>
        <v>73701</v>
      </c>
      <c r="AC1524" s="19">
        <f t="shared" si="2535"/>
        <v>47200</v>
      </c>
      <c r="AD1524" s="19">
        <f t="shared" si="2523"/>
        <v>143803</v>
      </c>
      <c r="AE1524" s="19">
        <f t="shared" si="2524"/>
        <v>113602.84700000001</v>
      </c>
      <c r="AF1524" s="19">
        <f t="shared" si="2525"/>
        <v>131407</v>
      </c>
      <c r="AG1524" s="19">
        <f t="shared" si="2526"/>
        <v>168920</v>
      </c>
      <c r="AH1524" s="19">
        <f t="shared" si="2527"/>
        <v>257405.84700000001</v>
      </c>
      <c r="AI1524" s="19">
        <f t="shared" si="2528"/>
        <v>300327</v>
      </c>
      <c r="AJ1524" s="19">
        <f t="shared" si="2529"/>
        <v>557732.84700000007</v>
      </c>
    </row>
    <row r="1525" spans="1:36" ht="14.5">
      <c r="A1525" s="990">
        <v>1</v>
      </c>
      <c r="B1525" s="990">
        <v>1</v>
      </c>
      <c r="C1525" s="990" t="s">
        <v>863</v>
      </c>
      <c r="E1525" s="1611" t="s">
        <v>460</v>
      </c>
      <c r="F1525" s="1610"/>
      <c r="G1525" s="1731"/>
      <c r="H1525" s="1732"/>
      <c r="I1525" s="1327"/>
      <c r="J1525" s="1736" t="s">
        <v>208</v>
      </c>
      <c r="K1525" s="1736"/>
      <c r="L1525" s="1737"/>
      <c r="M1525" s="278"/>
      <c r="N1525" s="278"/>
      <c r="O1525" s="278"/>
      <c r="P1525" s="278"/>
      <c r="Q1525" s="1914" t="str">
        <f>CHOOSE(2, "6722000004443", "RF (2) PP Net Sales Solution")</f>
        <v>RF (2) PP Net Sales Solution</v>
      </c>
      <c r="R1525" s="1738">
        <f t="shared" ref="R1525:AC1526" si="2536">R157</f>
        <v>0</v>
      </c>
      <c r="S1525" s="1738">
        <f t="shared" si="2536"/>
        <v>0</v>
      </c>
      <c r="T1525" s="1738">
        <f t="shared" si="2536"/>
        <v>0</v>
      </c>
      <c r="U1525" s="1738">
        <f t="shared" si="2536"/>
        <v>0</v>
      </c>
      <c r="V1525" s="1738">
        <f t="shared" si="2536"/>
        <v>0</v>
      </c>
      <c r="W1525" s="1738">
        <f t="shared" si="2536"/>
        <v>0</v>
      </c>
      <c r="X1525" s="1738">
        <f t="shared" si="2536"/>
        <v>0</v>
      </c>
      <c r="Y1525" s="1738">
        <f t="shared" si="2536"/>
        <v>0</v>
      </c>
      <c r="Z1525" s="1738">
        <f t="shared" si="2536"/>
        <v>0</v>
      </c>
      <c r="AA1525" s="1738">
        <f t="shared" si="2536"/>
        <v>0</v>
      </c>
      <c r="AB1525" s="1738">
        <f t="shared" si="2536"/>
        <v>0</v>
      </c>
      <c r="AC1525" s="1738">
        <f t="shared" si="2536"/>
        <v>0</v>
      </c>
      <c r="AD1525" s="1738">
        <f t="shared" si="2523"/>
        <v>0</v>
      </c>
      <c r="AE1525" s="1738">
        <f t="shared" si="2524"/>
        <v>0</v>
      </c>
      <c r="AF1525" s="1738">
        <f t="shared" si="2525"/>
        <v>0</v>
      </c>
      <c r="AG1525" s="1738">
        <f t="shared" si="2526"/>
        <v>0</v>
      </c>
      <c r="AH1525" s="1738">
        <f t="shared" si="2527"/>
        <v>0</v>
      </c>
      <c r="AI1525" s="1738">
        <f t="shared" si="2528"/>
        <v>0</v>
      </c>
      <c r="AJ1525" s="1738">
        <f t="shared" si="2529"/>
        <v>0</v>
      </c>
    </row>
    <row r="1526" spans="1:36" ht="14.5">
      <c r="A1526" s="990">
        <v>1</v>
      </c>
      <c r="B1526" s="990">
        <v>1</v>
      </c>
      <c r="C1526" s="990" t="s">
        <v>863</v>
      </c>
      <c r="E1526" s="1611" t="s">
        <v>460</v>
      </c>
      <c r="F1526" s="1610"/>
      <c r="G1526" s="1731"/>
      <c r="H1526" s="1732"/>
      <c r="I1526" s="1327"/>
      <c r="J1526" s="1736" t="s">
        <v>131</v>
      </c>
      <c r="K1526" s="1736"/>
      <c r="L1526" s="1737"/>
      <c r="M1526" s="278"/>
      <c r="N1526" s="278"/>
      <c r="O1526" s="278"/>
      <c r="P1526" s="278"/>
      <c r="Q1526" s="1914" t="str">
        <f>CHOOSE(2, "6722000004444", "RF (2) PP Net Sales Others")</f>
        <v>RF (2) PP Net Sales Others</v>
      </c>
      <c r="R1526" s="1738">
        <f t="shared" si="2536"/>
        <v>0</v>
      </c>
      <c r="S1526" s="1738">
        <f t="shared" si="2536"/>
        <v>0</v>
      </c>
      <c r="T1526" s="1738">
        <f t="shared" si="2536"/>
        <v>0</v>
      </c>
      <c r="U1526" s="1738">
        <f t="shared" si="2536"/>
        <v>0</v>
      </c>
      <c r="V1526" s="1738">
        <f t="shared" si="2536"/>
        <v>0</v>
      </c>
      <c r="W1526" s="1738">
        <f t="shared" si="2536"/>
        <v>0</v>
      </c>
      <c r="X1526" s="1738">
        <f t="shared" si="2536"/>
        <v>0</v>
      </c>
      <c r="Y1526" s="1738">
        <f t="shared" si="2536"/>
        <v>0</v>
      </c>
      <c r="Z1526" s="1738">
        <f t="shared" si="2536"/>
        <v>0</v>
      </c>
      <c r="AA1526" s="1738">
        <f t="shared" si="2536"/>
        <v>0</v>
      </c>
      <c r="AB1526" s="1738">
        <f t="shared" si="2536"/>
        <v>0</v>
      </c>
      <c r="AC1526" s="1738">
        <f t="shared" si="2536"/>
        <v>0</v>
      </c>
      <c r="AD1526" s="1738">
        <f t="shared" si="2523"/>
        <v>0</v>
      </c>
      <c r="AE1526" s="1738">
        <f t="shared" si="2524"/>
        <v>0</v>
      </c>
      <c r="AF1526" s="1738">
        <f t="shared" si="2525"/>
        <v>0</v>
      </c>
      <c r="AG1526" s="1738">
        <f t="shared" si="2526"/>
        <v>0</v>
      </c>
      <c r="AH1526" s="1738">
        <f t="shared" si="2527"/>
        <v>0</v>
      </c>
      <c r="AI1526" s="1738">
        <f t="shared" si="2528"/>
        <v>0</v>
      </c>
      <c r="AJ1526" s="1738">
        <f t="shared" si="2529"/>
        <v>0</v>
      </c>
    </row>
    <row r="1527" spans="1:36" ht="14.5">
      <c r="A1527" s="990">
        <v>1</v>
      </c>
      <c r="B1527" s="990">
        <v>1</v>
      </c>
      <c r="C1527" s="990" t="s">
        <v>863</v>
      </c>
      <c r="E1527" s="1611" t="s">
        <v>460</v>
      </c>
      <c r="F1527" s="1610"/>
      <c r="G1527" s="1731"/>
      <c r="H1527" s="1732"/>
      <c r="I1527" s="1744" t="s">
        <v>1397</v>
      </c>
      <c r="J1527" s="1745"/>
      <c r="K1527" s="1745"/>
      <c r="L1527" s="1746"/>
      <c r="M1527" s="1747"/>
      <c r="N1527" s="1747"/>
      <c r="O1527" s="1747"/>
      <c r="P1527" s="1747"/>
      <c r="Q1527" s="1920" t="str">
        <f>CHOOSE(2, "6722000004445", "RF (2) PP Variable cost")</f>
        <v>RF (2) PP Variable cost</v>
      </c>
      <c r="R1527" s="2313">
        <f>SUM(R1528,R1531,R1534,R1535)</f>
        <v>355907.09743661212</v>
      </c>
      <c r="S1527" s="2313">
        <f t="shared" ref="S1527:AC1527" si="2537">SUM(S1528,S1531,S1534,S1535)</f>
        <v>345034.83368284482</v>
      </c>
      <c r="T1527" s="2313">
        <f t="shared" si="2537"/>
        <v>339117.93868480064</v>
      </c>
      <c r="U1527" s="2313">
        <f t="shared" si="2537"/>
        <v>356508.62291882501</v>
      </c>
      <c r="V1527" s="2313">
        <f t="shared" si="2537"/>
        <v>388703.95876933518</v>
      </c>
      <c r="W1527" s="2313">
        <f t="shared" si="2537"/>
        <v>327192.54868493759</v>
      </c>
      <c r="X1527" s="2313">
        <f t="shared" si="2537"/>
        <v>413511.33360762266</v>
      </c>
      <c r="Y1527" s="2313">
        <f t="shared" si="2537"/>
        <v>381739.32306405378</v>
      </c>
      <c r="Z1527" s="2313">
        <f t="shared" si="2537"/>
        <v>366593.16769496939</v>
      </c>
      <c r="AA1527" s="2313">
        <f t="shared" si="2537"/>
        <v>402408.58417372627</v>
      </c>
      <c r="AB1527" s="2313">
        <f t="shared" si="2537"/>
        <v>432501.52763699251</v>
      </c>
      <c r="AC1527" s="2313">
        <f t="shared" si="2537"/>
        <v>324177.06762207008</v>
      </c>
      <c r="AD1527" s="1748">
        <f t="shared" si="2523"/>
        <v>1040059.8698042575</v>
      </c>
      <c r="AE1527" s="1748">
        <f t="shared" si="2524"/>
        <v>1072405.1303730977</v>
      </c>
      <c r="AF1527" s="1748">
        <f t="shared" si="2525"/>
        <v>1161843.8243666459</v>
      </c>
      <c r="AG1527" s="1748">
        <f t="shared" si="2526"/>
        <v>1159087.1794327889</v>
      </c>
      <c r="AH1527" s="1748">
        <f t="shared" si="2527"/>
        <v>2112465.0001773555</v>
      </c>
      <c r="AI1527" s="1748">
        <f t="shared" si="2528"/>
        <v>2320931.0037994348</v>
      </c>
      <c r="AJ1527" s="1748">
        <f t="shared" si="2529"/>
        <v>4433396.0039767902</v>
      </c>
    </row>
    <row r="1528" spans="1:36" ht="14.5">
      <c r="A1528" s="990">
        <v>1</v>
      </c>
      <c r="B1528" s="990">
        <v>1</v>
      </c>
      <c r="C1528" s="990" t="s">
        <v>863</v>
      </c>
      <c r="E1528" s="1611" t="s">
        <v>460</v>
      </c>
      <c r="F1528" s="1610"/>
      <c r="G1528" s="1731"/>
      <c r="H1528" s="1732"/>
      <c r="I1528" s="1327"/>
      <c r="J1528" s="1736" t="s">
        <v>1395</v>
      </c>
      <c r="K1528" s="1736"/>
      <c r="L1528" s="1737"/>
      <c r="M1528" s="278"/>
      <c r="N1528" s="278"/>
      <c r="O1528" s="278"/>
      <c r="P1528" s="278"/>
      <c r="Q1528" s="1914" t="str">
        <f>CHOOSE(2, "6722000004446", "RF (2) PP Variable cost HW")</f>
        <v>RF (2) PP Variable cost HW</v>
      </c>
      <c r="R1528" s="1738">
        <f>SUM(R1529:R1530)</f>
        <v>83490</v>
      </c>
      <c r="S1528" s="1738">
        <f t="shared" ref="S1528:AC1528" si="2538">SUM(S1529:S1530)</f>
        <v>79987</v>
      </c>
      <c r="T1528" s="1738">
        <f t="shared" si="2538"/>
        <v>71944</v>
      </c>
      <c r="U1528" s="1738">
        <f t="shared" si="2538"/>
        <v>94933</v>
      </c>
      <c r="V1528" s="1738">
        <f t="shared" si="2538"/>
        <v>111158.2736905932</v>
      </c>
      <c r="W1528" s="1738">
        <f t="shared" si="2538"/>
        <v>80569</v>
      </c>
      <c r="X1528" s="1738">
        <f t="shared" si="2538"/>
        <v>115901</v>
      </c>
      <c r="Y1528" s="1738">
        <f t="shared" si="2538"/>
        <v>99511</v>
      </c>
      <c r="Z1528" s="1738">
        <f t="shared" si="2538"/>
        <v>85072</v>
      </c>
      <c r="AA1528" s="1738">
        <f t="shared" si="2538"/>
        <v>105929</v>
      </c>
      <c r="AB1528" s="1738">
        <f t="shared" si="2538"/>
        <v>107281.05097041666</v>
      </c>
      <c r="AC1528" s="1738">
        <f t="shared" si="2538"/>
        <v>78325</v>
      </c>
      <c r="AD1528" s="1738">
        <f t="shared" si="2523"/>
        <v>235421</v>
      </c>
      <c r="AE1528" s="1738">
        <f t="shared" si="2524"/>
        <v>286660.2736905932</v>
      </c>
      <c r="AF1528" s="1738">
        <f t="shared" si="2525"/>
        <v>300484</v>
      </c>
      <c r="AG1528" s="1738">
        <f t="shared" si="2526"/>
        <v>291535.05097041663</v>
      </c>
      <c r="AH1528" s="1738">
        <f t="shared" si="2527"/>
        <v>522081.2736905932</v>
      </c>
      <c r="AI1528" s="1738">
        <f t="shared" si="2528"/>
        <v>592019.05097041663</v>
      </c>
      <c r="AJ1528" s="1738">
        <f t="shared" si="2529"/>
        <v>1114100.3246610099</v>
      </c>
    </row>
    <row r="1529" spans="1:36" ht="14.5">
      <c r="A1529" s="990">
        <v>1</v>
      </c>
      <c r="B1529" s="990">
        <v>1</v>
      </c>
      <c r="C1529" s="990" t="s">
        <v>863</v>
      </c>
      <c r="E1529" s="1611" t="s">
        <v>460</v>
      </c>
      <c r="F1529" s="1610"/>
      <c r="G1529" s="1731"/>
      <c r="H1529" s="1732"/>
      <c r="I1529" s="1327"/>
      <c r="J1529" s="1321"/>
      <c r="K1529" s="1321" t="s">
        <v>212</v>
      </c>
      <c r="Q1529" s="1843" t="str">
        <f>CHOOSE(2, "6722000004447", "RF (2) PP Variable cost HW Direct")</f>
        <v>RF (2) PP Variable cost HW Direct</v>
      </c>
      <c r="R1529" s="19">
        <f t="shared" ref="R1529:AC1529" si="2539">R554-R585</f>
        <v>72674</v>
      </c>
      <c r="S1529" s="19">
        <f t="shared" si="2539"/>
        <v>71557</v>
      </c>
      <c r="T1529" s="19">
        <f t="shared" si="2539"/>
        <v>61895</v>
      </c>
      <c r="U1529" s="19">
        <f t="shared" si="2539"/>
        <v>76662</v>
      </c>
      <c r="V1529" s="19">
        <f t="shared" si="2539"/>
        <v>96396.614426995933</v>
      </c>
      <c r="W1529" s="19">
        <f t="shared" si="2539"/>
        <v>71370</v>
      </c>
      <c r="X1529" s="19">
        <f t="shared" si="2539"/>
        <v>106490</v>
      </c>
      <c r="Y1529" s="19">
        <f t="shared" si="2539"/>
        <v>85953</v>
      </c>
      <c r="Z1529" s="19">
        <f t="shared" si="2539"/>
        <v>74192</v>
      </c>
      <c r="AA1529" s="19">
        <f t="shared" si="2539"/>
        <v>95084</v>
      </c>
      <c r="AB1529" s="19">
        <f t="shared" si="2539"/>
        <v>97283.050970416662</v>
      </c>
      <c r="AC1529" s="19">
        <f t="shared" si="2539"/>
        <v>66426</v>
      </c>
      <c r="AD1529" s="19">
        <f t="shared" si="2523"/>
        <v>206126</v>
      </c>
      <c r="AE1529" s="19">
        <f t="shared" si="2524"/>
        <v>244428.61442699592</v>
      </c>
      <c r="AF1529" s="19">
        <f t="shared" si="2525"/>
        <v>266635</v>
      </c>
      <c r="AG1529" s="19">
        <f t="shared" si="2526"/>
        <v>258793.05097041666</v>
      </c>
      <c r="AH1529" s="19">
        <f t="shared" si="2527"/>
        <v>450554.61442699592</v>
      </c>
      <c r="AI1529" s="19">
        <f t="shared" si="2528"/>
        <v>525428.05097041663</v>
      </c>
      <c r="AJ1529" s="19">
        <f t="shared" si="2529"/>
        <v>975982.66539741261</v>
      </c>
    </row>
    <row r="1530" spans="1:36" ht="14.5">
      <c r="A1530" s="990">
        <v>1</v>
      </c>
      <c r="B1530" s="990">
        <v>1</v>
      </c>
      <c r="C1530" s="990" t="s">
        <v>863</v>
      </c>
      <c r="E1530" s="1611" t="s">
        <v>460</v>
      </c>
      <c r="F1530" s="1610"/>
      <c r="G1530" s="1731"/>
      <c r="H1530" s="1732"/>
      <c r="I1530" s="1327"/>
      <c r="J1530" s="1321"/>
      <c r="K1530" s="1321" t="s">
        <v>221</v>
      </c>
      <c r="Q1530" s="1843" t="str">
        <f>CHOOSE(2, "6722000004448", "RF (2) PP Variable cost HW Indirect")</f>
        <v>RF (2) PP Variable cost HW Indirect</v>
      </c>
      <c r="R1530" s="19">
        <f t="shared" ref="R1530:AC1530" si="2540">R569-R608</f>
        <v>10816</v>
      </c>
      <c r="S1530" s="19">
        <f t="shared" si="2540"/>
        <v>8430</v>
      </c>
      <c r="T1530" s="19">
        <f t="shared" si="2540"/>
        <v>10049</v>
      </c>
      <c r="U1530" s="19">
        <f t="shared" si="2540"/>
        <v>18271</v>
      </c>
      <c r="V1530" s="19">
        <f t="shared" si="2540"/>
        <v>14761.65926359727</v>
      </c>
      <c r="W1530" s="19">
        <f t="shared" si="2540"/>
        <v>9199</v>
      </c>
      <c r="X1530" s="19">
        <f t="shared" si="2540"/>
        <v>9411</v>
      </c>
      <c r="Y1530" s="19">
        <f t="shared" si="2540"/>
        <v>13558</v>
      </c>
      <c r="Z1530" s="19">
        <f t="shared" si="2540"/>
        <v>10880</v>
      </c>
      <c r="AA1530" s="19">
        <f t="shared" si="2540"/>
        <v>10845</v>
      </c>
      <c r="AB1530" s="19">
        <f t="shared" si="2540"/>
        <v>9998</v>
      </c>
      <c r="AC1530" s="19">
        <f t="shared" si="2540"/>
        <v>11899</v>
      </c>
      <c r="AD1530" s="19">
        <f t="shared" si="2523"/>
        <v>29295</v>
      </c>
      <c r="AE1530" s="19">
        <f t="shared" si="2524"/>
        <v>42231.65926359727</v>
      </c>
      <c r="AF1530" s="19">
        <f t="shared" si="2525"/>
        <v>33849</v>
      </c>
      <c r="AG1530" s="19">
        <f t="shared" si="2526"/>
        <v>32742</v>
      </c>
      <c r="AH1530" s="19">
        <f t="shared" si="2527"/>
        <v>71526.659263597277</v>
      </c>
      <c r="AI1530" s="19">
        <f t="shared" si="2528"/>
        <v>66591</v>
      </c>
      <c r="AJ1530" s="19">
        <f t="shared" si="2529"/>
        <v>138117.65926359728</v>
      </c>
    </row>
    <row r="1531" spans="1:36" ht="14.5">
      <c r="A1531" s="990">
        <v>1</v>
      </c>
      <c r="B1531" s="990">
        <v>1</v>
      </c>
      <c r="C1531" s="990" t="s">
        <v>863</v>
      </c>
      <c r="E1531" s="1611" t="s">
        <v>460</v>
      </c>
      <c r="F1531" s="1610"/>
      <c r="G1531" s="1731"/>
      <c r="H1531" s="1732"/>
      <c r="I1531" s="1327"/>
      <c r="J1531" s="1736" t="s">
        <v>1396</v>
      </c>
      <c r="K1531" s="1736"/>
      <c r="L1531" s="1737"/>
      <c r="M1531" s="278"/>
      <c r="N1531" s="278"/>
      <c r="O1531" s="278"/>
      <c r="P1531" s="278"/>
      <c r="Q1531" s="1914" t="str">
        <f>CHOOSE(2, "6722000004449", "RF (2) PP Variable cost NH")</f>
        <v>RF (2) PP Variable cost NH</v>
      </c>
      <c r="R1531" s="1738">
        <f>SUM(R1532:R1533)</f>
        <v>229547</v>
      </c>
      <c r="S1531" s="1738">
        <f t="shared" ref="S1531:AC1531" si="2541">SUM(S1532:S1533)</f>
        <v>229834</v>
      </c>
      <c r="T1531" s="1738">
        <f t="shared" si="2541"/>
        <v>235186</v>
      </c>
      <c r="U1531" s="1738">
        <f t="shared" si="2541"/>
        <v>212683</v>
      </c>
      <c r="V1531" s="1738">
        <f t="shared" si="2541"/>
        <v>224059.1219882021</v>
      </c>
      <c r="W1531" s="1738">
        <f t="shared" si="2541"/>
        <v>222006</v>
      </c>
      <c r="X1531" s="1738">
        <f t="shared" si="2541"/>
        <v>267939</v>
      </c>
      <c r="Y1531" s="1738">
        <f t="shared" si="2541"/>
        <v>240934</v>
      </c>
      <c r="Z1531" s="1738">
        <f t="shared" si="2541"/>
        <v>246174</v>
      </c>
      <c r="AA1531" s="1738">
        <f t="shared" si="2541"/>
        <v>238755</v>
      </c>
      <c r="AB1531" s="1738">
        <f t="shared" si="2541"/>
        <v>273844.8933</v>
      </c>
      <c r="AC1531" s="1738">
        <f t="shared" si="2541"/>
        <v>266582</v>
      </c>
      <c r="AD1531" s="1738">
        <f t="shared" si="2523"/>
        <v>694567</v>
      </c>
      <c r="AE1531" s="1738">
        <f t="shared" si="2524"/>
        <v>658748.1219882021</v>
      </c>
      <c r="AF1531" s="1738">
        <f t="shared" si="2525"/>
        <v>755047</v>
      </c>
      <c r="AG1531" s="1738">
        <f t="shared" si="2526"/>
        <v>779181.8933</v>
      </c>
      <c r="AH1531" s="1738">
        <f t="shared" si="2527"/>
        <v>1353315.121988202</v>
      </c>
      <c r="AI1531" s="1738">
        <f t="shared" si="2528"/>
        <v>1534228.8933000001</v>
      </c>
      <c r="AJ1531" s="1738">
        <f t="shared" si="2529"/>
        <v>2887544.0152882021</v>
      </c>
    </row>
    <row r="1532" spans="1:36" ht="14.5">
      <c r="A1532" s="990">
        <v>1</v>
      </c>
      <c r="B1532" s="990">
        <v>1</v>
      </c>
      <c r="C1532" s="990" t="s">
        <v>863</v>
      </c>
      <c r="E1532" s="1611" t="s">
        <v>460</v>
      </c>
      <c r="F1532" s="1610"/>
      <c r="G1532" s="1731"/>
      <c r="H1532" s="1732"/>
      <c r="I1532" s="1327"/>
      <c r="J1532" s="1321"/>
      <c r="K1532" s="1321" t="s">
        <v>212</v>
      </c>
      <c r="Q1532" s="1843" t="str">
        <f>CHOOSE(2, "6722000004450", "RF (2) PP Variable cost NH Direct")</f>
        <v>RF (2) PP Variable cost NH Direct</v>
      </c>
      <c r="R1532" s="19">
        <f t="shared" ref="R1532:AC1532" si="2542">R557-R588+(R593+R597+R600)</f>
        <v>193807</v>
      </c>
      <c r="S1532" s="19">
        <f t="shared" si="2542"/>
        <v>198425</v>
      </c>
      <c r="T1532" s="19">
        <f t="shared" si="2542"/>
        <v>198570</v>
      </c>
      <c r="U1532" s="19">
        <f t="shared" si="2542"/>
        <v>179929</v>
      </c>
      <c r="V1532" s="19">
        <f t="shared" si="2542"/>
        <v>198440.13835446001</v>
      </c>
      <c r="W1532" s="19">
        <f t="shared" si="2542"/>
        <v>198045</v>
      </c>
      <c r="X1532" s="19">
        <f t="shared" si="2542"/>
        <v>239825.00000000003</v>
      </c>
      <c r="Y1532" s="19">
        <f t="shared" si="2542"/>
        <v>212956</v>
      </c>
      <c r="Z1532" s="19">
        <f t="shared" si="2542"/>
        <v>212916</v>
      </c>
      <c r="AA1532" s="19">
        <f t="shared" si="2542"/>
        <v>204873</v>
      </c>
      <c r="AB1532" s="19">
        <f t="shared" si="2542"/>
        <v>219633</v>
      </c>
      <c r="AC1532" s="19">
        <f t="shared" si="2542"/>
        <v>233469</v>
      </c>
      <c r="AD1532" s="19">
        <f t="shared" si="2523"/>
        <v>590802</v>
      </c>
      <c r="AE1532" s="19">
        <f t="shared" si="2524"/>
        <v>576414.13835446001</v>
      </c>
      <c r="AF1532" s="19">
        <f t="shared" si="2525"/>
        <v>665697</v>
      </c>
      <c r="AG1532" s="19">
        <f t="shared" si="2526"/>
        <v>657975</v>
      </c>
      <c r="AH1532" s="19">
        <f t="shared" si="2527"/>
        <v>1167216.13835446</v>
      </c>
      <c r="AI1532" s="19">
        <f t="shared" si="2528"/>
        <v>1323672</v>
      </c>
      <c r="AJ1532" s="19">
        <f t="shared" si="2529"/>
        <v>2490888.1383544598</v>
      </c>
    </row>
    <row r="1533" spans="1:36" ht="14.5">
      <c r="A1533" s="990">
        <v>1</v>
      </c>
      <c r="B1533" s="990">
        <v>1</v>
      </c>
      <c r="C1533" s="990" t="s">
        <v>863</v>
      </c>
      <c r="E1533" s="1611" t="s">
        <v>460</v>
      </c>
      <c r="F1533" s="1610"/>
      <c r="G1533" s="1731"/>
      <c r="H1533" s="1732"/>
      <c r="I1533" s="1327"/>
      <c r="J1533" s="1321"/>
      <c r="K1533" s="1321" t="s">
        <v>221</v>
      </c>
      <c r="Q1533" s="1843" t="str">
        <f>CHOOSE(2, "6722000004451", "RF (2) PP Variable cost NH Indirect")</f>
        <v>RF (2) PP Variable cost NH Indirect</v>
      </c>
      <c r="R1533" s="19">
        <f t="shared" ref="R1533:AC1533" si="2543">R572-R611+(R616+R620+R623)</f>
        <v>35740</v>
      </c>
      <c r="S1533" s="19">
        <f t="shared" si="2543"/>
        <v>31409</v>
      </c>
      <c r="T1533" s="19">
        <f t="shared" si="2543"/>
        <v>36616</v>
      </c>
      <c r="U1533" s="19">
        <f t="shared" si="2543"/>
        <v>32754</v>
      </c>
      <c r="V1533" s="19">
        <f t="shared" si="2543"/>
        <v>25618.983633742086</v>
      </c>
      <c r="W1533" s="19">
        <f t="shared" si="2543"/>
        <v>23961</v>
      </c>
      <c r="X1533" s="19">
        <f t="shared" si="2543"/>
        <v>28114</v>
      </c>
      <c r="Y1533" s="19">
        <f t="shared" si="2543"/>
        <v>27978</v>
      </c>
      <c r="Z1533" s="19">
        <f t="shared" si="2543"/>
        <v>33258</v>
      </c>
      <c r="AA1533" s="19">
        <f t="shared" si="2543"/>
        <v>33882</v>
      </c>
      <c r="AB1533" s="19">
        <f t="shared" si="2543"/>
        <v>54211.893299999996</v>
      </c>
      <c r="AC1533" s="19">
        <f t="shared" si="2543"/>
        <v>33113</v>
      </c>
      <c r="AD1533" s="19">
        <f t="shared" si="2523"/>
        <v>103765</v>
      </c>
      <c r="AE1533" s="19">
        <f t="shared" si="2524"/>
        <v>82333.983633742086</v>
      </c>
      <c r="AF1533" s="19">
        <f t="shared" si="2525"/>
        <v>89350</v>
      </c>
      <c r="AG1533" s="19">
        <f t="shared" si="2526"/>
        <v>121206.8933</v>
      </c>
      <c r="AH1533" s="19">
        <f t="shared" si="2527"/>
        <v>186098.98363374209</v>
      </c>
      <c r="AI1533" s="19">
        <f t="shared" si="2528"/>
        <v>210556.8933</v>
      </c>
      <c r="AJ1533" s="19">
        <f t="shared" si="2529"/>
        <v>396655.87693374208</v>
      </c>
    </row>
    <row r="1534" spans="1:36" ht="14.5">
      <c r="A1534" s="990">
        <v>1</v>
      </c>
      <c r="B1534" s="990">
        <v>1</v>
      </c>
      <c r="C1534" s="990" t="s">
        <v>863</v>
      </c>
      <c r="E1534" s="1611" t="s">
        <v>460</v>
      </c>
      <c r="F1534" s="1610"/>
      <c r="G1534" s="1731"/>
      <c r="H1534" s="1732"/>
      <c r="I1534" s="1327"/>
      <c r="J1534" s="1736" t="s">
        <v>778</v>
      </c>
      <c r="K1534" s="1736"/>
      <c r="L1534" s="1737"/>
      <c r="M1534" s="278"/>
      <c r="N1534" s="278"/>
      <c r="O1534" s="278"/>
      <c r="P1534" s="278"/>
      <c r="Q1534" s="1914" t="str">
        <f>CHOOSE(2, "6722000004452", "RF (2) PP Variable cost Office Solution")</f>
        <v>RF (2) PP Variable cost Office Solution</v>
      </c>
      <c r="R1534" s="1738">
        <f t="shared" ref="R1534:AC1534" si="2544">R174</f>
        <v>0</v>
      </c>
      <c r="S1534" s="1738">
        <f t="shared" si="2544"/>
        <v>0</v>
      </c>
      <c r="T1534" s="1738">
        <f t="shared" si="2544"/>
        <v>0</v>
      </c>
      <c r="U1534" s="1738">
        <f t="shared" si="2544"/>
        <v>0</v>
      </c>
      <c r="V1534" s="1738">
        <f t="shared" si="2544"/>
        <v>0</v>
      </c>
      <c r="W1534" s="1738">
        <f t="shared" si="2544"/>
        <v>0</v>
      </c>
      <c r="X1534" s="1738">
        <f t="shared" si="2544"/>
        <v>0</v>
      </c>
      <c r="Y1534" s="1738">
        <f t="shared" si="2544"/>
        <v>0</v>
      </c>
      <c r="Z1534" s="1738">
        <f t="shared" si="2544"/>
        <v>0</v>
      </c>
      <c r="AA1534" s="1738">
        <f t="shared" si="2544"/>
        <v>0</v>
      </c>
      <c r="AB1534" s="1738">
        <f t="shared" si="2544"/>
        <v>0</v>
      </c>
      <c r="AC1534" s="1738">
        <f t="shared" si="2544"/>
        <v>0</v>
      </c>
      <c r="AD1534" s="1738">
        <f t="shared" si="2523"/>
        <v>0</v>
      </c>
      <c r="AE1534" s="1738">
        <f t="shared" si="2524"/>
        <v>0</v>
      </c>
      <c r="AF1534" s="1738">
        <f t="shared" si="2525"/>
        <v>0</v>
      </c>
      <c r="AG1534" s="1738">
        <f t="shared" si="2526"/>
        <v>0</v>
      </c>
      <c r="AH1534" s="1738">
        <f t="shared" si="2527"/>
        <v>0</v>
      </c>
      <c r="AI1534" s="1738">
        <f t="shared" si="2528"/>
        <v>0</v>
      </c>
      <c r="AJ1534" s="1738">
        <f t="shared" si="2529"/>
        <v>0</v>
      </c>
    </row>
    <row r="1535" spans="1:36" ht="14.5">
      <c r="A1535" s="990">
        <v>1</v>
      </c>
      <c r="B1535" s="990">
        <v>1</v>
      </c>
      <c r="C1535" s="990" t="s">
        <v>863</v>
      </c>
      <c r="E1535" s="1611" t="s">
        <v>460</v>
      </c>
      <c r="F1535" s="1610"/>
      <c r="G1535" s="1731"/>
      <c r="H1535" s="1732"/>
      <c r="I1535" s="1327"/>
      <c r="J1535" s="1736" t="s">
        <v>1398</v>
      </c>
      <c r="K1535" s="1736"/>
      <c r="L1535" s="1737"/>
      <c r="M1535" s="278"/>
      <c r="N1535" s="278"/>
      <c r="O1535" s="278"/>
      <c r="P1535" s="278"/>
      <c r="Q1535" s="1914" t="str">
        <f>CHOOSE(2, "6722000004453", "RF (2) PP Variable cost Others (inc. SG&amp;A variable)")</f>
        <v>RF (2) PP Variable cost Others (inc. SG&amp;A variable)</v>
      </c>
      <c r="R1535" s="1738">
        <f t="shared" ref="R1535:AC1535" si="2545">R175+R187</f>
        <v>42870.097436612115</v>
      </c>
      <c r="S1535" s="1738">
        <f t="shared" si="2545"/>
        <v>35213.833682844801</v>
      </c>
      <c r="T1535" s="1738">
        <f t="shared" si="2545"/>
        <v>31987.938684800614</v>
      </c>
      <c r="U1535" s="1738">
        <f t="shared" si="2545"/>
        <v>48892.622918824985</v>
      </c>
      <c r="V1535" s="1738">
        <f t="shared" si="2545"/>
        <v>53486.563090539872</v>
      </c>
      <c r="W1535" s="1738">
        <f t="shared" si="2545"/>
        <v>24617.548684937588</v>
      </c>
      <c r="X1535" s="1738">
        <f t="shared" si="2545"/>
        <v>29671.333607622662</v>
      </c>
      <c r="Y1535" s="1738">
        <f t="shared" si="2545"/>
        <v>41294.323064053802</v>
      </c>
      <c r="Z1535" s="1738">
        <f t="shared" si="2545"/>
        <v>35347.167694969408</v>
      </c>
      <c r="AA1535" s="1738">
        <f t="shared" si="2545"/>
        <v>57724.584173726296</v>
      </c>
      <c r="AB1535" s="1738">
        <f t="shared" si="2545"/>
        <v>51375.583366575869</v>
      </c>
      <c r="AC1535" s="1738">
        <f t="shared" si="2545"/>
        <v>-20729.93237792993</v>
      </c>
      <c r="AD1535" s="1738">
        <f t="shared" si="2523"/>
        <v>110071.86980425753</v>
      </c>
      <c r="AE1535" s="1738">
        <f t="shared" si="2524"/>
        <v>126996.73469430245</v>
      </c>
      <c r="AF1535" s="1738">
        <f t="shared" si="2525"/>
        <v>106312.82436664587</v>
      </c>
      <c r="AG1535" s="1738">
        <f t="shared" si="2526"/>
        <v>88370.235162372235</v>
      </c>
      <c r="AH1535" s="1738">
        <f t="shared" si="2527"/>
        <v>237068.60449855996</v>
      </c>
      <c r="AI1535" s="1738">
        <f t="shared" si="2528"/>
        <v>194683.05952901812</v>
      </c>
      <c r="AJ1535" s="1738">
        <f t="shared" si="2529"/>
        <v>431751.66402757808</v>
      </c>
    </row>
    <row r="1536" spans="1:36" ht="14.5">
      <c r="A1536" s="990">
        <v>1</v>
      </c>
      <c r="B1536" s="990">
        <v>1</v>
      </c>
      <c r="C1536" s="990" t="s">
        <v>863</v>
      </c>
      <c r="E1536" s="1611" t="s">
        <v>460</v>
      </c>
      <c r="F1536" s="1610"/>
      <c r="G1536" s="1731"/>
      <c r="H1536" s="1732"/>
      <c r="I1536" s="1744" t="s">
        <v>865</v>
      </c>
      <c r="J1536" s="1745"/>
      <c r="K1536" s="1745"/>
      <c r="L1536" s="1746"/>
      <c r="M1536" s="1747"/>
      <c r="N1536" s="1747"/>
      <c r="O1536" s="1747"/>
      <c r="P1536" s="1747"/>
      <c r="Q1536" s="1920" t="str">
        <f>CHOOSE(2, "6722000004454", "RF (2) PP Marginal Profit")</f>
        <v>RF (2) PP Marginal Profit</v>
      </c>
      <c r="R1536" s="2313">
        <f t="shared" ref="R1536:AC1544" si="2546">R1518-R1527</f>
        <v>113481.90256338788</v>
      </c>
      <c r="S1536" s="2313">
        <f t="shared" si="2546"/>
        <v>120878.16631715518</v>
      </c>
      <c r="T1536" s="2313">
        <f t="shared" si="2546"/>
        <v>129119.06131519936</v>
      </c>
      <c r="U1536" s="2313">
        <f t="shared" si="2546"/>
        <v>134163.37708117499</v>
      </c>
      <c r="V1536" s="2313">
        <f t="shared" si="2546"/>
        <v>155419.24330066482</v>
      </c>
      <c r="W1536" s="2313">
        <f t="shared" si="2546"/>
        <v>93181.451315062412</v>
      </c>
      <c r="X1536" s="2313">
        <f t="shared" si="2546"/>
        <v>217576.66639237734</v>
      </c>
      <c r="Y1536" s="2313">
        <f t="shared" si="2546"/>
        <v>142840.67693594622</v>
      </c>
      <c r="Z1536" s="2313">
        <f t="shared" si="2546"/>
        <v>148159.83230503061</v>
      </c>
      <c r="AA1536" s="2313">
        <f t="shared" si="2546"/>
        <v>162697.41582627373</v>
      </c>
      <c r="AB1536" s="2313">
        <f t="shared" si="2546"/>
        <v>165225.47236300749</v>
      </c>
      <c r="AC1536" s="2313">
        <f t="shared" si="2546"/>
        <v>131619.93237792992</v>
      </c>
      <c r="AD1536" s="1748">
        <f t="shared" si="2523"/>
        <v>363479.13019574241</v>
      </c>
      <c r="AE1536" s="1748">
        <f t="shared" si="2524"/>
        <v>382764.07169690222</v>
      </c>
      <c r="AF1536" s="1748">
        <f t="shared" si="2525"/>
        <v>508577.17563335417</v>
      </c>
      <c r="AG1536" s="1748">
        <f t="shared" si="2526"/>
        <v>459542.82056721114</v>
      </c>
      <c r="AH1536" s="1748">
        <f t="shared" si="2527"/>
        <v>746243.20189264463</v>
      </c>
      <c r="AI1536" s="1748">
        <f t="shared" si="2528"/>
        <v>968119.99620056525</v>
      </c>
      <c r="AJ1536" s="1748">
        <f t="shared" si="2529"/>
        <v>1714363.1980932099</v>
      </c>
    </row>
    <row r="1537" spans="1:36" ht="14.5">
      <c r="A1537" s="990">
        <v>1</v>
      </c>
      <c r="B1537" s="990">
        <v>1</v>
      </c>
      <c r="C1537" s="990" t="s">
        <v>863</v>
      </c>
      <c r="E1537" s="1611" t="s">
        <v>460</v>
      </c>
      <c r="F1537" s="1610"/>
      <c r="G1537" s="1731"/>
      <c r="H1537" s="1732"/>
      <c r="I1537" s="1327"/>
      <c r="J1537" s="1736" t="s">
        <v>1395</v>
      </c>
      <c r="K1537" s="1736"/>
      <c r="L1537" s="1737"/>
      <c r="M1537" s="278"/>
      <c r="N1537" s="278"/>
      <c r="O1537" s="278"/>
      <c r="P1537" s="278"/>
      <c r="Q1537" s="1914" t="str">
        <f>CHOOSE(2, "6722000004455", "RF (2) PP Marginal Profit HW")</f>
        <v>RF (2) PP Marginal Profit HW</v>
      </c>
      <c r="R1537" s="1738">
        <f t="shared" si="2546"/>
        <v>40964</v>
      </c>
      <c r="S1537" s="1738">
        <f t="shared" si="2546"/>
        <v>36900</v>
      </c>
      <c r="T1537" s="1738">
        <f t="shared" si="2546"/>
        <v>35683</v>
      </c>
      <c r="U1537" s="1738">
        <f t="shared" si="2546"/>
        <v>51676</v>
      </c>
      <c r="V1537" s="1738">
        <f t="shared" si="2546"/>
        <v>56922.834309406811</v>
      </c>
      <c r="W1537" s="1738">
        <f t="shared" si="2546"/>
        <v>45199</v>
      </c>
      <c r="X1537" s="1738">
        <f t="shared" si="2546"/>
        <v>69134</v>
      </c>
      <c r="Y1537" s="1738">
        <f t="shared" si="2546"/>
        <v>51457</v>
      </c>
      <c r="Z1537" s="1738">
        <f t="shared" si="2546"/>
        <v>41917</v>
      </c>
      <c r="AA1537" s="1738">
        <f t="shared" si="2546"/>
        <v>60085</v>
      </c>
      <c r="AB1537" s="1738">
        <f t="shared" si="2546"/>
        <v>58670.949029583338</v>
      </c>
      <c r="AC1537" s="1738">
        <f t="shared" si="2546"/>
        <v>33554</v>
      </c>
      <c r="AD1537" s="1738">
        <f t="shared" si="2523"/>
        <v>113547</v>
      </c>
      <c r="AE1537" s="1738">
        <f t="shared" si="2524"/>
        <v>153797.83430940681</v>
      </c>
      <c r="AF1537" s="1738">
        <f t="shared" si="2525"/>
        <v>162508</v>
      </c>
      <c r="AG1537" s="1738">
        <f t="shared" si="2526"/>
        <v>152309.94902958334</v>
      </c>
      <c r="AH1537" s="1738">
        <f t="shared" si="2527"/>
        <v>267344.83430940681</v>
      </c>
      <c r="AI1537" s="1738">
        <f t="shared" si="2528"/>
        <v>314817.94902958337</v>
      </c>
      <c r="AJ1537" s="1738">
        <f t="shared" si="2529"/>
        <v>582162.78333899018</v>
      </c>
    </row>
    <row r="1538" spans="1:36" ht="14.5">
      <c r="A1538" s="990">
        <v>1</v>
      </c>
      <c r="B1538" s="990">
        <v>1</v>
      </c>
      <c r="C1538" s="990" t="s">
        <v>863</v>
      </c>
      <c r="E1538" s="1611" t="s">
        <v>460</v>
      </c>
      <c r="F1538" s="1610"/>
      <c r="G1538" s="1731"/>
      <c r="H1538" s="1732"/>
      <c r="I1538" s="1327"/>
      <c r="J1538" s="1321"/>
      <c r="K1538" s="1321" t="s">
        <v>212</v>
      </c>
      <c r="Q1538" s="1843" t="str">
        <f>CHOOSE(2, "6722000004456", "RF (2) PP Marginal Profit HW Direct")</f>
        <v>RF (2) PP Marginal Profit HW Direct</v>
      </c>
      <c r="R1538" s="19">
        <f t="shared" si="2546"/>
        <v>36876</v>
      </c>
      <c r="S1538" s="19">
        <f t="shared" si="2546"/>
        <v>33128</v>
      </c>
      <c r="T1538" s="19">
        <f t="shared" si="2546"/>
        <v>33993</v>
      </c>
      <c r="U1538" s="19">
        <f t="shared" si="2546"/>
        <v>45586</v>
      </c>
      <c r="V1538" s="19">
        <f t="shared" si="2546"/>
        <v>49772.13257300407</v>
      </c>
      <c r="W1538" s="19">
        <f t="shared" si="2546"/>
        <v>43448</v>
      </c>
      <c r="X1538" s="19">
        <f t="shared" si="2546"/>
        <v>64807</v>
      </c>
      <c r="Y1538" s="19">
        <f t="shared" si="2546"/>
        <v>46291</v>
      </c>
      <c r="Z1538" s="19">
        <f t="shared" si="2546"/>
        <v>43405</v>
      </c>
      <c r="AA1538" s="19">
        <f t="shared" si="2546"/>
        <v>55552</v>
      </c>
      <c r="AB1538" s="19">
        <f t="shared" si="2546"/>
        <v>53956.949029583338</v>
      </c>
      <c r="AC1538" s="19">
        <f t="shared" si="2546"/>
        <v>31460</v>
      </c>
      <c r="AD1538" s="19">
        <f t="shared" si="2523"/>
        <v>103997</v>
      </c>
      <c r="AE1538" s="19">
        <f t="shared" si="2524"/>
        <v>138806.13257300406</v>
      </c>
      <c r="AF1538" s="19">
        <f t="shared" si="2525"/>
        <v>154503</v>
      </c>
      <c r="AG1538" s="19">
        <f t="shared" si="2526"/>
        <v>140968.94902958334</v>
      </c>
      <c r="AH1538" s="19">
        <f t="shared" si="2527"/>
        <v>242803.13257300406</v>
      </c>
      <c r="AI1538" s="19">
        <f t="shared" si="2528"/>
        <v>295471.94902958337</v>
      </c>
      <c r="AJ1538" s="19">
        <f t="shared" si="2529"/>
        <v>538275.08160258736</v>
      </c>
    </row>
    <row r="1539" spans="1:36" ht="14.5">
      <c r="A1539" s="990">
        <v>1</v>
      </c>
      <c r="B1539" s="990">
        <v>1</v>
      </c>
      <c r="C1539" s="990" t="s">
        <v>863</v>
      </c>
      <c r="E1539" s="1611" t="s">
        <v>460</v>
      </c>
      <c r="F1539" s="1610"/>
      <c r="G1539" s="1731"/>
      <c r="H1539" s="1732"/>
      <c r="I1539" s="1327"/>
      <c r="J1539" s="1321"/>
      <c r="K1539" s="1321" t="s">
        <v>221</v>
      </c>
      <c r="Q1539" s="1843" t="str">
        <f>CHOOSE(2, "6722000004457", "RF (2) PP Marginal Profit HW Indirect")</f>
        <v>RF (2) PP Marginal Profit HW Indirect</v>
      </c>
      <c r="R1539" s="19">
        <f t="shared" si="2546"/>
        <v>4088</v>
      </c>
      <c r="S1539" s="19">
        <f t="shared" si="2546"/>
        <v>3772</v>
      </c>
      <c r="T1539" s="19">
        <f t="shared" si="2546"/>
        <v>1690</v>
      </c>
      <c r="U1539" s="19">
        <f t="shared" si="2546"/>
        <v>6090</v>
      </c>
      <c r="V1539" s="19">
        <f t="shared" si="2546"/>
        <v>7150.7017364027306</v>
      </c>
      <c r="W1539" s="19">
        <f t="shared" si="2546"/>
        <v>1751</v>
      </c>
      <c r="X1539" s="19">
        <f t="shared" si="2546"/>
        <v>4327</v>
      </c>
      <c r="Y1539" s="19">
        <f t="shared" si="2546"/>
        <v>5166</v>
      </c>
      <c r="Z1539" s="19">
        <f t="shared" si="2546"/>
        <v>-1488</v>
      </c>
      <c r="AA1539" s="19">
        <f t="shared" si="2546"/>
        <v>4533</v>
      </c>
      <c r="AB1539" s="19">
        <f t="shared" si="2546"/>
        <v>4714</v>
      </c>
      <c r="AC1539" s="19">
        <f t="shared" si="2546"/>
        <v>2094</v>
      </c>
      <c r="AD1539" s="19">
        <f t="shared" si="2523"/>
        <v>9550</v>
      </c>
      <c r="AE1539" s="19">
        <f t="shared" si="2524"/>
        <v>14991.701736402731</v>
      </c>
      <c r="AF1539" s="19">
        <f t="shared" si="2525"/>
        <v>8005</v>
      </c>
      <c r="AG1539" s="19">
        <f t="shared" si="2526"/>
        <v>11341</v>
      </c>
      <c r="AH1539" s="19">
        <f t="shared" si="2527"/>
        <v>24541.701736402731</v>
      </c>
      <c r="AI1539" s="19">
        <f t="shared" si="2528"/>
        <v>19346</v>
      </c>
      <c r="AJ1539" s="19">
        <f t="shared" si="2529"/>
        <v>43887.701736402727</v>
      </c>
    </row>
    <row r="1540" spans="1:36" ht="14.5">
      <c r="A1540" s="990">
        <v>1</v>
      </c>
      <c r="B1540" s="990">
        <v>1</v>
      </c>
      <c r="C1540" s="990" t="s">
        <v>863</v>
      </c>
      <c r="E1540" s="1611" t="s">
        <v>460</v>
      </c>
      <c r="F1540" s="1610"/>
      <c r="G1540" s="1731"/>
      <c r="H1540" s="1732"/>
      <c r="I1540" s="1327"/>
      <c r="J1540" s="1736" t="s">
        <v>1396</v>
      </c>
      <c r="K1540" s="1736"/>
      <c r="L1540" s="1737"/>
      <c r="M1540" s="278"/>
      <c r="N1540" s="278"/>
      <c r="O1540" s="278"/>
      <c r="P1540" s="278"/>
      <c r="Q1540" s="1914" t="str">
        <f>CHOOSE(2, "6722000004458", "RF (2) PP Marginal Profit NH")</f>
        <v>RF (2) PP Marginal Profit NH</v>
      </c>
      <c r="R1540" s="1738">
        <f t="shared" si="2546"/>
        <v>115388</v>
      </c>
      <c r="S1540" s="1738">
        <f t="shared" si="2546"/>
        <v>119192</v>
      </c>
      <c r="T1540" s="1738">
        <f t="shared" si="2546"/>
        <v>125424</v>
      </c>
      <c r="U1540" s="1738">
        <f t="shared" si="2546"/>
        <v>131380</v>
      </c>
      <c r="V1540" s="1738">
        <f t="shared" si="2546"/>
        <v>151982.9720817979</v>
      </c>
      <c r="W1540" s="1738">
        <f t="shared" si="2546"/>
        <v>72600</v>
      </c>
      <c r="X1540" s="1738">
        <f t="shared" si="2546"/>
        <v>178114</v>
      </c>
      <c r="Y1540" s="1738">
        <f t="shared" si="2546"/>
        <v>132678</v>
      </c>
      <c r="Z1540" s="1738">
        <f t="shared" si="2546"/>
        <v>141590</v>
      </c>
      <c r="AA1540" s="1738">
        <f t="shared" si="2546"/>
        <v>160337</v>
      </c>
      <c r="AB1540" s="1738">
        <f t="shared" si="2546"/>
        <v>157930.1067</v>
      </c>
      <c r="AC1540" s="1738">
        <f t="shared" si="2546"/>
        <v>77336</v>
      </c>
      <c r="AD1540" s="1738">
        <f t="shared" si="2523"/>
        <v>360004</v>
      </c>
      <c r="AE1540" s="1738">
        <f t="shared" si="2524"/>
        <v>355962.9720817979</v>
      </c>
      <c r="AF1540" s="1738">
        <f t="shared" si="2525"/>
        <v>452382</v>
      </c>
      <c r="AG1540" s="1738">
        <f t="shared" si="2526"/>
        <v>395603.1067</v>
      </c>
      <c r="AH1540" s="1738">
        <f t="shared" si="2527"/>
        <v>715966.9720817979</v>
      </c>
      <c r="AI1540" s="1738">
        <f t="shared" si="2528"/>
        <v>847985.1067</v>
      </c>
      <c r="AJ1540" s="1738">
        <f t="shared" si="2529"/>
        <v>1563952.078781798</v>
      </c>
    </row>
    <row r="1541" spans="1:36" ht="14.5">
      <c r="A1541" s="990">
        <v>1</v>
      </c>
      <c r="B1541" s="990">
        <v>1</v>
      </c>
      <c r="C1541" s="990" t="s">
        <v>863</v>
      </c>
      <c r="E1541" s="1611" t="s">
        <v>460</v>
      </c>
      <c r="F1541" s="1610"/>
      <c r="G1541" s="1731"/>
      <c r="H1541" s="1732"/>
      <c r="I1541" s="1327"/>
      <c r="J1541" s="1321"/>
      <c r="K1541" s="1321" t="s">
        <v>212</v>
      </c>
      <c r="Q1541" s="1843" t="str">
        <f>CHOOSE(2, "6722000004459", "RF (2) PP Marginal Profit NH Direct")</f>
        <v>RF (2) PP Marginal Profit NH Direct</v>
      </c>
      <c r="R1541" s="19">
        <f t="shared" si="2546"/>
        <v>100042</v>
      </c>
      <c r="S1541" s="19">
        <f t="shared" si="2546"/>
        <v>107961</v>
      </c>
      <c r="T1541" s="19">
        <f t="shared" si="2546"/>
        <v>111963</v>
      </c>
      <c r="U1541" s="19">
        <f t="shared" si="2546"/>
        <v>116316</v>
      </c>
      <c r="V1541" s="19">
        <f t="shared" si="2546"/>
        <v>141146.10871553997</v>
      </c>
      <c r="W1541" s="19">
        <f t="shared" si="2546"/>
        <v>67232</v>
      </c>
      <c r="X1541" s="19">
        <f t="shared" si="2546"/>
        <v>161974.99999999997</v>
      </c>
      <c r="Y1541" s="19">
        <f t="shared" si="2546"/>
        <v>120002</v>
      </c>
      <c r="Z1541" s="19">
        <f t="shared" si="2546"/>
        <v>128348</v>
      </c>
      <c r="AA1541" s="19">
        <f t="shared" si="2546"/>
        <v>146200</v>
      </c>
      <c r="AB1541" s="19">
        <f t="shared" si="2546"/>
        <v>138441</v>
      </c>
      <c r="AC1541" s="19">
        <f t="shared" si="2546"/>
        <v>63249</v>
      </c>
      <c r="AD1541" s="19">
        <f t="shared" si="2523"/>
        <v>319966</v>
      </c>
      <c r="AE1541" s="19">
        <f t="shared" si="2524"/>
        <v>324694.10871553997</v>
      </c>
      <c r="AF1541" s="19">
        <f t="shared" si="2525"/>
        <v>410325</v>
      </c>
      <c r="AG1541" s="19">
        <f t="shared" si="2526"/>
        <v>347890</v>
      </c>
      <c r="AH1541" s="19">
        <f t="shared" si="2527"/>
        <v>644660.10871554003</v>
      </c>
      <c r="AI1541" s="19">
        <f t="shared" si="2528"/>
        <v>758215</v>
      </c>
      <c r="AJ1541" s="19">
        <f t="shared" si="2529"/>
        <v>1402875.10871554</v>
      </c>
    </row>
    <row r="1542" spans="1:36" ht="14.5">
      <c r="A1542" s="990">
        <v>1</v>
      </c>
      <c r="B1542" s="990">
        <v>1</v>
      </c>
      <c r="C1542" s="990" t="s">
        <v>863</v>
      </c>
      <c r="E1542" s="1611" t="s">
        <v>460</v>
      </c>
      <c r="F1542" s="1610"/>
      <c r="G1542" s="1731"/>
      <c r="H1542" s="1732"/>
      <c r="I1542" s="1327"/>
      <c r="J1542" s="1321"/>
      <c r="K1542" s="1321" t="s">
        <v>221</v>
      </c>
      <c r="Q1542" s="1843" t="str">
        <f>CHOOSE(2, "6722000004460", "RF (2) PP Marginal Profit NH Indirect")</f>
        <v>RF (2) PP Marginal Profit NH Indirect</v>
      </c>
      <c r="R1542" s="19">
        <f t="shared" si="2546"/>
        <v>15346</v>
      </c>
      <c r="S1542" s="19">
        <f t="shared" si="2546"/>
        <v>11231</v>
      </c>
      <c r="T1542" s="19">
        <f t="shared" si="2546"/>
        <v>13461</v>
      </c>
      <c r="U1542" s="19">
        <f t="shared" si="2546"/>
        <v>15064</v>
      </c>
      <c r="V1542" s="19">
        <f t="shared" si="2546"/>
        <v>10836.863366257916</v>
      </c>
      <c r="W1542" s="19">
        <f t="shared" si="2546"/>
        <v>5368</v>
      </c>
      <c r="X1542" s="19">
        <f t="shared" si="2546"/>
        <v>16139</v>
      </c>
      <c r="Y1542" s="19">
        <f t="shared" si="2546"/>
        <v>12676</v>
      </c>
      <c r="Z1542" s="19">
        <f t="shared" si="2546"/>
        <v>13242</v>
      </c>
      <c r="AA1542" s="19">
        <f t="shared" si="2546"/>
        <v>14137</v>
      </c>
      <c r="AB1542" s="19">
        <f t="shared" si="2546"/>
        <v>19489.106700000004</v>
      </c>
      <c r="AC1542" s="19">
        <f t="shared" si="2546"/>
        <v>14087</v>
      </c>
      <c r="AD1542" s="19">
        <f t="shared" si="2523"/>
        <v>40038</v>
      </c>
      <c r="AE1542" s="19">
        <f t="shared" si="2524"/>
        <v>31268.863366257916</v>
      </c>
      <c r="AF1542" s="19">
        <f t="shared" si="2525"/>
        <v>42057</v>
      </c>
      <c r="AG1542" s="19">
        <f t="shared" si="2526"/>
        <v>47713.106700000004</v>
      </c>
      <c r="AH1542" s="19">
        <f t="shared" si="2527"/>
        <v>71306.863366257923</v>
      </c>
      <c r="AI1542" s="19">
        <f t="shared" si="2528"/>
        <v>89770.106700000004</v>
      </c>
      <c r="AJ1542" s="19">
        <f t="shared" si="2529"/>
        <v>161076.97006625793</v>
      </c>
    </row>
    <row r="1543" spans="1:36" ht="14.5">
      <c r="A1543" s="990">
        <v>1</v>
      </c>
      <c r="B1543" s="990">
        <v>1</v>
      </c>
      <c r="C1543" s="990" t="s">
        <v>863</v>
      </c>
      <c r="E1543" s="1611" t="s">
        <v>460</v>
      </c>
      <c r="F1543" s="1610"/>
      <c r="G1543" s="1731"/>
      <c r="H1543" s="1732"/>
      <c r="I1543" s="1327"/>
      <c r="J1543" s="1736" t="s">
        <v>778</v>
      </c>
      <c r="K1543" s="1736"/>
      <c r="L1543" s="1737"/>
      <c r="M1543" s="278"/>
      <c r="N1543" s="278"/>
      <c r="O1543" s="278"/>
      <c r="P1543" s="278"/>
      <c r="Q1543" s="1914" t="str">
        <f>CHOOSE(2, "6722000004461", "RF (2) PP Marginal Profit Office Solution")</f>
        <v>RF (2) PP Marginal Profit Office Solution</v>
      </c>
      <c r="R1543" s="1738">
        <f t="shared" si="2546"/>
        <v>0</v>
      </c>
      <c r="S1543" s="1738">
        <f t="shared" si="2546"/>
        <v>0</v>
      </c>
      <c r="T1543" s="1738">
        <f t="shared" si="2546"/>
        <v>0</v>
      </c>
      <c r="U1543" s="1738">
        <f t="shared" si="2546"/>
        <v>0</v>
      </c>
      <c r="V1543" s="1738">
        <f t="shared" si="2546"/>
        <v>0</v>
      </c>
      <c r="W1543" s="1738">
        <f t="shared" si="2546"/>
        <v>0</v>
      </c>
      <c r="X1543" s="1738">
        <f t="shared" si="2546"/>
        <v>0</v>
      </c>
      <c r="Y1543" s="1738">
        <f t="shared" si="2546"/>
        <v>0</v>
      </c>
      <c r="Z1543" s="1738">
        <f t="shared" si="2546"/>
        <v>0</v>
      </c>
      <c r="AA1543" s="1738">
        <f t="shared" si="2546"/>
        <v>0</v>
      </c>
      <c r="AB1543" s="1738">
        <f t="shared" si="2546"/>
        <v>0</v>
      </c>
      <c r="AC1543" s="1738">
        <f t="shared" si="2546"/>
        <v>0</v>
      </c>
      <c r="AD1543" s="1738">
        <f t="shared" si="2523"/>
        <v>0</v>
      </c>
      <c r="AE1543" s="1738">
        <f t="shared" si="2524"/>
        <v>0</v>
      </c>
      <c r="AF1543" s="1738">
        <f t="shared" si="2525"/>
        <v>0</v>
      </c>
      <c r="AG1543" s="1738">
        <f t="shared" si="2526"/>
        <v>0</v>
      </c>
      <c r="AH1543" s="1738">
        <f t="shared" si="2527"/>
        <v>0</v>
      </c>
      <c r="AI1543" s="1738">
        <f t="shared" si="2528"/>
        <v>0</v>
      </c>
      <c r="AJ1543" s="1738">
        <f t="shared" si="2529"/>
        <v>0</v>
      </c>
    </row>
    <row r="1544" spans="1:36" ht="14.5">
      <c r="A1544" s="990">
        <v>1</v>
      </c>
      <c r="B1544" s="990">
        <v>1</v>
      </c>
      <c r="C1544" s="990" t="s">
        <v>863</v>
      </c>
      <c r="E1544" s="1611" t="s">
        <v>460</v>
      </c>
      <c r="F1544" s="1610"/>
      <c r="G1544" s="1731"/>
      <c r="H1544" s="1732"/>
      <c r="I1544" s="1327"/>
      <c r="J1544" s="1736" t="s">
        <v>131</v>
      </c>
      <c r="K1544" s="1736"/>
      <c r="L1544" s="1737"/>
      <c r="M1544" s="278"/>
      <c r="N1544" s="278"/>
      <c r="O1544" s="278"/>
      <c r="P1544" s="278"/>
      <c r="Q1544" s="1914" t="str">
        <f>CHOOSE(2, "6722000004462", "RF (2) PP Marginal Profit Others")</f>
        <v>RF (2) PP Marginal Profit Others</v>
      </c>
      <c r="R1544" s="1738">
        <f t="shared" si="2546"/>
        <v>-42870.097436612115</v>
      </c>
      <c r="S1544" s="1738">
        <f t="shared" si="2546"/>
        <v>-35213.833682844801</v>
      </c>
      <c r="T1544" s="1738">
        <f t="shared" si="2546"/>
        <v>-31987.938684800614</v>
      </c>
      <c r="U1544" s="1738">
        <f t="shared" si="2546"/>
        <v>-48892.622918824985</v>
      </c>
      <c r="V1544" s="1738">
        <f t="shared" si="2546"/>
        <v>-53486.563090539872</v>
      </c>
      <c r="W1544" s="1738">
        <f t="shared" si="2546"/>
        <v>-24617.548684937588</v>
      </c>
      <c r="X1544" s="1738">
        <f t="shared" si="2546"/>
        <v>-29671.333607622662</v>
      </c>
      <c r="Y1544" s="1738">
        <f t="shared" si="2546"/>
        <v>-41294.323064053802</v>
      </c>
      <c r="Z1544" s="1738">
        <f t="shared" si="2546"/>
        <v>-35347.167694969408</v>
      </c>
      <c r="AA1544" s="1738">
        <f t="shared" si="2546"/>
        <v>-57724.584173726296</v>
      </c>
      <c r="AB1544" s="1738">
        <f t="shared" si="2546"/>
        <v>-51375.583366575869</v>
      </c>
      <c r="AC1544" s="1738">
        <f t="shared" si="2546"/>
        <v>20729.93237792993</v>
      </c>
      <c r="AD1544" s="1738">
        <f t="shared" si="2523"/>
        <v>-110071.86980425753</v>
      </c>
      <c r="AE1544" s="1738">
        <f t="shared" si="2524"/>
        <v>-126996.73469430245</v>
      </c>
      <c r="AF1544" s="1738">
        <f t="shared" si="2525"/>
        <v>-106312.82436664587</v>
      </c>
      <c r="AG1544" s="1738">
        <f t="shared" si="2526"/>
        <v>-88370.235162372235</v>
      </c>
      <c r="AH1544" s="1738">
        <f t="shared" si="2527"/>
        <v>-237068.60449855996</v>
      </c>
      <c r="AI1544" s="1738">
        <f t="shared" si="2528"/>
        <v>-194683.05952901812</v>
      </c>
      <c r="AJ1544" s="1738">
        <f t="shared" si="2529"/>
        <v>-431751.66402757808</v>
      </c>
    </row>
    <row r="1545" spans="1:36" ht="14.5">
      <c r="A1545" s="990">
        <v>1</v>
      </c>
      <c r="B1545" s="990">
        <v>1</v>
      </c>
      <c r="C1545" s="990" t="s">
        <v>863</v>
      </c>
      <c r="E1545" s="1611" t="s">
        <v>460</v>
      </c>
      <c r="F1545" s="1610"/>
      <c r="G1545" s="1731"/>
      <c r="H1545" s="1732"/>
      <c r="I1545" s="1744" t="s">
        <v>1399</v>
      </c>
      <c r="J1545" s="1745"/>
      <c r="K1545" s="1745"/>
      <c r="L1545" s="1746"/>
      <c r="M1545" s="1747"/>
      <c r="N1545" s="1747"/>
      <c r="O1545" s="1747"/>
      <c r="P1545" s="1747"/>
      <c r="Q1545" s="1920" t="str">
        <f>CHOOSE(2, "6722000004463", "RF (2) PP Marginal Profit %")</f>
        <v>RF (2) PP Marginal Profit %</v>
      </c>
      <c r="R1545" s="2314">
        <f t="shared" ref="R1545:AC1553" si="2547">IFERROR(R1536/R1518,"")</f>
        <v>0.24176515121442529</v>
      </c>
      <c r="S1545" s="2314">
        <f t="shared" si="2547"/>
        <v>0.2594436435925917</v>
      </c>
      <c r="T1545" s="2314">
        <f t="shared" si="2547"/>
        <v>0.27575578460309491</v>
      </c>
      <c r="U1545" s="2314">
        <f t="shared" si="2547"/>
        <v>0.2734278236401812</v>
      </c>
      <c r="V1545" s="2314">
        <f t="shared" si="2547"/>
        <v>0.28563244998449921</v>
      </c>
      <c r="W1545" s="2314">
        <f t="shared" si="2547"/>
        <v>0.22166321255611054</v>
      </c>
      <c r="X1545" s="2314">
        <f t="shared" si="2547"/>
        <v>0.34476438530344</v>
      </c>
      <c r="Y1545" s="2314">
        <f t="shared" si="2547"/>
        <v>0.27229531613089752</v>
      </c>
      <c r="Z1545" s="2314">
        <f t="shared" si="2547"/>
        <v>0.28782703996874348</v>
      </c>
      <c r="AA1545" s="2314">
        <f t="shared" si="2547"/>
        <v>0.28790601378550879</v>
      </c>
      <c r="AB1545" s="2314">
        <f t="shared" si="2547"/>
        <v>0.27642296962159563</v>
      </c>
      <c r="AC1545" s="2314">
        <f t="shared" si="2547"/>
        <v>0.28876875534049129</v>
      </c>
      <c r="AD1545" s="1749">
        <f t="shared" ref="AD1545:AJ1553" si="2548">IFERROR(AD1536/AD1518,"")</f>
        <v>0.25897330262696117</v>
      </c>
      <c r="AE1545" s="1749">
        <f t="shared" si="2548"/>
        <v>0.26303750186054964</v>
      </c>
      <c r="AF1545" s="1749">
        <f t="shared" si="2548"/>
        <v>0.30446047770792761</v>
      </c>
      <c r="AG1545" s="1749">
        <f t="shared" si="2548"/>
        <v>0.2839085032201375</v>
      </c>
      <c r="AH1545" s="1749">
        <f t="shared" si="2548"/>
        <v>0.26104210333614586</v>
      </c>
      <c r="AI1545" s="1749">
        <f t="shared" si="2548"/>
        <v>0.29434630116728661</v>
      </c>
      <c r="AJ1545" s="1749">
        <f t="shared" si="2548"/>
        <v>0.27885984823803284</v>
      </c>
    </row>
    <row r="1546" spans="1:36" ht="14.5">
      <c r="A1546" s="990">
        <v>1</v>
      </c>
      <c r="B1546" s="990">
        <v>1</v>
      </c>
      <c r="C1546" s="990" t="s">
        <v>863</v>
      </c>
      <c r="E1546" s="1611" t="s">
        <v>460</v>
      </c>
      <c r="F1546" s="1610"/>
      <c r="G1546" s="1731"/>
      <c r="H1546" s="1732"/>
      <c r="I1546" s="1327"/>
      <c r="J1546" s="1736" t="s">
        <v>1395</v>
      </c>
      <c r="K1546" s="1736"/>
      <c r="L1546" s="1737"/>
      <c r="M1546" s="278"/>
      <c r="N1546" s="278"/>
      <c r="O1546" s="278"/>
      <c r="P1546" s="278"/>
      <c r="Q1546" s="1914" t="str">
        <f>CHOOSE(2, "6722000004464", "RF (2) PP Marginal Profit % HW")</f>
        <v>RF (2) PP Marginal Profit % HW</v>
      </c>
      <c r="R1546" s="1740">
        <f t="shared" si="2547"/>
        <v>0.32914972600318188</v>
      </c>
      <c r="S1546" s="1740">
        <f t="shared" si="2547"/>
        <v>0.31568951209287605</v>
      </c>
      <c r="T1546" s="1740">
        <f t="shared" si="2547"/>
        <v>0.33154320012636235</v>
      </c>
      <c r="U1546" s="1740">
        <f t="shared" si="2547"/>
        <v>0.35247495037821691</v>
      </c>
      <c r="V1546" s="1740">
        <f t="shared" si="2547"/>
        <v>0.33866289309210651</v>
      </c>
      <c r="W1546" s="1740">
        <f t="shared" si="2547"/>
        <v>0.35938394504166404</v>
      </c>
      <c r="X1546" s="1740">
        <f t="shared" si="2547"/>
        <v>0.37362661118166834</v>
      </c>
      <c r="Y1546" s="1740">
        <f t="shared" si="2547"/>
        <v>0.34084706692809075</v>
      </c>
      <c r="Z1546" s="1740">
        <f t="shared" si="2547"/>
        <v>0.33008370803770404</v>
      </c>
      <c r="AA1546" s="1740">
        <f t="shared" si="2547"/>
        <v>0.36192730733552592</v>
      </c>
      <c r="AB1546" s="1740">
        <f t="shared" si="2547"/>
        <v>0.35354168090522164</v>
      </c>
      <c r="AC1546" s="1740">
        <f t="shared" si="2547"/>
        <v>0.29991329918930271</v>
      </c>
      <c r="AD1546" s="1740">
        <f t="shared" si="2548"/>
        <v>0.32537940441530455</v>
      </c>
      <c r="AE1546" s="1740">
        <f t="shared" si="2548"/>
        <v>0.34917698531594932</v>
      </c>
      <c r="AF1546" s="1740">
        <f t="shared" si="2548"/>
        <v>0.35099526557694299</v>
      </c>
      <c r="AG1546" s="1740">
        <f t="shared" si="2548"/>
        <v>0.34316022266688445</v>
      </c>
      <c r="AH1546" s="1740">
        <f t="shared" si="2548"/>
        <v>0.33865719869174482</v>
      </c>
      <c r="AI1546" s="1740">
        <f t="shared" si="2548"/>
        <v>0.3471604588581888</v>
      </c>
      <c r="AJ1546" s="1740">
        <f t="shared" si="2548"/>
        <v>0.34320311547976562</v>
      </c>
    </row>
    <row r="1547" spans="1:36" ht="14.5">
      <c r="A1547" s="990">
        <v>1</v>
      </c>
      <c r="B1547" s="990">
        <v>1</v>
      </c>
      <c r="C1547" s="990" t="s">
        <v>863</v>
      </c>
      <c r="E1547" s="1611" t="s">
        <v>460</v>
      </c>
      <c r="F1547" s="1610"/>
      <c r="G1547" s="1731"/>
      <c r="H1547" s="1732"/>
      <c r="I1547" s="1327"/>
      <c r="J1547" s="1321"/>
      <c r="K1547" s="1321" t="s">
        <v>212</v>
      </c>
      <c r="Q1547" s="1843" t="str">
        <f>CHOOSE(2, "6722000004465", "RF (2) PP Marginal Profit % HW Direct")</f>
        <v>RF (2) PP Marginal Profit % HW Direct</v>
      </c>
      <c r="R1547" s="1741">
        <f t="shared" si="2547"/>
        <v>0.33661341853035143</v>
      </c>
      <c r="S1547" s="1741">
        <f t="shared" si="2547"/>
        <v>0.31645412427759467</v>
      </c>
      <c r="T1547" s="1741">
        <f t="shared" si="2547"/>
        <v>0.35450734189888206</v>
      </c>
      <c r="U1547" s="1741">
        <f t="shared" si="2547"/>
        <v>0.37289771611805511</v>
      </c>
      <c r="V1547" s="1741">
        <f t="shared" si="2547"/>
        <v>0.34051145401830712</v>
      </c>
      <c r="W1547" s="1741">
        <f t="shared" si="2547"/>
        <v>0.37840756675782544</v>
      </c>
      <c r="X1547" s="1741">
        <f t="shared" si="2547"/>
        <v>0.37833120253127611</v>
      </c>
      <c r="Y1547" s="1741">
        <f t="shared" si="2547"/>
        <v>0.35004234596654671</v>
      </c>
      <c r="Z1547" s="1741">
        <f t="shared" si="2547"/>
        <v>0.36909955185931614</v>
      </c>
      <c r="AA1547" s="1741">
        <f t="shared" si="2547"/>
        <v>0.36878302663373963</v>
      </c>
      <c r="AB1547" s="1741">
        <f t="shared" si="2547"/>
        <v>0.35676374655900117</v>
      </c>
      <c r="AC1547" s="1741">
        <f t="shared" si="2547"/>
        <v>0.32139427497292772</v>
      </c>
      <c r="AD1547" s="1741">
        <f t="shared" si="2548"/>
        <v>0.33534113883846089</v>
      </c>
      <c r="AE1547" s="1741">
        <f t="shared" si="2548"/>
        <v>0.36219610476240055</v>
      </c>
      <c r="AF1547" s="1741">
        <f t="shared" si="2548"/>
        <v>0.36687024205842267</v>
      </c>
      <c r="AG1547" s="1741">
        <f t="shared" si="2548"/>
        <v>0.35263218872625046</v>
      </c>
      <c r="AH1547" s="1741">
        <f t="shared" si="2548"/>
        <v>0.3501844951232716</v>
      </c>
      <c r="AI1547" s="1741">
        <f t="shared" si="2548"/>
        <v>0.35993659280007717</v>
      </c>
      <c r="AJ1547" s="1741">
        <f t="shared" si="2548"/>
        <v>0.35547124171495975</v>
      </c>
    </row>
    <row r="1548" spans="1:36" ht="14.5">
      <c r="A1548" s="990">
        <v>1</v>
      </c>
      <c r="B1548" s="990">
        <v>1</v>
      </c>
      <c r="C1548" s="990" t="s">
        <v>863</v>
      </c>
      <c r="E1548" s="1611" t="s">
        <v>460</v>
      </c>
      <c r="F1548" s="1610"/>
      <c r="G1548" s="1731"/>
      <c r="H1548" s="1732"/>
      <c r="I1548" s="1327"/>
      <c r="J1548" s="1321"/>
      <c r="K1548" s="1321" t="s">
        <v>221</v>
      </c>
      <c r="Q1548" s="1843" t="str">
        <f>CHOOSE(2, "6722000004466", "RF (2) PP Marginal Profit % HW Indirect")</f>
        <v>RF (2) PP Marginal Profit % HW Indirect</v>
      </c>
      <c r="R1548" s="1741">
        <f t="shared" si="2547"/>
        <v>0.27428878153515834</v>
      </c>
      <c r="S1548" s="1741">
        <f t="shared" si="2547"/>
        <v>0.30912965087690542</v>
      </c>
      <c r="T1548" s="1741">
        <f t="shared" si="2547"/>
        <v>0.14396456256921372</v>
      </c>
      <c r="U1548" s="1741">
        <f t="shared" si="2547"/>
        <v>0.2499897376954969</v>
      </c>
      <c r="V1548" s="1741">
        <f t="shared" si="2547"/>
        <v>0.32633186977901335</v>
      </c>
      <c r="W1548" s="1741">
        <f t="shared" si="2547"/>
        <v>0.15990867579908677</v>
      </c>
      <c r="X1548" s="1741">
        <f t="shared" si="2547"/>
        <v>0.31496578832435579</v>
      </c>
      <c r="Y1548" s="1741">
        <f t="shared" si="2547"/>
        <v>0.2759025849177526</v>
      </c>
      <c r="Z1548" s="1741">
        <f t="shared" si="2547"/>
        <v>-0.15843270868824533</v>
      </c>
      <c r="AA1548" s="1741">
        <f t="shared" si="2547"/>
        <v>0.2947717518532969</v>
      </c>
      <c r="AB1548" s="1741">
        <f t="shared" si="2547"/>
        <v>0.32041870581837956</v>
      </c>
      <c r="AC1548" s="1741">
        <f t="shared" si="2547"/>
        <v>0.14964625169727722</v>
      </c>
      <c r="AD1548" s="1741">
        <f t="shared" si="2548"/>
        <v>0.24584888660059209</v>
      </c>
      <c r="AE1548" s="1741">
        <f t="shared" si="2548"/>
        <v>0.26198569036171659</v>
      </c>
      <c r="AF1548" s="1741">
        <f t="shared" si="2548"/>
        <v>0.19126009461461271</v>
      </c>
      <c r="AG1548" s="1741">
        <f t="shared" si="2548"/>
        <v>0.25726470521516231</v>
      </c>
      <c r="AH1548" s="1741">
        <f t="shared" si="2548"/>
        <v>0.25546081437157786</v>
      </c>
      <c r="AI1548" s="1741">
        <f t="shared" si="2548"/>
        <v>0.22511840068887673</v>
      </c>
      <c r="AJ1548" s="1741">
        <f t="shared" si="2548"/>
        <v>0.24113411547477839</v>
      </c>
    </row>
    <row r="1549" spans="1:36" ht="14.5">
      <c r="A1549" s="990">
        <v>1</v>
      </c>
      <c r="B1549" s="990">
        <v>1</v>
      </c>
      <c r="C1549" s="990" t="s">
        <v>863</v>
      </c>
      <c r="E1549" s="1611" t="s">
        <v>460</v>
      </c>
      <c r="F1549" s="1610"/>
      <c r="G1549" s="1731"/>
      <c r="H1549" s="1732"/>
      <c r="I1549" s="1327"/>
      <c r="J1549" s="1736" t="s">
        <v>1396</v>
      </c>
      <c r="K1549" s="1736"/>
      <c r="L1549" s="1737"/>
      <c r="M1549" s="278"/>
      <c r="N1549" s="278"/>
      <c r="O1549" s="278"/>
      <c r="P1549" s="278"/>
      <c r="Q1549" s="1914" t="str">
        <f>CHOOSE(2, "6722000004467", "RF (2) PP Marginal Profit % NH")</f>
        <v>RF (2) PP Marginal Profit % NH</v>
      </c>
      <c r="R1549" s="1740">
        <f t="shared" si="2547"/>
        <v>0.33452099670952501</v>
      </c>
      <c r="S1549" s="1740">
        <f t="shared" si="2547"/>
        <v>0.34149891412101102</v>
      </c>
      <c r="T1549" s="1740">
        <f t="shared" si="2547"/>
        <v>0.34781065416932422</v>
      </c>
      <c r="U1549" s="1740">
        <f t="shared" si="2547"/>
        <v>0.38184867306278208</v>
      </c>
      <c r="V1549" s="1740">
        <f t="shared" si="2547"/>
        <v>0.40416478494959762</v>
      </c>
      <c r="W1549" s="1740">
        <f t="shared" si="2547"/>
        <v>0.2464308262560844</v>
      </c>
      <c r="X1549" s="1740">
        <f t="shared" si="2547"/>
        <v>0.39931129260424209</v>
      </c>
      <c r="Y1549" s="1740">
        <f t="shared" si="2547"/>
        <v>0.35512242647452436</v>
      </c>
      <c r="Z1549" s="1740">
        <f t="shared" si="2547"/>
        <v>0.36514477878297108</v>
      </c>
      <c r="AA1549" s="1740">
        <f t="shared" si="2547"/>
        <v>0.40175448267567376</v>
      </c>
      <c r="AB1549" s="1740">
        <f t="shared" si="2547"/>
        <v>0.36576945561924612</v>
      </c>
      <c r="AC1549" s="1740">
        <f t="shared" si="2547"/>
        <v>0.22486755563826261</v>
      </c>
      <c r="AD1549" s="1740">
        <f t="shared" si="2548"/>
        <v>0.34137483393721241</v>
      </c>
      <c r="AE1549" s="1740">
        <f t="shared" si="2548"/>
        <v>0.35080228664302132</v>
      </c>
      <c r="AF1549" s="1740">
        <f t="shared" si="2548"/>
        <v>0.37466550828247458</v>
      </c>
      <c r="AG1549" s="1740">
        <f t="shared" si="2548"/>
        <v>0.33674511225458276</v>
      </c>
      <c r="AH1549" s="1740">
        <f t="shared" si="2548"/>
        <v>0.3459977613171083</v>
      </c>
      <c r="AI1549" s="1740">
        <f t="shared" si="2548"/>
        <v>0.35596512601302821</v>
      </c>
      <c r="AJ1549" s="1740">
        <f t="shared" si="2548"/>
        <v>0.35133178727601161</v>
      </c>
    </row>
    <row r="1550" spans="1:36" ht="14.5">
      <c r="A1550" s="990">
        <v>1</v>
      </c>
      <c r="B1550" s="990">
        <v>1</v>
      </c>
      <c r="C1550" s="990" t="s">
        <v>863</v>
      </c>
      <c r="E1550" s="1611" t="s">
        <v>460</v>
      </c>
      <c r="F1550" s="1610"/>
      <c r="G1550" s="1731"/>
      <c r="H1550" s="1732"/>
      <c r="I1550" s="1327"/>
      <c r="J1550" s="1321"/>
      <c r="K1550" s="1321" t="s">
        <v>212</v>
      </c>
      <c r="Q1550" s="1843" t="str">
        <f>CHOOSE(2, "6722000004468", "RF (2) PP Marginal Profit % NH Direct")</f>
        <v>RF (2) PP Marginal Profit % NH Direct</v>
      </c>
      <c r="R1550" s="1741">
        <f t="shared" si="2547"/>
        <v>0.34045377047395092</v>
      </c>
      <c r="S1550" s="1741">
        <f t="shared" si="2547"/>
        <v>0.35236923358116884</v>
      </c>
      <c r="T1550" s="1741">
        <f t="shared" si="2547"/>
        <v>0.36055105254514014</v>
      </c>
      <c r="U1550" s="1741">
        <f t="shared" si="2547"/>
        <v>0.39263447484345726</v>
      </c>
      <c r="V1550" s="1741">
        <f t="shared" si="2547"/>
        <v>0.41564141638057883</v>
      </c>
      <c r="W1550" s="1741">
        <f t="shared" si="2547"/>
        <v>0.25344074307233572</v>
      </c>
      <c r="X1550" s="1741">
        <f t="shared" si="2547"/>
        <v>0.40312344449975107</v>
      </c>
      <c r="Y1550" s="1741">
        <f t="shared" si="2547"/>
        <v>0.36041182371350139</v>
      </c>
      <c r="Z1550" s="1741">
        <f t="shared" si="2547"/>
        <v>0.3760959257349149</v>
      </c>
      <c r="AA1550" s="1741">
        <f t="shared" si="2547"/>
        <v>0.41643760699341731</v>
      </c>
      <c r="AB1550" s="1741">
        <f t="shared" si="2547"/>
        <v>0.38662678664186734</v>
      </c>
      <c r="AC1550" s="1741">
        <f t="shared" si="2547"/>
        <v>0.21316199219460902</v>
      </c>
      <c r="AD1550" s="1741">
        <f t="shared" si="2548"/>
        <v>0.35131449501958789</v>
      </c>
      <c r="AE1550" s="1741">
        <f t="shared" si="2548"/>
        <v>0.36032752976271121</v>
      </c>
      <c r="AF1550" s="1741">
        <f t="shared" si="2548"/>
        <v>0.38133513998784413</v>
      </c>
      <c r="AG1550" s="1741">
        <f t="shared" si="2548"/>
        <v>0.34586152217245852</v>
      </c>
      <c r="AH1550" s="1741">
        <f t="shared" si="2548"/>
        <v>0.35579698655359338</v>
      </c>
      <c r="AI1550" s="1741">
        <f t="shared" si="2548"/>
        <v>0.3641960394584336</v>
      </c>
      <c r="AJ1550" s="1741">
        <f t="shared" si="2548"/>
        <v>0.36028772673099296</v>
      </c>
    </row>
    <row r="1551" spans="1:36" ht="14.5">
      <c r="A1551" s="990">
        <v>1</v>
      </c>
      <c r="B1551" s="990">
        <v>1</v>
      </c>
      <c r="C1551" s="990" t="s">
        <v>863</v>
      </c>
      <c r="E1551" s="1611" t="s">
        <v>460</v>
      </c>
      <c r="F1551" s="1610"/>
      <c r="G1551" s="1731"/>
      <c r="H1551" s="1732"/>
      <c r="I1551" s="1327"/>
      <c r="J1551" s="1321"/>
      <c r="K1551" s="1321" t="s">
        <v>221</v>
      </c>
      <c r="Q1551" s="1843" t="str">
        <f>CHOOSE(2, "6722000004469", "RF (2) PP Marginal Profit % NH Indirect")</f>
        <v>RF (2) PP Marginal Profit % NH Indirect</v>
      </c>
      <c r="R1551" s="1741">
        <f t="shared" si="2547"/>
        <v>0.30039541165877148</v>
      </c>
      <c r="S1551" s="1741">
        <f t="shared" si="2547"/>
        <v>0.26339118198874295</v>
      </c>
      <c r="T1551" s="1741">
        <f t="shared" si="2547"/>
        <v>0.26880603870040137</v>
      </c>
      <c r="U1551" s="1741">
        <f t="shared" si="2547"/>
        <v>0.31502781379396882</v>
      </c>
      <c r="V1551" s="1741">
        <f t="shared" si="2547"/>
        <v>0.29725995301269276</v>
      </c>
      <c r="W1551" s="1741">
        <f t="shared" si="2547"/>
        <v>0.18302703808517168</v>
      </c>
      <c r="X1551" s="1741">
        <f t="shared" si="2547"/>
        <v>0.3646984385239419</v>
      </c>
      <c r="Y1551" s="1741">
        <f t="shared" si="2547"/>
        <v>0.31180203669995571</v>
      </c>
      <c r="Z1551" s="1741">
        <f t="shared" si="2547"/>
        <v>0.28477419354838712</v>
      </c>
      <c r="AA1551" s="1741">
        <f t="shared" si="2547"/>
        <v>0.29440429829859016</v>
      </c>
      <c r="AB1551" s="1741">
        <f t="shared" si="2547"/>
        <v>0.26443476614971306</v>
      </c>
      <c r="AC1551" s="1741">
        <f t="shared" si="2547"/>
        <v>0.29845338983050845</v>
      </c>
      <c r="AD1551" s="1741">
        <f t="shared" si="2548"/>
        <v>0.27842256420241579</v>
      </c>
      <c r="AE1551" s="1741">
        <f t="shared" si="2548"/>
        <v>0.27524718078815325</v>
      </c>
      <c r="AF1551" s="1741">
        <f t="shared" si="2548"/>
        <v>0.32005144322600776</v>
      </c>
      <c r="AG1551" s="1741">
        <f t="shared" si="2548"/>
        <v>0.28245978392138293</v>
      </c>
      <c r="AH1551" s="1741">
        <f t="shared" si="2548"/>
        <v>0.27702114849884479</v>
      </c>
      <c r="AI1551" s="1741">
        <f t="shared" si="2548"/>
        <v>0.29890787941144153</v>
      </c>
      <c r="AJ1551" s="1741">
        <f t="shared" si="2548"/>
        <v>0.28880667676769967</v>
      </c>
    </row>
    <row r="1552" spans="1:36" ht="14.5">
      <c r="A1552" s="990">
        <v>1</v>
      </c>
      <c r="B1552" s="990">
        <v>1</v>
      </c>
      <c r="C1552" s="990" t="s">
        <v>863</v>
      </c>
      <c r="E1552" s="1611" t="s">
        <v>460</v>
      </c>
      <c r="F1552" s="1610"/>
      <c r="G1552" s="1731"/>
      <c r="H1552" s="1732"/>
      <c r="I1552" s="1327"/>
      <c r="J1552" s="1736" t="s">
        <v>778</v>
      </c>
      <c r="K1552" s="1736"/>
      <c r="L1552" s="1737"/>
      <c r="M1552" s="278"/>
      <c r="N1552" s="278"/>
      <c r="O1552" s="278"/>
      <c r="P1552" s="278"/>
      <c r="Q1552" s="1914" t="str">
        <f>CHOOSE(2, "6722000004470", "RF (2) PP Marginal Profit % Office Solution")</f>
        <v>RF (2) PP Marginal Profit % Office Solution</v>
      </c>
      <c r="R1552" s="1742" t="str">
        <f t="shared" si="2547"/>
        <v/>
      </c>
      <c r="S1552" s="1742" t="str">
        <f t="shared" si="2547"/>
        <v/>
      </c>
      <c r="T1552" s="1742" t="str">
        <f t="shared" si="2547"/>
        <v/>
      </c>
      <c r="U1552" s="1742" t="str">
        <f t="shared" si="2547"/>
        <v/>
      </c>
      <c r="V1552" s="1742" t="str">
        <f t="shared" si="2547"/>
        <v/>
      </c>
      <c r="W1552" s="1742" t="str">
        <f t="shared" si="2547"/>
        <v/>
      </c>
      <c r="X1552" s="1742" t="str">
        <f t="shared" si="2547"/>
        <v/>
      </c>
      <c r="Y1552" s="1742" t="str">
        <f t="shared" si="2547"/>
        <v/>
      </c>
      <c r="Z1552" s="1742" t="str">
        <f t="shared" si="2547"/>
        <v/>
      </c>
      <c r="AA1552" s="1742" t="str">
        <f t="shared" si="2547"/>
        <v/>
      </c>
      <c r="AB1552" s="1742" t="str">
        <f t="shared" si="2547"/>
        <v/>
      </c>
      <c r="AC1552" s="1742" t="str">
        <f t="shared" si="2547"/>
        <v/>
      </c>
      <c r="AD1552" s="1742" t="str">
        <f t="shared" si="2548"/>
        <v/>
      </c>
      <c r="AE1552" s="1742" t="str">
        <f t="shared" si="2548"/>
        <v/>
      </c>
      <c r="AF1552" s="1742" t="str">
        <f t="shared" si="2548"/>
        <v/>
      </c>
      <c r="AG1552" s="1742" t="str">
        <f t="shared" si="2548"/>
        <v/>
      </c>
      <c r="AH1552" s="1742" t="str">
        <f t="shared" si="2548"/>
        <v/>
      </c>
      <c r="AI1552" s="1742" t="str">
        <f t="shared" si="2548"/>
        <v/>
      </c>
      <c r="AJ1552" s="1742" t="str">
        <f t="shared" si="2548"/>
        <v/>
      </c>
    </row>
    <row r="1553" spans="1:36" ht="14.5">
      <c r="A1553" s="990">
        <v>1</v>
      </c>
      <c r="B1553" s="990">
        <v>1</v>
      </c>
      <c r="C1553" s="990" t="s">
        <v>863</v>
      </c>
      <c r="E1553" s="1611" t="s">
        <v>460</v>
      </c>
      <c r="F1553" s="1610"/>
      <c r="G1553" s="1731"/>
      <c r="H1553" s="1732"/>
      <c r="I1553" s="1327"/>
      <c r="J1553" s="1736" t="s">
        <v>131</v>
      </c>
      <c r="K1553" s="1736"/>
      <c r="L1553" s="1737"/>
      <c r="M1553" s="278"/>
      <c r="N1553" s="278"/>
      <c r="O1553" s="278"/>
      <c r="P1553" s="278"/>
      <c r="Q1553" s="1914" t="str">
        <f>CHOOSE(2, "6722000004471", "RF (2) PP Marginal Profit % Others")</f>
        <v>RF (2) PP Marginal Profit % Others</v>
      </c>
      <c r="R1553" s="1742" t="str">
        <f t="shared" si="2547"/>
        <v/>
      </c>
      <c r="S1553" s="1742" t="str">
        <f t="shared" si="2547"/>
        <v/>
      </c>
      <c r="T1553" s="1742" t="str">
        <f t="shared" si="2547"/>
        <v/>
      </c>
      <c r="U1553" s="1742" t="str">
        <f t="shared" si="2547"/>
        <v/>
      </c>
      <c r="V1553" s="1742" t="str">
        <f t="shared" si="2547"/>
        <v/>
      </c>
      <c r="W1553" s="1742" t="str">
        <f t="shared" si="2547"/>
        <v/>
      </c>
      <c r="X1553" s="1742" t="str">
        <f t="shared" si="2547"/>
        <v/>
      </c>
      <c r="Y1553" s="1742" t="str">
        <f t="shared" si="2547"/>
        <v/>
      </c>
      <c r="Z1553" s="1742" t="str">
        <f t="shared" si="2547"/>
        <v/>
      </c>
      <c r="AA1553" s="1742" t="str">
        <f t="shared" si="2547"/>
        <v/>
      </c>
      <c r="AB1553" s="1742" t="str">
        <f t="shared" si="2547"/>
        <v/>
      </c>
      <c r="AC1553" s="1742" t="str">
        <f t="shared" si="2547"/>
        <v/>
      </c>
      <c r="AD1553" s="1742" t="str">
        <f t="shared" si="2548"/>
        <v/>
      </c>
      <c r="AE1553" s="1742" t="str">
        <f t="shared" si="2548"/>
        <v/>
      </c>
      <c r="AF1553" s="1742" t="str">
        <f t="shared" si="2548"/>
        <v/>
      </c>
      <c r="AG1553" s="1742" t="str">
        <f t="shared" si="2548"/>
        <v/>
      </c>
      <c r="AH1553" s="1742" t="str">
        <f t="shared" si="2548"/>
        <v/>
      </c>
      <c r="AI1553" s="1742" t="str">
        <f t="shared" si="2548"/>
        <v/>
      </c>
      <c r="AJ1553" s="1742" t="str">
        <f t="shared" si="2548"/>
        <v/>
      </c>
    </row>
    <row r="1554" spans="1:36" ht="14.5">
      <c r="A1554" s="990">
        <v>1</v>
      </c>
      <c r="B1554" s="990">
        <v>1</v>
      </c>
      <c r="C1554" s="990" t="s">
        <v>863</v>
      </c>
      <c r="E1554" s="1611" t="s">
        <v>460</v>
      </c>
      <c r="F1554" s="1610"/>
      <c r="G1554" s="1731"/>
      <c r="H1554" s="1732"/>
      <c r="I1554" s="1744" t="s">
        <v>866</v>
      </c>
      <c r="J1554" s="1745"/>
      <c r="K1554" s="1745"/>
      <c r="L1554" s="1746"/>
      <c r="M1554" s="1747"/>
      <c r="N1554" s="1747"/>
      <c r="O1554" s="1747"/>
      <c r="P1554" s="1747"/>
      <c r="Q1554" s="1920" t="str">
        <f>CHOOSE(2, "6722000004472", "RF (2) PP Fixed Cost")</f>
        <v>RF (2) PP Fixed Cost</v>
      </c>
      <c r="R1554" s="2313">
        <f>SUM(R1555:R1556)</f>
        <v>73649.336850566353</v>
      </c>
      <c r="S1554" s="2313">
        <f t="shared" ref="S1554:AC1554" si="2549">SUM(S1555:S1556)</f>
        <v>75802.753584534366</v>
      </c>
      <c r="T1554" s="2313">
        <f t="shared" si="2549"/>
        <v>89434.626579584277</v>
      </c>
      <c r="U1554" s="2313">
        <f t="shared" si="2549"/>
        <v>78308.979195929816</v>
      </c>
      <c r="V1554" s="2313">
        <f t="shared" si="2549"/>
        <v>89344.348736243774</v>
      </c>
      <c r="W1554" s="2313">
        <f t="shared" si="2549"/>
        <v>63455.848230398035</v>
      </c>
      <c r="X1554" s="2313">
        <f t="shared" si="2549"/>
        <v>138419.68853489333</v>
      </c>
      <c r="Y1554" s="2313">
        <f t="shared" si="2549"/>
        <v>89282.181376223918</v>
      </c>
      <c r="Z1554" s="2313">
        <f t="shared" si="2549"/>
        <v>86357.677234036513</v>
      </c>
      <c r="AA1554" s="2313">
        <f t="shared" si="2549"/>
        <v>101131.76501102457</v>
      </c>
      <c r="AB1554" s="2313">
        <f t="shared" si="2549"/>
        <v>77167.745974989244</v>
      </c>
      <c r="AC1554" s="2313">
        <f t="shared" si="2549"/>
        <v>84487.118051281563</v>
      </c>
      <c r="AD1554" s="1748">
        <f>SUM(R1554:T1554)</f>
        <v>238886.71701468498</v>
      </c>
      <c r="AE1554" s="1748">
        <f t="shared" ref="AE1554:AE1558" si="2550">SUM(U1554:W1554)</f>
        <v>231109.17616257162</v>
      </c>
      <c r="AF1554" s="1748">
        <f t="shared" ref="AF1554:AF1558" si="2551">SUM(X1554:Z1554)</f>
        <v>314059.54714515375</v>
      </c>
      <c r="AG1554" s="1748">
        <f t="shared" ref="AG1554:AG1558" si="2552">SUM(AA1554:AC1554)</f>
        <v>262786.62903729535</v>
      </c>
      <c r="AH1554" s="1748">
        <f t="shared" ref="AH1554:AH1558" si="2553">AD1554+AE1554</f>
        <v>469995.89317725657</v>
      </c>
      <c r="AI1554" s="1748">
        <f t="shared" ref="AI1554:AI1558" si="2554">AG1554+AF1554</f>
        <v>576846.1761824491</v>
      </c>
      <c r="AJ1554" s="1748">
        <f t="shared" ref="AJ1554:AJ1558" si="2555">AH1554+AI1554</f>
        <v>1046842.0693597057</v>
      </c>
    </row>
    <row r="1555" spans="1:36" ht="14.5">
      <c r="A1555" s="990">
        <v>1</v>
      </c>
      <c r="B1555" s="990">
        <v>1</v>
      </c>
      <c r="C1555" s="990" t="s">
        <v>863</v>
      </c>
      <c r="E1555" s="1611" t="s">
        <v>460</v>
      </c>
      <c r="F1555" s="1610"/>
      <c r="G1555" s="1731"/>
      <c r="H1555" s="1732"/>
      <c r="I1555" s="1327"/>
      <c r="J1555" s="1321" t="s">
        <v>1400</v>
      </c>
      <c r="K1555" s="1321"/>
      <c r="Q1555" s="1843" t="str">
        <f>CHOOSE(2, "6722000004473", "RF (2) PP Fixed Cost COGs")</f>
        <v>RF (2) PP Fixed Cost COGs</v>
      </c>
      <c r="R1555" s="19">
        <f t="shared" ref="R1555:AC1555" si="2556">R854</f>
        <v>13687</v>
      </c>
      <c r="S1555" s="19">
        <f t="shared" si="2556"/>
        <v>14642</v>
      </c>
      <c r="T1555" s="19">
        <f t="shared" si="2556"/>
        <v>16081</v>
      </c>
      <c r="U1555" s="19">
        <f t="shared" si="2556"/>
        <v>17620</v>
      </c>
      <c r="V1555" s="19">
        <f t="shared" si="2556"/>
        <v>16858.855701118951</v>
      </c>
      <c r="W1555" s="19">
        <f t="shared" si="2556"/>
        <v>17021.748</v>
      </c>
      <c r="X1555" s="19">
        <f t="shared" si="2556"/>
        <v>27094.748</v>
      </c>
      <c r="Y1555" s="19">
        <f t="shared" si="2556"/>
        <v>15703</v>
      </c>
      <c r="Z1555" s="19">
        <f t="shared" si="2556"/>
        <v>16374</v>
      </c>
      <c r="AA1555" s="19">
        <f t="shared" si="2556"/>
        <v>15577</v>
      </c>
      <c r="AB1555" s="19">
        <f t="shared" si="2556"/>
        <v>26298.092000000001</v>
      </c>
      <c r="AC1555" s="19">
        <f t="shared" si="2556"/>
        <v>21071</v>
      </c>
      <c r="AD1555" s="19">
        <f>SUM(R1555:T1555)</f>
        <v>44410</v>
      </c>
      <c r="AE1555" s="19">
        <f t="shared" si="2550"/>
        <v>51500.603701118955</v>
      </c>
      <c r="AF1555" s="19">
        <f t="shared" si="2551"/>
        <v>59171.748</v>
      </c>
      <c r="AG1555" s="19">
        <f t="shared" si="2552"/>
        <v>62946.092000000004</v>
      </c>
      <c r="AH1555" s="19">
        <f t="shared" si="2553"/>
        <v>95910.603701118962</v>
      </c>
      <c r="AI1555" s="19">
        <f t="shared" si="2554"/>
        <v>122117.84</v>
      </c>
      <c r="AJ1555" s="19">
        <f t="shared" si="2555"/>
        <v>218028.44370111896</v>
      </c>
    </row>
    <row r="1556" spans="1:36" ht="14.5">
      <c r="A1556" s="990">
        <v>1</v>
      </c>
      <c r="B1556" s="990">
        <v>1</v>
      </c>
      <c r="C1556" s="990" t="s">
        <v>863</v>
      </c>
      <c r="E1556" s="1611" t="s">
        <v>460</v>
      </c>
      <c r="F1556" s="1610"/>
      <c r="G1556" s="1731"/>
      <c r="H1556" s="1732"/>
      <c r="I1556" s="1327"/>
      <c r="J1556" s="1321" t="s">
        <v>1401</v>
      </c>
      <c r="K1556" s="1321"/>
      <c r="Q1556" s="1843" t="str">
        <f>CHOOSE(2, "6722000004474", "RF (2) PP Fixed Cost SG&amp;A")</f>
        <v>RF (2) PP Fixed Cost SG&amp;A</v>
      </c>
      <c r="R1556" s="19">
        <f t="shared" ref="R1556:AC1556" si="2557">R188+R189</f>
        <v>59962.336850566353</v>
      </c>
      <c r="S1556" s="19">
        <f t="shared" si="2557"/>
        <v>61160.753584534366</v>
      </c>
      <c r="T1556" s="19">
        <f t="shared" si="2557"/>
        <v>73353.626579584277</v>
      </c>
      <c r="U1556" s="19">
        <f t="shared" si="2557"/>
        <v>60688.979195929816</v>
      </c>
      <c r="V1556" s="19">
        <f t="shared" si="2557"/>
        <v>72485.493035124819</v>
      </c>
      <c r="W1556" s="19">
        <f t="shared" si="2557"/>
        <v>46434.100230398035</v>
      </c>
      <c r="X1556" s="19">
        <f t="shared" si="2557"/>
        <v>111324.94053489332</v>
      </c>
      <c r="Y1556" s="19">
        <f t="shared" si="2557"/>
        <v>73579.181376223918</v>
      </c>
      <c r="Z1556" s="19">
        <f t="shared" si="2557"/>
        <v>69983.677234036513</v>
      </c>
      <c r="AA1556" s="19">
        <f t="shared" si="2557"/>
        <v>85554.765011024574</v>
      </c>
      <c r="AB1556" s="19">
        <f t="shared" si="2557"/>
        <v>50869.653974989247</v>
      </c>
      <c r="AC1556" s="19">
        <f t="shared" si="2557"/>
        <v>63416.118051281563</v>
      </c>
      <c r="AD1556" s="19">
        <f>SUM(R1556:T1556)</f>
        <v>194476.71701468498</v>
      </c>
      <c r="AE1556" s="19">
        <f t="shared" si="2550"/>
        <v>179608.57246145266</v>
      </c>
      <c r="AF1556" s="19">
        <f t="shared" si="2551"/>
        <v>254887.79914515372</v>
      </c>
      <c r="AG1556" s="19">
        <f t="shared" si="2552"/>
        <v>199840.53703729541</v>
      </c>
      <c r="AH1556" s="19">
        <f t="shared" si="2553"/>
        <v>374085.28947613761</v>
      </c>
      <c r="AI1556" s="19">
        <f t="shared" si="2554"/>
        <v>454728.33618244913</v>
      </c>
      <c r="AJ1556" s="19">
        <f t="shared" si="2555"/>
        <v>828813.62565858674</v>
      </c>
    </row>
    <row r="1557" spans="1:36" ht="14.5">
      <c r="A1557" s="990">
        <v>1</v>
      </c>
      <c r="B1557" s="990">
        <v>1</v>
      </c>
      <c r="C1557" s="990" t="s">
        <v>863</v>
      </c>
      <c r="E1557" s="1611" t="s">
        <v>460</v>
      </c>
      <c r="F1557" s="1610"/>
      <c r="G1557" s="1731"/>
      <c r="H1557" s="1732"/>
      <c r="I1557" s="1744" t="s">
        <v>867</v>
      </c>
      <c r="J1557" s="1745"/>
      <c r="K1557" s="1745"/>
      <c r="L1557" s="1746"/>
      <c r="M1557" s="1747"/>
      <c r="N1557" s="1747"/>
      <c r="O1557" s="1747"/>
      <c r="P1557" s="1747"/>
      <c r="Q1557" s="1920" t="str">
        <f>CHOOSE(2, "6722000004475", "RF (2) PP BCP")</f>
        <v>RF (2) PP BCP</v>
      </c>
      <c r="R1557" s="2313">
        <f>R1536-R1554</f>
        <v>39832.565712821524</v>
      </c>
      <c r="S1557" s="2313">
        <f t="shared" ref="S1557:AC1557" si="2558">S1536-S1554</f>
        <v>45075.412732620811</v>
      </c>
      <c r="T1557" s="2313">
        <f t="shared" si="2558"/>
        <v>39684.434735615083</v>
      </c>
      <c r="U1557" s="2313">
        <f t="shared" si="2558"/>
        <v>55854.397885245169</v>
      </c>
      <c r="V1557" s="2313">
        <f t="shared" si="2558"/>
        <v>66074.894564421047</v>
      </c>
      <c r="W1557" s="2313">
        <f t="shared" si="2558"/>
        <v>29725.603084664377</v>
      </c>
      <c r="X1557" s="2313">
        <f t="shared" si="2558"/>
        <v>79156.977857484017</v>
      </c>
      <c r="Y1557" s="2313">
        <f t="shared" si="2558"/>
        <v>53558.495559722302</v>
      </c>
      <c r="Z1557" s="2313">
        <f t="shared" si="2558"/>
        <v>61802.155070994093</v>
      </c>
      <c r="AA1557" s="2313">
        <f t="shared" si="2558"/>
        <v>61565.650815249159</v>
      </c>
      <c r="AB1557" s="2313">
        <f t="shared" si="2558"/>
        <v>88057.726388018244</v>
      </c>
      <c r="AC1557" s="2313">
        <f t="shared" si="2558"/>
        <v>47132.814326648353</v>
      </c>
      <c r="AD1557" s="1748">
        <f>SUM(R1557:T1557)</f>
        <v>124592.41318105742</v>
      </c>
      <c r="AE1557" s="1748">
        <f t="shared" si="2550"/>
        <v>151654.8955343306</v>
      </c>
      <c r="AF1557" s="1748">
        <f t="shared" si="2551"/>
        <v>194517.62848820043</v>
      </c>
      <c r="AG1557" s="1748">
        <f t="shared" si="2552"/>
        <v>196756.19152991578</v>
      </c>
      <c r="AH1557" s="1748">
        <f t="shared" si="2553"/>
        <v>276247.308715388</v>
      </c>
      <c r="AI1557" s="1748">
        <f t="shared" si="2554"/>
        <v>391273.82001811621</v>
      </c>
      <c r="AJ1557" s="1748">
        <f t="shared" si="2555"/>
        <v>667521.12873350421</v>
      </c>
    </row>
    <row r="1558" spans="1:36" ht="14.5">
      <c r="A1558" s="990">
        <v>1</v>
      </c>
      <c r="B1558" s="990">
        <v>1</v>
      </c>
      <c r="C1558" s="990" t="s">
        <v>863</v>
      </c>
      <c r="E1558" s="1611" t="s">
        <v>460</v>
      </c>
      <c r="F1558" s="1610"/>
      <c r="G1558" s="1731"/>
      <c r="H1558" s="1732"/>
      <c r="I1558" s="1744" t="s">
        <v>880</v>
      </c>
      <c r="J1558" s="1745"/>
      <c r="K1558" s="1745"/>
      <c r="L1558" s="1746"/>
      <c r="M1558" s="1747"/>
      <c r="N1558" s="1747"/>
      <c r="O1558" s="1747"/>
      <c r="P1558" s="1747"/>
      <c r="Q1558" s="1920" t="str">
        <f>CHOOSE(2, "6722000004476", "RF (2) PP Break-even Point Net Sales")</f>
        <v>RF (2) PP Break-even Point Net Sales</v>
      </c>
      <c r="R1558" s="2313">
        <f>R1554/R1545</f>
        <v>304631.73240896745</v>
      </c>
      <c r="S1558" s="2313">
        <f t="shared" ref="S1558:AC1558" si="2559">S1554/S1545</f>
        <v>292174.25616936135</v>
      </c>
      <c r="T1558" s="2313">
        <f t="shared" si="2559"/>
        <v>324325.47773498466</v>
      </c>
      <c r="U1558" s="2313">
        <f t="shared" si="2559"/>
        <v>286397.25889410923</v>
      </c>
      <c r="V1558" s="2313">
        <f t="shared" si="2559"/>
        <v>312794.81284809322</v>
      </c>
      <c r="W1558" s="2313">
        <f t="shared" si="2559"/>
        <v>286271.44530956028</v>
      </c>
      <c r="X1558" s="2313">
        <f t="shared" si="2559"/>
        <v>401490.68301548896</v>
      </c>
      <c r="Y1558" s="2313">
        <f t="shared" si="2559"/>
        <v>327887.31971175107</v>
      </c>
      <c r="Z1558" s="2313">
        <f t="shared" si="2559"/>
        <v>300033.23260877264</v>
      </c>
      <c r="AA1558" s="2313">
        <f t="shared" si="2559"/>
        <v>351266.59454348241</v>
      </c>
      <c r="AB1558" s="2313">
        <f t="shared" si="2559"/>
        <v>279165.46183056594</v>
      </c>
      <c r="AC1558" s="2313">
        <f t="shared" si="2559"/>
        <v>292577.07590858167</v>
      </c>
      <c r="AD1558" s="1748">
        <f>SUM(R1558:T1558)</f>
        <v>921131.46631331346</v>
      </c>
      <c r="AE1558" s="1748">
        <f t="shared" si="2550"/>
        <v>885463.51705176267</v>
      </c>
      <c r="AF1558" s="1748">
        <f t="shared" si="2551"/>
        <v>1029411.2353360127</v>
      </c>
      <c r="AG1558" s="1748">
        <f t="shared" si="2552"/>
        <v>923009.13228263007</v>
      </c>
      <c r="AH1558" s="1748">
        <f t="shared" si="2553"/>
        <v>1806594.9833650761</v>
      </c>
      <c r="AI1558" s="1748">
        <f t="shared" si="2554"/>
        <v>1952420.3676186427</v>
      </c>
      <c r="AJ1558" s="1748">
        <f t="shared" si="2555"/>
        <v>3759015.3509837189</v>
      </c>
    </row>
    <row r="1559" spans="1:36" ht="14.5">
      <c r="A1559" s="990">
        <v>1</v>
      </c>
      <c r="B1559" s="990">
        <v>1</v>
      </c>
      <c r="C1559" s="990" t="s">
        <v>863</v>
      </c>
      <c r="E1559" s="1611" t="s">
        <v>460</v>
      </c>
      <c r="F1559" s="1610"/>
      <c r="G1559" s="1731"/>
      <c r="H1559" s="1732"/>
      <c r="I1559" s="1336"/>
      <c r="J1559" s="1337" t="s">
        <v>135</v>
      </c>
      <c r="K1559" s="1338"/>
      <c r="L1559" s="18"/>
      <c r="M1559" s="12"/>
      <c r="N1559" s="12"/>
      <c r="O1559" s="12"/>
      <c r="P1559" s="12"/>
      <c r="Q1559" s="1838" t="str">
        <f>CHOOSE(2, "6722000004477", "RF (2) PP Break-even Point Net Sales (%)")</f>
        <v>RF (2) PP Break-even Point Net Sales (%)</v>
      </c>
      <c r="R1559" s="1743">
        <f>R1558/R1518</f>
        <v>0.64899631735930641</v>
      </c>
      <c r="S1559" s="1743">
        <f t="shared" ref="S1559:AC1559" si="2560">S1558/S1518</f>
        <v>0.62710045903282663</v>
      </c>
      <c r="T1559" s="1743">
        <f t="shared" si="2560"/>
        <v>0.69265239127831557</v>
      </c>
      <c r="U1559" s="1743">
        <f t="shared" si="2560"/>
        <v>0.58368372129265422</v>
      </c>
      <c r="V1559" s="1743">
        <f t="shared" si="2560"/>
        <v>0.57486027366253167</v>
      </c>
      <c r="W1559" s="1743">
        <f t="shared" si="2560"/>
        <v>0.68099227190444767</v>
      </c>
      <c r="X1559" s="1743">
        <f t="shared" si="2560"/>
        <v>0.63618811166665978</v>
      </c>
      <c r="Y1559" s="1743">
        <f t="shared" si="2560"/>
        <v>0.62504731349222442</v>
      </c>
      <c r="Z1559" s="1743">
        <f t="shared" si="2560"/>
        <v>0.58286835163422579</v>
      </c>
      <c r="AA1559" s="1743">
        <f t="shared" si="2560"/>
        <v>0.62159416913549392</v>
      </c>
      <c r="AB1559" s="1743">
        <f t="shared" si="2560"/>
        <v>0.46704509220859347</v>
      </c>
      <c r="AC1559" s="1743">
        <f t="shared" si="2560"/>
        <v>0.64190215360913228</v>
      </c>
      <c r="AD1559" s="1743">
        <f t="shared" ref="AD1559:AJ1559" si="2561">AD1558/AD1518</f>
        <v>0.65629203485853504</v>
      </c>
      <c r="AE1559" s="1743">
        <f t="shared" si="2561"/>
        <v>0.60849522914048582</v>
      </c>
      <c r="AF1559" s="1743">
        <f t="shared" si="2561"/>
        <v>0.61625855717571354</v>
      </c>
      <c r="AG1559" s="1743">
        <f t="shared" si="2561"/>
        <v>0.57024096444686556</v>
      </c>
      <c r="AH1559" s="1743">
        <f t="shared" si="2561"/>
        <v>0.63196201069312175</v>
      </c>
      <c r="AI1559" s="1743">
        <f t="shared" si="2561"/>
        <v>0.59361206853242554</v>
      </c>
      <c r="AJ1559" s="1743">
        <f t="shared" si="2561"/>
        <v>0.61144479271699981</v>
      </c>
    </row>
    <row r="1560" spans="1:36" ht="14.5">
      <c r="A1560" s="990">
        <v>1</v>
      </c>
      <c r="B1560" s="990">
        <v>1</v>
      </c>
      <c r="C1560" s="990" t="s">
        <v>863</v>
      </c>
      <c r="E1560" s="1611" t="s">
        <v>460</v>
      </c>
      <c r="F1560" s="1610"/>
      <c r="Q1560" s="1838" t="str">
        <f>CHOOSE(2, "6722000004478", "▷ Blank 65")</f>
        <v>▷ Blank 65</v>
      </c>
    </row>
    <row r="1561" spans="1:36" ht="14.5">
      <c r="A1561" s="990">
        <v>1</v>
      </c>
      <c r="B1561" s="990">
        <v>1</v>
      </c>
      <c r="C1561" s="990" t="s">
        <v>863</v>
      </c>
      <c r="E1561" s="1611" t="s">
        <v>460</v>
      </c>
      <c r="F1561" s="1610"/>
      <c r="H1561" s="5" t="s">
        <v>482</v>
      </c>
      <c r="Q1561" s="1838" t="str">
        <f>CHOOSE(2, "6722000004479", "RF (3) IP")</f>
        <v>RF (3) IP</v>
      </c>
    </row>
    <row r="1562" spans="1:36" ht="14.5">
      <c r="A1562" s="990">
        <v>1</v>
      </c>
      <c r="B1562" s="990">
        <v>1</v>
      </c>
      <c r="C1562" s="990" t="s">
        <v>863</v>
      </c>
      <c r="E1562" s="1611" t="s">
        <v>460</v>
      </c>
      <c r="F1562" s="1610"/>
      <c r="G1562" s="1731"/>
      <c r="H1562" s="1732"/>
      <c r="I1562" s="1750" t="s">
        <v>9</v>
      </c>
      <c r="J1562" s="1751"/>
      <c r="K1562" s="1751"/>
      <c r="L1562" s="1752"/>
      <c r="M1562" s="1753"/>
      <c r="N1562" s="1753"/>
      <c r="O1562" s="1753"/>
      <c r="P1562" s="1753"/>
      <c r="Q1562" s="1882" t="str">
        <f>CHOOSE(2, "6722000004480", "RF (3) PP Net Sales")</f>
        <v>RF (3) PP Net Sales</v>
      </c>
      <c r="R1562" s="2192">
        <f>SUM(R1563,R1566)</f>
        <v>15308</v>
      </c>
      <c r="S1562" s="2192">
        <f t="shared" ref="S1562:AC1562" si="2562">SUM(S1563,S1566)</f>
        <v>5995</v>
      </c>
      <c r="T1562" s="2192">
        <f t="shared" si="2562"/>
        <v>25668</v>
      </c>
      <c r="U1562" s="2192">
        <f t="shared" si="2562"/>
        <v>7458</v>
      </c>
      <c r="V1562" s="2192">
        <f t="shared" si="2562"/>
        <v>17448.148999999998</v>
      </c>
      <c r="W1562" s="2192">
        <f t="shared" si="2562"/>
        <v>19062</v>
      </c>
      <c r="X1562" s="2192">
        <f t="shared" si="2562"/>
        <v>7362</v>
      </c>
      <c r="Y1562" s="2192">
        <f t="shared" si="2562"/>
        <v>17023</v>
      </c>
      <c r="Z1562" s="2192">
        <f t="shared" si="2562"/>
        <v>7585</v>
      </c>
      <c r="AA1562" s="2192">
        <f t="shared" si="2562"/>
        <v>26150</v>
      </c>
      <c r="AB1562" s="2192">
        <f t="shared" si="2562"/>
        <v>8583.2560000000012</v>
      </c>
      <c r="AC1562" s="2192">
        <f t="shared" si="2562"/>
        <v>25747</v>
      </c>
      <c r="AD1562" s="1365">
        <f t="shared" ref="AD1562:AD1583" si="2563">SUM(R1562:T1562)</f>
        <v>46971</v>
      </c>
      <c r="AE1562" s="1365">
        <f t="shared" ref="AE1562:AE1583" si="2564">SUM(U1562:W1562)</f>
        <v>43968.148999999998</v>
      </c>
      <c r="AF1562" s="1365">
        <f t="shared" ref="AF1562:AF1583" si="2565">SUM(X1562:Z1562)</f>
        <v>31970</v>
      </c>
      <c r="AG1562" s="1365">
        <f t="shared" ref="AG1562:AG1583" si="2566">SUM(AA1562:AC1562)</f>
        <v>60480.256000000001</v>
      </c>
      <c r="AH1562" s="1365">
        <f t="shared" ref="AH1562:AH1583" si="2567">AD1562+AE1562</f>
        <v>90939.149000000005</v>
      </c>
      <c r="AI1562" s="1365">
        <f t="shared" ref="AI1562:AI1583" si="2568">AG1562+AF1562</f>
        <v>92450.255999999994</v>
      </c>
      <c r="AJ1562" s="1365">
        <f t="shared" ref="AJ1562:AJ1583" si="2569">AH1562+AI1562</f>
        <v>183389.405</v>
      </c>
    </row>
    <row r="1563" spans="1:36" ht="14.5">
      <c r="A1563" s="990">
        <v>1</v>
      </c>
      <c r="B1563" s="990">
        <v>1</v>
      </c>
      <c r="C1563" s="990" t="s">
        <v>863</v>
      </c>
      <c r="E1563" s="1611" t="s">
        <v>460</v>
      </c>
      <c r="F1563" s="1610"/>
      <c r="G1563" s="1731"/>
      <c r="H1563" s="1732"/>
      <c r="I1563" s="1327"/>
      <c r="J1563" s="1736" t="s">
        <v>1395</v>
      </c>
      <c r="K1563" s="1736"/>
      <c r="L1563" s="1737"/>
      <c r="M1563" s="278"/>
      <c r="N1563" s="278"/>
      <c r="O1563" s="278"/>
      <c r="P1563" s="278"/>
      <c r="Q1563" s="1914" t="str">
        <f>CHOOSE(2, "6722000004481", "RF (3) PP Net Sales HW")</f>
        <v>RF (3) PP Net Sales HW</v>
      </c>
      <c r="R1563" s="1738">
        <f>SUM(R1564:R1565)</f>
        <v>9502</v>
      </c>
      <c r="S1563" s="1738">
        <f t="shared" ref="S1563:AC1563" si="2570">SUM(S1564:S1565)</f>
        <v>252</v>
      </c>
      <c r="T1563" s="1738">
        <f t="shared" si="2570"/>
        <v>19252</v>
      </c>
      <c r="U1563" s="1738">
        <f t="shared" si="2570"/>
        <v>252</v>
      </c>
      <c r="V1563" s="1738">
        <f t="shared" si="2570"/>
        <v>9600</v>
      </c>
      <c r="W1563" s="1738">
        <f t="shared" si="2570"/>
        <v>10756</v>
      </c>
      <c r="X1563" s="1738">
        <f t="shared" si="2570"/>
        <v>378</v>
      </c>
      <c r="Y1563" s="1738">
        <f t="shared" si="2570"/>
        <v>9900</v>
      </c>
      <c r="Z1563" s="1738">
        <f t="shared" si="2570"/>
        <v>0</v>
      </c>
      <c r="AA1563" s="1738">
        <f t="shared" si="2570"/>
        <v>18852</v>
      </c>
      <c r="AB1563" s="1738">
        <f t="shared" si="2570"/>
        <v>0</v>
      </c>
      <c r="AC1563" s="1738">
        <f t="shared" si="2570"/>
        <v>17085</v>
      </c>
      <c r="AD1563" s="1738">
        <f t="shared" si="2563"/>
        <v>29006</v>
      </c>
      <c r="AE1563" s="1738">
        <f t="shared" si="2564"/>
        <v>20608</v>
      </c>
      <c r="AF1563" s="1738">
        <f t="shared" si="2565"/>
        <v>10278</v>
      </c>
      <c r="AG1563" s="1738">
        <f t="shared" si="2566"/>
        <v>35937</v>
      </c>
      <c r="AH1563" s="1738">
        <f t="shared" si="2567"/>
        <v>49614</v>
      </c>
      <c r="AI1563" s="1738">
        <f t="shared" si="2568"/>
        <v>46215</v>
      </c>
      <c r="AJ1563" s="1738">
        <f t="shared" si="2569"/>
        <v>95829</v>
      </c>
    </row>
    <row r="1564" spans="1:36" ht="14.5">
      <c r="A1564" s="990">
        <v>1</v>
      </c>
      <c r="B1564" s="990">
        <v>1</v>
      </c>
      <c r="C1564" s="990" t="s">
        <v>863</v>
      </c>
      <c r="E1564" s="1611" t="s">
        <v>460</v>
      </c>
      <c r="F1564" s="1610"/>
      <c r="G1564" s="1731"/>
      <c r="H1564" s="1732"/>
      <c r="I1564" s="1327"/>
      <c r="J1564" s="1321"/>
      <c r="K1564" s="1321" t="s">
        <v>212</v>
      </c>
      <c r="Q1564" s="1843" t="str">
        <f>CHOOSE(2, "6722000004482", "RF (3) PP Net Sales HW Direct")</f>
        <v>RF (3) PP Net Sales HW Direct</v>
      </c>
      <c r="R1564" s="19">
        <f t="shared" ref="R1564:AC1564" si="2571">R634</f>
        <v>9502</v>
      </c>
      <c r="S1564" s="19">
        <f t="shared" si="2571"/>
        <v>252</v>
      </c>
      <c r="T1564" s="19">
        <f t="shared" si="2571"/>
        <v>19252</v>
      </c>
      <c r="U1564" s="19">
        <f t="shared" si="2571"/>
        <v>252</v>
      </c>
      <c r="V1564" s="19">
        <f t="shared" si="2571"/>
        <v>9600</v>
      </c>
      <c r="W1564" s="19">
        <f t="shared" si="2571"/>
        <v>10756</v>
      </c>
      <c r="X1564" s="19">
        <f t="shared" si="2571"/>
        <v>378</v>
      </c>
      <c r="Y1564" s="19">
        <f t="shared" si="2571"/>
        <v>9900</v>
      </c>
      <c r="Z1564" s="19">
        <f t="shared" si="2571"/>
        <v>0</v>
      </c>
      <c r="AA1564" s="19">
        <f t="shared" si="2571"/>
        <v>18852</v>
      </c>
      <c r="AB1564" s="19">
        <f t="shared" si="2571"/>
        <v>0</v>
      </c>
      <c r="AC1564" s="19">
        <f t="shared" si="2571"/>
        <v>17085</v>
      </c>
      <c r="AD1564" s="19">
        <f t="shared" si="2563"/>
        <v>29006</v>
      </c>
      <c r="AE1564" s="19">
        <f t="shared" si="2564"/>
        <v>20608</v>
      </c>
      <c r="AF1564" s="19">
        <f t="shared" si="2565"/>
        <v>10278</v>
      </c>
      <c r="AG1564" s="19">
        <f t="shared" si="2566"/>
        <v>35937</v>
      </c>
      <c r="AH1564" s="19">
        <f t="shared" si="2567"/>
        <v>49614</v>
      </c>
      <c r="AI1564" s="19">
        <f t="shared" si="2568"/>
        <v>46215</v>
      </c>
      <c r="AJ1564" s="19">
        <f t="shared" si="2569"/>
        <v>95829</v>
      </c>
    </row>
    <row r="1565" spans="1:36" ht="14.5">
      <c r="A1565" s="990">
        <v>1</v>
      </c>
      <c r="B1565" s="990">
        <v>1</v>
      </c>
      <c r="C1565" s="990" t="s">
        <v>863</v>
      </c>
      <c r="E1565" s="1611" t="s">
        <v>460</v>
      </c>
      <c r="F1565" s="1610"/>
      <c r="G1565" s="1731"/>
      <c r="H1565" s="1732"/>
      <c r="I1565" s="1327"/>
      <c r="J1565" s="1321"/>
      <c r="K1565" s="1321" t="s">
        <v>221</v>
      </c>
      <c r="Q1565" s="1843" t="str">
        <f>CHOOSE(2, "6722000004483", "RF (3) PP Net Sales HW Indirect")</f>
        <v>RF (3) PP Net Sales HW Indirect</v>
      </c>
      <c r="R1565" s="19">
        <f t="shared" ref="R1565:AC1565" si="2572">R649</f>
        <v>0</v>
      </c>
      <c r="S1565" s="19">
        <f t="shared" si="2572"/>
        <v>0</v>
      </c>
      <c r="T1565" s="19">
        <f t="shared" si="2572"/>
        <v>0</v>
      </c>
      <c r="U1565" s="19">
        <f t="shared" si="2572"/>
        <v>0</v>
      </c>
      <c r="V1565" s="19">
        <f t="shared" si="2572"/>
        <v>0</v>
      </c>
      <c r="W1565" s="19">
        <f t="shared" si="2572"/>
        <v>0</v>
      </c>
      <c r="X1565" s="19">
        <f t="shared" si="2572"/>
        <v>0</v>
      </c>
      <c r="Y1565" s="19">
        <f t="shared" si="2572"/>
        <v>0</v>
      </c>
      <c r="Z1565" s="19">
        <f t="shared" si="2572"/>
        <v>0</v>
      </c>
      <c r="AA1565" s="19">
        <f t="shared" si="2572"/>
        <v>0</v>
      </c>
      <c r="AB1565" s="19">
        <f t="shared" si="2572"/>
        <v>0</v>
      </c>
      <c r="AC1565" s="19">
        <f t="shared" si="2572"/>
        <v>0</v>
      </c>
      <c r="AD1565" s="19">
        <f t="shared" si="2563"/>
        <v>0</v>
      </c>
      <c r="AE1565" s="19">
        <f t="shared" si="2564"/>
        <v>0</v>
      </c>
      <c r="AF1565" s="19">
        <f t="shared" si="2565"/>
        <v>0</v>
      </c>
      <c r="AG1565" s="19">
        <f t="shared" si="2566"/>
        <v>0</v>
      </c>
      <c r="AH1565" s="19">
        <f t="shared" si="2567"/>
        <v>0</v>
      </c>
      <c r="AI1565" s="19">
        <f t="shared" si="2568"/>
        <v>0</v>
      </c>
      <c r="AJ1565" s="19">
        <f t="shared" si="2569"/>
        <v>0</v>
      </c>
    </row>
    <row r="1566" spans="1:36" ht="14.5">
      <c r="A1566" s="990">
        <v>1</v>
      </c>
      <c r="B1566" s="990">
        <v>1</v>
      </c>
      <c r="C1566" s="990" t="s">
        <v>863</v>
      </c>
      <c r="E1566" s="1611" t="s">
        <v>460</v>
      </c>
      <c r="F1566" s="1610"/>
      <c r="G1566" s="1731"/>
      <c r="H1566" s="1732"/>
      <c r="I1566" s="1327"/>
      <c r="J1566" s="1736" t="s">
        <v>1396</v>
      </c>
      <c r="K1566" s="1736"/>
      <c r="L1566" s="1737"/>
      <c r="M1566" s="278"/>
      <c r="N1566" s="278"/>
      <c r="O1566" s="278"/>
      <c r="P1566" s="278"/>
      <c r="Q1566" s="1914" t="str">
        <f>CHOOSE(2, "6722000004484", "RF (3) PP Net Sales NH")</f>
        <v>RF (3) PP Net Sales NH</v>
      </c>
      <c r="R1566" s="1738">
        <f>SUM(R1567:R1568)</f>
        <v>5806</v>
      </c>
      <c r="S1566" s="1738">
        <f t="shared" ref="S1566:AC1566" si="2573">SUM(S1567:S1568)</f>
        <v>5743</v>
      </c>
      <c r="T1566" s="1738">
        <f t="shared" si="2573"/>
        <v>6416</v>
      </c>
      <c r="U1566" s="1738">
        <f t="shared" si="2573"/>
        <v>7206</v>
      </c>
      <c r="V1566" s="1738">
        <f t="shared" si="2573"/>
        <v>7848.1489999999994</v>
      </c>
      <c r="W1566" s="1738">
        <f t="shared" si="2573"/>
        <v>8306</v>
      </c>
      <c r="X1566" s="1738">
        <f t="shared" si="2573"/>
        <v>6984</v>
      </c>
      <c r="Y1566" s="1738">
        <f t="shared" si="2573"/>
        <v>7123</v>
      </c>
      <c r="Z1566" s="1738">
        <f t="shared" si="2573"/>
        <v>7585</v>
      </c>
      <c r="AA1566" s="1738">
        <f t="shared" si="2573"/>
        <v>7298</v>
      </c>
      <c r="AB1566" s="1738">
        <f t="shared" si="2573"/>
        <v>8583.2560000000012</v>
      </c>
      <c r="AC1566" s="1738">
        <f t="shared" si="2573"/>
        <v>8662</v>
      </c>
      <c r="AD1566" s="1738">
        <f t="shared" si="2563"/>
        <v>17965</v>
      </c>
      <c r="AE1566" s="1738">
        <f t="shared" si="2564"/>
        <v>23360.148999999998</v>
      </c>
      <c r="AF1566" s="1738">
        <f t="shared" si="2565"/>
        <v>21692</v>
      </c>
      <c r="AG1566" s="1738">
        <f t="shared" si="2566"/>
        <v>24543.256000000001</v>
      </c>
      <c r="AH1566" s="1738">
        <f t="shared" si="2567"/>
        <v>41325.148999999998</v>
      </c>
      <c r="AI1566" s="1738">
        <f t="shared" si="2568"/>
        <v>46235.256000000001</v>
      </c>
      <c r="AJ1566" s="1738">
        <f t="shared" si="2569"/>
        <v>87560.404999999999</v>
      </c>
    </row>
    <row r="1567" spans="1:36" ht="14.5">
      <c r="A1567" s="990">
        <v>1</v>
      </c>
      <c r="B1567" s="990">
        <v>1</v>
      </c>
      <c r="C1567" s="990" t="s">
        <v>863</v>
      </c>
      <c r="E1567" s="1611" t="s">
        <v>460</v>
      </c>
      <c r="F1567" s="1610"/>
      <c r="G1567" s="1731"/>
      <c r="H1567" s="1732"/>
      <c r="I1567" s="1327"/>
      <c r="J1567" s="1321"/>
      <c r="K1567" s="1321" t="s">
        <v>212</v>
      </c>
      <c r="Q1567" s="1843" t="str">
        <f>CHOOSE(2, "6722000004485", "RF (3) PP Net Sales NH Direct")</f>
        <v>RF (3) PP Net Sales NH Direct</v>
      </c>
      <c r="R1567" s="19">
        <f t="shared" ref="R1567:AC1567" si="2574">R641</f>
        <v>5806</v>
      </c>
      <c r="S1567" s="19">
        <f t="shared" si="2574"/>
        <v>5743</v>
      </c>
      <c r="T1567" s="19">
        <f t="shared" si="2574"/>
        <v>6416</v>
      </c>
      <c r="U1567" s="19">
        <f t="shared" si="2574"/>
        <v>7206</v>
      </c>
      <c r="V1567" s="19">
        <f t="shared" si="2574"/>
        <v>7848.1489999999994</v>
      </c>
      <c r="W1567" s="19">
        <f t="shared" si="2574"/>
        <v>8306</v>
      </c>
      <c r="X1567" s="19">
        <f t="shared" si="2574"/>
        <v>6984</v>
      </c>
      <c r="Y1567" s="19">
        <f t="shared" si="2574"/>
        <v>7123</v>
      </c>
      <c r="Z1567" s="19">
        <f t="shared" si="2574"/>
        <v>7585</v>
      </c>
      <c r="AA1567" s="19">
        <f t="shared" si="2574"/>
        <v>7298</v>
      </c>
      <c r="AB1567" s="19">
        <f t="shared" si="2574"/>
        <v>8583.2560000000012</v>
      </c>
      <c r="AC1567" s="19">
        <f t="shared" si="2574"/>
        <v>8662</v>
      </c>
      <c r="AD1567" s="19">
        <f t="shared" si="2563"/>
        <v>17965</v>
      </c>
      <c r="AE1567" s="19">
        <f t="shared" si="2564"/>
        <v>23360.148999999998</v>
      </c>
      <c r="AF1567" s="19">
        <f t="shared" si="2565"/>
        <v>21692</v>
      </c>
      <c r="AG1567" s="19">
        <f t="shared" si="2566"/>
        <v>24543.256000000001</v>
      </c>
      <c r="AH1567" s="19">
        <f t="shared" si="2567"/>
        <v>41325.148999999998</v>
      </c>
      <c r="AI1567" s="19">
        <f t="shared" si="2568"/>
        <v>46235.256000000001</v>
      </c>
      <c r="AJ1567" s="19">
        <f t="shared" si="2569"/>
        <v>87560.404999999999</v>
      </c>
    </row>
    <row r="1568" spans="1:36" ht="14.5">
      <c r="A1568" s="990">
        <v>1</v>
      </c>
      <c r="B1568" s="990">
        <v>1</v>
      </c>
      <c r="C1568" s="990" t="s">
        <v>863</v>
      </c>
      <c r="E1568" s="1611" t="s">
        <v>460</v>
      </c>
      <c r="F1568" s="1610"/>
      <c r="G1568" s="1731"/>
      <c r="H1568" s="1732"/>
      <c r="I1568" s="1327"/>
      <c r="J1568" s="1321"/>
      <c r="K1568" s="1321" t="s">
        <v>221</v>
      </c>
      <c r="Q1568" s="1843" t="str">
        <f>CHOOSE(2, "6722000004486", "RF (3) PP Net Sales NH Indirect")</f>
        <v>RF (3) PP Net Sales NH Indirect</v>
      </c>
      <c r="R1568" s="19">
        <f t="shared" ref="R1568:AC1568" si="2575">R656</f>
        <v>0</v>
      </c>
      <c r="S1568" s="19">
        <f t="shared" si="2575"/>
        <v>0</v>
      </c>
      <c r="T1568" s="19">
        <f t="shared" si="2575"/>
        <v>0</v>
      </c>
      <c r="U1568" s="19">
        <f t="shared" si="2575"/>
        <v>0</v>
      </c>
      <c r="V1568" s="19">
        <f t="shared" si="2575"/>
        <v>0</v>
      </c>
      <c r="W1568" s="19">
        <f t="shared" si="2575"/>
        <v>0</v>
      </c>
      <c r="X1568" s="19">
        <f t="shared" si="2575"/>
        <v>0</v>
      </c>
      <c r="Y1568" s="19">
        <f t="shared" si="2575"/>
        <v>0</v>
      </c>
      <c r="Z1568" s="19">
        <f t="shared" si="2575"/>
        <v>0</v>
      </c>
      <c r="AA1568" s="19">
        <f t="shared" si="2575"/>
        <v>0</v>
      </c>
      <c r="AB1568" s="19">
        <f t="shared" si="2575"/>
        <v>0</v>
      </c>
      <c r="AC1568" s="19">
        <f t="shared" si="2575"/>
        <v>0</v>
      </c>
      <c r="AD1568" s="19">
        <f t="shared" si="2563"/>
        <v>0</v>
      </c>
      <c r="AE1568" s="19">
        <f t="shared" si="2564"/>
        <v>0</v>
      </c>
      <c r="AF1568" s="19">
        <f t="shared" si="2565"/>
        <v>0</v>
      </c>
      <c r="AG1568" s="19">
        <f t="shared" si="2566"/>
        <v>0</v>
      </c>
      <c r="AH1568" s="19">
        <f t="shared" si="2567"/>
        <v>0</v>
      </c>
      <c r="AI1568" s="19">
        <f t="shared" si="2568"/>
        <v>0</v>
      </c>
      <c r="AJ1568" s="19">
        <f t="shared" si="2569"/>
        <v>0</v>
      </c>
    </row>
    <row r="1569" spans="1:36" ht="14.5">
      <c r="A1569" s="990">
        <v>1</v>
      </c>
      <c r="B1569" s="990">
        <v>1</v>
      </c>
      <c r="C1569" s="990" t="s">
        <v>863</v>
      </c>
      <c r="E1569" s="1611" t="s">
        <v>460</v>
      </c>
      <c r="F1569" s="1610"/>
      <c r="G1569" s="1731"/>
      <c r="H1569" s="1732"/>
      <c r="I1569" s="1750" t="s">
        <v>1397</v>
      </c>
      <c r="J1569" s="1751"/>
      <c r="K1569" s="1751"/>
      <c r="L1569" s="1752"/>
      <c r="M1569" s="1753"/>
      <c r="N1569" s="1753"/>
      <c r="O1569" s="1753"/>
      <c r="P1569" s="1753"/>
      <c r="Q1569" s="1882" t="str">
        <f>CHOOSE(2, "6722000004487", "RF (3) PP Variable cost")</f>
        <v>RF (3) PP Variable cost</v>
      </c>
      <c r="R1569" s="2192">
        <f>SUM(R1570,R1573,R1576)</f>
        <v>13549.924070561878</v>
      </c>
      <c r="S1569" s="2192">
        <f t="shared" ref="S1569:AC1569" si="2576">SUM(S1570,S1573,S1576)</f>
        <v>7945.5508913234044</v>
      </c>
      <c r="T1569" s="2192">
        <f t="shared" si="2576"/>
        <v>15990.987158671345</v>
      </c>
      <c r="U1569" s="2192">
        <f t="shared" si="2576"/>
        <v>4985.9773196471951</v>
      </c>
      <c r="V1569" s="2192">
        <f t="shared" si="2576"/>
        <v>13014.672329624706</v>
      </c>
      <c r="W1569" s="2192">
        <f t="shared" si="2576"/>
        <v>16247.977900401056</v>
      </c>
      <c r="X1569" s="2192">
        <f t="shared" si="2576"/>
        <v>3628.3357271788186</v>
      </c>
      <c r="Y1569" s="2192">
        <f t="shared" si="2576"/>
        <v>14080.001763055034</v>
      </c>
      <c r="Z1569" s="2192">
        <f t="shared" si="2576"/>
        <v>15471.423449629592</v>
      </c>
      <c r="AA1569" s="2192">
        <f t="shared" si="2576"/>
        <v>20016.405857266658</v>
      </c>
      <c r="AB1569" s="2192">
        <f t="shared" si="2576"/>
        <v>8640.4424886921006</v>
      </c>
      <c r="AC1569" s="2192">
        <f t="shared" si="2576"/>
        <v>16565.133448479759</v>
      </c>
      <c r="AD1569" s="1365">
        <f t="shared" si="2563"/>
        <v>37486.462120556622</v>
      </c>
      <c r="AE1569" s="1365">
        <f t="shared" si="2564"/>
        <v>34248.627549672958</v>
      </c>
      <c r="AF1569" s="1365">
        <f t="shared" si="2565"/>
        <v>33179.760939863445</v>
      </c>
      <c r="AG1569" s="1365">
        <f t="shared" si="2566"/>
        <v>45221.981794438514</v>
      </c>
      <c r="AH1569" s="1365">
        <f t="shared" si="2567"/>
        <v>71735.089670229587</v>
      </c>
      <c r="AI1569" s="1365">
        <f t="shared" si="2568"/>
        <v>78401.742734301952</v>
      </c>
      <c r="AJ1569" s="1365">
        <f t="shared" si="2569"/>
        <v>150136.83240453154</v>
      </c>
    </row>
    <row r="1570" spans="1:36" ht="14.5">
      <c r="A1570" s="990">
        <v>1</v>
      </c>
      <c r="B1570" s="990">
        <v>1</v>
      </c>
      <c r="C1570" s="990" t="s">
        <v>863</v>
      </c>
      <c r="E1570" s="1611" t="s">
        <v>460</v>
      </c>
      <c r="F1570" s="1610"/>
      <c r="G1570" s="1731"/>
      <c r="H1570" s="1732"/>
      <c r="I1570" s="1327"/>
      <c r="J1570" s="1736" t="s">
        <v>1395</v>
      </c>
      <c r="K1570" s="1736"/>
      <c r="L1570" s="1737"/>
      <c r="M1570" s="278"/>
      <c r="N1570" s="278"/>
      <c r="O1570" s="278"/>
      <c r="P1570" s="278"/>
      <c r="Q1570" s="1914" t="str">
        <f>CHOOSE(2, "6722000004488", "RF (3) PP Variable cost HW")</f>
        <v>RF (3) PP Variable cost HW</v>
      </c>
      <c r="R1570" s="1738">
        <f>SUM(R1571:R1572)</f>
        <v>9036</v>
      </c>
      <c r="S1570" s="1738">
        <f t="shared" ref="S1570:AC1570" si="2577">SUM(S1571:S1572)</f>
        <v>5415</v>
      </c>
      <c r="T1570" s="1738">
        <f t="shared" si="2577"/>
        <v>11441</v>
      </c>
      <c r="U1570" s="1738">
        <f t="shared" si="2577"/>
        <v>44</v>
      </c>
      <c r="V1570" s="1738">
        <f t="shared" si="2577"/>
        <v>8080.6698978733584</v>
      </c>
      <c r="W1570" s="1738">
        <f t="shared" si="2577"/>
        <v>9119</v>
      </c>
      <c r="X1570" s="1738">
        <f t="shared" si="2577"/>
        <v>226</v>
      </c>
      <c r="Y1570" s="1738">
        <f t="shared" si="2577"/>
        <v>8810</v>
      </c>
      <c r="Z1570" s="1738">
        <f t="shared" si="2577"/>
        <v>10398</v>
      </c>
      <c r="AA1570" s="1738">
        <f t="shared" si="2577"/>
        <v>13016</v>
      </c>
      <c r="AB1570" s="1738">
        <f t="shared" si="2577"/>
        <v>208</v>
      </c>
      <c r="AC1570" s="1738">
        <f t="shared" si="2577"/>
        <v>701</v>
      </c>
      <c r="AD1570" s="1738">
        <f t="shared" si="2563"/>
        <v>25892</v>
      </c>
      <c r="AE1570" s="1738">
        <f t="shared" si="2564"/>
        <v>17243.669897873358</v>
      </c>
      <c r="AF1570" s="1738">
        <f t="shared" si="2565"/>
        <v>19434</v>
      </c>
      <c r="AG1570" s="1738">
        <f t="shared" si="2566"/>
        <v>13925</v>
      </c>
      <c r="AH1570" s="1738">
        <f t="shared" si="2567"/>
        <v>43135.669897873362</v>
      </c>
      <c r="AI1570" s="1738">
        <f t="shared" si="2568"/>
        <v>33359</v>
      </c>
      <c r="AJ1570" s="1738">
        <f t="shared" si="2569"/>
        <v>76494.669897873362</v>
      </c>
    </row>
    <row r="1571" spans="1:36" ht="14.5">
      <c r="A1571" s="990">
        <v>1</v>
      </c>
      <c r="B1571" s="990">
        <v>1</v>
      </c>
      <c r="C1571" s="990" t="s">
        <v>863</v>
      </c>
      <c r="E1571" s="1611" t="s">
        <v>460</v>
      </c>
      <c r="F1571" s="1610"/>
      <c r="G1571" s="1731"/>
      <c r="H1571" s="1732"/>
      <c r="I1571" s="1327"/>
      <c r="J1571" s="1321"/>
      <c r="K1571" s="1321" t="s">
        <v>212</v>
      </c>
      <c r="Q1571" s="1843" t="str">
        <f>CHOOSE(2, "6722000004489", "RF (3) PP Variable cost HW Direct")</f>
        <v>RF (3) PP Variable cost HW Direct</v>
      </c>
      <c r="R1571" s="19">
        <f t="shared" ref="R1571:AC1571" si="2578">R634-R665</f>
        <v>9036</v>
      </c>
      <c r="S1571" s="19">
        <f t="shared" si="2578"/>
        <v>5415</v>
      </c>
      <c r="T1571" s="19">
        <f t="shared" si="2578"/>
        <v>11441</v>
      </c>
      <c r="U1571" s="19">
        <f t="shared" si="2578"/>
        <v>44</v>
      </c>
      <c r="V1571" s="19">
        <f t="shared" si="2578"/>
        <v>8080.6698978733584</v>
      </c>
      <c r="W1571" s="19">
        <f t="shared" si="2578"/>
        <v>9119</v>
      </c>
      <c r="X1571" s="19">
        <f t="shared" si="2578"/>
        <v>226</v>
      </c>
      <c r="Y1571" s="19">
        <f t="shared" si="2578"/>
        <v>8810</v>
      </c>
      <c r="Z1571" s="19">
        <f t="shared" si="2578"/>
        <v>10398</v>
      </c>
      <c r="AA1571" s="19">
        <f t="shared" si="2578"/>
        <v>13016</v>
      </c>
      <c r="AB1571" s="19">
        <f t="shared" si="2578"/>
        <v>208</v>
      </c>
      <c r="AC1571" s="19">
        <f t="shared" si="2578"/>
        <v>701</v>
      </c>
      <c r="AD1571" s="19">
        <f t="shared" si="2563"/>
        <v>25892</v>
      </c>
      <c r="AE1571" s="19">
        <f t="shared" si="2564"/>
        <v>17243.669897873358</v>
      </c>
      <c r="AF1571" s="19">
        <f t="shared" si="2565"/>
        <v>19434</v>
      </c>
      <c r="AG1571" s="19">
        <f t="shared" si="2566"/>
        <v>13925</v>
      </c>
      <c r="AH1571" s="19">
        <f t="shared" si="2567"/>
        <v>43135.669897873362</v>
      </c>
      <c r="AI1571" s="19">
        <f t="shared" si="2568"/>
        <v>33359</v>
      </c>
      <c r="AJ1571" s="19">
        <f t="shared" si="2569"/>
        <v>76494.669897873362</v>
      </c>
    </row>
    <row r="1572" spans="1:36" ht="14.5">
      <c r="A1572" s="990">
        <v>1</v>
      </c>
      <c r="B1572" s="990">
        <v>1</v>
      </c>
      <c r="C1572" s="990" t="s">
        <v>863</v>
      </c>
      <c r="E1572" s="1611" t="s">
        <v>460</v>
      </c>
      <c r="F1572" s="1610"/>
      <c r="G1572" s="1731"/>
      <c r="H1572" s="1732"/>
      <c r="I1572" s="1327"/>
      <c r="J1572" s="1321"/>
      <c r="K1572" s="1321" t="s">
        <v>221</v>
      </c>
      <c r="Q1572" s="1843" t="str">
        <f>CHOOSE(2, "6722000004490", "RF (3) PP Variable cost HW Indirect")</f>
        <v>RF (3) PP Variable cost HW Indirect</v>
      </c>
      <c r="R1572" s="19">
        <f t="shared" ref="R1572:AC1572" si="2579">R649-R709</f>
        <v>0</v>
      </c>
      <c r="S1572" s="19">
        <f t="shared" si="2579"/>
        <v>0</v>
      </c>
      <c r="T1572" s="19">
        <f t="shared" si="2579"/>
        <v>0</v>
      </c>
      <c r="U1572" s="19">
        <f t="shared" si="2579"/>
        <v>0</v>
      </c>
      <c r="V1572" s="19">
        <f t="shared" si="2579"/>
        <v>0</v>
      </c>
      <c r="W1572" s="19">
        <f t="shared" si="2579"/>
        <v>0</v>
      </c>
      <c r="X1572" s="19">
        <f t="shared" si="2579"/>
        <v>0</v>
      </c>
      <c r="Y1572" s="19">
        <f t="shared" si="2579"/>
        <v>0</v>
      </c>
      <c r="Z1572" s="19">
        <f t="shared" si="2579"/>
        <v>0</v>
      </c>
      <c r="AA1572" s="19">
        <f t="shared" si="2579"/>
        <v>0</v>
      </c>
      <c r="AB1572" s="19">
        <f t="shared" si="2579"/>
        <v>0</v>
      </c>
      <c r="AC1572" s="19">
        <f t="shared" si="2579"/>
        <v>0</v>
      </c>
      <c r="AD1572" s="19">
        <f t="shared" si="2563"/>
        <v>0</v>
      </c>
      <c r="AE1572" s="19">
        <f t="shared" si="2564"/>
        <v>0</v>
      </c>
      <c r="AF1572" s="19">
        <f t="shared" si="2565"/>
        <v>0</v>
      </c>
      <c r="AG1572" s="19">
        <f t="shared" si="2566"/>
        <v>0</v>
      </c>
      <c r="AH1572" s="19">
        <f t="shared" si="2567"/>
        <v>0</v>
      </c>
      <c r="AI1572" s="19">
        <f t="shared" si="2568"/>
        <v>0</v>
      </c>
      <c r="AJ1572" s="19">
        <f t="shared" si="2569"/>
        <v>0</v>
      </c>
    </row>
    <row r="1573" spans="1:36" ht="14.5">
      <c r="A1573" s="990">
        <v>1</v>
      </c>
      <c r="B1573" s="990">
        <v>1</v>
      </c>
      <c r="C1573" s="990" t="s">
        <v>863</v>
      </c>
      <c r="E1573" s="1611" t="s">
        <v>460</v>
      </c>
      <c r="F1573" s="1610"/>
      <c r="G1573" s="1731"/>
      <c r="H1573" s="1732"/>
      <c r="I1573" s="1327"/>
      <c r="J1573" s="1736" t="s">
        <v>1396</v>
      </c>
      <c r="K1573" s="1736"/>
      <c r="L1573" s="1737"/>
      <c r="M1573" s="278"/>
      <c r="N1573" s="278"/>
      <c r="O1573" s="278"/>
      <c r="P1573" s="278"/>
      <c r="Q1573" s="1914" t="str">
        <f>CHOOSE(2, "6722000004491", "RF (3) PP Variable cost NH")</f>
        <v>RF (3) PP Variable cost NH</v>
      </c>
      <c r="R1573" s="1738">
        <f>SUM(R1574:R1575)</f>
        <v>4344</v>
      </c>
      <c r="S1573" s="1738">
        <f t="shared" ref="S1573:AC1573" si="2580">SUM(S1574:S1575)</f>
        <v>2291</v>
      </c>
      <c r="T1573" s="1738">
        <f t="shared" si="2580"/>
        <v>4364</v>
      </c>
      <c r="U1573" s="1738">
        <f t="shared" si="2580"/>
        <v>4593</v>
      </c>
      <c r="V1573" s="1738">
        <f t="shared" si="2580"/>
        <v>4800.0816749741471</v>
      </c>
      <c r="W1573" s="1738">
        <f t="shared" si="2580"/>
        <v>6658</v>
      </c>
      <c r="X1573" s="1738">
        <f t="shared" si="2580"/>
        <v>3198</v>
      </c>
      <c r="Y1573" s="1738">
        <f t="shared" si="2580"/>
        <v>4781</v>
      </c>
      <c r="Z1573" s="1738">
        <f t="shared" si="2580"/>
        <v>4910</v>
      </c>
      <c r="AA1573" s="1738">
        <f t="shared" si="2580"/>
        <v>5625</v>
      </c>
      <c r="AB1573" s="1738">
        <f t="shared" si="2580"/>
        <v>6784.2167400000017</v>
      </c>
      <c r="AC1573" s="1738">
        <f t="shared" si="2580"/>
        <v>16566</v>
      </c>
      <c r="AD1573" s="1738">
        <f t="shared" si="2563"/>
        <v>10999</v>
      </c>
      <c r="AE1573" s="1738">
        <f t="shared" si="2564"/>
        <v>16051.081674974146</v>
      </c>
      <c r="AF1573" s="1738">
        <f t="shared" si="2565"/>
        <v>12889</v>
      </c>
      <c r="AG1573" s="1738">
        <f t="shared" si="2566"/>
        <v>28975.216740000003</v>
      </c>
      <c r="AH1573" s="1738">
        <f t="shared" si="2567"/>
        <v>27050.081674974146</v>
      </c>
      <c r="AI1573" s="1738">
        <f t="shared" si="2568"/>
        <v>41864.216740000003</v>
      </c>
      <c r="AJ1573" s="1738">
        <f t="shared" si="2569"/>
        <v>68914.298414974153</v>
      </c>
    </row>
    <row r="1574" spans="1:36" ht="14.5">
      <c r="A1574" s="990">
        <v>1</v>
      </c>
      <c r="B1574" s="990">
        <v>1</v>
      </c>
      <c r="C1574" s="990" t="s">
        <v>863</v>
      </c>
      <c r="E1574" s="1611" t="s">
        <v>460</v>
      </c>
      <c r="F1574" s="1610"/>
      <c r="G1574" s="1731"/>
      <c r="H1574" s="1732"/>
      <c r="I1574" s="1327"/>
      <c r="J1574" s="1321"/>
      <c r="K1574" s="1321" t="s">
        <v>212</v>
      </c>
      <c r="Q1574" s="1843" t="str">
        <f>CHOOSE(2, "6722000004492", "RF (3) PP Variable cost NH Direct")</f>
        <v>RF (3) PP Variable cost NH Direct</v>
      </c>
      <c r="R1574" s="19">
        <f t="shared" ref="R1574:AC1574" si="2581">R641-R672+(R675+R681+R687+R693+R699+R703+R706)</f>
        <v>4344</v>
      </c>
      <c r="S1574" s="19">
        <f t="shared" si="2581"/>
        <v>2291</v>
      </c>
      <c r="T1574" s="19">
        <f t="shared" si="2581"/>
        <v>4364</v>
      </c>
      <c r="U1574" s="19">
        <f t="shared" si="2581"/>
        <v>4593</v>
      </c>
      <c r="V1574" s="19">
        <f t="shared" si="2581"/>
        <v>4800.0816749741471</v>
      </c>
      <c r="W1574" s="19">
        <f t="shared" si="2581"/>
        <v>6658</v>
      </c>
      <c r="X1574" s="19">
        <f t="shared" si="2581"/>
        <v>3198</v>
      </c>
      <c r="Y1574" s="19">
        <f t="shared" si="2581"/>
        <v>4781</v>
      </c>
      <c r="Z1574" s="19">
        <f t="shared" si="2581"/>
        <v>4910</v>
      </c>
      <c r="AA1574" s="19">
        <f t="shared" si="2581"/>
        <v>5625</v>
      </c>
      <c r="AB1574" s="19">
        <f t="shared" si="2581"/>
        <v>6784.2167400000017</v>
      </c>
      <c r="AC1574" s="19">
        <f t="shared" si="2581"/>
        <v>16566</v>
      </c>
      <c r="AD1574" s="19">
        <f t="shared" si="2563"/>
        <v>10999</v>
      </c>
      <c r="AE1574" s="19">
        <f t="shared" si="2564"/>
        <v>16051.081674974146</v>
      </c>
      <c r="AF1574" s="19">
        <f t="shared" si="2565"/>
        <v>12889</v>
      </c>
      <c r="AG1574" s="19">
        <f t="shared" si="2566"/>
        <v>28975.216740000003</v>
      </c>
      <c r="AH1574" s="19">
        <f t="shared" si="2567"/>
        <v>27050.081674974146</v>
      </c>
      <c r="AI1574" s="19">
        <f t="shared" si="2568"/>
        <v>41864.216740000003</v>
      </c>
      <c r="AJ1574" s="19">
        <f t="shared" si="2569"/>
        <v>68914.298414974153</v>
      </c>
    </row>
    <row r="1575" spans="1:36" ht="14.5">
      <c r="A1575" s="990">
        <v>1</v>
      </c>
      <c r="B1575" s="990">
        <v>1</v>
      </c>
      <c r="C1575" s="990" t="s">
        <v>863</v>
      </c>
      <c r="E1575" s="1611" t="s">
        <v>460</v>
      </c>
      <c r="F1575" s="1610"/>
      <c r="G1575" s="1731"/>
      <c r="H1575" s="1732"/>
      <c r="I1575" s="1327"/>
      <c r="J1575" s="1321"/>
      <c r="K1575" s="1321" t="s">
        <v>221</v>
      </c>
      <c r="Q1575" s="1843" t="str">
        <f>CHOOSE(2, "6722000004493", "RF (3) PP Variable cost NH Indirect")</f>
        <v>RF (3) PP Variable cost NH Indirect</v>
      </c>
      <c r="R1575" s="19">
        <f t="shared" ref="R1575:AC1575" si="2582">R656-R716+(R719+R725+R731+R737+R743+R747+R750)</f>
        <v>0</v>
      </c>
      <c r="S1575" s="19">
        <f t="shared" si="2582"/>
        <v>0</v>
      </c>
      <c r="T1575" s="19">
        <f t="shared" si="2582"/>
        <v>0</v>
      </c>
      <c r="U1575" s="19">
        <f t="shared" si="2582"/>
        <v>0</v>
      </c>
      <c r="V1575" s="19">
        <f t="shared" si="2582"/>
        <v>0</v>
      </c>
      <c r="W1575" s="19">
        <f t="shared" si="2582"/>
        <v>0</v>
      </c>
      <c r="X1575" s="19">
        <f t="shared" si="2582"/>
        <v>0</v>
      </c>
      <c r="Y1575" s="19">
        <f t="shared" si="2582"/>
        <v>0</v>
      </c>
      <c r="Z1575" s="19">
        <f t="shared" si="2582"/>
        <v>0</v>
      </c>
      <c r="AA1575" s="19">
        <f t="shared" si="2582"/>
        <v>0</v>
      </c>
      <c r="AB1575" s="19">
        <f t="shared" si="2582"/>
        <v>0</v>
      </c>
      <c r="AC1575" s="19">
        <f t="shared" si="2582"/>
        <v>0</v>
      </c>
      <c r="AD1575" s="19">
        <f t="shared" si="2563"/>
        <v>0</v>
      </c>
      <c r="AE1575" s="19">
        <f t="shared" si="2564"/>
        <v>0</v>
      </c>
      <c r="AF1575" s="19">
        <f t="shared" si="2565"/>
        <v>0</v>
      </c>
      <c r="AG1575" s="19">
        <f t="shared" si="2566"/>
        <v>0</v>
      </c>
      <c r="AH1575" s="19">
        <f t="shared" si="2567"/>
        <v>0</v>
      </c>
      <c r="AI1575" s="19">
        <f t="shared" si="2568"/>
        <v>0</v>
      </c>
      <c r="AJ1575" s="19">
        <f t="shared" si="2569"/>
        <v>0</v>
      </c>
    </row>
    <row r="1576" spans="1:36" ht="14.5">
      <c r="A1576" s="990">
        <v>1</v>
      </c>
      <c r="B1576" s="990">
        <v>1</v>
      </c>
      <c r="C1576" s="990" t="s">
        <v>863</v>
      </c>
      <c r="E1576" s="1611" t="s">
        <v>460</v>
      </c>
      <c r="F1576" s="1610"/>
      <c r="G1576" s="1731"/>
      <c r="H1576" s="1732"/>
      <c r="I1576" s="1327"/>
      <c r="J1576" s="1736" t="s">
        <v>1402</v>
      </c>
      <c r="K1576" s="1736"/>
      <c r="L1576" s="1737"/>
      <c r="M1576" s="278"/>
      <c r="N1576" s="278"/>
      <c r="O1576" s="278"/>
      <c r="P1576" s="278"/>
      <c r="Q1576" s="1914" t="str">
        <f>CHOOSE(2, "6722000004494", "RF (3) PP Variable cost SG&amp;A variable")</f>
        <v>RF (3) PP Variable cost SG&amp;A variable</v>
      </c>
      <c r="R1576" s="1738">
        <f t="shared" ref="R1576:AC1576" si="2583">R269</f>
        <v>169.92407056187767</v>
      </c>
      <c r="S1576" s="1738">
        <f t="shared" si="2583"/>
        <v>239.55089132340413</v>
      </c>
      <c r="T1576" s="1738">
        <f t="shared" si="2583"/>
        <v>185.98715867134592</v>
      </c>
      <c r="U1576" s="1738">
        <f t="shared" si="2583"/>
        <v>348.9773196471948</v>
      </c>
      <c r="V1576" s="1738">
        <f t="shared" si="2583"/>
        <v>133.9207567772001</v>
      </c>
      <c r="W1576" s="1738">
        <f t="shared" si="2583"/>
        <v>470.97790040105588</v>
      </c>
      <c r="X1576" s="1738">
        <f t="shared" si="2583"/>
        <v>204.33572717881862</v>
      </c>
      <c r="Y1576" s="1738">
        <f t="shared" si="2583"/>
        <v>489.00176305503419</v>
      </c>
      <c r="Z1576" s="1738">
        <f t="shared" si="2583"/>
        <v>163.4234496295926</v>
      </c>
      <c r="AA1576" s="1738">
        <f t="shared" si="2583"/>
        <v>1375.4058572666568</v>
      </c>
      <c r="AB1576" s="1738">
        <f t="shared" si="2583"/>
        <v>1648.2257486920998</v>
      </c>
      <c r="AC1576" s="1738">
        <f t="shared" si="2583"/>
        <v>-701.86655152023945</v>
      </c>
      <c r="AD1576" s="1738">
        <f t="shared" si="2563"/>
        <v>595.46212055662772</v>
      </c>
      <c r="AE1576" s="1738">
        <f t="shared" ref="AE1576" si="2584">SUM(U1576:W1576)</f>
        <v>953.87597682545083</v>
      </c>
      <c r="AF1576" s="1738">
        <f t="shared" ref="AF1576" si="2585">SUM(X1576:Z1576)</f>
        <v>856.7609398634454</v>
      </c>
      <c r="AG1576" s="1738">
        <f t="shared" ref="AG1576" si="2586">SUM(AA1576:AC1576)</f>
        <v>2321.7650544385169</v>
      </c>
      <c r="AH1576" s="1738">
        <f t="shared" si="2567"/>
        <v>1549.3380973820786</v>
      </c>
      <c r="AI1576" s="1738">
        <f t="shared" si="2568"/>
        <v>3178.5259943019623</v>
      </c>
      <c r="AJ1576" s="1738">
        <f t="shared" si="2569"/>
        <v>4727.8640916840413</v>
      </c>
    </row>
    <row r="1577" spans="1:36" ht="14.5">
      <c r="A1577" s="990">
        <v>1</v>
      </c>
      <c r="B1577" s="990">
        <v>1</v>
      </c>
      <c r="C1577" s="990" t="s">
        <v>863</v>
      </c>
      <c r="E1577" s="1611" t="s">
        <v>460</v>
      </c>
      <c r="F1577" s="1610"/>
      <c r="G1577" s="1731"/>
      <c r="H1577" s="1732"/>
      <c r="I1577" s="1750" t="s">
        <v>865</v>
      </c>
      <c r="J1577" s="1751"/>
      <c r="K1577" s="1751"/>
      <c r="L1577" s="1752"/>
      <c r="M1577" s="1753"/>
      <c r="N1577" s="1753"/>
      <c r="O1577" s="1753"/>
      <c r="P1577" s="1753"/>
      <c r="Q1577" s="1882" t="str">
        <f>CHOOSE(2, "6722000004495", "RF (3) PP Marginal Profit")</f>
        <v>RF (3) PP Marginal Profit</v>
      </c>
      <c r="R1577" s="2192">
        <f t="shared" ref="R1577:AC1583" si="2587">R1562-R1569</f>
        <v>1758.0759294381223</v>
      </c>
      <c r="S1577" s="2192">
        <f t="shared" si="2587"/>
        <v>-1950.5508913234044</v>
      </c>
      <c r="T1577" s="2192">
        <f t="shared" si="2587"/>
        <v>9677.0128413286548</v>
      </c>
      <c r="U1577" s="2192">
        <f t="shared" si="2587"/>
        <v>2472.0226803528049</v>
      </c>
      <c r="V1577" s="2192">
        <f t="shared" si="2587"/>
        <v>4433.4766703752921</v>
      </c>
      <c r="W1577" s="2192">
        <f t="shared" si="2587"/>
        <v>2814.0220995989439</v>
      </c>
      <c r="X1577" s="2192">
        <f t="shared" si="2587"/>
        <v>3733.6642728211814</v>
      </c>
      <c r="Y1577" s="2192">
        <f t="shared" si="2587"/>
        <v>2942.9982369449663</v>
      </c>
      <c r="Z1577" s="2192">
        <f t="shared" si="2587"/>
        <v>-7886.4234496295921</v>
      </c>
      <c r="AA1577" s="2192">
        <f t="shared" si="2587"/>
        <v>6133.5941427333419</v>
      </c>
      <c r="AB1577" s="2192">
        <f t="shared" si="2587"/>
        <v>-57.186488692099374</v>
      </c>
      <c r="AC1577" s="2192">
        <f t="shared" si="2587"/>
        <v>9181.866551520241</v>
      </c>
      <c r="AD1577" s="1365">
        <f t="shared" si="2563"/>
        <v>9484.5378794433727</v>
      </c>
      <c r="AE1577" s="1365">
        <f t="shared" si="2564"/>
        <v>9719.5214503270399</v>
      </c>
      <c r="AF1577" s="1365">
        <f t="shared" si="2565"/>
        <v>-1209.7609398634449</v>
      </c>
      <c r="AG1577" s="1365">
        <f t="shared" si="2566"/>
        <v>15258.274205561484</v>
      </c>
      <c r="AH1577" s="1365">
        <f t="shared" si="2567"/>
        <v>19204.059329770411</v>
      </c>
      <c r="AI1577" s="1365">
        <f t="shared" si="2568"/>
        <v>14048.513265698039</v>
      </c>
      <c r="AJ1577" s="1365">
        <f t="shared" si="2569"/>
        <v>33252.572595468446</v>
      </c>
    </row>
    <row r="1578" spans="1:36" ht="14.5">
      <c r="A1578" s="990">
        <v>1</v>
      </c>
      <c r="B1578" s="990">
        <v>1</v>
      </c>
      <c r="C1578" s="990" t="s">
        <v>863</v>
      </c>
      <c r="E1578" s="1611" t="s">
        <v>460</v>
      </c>
      <c r="F1578" s="1610"/>
      <c r="G1578" s="1731"/>
      <c r="H1578" s="1732"/>
      <c r="I1578" s="1327"/>
      <c r="J1578" s="1736" t="s">
        <v>1395</v>
      </c>
      <c r="K1578" s="1736"/>
      <c r="L1578" s="1737"/>
      <c r="M1578" s="278"/>
      <c r="N1578" s="278"/>
      <c r="O1578" s="278"/>
      <c r="P1578" s="278"/>
      <c r="Q1578" s="1914" t="str">
        <f>CHOOSE(2, "6722000004496", "RF (3) PP Marginal Profit HW")</f>
        <v>RF (3) PP Marginal Profit HW</v>
      </c>
      <c r="R1578" s="1738">
        <f t="shared" si="2587"/>
        <v>466</v>
      </c>
      <c r="S1578" s="1738">
        <f t="shared" si="2587"/>
        <v>-5163</v>
      </c>
      <c r="T1578" s="1738">
        <f t="shared" si="2587"/>
        <v>7811</v>
      </c>
      <c r="U1578" s="1738">
        <f t="shared" si="2587"/>
        <v>208</v>
      </c>
      <c r="V1578" s="1738">
        <f t="shared" si="2587"/>
        <v>1519.3301021266416</v>
      </c>
      <c r="W1578" s="1738">
        <f t="shared" si="2587"/>
        <v>1637</v>
      </c>
      <c r="X1578" s="1738">
        <f t="shared" si="2587"/>
        <v>152</v>
      </c>
      <c r="Y1578" s="1738">
        <f t="shared" si="2587"/>
        <v>1090</v>
      </c>
      <c r="Z1578" s="1738">
        <f t="shared" si="2587"/>
        <v>-10398</v>
      </c>
      <c r="AA1578" s="1738">
        <f t="shared" si="2587"/>
        <v>5836</v>
      </c>
      <c r="AB1578" s="1738">
        <f t="shared" si="2587"/>
        <v>-208</v>
      </c>
      <c r="AC1578" s="1738">
        <f t="shared" si="2587"/>
        <v>16384</v>
      </c>
      <c r="AD1578" s="1738">
        <f t="shared" si="2563"/>
        <v>3114</v>
      </c>
      <c r="AE1578" s="1738">
        <f t="shared" si="2564"/>
        <v>3364.3301021266416</v>
      </c>
      <c r="AF1578" s="1738">
        <f t="shared" si="2565"/>
        <v>-9156</v>
      </c>
      <c r="AG1578" s="1738">
        <f t="shared" si="2566"/>
        <v>22012</v>
      </c>
      <c r="AH1578" s="1738">
        <f t="shared" si="2567"/>
        <v>6478.3301021266416</v>
      </c>
      <c r="AI1578" s="1738">
        <f t="shared" si="2568"/>
        <v>12856</v>
      </c>
      <c r="AJ1578" s="1738">
        <f t="shared" si="2569"/>
        <v>19334.330102126642</v>
      </c>
    </row>
    <row r="1579" spans="1:36" ht="14.5">
      <c r="A1579" s="990">
        <v>1</v>
      </c>
      <c r="B1579" s="990">
        <v>1</v>
      </c>
      <c r="C1579" s="990" t="s">
        <v>863</v>
      </c>
      <c r="E1579" s="1611" t="s">
        <v>460</v>
      </c>
      <c r="F1579" s="1610"/>
      <c r="G1579" s="1731"/>
      <c r="H1579" s="1732"/>
      <c r="I1579" s="1327"/>
      <c r="J1579" s="1321"/>
      <c r="K1579" s="1321" t="s">
        <v>212</v>
      </c>
      <c r="Q1579" s="1843" t="str">
        <f>CHOOSE(2, "6722000004497", "RF (3) PP Marginal Profit HW Direct")</f>
        <v>RF (3) PP Marginal Profit HW Direct</v>
      </c>
      <c r="R1579" s="19">
        <f t="shared" si="2587"/>
        <v>466</v>
      </c>
      <c r="S1579" s="19">
        <f t="shared" si="2587"/>
        <v>-5163</v>
      </c>
      <c r="T1579" s="19">
        <f t="shared" si="2587"/>
        <v>7811</v>
      </c>
      <c r="U1579" s="19">
        <f t="shared" si="2587"/>
        <v>208</v>
      </c>
      <c r="V1579" s="19">
        <f t="shared" si="2587"/>
        <v>1519.3301021266416</v>
      </c>
      <c r="W1579" s="19">
        <f t="shared" si="2587"/>
        <v>1637</v>
      </c>
      <c r="X1579" s="19">
        <f t="shared" si="2587"/>
        <v>152</v>
      </c>
      <c r="Y1579" s="19">
        <f t="shared" si="2587"/>
        <v>1090</v>
      </c>
      <c r="Z1579" s="19">
        <f t="shared" si="2587"/>
        <v>-10398</v>
      </c>
      <c r="AA1579" s="19">
        <f t="shared" si="2587"/>
        <v>5836</v>
      </c>
      <c r="AB1579" s="19">
        <f t="shared" si="2587"/>
        <v>-208</v>
      </c>
      <c r="AC1579" s="19">
        <f t="shared" si="2587"/>
        <v>16384</v>
      </c>
      <c r="AD1579" s="19">
        <f t="shared" si="2563"/>
        <v>3114</v>
      </c>
      <c r="AE1579" s="19">
        <f t="shared" si="2564"/>
        <v>3364.3301021266416</v>
      </c>
      <c r="AF1579" s="19">
        <f t="shared" si="2565"/>
        <v>-9156</v>
      </c>
      <c r="AG1579" s="19">
        <f t="shared" si="2566"/>
        <v>22012</v>
      </c>
      <c r="AH1579" s="19">
        <f t="shared" si="2567"/>
        <v>6478.3301021266416</v>
      </c>
      <c r="AI1579" s="19">
        <f t="shared" si="2568"/>
        <v>12856</v>
      </c>
      <c r="AJ1579" s="19">
        <f t="shared" si="2569"/>
        <v>19334.330102126642</v>
      </c>
    </row>
    <row r="1580" spans="1:36" ht="14.5">
      <c r="A1580" s="990">
        <v>1</v>
      </c>
      <c r="B1580" s="990">
        <v>1</v>
      </c>
      <c r="C1580" s="990" t="s">
        <v>863</v>
      </c>
      <c r="E1580" s="1611" t="s">
        <v>460</v>
      </c>
      <c r="F1580" s="1610"/>
      <c r="G1580" s="1731"/>
      <c r="H1580" s="1732"/>
      <c r="I1580" s="1327"/>
      <c r="J1580" s="1321"/>
      <c r="K1580" s="1321" t="s">
        <v>221</v>
      </c>
      <c r="Q1580" s="1843" t="str">
        <f>CHOOSE(2, "6722000004498", "RF (3) PP Marginal Profit HW Indirect")</f>
        <v>RF (3) PP Marginal Profit HW Indirect</v>
      </c>
      <c r="R1580" s="19">
        <f t="shared" si="2587"/>
        <v>0</v>
      </c>
      <c r="S1580" s="19">
        <f t="shared" si="2587"/>
        <v>0</v>
      </c>
      <c r="T1580" s="19">
        <f t="shared" si="2587"/>
        <v>0</v>
      </c>
      <c r="U1580" s="19">
        <f t="shared" si="2587"/>
        <v>0</v>
      </c>
      <c r="V1580" s="19">
        <f t="shared" si="2587"/>
        <v>0</v>
      </c>
      <c r="W1580" s="19">
        <f t="shared" si="2587"/>
        <v>0</v>
      </c>
      <c r="X1580" s="19">
        <f t="shared" si="2587"/>
        <v>0</v>
      </c>
      <c r="Y1580" s="19">
        <f t="shared" si="2587"/>
        <v>0</v>
      </c>
      <c r="Z1580" s="19">
        <f t="shared" si="2587"/>
        <v>0</v>
      </c>
      <c r="AA1580" s="19">
        <f t="shared" si="2587"/>
        <v>0</v>
      </c>
      <c r="AB1580" s="19">
        <f t="shared" si="2587"/>
        <v>0</v>
      </c>
      <c r="AC1580" s="19">
        <f t="shared" si="2587"/>
        <v>0</v>
      </c>
      <c r="AD1580" s="19">
        <f t="shared" si="2563"/>
        <v>0</v>
      </c>
      <c r="AE1580" s="19">
        <f t="shared" si="2564"/>
        <v>0</v>
      </c>
      <c r="AF1580" s="19">
        <f t="shared" si="2565"/>
        <v>0</v>
      </c>
      <c r="AG1580" s="19">
        <f t="shared" si="2566"/>
        <v>0</v>
      </c>
      <c r="AH1580" s="19">
        <f t="shared" si="2567"/>
        <v>0</v>
      </c>
      <c r="AI1580" s="19">
        <f t="shared" si="2568"/>
        <v>0</v>
      </c>
      <c r="AJ1580" s="19">
        <f t="shared" si="2569"/>
        <v>0</v>
      </c>
    </row>
    <row r="1581" spans="1:36" ht="14.5">
      <c r="A1581" s="990">
        <v>1</v>
      </c>
      <c r="B1581" s="990">
        <v>1</v>
      </c>
      <c r="C1581" s="990" t="s">
        <v>863</v>
      </c>
      <c r="E1581" s="1611" t="s">
        <v>460</v>
      </c>
      <c r="F1581" s="1610"/>
      <c r="G1581" s="1731"/>
      <c r="H1581" s="1732"/>
      <c r="I1581" s="1327"/>
      <c r="J1581" s="1736" t="s">
        <v>1396</v>
      </c>
      <c r="K1581" s="1736"/>
      <c r="L1581" s="1737"/>
      <c r="M1581" s="278"/>
      <c r="N1581" s="278"/>
      <c r="O1581" s="278"/>
      <c r="P1581" s="278"/>
      <c r="Q1581" s="1914" t="str">
        <f>CHOOSE(2, "6722000004499", "RF (3) PP Marginal Profit NH")</f>
        <v>RF (3) PP Marginal Profit NH</v>
      </c>
      <c r="R1581" s="1738">
        <f t="shared" si="2587"/>
        <v>1462</v>
      </c>
      <c r="S1581" s="1738">
        <f t="shared" si="2587"/>
        <v>3452</v>
      </c>
      <c r="T1581" s="1738">
        <f t="shared" si="2587"/>
        <v>2052</v>
      </c>
      <c r="U1581" s="1738">
        <f t="shared" si="2587"/>
        <v>2613</v>
      </c>
      <c r="V1581" s="1738">
        <f t="shared" si="2587"/>
        <v>3048.0673250258524</v>
      </c>
      <c r="W1581" s="1738">
        <f t="shared" si="2587"/>
        <v>1648</v>
      </c>
      <c r="X1581" s="1738">
        <f t="shared" si="2587"/>
        <v>3786</v>
      </c>
      <c r="Y1581" s="1738">
        <f t="shared" si="2587"/>
        <v>2342</v>
      </c>
      <c r="Z1581" s="1738">
        <f t="shared" si="2587"/>
        <v>2675</v>
      </c>
      <c r="AA1581" s="1738">
        <f t="shared" si="2587"/>
        <v>1673</v>
      </c>
      <c r="AB1581" s="1738">
        <f t="shared" si="2587"/>
        <v>1799.0392599999996</v>
      </c>
      <c r="AC1581" s="1738">
        <f t="shared" si="2587"/>
        <v>-7904</v>
      </c>
      <c r="AD1581" s="1738">
        <f t="shared" si="2563"/>
        <v>6966</v>
      </c>
      <c r="AE1581" s="1738">
        <f t="shared" si="2564"/>
        <v>7309.0673250258524</v>
      </c>
      <c r="AF1581" s="1738">
        <f t="shared" si="2565"/>
        <v>8803</v>
      </c>
      <c r="AG1581" s="1738">
        <f t="shared" si="2566"/>
        <v>-4431.9607400000004</v>
      </c>
      <c r="AH1581" s="1738">
        <f t="shared" si="2567"/>
        <v>14275.067325025851</v>
      </c>
      <c r="AI1581" s="1738">
        <f t="shared" si="2568"/>
        <v>4371.0392599999996</v>
      </c>
      <c r="AJ1581" s="1738">
        <f t="shared" si="2569"/>
        <v>18646.106585025853</v>
      </c>
    </row>
    <row r="1582" spans="1:36" ht="14.5">
      <c r="A1582" s="990">
        <v>1</v>
      </c>
      <c r="B1582" s="990">
        <v>1</v>
      </c>
      <c r="C1582" s="990" t="s">
        <v>863</v>
      </c>
      <c r="E1582" s="1611" t="s">
        <v>460</v>
      </c>
      <c r="F1582" s="1610"/>
      <c r="G1582" s="1731"/>
      <c r="H1582" s="1732"/>
      <c r="I1582" s="1327"/>
      <c r="J1582" s="1321"/>
      <c r="K1582" s="1321" t="s">
        <v>212</v>
      </c>
      <c r="Q1582" s="1843" t="str">
        <f>CHOOSE(2, "6722000004500", "RF (3) PP Marginal Profit NH Direct")</f>
        <v>RF (3) PP Marginal Profit NH Direct</v>
      </c>
      <c r="R1582" s="19">
        <f t="shared" si="2587"/>
        <v>1462</v>
      </c>
      <c r="S1582" s="19">
        <f t="shared" si="2587"/>
        <v>3452</v>
      </c>
      <c r="T1582" s="19">
        <f t="shared" si="2587"/>
        <v>2052</v>
      </c>
      <c r="U1582" s="19">
        <f t="shared" si="2587"/>
        <v>2613</v>
      </c>
      <c r="V1582" s="19">
        <f t="shared" si="2587"/>
        <v>3048.0673250258524</v>
      </c>
      <c r="W1582" s="19">
        <f t="shared" si="2587"/>
        <v>1648</v>
      </c>
      <c r="X1582" s="19">
        <f t="shared" si="2587"/>
        <v>3786</v>
      </c>
      <c r="Y1582" s="19">
        <f t="shared" si="2587"/>
        <v>2342</v>
      </c>
      <c r="Z1582" s="19">
        <f t="shared" si="2587"/>
        <v>2675</v>
      </c>
      <c r="AA1582" s="19">
        <f t="shared" si="2587"/>
        <v>1673</v>
      </c>
      <c r="AB1582" s="19">
        <f t="shared" si="2587"/>
        <v>1799.0392599999996</v>
      </c>
      <c r="AC1582" s="19">
        <f t="shared" si="2587"/>
        <v>-7904</v>
      </c>
      <c r="AD1582" s="19">
        <f t="shared" si="2563"/>
        <v>6966</v>
      </c>
      <c r="AE1582" s="19">
        <f t="shared" si="2564"/>
        <v>7309.0673250258524</v>
      </c>
      <c r="AF1582" s="19">
        <f t="shared" si="2565"/>
        <v>8803</v>
      </c>
      <c r="AG1582" s="19">
        <f t="shared" si="2566"/>
        <v>-4431.9607400000004</v>
      </c>
      <c r="AH1582" s="19">
        <f t="shared" si="2567"/>
        <v>14275.067325025851</v>
      </c>
      <c r="AI1582" s="19">
        <f t="shared" si="2568"/>
        <v>4371.0392599999996</v>
      </c>
      <c r="AJ1582" s="19">
        <f t="shared" si="2569"/>
        <v>18646.106585025853</v>
      </c>
    </row>
    <row r="1583" spans="1:36" ht="14.5">
      <c r="A1583" s="990">
        <v>1</v>
      </c>
      <c r="B1583" s="990">
        <v>1</v>
      </c>
      <c r="C1583" s="990" t="s">
        <v>863</v>
      </c>
      <c r="E1583" s="1611" t="s">
        <v>460</v>
      </c>
      <c r="F1583" s="1610"/>
      <c r="G1583" s="1731"/>
      <c r="H1583" s="1732"/>
      <c r="I1583" s="1327"/>
      <c r="J1583" s="1321"/>
      <c r="K1583" s="1321" t="s">
        <v>221</v>
      </c>
      <c r="Q1583" s="1843" t="str">
        <f>CHOOSE(2, "6722000004501", "RF (3) PP Marginal Profit NH Indirect")</f>
        <v>RF (3) PP Marginal Profit NH Indirect</v>
      </c>
      <c r="R1583" s="19">
        <f t="shared" si="2587"/>
        <v>0</v>
      </c>
      <c r="S1583" s="19">
        <f t="shared" si="2587"/>
        <v>0</v>
      </c>
      <c r="T1583" s="19">
        <f t="shared" si="2587"/>
        <v>0</v>
      </c>
      <c r="U1583" s="19">
        <f t="shared" si="2587"/>
        <v>0</v>
      </c>
      <c r="V1583" s="19">
        <f t="shared" si="2587"/>
        <v>0</v>
      </c>
      <c r="W1583" s="19">
        <f t="shared" si="2587"/>
        <v>0</v>
      </c>
      <c r="X1583" s="19">
        <f t="shared" si="2587"/>
        <v>0</v>
      </c>
      <c r="Y1583" s="19">
        <f t="shared" si="2587"/>
        <v>0</v>
      </c>
      <c r="Z1583" s="19">
        <f t="shared" si="2587"/>
        <v>0</v>
      </c>
      <c r="AA1583" s="19">
        <f t="shared" si="2587"/>
        <v>0</v>
      </c>
      <c r="AB1583" s="19">
        <f t="shared" si="2587"/>
        <v>0</v>
      </c>
      <c r="AC1583" s="19">
        <f t="shared" si="2587"/>
        <v>0</v>
      </c>
      <c r="AD1583" s="19">
        <f t="shared" si="2563"/>
        <v>0</v>
      </c>
      <c r="AE1583" s="19">
        <f t="shared" si="2564"/>
        <v>0</v>
      </c>
      <c r="AF1583" s="19">
        <f t="shared" si="2565"/>
        <v>0</v>
      </c>
      <c r="AG1583" s="19">
        <f t="shared" si="2566"/>
        <v>0</v>
      </c>
      <c r="AH1583" s="19">
        <f t="shared" si="2567"/>
        <v>0</v>
      </c>
      <c r="AI1583" s="19">
        <f t="shared" si="2568"/>
        <v>0</v>
      </c>
      <c r="AJ1583" s="19">
        <f t="shared" si="2569"/>
        <v>0</v>
      </c>
    </row>
    <row r="1584" spans="1:36" ht="14.5">
      <c r="A1584" s="990">
        <v>1</v>
      </c>
      <c r="B1584" s="990">
        <v>1</v>
      </c>
      <c r="C1584" s="990" t="s">
        <v>863</v>
      </c>
      <c r="E1584" s="1611" t="s">
        <v>460</v>
      </c>
      <c r="F1584" s="1610"/>
      <c r="G1584" s="1731"/>
      <c r="H1584" s="1732"/>
      <c r="I1584" s="1750" t="s">
        <v>1399</v>
      </c>
      <c r="J1584" s="1751"/>
      <c r="K1584" s="1751"/>
      <c r="L1584" s="1752"/>
      <c r="M1584" s="1753"/>
      <c r="N1584" s="1753"/>
      <c r="O1584" s="1753"/>
      <c r="P1584" s="1753"/>
      <c r="Q1584" s="1882" t="str">
        <f>CHOOSE(2, "6722000004502", "RF (3) PP Marginal Profit %")</f>
        <v>RF (3) PP Marginal Profit %</v>
      </c>
      <c r="R1584" s="2315">
        <f t="shared" ref="R1584:AC1590" si="2588">IFERROR(R1577/R1562,"")</f>
        <v>0.11484687284022226</v>
      </c>
      <c r="S1584" s="2315">
        <f t="shared" si="2588"/>
        <v>-0.32536295101307827</v>
      </c>
      <c r="T1584" s="2315">
        <f t="shared" si="2588"/>
        <v>0.37700688956399619</v>
      </c>
      <c r="U1584" s="2315">
        <f t="shared" si="2588"/>
        <v>0.33145919554207626</v>
      </c>
      <c r="V1584" s="2315">
        <f t="shared" si="2588"/>
        <v>0.25409438390142658</v>
      </c>
      <c r="W1584" s="2315">
        <f t="shared" si="2588"/>
        <v>0.14762470357774335</v>
      </c>
      <c r="X1584" s="2315">
        <f t="shared" si="2588"/>
        <v>0.50715352795723734</v>
      </c>
      <c r="Y1584" s="2315">
        <f t="shared" si="2588"/>
        <v>0.17288364195176914</v>
      </c>
      <c r="Z1584" s="2315">
        <f t="shared" si="2588"/>
        <v>-1.0397394132669204</v>
      </c>
      <c r="AA1584" s="2315">
        <f t="shared" si="2588"/>
        <v>0.23455426932058668</v>
      </c>
      <c r="AB1584" s="2315">
        <f t="shared" si="2588"/>
        <v>-6.6625635647007807E-3</v>
      </c>
      <c r="AC1584" s="2315">
        <f t="shared" si="2588"/>
        <v>0.35661888963841382</v>
      </c>
      <c r="AD1584" s="1754">
        <f t="shared" ref="AD1584:AJ1590" si="2589">IFERROR(AD1577/AD1562,"")</f>
        <v>0.20192326923938969</v>
      </c>
      <c r="AE1584" s="1754">
        <f t="shared" si="2589"/>
        <v>0.22105823582264153</v>
      </c>
      <c r="AF1584" s="1754">
        <f t="shared" si="2589"/>
        <v>-3.7840504844023924E-2</v>
      </c>
      <c r="AG1584" s="1754">
        <f t="shared" si="2589"/>
        <v>0.25228521197994735</v>
      </c>
      <c r="AH1584" s="1754">
        <f t="shared" si="2589"/>
        <v>0.2111748299928605</v>
      </c>
      <c r="AI1584" s="1754">
        <f t="shared" si="2589"/>
        <v>0.1519575377454665</v>
      </c>
      <c r="AJ1584" s="1754">
        <f t="shared" si="2589"/>
        <v>0.18132221212816763</v>
      </c>
    </row>
    <row r="1585" spans="1:36" ht="14.5">
      <c r="A1585" s="990">
        <v>1</v>
      </c>
      <c r="B1585" s="990">
        <v>1</v>
      </c>
      <c r="C1585" s="990" t="s">
        <v>863</v>
      </c>
      <c r="E1585" s="1611" t="s">
        <v>460</v>
      </c>
      <c r="F1585" s="1610"/>
      <c r="G1585" s="1731"/>
      <c r="H1585" s="1732"/>
      <c r="I1585" s="1327"/>
      <c r="J1585" s="1736" t="s">
        <v>1395</v>
      </c>
      <c r="K1585" s="1736"/>
      <c r="L1585" s="1737"/>
      <c r="M1585" s="278"/>
      <c r="N1585" s="278"/>
      <c r="O1585" s="278"/>
      <c r="P1585" s="278"/>
      <c r="Q1585" s="1914" t="str">
        <f>CHOOSE(2, "6722000004503", "RF (3) PP Marginal Profit % HW")</f>
        <v>RF (3) PP Marginal Profit % HW</v>
      </c>
      <c r="R1585" s="1740">
        <f t="shared" si="2588"/>
        <v>4.9042306882761524E-2</v>
      </c>
      <c r="S1585" s="1740">
        <f t="shared" si="2588"/>
        <v>-20.488095238095237</v>
      </c>
      <c r="T1585" s="1740">
        <f t="shared" si="2588"/>
        <v>0.40572408061500104</v>
      </c>
      <c r="U1585" s="1740">
        <f t="shared" si="2588"/>
        <v>0.82539682539682535</v>
      </c>
      <c r="V1585" s="1740">
        <f t="shared" si="2588"/>
        <v>0.1582635523048585</v>
      </c>
      <c r="W1585" s="1740">
        <f t="shared" si="2588"/>
        <v>0.1521941242097434</v>
      </c>
      <c r="X1585" s="1740">
        <f t="shared" si="2588"/>
        <v>0.40211640211640209</v>
      </c>
      <c r="Y1585" s="1740">
        <f t="shared" si="2588"/>
        <v>0.1101010101010101</v>
      </c>
      <c r="Z1585" s="1740" t="str">
        <f t="shared" si="2588"/>
        <v/>
      </c>
      <c r="AA1585" s="1740">
        <f t="shared" si="2588"/>
        <v>0.30956927646934013</v>
      </c>
      <c r="AB1585" s="1740" t="str">
        <f t="shared" si="2588"/>
        <v/>
      </c>
      <c r="AC1585" s="1740">
        <f t="shared" si="2588"/>
        <v>0.95896985659935619</v>
      </c>
      <c r="AD1585" s="1740">
        <f t="shared" si="2589"/>
        <v>0.10735709853133835</v>
      </c>
      <c r="AE1585" s="1740">
        <f t="shared" si="2589"/>
        <v>0.16325359579418874</v>
      </c>
      <c r="AF1585" s="1740">
        <f t="shared" si="2589"/>
        <v>-0.89083479276123756</v>
      </c>
      <c r="AG1585" s="1740">
        <f t="shared" si="2589"/>
        <v>0.61251634805353816</v>
      </c>
      <c r="AH1585" s="1740">
        <f t="shared" si="2589"/>
        <v>0.13057463824982146</v>
      </c>
      <c r="AI1585" s="1740">
        <f t="shared" si="2589"/>
        <v>0.27817808070972627</v>
      </c>
      <c r="AJ1585" s="1740">
        <f t="shared" si="2589"/>
        <v>0.2017586545004815</v>
      </c>
    </row>
    <row r="1586" spans="1:36" ht="14.5">
      <c r="A1586" s="990">
        <v>1</v>
      </c>
      <c r="B1586" s="990">
        <v>1</v>
      </c>
      <c r="C1586" s="990" t="s">
        <v>863</v>
      </c>
      <c r="E1586" s="1611" t="s">
        <v>460</v>
      </c>
      <c r="F1586" s="1610"/>
      <c r="G1586" s="1731"/>
      <c r="H1586" s="1732"/>
      <c r="I1586" s="1327"/>
      <c r="J1586" s="1321"/>
      <c r="K1586" s="1321" t="s">
        <v>212</v>
      </c>
      <c r="Q1586" s="1843" t="str">
        <f>CHOOSE(2, "6722000004504", "RF (3) PP Marginal Profit % HW Direct")</f>
        <v>RF (3) PP Marginal Profit % HW Direct</v>
      </c>
      <c r="R1586" s="1741">
        <f t="shared" si="2588"/>
        <v>4.9042306882761524E-2</v>
      </c>
      <c r="S1586" s="1741">
        <f t="shared" si="2588"/>
        <v>-20.488095238095237</v>
      </c>
      <c r="T1586" s="1741">
        <f t="shared" si="2588"/>
        <v>0.40572408061500104</v>
      </c>
      <c r="U1586" s="1741">
        <f t="shared" si="2588"/>
        <v>0.82539682539682535</v>
      </c>
      <c r="V1586" s="1741">
        <f t="shared" si="2588"/>
        <v>0.1582635523048585</v>
      </c>
      <c r="W1586" s="1741">
        <f t="shared" si="2588"/>
        <v>0.1521941242097434</v>
      </c>
      <c r="X1586" s="1741">
        <f t="shared" si="2588"/>
        <v>0.40211640211640209</v>
      </c>
      <c r="Y1586" s="1741">
        <f t="shared" si="2588"/>
        <v>0.1101010101010101</v>
      </c>
      <c r="Z1586" s="1741" t="str">
        <f t="shared" si="2588"/>
        <v/>
      </c>
      <c r="AA1586" s="1741">
        <f t="shared" si="2588"/>
        <v>0.30956927646934013</v>
      </c>
      <c r="AB1586" s="1741" t="str">
        <f t="shared" si="2588"/>
        <v/>
      </c>
      <c r="AC1586" s="1741">
        <f t="shared" si="2588"/>
        <v>0.95896985659935619</v>
      </c>
      <c r="AD1586" s="1741">
        <f t="shared" si="2589"/>
        <v>0.10735709853133835</v>
      </c>
      <c r="AE1586" s="1741">
        <f t="shared" si="2589"/>
        <v>0.16325359579418874</v>
      </c>
      <c r="AF1586" s="1741">
        <f t="shared" si="2589"/>
        <v>-0.89083479276123756</v>
      </c>
      <c r="AG1586" s="1741">
        <f t="shared" si="2589"/>
        <v>0.61251634805353816</v>
      </c>
      <c r="AH1586" s="1741">
        <f t="shared" si="2589"/>
        <v>0.13057463824982146</v>
      </c>
      <c r="AI1586" s="1741">
        <f t="shared" si="2589"/>
        <v>0.27817808070972627</v>
      </c>
      <c r="AJ1586" s="1741">
        <f t="shared" si="2589"/>
        <v>0.2017586545004815</v>
      </c>
    </row>
    <row r="1587" spans="1:36" ht="14.5">
      <c r="A1587" s="990">
        <v>1</v>
      </c>
      <c r="B1587" s="990">
        <v>1</v>
      </c>
      <c r="C1587" s="990" t="s">
        <v>863</v>
      </c>
      <c r="E1587" s="1611" t="s">
        <v>460</v>
      </c>
      <c r="F1587" s="1610"/>
      <c r="G1587" s="1731"/>
      <c r="H1587" s="1732"/>
      <c r="I1587" s="1327"/>
      <c r="J1587" s="1321"/>
      <c r="K1587" s="1321" t="s">
        <v>221</v>
      </c>
      <c r="Q1587" s="1843" t="str">
        <f>CHOOSE(2, "6722000004505", "RF (3) PP Marginal Profit % HW Indirect")</f>
        <v>RF (3) PP Marginal Profit % HW Indirect</v>
      </c>
      <c r="R1587" s="1741" t="str">
        <f t="shared" si="2588"/>
        <v/>
      </c>
      <c r="S1587" s="1741" t="str">
        <f t="shared" si="2588"/>
        <v/>
      </c>
      <c r="T1587" s="1741" t="str">
        <f t="shared" si="2588"/>
        <v/>
      </c>
      <c r="U1587" s="1741" t="str">
        <f t="shared" si="2588"/>
        <v/>
      </c>
      <c r="V1587" s="1741" t="str">
        <f t="shared" si="2588"/>
        <v/>
      </c>
      <c r="W1587" s="1741" t="str">
        <f t="shared" si="2588"/>
        <v/>
      </c>
      <c r="X1587" s="1741" t="str">
        <f t="shared" si="2588"/>
        <v/>
      </c>
      <c r="Y1587" s="1741" t="str">
        <f t="shared" si="2588"/>
        <v/>
      </c>
      <c r="Z1587" s="1741" t="str">
        <f t="shared" si="2588"/>
        <v/>
      </c>
      <c r="AA1587" s="1741" t="str">
        <f t="shared" si="2588"/>
        <v/>
      </c>
      <c r="AB1587" s="1741" t="str">
        <f t="shared" si="2588"/>
        <v/>
      </c>
      <c r="AC1587" s="1741" t="str">
        <f t="shared" si="2588"/>
        <v/>
      </c>
      <c r="AD1587" s="1741" t="str">
        <f t="shared" si="2589"/>
        <v/>
      </c>
      <c r="AE1587" s="1741" t="str">
        <f t="shared" si="2589"/>
        <v/>
      </c>
      <c r="AF1587" s="1741" t="str">
        <f t="shared" si="2589"/>
        <v/>
      </c>
      <c r="AG1587" s="1741" t="str">
        <f t="shared" si="2589"/>
        <v/>
      </c>
      <c r="AH1587" s="1741" t="str">
        <f t="shared" si="2589"/>
        <v/>
      </c>
      <c r="AI1587" s="1741" t="str">
        <f t="shared" si="2589"/>
        <v/>
      </c>
      <c r="AJ1587" s="1741" t="str">
        <f t="shared" si="2589"/>
        <v/>
      </c>
    </row>
    <row r="1588" spans="1:36" ht="14.5">
      <c r="A1588" s="990">
        <v>1</v>
      </c>
      <c r="B1588" s="990">
        <v>1</v>
      </c>
      <c r="C1588" s="990" t="s">
        <v>863</v>
      </c>
      <c r="E1588" s="1611" t="s">
        <v>460</v>
      </c>
      <c r="F1588" s="1610"/>
      <c r="G1588" s="1731"/>
      <c r="H1588" s="1732"/>
      <c r="I1588" s="1327"/>
      <c r="J1588" s="1736" t="s">
        <v>1396</v>
      </c>
      <c r="K1588" s="1736"/>
      <c r="L1588" s="1737"/>
      <c r="M1588" s="278"/>
      <c r="N1588" s="278"/>
      <c r="O1588" s="278"/>
      <c r="P1588" s="278"/>
      <c r="Q1588" s="1914" t="str">
        <f>CHOOSE(2, "6722000004506", "RF (3) PP Marginal Profit % NH")</f>
        <v>RF (3) PP Marginal Profit % NH</v>
      </c>
      <c r="R1588" s="1740">
        <f t="shared" si="2588"/>
        <v>0.25180847399242162</v>
      </c>
      <c r="S1588" s="1740">
        <f t="shared" si="2588"/>
        <v>0.60107957513494692</v>
      </c>
      <c r="T1588" s="1740">
        <f t="shared" si="2588"/>
        <v>0.31982543640897754</v>
      </c>
      <c r="U1588" s="1740">
        <f t="shared" si="2588"/>
        <v>0.36261448792672774</v>
      </c>
      <c r="V1588" s="1740">
        <f t="shared" si="2588"/>
        <v>0.38838040982986594</v>
      </c>
      <c r="W1588" s="1740">
        <f t="shared" si="2588"/>
        <v>0.19841078738261497</v>
      </c>
      <c r="X1588" s="1740">
        <f t="shared" si="2588"/>
        <v>0.54209621993127144</v>
      </c>
      <c r="Y1588" s="1740">
        <f t="shared" si="2588"/>
        <v>0.32879404745191632</v>
      </c>
      <c r="Z1588" s="1740">
        <f t="shared" si="2588"/>
        <v>0.35266974291364533</v>
      </c>
      <c r="AA1588" s="1740">
        <f t="shared" si="2588"/>
        <v>0.22924088791449712</v>
      </c>
      <c r="AB1588" s="1740">
        <f t="shared" si="2588"/>
        <v>0.20959869541348869</v>
      </c>
      <c r="AC1588" s="1740">
        <f t="shared" si="2588"/>
        <v>-0.91249134149157241</v>
      </c>
      <c r="AD1588" s="1740">
        <f t="shared" si="2589"/>
        <v>0.38775396604508766</v>
      </c>
      <c r="AE1588" s="1740">
        <f t="shared" si="2589"/>
        <v>0.31288616031626565</v>
      </c>
      <c r="AF1588" s="1740">
        <f t="shared" si="2589"/>
        <v>0.40581781301862435</v>
      </c>
      <c r="AG1588" s="1740">
        <f t="shared" si="2589"/>
        <v>-0.18057753787842984</v>
      </c>
      <c r="AH1588" s="1740">
        <f t="shared" si="2589"/>
        <v>0.345432930563078</v>
      </c>
      <c r="AI1588" s="1740">
        <f t="shared" si="2589"/>
        <v>9.4539095014419289E-2</v>
      </c>
      <c r="AJ1588" s="1740">
        <f t="shared" si="2589"/>
        <v>0.21295135152727826</v>
      </c>
    </row>
    <row r="1589" spans="1:36" ht="14.5">
      <c r="A1589" s="990">
        <v>1</v>
      </c>
      <c r="B1589" s="990">
        <v>1</v>
      </c>
      <c r="C1589" s="990" t="s">
        <v>863</v>
      </c>
      <c r="E1589" s="1611" t="s">
        <v>460</v>
      </c>
      <c r="F1589" s="1610"/>
      <c r="G1589" s="1731"/>
      <c r="H1589" s="1732"/>
      <c r="I1589" s="1327"/>
      <c r="J1589" s="1321"/>
      <c r="K1589" s="1321" t="s">
        <v>212</v>
      </c>
      <c r="Q1589" s="1843" t="str">
        <f>CHOOSE(2, "6722000004507", "RF (3) PP Marginal Profit % NH Direct")</f>
        <v>RF (3) PP Marginal Profit % NH Direct</v>
      </c>
      <c r="R1589" s="1741">
        <f t="shared" si="2588"/>
        <v>0.25180847399242162</v>
      </c>
      <c r="S1589" s="1741">
        <f t="shared" si="2588"/>
        <v>0.60107957513494692</v>
      </c>
      <c r="T1589" s="1741">
        <f t="shared" si="2588"/>
        <v>0.31982543640897754</v>
      </c>
      <c r="U1589" s="1741">
        <f t="shared" si="2588"/>
        <v>0.36261448792672774</v>
      </c>
      <c r="V1589" s="1741">
        <f t="shared" si="2588"/>
        <v>0.38838040982986594</v>
      </c>
      <c r="W1589" s="1741">
        <f t="shared" si="2588"/>
        <v>0.19841078738261497</v>
      </c>
      <c r="X1589" s="1741">
        <f t="shared" si="2588"/>
        <v>0.54209621993127144</v>
      </c>
      <c r="Y1589" s="1741">
        <f t="shared" si="2588"/>
        <v>0.32879404745191632</v>
      </c>
      <c r="Z1589" s="1741">
        <f t="shared" si="2588"/>
        <v>0.35266974291364533</v>
      </c>
      <c r="AA1589" s="1741">
        <f t="shared" si="2588"/>
        <v>0.22924088791449712</v>
      </c>
      <c r="AB1589" s="1741">
        <f t="shared" si="2588"/>
        <v>0.20959869541348869</v>
      </c>
      <c r="AC1589" s="1741">
        <f t="shared" si="2588"/>
        <v>-0.91249134149157241</v>
      </c>
      <c r="AD1589" s="1741">
        <f t="shared" si="2589"/>
        <v>0.38775396604508766</v>
      </c>
      <c r="AE1589" s="1741">
        <f t="shared" si="2589"/>
        <v>0.31288616031626565</v>
      </c>
      <c r="AF1589" s="1741">
        <f t="shared" si="2589"/>
        <v>0.40581781301862435</v>
      </c>
      <c r="AG1589" s="1741">
        <f t="shared" si="2589"/>
        <v>-0.18057753787842984</v>
      </c>
      <c r="AH1589" s="1741">
        <f t="shared" si="2589"/>
        <v>0.345432930563078</v>
      </c>
      <c r="AI1589" s="1741">
        <f t="shared" si="2589"/>
        <v>9.4539095014419289E-2</v>
      </c>
      <c r="AJ1589" s="1741">
        <f t="shared" si="2589"/>
        <v>0.21295135152727826</v>
      </c>
    </row>
    <row r="1590" spans="1:36" ht="14.5">
      <c r="A1590" s="990">
        <v>1</v>
      </c>
      <c r="B1590" s="990">
        <v>1</v>
      </c>
      <c r="C1590" s="990" t="s">
        <v>863</v>
      </c>
      <c r="E1590" s="1611" t="s">
        <v>460</v>
      </c>
      <c r="F1590" s="1610"/>
      <c r="G1590" s="1731"/>
      <c r="H1590" s="1732"/>
      <c r="I1590" s="1327"/>
      <c r="J1590" s="1321"/>
      <c r="K1590" s="1321" t="s">
        <v>221</v>
      </c>
      <c r="Q1590" s="1843" t="str">
        <f>CHOOSE(2, "6722000004508", "RF (3) PP Marginal Profit % NH Indirect")</f>
        <v>RF (3) PP Marginal Profit % NH Indirect</v>
      </c>
      <c r="R1590" s="1741" t="str">
        <f t="shared" si="2588"/>
        <v/>
      </c>
      <c r="S1590" s="1741" t="str">
        <f t="shared" si="2588"/>
        <v/>
      </c>
      <c r="T1590" s="1741" t="str">
        <f t="shared" si="2588"/>
        <v/>
      </c>
      <c r="U1590" s="1741" t="str">
        <f t="shared" si="2588"/>
        <v/>
      </c>
      <c r="V1590" s="1741" t="str">
        <f t="shared" si="2588"/>
        <v/>
      </c>
      <c r="W1590" s="1741" t="str">
        <f t="shared" si="2588"/>
        <v/>
      </c>
      <c r="X1590" s="1741" t="str">
        <f t="shared" si="2588"/>
        <v/>
      </c>
      <c r="Y1590" s="1741" t="str">
        <f t="shared" si="2588"/>
        <v/>
      </c>
      <c r="Z1590" s="1741" t="str">
        <f t="shared" si="2588"/>
        <v/>
      </c>
      <c r="AA1590" s="1741" t="str">
        <f t="shared" si="2588"/>
        <v/>
      </c>
      <c r="AB1590" s="1741" t="str">
        <f t="shared" si="2588"/>
        <v/>
      </c>
      <c r="AC1590" s="1741" t="str">
        <f t="shared" si="2588"/>
        <v/>
      </c>
      <c r="AD1590" s="1741" t="str">
        <f t="shared" si="2589"/>
        <v/>
      </c>
      <c r="AE1590" s="1741" t="str">
        <f t="shared" si="2589"/>
        <v/>
      </c>
      <c r="AF1590" s="1741" t="str">
        <f t="shared" si="2589"/>
        <v/>
      </c>
      <c r="AG1590" s="1741" t="str">
        <f t="shared" si="2589"/>
        <v/>
      </c>
      <c r="AH1590" s="1741" t="str">
        <f t="shared" si="2589"/>
        <v/>
      </c>
      <c r="AI1590" s="1741" t="str">
        <f t="shared" si="2589"/>
        <v/>
      </c>
      <c r="AJ1590" s="1741" t="str">
        <f t="shared" si="2589"/>
        <v/>
      </c>
    </row>
    <row r="1591" spans="1:36" ht="14.5">
      <c r="A1591" s="990">
        <v>1</v>
      </c>
      <c r="B1591" s="990">
        <v>1</v>
      </c>
      <c r="C1591" s="990" t="s">
        <v>863</v>
      </c>
      <c r="E1591" s="1611" t="s">
        <v>460</v>
      </c>
      <c r="F1591" s="1610"/>
      <c r="G1591" s="1731"/>
      <c r="H1591" s="1732"/>
      <c r="I1591" s="1750" t="s">
        <v>866</v>
      </c>
      <c r="J1591" s="1751"/>
      <c r="K1591" s="1751"/>
      <c r="L1591" s="1752"/>
      <c r="M1591" s="1753"/>
      <c r="N1591" s="1753"/>
      <c r="O1591" s="1753"/>
      <c r="P1591" s="1753"/>
      <c r="Q1591" s="1882" t="str">
        <f>CHOOSE(2, "6722000004509", "RF (3) PP Fixed Cost")</f>
        <v>RF (3) PP Fixed Cost</v>
      </c>
      <c r="R1591" s="2192">
        <f>SUM(R1592:R1593)</f>
        <v>3301.9867654979353</v>
      </c>
      <c r="S1591" s="2192">
        <f t="shared" ref="S1591:AC1591" si="2590">SUM(S1592:S1593)</f>
        <v>3099.0341316921304</v>
      </c>
      <c r="T1591" s="2192">
        <f t="shared" si="2590"/>
        <v>3576.899826257586</v>
      </c>
      <c r="U1591" s="2192">
        <f t="shared" si="2590"/>
        <v>3420.5140798269972</v>
      </c>
      <c r="V1591" s="2192">
        <f t="shared" si="2590"/>
        <v>3527.9517699574417</v>
      </c>
      <c r="W1591" s="2192">
        <f t="shared" si="2590"/>
        <v>3311.4525962227408</v>
      </c>
      <c r="X1591" s="2192">
        <f t="shared" si="2590"/>
        <v>3536.5390367792465</v>
      </c>
      <c r="Y1591" s="2192">
        <f t="shared" si="2590"/>
        <v>3215.0215423079344</v>
      </c>
      <c r="Z1591" s="2192">
        <f t="shared" si="2590"/>
        <v>3739.9179646686976</v>
      </c>
      <c r="AA1591" s="2192">
        <f t="shared" si="2590"/>
        <v>3088.7740259762113</v>
      </c>
      <c r="AB1591" s="2192">
        <f t="shared" si="2590"/>
        <v>3011.3997438470678</v>
      </c>
      <c r="AC1591" s="2192">
        <f t="shared" si="2590"/>
        <v>2917.6284758568163</v>
      </c>
      <c r="AD1591" s="1365">
        <f>SUM(R1591:T1591)</f>
        <v>9977.9207234476526</v>
      </c>
      <c r="AE1591" s="1365">
        <f t="shared" ref="AE1591:AE1595" si="2591">SUM(U1591:W1591)</f>
        <v>10259.918446007181</v>
      </c>
      <c r="AF1591" s="1365">
        <f t="shared" ref="AF1591:AF1595" si="2592">SUM(X1591:Z1591)</f>
        <v>10491.478543755878</v>
      </c>
      <c r="AG1591" s="1365">
        <f t="shared" ref="AG1591:AG1595" si="2593">SUM(AA1591:AC1591)</f>
        <v>9017.8022456800954</v>
      </c>
      <c r="AH1591" s="1365">
        <f t="shared" ref="AH1591:AH1595" si="2594">AD1591+AE1591</f>
        <v>20237.839169454834</v>
      </c>
      <c r="AI1591" s="1365">
        <f t="shared" ref="AI1591:AI1595" si="2595">AG1591+AF1591</f>
        <v>19509.280789435972</v>
      </c>
      <c r="AJ1591" s="1365">
        <f t="shared" ref="AJ1591:AJ1595" si="2596">AH1591+AI1591</f>
        <v>39747.119958890806</v>
      </c>
    </row>
    <row r="1592" spans="1:36" ht="14.5">
      <c r="A1592" s="990">
        <v>1</v>
      </c>
      <c r="B1592" s="990">
        <v>1</v>
      </c>
      <c r="C1592" s="990" t="s">
        <v>863</v>
      </c>
      <c r="E1592" s="1611" t="s">
        <v>460</v>
      </c>
      <c r="F1592" s="1610"/>
      <c r="G1592" s="1731"/>
      <c r="H1592" s="1732"/>
      <c r="I1592" s="1327"/>
      <c r="J1592" s="1321" t="s">
        <v>1400</v>
      </c>
      <c r="K1592" s="1321"/>
      <c r="Q1592" s="1843" t="str">
        <f>CHOOSE(2, "6722000004510", "RF (3) PP Fixed Cost COGs")</f>
        <v>RF (3) PP Fixed Cost COGs</v>
      </c>
      <c r="R1592" s="19">
        <f t="shared" ref="R1592:AC1592" si="2597">R859</f>
        <v>873</v>
      </c>
      <c r="S1592" s="19">
        <f t="shared" si="2597"/>
        <v>1061</v>
      </c>
      <c r="T1592" s="19">
        <f t="shared" si="2597"/>
        <v>1109</v>
      </c>
      <c r="U1592" s="19">
        <f t="shared" si="2597"/>
        <v>1127</v>
      </c>
      <c r="V1592" s="19">
        <f t="shared" si="2597"/>
        <v>1007.2377253569111</v>
      </c>
      <c r="W1592" s="19">
        <f t="shared" si="2597"/>
        <v>1020.6029885233163</v>
      </c>
      <c r="X1592" s="19">
        <f t="shared" si="2597"/>
        <v>1053</v>
      </c>
      <c r="Y1592" s="19">
        <f t="shared" si="2597"/>
        <v>940</v>
      </c>
      <c r="Z1592" s="19">
        <f t="shared" si="2597"/>
        <v>1105</v>
      </c>
      <c r="AA1592" s="19">
        <f t="shared" si="2597"/>
        <v>989</v>
      </c>
      <c r="AB1592" s="19">
        <f t="shared" si="2597"/>
        <v>955</v>
      </c>
      <c r="AC1592" s="19">
        <f t="shared" si="2597"/>
        <v>994</v>
      </c>
      <c r="AD1592" s="19">
        <f>SUM(R1592:T1592)</f>
        <v>3043</v>
      </c>
      <c r="AE1592" s="19">
        <f t="shared" si="2591"/>
        <v>3154.8407138802277</v>
      </c>
      <c r="AF1592" s="19">
        <f t="shared" si="2592"/>
        <v>3098</v>
      </c>
      <c r="AG1592" s="19">
        <f t="shared" si="2593"/>
        <v>2938</v>
      </c>
      <c r="AH1592" s="19">
        <f t="shared" si="2594"/>
        <v>6197.8407138802277</v>
      </c>
      <c r="AI1592" s="19">
        <f t="shared" si="2595"/>
        <v>6036</v>
      </c>
      <c r="AJ1592" s="19">
        <f t="shared" si="2596"/>
        <v>12233.840713880229</v>
      </c>
    </row>
    <row r="1593" spans="1:36" ht="14.5">
      <c r="A1593" s="990">
        <v>1</v>
      </c>
      <c r="B1593" s="990">
        <v>1</v>
      </c>
      <c r="C1593" s="990" t="s">
        <v>863</v>
      </c>
      <c r="E1593" s="1611" t="s">
        <v>460</v>
      </c>
      <c r="F1593" s="1610"/>
      <c r="G1593" s="1731"/>
      <c r="H1593" s="1732"/>
      <c r="I1593" s="1327"/>
      <c r="J1593" s="1321" t="s">
        <v>1401</v>
      </c>
      <c r="K1593" s="1321"/>
      <c r="Q1593" s="1843" t="str">
        <f>CHOOSE(2, "6722000004511", "RF (3) PP Fixed Cost SG&amp;A")</f>
        <v>RF (3) PP Fixed Cost SG&amp;A</v>
      </c>
      <c r="R1593" s="19">
        <f t="shared" ref="R1593:AC1593" si="2598">R270+R271</f>
        <v>2428.9867654979353</v>
      </c>
      <c r="S1593" s="19">
        <f t="shared" si="2598"/>
        <v>2038.0341316921306</v>
      </c>
      <c r="T1593" s="19">
        <f t="shared" si="2598"/>
        <v>2467.899826257586</v>
      </c>
      <c r="U1593" s="19">
        <f t="shared" si="2598"/>
        <v>2293.5140798269972</v>
      </c>
      <c r="V1593" s="19">
        <f t="shared" si="2598"/>
        <v>2520.7140446005305</v>
      </c>
      <c r="W1593" s="19">
        <f t="shared" si="2598"/>
        <v>2290.8496076994247</v>
      </c>
      <c r="X1593" s="19">
        <f t="shared" si="2598"/>
        <v>2483.5390367792465</v>
      </c>
      <c r="Y1593" s="19">
        <f t="shared" si="2598"/>
        <v>2275.0215423079344</v>
      </c>
      <c r="Z1593" s="19">
        <f t="shared" si="2598"/>
        <v>2634.9179646686976</v>
      </c>
      <c r="AA1593" s="19">
        <f t="shared" si="2598"/>
        <v>2099.7740259762113</v>
      </c>
      <c r="AB1593" s="19">
        <f t="shared" si="2598"/>
        <v>2056.3997438470678</v>
      </c>
      <c r="AC1593" s="19">
        <f t="shared" si="2598"/>
        <v>1923.6284758568163</v>
      </c>
      <c r="AD1593" s="19">
        <f>SUM(R1593:T1593)</f>
        <v>6934.9207234476517</v>
      </c>
      <c r="AE1593" s="19">
        <f t="shared" si="2591"/>
        <v>7105.0777321269525</v>
      </c>
      <c r="AF1593" s="19">
        <f t="shared" si="2592"/>
        <v>7393.4785437558785</v>
      </c>
      <c r="AG1593" s="19">
        <f t="shared" si="2593"/>
        <v>6079.8022456800954</v>
      </c>
      <c r="AH1593" s="19">
        <f t="shared" si="2594"/>
        <v>14039.998455574605</v>
      </c>
      <c r="AI1593" s="19">
        <f t="shared" si="2595"/>
        <v>13473.280789435974</v>
      </c>
      <c r="AJ1593" s="19">
        <f t="shared" si="2596"/>
        <v>27513.279245010577</v>
      </c>
    </row>
    <row r="1594" spans="1:36" ht="14.5">
      <c r="A1594" s="990">
        <v>1</v>
      </c>
      <c r="B1594" s="990">
        <v>1</v>
      </c>
      <c r="C1594" s="990" t="s">
        <v>863</v>
      </c>
      <c r="E1594" s="1611" t="s">
        <v>460</v>
      </c>
      <c r="F1594" s="1610"/>
      <c r="G1594" s="1731"/>
      <c r="H1594" s="1732"/>
      <c r="I1594" s="1750" t="s">
        <v>867</v>
      </c>
      <c r="J1594" s="1751"/>
      <c r="K1594" s="1751"/>
      <c r="L1594" s="1752"/>
      <c r="M1594" s="1753"/>
      <c r="N1594" s="1753"/>
      <c r="O1594" s="1753"/>
      <c r="P1594" s="1753"/>
      <c r="Q1594" s="1882" t="str">
        <f>CHOOSE(2, "6722000004512", "RF (3) PP BCP")</f>
        <v>RF (3) PP BCP</v>
      </c>
      <c r="R1594" s="2192">
        <f>R1577-R1591</f>
        <v>-1543.9108360598129</v>
      </c>
      <c r="S1594" s="2192">
        <f t="shared" ref="S1594:AC1594" si="2599">S1577-S1591</f>
        <v>-5049.5850230155347</v>
      </c>
      <c r="T1594" s="2192">
        <f t="shared" si="2599"/>
        <v>6100.1130150710687</v>
      </c>
      <c r="U1594" s="2192">
        <f t="shared" si="2599"/>
        <v>-948.49139947419235</v>
      </c>
      <c r="V1594" s="2192">
        <f t="shared" si="2599"/>
        <v>905.5249004178504</v>
      </c>
      <c r="W1594" s="2192">
        <f t="shared" si="2599"/>
        <v>-497.4304966237969</v>
      </c>
      <c r="X1594" s="2192">
        <f t="shared" si="2599"/>
        <v>197.12523604193484</v>
      </c>
      <c r="Y1594" s="2192">
        <f t="shared" si="2599"/>
        <v>-272.02330536296813</v>
      </c>
      <c r="Z1594" s="2192">
        <f t="shared" si="2599"/>
        <v>-11626.341414298289</v>
      </c>
      <c r="AA1594" s="2192">
        <f t="shared" si="2599"/>
        <v>3044.8201167571306</v>
      </c>
      <c r="AB1594" s="2192">
        <f t="shared" si="2599"/>
        <v>-3068.5862325391672</v>
      </c>
      <c r="AC1594" s="2192">
        <f t="shared" si="2599"/>
        <v>6264.2380756634248</v>
      </c>
      <c r="AD1594" s="1365">
        <f>SUM(R1594:T1594)</f>
        <v>-493.38284400427892</v>
      </c>
      <c r="AE1594" s="1365">
        <f t="shared" si="2591"/>
        <v>-540.39699568013884</v>
      </c>
      <c r="AF1594" s="1365">
        <f t="shared" si="2592"/>
        <v>-11701.239483619323</v>
      </c>
      <c r="AG1594" s="1365">
        <f t="shared" si="2593"/>
        <v>6240.4719598813881</v>
      </c>
      <c r="AH1594" s="1365">
        <f t="shared" si="2594"/>
        <v>-1033.7798396844178</v>
      </c>
      <c r="AI1594" s="1365">
        <f t="shared" si="2595"/>
        <v>-5460.7675237379353</v>
      </c>
      <c r="AJ1594" s="1365">
        <f t="shared" si="2596"/>
        <v>-6494.5473634223526</v>
      </c>
    </row>
    <row r="1595" spans="1:36" ht="14.5">
      <c r="A1595" s="990">
        <v>1</v>
      </c>
      <c r="B1595" s="990">
        <v>1</v>
      </c>
      <c r="C1595" s="990" t="s">
        <v>863</v>
      </c>
      <c r="E1595" s="1611" t="s">
        <v>460</v>
      </c>
      <c r="F1595" s="1610"/>
      <c r="G1595" s="1731"/>
      <c r="H1595" s="1732"/>
      <c r="I1595" s="1750" t="s">
        <v>880</v>
      </c>
      <c r="J1595" s="1751"/>
      <c r="K1595" s="1751"/>
      <c r="L1595" s="1752"/>
      <c r="M1595" s="1753"/>
      <c r="N1595" s="1753"/>
      <c r="O1595" s="1753"/>
      <c r="P1595" s="1753"/>
      <c r="Q1595" s="1882" t="str">
        <f>CHOOSE(2, "6722000004513", "RF (3) PP Break-even Point Net Sales")</f>
        <v>RF (3) PP Break-even Point Net Sales</v>
      </c>
      <c r="R1595" s="2192">
        <f>R1591/R1584</f>
        <v>28751.211799138309</v>
      </c>
      <c r="S1595" s="2192">
        <f t="shared" ref="S1595:AC1595" si="2600">S1591/S1584</f>
        <v>-9524.8525440364647</v>
      </c>
      <c r="T1595" s="2192">
        <f t="shared" si="2600"/>
        <v>9487.6245640874804</v>
      </c>
      <c r="U1595" s="2192">
        <f t="shared" si="2600"/>
        <v>10319.563089004085</v>
      </c>
      <c r="V1595" s="2192">
        <f t="shared" si="2600"/>
        <v>13884.414585589881</v>
      </c>
      <c r="W1595" s="2192">
        <f t="shared" si="2600"/>
        <v>22431.561357742787</v>
      </c>
      <c r="X1595" s="2192">
        <f t="shared" si="2600"/>
        <v>6973.3105298982437</v>
      </c>
      <c r="Y1595" s="2192">
        <f t="shared" si="2600"/>
        <v>18596.447333084623</v>
      </c>
      <c r="Z1595" s="2192">
        <f t="shared" si="2600"/>
        <v>-3596.9762393806564</v>
      </c>
      <c r="AA1595" s="2192">
        <f t="shared" si="2600"/>
        <v>13168.696672728232</v>
      </c>
      <c r="AB1595" s="2192">
        <f t="shared" si="2600"/>
        <v>-451988.14459375612</v>
      </c>
      <c r="AC1595" s="2192">
        <f t="shared" si="2600"/>
        <v>8181.362683325844</v>
      </c>
      <c r="AD1595" s="1365">
        <f>SUM(R1595:T1595)</f>
        <v>28713.983819189325</v>
      </c>
      <c r="AE1595" s="1365">
        <f t="shared" si="2591"/>
        <v>46635.539032336754</v>
      </c>
      <c r="AF1595" s="1365">
        <f t="shared" si="2592"/>
        <v>21972.781623602212</v>
      </c>
      <c r="AG1595" s="1365">
        <f t="shared" si="2593"/>
        <v>-430638.08523770206</v>
      </c>
      <c r="AH1595" s="1365">
        <f t="shared" si="2594"/>
        <v>75349.522851526082</v>
      </c>
      <c r="AI1595" s="1365">
        <f t="shared" si="2595"/>
        <v>-408665.30361409986</v>
      </c>
      <c r="AJ1595" s="1365">
        <f t="shared" si="2596"/>
        <v>-333315.78076257376</v>
      </c>
    </row>
    <row r="1596" spans="1:36" ht="14.5">
      <c r="A1596" s="990">
        <v>1</v>
      </c>
      <c r="B1596" s="990">
        <v>1</v>
      </c>
      <c r="C1596" s="990" t="s">
        <v>863</v>
      </c>
      <c r="E1596" s="1611" t="s">
        <v>460</v>
      </c>
      <c r="F1596" s="1610"/>
      <c r="G1596" s="1731"/>
      <c r="H1596" s="1732"/>
      <c r="I1596" s="1336"/>
      <c r="J1596" s="1337" t="s">
        <v>135</v>
      </c>
      <c r="K1596" s="1338"/>
      <c r="L1596" s="18"/>
      <c r="M1596" s="12"/>
      <c r="N1596" s="12"/>
      <c r="O1596" s="12"/>
      <c r="P1596" s="12"/>
      <c r="Q1596" s="1838" t="str">
        <f>CHOOSE(2, "6722000004514", "RF (3) PP Break-even Point Net Sales (%)")</f>
        <v>RF (3) PP Break-even Point Net Sales (%)</v>
      </c>
      <c r="R1596" s="1743">
        <f t="shared" ref="R1596:AC1596" si="2601">R1562/R1595</f>
        <v>0.5324297322472783</v>
      </c>
      <c r="S1596" s="1743">
        <f t="shared" si="2601"/>
        <v>-0.62940606925757447</v>
      </c>
      <c r="T1596" s="1743">
        <f t="shared" si="2601"/>
        <v>2.7054190252382471</v>
      </c>
      <c r="U1596" s="1743">
        <f t="shared" si="2601"/>
        <v>0.72270501528759523</v>
      </c>
      <c r="V1596" s="1743">
        <f t="shared" si="2601"/>
        <v>1.2566715645403432</v>
      </c>
      <c r="W1596" s="1743">
        <f t="shared" si="2601"/>
        <v>0.84978480525700439</v>
      </c>
      <c r="X1596" s="1743">
        <f t="shared" si="2601"/>
        <v>1.055739590031914</v>
      </c>
      <c r="Y1596" s="1743">
        <f t="shared" si="2601"/>
        <v>0.91538989652688507</v>
      </c>
      <c r="Z1596" s="1743">
        <f t="shared" si="2601"/>
        <v>-2.1087156253514814</v>
      </c>
      <c r="AA1596" s="1743">
        <f t="shared" si="2601"/>
        <v>1.985769787996974</v>
      </c>
      <c r="AB1596" s="1743">
        <f t="shared" si="2601"/>
        <v>-1.8990002509279472E-2</v>
      </c>
      <c r="AC1596" s="1743">
        <f t="shared" si="2601"/>
        <v>3.1470307571713061</v>
      </c>
      <c r="AD1596" s="1743">
        <f t="shared" ref="AD1596:AJ1596" si="2602">AD1595/AD1562</f>
        <v>0.61131301907963054</v>
      </c>
      <c r="AE1596" s="1743">
        <f t="shared" si="2602"/>
        <v>1.0606664163264357</v>
      </c>
      <c r="AF1596" s="1743">
        <f t="shared" si="2602"/>
        <v>0.68729376364098249</v>
      </c>
      <c r="AG1596" s="1743">
        <f t="shared" si="2602"/>
        <v>-7.1203085720685779</v>
      </c>
      <c r="AH1596" s="1743">
        <f t="shared" si="2602"/>
        <v>0.82857079354817886</v>
      </c>
      <c r="AI1596" s="1743">
        <f t="shared" si="2602"/>
        <v>-4.4203804434473373</v>
      </c>
      <c r="AJ1596" s="1743">
        <f t="shared" si="2602"/>
        <v>-1.817530193538573</v>
      </c>
    </row>
  </sheetData>
  <autoFilter ref="A13:AJ1596" xr:uid="{00000000-0009-0000-0000-000001000000}"/>
  <phoneticPr fontId="109"/>
  <pageMargins left="0.35433070866141736" right="0.35433070866141736" top="0.74803149606299213" bottom="0.74803149606299213" header="0.31496062992125984" footer="0.31496062992125984"/>
  <pageSetup paperSize="8" scale="53" fitToHeight="0" orientation="portrait" r:id="rId1"/>
  <rowBreaks count="6" manualBreakCount="6">
    <brk id="448" min="4" max="25" man="1"/>
    <brk id="831" min="4" max="25" man="1"/>
    <brk id="629" max="16383" man="1"/>
    <brk id="751" min="4" max="25" man="1"/>
    <brk id="907" min="4" max="25" man="1"/>
    <brk id="998" min="4" max="25" man="1"/>
  </rowBreaks>
  <customProperties>
    <customPr name="Anaplan" r:id="rId2"/>
    <customPr name="LastRetrievedData" r:id="rId3"/>
    <customPr name="SheetMetaData" r:id="rId4"/>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46EE6-6F69-41BA-95FB-FF172F1920DB}">
  <sheetPr>
    <pageSetUpPr fitToPage="1"/>
  </sheetPr>
  <dimension ref="A1:I211"/>
  <sheetViews>
    <sheetView showGridLines="0" topLeftCell="A74" zoomScale="80" zoomScaleNormal="80" zoomScaleSheetLayoutView="70" workbookViewId="0">
      <selection activeCell="G81" sqref="G81"/>
    </sheetView>
  </sheetViews>
  <sheetFormatPr defaultColWidth="8.81640625" defaultRowHeight="14"/>
  <cols>
    <col min="1" max="1" width="4.81640625" style="25" customWidth="1"/>
    <col min="2" max="2" width="1.81640625" style="25" customWidth="1"/>
    <col min="3" max="3" width="3.1796875" style="25" customWidth="1"/>
    <col min="4" max="4" width="11.1796875" style="25" customWidth="1"/>
    <col min="5" max="5" width="9.453125" style="25" customWidth="1"/>
    <col min="6" max="6" width="35.81640625" style="25" customWidth="1"/>
    <col min="7" max="7" width="119.453125" style="25" customWidth="1"/>
    <col min="8" max="8" width="12.1796875" style="615" customWidth="1"/>
    <col min="9" max="16384" width="8.81640625" style="25"/>
  </cols>
  <sheetData>
    <row r="1" spans="1:9" s="542" customFormat="1" ht="18">
      <c r="A1" s="541" t="s">
        <v>1165</v>
      </c>
      <c r="B1" s="541"/>
      <c r="D1" s="543"/>
      <c r="E1" s="543"/>
      <c r="F1" s="543"/>
      <c r="G1" s="543"/>
      <c r="H1" s="655"/>
      <c r="I1" s="543"/>
    </row>
    <row r="3" spans="1:9" ht="15.5">
      <c r="A3" s="768" t="s">
        <v>762</v>
      </c>
      <c r="B3" s="759" t="s">
        <v>1166</v>
      </c>
      <c r="F3" s="758"/>
    </row>
    <row r="4" spans="1:9" ht="15.5">
      <c r="A4" s="768"/>
      <c r="B4" s="759"/>
      <c r="C4" s="577" t="s">
        <v>1219</v>
      </c>
      <c r="F4" s="758"/>
    </row>
    <row r="5" spans="1:9" ht="15.5">
      <c r="A5" s="768"/>
      <c r="B5" s="759"/>
      <c r="C5" s="577"/>
      <c r="F5" s="758"/>
    </row>
    <row r="6" spans="1:9" ht="15.5">
      <c r="A6" s="768"/>
      <c r="B6" s="759"/>
      <c r="C6" s="2817" t="s">
        <v>1208</v>
      </c>
      <c r="D6" s="2818"/>
      <c r="E6" s="25" t="s">
        <v>1209</v>
      </c>
    </row>
    <row r="7" spans="1:9" ht="15.5">
      <c r="A7" s="768"/>
      <c r="B7" s="759"/>
      <c r="C7" s="758" t="s">
        <v>1210</v>
      </c>
      <c r="E7" s="758" t="s">
        <v>1211</v>
      </c>
      <c r="G7" s="540"/>
    </row>
    <row r="8" spans="1:9" ht="15.65" customHeight="1">
      <c r="A8" s="768"/>
      <c r="B8" s="759"/>
      <c r="C8" s="597" t="s">
        <v>1212</v>
      </c>
      <c r="E8" s="597" t="s">
        <v>1213</v>
      </c>
    </row>
    <row r="9" spans="1:9" ht="16.399999999999999" customHeight="1">
      <c r="A9" s="1402"/>
      <c r="B9" s="2322" t="s">
        <v>1167</v>
      </c>
      <c r="C9" s="2323"/>
      <c r="D9" s="2324"/>
      <c r="F9" s="2325" t="s">
        <v>1169</v>
      </c>
      <c r="G9" s="2324"/>
    </row>
    <row r="10" spans="1:9" ht="16.399999999999999" customHeight="1">
      <c r="A10" s="1402"/>
      <c r="B10" s="2326" t="s">
        <v>779</v>
      </c>
      <c r="C10" s="2327"/>
      <c r="D10" s="2328"/>
      <c r="F10" s="2329" t="s">
        <v>779</v>
      </c>
      <c r="G10" s="2330"/>
    </row>
    <row r="11" spans="1:9" ht="16.399999999999999" customHeight="1">
      <c r="A11" s="1402"/>
      <c r="B11" s="2326" t="s">
        <v>780</v>
      </c>
      <c r="C11" s="2327"/>
      <c r="D11" s="2328"/>
      <c r="F11" s="2329" t="s">
        <v>780</v>
      </c>
      <c r="G11" s="2330"/>
    </row>
    <row r="12" spans="1:9" ht="16.399999999999999" customHeight="1">
      <c r="A12" s="1402"/>
      <c r="B12" s="556" t="s">
        <v>923</v>
      </c>
      <c r="C12" s="557"/>
      <c r="D12" s="2331"/>
      <c r="F12" s="2332" t="s">
        <v>1157</v>
      </c>
      <c r="G12" s="2330"/>
    </row>
    <row r="13" spans="1:9" ht="54.65" customHeight="1">
      <c r="A13" s="1402"/>
      <c r="B13" s="1398"/>
      <c r="C13" s="485"/>
      <c r="D13" s="207"/>
      <c r="F13" s="2819" t="s">
        <v>1218</v>
      </c>
      <c r="G13" s="2820"/>
    </row>
    <row r="14" spans="1:9" ht="16.399999999999999" customHeight="1">
      <c r="A14" s="1402"/>
      <c r="B14" s="2326" t="s">
        <v>920</v>
      </c>
      <c r="C14" s="2327"/>
      <c r="D14" s="2328"/>
      <c r="F14" s="2333" t="s">
        <v>1214</v>
      </c>
      <c r="G14" s="2334"/>
    </row>
    <row r="15" spans="1:9" ht="16.399999999999999" customHeight="1">
      <c r="A15" s="1402"/>
      <c r="B15" s="2326" t="s">
        <v>1168</v>
      </c>
      <c r="C15" s="2327"/>
      <c r="D15" s="2328"/>
      <c r="F15" s="2333" t="s">
        <v>1215</v>
      </c>
      <c r="G15" s="2334"/>
    </row>
    <row r="16" spans="1:9" ht="16.399999999999999" customHeight="1">
      <c r="A16" s="1402"/>
      <c r="B16" s="2326" t="s">
        <v>778</v>
      </c>
      <c r="C16" s="2327"/>
      <c r="D16" s="2328"/>
      <c r="F16" s="2335" t="s">
        <v>778</v>
      </c>
      <c r="G16" s="2336"/>
    </row>
    <row r="17" spans="1:6" ht="15.5">
      <c r="A17" s="768"/>
      <c r="B17" s="759"/>
      <c r="C17" s="577"/>
      <c r="F17" s="577" t="s">
        <v>1217</v>
      </c>
    </row>
    <row r="19" spans="1:6" s="577" customFormat="1" ht="15.5">
      <c r="A19" s="768" t="s">
        <v>762</v>
      </c>
      <c r="B19" s="759" t="s">
        <v>1413</v>
      </c>
    </row>
    <row r="30" spans="1:6" s="577" customFormat="1" ht="15.5">
      <c r="A30" s="768" t="s">
        <v>762</v>
      </c>
      <c r="B30" s="759" t="s">
        <v>1412</v>
      </c>
    </row>
    <row r="31" spans="1:6" s="577" customFormat="1"/>
    <row r="32" spans="1:6" s="577" customFormat="1"/>
    <row r="33" spans="1:9" s="577" customFormat="1"/>
    <row r="34" spans="1:9" s="577" customFormat="1"/>
    <row r="35" spans="1:9" s="577" customFormat="1"/>
    <row r="36" spans="1:9" s="577" customFormat="1" ht="15.5">
      <c r="A36" s="768" t="s">
        <v>762</v>
      </c>
      <c r="B36" s="759" t="s">
        <v>964</v>
      </c>
    </row>
    <row r="37" spans="1:9" s="577" customFormat="1">
      <c r="B37" s="577" t="s">
        <v>1237</v>
      </c>
      <c r="F37" s="577" t="s">
        <v>1238</v>
      </c>
    </row>
    <row r="38" spans="1:9" s="577" customFormat="1">
      <c r="B38" s="577" t="s">
        <v>1241</v>
      </c>
      <c r="F38" s="577" t="s">
        <v>1239</v>
      </c>
    </row>
    <row r="39" spans="1:9" s="577" customFormat="1">
      <c r="F39" s="577" t="s">
        <v>1240</v>
      </c>
    </row>
    <row r="40" spans="1:9" s="577" customFormat="1"/>
    <row r="41" spans="1:9" s="542" customFormat="1" ht="25.4" customHeight="1">
      <c r="A41" s="541" t="s">
        <v>589</v>
      </c>
      <c r="B41" s="541"/>
      <c r="D41" s="543"/>
      <c r="E41" s="543"/>
      <c r="F41" s="543"/>
      <c r="G41" s="543"/>
      <c r="H41" s="655"/>
      <c r="I41" s="543"/>
    </row>
    <row r="42" spans="1:9" ht="20.149999999999999" customHeight="1">
      <c r="C42" s="140" t="s">
        <v>1404</v>
      </c>
      <c r="D42" s="2337"/>
      <c r="E42" s="2337"/>
      <c r="F42" s="2337"/>
      <c r="G42" s="2338"/>
      <c r="H42" s="656"/>
      <c r="I42" s="539"/>
    </row>
    <row r="43" spans="1:9" ht="20.149999999999999" customHeight="1">
      <c r="C43" s="2339"/>
      <c r="D43" s="595" t="s">
        <v>213</v>
      </c>
      <c r="E43" s="596"/>
      <c r="F43" s="596" t="s">
        <v>215</v>
      </c>
      <c r="G43" s="2821" t="s">
        <v>590</v>
      </c>
      <c r="H43" s="656"/>
      <c r="I43" s="539"/>
    </row>
    <row r="44" spans="1:9" ht="20.149999999999999" customHeight="1">
      <c r="C44" s="2339"/>
      <c r="D44" s="215"/>
      <c r="E44" s="12"/>
      <c r="F44" s="12" t="s">
        <v>216</v>
      </c>
      <c r="G44" s="2822"/>
      <c r="H44" s="656"/>
      <c r="I44" s="539"/>
    </row>
    <row r="45" spans="1:9" ht="38.25" customHeight="1">
      <c r="C45" s="2339"/>
      <c r="D45" s="212" t="s">
        <v>218</v>
      </c>
      <c r="E45" s="9"/>
      <c r="F45" s="86" t="s">
        <v>219</v>
      </c>
      <c r="G45" s="2340" t="s">
        <v>163</v>
      </c>
      <c r="H45" s="656"/>
      <c r="I45" s="539"/>
    </row>
    <row r="46" spans="1:9" ht="35.5" customHeight="1">
      <c r="C46" s="2339"/>
      <c r="D46" s="212"/>
      <c r="E46" s="9"/>
      <c r="F46" s="86" t="s">
        <v>220</v>
      </c>
      <c r="G46" s="463" t="s">
        <v>162</v>
      </c>
      <c r="H46" s="656"/>
      <c r="I46" s="539"/>
    </row>
    <row r="47" spans="1:9" ht="20.149999999999999" customHeight="1">
      <c r="C47" s="2339"/>
      <c r="D47" s="596" t="s">
        <v>214</v>
      </c>
      <c r="E47" s="596"/>
      <c r="F47" s="2341"/>
      <c r="G47" s="2342" t="s">
        <v>591</v>
      </c>
      <c r="H47" s="656"/>
      <c r="I47" s="539"/>
    </row>
    <row r="48" spans="1:9" ht="20.149999999999999" customHeight="1">
      <c r="C48" s="2339"/>
      <c r="D48" s="2343" t="s">
        <v>217</v>
      </c>
      <c r="E48" s="2343"/>
      <c r="F48" s="2344"/>
      <c r="G48" s="463" t="s">
        <v>592</v>
      </c>
      <c r="H48" s="656"/>
      <c r="I48" s="539"/>
    </row>
    <row r="49" spans="1:9" ht="20.149999999999999" customHeight="1">
      <c r="C49" s="2339"/>
      <c r="D49" s="2345" t="s">
        <v>131</v>
      </c>
      <c r="E49" s="2343"/>
      <c r="F49" s="2344"/>
      <c r="G49" s="2342" t="s">
        <v>295</v>
      </c>
      <c r="H49" s="656"/>
      <c r="I49" s="539"/>
    </row>
    <row r="50" spans="1:9" ht="20.149999999999999" customHeight="1">
      <c r="C50" s="140" t="s">
        <v>1403</v>
      </c>
      <c r="D50" s="2337"/>
      <c r="E50" s="2337"/>
      <c r="F50" s="2337"/>
      <c r="G50" s="2338"/>
      <c r="H50" s="656"/>
      <c r="I50" s="539"/>
    </row>
    <row r="51" spans="1:9" ht="174" customHeight="1">
      <c r="A51" s="1370" t="s">
        <v>930</v>
      </c>
      <c r="C51" s="1756"/>
      <c r="D51" s="2823" t="s">
        <v>275</v>
      </c>
      <c r="E51" s="2824"/>
      <c r="F51" s="2825"/>
      <c r="G51" s="1800" t="s">
        <v>1417</v>
      </c>
      <c r="H51" s="656"/>
      <c r="I51" s="539"/>
    </row>
    <row r="52" spans="1:9" ht="20.149999999999999" customHeight="1">
      <c r="C52" s="84" t="s">
        <v>593</v>
      </c>
      <c r="D52" s="612"/>
      <c r="E52" s="612"/>
      <c r="F52" s="612"/>
      <c r="G52" s="2346"/>
      <c r="H52" s="656"/>
      <c r="I52" s="539"/>
    </row>
    <row r="53" spans="1:9" ht="20.149999999999999" customHeight="1">
      <c r="C53" s="213"/>
      <c r="D53" s="595" t="s">
        <v>213</v>
      </c>
      <c r="E53" s="596"/>
      <c r="F53" s="596" t="s">
        <v>215</v>
      </c>
      <c r="G53" s="2826" t="s">
        <v>594</v>
      </c>
      <c r="H53" s="656"/>
      <c r="I53" s="539"/>
    </row>
    <row r="54" spans="1:9" ht="20.149999999999999" customHeight="1">
      <c r="C54" s="213"/>
      <c r="D54" s="212"/>
      <c r="E54" s="9"/>
      <c r="F54" s="12" t="s">
        <v>216</v>
      </c>
      <c r="G54" s="2827"/>
      <c r="H54" s="656"/>
      <c r="I54" s="539"/>
    </row>
    <row r="55" spans="1:9" ht="20.149999999999999" customHeight="1">
      <c r="C55" s="213"/>
      <c r="D55" s="215" t="s">
        <v>137</v>
      </c>
      <c r="E55" s="12"/>
      <c r="F55" s="2343" t="s">
        <v>595</v>
      </c>
      <c r="G55" s="2347" t="s">
        <v>596</v>
      </c>
      <c r="H55" s="656"/>
      <c r="I55" s="539"/>
    </row>
    <row r="56" spans="1:9" ht="38.25" customHeight="1">
      <c r="C56" s="213"/>
      <c r="D56" s="212" t="s">
        <v>218</v>
      </c>
      <c r="E56" s="9"/>
      <c r="F56" s="86" t="s">
        <v>219</v>
      </c>
      <c r="G56" s="2340" t="s">
        <v>163</v>
      </c>
      <c r="H56" s="656"/>
      <c r="I56" s="539"/>
    </row>
    <row r="57" spans="1:9" ht="38.25" customHeight="1">
      <c r="C57" s="214"/>
      <c r="D57" s="9"/>
      <c r="E57" s="9"/>
      <c r="F57" s="86" t="s">
        <v>220</v>
      </c>
      <c r="G57" s="463" t="s">
        <v>162</v>
      </c>
      <c r="H57" s="656"/>
      <c r="I57" s="539"/>
    </row>
    <row r="58" spans="1:9" ht="20.149999999999999" customHeight="1">
      <c r="C58" s="214"/>
      <c r="D58" s="596" t="s">
        <v>214</v>
      </c>
      <c r="E58" s="596"/>
      <c r="F58" s="2341"/>
      <c r="G58" s="2340" t="s">
        <v>591</v>
      </c>
      <c r="H58" s="656"/>
      <c r="I58" s="539"/>
    </row>
    <row r="59" spans="1:9" ht="20.149999999999999" customHeight="1">
      <c r="C59" s="214"/>
      <c r="D59" s="2343" t="s">
        <v>217</v>
      </c>
      <c r="E59" s="2343"/>
      <c r="F59" s="2344"/>
      <c r="G59" s="2342" t="s">
        <v>592</v>
      </c>
      <c r="H59" s="656"/>
      <c r="I59" s="539"/>
    </row>
    <row r="60" spans="1:9" ht="20.149999999999999" customHeight="1">
      <c r="C60" s="213"/>
      <c r="D60" s="2345" t="s">
        <v>131</v>
      </c>
      <c r="E60" s="2343"/>
      <c r="F60" s="2344"/>
      <c r="G60" s="2342" t="s">
        <v>597</v>
      </c>
      <c r="H60" s="656"/>
      <c r="I60" s="539"/>
    </row>
    <row r="61" spans="1:9" ht="20.149999999999999" customHeight="1">
      <c r="C61" s="213"/>
      <c r="D61" s="595" t="s">
        <v>208</v>
      </c>
      <c r="E61" s="9"/>
      <c r="F61" s="86"/>
      <c r="G61" s="2348" t="s">
        <v>161</v>
      </c>
      <c r="H61" s="656"/>
      <c r="I61" s="539"/>
    </row>
    <row r="62" spans="1:9" ht="20.149999999999999" customHeight="1">
      <c r="C62" s="213"/>
      <c r="D62" s="212"/>
      <c r="E62" s="9"/>
      <c r="F62" s="86"/>
      <c r="G62" s="2348" t="s">
        <v>160</v>
      </c>
      <c r="H62" s="656"/>
      <c r="I62" s="539"/>
    </row>
    <row r="63" spans="1:9" ht="20.149999999999999" customHeight="1">
      <c r="C63" s="274"/>
      <c r="D63" s="215"/>
      <c r="E63" s="12"/>
      <c r="F63" s="85"/>
      <c r="G63" s="1404" t="s">
        <v>159</v>
      </c>
      <c r="H63" s="656"/>
      <c r="I63" s="539"/>
    </row>
    <row r="64" spans="1:9" ht="20.149999999999999" customHeight="1">
      <c r="C64" s="445" t="s">
        <v>598</v>
      </c>
      <c r="D64" s="446"/>
      <c r="E64" s="446"/>
      <c r="F64" s="446"/>
      <c r="G64" s="2349"/>
      <c r="H64" s="656"/>
      <c r="I64" s="539"/>
    </row>
    <row r="65" spans="2:9" ht="20.149999999999999" customHeight="1">
      <c r="B65" s="585"/>
      <c r="C65" s="2350"/>
      <c r="D65" s="595" t="s">
        <v>993</v>
      </c>
      <c r="E65" s="596"/>
      <c r="F65" s="596"/>
      <c r="G65" s="2340" t="s">
        <v>992</v>
      </c>
      <c r="H65" s="656"/>
      <c r="I65" s="539"/>
    </row>
    <row r="66" spans="2:9" ht="20.149999999999999" customHeight="1">
      <c r="C66" s="2350"/>
      <c r="D66" s="595" t="s">
        <v>209</v>
      </c>
      <c r="E66" s="596"/>
      <c r="F66" s="596"/>
      <c r="G66" s="2342" t="s">
        <v>156</v>
      </c>
      <c r="H66" s="656"/>
      <c r="I66" s="539"/>
    </row>
    <row r="67" spans="2:9" ht="20.149999999999999" customHeight="1">
      <c r="C67" s="2350"/>
      <c r="D67" s="595" t="s">
        <v>132</v>
      </c>
      <c r="E67" s="596"/>
      <c r="F67" s="596"/>
      <c r="G67" s="2342" t="s">
        <v>994</v>
      </c>
      <c r="H67" s="656"/>
      <c r="I67" s="539"/>
    </row>
    <row r="68" spans="2:9" ht="20.149999999999999" customHeight="1">
      <c r="C68" s="2350"/>
      <c r="D68" s="595" t="s">
        <v>210</v>
      </c>
      <c r="E68" s="596"/>
      <c r="F68" s="596"/>
      <c r="G68" s="2342" t="s">
        <v>155</v>
      </c>
      <c r="H68" s="656"/>
      <c r="I68" s="539"/>
    </row>
    <row r="69" spans="2:9" ht="20.149999999999999" customHeight="1">
      <c r="C69" s="2350"/>
      <c r="D69" s="595" t="s">
        <v>383</v>
      </c>
      <c r="E69" s="596"/>
      <c r="F69" s="596"/>
      <c r="G69" s="2342" t="s">
        <v>599</v>
      </c>
      <c r="H69" s="656"/>
      <c r="I69" s="539"/>
    </row>
    <row r="70" spans="2:9" ht="20.149999999999999" customHeight="1">
      <c r="C70" s="2351"/>
      <c r="D70" s="2345" t="s">
        <v>131</v>
      </c>
      <c r="E70" s="2343"/>
      <c r="F70" s="2343"/>
      <c r="G70" s="2342" t="s">
        <v>991</v>
      </c>
      <c r="H70" s="656"/>
      <c r="I70" s="539"/>
    </row>
    <row r="71" spans="2:9" ht="20.149999999999999" customHeight="1">
      <c r="C71" s="128" t="s">
        <v>600</v>
      </c>
      <c r="D71" s="2352"/>
      <c r="E71" s="2352"/>
      <c r="F71" s="2352"/>
      <c r="G71" s="2353"/>
      <c r="H71" s="656"/>
      <c r="I71" s="539"/>
    </row>
    <row r="72" spans="2:9" ht="20.149999999999999" customHeight="1">
      <c r="C72" s="6"/>
      <c r="D72" s="2354" t="s">
        <v>770</v>
      </c>
      <c r="E72" s="596" t="s">
        <v>57</v>
      </c>
      <c r="F72" s="596"/>
      <c r="G72" s="2340" t="s">
        <v>601</v>
      </c>
      <c r="H72" s="656"/>
      <c r="I72" s="539"/>
    </row>
    <row r="73" spans="2:9" ht="28">
      <c r="C73" s="6"/>
      <c r="D73" s="1927"/>
      <c r="E73" s="2343" t="s">
        <v>58</v>
      </c>
      <c r="F73" s="2343"/>
      <c r="G73" s="2342" t="s">
        <v>158</v>
      </c>
      <c r="H73" s="656"/>
      <c r="I73" s="539"/>
    </row>
    <row r="74" spans="2:9" ht="20.149999999999999" customHeight="1">
      <c r="C74" s="6"/>
      <c r="D74" s="2355"/>
      <c r="E74" s="2343" t="s">
        <v>85</v>
      </c>
      <c r="F74" s="2343"/>
      <c r="G74" s="2342" t="s">
        <v>157</v>
      </c>
      <c r="H74" s="656"/>
      <c r="I74" s="539"/>
    </row>
    <row r="75" spans="2:9" ht="28">
      <c r="C75" s="2356"/>
      <c r="D75" s="1927" t="s">
        <v>771</v>
      </c>
      <c r="E75" s="276" t="s">
        <v>59</v>
      </c>
      <c r="F75" s="276"/>
      <c r="G75" s="463" t="s">
        <v>772</v>
      </c>
      <c r="H75" s="656"/>
      <c r="I75" s="539"/>
    </row>
    <row r="76" spans="2:9" ht="28">
      <c r="C76" s="2356"/>
      <c r="D76" s="1927"/>
      <c r="E76" s="276" t="s">
        <v>683</v>
      </c>
      <c r="F76" s="276"/>
      <c r="G76" s="463" t="s">
        <v>773</v>
      </c>
      <c r="H76" s="656"/>
      <c r="I76" s="539"/>
    </row>
    <row r="77" spans="2:9" ht="28">
      <c r="C77" s="2356"/>
      <c r="D77" s="1927"/>
      <c r="E77" s="276" t="s">
        <v>684</v>
      </c>
      <c r="F77" s="276"/>
      <c r="G77" s="463" t="s">
        <v>777</v>
      </c>
      <c r="H77" s="656"/>
      <c r="I77" s="539"/>
    </row>
    <row r="78" spans="2:9" ht="28">
      <c r="C78" s="2357"/>
      <c r="D78" s="2355"/>
      <c r="E78" s="276" t="s">
        <v>685</v>
      </c>
      <c r="F78" s="276"/>
      <c r="G78" s="463" t="s">
        <v>774</v>
      </c>
      <c r="H78" s="656"/>
      <c r="I78" s="539"/>
    </row>
    <row r="79" spans="2:9">
      <c r="C79" s="16" t="s">
        <v>928</v>
      </c>
      <c r="D79" s="2358"/>
      <c r="E79" s="2358"/>
      <c r="F79" s="2358"/>
      <c r="G79" s="2359"/>
      <c r="H79" s="656"/>
      <c r="I79" s="539"/>
    </row>
    <row r="80" spans="2:9" ht="46">
      <c r="C80" s="15"/>
      <c r="D80" s="2823" t="s">
        <v>643</v>
      </c>
      <c r="E80" s="2824"/>
      <c r="F80" s="2825"/>
      <c r="G80" s="2360" t="s">
        <v>1419</v>
      </c>
      <c r="H80" s="656"/>
      <c r="I80" s="539"/>
    </row>
    <row r="81" spans="1:9" ht="93">
      <c r="A81" s="1370" t="s">
        <v>930</v>
      </c>
      <c r="C81" s="15"/>
      <c r="D81" s="2828" t="s">
        <v>13</v>
      </c>
      <c r="E81" s="2829"/>
      <c r="F81" s="2830"/>
      <c r="G81" s="2347" t="s">
        <v>1423</v>
      </c>
      <c r="H81" s="656"/>
      <c r="I81" s="539"/>
    </row>
    <row r="82" spans="1:9" ht="32">
      <c r="C82" s="15"/>
      <c r="D82" s="2828" t="s">
        <v>1178</v>
      </c>
      <c r="E82" s="2829"/>
      <c r="F82" s="2830"/>
      <c r="G82" s="2347" t="s">
        <v>1229</v>
      </c>
      <c r="H82" s="656"/>
    </row>
    <row r="83" spans="1:9" ht="46">
      <c r="C83" s="15"/>
      <c r="D83" s="2831" t="s">
        <v>1177</v>
      </c>
      <c r="E83" s="2832"/>
      <c r="F83" s="2833"/>
      <c r="G83" s="2361" t="s">
        <v>1420</v>
      </c>
      <c r="H83" s="656"/>
      <c r="I83" s="539"/>
    </row>
    <row r="84" spans="1:9" ht="87" customHeight="1">
      <c r="C84" s="15"/>
      <c r="D84" s="2834" t="s">
        <v>1179</v>
      </c>
      <c r="E84" s="2835"/>
      <c r="F84" s="2836"/>
      <c r="G84" s="2361" t="s">
        <v>1421</v>
      </c>
      <c r="H84" s="656"/>
    </row>
    <row r="85" spans="1:9" ht="76.75" customHeight="1">
      <c r="C85" s="679"/>
      <c r="D85" s="2837" t="s">
        <v>1180</v>
      </c>
      <c r="E85" s="2838"/>
      <c r="F85" s="2839"/>
      <c r="G85" s="2361" t="s">
        <v>1422</v>
      </c>
      <c r="H85" s="656"/>
    </row>
    <row r="86" spans="1:9" s="597" customFormat="1" ht="12.65" customHeight="1">
      <c r="A86" s="25"/>
      <c r="C86" s="25"/>
      <c r="D86" s="659"/>
      <c r="E86" s="659"/>
      <c r="F86" s="659"/>
      <c r="G86" s="659"/>
      <c r="H86" s="656"/>
      <c r="I86" s="578"/>
    </row>
    <row r="87" spans="1:9" s="597" customFormat="1" ht="56">
      <c r="A87" s="25"/>
      <c r="C87" s="2362"/>
      <c r="D87" s="2363" t="s">
        <v>926</v>
      </c>
      <c r="E87" s="1237"/>
      <c r="F87" s="2364" t="s">
        <v>903</v>
      </c>
      <c r="G87" s="2365" t="s">
        <v>1173</v>
      </c>
      <c r="H87" s="656"/>
      <c r="I87" s="578"/>
    </row>
    <row r="88" spans="1:9" s="597" customFormat="1" ht="42">
      <c r="A88" s="25"/>
      <c r="C88" s="1363"/>
      <c r="D88" s="1367" t="s">
        <v>929</v>
      </c>
      <c r="E88" s="1238"/>
      <c r="F88" s="1238" t="s">
        <v>904</v>
      </c>
      <c r="G88" s="2365" t="s">
        <v>1174</v>
      </c>
      <c r="H88" s="656"/>
      <c r="I88" s="578"/>
    </row>
    <row r="89" spans="1:9" s="597" customFormat="1" ht="28">
      <c r="A89" s="25"/>
      <c r="C89" s="1363"/>
      <c r="D89" s="1367"/>
      <c r="E89" s="1238"/>
      <c r="F89" s="2364" t="s">
        <v>905</v>
      </c>
      <c r="G89" s="2365" t="s">
        <v>1175</v>
      </c>
      <c r="H89" s="656"/>
      <c r="I89" s="578"/>
    </row>
    <row r="90" spans="1:9" ht="42">
      <c r="C90" s="1364"/>
      <c r="D90" s="1369"/>
      <c r="E90" s="1239"/>
      <c r="F90" s="2364" t="s">
        <v>906</v>
      </c>
      <c r="G90" s="2365" t="s">
        <v>1176</v>
      </c>
      <c r="H90" s="656"/>
      <c r="I90" s="539"/>
    </row>
    <row r="91" spans="1:9" ht="15" customHeight="1">
      <c r="G91" s="540"/>
      <c r="H91" s="656"/>
      <c r="I91" s="539"/>
    </row>
    <row r="92" spans="1:9" ht="15.5">
      <c r="A92" s="2366"/>
      <c r="C92" s="1401" t="s">
        <v>1216</v>
      </c>
    </row>
    <row r="93" spans="1:9" ht="14.5" customHeight="1">
      <c r="A93" s="1370" t="s">
        <v>930</v>
      </c>
      <c r="C93" s="2367"/>
      <c r="D93" s="2368" t="s">
        <v>1185</v>
      </c>
      <c r="E93" s="2369"/>
      <c r="F93" s="2370" t="s">
        <v>1186</v>
      </c>
      <c r="G93" s="2369"/>
    </row>
    <row r="94" spans="1:9" ht="14.5" customHeight="1">
      <c r="A94" s="1370" t="s">
        <v>930</v>
      </c>
      <c r="C94" s="1399"/>
      <c r="D94" s="553" t="s">
        <v>1187</v>
      </c>
      <c r="E94" s="2331"/>
      <c r="F94" s="554" t="s">
        <v>1190</v>
      </c>
      <c r="G94" s="2331"/>
    </row>
    <row r="95" spans="1:9" ht="14.5" customHeight="1">
      <c r="A95" s="1370" t="s">
        <v>930</v>
      </c>
      <c r="C95" s="1399"/>
      <c r="D95" s="209" t="s">
        <v>1187</v>
      </c>
      <c r="E95" s="210"/>
      <c r="F95" s="25" t="s">
        <v>1190</v>
      </c>
      <c r="G95" s="210"/>
    </row>
    <row r="96" spans="1:9" ht="14.5" customHeight="1">
      <c r="A96" s="1370" t="s">
        <v>930</v>
      </c>
      <c r="C96" s="1399"/>
      <c r="D96" s="209" t="s">
        <v>1428</v>
      </c>
      <c r="E96" s="210"/>
      <c r="F96" s="25" t="s">
        <v>1184</v>
      </c>
      <c r="G96" s="210"/>
    </row>
    <row r="97" spans="1:7" ht="14.5" customHeight="1">
      <c r="A97" s="1370" t="s">
        <v>930</v>
      </c>
      <c r="C97" s="1399"/>
      <c r="D97" s="209" t="s">
        <v>1429</v>
      </c>
      <c r="E97" s="210"/>
      <c r="F97" s="25" t="s">
        <v>1207</v>
      </c>
      <c r="G97" s="210"/>
    </row>
    <row r="98" spans="1:7" ht="14.5" customHeight="1">
      <c r="A98" s="1370" t="s">
        <v>930</v>
      </c>
      <c r="C98" s="1399"/>
      <c r="D98" s="209" t="s">
        <v>1235</v>
      </c>
      <c r="E98" s="210"/>
      <c r="F98" s="25" t="s">
        <v>1188</v>
      </c>
      <c r="G98" s="210"/>
    </row>
    <row r="99" spans="1:7" ht="14.5" customHeight="1">
      <c r="A99" s="1370" t="s">
        <v>930</v>
      </c>
      <c r="C99" s="1399"/>
      <c r="D99" s="209" t="s">
        <v>1235</v>
      </c>
      <c r="E99" s="210"/>
      <c r="F99" s="25" t="s">
        <v>1189</v>
      </c>
      <c r="G99" s="210"/>
    </row>
    <row r="100" spans="1:7" ht="14.5" customHeight="1">
      <c r="A100" s="1370" t="s">
        <v>930</v>
      </c>
      <c r="C100" s="1399"/>
      <c r="D100" s="209" t="s">
        <v>1235</v>
      </c>
      <c r="E100" s="210"/>
      <c r="F100" s="25" t="s">
        <v>1191</v>
      </c>
      <c r="G100" s="210"/>
    </row>
    <row r="101" spans="1:7" ht="14.5" customHeight="1">
      <c r="A101" s="1370" t="s">
        <v>930</v>
      </c>
      <c r="C101" s="1399"/>
      <c r="D101" s="209" t="s">
        <v>1235</v>
      </c>
      <c r="E101" s="210"/>
      <c r="F101" s="25" t="s">
        <v>1182</v>
      </c>
      <c r="G101" s="210"/>
    </row>
    <row r="102" spans="1:7" ht="14.5" customHeight="1">
      <c r="A102" s="1370" t="s">
        <v>930</v>
      </c>
      <c r="C102" s="1399"/>
      <c r="D102" s="209" t="s">
        <v>1235</v>
      </c>
      <c r="E102" s="210"/>
      <c r="F102" s="25" t="s">
        <v>1196</v>
      </c>
      <c r="G102" s="210"/>
    </row>
    <row r="103" spans="1:7" ht="14.5" customHeight="1">
      <c r="A103" s="1370" t="s">
        <v>930</v>
      </c>
      <c r="C103" s="1399"/>
      <c r="D103" s="209" t="s">
        <v>1235</v>
      </c>
      <c r="E103" s="210"/>
      <c r="F103" s="25" t="s">
        <v>1199</v>
      </c>
      <c r="G103" s="210"/>
    </row>
    <row r="104" spans="1:7" ht="14.5" customHeight="1">
      <c r="A104" s="1370" t="s">
        <v>930</v>
      </c>
      <c r="C104" s="1399"/>
      <c r="D104" s="209" t="s">
        <v>1183</v>
      </c>
      <c r="E104" s="210"/>
      <c r="F104" s="25" t="s">
        <v>1200</v>
      </c>
      <c r="G104" s="210"/>
    </row>
    <row r="105" spans="1:7" ht="14.5" customHeight="1">
      <c r="A105" s="1370" t="s">
        <v>930</v>
      </c>
      <c r="C105" s="1399"/>
      <c r="D105" s="209" t="s">
        <v>1183</v>
      </c>
      <c r="E105" s="210"/>
      <c r="F105" s="25" t="s">
        <v>1201</v>
      </c>
      <c r="G105" s="210"/>
    </row>
    <row r="106" spans="1:7" ht="14.5" customHeight="1">
      <c r="A106" s="1370" t="s">
        <v>930</v>
      </c>
      <c r="C106" s="1399"/>
      <c r="D106" s="209" t="s">
        <v>1183</v>
      </c>
      <c r="E106" s="210"/>
      <c r="F106" s="25" t="s">
        <v>1202</v>
      </c>
      <c r="G106" s="210"/>
    </row>
    <row r="107" spans="1:7" ht="14.5" customHeight="1">
      <c r="A107" s="1370" t="s">
        <v>930</v>
      </c>
      <c r="C107" s="1399"/>
      <c r="D107" s="209" t="s">
        <v>1183</v>
      </c>
      <c r="E107" s="210"/>
      <c r="F107" s="25" t="s">
        <v>1205</v>
      </c>
      <c r="G107" s="210"/>
    </row>
    <row r="108" spans="1:7" ht="14.5" customHeight="1">
      <c r="A108" s="1370" t="s">
        <v>930</v>
      </c>
      <c r="C108" s="1399"/>
      <c r="D108" s="209" t="s">
        <v>1183</v>
      </c>
      <c r="E108" s="210"/>
      <c r="F108" s="25" t="s">
        <v>1206</v>
      </c>
      <c r="G108" s="210"/>
    </row>
    <row r="109" spans="1:7" ht="14.5" customHeight="1">
      <c r="A109" s="1370" t="s">
        <v>930</v>
      </c>
      <c r="C109" s="1399"/>
      <c r="D109" s="209" t="s">
        <v>1181</v>
      </c>
      <c r="E109" s="210"/>
      <c r="F109" s="25" t="s">
        <v>1192</v>
      </c>
      <c r="G109" s="210"/>
    </row>
    <row r="110" spans="1:7" ht="14.5" customHeight="1">
      <c r="A110" s="1370" t="s">
        <v>930</v>
      </c>
      <c r="C110" s="1399"/>
      <c r="D110" s="209" t="s">
        <v>1181</v>
      </c>
      <c r="E110" s="210"/>
      <c r="F110" s="25" t="s">
        <v>1193</v>
      </c>
      <c r="G110" s="210"/>
    </row>
    <row r="111" spans="1:7" ht="14.5" customHeight="1">
      <c r="A111" s="1370" t="s">
        <v>930</v>
      </c>
      <c r="C111" s="1399"/>
      <c r="D111" s="209" t="s">
        <v>1181</v>
      </c>
      <c r="E111" s="210"/>
      <c r="F111" s="25" t="s">
        <v>1194</v>
      </c>
      <c r="G111" s="210"/>
    </row>
    <row r="112" spans="1:7" ht="14.5" customHeight="1">
      <c r="A112" s="1370" t="s">
        <v>930</v>
      </c>
      <c r="C112" s="1399"/>
      <c r="D112" s="209" t="s">
        <v>1181</v>
      </c>
      <c r="E112" s="210"/>
      <c r="F112" s="25" t="s">
        <v>1430</v>
      </c>
      <c r="G112" s="210"/>
    </row>
    <row r="113" spans="1:9" ht="14.5" customHeight="1">
      <c r="A113" s="1370" t="s">
        <v>930</v>
      </c>
      <c r="C113" s="1399"/>
      <c r="D113" s="209" t="s">
        <v>1181</v>
      </c>
      <c r="E113" s="210"/>
      <c r="F113" s="25" t="s">
        <v>1195</v>
      </c>
      <c r="G113" s="210"/>
    </row>
    <row r="114" spans="1:9" ht="14.5" customHeight="1">
      <c r="A114" s="1370" t="s">
        <v>930</v>
      </c>
      <c r="C114" s="1399"/>
      <c r="D114" s="209" t="s">
        <v>1181</v>
      </c>
      <c r="E114" s="210"/>
      <c r="F114" s="25" t="s">
        <v>1197</v>
      </c>
      <c r="G114" s="210"/>
    </row>
    <row r="115" spans="1:9" ht="14.5" customHeight="1">
      <c r="A115" s="1370" t="s">
        <v>930</v>
      </c>
      <c r="C115" s="1400"/>
      <c r="D115" s="208" t="s">
        <v>1181</v>
      </c>
      <c r="E115" s="207"/>
      <c r="F115" s="94" t="s">
        <v>1198</v>
      </c>
      <c r="G115" s="207"/>
    </row>
    <row r="116" spans="1:9" ht="14.5" customHeight="1">
      <c r="A116" s="1370" t="s">
        <v>930</v>
      </c>
      <c r="C116" s="25" t="s">
        <v>1431</v>
      </c>
    </row>
    <row r="117" spans="1:9" ht="14.5" customHeight="1">
      <c r="A117" s="1370" t="s">
        <v>930</v>
      </c>
      <c r="C117" s="2371"/>
      <c r="D117" s="2368" t="s">
        <v>1185</v>
      </c>
      <c r="E117" s="2369"/>
      <c r="F117" s="2370" t="s">
        <v>1186</v>
      </c>
      <c r="G117" s="2369"/>
    </row>
    <row r="118" spans="1:9" ht="14.5" customHeight="1">
      <c r="A118" s="1370" t="s">
        <v>930</v>
      </c>
      <c r="C118" s="2372"/>
      <c r="D118" s="209" t="s">
        <v>1432</v>
      </c>
      <c r="E118" s="210"/>
      <c r="F118" s="25" t="s">
        <v>1433</v>
      </c>
      <c r="G118" s="210"/>
    </row>
    <row r="119" spans="1:9" ht="14.5" customHeight="1">
      <c r="A119" s="1370" t="s">
        <v>930</v>
      </c>
      <c r="C119" s="2372"/>
      <c r="D119" s="209" t="s">
        <v>1432</v>
      </c>
      <c r="E119" s="210"/>
      <c r="F119" s="25" t="s">
        <v>1434</v>
      </c>
      <c r="G119" s="210"/>
    </row>
    <row r="120" spans="1:9" ht="14.5" customHeight="1">
      <c r="A120" s="1370" t="s">
        <v>930</v>
      </c>
      <c r="C120" s="2372"/>
      <c r="D120" s="209" t="s">
        <v>1432</v>
      </c>
      <c r="E120" s="210"/>
      <c r="F120" s="25" t="s">
        <v>1203</v>
      </c>
      <c r="G120" s="210"/>
    </row>
    <row r="121" spans="1:9">
      <c r="A121" s="1370" t="s">
        <v>930</v>
      </c>
      <c r="C121" s="2372"/>
      <c r="D121" s="209" t="s">
        <v>1432</v>
      </c>
      <c r="E121" s="210"/>
      <c r="F121" s="25" t="s">
        <v>1204</v>
      </c>
      <c r="G121" s="210"/>
    </row>
    <row r="122" spans="1:9" s="577" customFormat="1">
      <c r="A122" s="1370" t="s">
        <v>930</v>
      </c>
      <c r="C122" s="2373"/>
      <c r="D122" s="208" t="s">
        <v>1432</v>
      </c>
      <c r="E122" s="207"/>
      <c r="F122" s="94" t="s">
        <v>1435</v>
      </c>
      <c r="G122" s="207"/>
      <c r="H122" s="240"/>
      <c r="I122" s="240"/>
    </row>
    <row r="123" spans="1:9" s="577" customFormat="1">
      <c r="C123" s="25"/>
      <c r="D123" s="25"/>
      <c r="E123" s="25"/>
      <c r="F123" s="25"/>
      <c r="G123" s="25"/>
      <c r="H123" s="240"/>
      <c r="I123" s="240"/>
    </row>
    <row r="124" spans="1:9" s="577" customFormat="1">
      <c r="C124" s="2374" t="s">
        <v>968</v>
      </c>
      <c r="D124" s="2375"/>
      <c r="E124" s="2375"/>
      <c r="F124" s="2375"/>
      <c r="G124" s="2376"/>
      <c r="H124" s="240"/>
      <c r="I124" s="240"/>
    </row>
    <row r="125" spans="1:9" s="577" customFormat="1">
      <c r="C125" s="1366"/>
      <c r="D125" s="2363" t="s">
        <v>969</v>
      </c>
      <c r="E125" s="1237"/>
      <c r="F125" s="2364" t="s">
        <v>298</v>
      </c>
      <c r="G125" s="2365" t="s">
        <v>980</v>
      </c>
      <c r="H125" s="240"/>
      <c r="I125" s="240"/>
    </row>
    <row r="126" spans="1:9" s="577" customFormat="1">
      <c r="C126" s="1366"/>
      <c r="D126" s="1367"/>
      <c r="E126" s="1238"/>
      <c r="F126" s="1238" t="s">
        <v>306</v>
      </c>
      <c r="G126" s="2365" t="s">
        <v>981</v>
      </c>
      <c r="H126" s="240"/>
      <c r="I126" s="240"/>
    </row>
    <row r="127" spans="1:9" ht="15" customHeight="1">
      <c r="C127" s="1366"/>
      <c r="D127" s="1367" t="s">
        <v>974</v>
      </c>
      <c r="E127" s="1238"/>
      <c r="F127" s="2364" t="s">
        <v>975</v>
      </c>
      <c r="G127" s="2365" t="s">
        <v>982</v>
      </c>
      <c r="H127" s="656"/>
      <c r="I127" s="539"/>
    </row>
    <row r="128" spans="1:9" ht="15" customHeight="1">
      <c r="C128" s="1368"/>
      <c r="D128" s="1369"/>
      <c r="E128" s="1239"/>
      <c r="F128" s="2364" t="s">
        <v>976</v>
      </c>
      <c r="G128" s="2365" t="s">
        <v>983</v>
      </c>
      <c r="H128" s="656"/>
      <c r="I128" s="539"/>
    </row>
    <row r="129" spans="1:9" ht="15" customHeight="1">
      <c r="G129" s="540"/>
      <c r="H129" s="656"/>
      <c r="I129" s="539"/>
    </row>
    <row r="130" spans="1:9" s="597" customFormat="1" ht="15" customHeight="1">
      <c r="A130" s="25"/>
      <c r="C130" s="2377" t="s">
        <v>543</v>
      </c>
      <c r="D130" s="2378"/>
      <c r="E130" s="2378"/>
      <c r="F130" s="2378"/>
      <c r="G130" s="2379"/>
      <c r="H130" s="656"/>
      <c r="I130" s="578"/>
    </row>
    <row r="131" spans="1:9" s="597" customFormat="1" ht="15" customHeight="1">
      <c r="A131" s="25"/>
      <c r="C131" s="30"/>
      <c r="D131" s="556" t="s">
        <v>498</v>
      </c>
      <c r="E131" s="596"/>
      <c r="F131" s="2341"/>
      <c r="G131" s="2380" t="s">
        <v>493</v>
      </c>
      <c r="H131" s="656"/>
      <c r="I131" s="578"/>
    </row>
    <row r="132" spans="1:9" s="597" customFormat="1" ht="15" customHeight="1">
      <c r="A132" s="25"/>
      <c r="C132" s="30"/>
      <c r="D132" s="613"/>
      <c r="E132" s="9"/>
      <c r="F132" s="86"/>
      <c r="G132" s="2381" t="s">
        <v>494</v>
      </c>
      <c r="H132" s="656"/>
      <c r="I132" s="578"/>
    </row>
    <row r="133" spans="1:9" s="597" customFormat="1" ht="15" customHeight="1">
      <c r="A133" s="25"/>
      <c r="C133" s="30"/>
      <c r="D133" s="613"/>
      <c r="E133" s="9"/>
      <c r="F133" s="86"/>
      <c r="G133" s="2381" t="s">
        <v>495</v>
      </c>
      <c r="H133" s="656"/>
      <c r="I133" s="578"/>
    </row>
    <row r="134" spans="1:9" s="597" customFormat="1" ht="15" customHeight="1">
      <c r="A134" s="25"/>
      <c r="C134" s="30"/>
      <c r="D134" s="613"/>
      <c r="E134" s="9"/>
      <c r="F134" s="86"/>
      <c r="G134" s="2381" t="s">
        <v>496</v>
      </c>
      <c r="H134" s="656"/>
      <c r="I134" s="578"/>
    </row>
    <row r="135" spans="1:9" s="597" customFormat="1" ht="15" customHeight="1">
      <c r="A135" s="25"/>
      <c r="C135" s="30"/>
      <c r="D135" s="1398"/>
      <c r="E135" s="12"/>
      <c r="F135" s="85"/>
      <c r="G135" s="2382" t="s">
        <v>497</v>
      </c>
      <c r="H135" s="656"/>
      <c r="I135" s="578"/>
    </row>
    <row r="136" spans="1:9" s="597" customFormat="1" ht="15" customHeight="1">
      <c r="A136" s="25"/>
      <c r="C136" s="30"/>
      <c r="D136" s="556" t="s">
        <v>372</v>
      </c>
      <c r="E136" s="596"/>
      <c r="F136" s="2341"/>
      <c r="G136" s="2380" t="s">
        <v>544</v>
      </c>
      <c r="H136" s="656"/>
      <c r="I136" s="578"/>
    </row>
    <row r="137" spans="1:9" s="597" customFormat="1" ht="15" customHeight="1">
      <c r="A137" s="25"/>
      <c r="C137" s="30"/>
      <c r="D137" s="1398"/>
      <c r="E137" s="614" t="s">
        <v>545</v>
      </c>
      <c r="F137" s="85"/>
      <c r="G137" s="2382"/>
      <c r="H137" s="656"/>
      <c r="I137" s="578"/>
    </row>
    <row r="138" spans="1:9" s="597" customFormat="1" ht="15" customHeight="1">
      <c r="A138" s="25"/>
      <c r="C138" s="30"/>
      <c r="D138" s="556" t="s">
        <v>373</v>
      </c>
      <c r="E138" s="596"/>
      <c r="F138" s="2341"/>
      <c r="G138" s="2380" t="s">
        <v>546</v>
      </c>
      <c r="H138" s="656"/>
      <c r="I138" s="578"/>
    </row>
    <row r="139" spans="1:9" s="597" customFormat="1" ht="15" customHeight="1">
      <c r="A139" s="25"/>
      <c r="C139" s="2383"/>
      <c r="D139" s="1398"/>
      <c r="E139" s="614" t="s">
        <v>545</v>
      </c>
      <c r="F139" s="85"/>
      <c r="G139" s="2382"/>
      <c r="H139" s="656"/>
      <c r="I139" s="578"/>
    </row>
    <row r="140" spans="1:9" ht="15" customHeight="1">
      <c r="G140" s="540"/>
      <c r="H140" s="656"/>
      <c r="I140" s="539"/>
    </row>
    <row r="141" spans="1:9" ht="19.5" customHeight="1">
      <c r="C141" s="211" t="s">
        <v>547</v>
      </c>
      <c r="G141" s="540" t="s">
        <v>907</v>
      </c>
      <c r="H141" s="656"/>
      <c r="I141" s="539"/>
    </row>
    <row r="142" spans="1:9" ht="8.5" customHeight="1">
      <c r="G142" s="540"/>
      <c r="H142" s="656"/>
      <c r="I142" s="539"/>
    </row>
    <row r="143" spans="1:9" ht="20.149999999999999" customHeight="1">
      <c r="C143" s="2384"/>
      <c r="D143" s="2385" t="s">
        <v>548</v>
      </c>
      <c r="E143" s="2385"/>
      <c r="F143" s="2386"/>
      <c r="G143" s="2387" t="s">
        <v>154</v>
      </c>
      <c r="H143" s="656"/>
      <c r="I143" s="539"/>
    </row>
    <row r="144" spans="1:9" ht="90" customHeight="1">
      <c r="C144" s="553"/>
      <c r="D144" s="2815" t="s">
        <v>602</v>
      </c>
      <c r="E144" s="2815"/>
      <c r="F144" s="2816"/>
      <c r="G144" s="2388" t="s">
        <v>1230</v>
      </c>
      <c r="H144" s="656"/>
      <c r="I144" s="539"/>
    </row>
    <row r="145" spans="2:9" ht="84" customHeight="1">
      <c r="C145" s="208"/>
      <c r="D145" s="1403"/>
      <c r="E145" s="1403"/>
      <c r="F145" s="1404"/>
      <c r="G145" s="1405" t="s">
        <v>1231</v>
      </c>
      <c r="H145" s="656"/>
      <c r="I145" s="539"/>
    </row>
    <row r="146" spans="2:9" ht="20.149999999999999" customHeight="1">
      <c r="C146" s="208"/>
      <c r="D146" s="94" t="s">
        <v>296</v>
      </c>
      <c r="E146" s="94"/>
      <c r="F146" s="207"/>
      <c r="G146" s="558" t="s">
        <v>1232</v>
      </c>
    </row>
    <row r="147" spans="2:9" ht="20">
      <c r="B147" s="585"/>
      <c r="C147" s="211" t="s">
        <v>552</v>
      </c>
      <c r="G147" s="540"/>
    </row>
    <row r="148" spans="2:9" ht="8.5" customHeight="1">
      <c r="B148" s="585"/>
      <c r="G148" s="540"/>
    </row>
    <row r="149" spans="2:9" ht="17.5" customHeight="1">
      <c r="B149" s="585"/>
      <c r="C149" s="2384"/>
      <c r="D149" s="2385" t="s">
        <v>548</v>
      </c>
      <c r="E149" s="2389"/>
      <c r="F149" s="2389"/>
      <c r="G149" s="2390" t="s">
        <v>553</v>
      </c>
    </row>
    <row r="150" spans="2:9" ht="17.5" customHeight="1">
      <c r="B150" s="585"/>
      <c r="C150" s="556" t="s">
        <v>554</v>
      </c>
      <c r="D150" s="557"/>
      <c r="E150" s="557"/>
      <c r="F150" s="557"/>
      <c r="G150" s="2388" t="s">
        <v>555</v>
      </c>
    </row>
    <row r="151" spans="2:9" ht="17.5" customHeight="1">
      <c r="B151" s="585"/>
      <c r="C151" s="2391"/>
      <c r="D151" s="2392" t="s">
        <v>67</v>
      </c>
      <c r="E151" s="2327"/>
      <c r="F151" s="2327"/>
      <c r="G151" s="2393" t="s">
        <v>556</v>
      </c>
    </row>
    <row r="152" spans="2:9" ht="17.5" customHeight="1">
      <c r="B152" s="585"/>
      <c r="C152" s="2391"/>
      <c r="D152" s="2392" t="s">
        <v>610</v>
      </c>
      <c r="E152" s="2327"/>
      <c r="F152" s="2327"/>
      <c r="G152" s="2393" t="s">
        <v>490</v>
      </c>
    </row>
    <row r="153" spans="2:9" ht="17.5" customHeight="1">
      <c r="B153" s="585"/>
      <c r="C153" s="2391"/>
      <c r="D153" s="2392" t="s">
        <v>122</v>
      </c>
      <c r="E153" s="2327"/>
      <c r="F153" s="2327"/>
      <c r="G153" s="2393" t="s">
        <v>491</v>
      </c>
    </row>
    <row r="154" spans="2:9" ht="17.5" customHeight="1">
      <c r="B154" s="585"/>
      <c r="C154" s="2391"/>
      <c r="D154" s="2392" t="s">
        <v>121</v>
      </c>
      <c r="E154" s="2327"/>
      <c r="F154" s="2327"/>
      <c r="G154" s="2393" t="s">
        <v>121</v>
      </c>
    </row>
    <row r="155" spans="2:9" ht="17.5" customHeight="1">
      <c r="B155" s="585"/>
      <c r="C155" s="486"/>
      <c r="D155" s="2" t="s">
        <v>120</v>
      </c>
      <c r="E155" s="485"/>
      <c r="F155" s="485"/>
      <c r="G155" s="558" t="s">
        <v>492</v>
      </c>
    </row>
    <row r="157" spans="2:9" ht="19.5" customHeight="1">
      <c r="C157" s="211" t="s">
        <v>603</v>
      </c>
      <c r="G157" s="593"/>
      <c r="H157" s="656"/>
      <c r="I157" s="539"/>
    </row>
    <row r="158" spans="2:9" ht="8.5" customHeight="1">
      <c r="G158" s="593"/>
      <c r="H158" s="656"/>
      <c r="I158" s="539"/>
    </row>
    <row r="159" spans="2:9" ht="20.149999999999999" customHeight="1">
      <c r="C159" s="2384"/>
      <c r="D159" s="2385" t="s">
        <v>548</v>
      </c>
      <c r="E159" s="2385"/>
      <c r="F159" s="2386"/>
      <c r="G159" s="2387" t="s">
        <v>154</v>
      </c>
      <c r="H159" s="656"/>
      <c r="I159" s="539"/>
    </row>
    <row r="160" spans="2:9" ht="20.149999999999999" customHeight="1">
      <c r="C160" s="209"/>
      <c r="D160" s="25" t="s">
        <v>549</v>
      </c>
      <c r="F160" s="210"/>
      <c r="G160" s="594" t="s">
        <v>604</v>
      </c>
      <c r="H160" s="656"/>
      <c r="I160" s="539"/>
    </row>
    <row r="161" spans="2:9" ht="20.149999999999999" customHeight="1">
      <c r="C161" s="2394"/>
      <c r="D161" s="2395" t="s">
        <v>550</v>
      </c>
      <c r="E161" s="2395"/>
      <c r="F161" s="2328"/>
      <c r="G161" s="2393" t="s">
        <v>375</v>
      </c>
      <c r="H161" s="656"/>
      <c r="I161" s="539"/>
    </row>
    <row r="162" spans="2:9" ht="20.149999999999999" customHeight="1">
      <c r="C162" s="208"/>
      <c r="D162" s="94" t="s">
        <v>605</v>
      </c>
      <c r="E162" s="94"/>
      <c r="F162" s="207"/>
      <c r="G162" s="463" t="s">
        <v>606</v>
      </c>
    </row>
    <row r="163" spans="2:9" ht="15" customHeight="1">
      <c r="G163" s="540"/>
    </row>
    <row r="164" spans="2:9" ht="20">
      <c r="C164" s="211" t="s">
        <v>908</v>
      </c>
      <c r="G164" s="593" t="s">
        <v>907</v>
      </c>
    </row>
    <row r="165" spans="2:9" ht="8.5" customHeight="1">
      <c r="B165" s="585"/>
      <c r="G165" s="540"/>
    </row>
    <row r="166" spans="2:9" ht="20.149999999999999" customHeight="1">
      <c r="C166" s="2384"/>
      <c r="D166" s="2385" t="s">
        <v>548</v>
      </c>
      <c r="E166" s="2389"/>
      <c r="F166" s="2389"/>
      <c r="G166" s="2390" t="s">
        <v>553</v>
      </c>
    </row>
    <row r="167" spans="2:9" ht="18" customHeight="1">
      <c r="C167" s="2326" t="s">
        <v>143</v>
      </c>
      <c r="D167" s="2327"/>
      <c r="E167" s="2327"/>
      <c r="F167" s="2327"/>
      <c r="G167" s="2393" t="s">
        <v>909</v>
      </c>
    </row>
    <row r="168" spans="2:9" ht="35.5" customHeight="1">
      <c r="C168" s="2326" t="s">
        <v>96</v>
      </c>
      <c r="D168" s="2327"/>
      <c r="E168" s="2327"/>
      <c r="F168" s="2327"/>
      <c r="G168" s="2393" t="s">
        <v>910</v>
      </c>
    </row>
    <row r="169" spans="2:9" ht="18" customHeight="1">
      <c r="C169" s="2326" t="s">
        <v>142</v>
      </c>
      <c r="D169" s="2327"/>
      <c r="E169" s="2327"/>
      <c r="F169" s="2327"/>
      <c r="G169" s="2393" t="s">
        <v>911</v>
      </c>
    </row>
    <row r="170" spans="2:9">
      <c r="G170" s="540"/>
    </row>
    <row r="171" spans="2:9" ht="21.75" customHeight="1">
      <c r="C171" s="211" t="s">
        <v>1170</v>
      </c>
      <c r="G171" s="540"/>
    </row>
    <row r="172" spans="2:9" ht="8.5" customHeight="1">
      <c r="G172" s="540"/>
    </row>
    <row r="173" spans="2:9" ht="20.149999999999999" customHeight="1">
      <c r="C173" s="2384"/>
      <c r="D173" s="2385" t="s">
        <v>548</v>
      </c>
      <c r="E173" s="2385"/>
      <c r="F173" s="2386"/>
      <c r="G173" s="2396" t="s">
        <v>154</v>
      </c>
    </row>
    <row r="174" spans="2:9" ht="16.399999999999999" customHeight="1">
      <c r="C174" s="553"/>
      <c r="D174" s="554" t="s">
        <v>96</v>
      </c>
      <c r="E174" s="554"/>
      <c r="F174" s="2397" t="s">
        <v>549</v>
      </c>
      <c r="G174" s="2340" t="s">
        <v>1171</v>
      </c>
    </row>
    <row r="175" spans="2:9" ht="16.75" customHeight="1">
      <c r="C175" s="209"/>
      <c r="F175" s="2398" t="s">
        <v>607</v>
      </c>
      <c r="G175" s="2393" t="s">
        <v>1172</v>
      </c>
    </row>
    <row r="176" spans="2:9" ht="16.75" customHeight="1">
      <c r="C176" s="208"/>
      <c r="D176" s="94"/>
      <c r="E176" s="94"/>
      <c r="F176" s="2399" t="s">
        <v>608</v>
      </c>
      <c r="G176" s="2393" t="s">
        <v>1172</v>
      </c>
    </row>
    <row r="177" spans="1:7" ht="16.75" customHeight="1">
      <c r="C177" s="553"/>
      <c r="D177" s="555" t="s">
        <v>153</v>
      </c>
      <c r="E177" s="554"/>
      <c r="F177" s="2400" t="s">
        <v>551</v>
      </c>
      <c r="G177" s="2340" t="s">
        <v>1171</v>
      </c>
    </row>
    <row r="178" spans="1:7" ht="16.75" customHeight="1">
      <c r="C178" s="208"/>
      <c r="D178" s="94"/>
      <c r="E178" s="94"/>
      <c r="F178" s="2398" t="s">
        <v>609</v>
      </c>
      <c r="G178" s="2393" t="s">
        <v>1172</v>
      </c>
    </row>
    <row r="179" spans="1:7" ht="8.5" customHeight="1">
      <c r="G179" s="540"/>
    </row>
    <row r="180" spans="1:7" ht="20.149999999999999" customHeight="1">
      <c r="A180" s="1292" t="s">
        <v>460</v>
      </c>
      <c r="C180" s="2401"/>
      <c r="D180" s="2402" t="s">
        <v>1370</v>
      </c>
      <c r="E180" s="2402"/>
      <c r="F180" s="2403"/>
      <c r="G180" s="2404" t="s">
        <v>553</v>
      </c>
    </row>
    <row r="181" spans="1:7" ht="28">
      <c r="A181" s="1292" t="s">
        <v>460</v>
      </c>
      <c r="C181" s="2405" t="s">
        <v>1371</v>
      </c>
      <c r="D181" s="2406"/>
      <c r="E181" s="2406"/>
      <c r="F181" s="2407"/>
      <c r="G181" s="2408" t="s">
        <v>1383</v>
      </c>
    </row>
    <row r="182" spans="1:7">
      <c r="G182" s="540"/>
    </row>
    <row r="183" spans="1:7" ht="20">
      <c r="C183" s="211" t="s">
        <v>1220</v>
      </c>
      <c r="G183" s="593"/>
    </row>
    <row r="184" spans="1:7" ht="8.5" customHeight="1">
      <c r="B184" s="585"/>
      <c r="G184" s="540"/>
    </row>
    <row r="185" spans="1:7" ht="20.149999999999999" customHeight="1">
      <c r="C185" s="2384"/>
      <c r="D185" s="2385" t="s">
        <v>548</v>
      </c>
      <c r="E185" s="2389"/>
      <c r="F185" s="2389"/>
      <c r="G185" s="2390" t="s">
        <v>553</v>
      </c>
    </row>
    <row r="186" spans="1:7" ht="18" customHeight="1">
      <c r="C186" s="2326" t="s">
        <v>138</v>
      </c>
      <c r="D186" s="2327"/>
      <c r="E186" s="2327"/>
      <c r="F186" s="2327"/>
      <c r="G186" s="2388" t="s">
        <v>555</v>
      </c>
    </row>
    <row r="187" spans="1:7" ht="30.65" customHeight="1">
      <c r="C187" s="2326"/>
      <c r="D187" s="2409" t="s">
        <v>40</v>
      </c>
      <c r="E187" s="2327"/>
      <c r="F187" s="2327"/>
      <c r="G187" s="2393" t="s">
        <v>1221</v>
      </c>
    </row>
    <row r="188" spans="1:7" ht="46.75" customHeight="1">
      <c r="C188" s="2326"/>
      <c r="D188" s="2409" t="s">
        <v>41</v>
      </c>
      <c r="E188" s="2327"/>
      <c r="F188" s="2327"/>
      <c r="G188" s="2393" t="s">
        <v>1222</v>
      </c>
    </row>
    <row r="189" spans="1:7" ht="31.4" customHeight="1">
      <c r="C189" s="2326"/>
      <c r="D189" s="2409" t="s">
        <v>42</v>
      </c>
      <c r="E189" s="2327"/>
      <c r="F189" s="2327"/>
      <c r="G189" s="2393" t="s">
        <v>1223</v>
      </c>
    </row>
    <row r="190" spans="1:7" ht="30.65" customHeight="1">
      <c r="C190" s="2326"/>
      <c r="D190" s="2409" t="s">
        <v>1014</v>
      </c>
      <c r="E190" s="2327"/>
      <c r="F190" s="2327"/>
      <c r="G190" s="2393" t="s">
        <v>1226</v>
      </c>
    </row>
    <row r="191" spans="1:7" ht="18" customHeight="1">
      <c r="C191" s="2326" t="s">
        <v>192</v>
      </c>
      <c r="D191" s="2409"/>
      <c r="E191" s="2327"/>
      <c r="F191" s="2327"/>
      <c r="G191" s="2388" t="s">
        <v>555</v>
      </c>
    </row>
    <row r="192" spans="1:7" ht="30.65" customHeight="1">
      <c r="C192" s="2326"/>
      <c r="D192" s="2409" t="s">
        <v>1016</v>
      </c>
      <c r="E192" s="2327"/>
      <c r="F192" s="2327"/>
      <c r="G192" s="2393" t="s">
        <v>1224</v>
      </c>
    </row>
    <row r="193" spans="3:7" ht="65.5" customHeight="1">
      <c r="C193" s="2326"/>
      <c r="D193" s="2409" t="s">
        <v>43</v>
      </c>
      <c r="E193" s="2327"/>
      <c r="F193" s="2327"/>
      <c r="G193" s="2393" t="s">
        <v>1225</v>
      </c>
    </row>
    <row r="194" spans="3:7" ht="31.4" customHeight="1">
      <c r="C194" s="2326"/>
      <c r="D194" s="2409" t="s">
        <v>1017</v>
      </c>
      <c r="E194" s="2327"/>
      <c r="F194" s="2327"/>
      <c r="G194" s="2393" t="s">
        <v>1227</v>
      </c>
    </row>
    <row r="195" spans="3:7" ht="30.65" customHeight="1">
      <c r="C195" s="2326"/>
      <c r="D195" s="2409" t="s">
        <v>1018</v>
      </c>
      <c r="E195" s="2327"/>
      <c r="F195" s="2327"/>
      <c r="G195" s="2393" t="s">
        <v>1228</v>
      </c>
    </row>
    <row r="196" spans="3:7">
      <c r="G196" s="540"/>
    </row>
    <row r="197" spans="3:7" ht="20">
      <c r="C197" s="211" t="s">
        <v>725</v>
      </c>
      <c r="G197" s="540"/>
    </row>
    <row r="198" spans="3:7" ht="8.5" customHeight="1">
      <c r="G198" s="540"/>
    </row>
    <row r="199" spans="3:7" ht="20.149999999999999" customHeight="1">
      <c r="C199" s="2384"/>
      <c r="D199" s="2385" t="s">
        <v>548</v>
      </c>
      <c r="E199" s="2389"/>
      <c r="F199" s="2389"/>
      <c r="G199" s="2390" t="s">
        <v>553</v>
      </c>
    </row>
    <row r="200" spans="3:7" ht="35.5" customHeight="1">
      <c r="C200" s="2326" t="s">
        <v>725</v>
      </c>
      <c r="D200" s="2327"/>
      <c r="E200" s="2327"/>
      <c r="F200" s="2327"/>
      <c r="G200" s="2393" t="s">
        <v>722</v>
      </c>
    </row>
    <row r="201" spans="3:7" ht="20">
      <c r="C201" s="211" t="s">
        <v>751</v>
      </c>
      <c r="G201" s="540"/>
    </row>
    <row r="202" spans="3:7" ht="8.5" customHeight="1">
      <c r="G202" s="540"/>
    </row>
    <row r="203" spans="3:7">
      <c r="C203" s="2384"/>
      <c r="D203" s="2385" t="s">
        <v>548</v>
      </c>
      <c r="E203" s="2389"/>
      <c r="F203" s="2389"/>
      <c r="G203" s="2390" t="s">
        <v>553</v>
      </c>
    </row>
    <row r="204" spans="3:7" ht="32.5" customHeight="1">
      <c r="C204" s="556" t="s">
        <v>751</v>
      </c>
      <c r="D204" s="557"/>
      <c r="E204" s="557"/>
      <c r="F204" s="765"/>
      <c r="G204" s="769" t="s">
        <v>768</v>
      </c>
    </row>
    <row r="205" spans="3:7" ht="18.649999999999999" customHeight="1">
      <c r="C205" s="209"/>
      <c r="F205" s="1145" t="s">
        <v>756</v>
      </c>
      <c r="G205" s="766" t="s">
        <v>760</v>
      </c>
    </row>
    <row r="206" spans="3:7" ht="18.649999999999999" customHeight="1">
      <c r="C206" s="209"/>
      <c r="F206" s="1145" t="s">
        <v>757</v>
      </c>
      <c r="G206" s="766" t="s">
        <v>765</v>
      </c>
    </row>
    <row r="207" spans="3:7" ht="18.649999999999999" customHeight="1">
      <c r="C207" s="209"/>
      <c r="F207" s="1145" t="s">
        <v>758</v>
      </c>
      <c r="G207" s="766" t="s">
        <v>766</v>
      </c>
    </row>
    <row r="208" spans="3:7" ht="18.649999999999999" customHeight="1">
      <c r="C208" s="209"/>
      <c r="F208" s="1145" t="s">
        <v>759</v>
      </c>
      <c r="G208" s="766" t="s">
        <v>776</v>
      </c>
    </row>
    <row r="209" spans="3:7" ht="18.649999999999999" customHeight="1">
      <c r="C209" s="209"/>
      <c r="F209" s="1145" t="s">
        <v>761</v>
      </c>
      <c r="G209" s="766" t="s">
        <v>767</v>
      </c>
    </row>
    <row r="210" spans="3:7" ht="18.649999999999999" customHeight="1">
      <c r="C210" s="209"/>
      <c r="F210" s="1145" t="s">
        <v>763</v>
      </c>
      <c r="G210" s="766" t="s">
        <v>764</v>
      </c>
    </row>
    <row r="211" spans="3:7" ht="18.649999999999999" customHeight="1">
      <c r="C211" s="208"/>
      <c r="D211" s="94"/>
      <c r="E211" s="94"/>
      <c r="F211" s="1146" t="s">
        <v>403</v>
      </c>
      <c r="G211" s="767" t="s">
        <v>775</v>
      </c>
    </row>
  </sheetData>
  <mergeCells count="12">
    <mergeCell ref="D144:F144"/>
    <mergeCell ref="C6:D6"/>
    <mergeCell ref="F13:G13"/>
    <mergeCell ref="G43:G44"/>
    <mergeCell ref="D51:F51"/>
    <mergeCell ref="G53:G54"/>
    <mergeCell ref="D80:F80"/>
    <mergeCell ref="D81:F81"/>
    <mergeCell ref="D82:F82"/>
    <mergeCell ref="D83:F83"/>
    <mergeCell ref="D84:F84"/>
    <mergeCell ref="D85:F85"/>
  </mergeCells>
  <phoneticPr fontId="5"/>
  <pageMargins left="0" right="0" top="0" bottom="0" header="0.31496062992125984" footer="0.31496062992125984"/>
  <pageSetup paperSize="9" scale="1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499984740745262"/>
  </sheetPr>
  <dimension ref="A1:AJ1111"/>
  <sheetViews>
    <sheetView topLeftCell="E4" zoomScale="70" zoomScaleNormal="70" workbookViewId="0">
      <pane xSplit="12" ySplit="7" topLeftCell="Q11" activePane="bottomRight" state="frozen"/>
      <selection activeCell="W1111" sqref="W1111"/>
      <selection pane="topRight" activeCell="W1111" sqref="W1111"/>
      <selection pane="bottomLeft" activeCell="W1111" sqref="W1111"/>
      <selection pane="bottomRight" activeCell="I7" sqref="I7"/>
    </sheetView>
  </sheetViews>
  <sheetFormatPr defaultColWidth="9" defaultRowHeight="14" outlineLevelRow="1" outlineLevelCol="1"/>
  <cols>
    <col min="1" max="1" width="5.54296875" style="990" hidden="1" customWidth="1" outlineLevel="1"/>
    <col min="2" max="2" width="4.54296875" style="990" hidden="1" customWidth="1" outlineLevel="1"/>
    <col min="3" max="3" width="5.1796875" style="990" hidden="1" customWidth="1" outlineLevel="1"/>
    <col min="4" max="4" width="3.453125" style="9" hidden="1" customWidth="1" outlineLevel="1" collapsed="1"/>
    <col min="5" max="5" width="1.81640625" style="1255" customWidth="1" collapsed="1"/>
    <col min="6" max="6" width="1.81640625" style="10" customWidth="1"/>
    <col min="7" max="7" width="1.1796875" style="10" customWidth="1"/>
    <col min="8" max="8" width="1.54296875" style="24" customWidth="1"/>
    <col min="9" max="9" width="4.54296875" style="10" customWidth="1"/>
    <col min="10" max="10" width="4" style="9" customWidth="1"/>
    <col min="11" max="11" width="3.1796875" style="10" customWidth="1"/>
    <col min="12" max="12" width="6.54296875" style="10" customWidth="1"/>
    <col min="13" max="13" width="5.81640625" style="9" customWidth="1"/>
    <col min="14" max="14" width="7.1796875" style="9" customWidth="1"/>
    <col min="15" max="15" width="11.453125" style="9" customWidth="1"/>
    <col min="16" max="16" width="25.81640625" style="9" customWidth="1"/>
    <col min="17" max="26" width="11" style="1" customWidth="1"/>
    <col min="27" max="32" width="11" style="9" customWidth="1"/>
    <col min="33" max="33" width="10.54296875" style="9" customWidth="1"/>
    <col min="34" max="35" width="10.81640625" style="9" customWidth="1"/>
    <col min="36" max="36" width="5.54296875" style="9" bestFit="1" customWidth="1"/>
    <col min="37" max="16384" width="9" style="9"/>
  </cols>
  <sheetData>
    <row r="1" spans="1:36" s="991" customFormat="1" hidden="1" outlineLevel="1">
      <c r="A1" s="990"/>
      <c r="B1" s="990"/>
      <c r="C1" s="990"/>
      <c r="E1" s="1120"/>
      <c r="F1" s="992"/>
      <c r="G1" s="992"/>
      <c r="H1" s="992"/>
      <c r="I1" s="992"/>
      <c r="K1" s="992"/>
      <c r="L1" s="992"/>
      <c r="Q1" s="993"/>
      <c r="R1" s="993"/>
      <c r="S1" s="993"/>
      <c r="T1" s="993"/>
      <c r="U1" s="993"/>
      <c r="V1" s="993"/>
      <c r="W1" s="993"/>
      <c r="X1" s="993"/>
      <c r="Y1" s="993"/>
      <c r="Z1" s="993"/>
    </row>
    <row r="2" spans="1:36" s="991" customFormat="1" hidden="1" outlineLevel="1">
      <c r="A2" s="990"/>
      <c r="B2" s="990"/>
      <c r="C2" s="990"/>
      <c r="E2" s="1120"/>
      <c r="F2" s="992"/>
      <c r="G2" s="992"/>
      <c r="H2" s="992"/>
      <c r="I2" s="992"/>
      <c r="K2" s="992"/>
      <c r="L2" s="992"/>
      <c r="Q2" s="993"/>
      <c r="R2" s="993"/>
      <c r="S2" s="993"/>
      <c r="T2" s="993"/>
      <c r="U2" s="993"/>
      <c r="V2" s="993"/>
      <c r="W2" s="993"/>
      <c r="X2" s="993"/>
      <c r="Y2" s="993"/>
      <c r="Z2" s="993"/>
    </row>
    <row r="3" spans="1:36" s="991" customFormat="1" hidden="1" outlineLevel="1">
      <c r="A3" s="990"/>
      <c r="B3" s="990"/>
      <c r="C3" s="990"/>
      <c r="E3" s="1120"/>
      <c r="F3" s="992"/>
      <c r="G3" s="992"/>
      <c r="H3" s="992"/>
      <c r="I3" s="992"/>
      <c r="K3" s="992"/>
      <c r="L3" s="992"/>
      <c r="Q3" s="993"/>
      <c r="R3" s="993"/>
      <c r="S3" s="993"/>
      <c r="T3" s="993"/>
      <c r="U3" s="993"/>
      <c r="V3" s="993"/>
      <c r="W3" s="993"/>
      <c r="X3" s="993"/>
      <c r="Y3" s="993"/>
      <c r="Z3" s="993"/>
    </row>
    <row r="4" spans="1:36" s="191" customFormat="1" ht="20" collapsed="1">
      <c r="A4" s="997" t="s">
        <v>995</v>
      </c>
      <c r="B4" s="997"/>
      <c r="C4" s="997" t="s">
        <v>996</v>
      </c>
      <c r="E4" s="1254"/>
      <c r="F4" s="311" t="s">
        <v>997</v>
      </c>
      <c r="G4" s="311"/>
      <c r="H4" s="559"/>
      <c r="I4" s="242"/>
      <c r="K4" s="193"/>
      <c r="L4" s="193"/>
      <c r="P4" s="1287" t="s">
        <v>257</v>
      </c>
      <c r="Q4" s="226" t="s">
        <v>998</v>
      </c>
      <c r="R4" s="1"/>
      <c r="S4" s="1"/>
      <c r="T4" s="1"/>
      <c r="U4" s="1"/>
      <c r="V4" s="1"/>
      <c r="W4" s="1"/>
      <c r="X4" s="1"/>
      <c r="Y4" s="1"/>
      <c r="Z4" s="1"/>
    </row>
    <row r="5" spans="1:36" s="191" customFormat="1" ht="8.5" customHeight="1">
      <c r="A5" s="997"/>
      <c r="B5" s="997"/>
      <c r="C5" s="997"/>
      <c r="E5" s="1254"/>
      <c r="H5" s="560"/>
      <c r="I5" s="1285"/>
      <c r="J5" s="1285"/>
      <c r="K5" s="193"/>
      <c r="L5" s="193"/>
      <c r="Q5" s="1"/>
      <c r="R5" s="1"/>
      <c r="S5" s="1"/>
      <c r="T5" s="1"/>
      <c r="U5" s="1"/>
      <c r="V5" s="1"/>
      <c r="W5" s="1"/>
      <c r="X5" s="1"/>
      <c r="Y5" s="1"/>
      <c r="Z5" s="1"/>
    </row>
    <row r="6" spans="1:36" s="191" customFormat="1" ht="18">
      <c r="A6" s="997"/>
      <c r="B6" s="997"/>
      <c r="C6" s="997"/>
      <c r="D6" s="1121" t="s">
        <v>999</v>
      </c>
      <c r="E6" s="1254"/>
      <c r="F6" s="312"/>
      <c r="G6" s="312"/>
      <c r="H6" s="560"/>
      <c r="I6" s="1288" t="s">
        <v>1658</v>
      </c>
      <c r="J6" s="1289"/>
      <c r="K6" s="1290"/>
      <c r="L6" s="226" t="s">
        <v>998</v>
      </c>
      <c r="M6" s="240"/>
      <c r="N6" s="240"/>
      <c r="P6" s="579" t="s">
        <v>145</v>
      </c>
      <c r="Q6" s="1"/>
      <c r="R6" s="1"/>
      <c r="S6" s="1"/>
      <c r="T6" s="1"/>
      <c r="U6" s="1"/>
      <c r="V6" s="1"/>
      <c r="W6" s="1"/>
      <c r="X6" s="1"/>
      <c r="Y6" s="1"/>
      <c r="Z6" s="1"/>
    </row>
    <row r="7" spans="1:36" ht="17.5" customHeight="1">
      <c r="K7" s="241"/>
      <c r="L7" s="241"/>
      <c r="N7" s="190"/>
      <c r="O7" s="189"/>
      <c r="P7" s="1291" t="s">
        <v>1000</v>
      </c>
      <c r="Q7" s="188"/>
    </row>
    <row r="8" spans="1:36" ht="22.75" customHeight="1">
      <c r="D8" s="1121" t="s">
        <v>999</v>
      </c>
      <c r="E8" s="1255">
        <v>1</v>
      </c>
      <c r="F8" s="60" t="s">
        <v>1001</v>
      </c>
      <c r="G8" s="60"/>
      <c r="H8" s="561"/>
      <c r="I8" s="5"/>
      <c r="J8" s="4"/>
      <c r="K8" s="39"/>
      <c r="L8" s="39"/>
      <c r="M8" s="40"/>
      <c r="N8" s="40"/>
      <c r="O8" s="40"/>
      <c r="P8" s="40"/>
      <c r="AC8" s="187"/>
    </row>
    <row r="9" spans="1:36" ht="15.5">
      <c r="D9" s="1121" t="s">
        <v>999</v>
      </c>
      <c r="E9" s="1255">
        <v>1</v>
      </c>
      <c r="F9" s="9"/>
      <c r="G9" s="460" t="s">
        <v>94</v>
      </c>
      <c r="I9" s="39"/>
      <c r="J9" s="40"/>
      <c r="K9" s="39"/>
      <c r="L9" s="39"/>
      <c r="M9" s="40"/>
      <c r="N9" s="67"/>
      <c r="O9" s="40"/>
      <c r="P9" s="40"/>
      <c r="Q9" s="1151"/>
      <c r="R9" s="1151"/>
      <c r="S9" s="1151"/>
      <c r="T9" s="1151"/>
      <c r="U9" s="1151"/>
      <c r="V9" s="1151"/>
      <c r="AG9" s="186"/>
      <c r="AH9" s="186"/>
      <c r="AI9" s="186"/>
    </row>
    <row r="10" spans="1:36">
      <c r="D10" s="1121" t="s">
        <v>999</v>
      </c>
      <c r="E10" s="1255">
        <v>1</v>
      </c>
      <c r="F10" s="93"/>
      <c r="G10" s="93"/>
      <c r="H10" s="14"/>
      <c r="I10" s="258"/>
      <c r="J10" s="555"/>
      <c r="K10" s="636"/>
      <c r="L10" s="636"/>
      <c r="M10" s="555"/>
      <c r="N10" s="555"/>
      <c r="O10" s="555"/>
      <c r="P10" s="1152"/>
      <c r="Q10" s="1153">
        <v>43922</v>
      </c>
      <c r="R10" s="1153">
        <v>43952</v>
      </c>
      <c r="S10" s="1153">
        <v>43983</v>
      </c>
      <c r="T10" s="1153">
        <v>44013</v>
      </c>
      <c r="U10" s="1153">
        <v>44044</v>
      </c>
      <c r="V10" s="1153">
        <v>44075</v>
      </c>
      <c r="W10" s="1153">
        <v>44105</v>
      </c>
      <c r="X10" s="1153">
        <v>44136</v>
      </c>
      <c r="Y10" s="1153">
        <v>44166</v>
      </c>
      <c r="Z10" s="1153">
        <v>44197</v>
      </c>
      <c r="AA10" s="1153">
        <v>44228</v>
      </c>
      <c r="AB10" s="1153">
        <v>44256</v>
      </c>
      <c r="AC10" s="772" t="s">
        <v>105</v>
      </c>
      <c r="AD10" s="772" t="s">
        <v>104</v>
      </c>
      <c r="AE10" s="772" t="s">
        <v>103</v>
      </c>
      <c r="AF10" s="772" t="s">
        <v>102</v>
      </c>
      <c r="AG10" s="772" t="s">
        <v>101</v>
      </c>
      <c r="AH10" s="772" t="s">
        <v>100</v>
      </c>
      <c r="AI10" s="772" t="s">
        <v>118</v>
      </c>
    </row>
    <row r="11" spans="1:36">
      <c r="A11" s="990">
        <v>11</v>
      </c>
      <c r="B11" s="990">
        <v>1</v>
      </c>
      <c r="C11" s="990">
        <v>11</v>
      </c>
      <c r="D11" s="1121" t="s">
        <v>999</v>
      </c>
      <c r="E11" s="1243">
        <v>1</v>
      </c>
      <c r="F11" s="93"/>
      <c r="G11" s="93"/>
      <c r="H11" s="14"/>
      <c r="I11" s="773" t="s">
        <v>9</v>
      </c>
      <c r="J11" s="774"/>
      <c r="K11" s="774"/>
      <c r="L11" s="774"/>
      <c r="M11" s="774"/>
      <c r="N11" s="774"/>
      <c r="O11" s="774"/>
      <c r="P11" s="775"/>
      <c r="Q11" s="2101">
        <f t="shared" ref="Q11:AB11" si="0">Q76+Q326+Q127+Q181+Q263</f>
        <v>536747</v>
      </c>
      <c r="R11" s="2101">
        <f t="shared" si="0"/>
        <v>239742</v>
      </c>
      <c r="S11" s="2101">
        <f t="shared" si="0"/>
        <v>492039</v>
      </c>
      <c r="T11" s="2101">
        <f t="shared" si="0"/>
        <v>513291</v>
      </c>
      <c r="U11" s="2101">
        <f t="shared" si="0"/>
        <v>587099</v>
      </c>
      <c r="V11" s="2101">
        <f t="shared" si="0"/>
        <v>739620</v>
      </c>
      <c r="W11" s="2101">
        <f t="shared" si="0"/>
        <v>620462</v>
      </c>
      <c r="X11" s="2101">
        <f t="shared" si="0"/>
        <v>584851</v>
      </c>
      <c r="Y11" s="2101">
        <f t="shared" si="0"/>
        <v>726746</v>
      </c>
      <c r="Z11" s="2101">
        <f t="shared" si="0"/>
        <v>608182</v>
      </c>
      <c r="AA11" s="2101">
        <f t="shared" si="0"/>
        <v>561379</v>
      </c>
      <c r="AB11" s="2101">
        <f t="shared" si="0"/>
        <v>770388</v>
      </c>
      <c r="AC11" s="2101">
        <f>SUM(Q11,R11,S11)</f>
        <v>1268528</v>
      </c>
      <c r="AD11" s="2101">
        <f>SUM(T11,U11,V11)</f>
        <v>1840010</v>
      </c>
      <c r="AE11" s="2101">
        <f>SUM(W11,X11,Y11)</f>
        <v>1932059</v>
      </c>
      <c r="AF11" s="2101">
        <f>SUM(Z11,AA11,AB11)</f>
        <v>1939949</v>
      </c>
      <c r="AG11" s="2101">
        <f>AC11+AD11</f>
        <v>3108538</v>
      </c>
      <c r="AH11" s="2101">
        <f>AF11+AE11</f>
        <v>3872008</v>
      </c>
      <c r="AI11" s="2101">
        <f>AG11+AH11</f>
        <v>6980546</v>
      </c>
    </row>
    <row r="12" spans="1:36">
      <c r="A12" s="990">
        <v>12</v>
      </c>
      <c r="B12" s="990">
        <v>1</v>
      </c>
      <c r="C12" s="990">
        <v>12</v>
      </c>
      <c r="D12" s="1121" t="s">
        <v>999</v>
      </c>
      <c r="E12" s="1243">
        <v>1</v>
      </c>
      <c r="F12" s="93"/>
      <c r="G12" s="93"/>
      <c r="I12" s="776" t="s">
        <v>128</v>
      </c>
      <c r="J12" s="779"/>
      <c r="K12" s="779"/>
      <c r="L12" s="780"/>
      <c r="M12" s="774"/>
      <c r="N12" s="774"/>
      <c r="O12" s="774"/>
      <c r="P12" s="775"/>
      <c r="Q12" s="2100">
        <f t="shared" ref="Q12:AB12" si="1">Q80+Q332+Q132+Q196+Q273</f>
        <v>536747</v>
      </c>
      <c r="R12" s="2100">
        <f t="shared" si="1"/>
        <v>239742</v>
      </c>
      <c r="S12" s="2100">
        <f t="shared" si="1"/>
        <v>492039</v>
      </c>
      <c r="T12" s="2100">
        <f t="shared" si="1"/>
        <v>513291</v>
      </c>
      <c r="U12" s="2100">
        <f t="shared" si="1"/>
        <v>587099</v>
      </c>
      <c r="V12" s="2100">
        <f t="shared" si="1"/>
        <v>739620</v>
      </c>
      <c r="W12" s="2100">
        <f t="shared" si="1"/>
        <v>620462</v>
      </c>
      <c r="X12" s="2100">
        <f t="shared" si="1"/>
        <v>584851</v>
      </c>
      <c r="Y12" s="2100">
        <f t="shared" si="1"/>
        <v>726746</v>
      </c>
      <c r="Z12" s="2100">
        <f t="shared" si="1"/>
        <v>608182</v>
      </c>
      <c r="AA12" s="2100">
        <f t="shared" si="1"/>
        <v>561379</v>
      </c>
      <c r="AB12" s="2100">
        <f t="shared" si="1"/>
        <v>770388</v>
      </c>
      <c r="AC12" s="2100">
        <f>SUM(Q12,R12,S12)</f>
        <v>1268528</v>
      </c>
      <c r="AD12" s="2100">
        <f>SUM(T12,U12,V12)</f>
        <v>1840010</v>
      </c>
      <c r="AE12" s="2100">
        <f>SUM(W12,X12,Y12)</f>
        <v>1932059</v>
      </c>
      <c r="AF12" s="2100">
        <f>SUM(Z12,AA12,AB12)</f>
        <v>1939949</v>
      </c>
      <c r="AG12" s="2100">
        <f>AC12+AD12</f>
        <v>3108538</v>
      </c>
      <c r="AH12" s="2100">
        <f>AF12+AE12</f>
        <v>3872008</v>
      </c>
      <c r="AI12" s="2100">
        <f>AG12+AH12</f>
        <v>6980546</v>
      </c>
    </row>
    <row r="13" spans="1:36">
      <c r="A13" s="990">
        <v>13</v>
      </c>
      <c r="B13" s="990">
        <v>1</v>
      </c>
      <c r="C13" s="990">
        <v>13</v>
      </c>
      <c r="D13" s="1121" t="s">
        <v>999</v>
      </c>
      <c r="E13" s="1243">
        <v>1</v>
      </c>
      <c r="F13" s="93"/>
      <c r="G13" s="93"/>
      <c r="H13" s="14"/>
      <c r="I13" s="258" t="s">
        <v>106</v>
      </c>
      <c r="J13" s="555"/>
      <c r="K13" s="636"/>
      <c r="L13" s="636"/>
      <c r="M13" s="555"/>
      <c r="N13" s="555"/>
      <c r="O13" s="555"/>
      <c r="P13" s="1152"/>
      <c r="Q13" s="2116">
        <f>Q11-Q14</f>
        <v>351610</v>
      </c>
      <c r="R13" s="2116">
        <f t="shared" ref="R13:AB13" si="2">R11-R14</f>
        <v>158983</v>
      </c>
      <c r="S13" s="2116">
        <f t="shared" si="2"/>
        <v>324705</v>
      </c>
      <c r="T13" s="2116">
        <f t="shared" si="2"/>
        <v>325864</v>
      </c>
      <c r="U13" s="2116">
        <f t="shared" si="2"/>
        <v>366967</v>
      </c>
      <c r="V13" s="2116">
        <f t="shared" si="2"/>
        <v>463586</v>
      </c>
      <c r="W13" s="2116">
        <f t="shared" si="2"/>
        <v>409160</v>
      </c>
      <c r="X13" s="2116">
        <f t="shared" si="2"/>
        <v>358087</v>
      </c>
      <c r="Y13" s="2116">
        <f t="shared" si="2"/>
        <v>512097</v>
      </c>
      <c r="Z13" s="2116">
        <f t="shared" si="2"/>
        <v>384595</v>
      </c>
      <c r="AA13" s="2116">
        <f t="shared" si="2"/>
        <v>393117</v>
      </c>
      <c r="AB13" s="2116">
        <f t="shared" si="2"/>
        <v>510625</v>
      </c>
      <c r="AC13" s="2116">
        <f>SUM(Q13,R13,S13)</f>
        <v>835298</v>
      </c>
      <c r="AD13" s="2116">
        <f>SUM(T13,U13,V13)</f>
        <v>1156417</v>
      </c>
      <c r="AE13" s="2116">
        <f>SUM(W13,X13,Y13)</f>
        <v>1279344</v>
      </c>
      <c r="AF13" s="2116">
        <f>SUM(Z13,AA13,AB13)</f>
        <v>1288337</v>
      </c>
      <c r="AG13" s="2116">
        <f>AC13+AD13</f>
        <v>1991715</v>
      </c>
      <c r="AH13" s="2116">
        <f>AF13+AE13</f>
        <v>2567681</v>
      </c>
      <c r="AI13" s="2116">
        <f>AG13+AH13</f>
        <v>4559396</v>
      </c>
    </row>
    <row r="14" spans="1:36">
      <c r="A14" s="990">
        <v>14</v>
      </c>
      <c r="B14" s="990">
        <v>1</v>
      </c>
      <c r="C14" s="990">
        <v>14</v>
      </c>
      <c r="D14" s="1121" t="s">
        <v>999</v>
      </c>
      <c r="E14" s="1243">
        <v>1</v>
      </c>
      <c r="F14" s="93"/>
      <c r="G14" s="93"/>
      <c r="H14" s="14"/>
      <c r="I14" s="777" t="s">
        <v>134</v>
      </c>
      <c r="J14" s="778"/>
      <c r="K14" s="778"/>
      <c r="L14" s="778"/>
      <c r="M14" s="778"/>
      <c r="N14" s="778"/>
      <c r="O14" s="778"/>
      <c r="P14" s="1049"/>
      <c r="Q14" s="2117">
        <f t="shared" ref="Q14:AB14" si="3">Q97+Q338+Q149+Q211+Q283</f>
        <v>185137</v>
      </c>
      <c r="R14" s="2117">
        <f t="shared" si="3"/>
        <v>80759</v>
      </c>
      <c r="S14" s="2117">
        <f t="shared" si="3"/>
        <v>167334</v>
      </c>
      <c r="T14" s="2117">
        <f t="shared" si="3"/>
        <v>187427</v>
      </c>
      <c r="U14" s="2117">
        <f t="shared" si="3"/>
        <v>220132</v>
      </c>
      <c r="V14" s="2117">
        <f t="shared" si="3"/>
        <v>276034</v>
      </c>
      <c r="W14" s="2117">
        <f t="shared" si="3"/>
        <v>211302</v>
      </c>
      <c r="X14" s="2117">
        <f t="shared" si="3"/>
        <v>226764</v>
      </c>
      <c r="Y14" s="2117">
        <f t="shared" si="3"/>
        <v>214649</v>
      </c>
      <c r="Z14" s="2117">
        <f>Z97+Z338+Z149+Z211+Z283</f>
        <v>223587</v>
      </c>
      <c r="AA14" s="2117">
        <f t="shared" si="3"/>
        <v>168262</v>
      </c>
      <c r="AB14" s="2117">
        <f t="shared" si="3"/>
        <v>259763</v>
      </c>
      <c r="AC14" s="2117">
        <f>SUM(Q14,R14,S14)</f>
        <v>433230</v>
      </c>
      <c r="AD14" s="2117">
        <f>SUM(T14,U14,V14)</f>
        <v>683593</v>
      </c>
      <c r="AE14" s="2117">
        <f>SUM(W14,X14,Y14)</f>
        <v>652715</v>
      </c>
      <c r="AF14" s="2117">
        <f>SUM(Z14,AA14,AB14)</f>
        <v>651612</v>
      </c>
      <c r="AG14" s="2117">
        <f>AC14+AD14</f>
        <v>1116823</v>
      </c>
      <c r="AH14" s="2117">
        <f>AF14+AE14</f>
        <v>1304327</v>
      </c>
      <c r="AI14" s="2117">
        <f>AG14+AH14</f>
        <v>2421150</v>
      </c>
    </row>
    <row r="15" spans="1:36" ht="14.5">
      <c r="A15" s="990">
        <v>15</v>
      </c>
      <c r="B15" s="990">
        <v>1</v>
      </c>
      <c r="C15" s="990">
        <v>15</v>
      </c>
      <c r="D15" s="1121" t="s">
        <v>999</v>
      </c>
      <c r="E15" s="1243">
        <v>1</v>
      </c>
      <c r="F15" s="93"/>
      <c r="G15" s="93"/>
      <c r="H15" s="14"/>
      <c r="I15" s="121"/>
      <c r="J15" s="119"/>
      <c r="K15" s="120"/>
      <c r="L15" s="120"/>
      <c r="M15" s="119"/>
      <c r="N15" s="119"/>
      <c r="O15" s="119"/>
      <c r="P15" s="171" t="s">
        <v>135</v>
      </c>
      <c r="Q15" s="863">
        <f>IFERROR(Q14/Q11,0)</f>
        <v>0.34492414489508094</v>
      </c>
      <c r="R15" s="863">
        <f t="shared" ref="R15:AB15" si="4">IFERROR(R14/R11,0)</f>
        <v>0.33685795563564164</v>
      </c>
      <c r="S15" s="863">
        <f t="shared" si="4"/>
        <v>0.34008279831476773</v>
      </c>
      <c r="T15" s="863">
        <f t="shared" si="4"/>
        <v>0.36514764529282612</v>
      </c>
      <c r="U15" s="863">
        <f t="shared" si="4"/>
        <v>0.37494868838134626</v>
      </c>
      <c r="V15" s="863">
        <f t="shared" si="4"/>
        <v>0.37321056758876181</v>
      </c>
      <c r="W15" s="863">
        <f t="shared" si="4"/>
        <v>0.3405559083392698</v>
      </c>
      <c r="X15" s="863">
        <f t="shared" si="4"/>
        <v>0.38772952427199409</v>
      </c>
      <c r="Y15" s="863">
        <f t="shared" si="4"/>
        <v>0.29535628679070819</v>
      </c>
      <c r="Z15" s="863">
        <f t="shared" si="4"/>
        <v>0.3676317286601708</v>
      </c>
      <c r="AA15" s="863">
        <f t="shared" si="4"/>
        <v>0.29972977257788408</v>
      </c>
      <c r="AB15" s="863">
        <f t="shared" si="4"/>
        <v>0.33718463942844384</v>
      </c>
      <c r="AC15" s="863">
        <f t="shared" ref="AC15:AI15" si="5">IFERROR(AC14/AC11,0)</f>
        <v>0.34152182687335242</v>
      </c>
      <c r="AD15" s="863">
        <f t="shared" si="5"/>
        <v>0.37151591567437131</v>
      </c>
      <c r="AE15" s="863">
        <f t="shared" si="5"/>
        <v>0.33783388602521974</v>
      </c>
      <c r="AF15" s="863">
        <f t="shared" si="5"/>
        <v>0.33589130435903214</v>
      </c>
      <c r="AG15" s="863">
        <f t="shared" si="5"/>
        <v>0.3592759683169387</v>
      </c>
      <c r="AH15" s="863">
        <f t="shared" si="5"/>
        <v>0.33686061599046285</v>
      </c>
      <c r="AI15" s="863">
        <f t="shared" si="5"/>
        <v>0.34684249627464669</v>
      </c>
      <c r="AJ15" s="619"/>
    </row>
    <row r="16" spans="1:36">
      <c r="A16" s="990">
        <v>16</v>
      </c>
      <c r="B16" s="990">
        <v>1</v>
      </c>
      <c r="C16" s="990">
        <v>16</v>
      </c>
      <c r="D16" s="1121" t="s">
        <v>999</v>
      </c>
      <c r="E16" s="1243">
        <v>1</v>
      </c>
      <c r="F16" s="93"/>
      <c r="G16" s="93"/>
      <c r="H16" s="14"/>
      <c r="I16" s="777" t="s">
        <v>97</v>
      </c>
      <c r="J16" s="778"/>
      <c r="K16" s="778"/>
      <c r="L16" s="778"/>
      <c r="M16" s="778"/>
      <c r="N16" s="778"/>
      <c r="O16" s="778"/>
      <c r="P16" s="1049"/>
      <c r="Q16" s="2117">
        <f>Q18+Q19+Q20</f>
        <v>141775</v>
      </c>
      <c r="R16" s="2117">
        <f t="shared" ref="R16:AB16" si="6">R18+R19+R20</f>
        <v>111625</v>
      </c>
      <c r="S16" s="2117">
        <f t="shared" si="6"/>
        <v>115986</v>
      </c>
      <c r="T16" s="2117">
        <f t="shared" si="6"/>
        <v>122634</v>
      </c>
      <c r="U16" s="2117">
        <f t="shared" si="6"/>
        <v>137947</v>
      </c>
      <c r="V16" s="2117">
        <f t="shared" si="6"/>
        <v>141326</v>
      </c>
      <c r="W16" s="2117">
        <f t="shared" si="6"/>
        <v>164361</v>
      </c>
      <c r="X16" s="2117">
        <f t="shared" si="6"/>
        <v>168833</v>
      </c>
      <c r="Y16" s="2117">
        <f t="shared" si="6"/>
        <v>141448</v>
      </c>
      <c r="Z16" s="2117">
        <f t="shared" si="6"/>
        <v>126998</v>
      </c>
      <c r="AA16" s="2117">
        <f t="shared" si="6"/>
        <v>99915.000000000044</v>
      </c>
      <c r="AB16" s="2117">
        <f t="shared" si="6"/>
        <v>200181.89318999997</v>
      </c>
      <c r="AC16" s="2117">
        <f>SUM(Q16,R16,S16)</f>
        <v>369386</v>
      </c>
      <c r="AD16" s="2117">
        <f>SUM(T16,U16,V16)</f>
        <v>401907</v>
      </c>
      <c r="AE16" s="2117">
        <f>SUM(W16,X16,Y16)</f>
        <v>474642</v>
      </c>
      <c r="AF16" s="2117">
        <f>SUM(Z16,AA16,AB16)</f>
        <v>427094.89319000003</v>
      </c>
      <c r="AG16" s="2117">
        <f>AC16+AD16</f>
        <v>771293</v>
      </c>
      <c r="AH16" s="2117">
        <f>AF16+AE16</f>
        <v>901736.89318999997</v>
      </c>
      <c r="AI16" s="2117">
        <f>AG16+AH16</f>
        <v>1673029.89319</v>
      </c>
    </row>
    <row r="17" spans="1:36" ht="14.5">
      <c r="A17" s="990">
        <v>17</v>
      </c>
      <c r="B17" s="990">
        <v>1</v>
      </c>
      <c r="C17" s="990">
        <v>17</v>
      </c>
      <c r="D17" s="1121" t="s">
        <v>999</v>
      </c>
      <c r="E17" s="1243">
        <v>1</v>
      </c>
      <c r="F17" s="93"/>
      <c r="G17" s="93"/>
      <c r="H17" s="14"/>
      <c r="I17" s="175"/>
      <c r="J17" s="40"/>
      <c r="K17" s="39"/>
      <c r="L17" s="39"/>
      <c r="M17" s="40"/>
      <c r="N17" s="40"/>
      <c r="O17" s="40"/>
      <c r="P17" s="179" t="s">
        <v>135</v>
      </c>
      <c r="Q17" s="864">
        <f>IFERROR(Q16/Q11,0)</f>
        <v>0.26413748004180743</v>
      </c>
      <c r="R17" s="864">
        <f t="shared" ref="R17:AB17" si="7">IFERROR(R16/R11,0)</f>
        <v>0.4656046917102552</v>
      </c>
      <c r="S17" s="864">
        <f t="shared" si="7"/>
        <v>0.23572521690353812</v>
      </c>
      <c r="T17" s="864">
        <f t="shared" si="7"/>
        <v>0.23891710550155759</v>
      </c>
      <c r="U17" s="864">
        <f t="shared" si="7"/>
        <v>0.23496377953292374</v>
      </c>
      <c r="V17" s="864">
        <f t="shared" si="7"/>
        <v>0.19107920283388768</v>
      </c>
      <c r="W17" s="864">
        <f t="shared" si="7"/>
        <v>0.26490099313092502</v>
      </c>
      <c r="X17" s="864">
        <f t="shared" si="7"/>
        <v>0.28867694506806008</v>
      </c>
      <c r="Y17" s="864">
        <f t="shared" si="7"/>
        <v>0.19463196219862236</v>
      </c>
      <c r="Z17" s="864">
        <f t="shared" si="7"/>
        <v>0.20881578211785287</v>
      </c>
      <c r="AA17" s="864">
        <f t="shared" si="7"/>
        <v>0.17798136374891124</v>
      </c>
      <c r="AB17" s="864">
        <f t="shared" si="7"/>
        <v>0.25984554950232869</v>
      </c>
      <c r="AC17" s="864">
        <f t="shared" ref="AC17:AI17" si="8">IFERROR(AC16/AC11,0)</f>
        <v>0.2911926264142376</v>
      </c>
      <c r="AD17" s="864">
        <f t="shared" si="8"/>
        <v>0.21842653029059625</v>
      </c>
      <c r="AE17" s="864">
        <f t="shared" si="8"/>
        <v>0.24566641080836557</v>
      </c>
      <c r="AF17" s="864">
        <f t="shared" si="8"/>
        <v>0.22015779445232841</v>
      </c>
      <c r="AG17" s="864">
        <f t="shared" si="8"/>
        <v>0.24812082078456174</v>
      </c>
      <c r="AH17" s="864">
        <f t="shared" si="8"/>
        <v>0.2328861131459439</v>
      </c>
      <c r="AI17" s="864">
        <f t="shared" si="8"/>
        <v>0.23967034859307568</v>
      </c>
      <c r="AJ17" s="619"/>
    </row>
    <row r="18" spans="1:36">
      <c r="A18" s="990">
        <v>18</v>
      </c>
      <c r="B18" s="990">
        <v>1</v>
      </c>
      <c r="C18" s="990">
        <v>18</v>
      </c>
      <c r="D18" s="1121" t="s">
        <v>999</v>
      </c>
      <c r="E18" s="1243">
        <v>1</v>
      </c>
      <c r="F18" s="93"/>
      <c r="G18" s="93"/>
      <c r="H18" s="14"/>
      <c r="I18" s="175"/>
      <c r="J18" s="123" t="s">
        <v>143</v>
      </c>
      <c r="K18" s="123"/>
      <c r="L18" s="178"/>
      <c r="M18" s="123"/>
      <c r="N18" s="123"/>
      <c r="O18" s="123"/>
      <c r="P18" s="185"/>
      <c r="Q18" s="44">
        <f t="shared" ref="Q18:AB19" si="9">Q106+Q160+Q242+Q305+Q351</f>
        <v>36517</v>
      </c>
      <c r="R18" s="44">
        <f t="shared" si="9"/>
        <v>22343</v>
      </c>
      <c r="S18" s="44">
        <f t="shared" si="9"/>
        <v>30041</v>
      </c>
      <c r="T18" s="44">
        <f t="shared" si="9"/>
        <v>28927</v>
      </c>
      <c r="U18" s="44">
        <f t="shared" si="9"/>
        <v>38067</v>
      </c>
      <c r="V18" s="44">
        <f t="shared" si="9"/>
        <v>44153</v>
      </c>
      <c r="W18" s="44">
        <f t="shared" si="9"/>
        <v>42185</v>
      </c>
      <c r="X18" s="44">
        <f t="shared" si="9"/>
        <v>39310</v>
      </c>
      <c r="Y18" s="44">
        <f t="shared" si="9"/>
        <v>45246</v>
      </c>
      <c r="Z18" s="44">
        <f t="shared" si="9"/>
        <v>36225</v>
      </c>
      <c r="AA18" s="44">
        <f t="shared" si="9"/>
        <v>6700.0000000000009</v>
      </c>
      <c r="AB18" s="44">
        <f t="shared" si="9"/>
        <v>38451</v>
      </c>
      <c r="AC18" s="176">
        <f>SUM(Q18,R18,S18)</f>
        <v>88901</v>
      </c>
      <c r="AD18" s="176">
        <f>SUM(T18,U18,V18)</f>
        <v>111147</v>
      </c>
      <c r="AE18" s="176">
        <f>SUM(W18,X18,Y18)</f>
        <v>126741</v>
      </c>
      <c r="AF18" s="176">
        <f>SUM(Z18,AA18,AB18)</f>
        <v>81376</v>
      </c>
      <c r="AG18" s="176">
        <f>AC18+AD18</f>
        <v>200048</v>
      </c>
      <c r="AH18" s="176">
        <f>AF18+AE18</f>
        <v>208117</v>
      </c>
      <c r="AI18" s="176">
        <f>AG18+AH18</f>
        <v>408165</v>
      </c>
    </row>
    <row r="19" spans="1:36">
      <c r="A19" s="990">
        <v>19</v>
      </c>
      <c r="B19" s="990">
        <v>1</v>
      </c>
      <c r="C19" s="990">
        <v>19</v>
      </c>
      <c r="D19" s="1121" t="s">
        <v>999</v>
      </c>
      <c r="E19" s="1243">
        <v>1</v>
      </c>
      <c r="F19" s="93"/>
      <c r="G19" s="93"/>
      <c r="H19" s="14"/>
      <c r="I19" s="175"/>
      <c r="J19" s="40" t="s">
        <v>96</v>
      </c>
      <c r="K19" s="40"/>
      <c r="L19" s="39"/>
      <c r="M19" s="40"/>
      <c r="N19" s="40"/>
      <c r="O19" s="40"/>
      <c r="P19" s="179"/>
      <c r="Q19" s="44">
        <f t="shared" si="9"/>
        <v>54783</v>
      </c>
      <c r="R19" s="44">
        <f t="shared" si="9"/>
        <v>51883</v>
      </c>
      <c r="S19" s="44">
        <f t="shared" si="9"/>
        <v>53004</v>
      </c>
      <c r="T19" s="44">
        <f t="shared" si="9"/>
        <v>52192</v>
      </c>
      <c r="U19" s="44">
        <f t="shared" si="9"/>
        <v>52718</v>
      </c>
      <c r="V19" s="44">
        <f t="shared" si="9"/>
        <v>49191</v>
      </c>
      <c r="W19" s="44">
        <f t="shared" si="9"/>
        <v>48510</v>
      </c>
      <c r="X19" s="44">
        <f t="shared" si="9"/>
        <v>46540</v>
      </c>
      <c r="Y19" s="44">
        <f t="shared" si="9"/>
        <v>50023</v>
      </c>
      <c r="Z19" s="44">
        <f t="shared" si="9"/>
        <v>48799</v>
      </c>
      <c r="AA19" s="44">
        <f t="shared" si="9"/>
        <v>75881.000000000044</v>
      </c>
      <c r="AB19" s="44">
        <f t="shared" si="9"/>
        <v>68403.893189999959</v>
      </c>
      <c r="AC19" s="44">
        <f>SUM(Q19,R19,S19)</f>
        <v>159670</v>
      </c>
      <c r="AD19" s="44">
        <f>SUM(T19,U19,V19)</f>
        <v>154101</v>
      </c>
      <c r="AE19" s="44">
        <f>SUM(W19,X19,Y19)</f>
        <v>145073</v>
      </c>
      <c r="AF19" s="44">
        <f>SUM(Z19,AA19,AB19)</f>
        <v>193083.89319</v>
      </c>
      <c r="AG19" s="44">
        <f>AC19+AD19</f>
        <v>313771</v>
      </c>
      <c r="AH19" s="44">
        <f>AF19+AE19</f>
        <v>338156.89318999997</v>
      </c>
      <c r="AI19" s="44">
        <f>AG19+AH19</f>
        <v>651927.89318999997</v>
      </c>
    </row>
    <row r="20" spans="1:36">
      <c r="A20" s="990">
        <v>20</v>
      </c>
      <c r="B20" s="990">
        <v>1</v>
      </c>
      <c r="C20" s="990">
        <v>20</v>
      </c>
      <c r="D20" s="1121" t="s">
        <v>999</v>
      </c>
      <c r="E20" s="1243">
        <v>1</v>
      </c>
      <c r="F20" s="93"/>
      <c r="G20" s="93"/>
      <c r="H20" s="14"/>
      <c r="I20" s="175"/>
      <c r="J20" s="40" t="s">
        <v>142</v>
      </c>
      <c r="K20" s="40"/>
      <c r="L20" s="39"/>
      <c r="M20" s="40"/>
      <c r="N20" s="40"/>
      <c r="O20" s="40"/>
      <c r="P20" s="179"/>
      <c r="Q20" s="44">
        <f t="shared" ref="Q20:AB20" si="10">Q108+Q162+Q244+Q307+Q357</f>
        <v>50475</v>
      </c>
      <c r="R20" s="44">
        <f t="shared" si="10"/>
        <v>37399</v>
      </c>
      <c r="S20" s="44">
        <f t="shared" si="10"/>
        <v>32941</v>
      </c>
      <c r="T20" s="44">
        <f t="shared" si="10"/>
        <v>41515</v>
      </c>
      <c r="U20" s="44">
        <f t="shared" si="10"/>
        <v>47162</v>
      </c>
      <c r="V20" s="44">
        <f t="shared" si="10"/>
        <v>47982</v>
      </c>
      <c r="W20" s="44">
        <f t="shared" si="10"/>
        <v>73666</v>
      </c>
      <c r="X20" s="44">
        <f t="shared" si="10"/>
        <v>82983</v>
      </c>
      <c r="Y20" s="44">
        <f t="shared" si="10"/>
        <v>46179</v>
      </c>
      <c r="Z20" s="44">
        <f t="shared" si="10"/>
        <v>41974</v>
      </c>
      <c r="AA20" s="44">
        <f t="shared" si="10"/>
        <v>17334</v>
      </c>
      <c r="AB20" s="44">
        <f t="shared" si="10"/>
        <v>93327</v>
      </c>
      <c r="AC20" s="44">
        <f>SUM(Q20,R20,S20)</f>
        <v>120815</v>
      </c>
      <c r="AD20" s="44">
        <f>SUM(T20,U20,V20)</f>
        <v>136659</v>
      </c>
      <c r="AE20" s="44">
        <f>SUM(W20,X20,Y20)</f>
        <v>202828</v>
      </c>
      <c r="AF20" s="44">
        <f>SUM(Z20,AA20,AB20)</f>
        <v>152635</v>
      </c>
      <c r="AG20" s="44">
        <f>AC20+AD20</f>
        <v>257474</v>
      </c>
      <c r="AH20" s="44">
        <f>AF20+AE20</f>
        <v>355463</v>
      </c>
      <c r="AI20" s="44">
        <f>AG20+AH20</f>
        <v>612937</v>
      </c>
    </row>
    <row r="21" spans="1:36">
      <c r="A21" s="990">
        <v>21</v>
      </c>
      <c r="B21" s="990">
        <v>1</v>
      </c>
      <c r="C21" s="990">
        <v>21</v>
      </c>
      <c r="D21" s="1121" t="s">
        <v>999</v>
      </c>
      <c r="E21" s="1243">
        <v>1</v>
      </c>
      <c r="F21" s="93"/>
      <c r="G21" s="93"/>
      <c r="H21" s="14"/>
      <c r="I21" s="777" t="s">
        <v>136</v>
      </c>
      <c r="J21" s="778"/>
      <c r="K21" s="778"/>
      <c r="L21" s="778"/>
      <c r="M21" s="778"/>
      <c r="N21" s="778"/>
      <c r="O21" s="778"/>
      <c r="P21" s="1049"/>
      <c r="Q21" s="2117">
        <f>Q14-Q16</f>
        <v>43362</v>
      </c>
      <c r="R21" s="2117">
        <f t="shared" ref="R21:AB21" si="11">R14-R16</f>
        <v>-30866</v>
      </c>
      <c r="S21" s="2117">
        <f t="shared" si="11"/>
        <v>51348</v>
      </c>
      <c r="T21" s="2117">
        <f t="shared" si="11"/>
        <v>64793</v>
      </c>
      <c r="U21" s="2117">
        <f t="shared" si="11"/>
        <v>82185</v>
      </c>
      <c r="V21" s="2117">
        <f t="shared" si="11"/>
        <v>134708</v>
      </c>
      <c r="W21" s="2117">
        <f t="shared" si="11"/>
        <v>46941</v>
      </c>
      <c r="X21" s="2117">
        <f t="shared" si="11"/>
        <v>57931</v>
      </c>
      <c r="Y21" s="2117">
        <f t="shared" si="11"/>
        <v>73201</v>
      </c>
      <c r="Z21" s="2117">
        <f t="shared" si="11"/>
        <v>96589</v>
      </c>
      <c r="AA21" s="2117">
        <f t="shared" si="11"/>
        <v>68346.999999999956</v>
      </c>
      <c r="AB21" s="2117">
        <f t="shared" si="11"/>
        <v>59581.106810000027</v>
      </c>
      <c r="AC21" s="2117">
        <f>SUM(Q21,R21,S21)</f>
        <v>63844</v>
      </c>
      <c r="AD21" s="2117">
        <f>SUM(T21,U21,V21)</f>
        <v>281686</v>
      </c>
      <c r="AE21" s="2117">
        <f>SUM(W21,X21,Y21)</f>
        <v>178073</v>
      </c>
      <c r="AF21" s="2117">
        <f>SUM(Z21,AA21,AB21)</f>
        <v>224517.10680999997</v>
      </c>
      <c r="AG21" s="2117">
        <f>AC21+AD21</f>
        <v>345530</v>
      </c>
      <c r="AH21" s="2117">
        <f>AF21+AE21</f>
        <v>402590.10680999997</v>
      </c>
      <c r="AI21" s="2117">
        <f>AG21+AH21</f>
        <v>748120.10681000003</v>
      </c>
    </row>
    <row r="22" spans="1:36" ht="14.5">
      <c r="A22" s="990">
        <v>22</v>
      </c>
      <c r="B22" s="990">
        <v>1</v>
      </c>
      <c r="C22" s="990">
        <v>22</v>
      </c>
      <c r="D22" s="1121" t="s">
        <v>999</v>
      </c>
      <c r="E22" s="1243">
        <v>1</v>
      </c>
      <c r="F22" s="93"/>
      <c r="G22" s="93"/>
      <c r="H22" s="14"/>
      <c r="I22" s="175"/>
      <c r="J22" s="40"/>
      <c r="K22" s="39"/>
      <c r="L22" s="39"/>
      <c r="M22" s="40"/>
      <c r="N22" s="40"/>
      <c r="O22" s="40"/>
      <c r="P22" s="179" t="s">
        <v>135</v>
      </c>
      <c r="Q22" s="865">
        <f>IFERROR(Q21/Q11,0)</f>
        <v>8.0786664853273515E-2</v>
      </c>
      <c r="R22" s="865">
        <f t="shared" ref="R22:AB22" si="12">IFERROR(R21/R11,0)</f>
        <v>-0.12874673607461354</v>
      </c>
      <c r="S22" s="865">
        <f t="shared" si="12"/>
        <v>0.1043575814112296</v>
      </c>
      <c r="T22" s="865">
        <f t="shared" si="12"/>
        <v>0.1262305397912685</v>
      </c>
      <c r="U22" s="865">
        <f t="shared" si="12"/>
        <v>0.13998490884842249</v>
      </c>
      <c r="V22" s="865">
        <f t="shared" si="12"/>
        <v>0.18213136475487413</v>
      </c>
      <c r="W22" s="865">
        <f t="shared" si="12"/>
        <v>7.5654915208344747E-2</v>
      </c>
      <c r="X22" s="865">
        <f t="shared" si="12"/>
        <v>9.9052579203933996E-2</v>
      </c>
      <c r="Y22" s="865">
        <f t="shared" si="12"/>
        <v>0.10072432459208581</v>
      </c>
      <c r="Z22" s="865">
        <f t="shared" si="12"/>
        <v>0.15881594654231793</v>
      </c>
      <c r="AA22" s="865">
        <f t="shared" si="12"/>
        <v>0.12174840882897286</v>
      </c>
      <c r="AB22" s="865">
        <f t="shared" si="12"/>
        <v>7.7339089926115184E-2</v>
      </c>
      <c r="AC22" s="865">
        <f t="shared" ref="AC22:AI22" si="13">IFERROR(AC21/AC11,0)</f>
        <v>5.0329200459114813E-2</v>
      </c>
      <c r="AD22" s="865">
        <f t="shared" si="13"/>
        <v>0.15308938538377509</v>
      </c>
      <c r="AE22" s="865">
        <f t="shared" si="13"/>
        <v>9.2167475216854144E-2</v>
      </c>
      <c r="AF22" s="865">
        <f t="shared" si="13"/>
        <v>0.11573350990670371</v>
      </c>
      <c r="AG22" s="865">
        <f t="shared" si="13"/>
        <v>0.11115514753237696</v>
      </c>
      <c r="AH22" s="865">
        <f t="shared" si="13"/>
        <v>0.10397450284451891</v>
      </c>
      <c r="AI22" s="865">
        <f t="shared" si="13"/>
        <v>0.10717214768157104</v>
      </c>
      <c r="AJ22" s="619"/>
    </row>
    <row r="23" spans="1:36">
      <c r="A23" s="990">
        <v>23</v>
      </c>
      <c r="B23" s="990">
        <v>1</v>
      </c>
      <c r="C23" s="990">
        <v>23</v>
      </c>
      <c r="D23" s="1121" t="s">
        <v>999</v>
      </c>
      <c r="E23" s="1243">
        <v>1</v>
      </c>
      <c r="F23" s="39"/>
      <c r="G23" s="39"/>
      <c r="H23" s="5"/>
      <c r="I23" s="175" t="s">
        <v>504</v>
      </c>
      <c r="J23" s="40"/>
      <c r="K23" s="39"/>
      <c r="L23" s="39"/>
      <c r="M23" s="40"/>
      <c r="N23" s="40"/>
      <c r="O23" s="40"/>
      <c r="P23" s="174"/>
      <c r="Q23" s="63">
        <f t="shared" ref="Q23:AB24" si="14">Q111+Q360+Q165+Q247+Q310</f>
        <v>456</v>
      </c>
      <c r="R23" s="63">
        <f t="shared" si="14"/>
        <v>0</v>
      </c>
      <c r="S23" s="63">
        <f t="shared" si="14"/>
        <v>5968</v>
      </c>
      <c r="T23" s="63">
        <f t="shared" si="14"/>
        <v>1984</v>
      </c>
      <c r="U23" s="63">
        <f t="shared" si="14"/>
        <v>1595</v>
      </c>
      <c r="V23" s="63">
        <f t="shared" si="14"/>
        <v>0</v>
      </c>
      <c r="W23" s="63">
        <f t="shared" si="14"/>
        <v>623</v>
      </c>
      <c r="X23" s="63">
        <f t="shared" si="14"/>
        <v>269</v>
      </c>
      <c r="Y23" s="63">
        <f t="shared" si="14"/>
        <v>6279</v>
      </c>
      <c r="Z23" s="63">
        <f>Z111+Z360+Z165+Z247+Z310</f>
        <v>15</v>
      </c>
      <c r="AA23" s="63">
        <f t="shared" si="14"/>
        <v>385</v>
      </c>
      <c r="AB23" s="63">
        <f t="shared" si="14"/>
        <v>36050</v>
      </c>
      <c r="AC23" s="63">
        <f>SUM(Q23,R23,S23)</f>
        <v>6424</v>
      </c>
      <c r="AD23" s="63">
        <f>SUM(T23,U23,V23)</f>
        <v>3579</v>
      </c>
      <c r="AE23" s="63">
        <f>SUM(W23,X23,Y23)</f>
        <v>7171</v>
      </c>
      <c r="AF23" s="63">
        <f>SUM(Z23,AA23,AB23)</f>
        <v>36450</v>
      </c>
      <c r="AG23" s="63">
        <f>AC23+AD23</f>
        <v>10003</v>
      </c>
      <c r="AH23" s="63">
        <f>AF23+AE23</f>
        <v>43621</v>
      </c>
      <c r="AI23" s="63">
        <f>AG23+AH23</f>
        <v>53624</v>
      </c>
    </row>
    <row r="24" spans="1:36">
      <c r="A24" s="990">
        <v>24</v>
      </c>
      <c r="B24" s="990">
        <v>1</v>
      </c>
      <c r="C24" s="990">
        <v>24</v>
      </c>
      <c r="D24" s="1121" t="s">
        <v>999</v>
      </c>
      <c r="E24" s="1243">
        <v>1</v>
      </c>
      <c r="F24" s="39"/>
      <c r="G24" s="39"/>
      <c r="H24" s="5"/>
      <c r="I24" s="121" t="s">
        <v>1002</v>
      </c>
      <c r="J24" s="119"/>
      <c r="K24" s="120"/>
      <c r="L24" s="120"/>
      <c r="M24" s="119"/>
      <c r="N24" s="119"/>
      <c r="O24" s="119"/>
      <c r="P24" s="118"/>
      <c r="Q24" s="184">
        <f t="shared" si="14"/>
        <v>0</v>
      </c>
      <c r="R24" s="184">
        <f t="shared" si="14"/>
        <v>0</v>
      </c>
      <c r="S24" s="184">
        <f t="shared" si="14"/>
        <v>0</v>
      </c>
      <c r="T24" s="184">
        <f t="shared" si="14"/>
        <v>635</v>
      </c>
      <c r="U24" s="184">
        <f t="shared" si="14"/>
        <v>0</v>
      </c>
      <c r="V24" s="184">
        <f t="shared" si="14"/>
        <v>422</v>
      </c>
      <c r="W24" s="184">
        <f t="shared" si="14"/>
        <v>0</v>
      </c>
      <c r="X24" s="184">
        <f t="shared" si="14"/>
        <v>0</v>
      </c>
      <c r="Y24" s="184">
        <f t="shared" si="14"/>
        <v>0</v>
      </c>
      <c r="Z24" s="184">
        <f t="shared" si="14"/>
        <v>0</v>
      </c>
      <c r="AA24" s="184">
        <f t="shared" si="14"/>
        <v>0</v>
      </c>
      <c r="AB24" s="184">
        <f t="shared" si="14"/>
        <v>0</v>
      </c>
      <c r="AC24" s="184">
        <f>SUM(Q24,R24,S24)</f>
        <v>0</v>
      </c>
      <c r="AD24" s="184">
        <f>SUM(T24,U24,V24)</f>
        <v>1057</v>
      </c>
      <c r="AE24" s="184">
        <f>SUM(W24,X24,Y24)</f>
        <v>0</v>
      </c>
      <c r="AF24" s="184">
        <f>SUM(Z24,AA24,AB24)</f>
        <v>0</v>
      </c>
      <c r="AG24" s="184">
        <f>AC24+AD24</f>
        <v>1057</v>
      </c>
      <c r="AH24" s="184">
        <f>AF24+AE24</f>
        <v>0</v>
      </c>
      <c r="AI24" s="184">
        <f>AG24+AH24</f>
        <v>1057</v>
      </c>
    </row>
    <row r="25" spans="1:36">
      <c r="A25" s="990">
        <v>25</v>
      </c>
      <c r="B25" s="990">
        <v>1</v>
      </c>
      <c r="C25" s="990">
        <v>25</v>
      </c>
      <c r="D25" s="1121" t="s">
        <v>999</v>
      </c>
      <c r="E25" s="1243">
        <v>1</v>
      </c>
      <c r="F25" s="39"/>
      <c r="G25" s="39"/>
      <c r="H25" s="5"/>
      <c r="I25" s="777" t="s">
        <v>10</v>
      </c>
      <c r="J25" s="778"/>
      <c r="K25" s="778"/>
      <c r="L25" s="778"/>
      <c r="M25" s="778"/>
      <c r="N25" s="778"/>
      <c r="O25" s="778"/>
      <c r="P25" s="1049"/>
      <c r="Q25" s="2117">
        <f>Q21+Q23-Q24</f>
        <v>43818</v>
      </c>
      <c r="R25" s="2117">
        <f t="shared" ref="R25:AB25" si="15">R21+R23-R24</f>
        <v>-30866</v>
      </c>
      <c r="S25" s="2117">
        <f t="shared" si="15"/>
        <v>57316</v>
      </c>
      <c r="T25" s="2117">
        <f t="shared" si="15"/>
        <v>66142</v>
      </c>
      <c r="U25" s="2117">
        <f t="shared" si="15"/>
        <v>83780</v>
      </c>
      <c r="V25" s="2117">
        <f t="shared" si="15"/>
        <v>134286</v>
      </c>
      <c r="W25" s="2117">
        <f t="shared" si="15"/>
        <v>47564</v>
      </c>
      <c r="X25" s="2117">
        <f t="shared" si="15"/>
        <v>58200</v>
      </c>
      <c r="Y25" s="2117">
        <f t="shared" si="15"/>
        <v>79480</v>
      </c>
      <c r="Z25" s="2117">
        <f t="shared" si="15"/>
        <v>96604</v>
      </c>
      <c r="AA25" s="2117">
        <f t="shared" si="15"/>
        <v>68731.999999999956</v>
      </c>
      <c r="AB25" s="2117">
        <f t="shared" si="15"/>
        <v>95631.106810000027</v>
      </c>
      <c r="AC25" s="2117">
        <f>SUM(Q25,R25,S25)</f>
        <v>70268</v>
      </c>
      <c r="AD25" s="2117">
        <f>SUM(T25,U25,V25)</f>
        <v>284208</v>
      </c>
      <c r="AE25" s="2117">
        <f>SUM(W25,X25,Y25)</f>
        <v>185244</v>
      </c>
      <c r="AF25" s="2117">
        <f>SUM(Z25,AA25,AB25)</f>
        <v>260967.10680999997</v>
      </c>
      <c r="AG25" s="2117">
        <f>AC25+AD25</f>
        <v>354476</v>
      </c>
      <c r="AH25" s="2117">
        <f>AF25+AE25</f>
        <v>446211.10680999997</v>
      </c>
      <c r="AI25" s="2117">
        <f>AG25+AH25</f>
        <v>800687.10681000003</v>
      </c>
    </row>
    <row r="26" spans="1:36" ht="14.5">
      <c r="A26" s="990">
        <v>26</v>
      </c>
      <c r="B26" s="990">
        <v>1</v>
      </c>
      <c r="C26" s="990">
        <v>26</v>
      </c>
      <c r="D26" s="1121" t="s">
        <v>999</v>
      </c>
      <c r="E26" s="1243">
        <v>1</v>
      </c>
      <c r="F26" s="39"/>
      <c r="G26" s="39"/>
      <c r="H26" s="5"/>
      <c r="I26" s="121"/>
      <c r="J26" s="119"/>
      <c r="K26" s="120"/>
      <c r="L26" s="120"/>
      <c r="M26" s="119"/>
      <c r="N26" s="119"/>
      <c r="O26" s="119"/>
      <c r="P26" s="171" t="s">
        <v>135</v>
      </c>
      <c r="Q26" s="863">
        <f>IFERROR(Q25/Q11,0)</f>
        <v>8.1636227123765948E-2</v>
      </c>
      <c r="R26" s="863">
        <f t="shared" ref="R26:AB26" si="16">IFERROR(R25/R11,0)</f>
        <v>-0.12874673607461354</v>
      </c>
      <c r="S26" s="863">
        <f t="shared" si="16"/>
        <v>0.11648670125742065</v>
      </c>
      <c r="T26" s="863">
        <f t="shared" si="16"/>
        <v>0.12885867860531355</v>
      </c>
      <c r="U26" s="863">
        <f t="shared" si="16"/>
        <v>0.14270165679042207</v>
      </c>
      <c r="V26" s="863">
        <f t="shared" si="16"/>
        <v>0.18156080149265838</v>
      </c>
      <c r="W26" s="863">
        <f t="shared" si="16"/>
        <v>7.6659005708649364E-2</v>
      </c>
      <c r="X26" s="863">
        <f t="shared" si="16"/>
        <v>9.9512525412455477E-2</v>
      </c>
      <c r="Y26" s="863">
        <f t="shared" si="16"/>
        <v>0.10936420702693926</v>
      </c>
      <c r="Z26" s="863">
        <f t="shared" si="16"/>
        <v>0.15884061021207468</v>
      </c>
      <c r="AA26" s="863">
        <f t="shared" si="16"/>
        <v>0.12243422001891763</v>
      </c>
      <c r="AB26" s="863">
        <f t="shared" si="16"/>
        <v>0.12413369212656483</v>
      </c>
      <c r="AC26" s="863">
        <f t="shared" ref="AC26:AI26" si="17">IFERROR(AC25/AC11,0)</f>
        <v>5.5393337789942355E-2</v>
      </c>
      <c r="AD26" s="863">
        <f t="shared" si="17"/>
        <v>0.15446003010853201</v>
      </c>
      <c r="AE26" s="863">
        <f t="shared" si="17"/>
        <v>9.5879059593935792E-2</v>
      </c>
      <c r="AF26" s="863">
        <f t="shared" si="17"/>
        <v>0.13452266364218851</v>
      </c>
      <c r="AG26" s="863">
        <f t="shared" si="17"/>
        <v>0.11403302774487556</v>
      </c>
      <c r="AH26" s="863">
        <f t="shared" si="17"/>
        <v>0.11524023370044689</v>
      </c>
      <c r="AI26" s="863">
        <f t="shared" si="17"/>
        <v>0.11470264744477009</v>
      </c>
      <c r="AJ26" s="619"/>
    </row>
    <row r="27" spans="1:36">
      <c r="A27" s="990">
        <v>27</v>
      </c>
      <c r="B27" s="990">
        <v>1</v>
      </c>
      <c r="C27" s="990">
        <v>27</v>
      </c>
      <c r="D27" s="1121" t="s">
        <v>999</v>
      </c>
      <c r="E27" s="1243">
        <v>1</v>
      </c>
      <c r="F27" s="39"/>
      <c r="G27" s="39"/>
      <c r="H27" s="5"/>
      <c r="I27" s="175" t="s">
        <v>1003</v>
      </c>
      <c r="J27" s="40"/>
      <c r="K27" s="39"/>
      <c r="L27" s="39"/>
      <c r="M27" s="40"/>
      <c r="N27" s="40"/>
      <c r="O27" s="40"/>
      <c r="P27" s="179"/>
      <c r="Q27" s="63">
        <f>Q28-Q29</f>
        <v>8155</v>
      </c>
      <c r="R27" s="63">
        <f t="shared" ref="R27:AB27" si="18">R28-R29</f>
        <v>7355</v>
      </c>
      <c r="S27" s="63">
        <f t="shared" si="18"/>
        <v>4689</v>
      </c>
      <c r="T27" s="63">
        <f t="shared" si="18"/>
        <v>5517</v>
      </c>
      <c r="U27" s="63">
        <f t="shared" si="18"/>
        <v>6745</v>
      </c>
      <c r="V27" s="63">
        <f t="shared" si="18"/>
        <v>2755</v>
      </c>
      <c r="W27" s="63">
        <f t="shared" si="18"/>
        <v>6483</v>
      </c>
      <c r="X27" s="63">
        <f t="shared" si="18"/>
        <v>8053</v>
      </c>
      <c r="Y27" s="63">
        <f t="shared" si="18"/>
        <v>6474</v>
      </c>
      <c r="Z27" s="63">
        <f t="shared" si="18"/>
        <v>10229</v>
      </c>
      <c r="AA27" s="63">
        <f t="shared" si="18"/>
        <v>8973</v>
      </c>
      <c r="AB27" s="63">
        <f t="shared" si="18"/>
        <v>8237</v>
      </c>
      <c r="AC27" s="63">
        <f t="shared" ref="AC27:AC32" si="19">SUM(Q27,R27,S27)</f>
        <v>20199</v>
      </c>
      <c r="AD27" s="63">
        <f t="shared" ref="AD27:AD32" si="20">SUM(T27,U27,V27)</f>
        <v>15017</v>
      </c>
      <c r="AE27" s="63">
        <f t="shared" ref="AE27:AE32" si="21">SUM(W27,X27,Y27)</f>
        <v>21010</v>
      </c>
      <c r="AF27" s="63">
        <f t="shared" ref="AF27:AF32" si="22">SUM(Z27,AA27,AB27)</f>
        <v>27439</v>
      </c>
      <c r="AG27" s="63">
        <f t="shared" ref="AG27:AG32" si="23">AC27+AD27</f>
        <v>35216</v>
      </c>
      <c r="AH27" s="63">
        <f t="shared" ref="AH27:AH32" si="24">AF27+AE27</f>
        <v>48449</v>
      </c>
      <c r="AI27" s="63">
        <f t="shared" ref="AI27:AI32" si="25">AG27+AH27</f>
        <v>83665</v>
      </c>
    </row>
    <row r="28" spans="1:36">
      <c r="A28" s="990">
        <v>28</v>
      </c>
      <c r="B28" s="990">
        <v>1</v>
      </c>
      <c r="C28" s="990">
        <v>28</v>
      </c>
      <c r="D28" s="1121" t="s">
        <v>999</v>
      </c>
      <c r="E28" s="1243">
        <v>1</v>
      </c>
      <c r="F28" s="93"/>
      <c r="G28" s="93"/>
      <c r="H28" s="14"/>
      <c r="I28" s="175"/>
      <c r="J28" s="123" t="s">
        <v>280</v>
      </c>
      <c r="K28" s="123"/>
      <c r="L28" s="178"/>
      <c r="M28" s="123"/>
      <c r="N28" s="123"/>
      <c r="O28" s="123"/>
      <c r="P28" s="177"/>
      <c r="Q28" s="2045">
        <v>8381</v>
      </c>
      <c r="R28" s="2045">
        <v>7503</v>
      </c>
      <c r="S28" s="2045">
        <v>7373</v>
      </c>
      <c r="T28" s="2045">
        <v>6027</v>
      </c>
      <c r="U28" s="2045">
        <v>6745</v>
      </c>
      <c r="V28" s="2045">
        <f>41030-SUM(Q28:U28)</f>
        <v>5001</v>
      </c>
      <c r="W28" s="2045">
        <v>6713</v>
      </c>
      <c r="X28" s="2045">
        <v>8053</v>
      </c>
      <c r="Y28" s="2045">
        <v>8971</v>
      </c>
      <c r="Z28" s="2045">
        <v>10229</v>
      </c>
      <c r="AA28" s="2045">
        <v>8973</v>
      </c>
      <c r="AB28" s="2045">
        <f>10022+502</f>
        <v>10524</v>
      </c>
      <c r="AC28" s="176">
        <f t="shared" si="19"/>
        <v>23257</v>
      </c>
      <c r="AD28" s="176">
        <f t="shared" si="20"/>
        <v>17773</v>
      </c>
      <c r="AE28" s="176">
        <f t="shared" si="21"/>
        <v>23737</v>
      </c>
      <c r="AF28" s="176">
        <f t="shared" si="22"/>
        <v>29726</v>
      </c>
      <c r="AG28" s="176">
        <f t="shared" si="23"/>
        <v>41030</v>
      </c>
      <c r="AH28" s="176">
        <f t="shared" si="24"/>
        <v>53463</v>
      </c>
      <c r="AI28" s="176">
        <f t="shared" si="25"/>
        <v>94493</v>
      </c>
    </row>
    <row r="29" spans="1:36">
      <c r="A29" s="990">
        <v>29</v>
      </c>
      <c r="B29" s="990">
        <v>1</v>
      </c>
      <c r="C29" s="990">
        <v>29</v>
      </c>
      <c r="D29" s="1121" t="s">
        <v>999</v>
      </c>
      <c r="E29" s="1243">
        <v>1</v>
      </c>
      <c r="F29" s="93"/>
      <c r="G29" s="93"/>
      <c r="H29" s="14"/>
      <c r="I29" s="175"/>
      <c r="J29" s="40" t="s">
        <v>281</v>
      </c>
      <c r="K29" s="40"/>
      <c r="L29" s="39"/>
      <c r="M29" s="40"/>
      <c r="N29" s="40"/>
      <c r="O29" s="40"/>
      <c r="P29" s="174"/>
      <c r="Q29" s="2030">
        <v>226</v>
      </c>
      <c r="R29" s="2030">
        <v>148</v>
      </c>
      <c r="S29" s="2030">
        <v>2684</v>
      </c>
      <c r="T29" s="2030">
        <v>510</v>
      </c>
      <c r="U29" s="2030">
        <v>0</v>
      </c>
      <c r="V29" s="2030">
        <f>5814-SUM(Q29:U29)</f>
        <v>2246</v>
      </c>
      <c r="W29" s="2030">
        <v>230</v>
      </c>
      <c r="X29" s="2030">
        <v>0</v>
      </c>
      <c r="Y29" s="2030">
        <v>2497</v>
      </c>
      <c r="Z29" s="2030"/>
      <c r="AA29" s="2030"/>
      <c r="AB29" s="2030">
        <v>2287</v>
      </c>
      <c r="AC29" s="44">
        <f t="shared" si="19"/>
        <v>3058</v>
      </c>
      <c r="AD29" s="44">
        <f t="shared" si="20"/>
        <v>2756</v>
      </c>
      <c r="AE29" s="44">
        <f t="shared" si="21"/>
        <v>2727</v>
      </c>
      <c r="AF29" s="44">
        <f t="shared" si="22"/>
        <v>2287</v>
      </c>
      <c r="AG29" s="44">
        <f t="shared" si="23"/>
        <v>5814</v>
      </c>
      <c r="AH29" s="44">
        <f t="shared" si="24"/>
        <v>5014</v>
      </c>
      <c r="AI29" s="44">
        <f t="shared" si="25"/>
        <v>10828</v>
      </c>
    </row>
    <row r="30" spans="1:36">
      <c r="A30" s="990">
        <v>30</v>
      </c>
      <c r="B30" s="990">
        <v>1</v>
      </c>
      <c r="C30" s="990">
        <v>30</v>
      </c>
      <c r="D30" s="1121" t="s">
        <v>999</v>
      </c>
      <c r="E30" s="1243">
        <v>1</v>
      </c>
      <c r="F30" s="39"/>
      <c r="G30" s="39"/>
      <c r="H30" s="5"/>
      <c r="I30" s="773" t="s">
        <v>144</v>
      </c>
      <c r="J30" s="774"/>
      <c r="K30" s="774"/>
      <c r="L30" s="774"/>
      <c r="M30" s="774"/>
      <c r="N30" s="774"/>
      <c r="O30" s="774"/>
      <c r="P30" s="775"/>
      <c r="Q30" s="2101">
        <f>Q25+Q27</f>
        <v>51973</v>
      </c>
      <c r="R30" s="2101">
        <f t="shared" ref="R30:AB30" si="26">R25+R27</f>
        <v>-23511</v>
      </c>
      <c r="S30" s="2101">
        <f t="shared" si="26"/>
        <v>62005</v>
      </c>
      <c r="T30" s="2101">
        <f t="shared" si="26"/>
        <v>71659</v>
      </c>
      <c r="U30" s="2101">
        <f t="shared" si="26"/>
        <v>90525</v>
      </c>
      <c r="V30" s="2101">
        <f t="shared" si="26"/>
        <v>137041</v>
      </c>
      <c r="W30" s="2101">
        <f t="shared" si="26"/>
        <v>54047</v>
      </c>
      <c r="X30" s="2101">
        <f t="shared" si="26"/>
        <v>66253</v>
      </c>
      <c r="Y30" s="2101">
        <f t="shared" si="26"/>
        <v>85954</v>
      </c>
      <c r="Z30" s="2101">
        <f t="shared" si="26"/>
        <v>106833</v>
      </c>
      <c r="AA30" s="2101">
        <f t="shared" si="26"/>
        <v>77704.999999999956</v>
      </c>
      <c r="AB30" s="2101">
        <f t="shared" si="26"/>
        <v>103868.10681000003</v>
      </c>
      <c r="AC30" s="2101">
        <f t="shared" si="19"/>
        <v>90467</v>
      </c>
      <c r="AD30" s="2101">
        <f t="shared" si="20"/>
        <v>299225</v>
      </c>
      <c r="AE30" s="2101">
        <f t="shared" si="21"/>
        <v>206254</v>
      </c>
      <c r="AF30" s="2101">
        <f t="shared" si="22"/>
        <v>288406.10680999997</v>
      </c>
      <c r="AG30" s="2101">
        <f t="shared" si="23"/>
        <v>389692</v>
      </c>
      <c r="AH30" s="2101">
        <f t="shared" si="24"/>
        <v>494660.10680999997</v>
      </c>
      <c r="AI30" s="2101">
        <f t="shared" si="25"/>
        <v>884352.10681000003</v>
      </c>
    </row>
    <row r="31" spans="1:36">
      <c r="A31" s="990">
        <v>31</v>
      </c>
      <c r="B31" s="990">
        <v>1</v>
      </c>
      <c r="C31" s="990">
        <v>31</v>
      </c>
      <c r="D31" s="1121" t="s">
        <v>999</v>
      </c>
      <c r="E31" s="1243">
        <v>1</v>
      </c>
      <c r="F31" s="39"/>
      <c r="G31" s="39"/>
      <c r="H31" s="5"/>
      <c r="I31" s="258" t="s">
        <v>1004</v>
      </c>
      <c r="J31" s="555"/>
      <c r="K31" s="636"/>
      <c r="L31" s="636"/>
      <c r="M31" s="555"/>
      <c r="N31" s="555"/>
      <c r="O31" s="555"/>
      <c r="P31" s="1152"/>
      <c r="Q31" s="2199">
        <f t="shared" ref="Q31:AB31" si="27">Q30*25.168%</f>
        <v>13080.564640000001</v>
      </c>
      <c r="R31" s="2199">
        <f t="shared" si="27"/>
        <v>-5917.2484800000002</v>
      </c>
      <c r="S31" s="2199">
        <f t="shared" si="27"/>
        <v>15605.4184</v>
      </c>
      <c r="T31" s="2199">
        <f t="shared" si="27"/>
        <v>18035.137119999999</v>
      </c>
      <c r="U31" s="2199">
        <f t="shared" si="27"/>
        <v>22783.332000000002</v>
      </c>
      <c r="V31" s="2199">
        <f t="shared" si="27"/>
        <v>34490.478880000002</v>
      </c>
      <c r="W31" s="2199">
        <f t="shared" si="27"/>
        <v>13602.54896</v>
      </c>
      <c r="X31" s="2199">
        <f t="shared" si="27"/>
        <v>16674.555039999999</v>
      </c>
      <c r="Y31" s="2199">
        <f t="shared" si="27"/>
        <v>21632.902720000002</v>
      </c>
      <c r="Z31" s="2199">
        <f t="shared" si="27"/>
        <v>26887.729440000003</v>
      </c>
      <c r="AA31" s="2199">
        <f t="shared" si="27"/>
        <v>19556.794399999992</v>
      </c>
      <c r="AB31" s="2199">
        <f t="shared" si="27"/>
        <v>26141.525121940809</v>
      </c>
      <c r="AC31" s="2470">
        <f t="shared" si="19"/>
        <v>22768.734560000001</v>
      </c>
      <c r="AD31" s="2470">
        <f t="shared" si="20"/>
        <v>75308.948000000004</v>
      </c>
      <c r="AE31" s="2470">
        <f t="shared" si="21"/>
        <v>51910.006720000005</v>
      </c>
      <c r="AF31" s="2470">
        <f t="shared" si="22"/>
        <v>72586.048961940804</v>
      </c>
      <c r="AG31" s="2470">
        <f t="shared" si="23"/>
        <v>98077.682560000001</v>
      </c>
      <c r="AH31" s="2470">
        <f t="shared" si="24"/>
        <v>124496.05568194081</v>
      </c>
      <c r="AI31" s="2470">
        <f t="shared" si="25"/>
        <v>222573.73824194079</v>
      </c>
    </row>
    <row r="32" spans="1:36">
      <c r="A32" s="990">
        <v>32</v>
      </c>
      <c r="B32" s="990">
        <v>1</v>
      </c>
      <c r="C32" s="990">
        <v>32</v>
      </c>
      <c r="D32" s="1121" t="s">
        <v>999</v>
      </c>
      <c r="E32" s="1243">
        <v>1</v>
      </c>
      <c r="F32" s="39"/>
      <c r="G32" s="39"/>
      <c r="H32" s="5"/>
      <c r="I32" s="773" t="s">
        <v>285</v>
      </c>
      <c r="J32" s="774"/>
      <c r="K32" s="774"/>
      <c r="L32" s="774"/>
      <c r="M32" s="774"/>
      <c r="N32" s="774"/>
      <c r="O32" s="774"/>
      <c r="P32" s="775"/>
      <c r="Q32" s="2101">
        <f>Q30-Q31</f>
        <v>38892.435360000003</v>
      </c>
      <c r="R32" s="2101">
        <f t="shared" ref="R32:AB32" si="28">R30-R31</f>
        <v>-17593.751519999998</v>
      </c>
      <c r="S32" s="2101">
        <f t="shared" si="28"/>
        <v>46399.581599999998</v>
      </c>
      <c r="T32" s="2101">
        <f t="shared" si="28"/>
        <v>53623.862880000001</v>
      </c>
      <c r="U32" s="2101">
        <f t="shared" si="28"/>
        <v>67741.668000000005</v>
      </c>
      <c r="V32" s="2101">
        <f t="shared" si="28"/>
        <v>102550.52111999999</v>
      </c>
      <c r="W32" s="2101">
        <f t="shared" si="28"/>
        <v>40444.45104</v>
      </c>
      <c r="X32" s="2101">
        <f t="shared" si="28"/>
        <v>49578.444960000001</v>
      </c>
      <c r="Y32" s="2101">
        <f t="shared" si="28"/>
        <v>64321.097280000002</v>
      </c>
      <c r="Z32" s="2101">
        <f t="shared" si="28"/>
        <v>79945.270560000004</v>
      </c>
      <c r="AA32" s="2101">
        <f t="shared" si="28"/>
        <v>58148.205599999965</v>
      </c>
      <c r="AB32" s="2101">
        <f t="shared" si="28"/>
        <v>77726.581688059217</v>
      </c>
      <c r="AC32" s="2101">
        <f t="shared" si="19"/>
        <v>67698.265440000003</v>
      </c>
      <c r="AD32" s="2101">
        <f t="shared" si="20"/>
        <v>223916.052</v>
      </c>
      <c r="AE32" s="2101">
        <f t="shared" si="21"/>
        <v>154343.99328</v>
      </c>
      <c r="AF32" s="2101">
        <f t="shared" si="22"/>
        <v>215820.05784805916</v>
      </c>
      <c r="AG32" s="2101">
        <f t="shared" si="23"/>
        <v>291614.31744000001</v>
      </c>
      <c r="AH32" s="2101">
        <f t="shared" si="24"/>
        <v>370164.05112805916</v>
      </c>
      <c r="AI32" s="2101">
        <f t="shared" si="25"/>
        <v>661778.36856805917</v>
      </c>
    </row>
    <row r="33" spans="1:36" ht="14.5">
      <c r="A33" s="990">
        <v>33</v>
      </c>
      <c r="B33" s="990">
        <v>1</v>
      </c>
      <c r="C33" s="990">
        <v>33</v>
      </c>
      <c r="D33" s="1121" t="s">
        <v>999</v>
      </c>
      <c r="E33" s="1243">
        <v>1</v>
      </c>
      <c r="F33" s="39"/>
      <c r="G33" s="39"/>
      <c r="H33" s="5"/>
      <c r="I33" s="121"/>
      <c r="J33" s="119"/>
      <c r="K33" s="120"/>
      <c r="L33" s="120"/>
      <c r="M33" s="119"/>
      <c r="N33" s="119"/>
      <c r="O33" s="119"/>
      <c r="P33" s="171" t="s">
        <v>135</v>
      </c>
      <c r="Q33" s="863">
        <f>IFERROR(Q32/Q11,0)</f>
        <v>7.2459530020661508E-2</v>
      </c>
      <c r="R33" s="863">
        <f t="shared" ref="R33:AB33" si="29">IFERROR(R32/R11,0)</f>
        <v>-7.3386188152263679E-2</v>
      </c>
      <c r="S33" s="863">
        <f t="shared" si="29"/>
        <v>9.4300617633968034E-2</v>
      </c>
      <c r="T33" s="863">
        <f t="shared" si="29"/>
        <v>0.10447068598514293</v>
      </c>
      <c r="U33" s="863">
        <f t="shared" si="29"/>
        <v>0.1153837223364373</v>
      </c>
      <c r="V33" s="863">
        <f t="shared" si="29"/>
        <v>0.13865298547902977</v>
      </c>
      <c r="W33" s="863">
        <f t="shared" si="29"/>
        <v>6.5184412647349879E-2</v>
      </c>
      <c r="X33" s="863">
        <f t="shared" si="29"/>
        <v>8.4771069828041667E-2</v>
      </c>
      <c r="Y33" s="863">
        <f t="shared" si="29"/>
        <v>8.8505608947280073E-2</v>
      </c>
      <c r="Z33" s="863">
        <f t="shared" si="29"/>
        <v>0.13144958344706026</v>
      </c>
      <c r="AA33" s="863">
        <f t="shared" si="29"/>
        <v>0.10358101318360674</v>
      </c>
      <c r="AB33" s="863">
        <f t="shared" si="29"/>
        <v>0.10089277310661539</v>
      </c>
      <c r="AC33" s="863">
        <f t="shared" ref="AC33:AI33" si="30">IFERROR(AC32/AC11,0)</f>
        <v>5.3367576781907851E-2</v>
      </c>
      <c r="AD33" s="863">
        <f t="shared" si="30"/>
        <v>0.12169284514758072</v>
      </c>
      <c r="AE33" s="863">
        <f t="shared" si="30"/>
        <v>7.9885755704147743E-2</v>
      </c>
      <c r="AF33" s="863">
        <f t="shared" si="30"/>
        <v>0.11125037712231567</v>
      </c>
      <c r="AG33" s="863">
        <f t="shared" si="30"/>
        <v>9.3810761663521564E-2</v>
      </c>
      <c r="AH33" s="863">
        <f t="shared" si="30"/>
        <v>9.5600022295423762E-2</v>
      </c>
      <c r="AI33" s="2797">
        <f t="shared" si="30"/>
        <v>9.4803238681911012E-2</v>
      </c>
      <c r="AJ33" s="619"/>
    </row>
    <row r="34" spans="1:36">
      <c r="A34" s="990">
        <v>34</v>
      </c>
      <c r="B34" s="990">
        <v>1</v>
      </c>
      <c r="C34" s="990">
        <v>34</v>
      </c>
      <c r="E34" s="1243">
        <v>1</v>
      </c>
      <c r="Z34" s="163"/>
      <c r="AA34" s="163"/>
      <c r="AB34" s="163"/>
      <c r="AC34" s="163"/>
      <c r="AD34" s="163"/>
      <c r="AE34" s="163"/>
      <c r="AF34" s="163"/>
      <c r="AG34" s="163"/>
      <c r="AH34" s="163"/>
      <c r="AI34" s="868"/>
    </row>
    <row r="35" spans="1:36">
      <c r="A35" s="990">
        <v>35</v>
      </c>
      <c r="B35" s="990">
        <v>1</v>
      </c>
      <c r="C35" s="990">
        <v>35</v>
      </c>
      <c r="E35" s="1243">
        <v>1</v>
      </c>
      <c r="Z35" s="163"/>
      <c r="AA35" s="163"/>
      <c r="AB35" s="163"/>
      <c r="AC35" s="163"/>
      <c r="AD35" s="163"/>
      <c r="AE35" s="163"/>
      <c r="AF35" s="163"/>
      <c r="AG35" s="163"/>
      <c r="AH35" s="163"/>
      <c r="AI35" s="868"/>
    </row>
    <row r="36" spans="1:36" s="75" customFormat="1" ht="15.5">
      <c r="A36" s="990">
        <v>36</v>
      </c>
      <c r="B36" s="990">
        <v>1</v>
      </c>
      <c r="C36" s="990">
        <v>36</v>
      </c>
      <c r="E36" s="1243">
        <v>1</v>
      </c>
      <c r="G36" s="315" t="s">
        <v>93</v>
      </c>
      <c r="I36" s="30"/>
      <c r="K36" s="24"/>
      <c r="L36" s="24"/>
      <c r="Q36" s="2176"/>
      <c r="R36" s="2176"/>
      <c r="S36" s="2176"/>
      <c r="T36" s="2176"/>
      <c r="U36" s="2176"/>
      <c r="V36" s="2176"/>
      <c r="W36" s="2176"/>
      <c r="X36" s="2176"/>
      <c r="Y36" s="2176"/>
      <c r="Z36" s="287"/>
      <c r="AA36" s="287"/>
      <c r="AB36" s="287"/>
      <c r="AC36" s="287"/>
      <c r="AD36" s="287"/>
      <c r="AE36" s="287"/>
      <c r="AF36" s="287"/>
      <c r="AG36" s="287"/>
      <c r="AH36" s="287"/>
      <c r="AI36" s="869"/>
    </row>
    <row r="37" spans="1:36">
      <c r="A37" s="990">
        <v>37</v>
      </c>
      <c r="B37" s="990">
        <v>1</v>
      </c>
      <c r="C37" s="990">
        <v>37</v>
      </c>
      <c r="E37" s="1243">
        <v>1</v>
      </c>
      <c r="I37" s="1154" t="s">
        <v>143</v>
      </c>
      <c r="J37" s="303"/>
      <c r="K37" s="781"/>
      <c r="L37" s="781"/>
      <c r="M37" s="303"/>
      <c r="N37" s="303"/>
      <c r="O37" s="303"/>
      <c r="P37" s="304"/>
      <c r="Q37" s="2203">
        <f>SUM(Q38:Q40)</f>
        <v>36517</v>
      </c>
      <c r="R37" s="2203">
        <f t="shared" ref="R37:AB37" si="31">SUM(R38:R40)</f>
        <v>22342</v>
      </c>
      <c r="S37" s="2203">
        <f t="shared" si="31"/>
        <v>30041</v>
      </c>
      <c r="T37" s="2203">
        <f t="shared" si="31"/>
        <v>28927</v>
      </c>
      <c r="U37" s="2203">
        <f t="shared" si="31"/>
        <v>38068</v>
      </c>
      <c r="V37" s="2203">
        <f t="shared" si="31"/>
        <v>44154</v>
      </c>
      <c r="W37" s="2203">
        <f t="shared" si="31"/>
        <v>42184</v>
      </c>
      <c r="X37" s="2203">
        <f t="shared" si="31"/>
        <v>39310</v>
      </c>
      <c r="Y37" s="2203">
        <f t="shared" si="31"/>
        <v>45245</v>
      </c>
      <c r="Z37" s="2203">
        <f t="shared" si="31"/>
        <v>36225</v>
      </c>
      <c r="AA37" s="2203">
        <f t="shared" si="31"/>
        <v>6700</v>
      </c>
      <c r="AB37" s="2203">
        <f t="shared" si="31"/>
        <v>38452</v>
      </c>
      <c r="AC37" s="2058">
        <f t="shared" ref="AC37:AI37" si="32">SUM(AC38:AC40)</f>
        <v>88900</v>
      </c>
      <c r="AD37" s="2058">
        <f t="shared" si="32"/>
        <v>111149</v>
      </c>
      <c r="AE37" s="2058">
        <f t="shared" si="32"/>
        <v>126739</v>
      </c>
      <c r="AF37" s="2058">
        <f t="shared" si="32"/>
        <v>81377</v>
      </c>
      <c r="AG37" s="2058">
        <f t="shared" si="32"/>
        <v>200049</v>
      </c>
      <c r="AH37" s="2058">
        <f t="shared" si="32"/>
        <v>208116</v>
      </c>
      <c r="AI37" s="2058">
        <f t="shared" si="32"/>
        <v>408165</v>
      </c>
    </row>
    <row r="38" spans="1:36">
      <c r="A38" s="990">
        <v>38</v>
      </c>
      <c r="B38" s="990">
        <v>1</v>
      </c>
      <c r="C38" s="990">
        <v>38</v>
      </c>
      <c r="E38" s="1243">
        <v>1</v>
      </c>
      <c r="I38" s="195"/>
      <c r="J38" s="9" t="s">
        <v>14</v>
      </c>
      <c r="P38" s="86"/>
      <c r="Q38" s="2103">
        <v>12616</v>
      </c>
      <c r="R38" s="2103">
        <v>2209</v>
      </c>
      <c r="S38" s="2103">
        <v>7895</v>
      </c>
      <c r="T38" s="2103">
        <v>3180</v>
      </c>
      <c r="U38" s="2103">
        <v>9234</v>
      </c>
      <c r="V38" s="2103">
        <v>13126</v>
      </c>
      <c r="W38" s="2103">
        <v>12724</v>
      </c>
      <c r="X38" s="2103">
        <v>11711</v>
      </c>
      <c r="Y38" s="2103">
        <v>9810</v>
      </c>
      <c r="Z38" s="2103">
        <v>4062</v>
      </c>
      <c r="AA38" s="2103">
        <v>-22968</v>
      </c>
      <c r="AB38" s="2103">
        <v>153</v>
      </c>
      <c r="AC38" s="2081">
        <f>SUM(Q38,R38,S38)</f>
        <v>22720</v>
      </c>
      <c r="AD38" s="2081">
        <f>SUM(T38,U38,V38)</f>
        <v>25540</v>
      </c>
      <c r="AE38" s="2081">
        <f>SUM(W38,X38,Y38)</f>
        <v>34245</v>
      </c>
      <c r="AF38" s="2081">
        <f>SUM(Z38,AA38,AB38)</f>
        <v>-18753</v>
      </c>
      <c r="AG38" s="2081">
        <f>AC38+AD38</f>
        <v>48260</v>
      </c>
      <c r="AH38" s="2081">
        <f>AF38+AE38</f>
        <v>15492</v>
      </c>
      <c r="AI38" s="2081">
        <f>AG38+AH38</f>
        <v>63752</v>
      </c>
    </row>
    <row r="39" spans="1:36">
      <c r="A39" s="990">
        <v>39</v>
      </c>
      <c r="B39" s="990">
        <v>1</v>
      </c>
      <c r="C39" s="990">
        <v>39</v>
      </c>
      <c r="E39" s="1243">
        <v>1</v>
      </c>
      <c r="I39" s="195"/>
      <c r="J39" s="9" t="s">
        <v>15</v>
      </c>
      <c r="P39" s="86"/>
      <c r="Q39" s="2103">
        <v>361</v>
      </c>
      <c r="R39" s="2103">
        <v>278</v>
      </c>
      <c r="S39" s="2103">
        <v>814</v>
      </c>
      <c r="T39" s="2103">
        <v>434</v>
      </c>
      <c r="U39" s="2103">
        <v>585</v>
      </c>
      <c r="V39" s="2103">
        <v>3222</v>
      </c>
      <c r="W39" s="2103">
        <v>700</v>
      </c>
      <c r="X39" s="2103">
        <v>347</v>
      </c>
      <c r="Y39" s="2103">
        <v>4299</v>
      </c>
      <c r="Z39" s="2103">
        <v>850</v>
      </c>
      <c r="AA39" s="2103">
        <v>180</v>
      </c>
      <c r="AB39" s="2103">
        <v>935</v>
      </c>
      <c r="AC39" s="19">
        <f>SUM(Q39,R39,S39)</f>
        <v>1453</v>
      </c>
      <c r="AD39" s="19">
        <f>SUM(T39,U39,V39)</f>
        <v>4241</v>
      </c>
      <c r="AE39" s="19">
        <f>SUM(W39,X39,Y39)</f>
        <v>5346</v>
      </c>
      <c r="AF39" s="19">
        <f>SUM(Z39,AA39,AB39)</f>
        <v>1965</v>
      </c>
      <c r="AG39" s="19">
        <f>AC39+AD39</f>
        <v>5694</v>
      </c>
      <c r="AH39" s="19">
        <f>AF39+AE39</f>
        <v>7311</v>
      </c>
      <c r="AI39" s="19">
        <f>AG39+AH39</f>
        <v>13005</v>
      </c>
    </row>
    <row r="40" spans="1:36">
      <c r="A40" s="990">
        <v>40</v>
      </c>
      <c r="B40" s="990">
        <v>1</v>
      </c>
      <c r="C40" s="990">
        <v>40</v>
      </c>
      <c r="E40" s="1243">
        <v>1</v>
      </c>
      <c r="I40" s="195"/>
      <c r="J40" s="9" t="s">
        <v>16</v>
      </c>
      <c r="P40" s="86"/>
      <c r="Q40" s="2103">
        <v>23540</v>
      </c>
      <c r="R40" s="2103">
        <v>19855</v>
      </c>
      <c r="S40" s="2103">
        <v>21332</v>
      </c>
      <c r="T40" s="2103">
        <v>25313</v>
      </c>
      <c r="U40" s="2103">
        <v>28249</v>
      </c>
      <c r="V40" s="2103">
        <v>27806</v>
      </c>
      <c r="W40" s="2103">
        <v>28760</v>
      </c>
      <c r="X40" s="2103">
        <v>27252</v>
      </c>
      <c r="Y40" s="2103">
        <v>31136</v>
      </c>
      <c r="Z40" s="2103">
        <v>31313</v>
      </c>
      <c r="AA40" s="2103">
        <v>29488</v>
      </c>
      <c r="AB40" s="2103">
        <v>37364</v>
      </c>
      <c r="AC40" s="17">
        <f>SUM(Q40,R40,S40)</f>
        <v>64727</v>
      </c>
      <c r="AD40" s="17">
        <f>SUM(T40,U40,V40)</f>
        <v>81368</v>
      </c>
      <c r="AE40" s="17">
        <f>SUM(W40,X40,Y40)</f>
        <v>87148</v>
      </c>
      <c r="AF40" s="17">
        <f>SUM(Z40,AA40,AB40)</f>
        <v>98165</v>
      </c>
      <c r="AG40" s="17">
        <f>AC40+AD40</f>
        <v>146095</v>
      </c>
      <c r="AH40" s="17">
        <f>AF40+AE40</f>
        <v>185313</v>
      </c>
      <c r="AI40" s="17">
        <f>AG40+AH40</f>
        <v>331408</v>
      </c>
    </row>
    <row r="41" spans="1:36">
      <c r="A41" s="990">
        <v>41</v>
      </c>
      <c r="B41" s="990">
        <v>1</v>
      </c>
      <c r="C41" s="990">
        <v>41</v>
      </c>
      <c r="E41" s="1243">
        <v>1</v>
      </c>
      <c r="I41" s="1155" t="s">
        <v>96</v>
      </c>
      <c r="J41" s="303"/>
      <c r="K41" s="781"/>
      <c r="L41" s="781"/>
      <c r="M41" s="303"/>
      <c r="N41" s="303"/>
      <c r="O41" s="303"/>
      <c r="P41" s="304"/>
      <c r="Q41" s="2203">
        <f>SUM(Q42:Q44)</f>
        <v>55361</v>
      </c>
      <c r="R41" s="2203">
        <f t="shared" ref="R41:AB41" si="33">SUM(R42:R44)</f>
        <v>52440</v>
      </c>
      <c r="S41" s="2203">
        <f t="shared" si="33"/>
        <v>53582</v>
      </c>
      <c r="T41" s="2203">
        <f t="shared" si="33"/>
        <v>52765</v>
      </c>
      <c r="U41" s="2203">
        <f t="shared" si="33"/>
        <v>53433</v>
      </c>
      <c r="V41" s="2203">
        <f t="shared" si="33"/>
        <v>49685</v>
      </c>
      <c r="W41" s="2203">
        <f t="shared" si="33"/>
        <v>49844</v>
      </c>
      <c r="X41" s="2203">
        <f t="shared" si="33"/>
        <v>47290</v>
      </c>
      <c r="Y41" s="2203">
        <f t="shared" si="33"/>
        <v>50867</v>
      </c>
      <c r="Z41" s="2203">
        <f t="shared" si="33"/>
        <v>49582</v>
      </c>
      <c r="AA41" s="2203">
        <f t="shared" si="33"/>
        <v>76914</v>
      </c>
      <c r="AB41" s="2203">
        <f t="shared" si="33"/>
        <v>68997</v>
      </c>
      <c r="AC41" s="2058">
        <f t="shared" ref="AC41:AI41" si="34">SUM(AC42:AC44)</f>
        <v>161383</v>
      </c>
      <c r="AD41" s="2058">
        <f t="shared" si="34"/>
        <v>155883</v>
      </c>
      <c r="AE41" s="2058">
        <f t="shared" si="34"/>
        <v>148001</v>
      </c>
      <c r="AF41" s="2058">
        <f t="shared" si="34"/>
        <v>195493</v>
      </c>
      <c r="AG41" s="2058">
        <f t="shared" si="34"/>
        <v>317266</v>
      </c>
      <c r="AH41" s="2058">
        <f t="shared" si="34"/>
        <v>343494</v>
      </c>
      <c r="AI41" s="2058">
        <f t="shared" si="34"/>
        <v>660760</v>
      </c>
    </row>
    <row r="42" spans="1:36">
      <c r="A42" s="990">
        <v>42</v>
      </c>
      <c r="B42" s="990">
        <v>1</v>
      </c>
      <c r="C42" s="990">
        <v>42</v>
      </c>
      <c r="E42" s="1243">
        <v>1</v>
      </c>
      <c r="I42" s="61"/>
      <c r="J42" s="9" t="s">
        <v>17</v>
      </c>
      <c r="P42" s="86"/>
      <c r="Q42" s="2103">
        <v>10526</v>
      </c>
      <c r="R42" s="2103">
        <v>9347</v>
      </c>
      <c r="S42" s="2103">
        <v>5900</v>
      </c>
      <c r="T42" s="2103">
        <v>9800</v>
      </c>
      <c r="U42" s="2103">
        <v>9800</v>
      </c>
      <c r="V42" s="2103">
        <v>7708</v>
      </c>
      <c r="W42" s="2103">
        <v>6039</v>
      </c>
      <c r="X42" s="2103">
        <v>7721</v>
      </c>
      <c r="Y42" s="2103">
        <v>4390</v>
      </c>
      <c r="Z42" s="2103">
        <v>6092</v>
      </c>
      <c r="AA42" s="2103">
        <f>76914*20%</f>
        <v>15382.800000000001</v>
      </c>
      <c r="AB42" s="2103">
        <v>9481</v>
      </c>
      <c r="AC42" s="2081">
        <f>SUM(Q42,R42,S42)</f>
        <v>25773</v>
      </c>
      <c r="AD42" s="2081">
        <f>SUM(T42,U42,V42)</f>
        <v>27308</v>
      </c>
      <c r="AE42" s="2081">
        <f>SUM(W42,X42,Y42)</f>
        <v>18150</v>
      </c>
      <c r="AF42" s="2081">
        <f>SUM(Z42,AA42,AB42)</f>
        <v>30955.800000000003</v>
      </c>
      <c r="AG42" s="2081">
        <f>AC42+AD42</f>
        <v>53081</v>
      </c>
      <c r="AH42" s="2081">
        <f>AF42+AE42</f>
        <v>49105.8</v>
      </c>
      <c r="AI42" s="2081">
        <f>AG42+AH42</f>
        <v>102186.8</v>
      </c>
    </row>
    <row r="43" spans="1:36">
      <c r="A43" s="990">
        <v>43</v>
      </c>
      <c r="B43" s="990">
        <v>1</v>
      </c>
      <c r="C43" s="990">
        <v>43</v>
      </c>
      <c r="E43" s="1243">
        <v>1</v>
      </c>
      <c r="I43" s="195"/>
      <c r="J43" s="9" t="s">
        <v>18</v>
      </c>
      <c r="P43" s="86"/>
      <c r="Q43" s="2103">
        <v>44835</v>
      </c>
      <c r="R43" s="2103">
        <v>43093</v>
      </c>
      <c r="S43" s="2103">
        <v>47682</v>
      </c>
      <c r="T43" s="2103">
        <f>52765-9800</f>
        <v>42965</v>
      </c>
      <c r="U43" s="2103">
        <v>43633</v>
      </c>
      <c r="V43" s="2103">
        <v>41977</v>
      </c>
      <c r="W43" s="2103">
        <v>43805</v>
      </c>
      <c r="X43" s="2103">
        <v>39569</v>
      </c>
      <c r="Y43" s="2103">
        <v>46477</v>
      </c>
      <c r="Z43" s="2103">
        <v>43490</v>
      </c>
      <c r="AA43" s="2103">
        <f>76914*80%</f>
        <v>61531.200000000004</v>
      </c>
      <c r="AB43" s="2103">
        <v>59516</v>
      </c>
      <c r="AC43" s="19">
        <f>SUM(Q43,R43,S43)</f>
        <v>135610</v>
      </c>
      <c r="AD43" s="19">
        <f>SUM(T43,U43,V43)</f>
        <v>128575</v>
      </c>
      <c r="AE43" s="19">
        <f>SUM(W43,X43,Y43)</f>
        <v>129851</v>
      </c>
      <c r="AF43" s="19">
        <f>SUM(Z43,AA43,AB43)</f>
        <v>164537.20000000001</v>
      </c>
      <c r="AG43" s="19">
        <f>AC43+AD43</f>
        <v>264185</v>
      </c>
      <c r="AH43" s="19">
        <f>AF43+AE43</f>
        <v>294388.2</v>
      </c>
      <c r="AI43" s="19">
        <f>AG43+AH43</f>
        <v>558573.19999999995</v>
      </c>
    </row>
    <row r="44" spans="1:36">
      <c r="A44" s="990">
        <v>44</v>
      </c>
      <c r="B44" s="990">
        <v>1</v>
      </c>
      <c r="C44" s="990">
        <v>44</v>
      </c>
      <c r="E44" s="1243">
        <v>1</v>
      </c>
      <c r="I44" s="194"/>
      <c r="J44" s="12" t="s">
        <v>19</v>
      </c>
      <c r="K44" s="18"/>
      <c r="L44" s="18"/>
      <c r="M44" s="12"/>
      <c r="N44" s="12"/>
      <c r="O44" s="12"/>
      <c r="P44" s="85"/>
      <c r="Q44" s="2103"/>
      <c r="R44" s="2103"/>
      <c r="S44" s="2103"/>
      <c r="T44" s="2103"/>
      <c r="U44" s="2103"/>
      <c r="V44" s="2103"/>
      <c r="W44" s="2103"/>
      <c r="X44" s="2103"/>
      <c r="Y44" s="2103"/>
      <c r="Z44" s="2103"/>
      <c r="AA44" s="2103"/>
      <c r="AB44" s="2103"/>
      <c r="AC44" s="17">
        <f>SUM(Q44,R44,S44)</f>
        <v>0</v>
      </c>
      <c r="AD44" s="17">
        <f>SUM(T44,U44,V44)</f>
        <v>0</v>
      </c>
      <c r="AE44" s="17">
        <f>SUM(W44,X44,Y44)</f>
        <v>0</v>
      </c>
      <c r="AF44" s="17">
        <f>SUM(Z44,AA44,AB44)</f>
        <v>0</v>
      </c>
      <c r="AG44" s="17">
        <f>AC44+AD44</f>
        <v>0</v>
      </c>
      <c r="AH44" s="17">
        <f>AF44+AE44</f>
        <v>0</v>
      </c>
      <c r="AI44" s="17">
        <f>AG44+AH44</f>
        <v>0</v>
      </c>
    </row>
    <row r="45" spans="1:36">
      <c r="A45" s="990">
        <v>45</v>
      </c>
      <c r="B45" s="990">
        <v>1</v>
      </c>
      <c r="C45" s="990">
        <v>45</v>
      </c>
      <c r="E45" s="1243">
        <v>1</v>
      </c>
      <c r="I45" s="1156" t="s">
        <v>142</v>
      </c>
      <c r="J45" s="303"/>
      <c r="K45" s="781"/>
      <c r="L45" s="781"/>
      <c r="M45" s="303"/>
      <c r="N45" s="303"/>
      <c r="O45" s="303"/>
      <c r="P45" s="304"/>
      <c r="Q45" s="2203">
        <f>SUM(Q46:Q51)</f>
        <v>50491</v>
      </c>
      <c r="R45" s="2203">
        <f t="shared" ref="R45:AB45" si="35">SUM(R46:R51)</f>
        <v>37415</v>
      </c>
      <c r="S45" s="2203">
        <f t="shared" si="35"/>
        <v>32923</v>
      </c>
      <c r="T45" s="2203">
        <f t="shared" si="35"/>
        <v>41534</v>
      </c>
      <c r="U45" s="2203">
        <f t="shared" si="35"/>
        <v>47192</v>
      </c>
      <c r="V45" s="2203">
        <f t="shared" si="35"/>
        <v>47945</v>
      </c>
      <c r="W45" s="2203">
        <f t="shared" si="35"/>
        <v>73702</v>
      </c>
      <c r="X45" s="2203">
        <f t="shared" si="35"/>
        <v>83001</v>
      </c>
      <c r="Y45" s="2203">
        <f t="shared" si="35"/>
        <v>46171</v>
      </c>
      <c r="Z45" s="2203">
        <f t="shared" si="35"/>
        <v>42011</v>
      </c>
      <c r="AA45" s="2203">
        <f t="shared" si="35"/>
        <v>17355</v>
      </c>
      <c r="AB45" s="2203">
        <f t="shared" si="35"/>
        <v>93349</v>
      </c>
      <c r="AC45" s="2058">
        <f t="shared" ref="AC45:AI45" si="36">SUM(AC46:AC51)</f>
        <v>120829</v>
      </c>
      <c r="AD45" s="2058">
        <f t="shared" si="36"/>
        <v>136671</v>
      </c>
      <c r="AE45" s="2058">
        <f t="shared" si="36"/>
        <v>202874</v>
      </c>
      <c r="AF45" s="2058">
        <f t="shared" si="36"/>
        <v>152715</v>
      </c>
      <c r="AG45" s="2058">
        <f t="shared" si="36"/>
        <v>257500</v>
      </c>
      <c r="AH45" s="2058">
        <f t="shared" si="36"/>
        <v>355589</v>
      </c>
      <c r="AI45" s="2058">
        <f t="shared" si="36"/>
        <v>613089</v>
      </c>
    </row>
    <row r="46" spans="1:36">
      <c r="A46" s="990">
        <v>46</v>
      </c>
      <c r="B46" s="990">
        <v>1</v>
      </c>
      <c r="C46" s="990">
        <v>46</v>
      </c>
      <c r="E46" s="1243">
        <v>1</v>
      </c>
      <c r="I46" s="195"/>
      <c r="J46" s="9" t="s">
        <v>1005</v>
      </c>
      <c r="P46" s="86"/>
      <c r="Q46" s="2103">
        <v>74</v>
      </c>
      <c r="R46" s="2103">
        <v>108</v>
      </c>
      <c r="S46" s="2103">
        <v>115</v>
      </c>
      <c r="T46" s="2103">
        <v>646</v>
      </c>
      <c r="U46" s="2103">
        <v>1798</v>
      </c>
      <c r="V46" s="2103">
        <v>2347</v>
      </c>
      <c r="W46" s="2103">
        <v>2409</v>
      </c>
      <c r="X46" s="2103">
        <v>2553</v>
      </c>
      <c r="Y46" s="2103">
        <v>2810</v>
      </c>
      <c r="Z46" s="2103">
        <v>1933</v>
      </c>
      <c r="AA46" s="2103">
        <v>2255</v>
      </c>
      <c r="AB46" s="2103">
        <v>3093</v>
      </c>
      <c r="AC46" s="2081">
        <f t="shared" ref="AC46:AC51" si="37">SUM(Q46,R46,S46)</f>
        <v>297</v>
      </c>
      <c r="AD46" s="2081">
        <f t="shared" ref="AD46:AD51" si="38">SUM(T46,U46,V46)</f>
        <v>4791</v>
      </c>
      <c r="AE46" s="2081">
        <f t="shared" ref="AE46:AE51" si="39">SUM(W46,X46,Y46)</f>
        <v>7772</v>
      </c>
      <c r="AF46" s="2081">
        <f t="shared" ref="AF46:AF51" si="40">SUM(Z46,AA46,AB46)</f>
        <v>7281</v>
      </c>
      <c r="AG46" s="2081">
        <f t="shared" ref="AG46:AG51" si="41">AC46+AD46</f>
        <v>5088</v>
      </c>
      <c r="AH46" s="2081">
        <f t="shared" ref="AH46:AH51" si="42">AF46+AE46</f>
        <v>15053</v>
      </c>
      <c r="AI46" s="2081">
        <f t="shared" ref="AI46:AI51" si="43">AG46+AH46</f>
        <v>20141</v>
      </c>
    </row>
    <row r="47" spans="1:36">
      <c r="A47" s="990">
        <v>47</v>
      </c>
      <c r="B47" s="990">
        <v>1</v>
      </c>
      <c r="C47" s="990">
        <v>47</v>
      </c>
      <c r="E47" s="1243">
        <v>1</v>
      </c>
      <c r="I47" s="195"/>
      <c r="J47" s="9" t="s">
        <v>1006</v>
      </c>
      <c r="P47" s="86"/>
      <c r="Q47" s="2103">
        <v>7621</v>
      </c>
      <c r="R47" s="2103">
        <v>7684</v>
      </c>
      <c r="S47" s="2103">
        <f>7619+15856</f>
        <v>23475</v>
      </c>
      <c r="T47" s="2103">
        <v>7608</v>
      </c>
      <c r="U47" s="2103">
        <v>7559</v>
      </c>
      <c r="V47" s="2103">
        <v>21871</v>
      </c>
      <c r="W47" s="2103">
        <v>7445</v>
      </c>
      <c r="X47" s="2103">
        <v>7278</v>
      </c>
      <c r="Y47" s="2103">
        <f>7228+11878</f>
        <v>19106</v>
      </c>
      <c r="Z47" s="2103">
        <v>7729</v>
      </c>
      <c r="AA47" s="2103">
        <v>7483</v>
      </c>
      <c r="AB47" s="2103">
        <f>17948+6798</f>
        <v>24746</v>
      </c>
      <c r="AC47" s="19">
        <f t="shared" si="37"/>
        <v>38780</v>
      </c>
      <c r="AD47" s="19">
        <f t="shared" si="38"/>
        <v>37038</v>
      </c>
      <c r="AE47" s="19">
        <f t="shared" si="39"/>
        <v>33829</v>
      </c>
      <c r="AF47" s="19">
        <f t="shared" si="40"/>
        <v>39958</v>
      </c>
      <c r="AG47" s="19">
        <f t="shared" si="41"/>
        <v>75818</v>
      </c>
      <c r="AH47" s="19">
        <f t="shared" si="42"/>
        <v>73787</v>
      </c>
      <c r="AI47" s="19">
        <f t="shared" si="43"/>
        <v>149605</v>
      </c>
    </row>
    <row r="48" spans="1:36">
      <c r="A48" s="990">
        <v>48</v>
      </c>
      <c r="B48" s="990">
        <v>1</v>
      </c>
      <c r="C48" s="990">
        <v>48</v>
      </c>
      <c r="E48" s="1243">
        <v>1</v>
      </c>
      <c r="I48" s="195"/>
      <c r="J48" s="9" t="s">
        <v>20</v>
      </c>
      <c r="P48" s="86"/>
      <c r="Q48" s="2103">
        <v>496</v>
      </c>
      <c r="R48" s="2103">
        <v>1220</v>
      </c>
      <c r="S48" s="2103">
        <v>676</v>
      </c>
      <c r="T48" s="2103">
        <v>741</v>
      </c>
      <c r="U48" s="2103">
        <v>934</v>
      </c>
      <c r="V48" s="2103">
        <v>518</v>
      </c>
      <c r="W48" s="2103">
        <v>1588</v>
      </c>
      <c r="X48" s="2103">
        <v>1423</v>
      </c>
      <c r="Y48" s="2103">
        <v>1316</v>
      </c>
      <c r="Z48" s="2103">
        <v>891</v>
      </c>
      <c r="AA48" s="2103">
        <v>642</v>
      </c>
      <c r="AB48" s="2103">
        <v>1754</v>
      </c>
      <c r="AC48" s="19">
        <f t="shared" si="37"/>
        <v>2392</v>
      </c>
      <c r="AD48" s="19">
        <f t="shared" si="38"/>
        <v>2193</v>
      </c>
      <c r="AE48" s="19">
        <f t="shared" si="39"/>
        <v>4327</v>
      </c>
      <c r="AF48" s="19">
        <f t="shared" si="40"/>
        <v>3287</v>
      </c>
      <c r="AG48" s="19">
        <f t="shared" si="41"/>
        <v>4585</v>
      </c>
      <c r="AH48" s="19">
        <f t="shared" si="42"/>
        <v>7614</v>
      </c>
      <c r="AI48" s="19">
        <f t="shared" si="43"/>
        <v>12199</v>
      </c>
    </row>
    <row r="49" spans="1:35">
      <c r="A49" s="990">
        <v>49</v>
      </c>
      <c r="B49" s="990">
        <v>1</v>
      </c>
      <c r="C49" s="990">
        <v>49</v>
      </c>
      <c r="E49" s="1243">
        <v>1</v>
      </c>
      <c r="I49" s="195"/>
      <c r="J49" s="9" t="s">
        <v>21</v>
      </c>
      <c r="P49" s="86"/>
      <c r="Q49" s="2103">
        <v>9411</v>
      </c>
      <c r="R49" s="2103">
        <v>8912</v>
      </c>
      <c r="S49" s="2103">
        <f>7463-18747</f>
        <v>-11284</v>
      </c>
      <c r="T49" s="2103">
        <v>8659</v>
      </c>
      <c r="U49" s="2103">
        <v>8872</v>
      </c>
      <c r="V49" s="2103">
        <f>-T49-U49+8935</f>
        <v>-8596</v>
      </c>
      <c r="W49" s="2103">
        <v>9728</v>
      </c>
      <c r="X49" s="2103">
        <v>12587</v>
      </c>
      <c r="Y49" s="2103">
        <v>-4791</v>
      </c>
      <c r="Z49" s="2103">
        <v>8571</v>
      </c>
      <c r="AA49" s="2103">
        <v>9102</v>
      </c>
      <c r="AB49" s="2103">
        <v>-8113</v>
      </c>
      <c r="AC49" s="19">
        <f t="shared" si="37"/>
        <v>7039</v>
      </c>
      <c r="AD49" s="19">
        <f t="shared" si="38"/>
        <v>8935</v>
      </c>
      <c r="AE49" s="19">
        <f t="shared" si="39"/>
        <v>17524</v>
      </c>
      <c r="AF49" s="19">
        <f t="shared" si="40"/>
        <v>9560</v>
      </c>
      <c r="AG49" s="19">
        <f t="shared" si="41"/>
        <v>15974</v>
      </c>
      <c r="AH49" s="19">
        <f t="shared" si="42"/>
        <v>27084</v>
      </c>
      <c r="AI49" s="19">
        <f t="shared" si="43"/>
        <v>43058</v>
      </c>
    </row>
    <row r="50" spans="1:35">
      <c r="A50" s="990">
        <v>50</v>
      </c>
      <c r="B50" s="990">
        <v>1</v>
      </c>
      <c r="C50" s="990">
        <v>50</v>
      </c>
      <c r="E50" s="1243">
        <v>1</v>
      </c>
      <c r="I50" s="195"/>
      <c r="J50" s="9" t="s">
        <v>1007</v>
      </c>
      <c r="P50" s="86"/>
      <c r="Q50" s="2103">
        <v>99</v>
      </c>
      <c r="R50" s="2103">
        <v>99</v>
      </c>
      <c r="S50" s="2103">
        <v>125</v>
      </c>
      <c r="T50" s="2103">
        <v>133</v>
      </c>
      <c r="U50" s="2103">
        <v>130</v>
      </c>
      <c r="V50" s="2103">
        <v>384</v>
      </c>
      <c r="W50" s="2103">
        <v>69</v>
      </c>
      <c r="X50" s="2103">
        <v>0</v>
      </c>
      <c r="Y50" s="2103">
        <v>306</v>
      </c>
      <c r="Z50" s="2103">
        <v>58</v>
      </c>
      <c r="AA50" s="2103">
        <v>0</v>
      </c>
      <c r="AB50" s="2103">
        <v>43</v>
      </c>
      <c r="AC50" s="19">
        <f t="shared" si="37"/>
        <v>323</v>
      </c>
      <c r="AD50" s="19">
        <f t="shared" si="38"/>
        <v>647</v>
      </c>
      <c r="AE50" s="19">
        <f t="shared" si="39"/>
        <v>375</v>
      </c>
      <c r="AF50" s="19">
        <f t="shared" si="40"/>
        <v>101</v>
      </c>
      <c r="AG50" s="19">
        <f t="shared" si="41"/>
        <v>970</v>
      </c>
      <c r="AH50" s="19">
        <f t="shared" si="42"/>
        <v>476</v>
      </c>
      <c r="AI50" s="19">
        <f t="shared" si="43"/>
        <v>1446</v>
      </c>
    </row>
    <row r="51" spans="1:35">
      <c r="A51" s="990">
        <v>51</v>
      </c>
      <c r="B51" s="990">
        <v>1</v>
      </c>
      <c r="C51" s="990">
        <v>51</v>
      </c>
      <c r="E51" s="1243">
        <v>1</v>
      </c>
      <c r="I51" s="194"/>
      <c r="J51" s="12" t="s">
        <v>1002</v>
      </c>
      <c r="K51" s="18"/>
      <c r="L51" s="18"/>
      <c r="M51" s="12"/>
      <c r="N51" s="12"/>
      <c r="O51" s="12"/>
      <c r="P51" s="85"/>
      <c r="Q51" s="2104">
        <v>32790</v>
      </c>
      <c r="R51" s="2104">
        <v>19392</v>
      </c>
      <c r="S51" s="2104">
        <v>19816</v>
      </c>
      <c r="T51" s="2104">
        <v>23747</v>
      </c>
      <c r="U51" s="2104">
        <v>27899</v>
      </c>
      <c r="V51" s="2104">
        <v>31421</v>
      </c>
      <c r="W51" s="2104">
        <v>52463</v>
      </c>
      <c r="X51" s="2104">
        <v>59160</v>
      </c>
      <c r="Y51" s="2104">
        <v>27424</v>
      </c>
      <c r="Z51" s="2104">
        <v>22829</v>
      </c>
      <c r="AA51" s="2104">
        <v>-2127</v>
      </c>
      <c r="AB51" s="2104">
        <f>78624-6798</f>
        <v>71826</v>
      </c>
      <c r="AC51" s="17">
        <f t="shared" si="37"/>
        <v>71998</v>
      </c>
      <c r="AD51" s="17">
        <f t="shared" si="38"/>
        <v>83067</v>
      </c>
      <c r="AE51" s="17">
        <f t="shared" si="39"/>
        <v>139047</v>
      </c>
      <c r="AF51" s="17">
        <f t="shared" si="40"/>
        <v>92528</v>
      </c>
      <c r="AG51" s="17">
        <f t="shared" si="41"/>
        <v>155065</v>
      </c>
      <c r="AH51" s="17">
        <f t="shared" si="42"/>
        <v>231575</v>
      </c>
      <c r="AI51" s="17">
        <f t="shared" si="43"/>
        <v>386640</v>
      </c>
    </row>
    <row r="52" spans="1:35">
      <c r="A52" s="990">
        <v>52</v>
      </c>
      <c r="B52" s="990">
        <v>1</v>
      </c>
      <c r="C52" s="990">
        <v>52</v>
      </c>
      <c r="E52" s="1243">
        <v>1</v>
      </c>
      <c r="I52" s="289"/>
      <c r="Q52" s="2044"/>
      <c r="R52" s="2044"/>
      <c r="S52" s="2044"/>
      <c r="T52" s="2044"/>
      <c r="U52" s="2044"/>
      <c r="V52" s="2044"/>
      <c r="W52" s="2044"/>
      <c r="X52" s="2044"/>
      <c r="Y52" s="2044"/>
      <c r="Z52" s="2044"/>
      <c r="AA52" s="2044"/>
      <c r="AB52" s="2044"/>
      <c r="AC52" s="163"/>
      <c r="AD52" s="163"/>
      <c r="AE52" s="163"/>
      <c r="AF52" s="163"/>
      <c r="AG52" s="163"/>
      <c r="AH52" s="163"/>
      <c r="AI52" s="868"/>
    </row>
    <row r="53" spans="1:35" ht="15.5">
      <c r="A53" s="990">
        <v>53</v>
      </c>
      <c r="B53" s="990">
        <v>1</v>
      </c>
      <c r="C53" s="990">
        <v>53</v>
      </c>
      <c r="D53" s="1121" t="s">
        <v>999</v>
      </c>
      <c r="E53" s="1243">
        <v>1</v>
      </c>
      <c r="G53" s="462" t="s">
        <v>1008</v>
      </c>
      <c r="I53" s="152"/>
      <c r="J53" s="152"/>
      <c r="Z53" s="163"/>
      <c r="AA53" s="163"/>
      <c r="AB53" s="163"/>
      <c r="AC53" s="163"/>
      <c r="AD53" s="163"/>
      <c r="AE53" s="163"/>
      <c r="AF53" s="163"/>
      <c r="AG53" s="163"/>
      <c r="AH53" s="163"/>
      <c r="AI53" s="868"/>
    </row>
    <row r="54" spans="1:35">
      <c r="A54" s="990">
        <v>54</v>
      </c>
      <c r="B54" s="990">
        <v>1</v>
      </c>
      <c r="C54" s="990">
        <v>54</v>
      </c>
      <c r="D54" s="1121" t="s">
        <v>999</v>
      </c>
      <c r="E54" s="1243">
        <v>1</v>
      </c>
      <c r="I54" s="783" t="s">
        <v>141</v>
      </c>
      <c r="J54" s="784"/>
      <c r="K54" s="781"/>
      <c r="L54" s="781"/>
      <c r="M54" s="303"/>
      <c r="N54" s="303"/>
      <c r="O54" s="303"/>
      <c r="P54" s="303"/>
      <c r="Q54" s="2058">
        <f t="shared" ref="Q54:AB54" si="44">SUM(Q55:Q56)</f>
        <v>71053</v>
      </c>
      <c r="R54" s="2058">
        <f t="shared" si="44"/>
        <v>68752</v>
      </c>
      <c r="S54" s="2058">
        <f t="shared" si="44"/>
        <v>69254</v>
      </c>
      <c r="T54" s="2058">
        <f t="shared" si="44"/>
        <v>68692</v>
      </c>
      <c r="U54" s="2058">
        <f t="shared" si="44"/>
        <v>69339</v>
      </c>
      <c r="V54" s="2058">
        <f t="shared" si="44"/>
        <v>62958</v>
      </c>
      <c r="W54" s="2058">
        <f t="shared" si="44"/>
        <v>64408</v>
      </c>
      <c r="X54" s="2058">
        <f t="shared" si="44"/>
        <v>62191</v>
      </c>
      <c r="Y54" s="2058">
        <f t="shared" si="44"/>
        <v>65627</v>
      </c>
      <c r="Z54" s="2115">
        <f t="shared" si="44"/>
        <v>63998</v>
      </c>
      <c r="AA54" s="2115">
        <f t="shared" si="44"/>
        <v>91594</v>
      </c>
      <c r="AB54" s="2115">
        <f t="shared" si="44"/>
        <v>83701</v>
      </c>
      <c r="AC54" s="2115">
        <f>SUM(Q54,R54,S54)</f>
        <v>209059</v>
      </c>
      <c r="AD54" s="2115">
        <f>SUM(T54,U54,V54)</f>
        <v>200989</v>
      </c>
      <c r="AE54" s="2115">
        <f>SUM(W54,X54,Y54)</f>
        <v>192226</v>
      </c>
      <c r="AF54" s="2115">
        <f>SUM(Z54,AA54,AB54)</f>
        <v>239293</v>
      </c>
      <c r="AG54" s="2115">
        <f>AC54+AD54</f>
        <v>410048</v>
      </c>
      <c r="AH54" s="2115">
        <f>AF54+AE54</f>
        <v>431519</v>
      </c>
      <c r="AI54" s="2115">
        <f>AG54+AH54</f>
        <v>841567</v>
      </c>
    </row>
    <row r="55" spans="1:35">
      <c r="A55" s="990">
        <v>55</v>
      </c>
      <c r="B55" s="990">
        <v>1</v>
      </c>
      <c r="C55" s="990">
        <v>55</v>
      </c>
      <c r="D55" s="1121" t="s">
        <v>999</v>
      </c>
      <c r="E55" s="1243">
        <v>1</v>
      </c>
      <c r="I55" s="160"/>
      <c r="J55" s="785" t="s">
        <v>1009</v>
      </c>
      <c r="K55" s="786"/>
      <c r="L55" s="786"/>
      <c r="M55" s="596"/>
      <c r="N55" s="596"/>
      <c r="O55" s="596"/>
      <c r="P55" s="596"/>
      <c r="Q55" s="2206">
        <f>Q758</f>
        <v>15692</v>
      </c>
      <c r="R55" s="2206">
        <f t="shared" ref="R55:AB55" si="45">R758</f>
        <v>16312</v>
      </c>
      <c r="S55" s="2206">
        <f t="shared" si="45"/>
        <v>15672</v>
      </c>
      <c r="T55" s="2206">
        <f t="shared" si="45"/>
        <v>15927</v>
      </c>
      <c r="U55" s="2206">
        <f t="shared" si="45"/>
        <v>15906</v>
      </c>
      <c r="V55" s="2206">
        <f t="shared" si="45"/>
        <v>13273</v>
      </c>
      <c r="W55" s="2206">
        <f t="shared" si="45"/>
        <v>14564</v>
      </c>
      <c r="X55" s="2206">
        <f t="shared" si="45"/>
        <v>14901</v>
      </c>
      <c r="Y55" s="2206">
        <f t="shared" si="45"/>
        <v>14760</v>
      </c>
      <c r="Z55" s="2207">
        <f t="shared" si="45"/>
        <v>14416</v>
      </c>
      <c r="AA55" s="2207">
        <f t="shared" si="45"/>
        <v>14680</v>
      </c>
      <c r="AB55" s="2207">
        <f t="shared" si="45"/>
        <v>14704</v>
      </c>
      <c r="AC55" s="2207">
        <f>SUM(Q55,R55,S55)</f>
        <v>47676</v>
      </c>
      <c r="AD55" s="2207">
        <f>SUM(T55,U55,V55)</f>
        <v>45106</v>
      </c>
      <c r="AE55" s="2207">
        <f>SUM(W55,X55,Y55)</f>
        <v>44225</v>
      </c>
      <c r="AF55" s="2207">
        <f>SUM(Z55,AA55,AB55)</f>
        <v>43800</v>
      </c>
      <c r="AG55" s="2207">
        <f>AC55+AD55</f>
        <v>92782</v>
      </c>
      <c r="AH55" s="2207">
        <f>AF55+AE55</f>
        <v>88025</v>
      </c>
      <c r="AI55" s="2207">
        <f>AG55+AH55</f>
        <v>180807</v>
      </c>
    </row>
    <row r="56" spans="1:35">
      <c r="A56" s="990">
        <v>56</v>
      </c>
      <c r="B56" s="990">
        <v>1</v>
      </c>
      <c r="C56" s="990">
        <v>56</v>
      </c>
      <c r="D56" s="1121" t="s">
        <v>999</v>
      </c>
      <c r="E56" s="1243">
        <v>1</v>
      </c>
      <c r="I56" s="156"/>
      <c r="J56" s="155" t="s">
        <v>1010</v>
      </c>
      <c r="K56" s="18"/>
      <c r="L56" s="18"/>
      <c r="M56" s="12"/>
      <c r="N56" s="12"/>
      <c r="O56" s="12"/>
      <c r="P56" s="12"/>
      <c r="Q56" s="17">
        <f t="shared" ref="Q56:AB56" si="46">Q41</f>
        <v>55361</v>
      </c>
      <c r="R56" s="17">
        <f t="shared" si="46"/>
        <v>52440</v>
      </c>
      <c r="S56" s="17">
        <f t="shared" si="46"/>
        <v>53582</v>
      </c>
      <c r="T56" s="17">
        <f t="shared" si="46"/>
        <v>52765</v>
      </c>
      <c r="U56" s="17">
        <f t="shared" si="46"/>
        <v>53433</v>
      </c>
      <c r="V56" s="17">
        <f t="shared" si="46"/>
        <v>49685</v>
      </c>
      <c r="W56" s="17">
        <f t="shared" si="46"/>
        <v>49844</v>
      </c>
      <c r="X56" s="17">
        <f t="shared" si="46"/>
        <v>47290</v>
      </c>
      <c r="Y56" s="17">
        <f t="shared" si="46"/>
        <v>50867</v>
      </c>
      <c r="Z56" s="142">
        <f t="shared" si="46"/>
        <v>49582</v>
      </c>
      <c r="AA56" s="142">
        <f t="shared" si="46"/>
        <v>76914</v>
      </c>
      <c r="AB56" s="142">
        <f t="shared" si="46"/>
        <v>68997</v>
      </c>
      <c r="AC56" s="142">
        <f>SUM(Q56,R56,S56)</f>
        <v>161383</v>
      </c>
      <c r="AD56" s="142">
        <f>SUM(T56,U56,V56)</f>
        <v>155883</v>
      </c>
      <c r="AE56" s="142">
        <f>SUM(W56,X56,Y56)</f>
        <v>148001</v>
      </c>
      <c r="AF56" s="142">
        <f>SUM(Z56,AA56,AB56)</f>
        <v>195493</v>
      </c>
      <c r="AG56" s="142">
        <f>AC56+AD56</f>
        <v>317266</v>
      </c>
      <c r="AH56" s="142">
        <f>AF56+AE56</f>
        <v>343494</v>
      </c>
      <c r="AI56" s="142">
        <f>AG56+AH56</f>
        <v>660760</v>
      </c>
    </row>
    <row r="57" spans="1:35">
      <c r="A57" s="990">
        <v>57</v>
      </c>
      <c r="B57" s="990">
        <v>1</v>
      </c>
      <c r="C57" s="990">
        <v>57</v>
      </c>
      <c r="D57" s="1121" t="s">
        <v>999</v>
      </c>
      <c r="E57" s="1243">
        <v>1</v>
      </c>
      <c r="I57" s="289"/>
      <c r="Z57" s="163"/>
      <c r="AA57" s="163"/>
      <c r="AB57" s="163"/>
      <c r="AC57" s="163"/>
      <c r="AD57" s="163"/>
      <c r="AE57" s="163"/>
      <c r="AF57" s="163"/>
      <c r="AG57" s="163"/>
      <c r="AH57" s="163"/>
      <c r="AI57" s="868"/>
    </row>
    <row r="58" spans="1:35" ht="16.5" customHeight="1">
      <c r="A58" s="990">
        <v>58</v>
      </c>
      <c r="B58" s="990">
        <v>1</v>
      </c>
      <c r="C58" s="990">
        <v>58</v>
      </c>
      <c r="D58" s="1121" t="s">
        <v>999</v>
      </c>
      <c r="E58" s="1243">
        <v>1</v>
      </c>
      <c r="G58" s="462" t="s">
        <v>1011</v>
      </c>
      <c r="I58" s="152"/>
      <c r="J58" s="152"/>
      <c r="K58" s="152"/>
      <c r="L58" s="152"/>
      <c r="M58" s="152"/>
      <c r="N58" s="152"/>
      <c r="O58" s="152"/>
      <c r="P58" s="152"/>
      <c r="Q58" s="2798"/>
      <c r="Z58" s="163"/>
      <c r="AA58" s="163"/>
      <c r="AB58" s="163"/>
      <c r="AC58" s="163"/>
      <c r="AD58" s="163"/>
      <c r="AE58" s="163"/>
      <c r="AF58" s="163"/>
      <c r="AG58" s="163"/>
      <c r="AH58" s="163"/>
      <c r="AI58" s="868"/>
    </row>
    <row r="59" spans="1:35">
      <c r="A59" s="990">
        <v>59</v>
      </c>
      <c r="B59" s="990">
        <v>1</v>
      </c>
      <c r="C59" s="990">
        <v>59</v>
      </c>
      <c r="D59" s="1121" t="s">
        <v>999</v>
      </c>
      <c r="E59" s="1243">
        <v>1</v>
      </c>
      <c r="I59" s="305" t="s">
        <v>1012</v>
      </c>
      <c r="J59" s="1157"/>
      <c r="K59" s="1157"/>
      <c r="L59" s="1157"/>
      <c r="M59" s="1157"/>
      <c r="N59" s="1157"/>
      <c r="O59" s="1157"/>
      <c r="P59" s="1158"/>
      <c r="Q59" s="2058">
        <f t="shared" ref="Q59:AB59" si="47">Q23</f>
        <v>456</v>
      </c>
      <c r="R59" s="2058">
        <f t="shared" si="47"/>
        <v>0</v>
      </c>
      <c r="S59" s="2058">
        <f t="shared" si="47"/>
        <v>5968</v>
      </c>
      <c r="T59" s="2058">
        <f t="shared" si="47"/>
        <v>1984</v>
      </c>
      <c r="U59" s="2058">
        <f t="shared" si="47"/>
        <v>1595</v>
      </c>
      <c r="V59" s="2058">
        <f t="shared" si="47"/>
        <v>0</v>
      </c>
      <c r="W59" s="2058">
        <f t="shared" si="47"/>
        <v>623</v>
      </c>
      <c r="X59" s="2058">
        <f t="shared" si="47"/>
        <v>269</v>
      </c>
      <c r="Y59" s="2058">
        <f t="shared" si="47"/>
        <v>6279</v>
      </c>
      <c r="Z59" s="2058">
        <f t="shared" si="47"/>
        <v>15</v>
      </c>
      <c r="AA59" s="2058">
        <f t="shared" si="47"/>
        <v>385</v>
      </c>
      <c r="AB59" s="2058">
        <f t="shared" si="47"/>
        <v>36050</v>
      </c>
      <c r="AC59" s="2115">
        <f t="shared" ref="AC59:AI59" si="48">AC23</f>
        <v>6424</v>
      </c>
      <c r="AD59" s="2115">
        <f t="shared" si="48"/>
        <v>3579</v>
      </c>
      <c r="AE59" s="2115">
        <f t="shared" si="48"/>
        <v>7171</v>
      </c>
      <c r="AF59" s="2115">
        <f t="shared" si="48"/>
        <v>36450</v>
      </c>
      <c r="AG59" s="2115">
        <f t="shared" si="48"/>
        <v>10003</v>
      </c>
      <c r="AH59" s="2115">
        <f t="shared" si="48"/>
        <v>43621</v>
      </c>
      <c r="AI59" s="2481">
        <f t="shared" si="48"/>
        <v>53624</v>
      </c>
    </row>
    <row r="60" spans="1:35">
      <c r="A60" s="990">
        <v>60</v>
      </c>
      <c r="B60" s="990">
        <v>1</v>
      </c>
      <c r="C60" s="990">
        <v>60</v>
      </c>
      <c r="D60" s="1121" t="s">
        <v>999</v>
      </c>
      <c r="E60" s="1243">
        <v>1</v>
      </c>
      <c r="I60" s="153"/>
      <c r="J60" s="9" t="s">
        <v>40</v>
      </c>
      <c r="K60" s="152"/>
      <c r="L60" s="152"/>
      <c r="M60" s="152"/>
      <c r="N60" s="152"/>
      <c r="O60" s="152"/>
      <c r="P60" s="1159"/>
      <c r="Q60" s="2091"/>
      <c r="R60" s="2091"/>
      <c r="S60" s="2091"/>
      <c r="T60" s="2091"/>
      <c r="U60" s="2091"/>
      <c r="V60" s="2091"/>
      <c r="W60" s="2091"/>
      <c r="X60" s="2091"/>
      <c r="Y60" s="2091"/>
      <c r="Z60" s="2091"/>
      <c r="AA60" s="2091"/>
      <c r="AB60" s="2091"/>
      <c r="AC60" s="145">
        <f>SUM(Q60,R60,S60)</f>
        <v>0</v>
      </c>
      <c r="AD60" s="145">
        <f>SUM(T60,U60,V60)</f>
        <v>0</v>
      </c>
      <c r="AE60" s="145">
        <f>SUM(W60,X60,Y60)</f>
        <v>0</v>
      </c>
      <c r="AF60" s="145">
        <f>SUM(Z60,AA60,AB60)</f>
        <v>0</v>
      </c>
      <c r="AG60" s="145">
        <f>AC60+AD60</f>
        <v>0</v>
      </c>
      <c r="AH60" s="145">
        <f>AF60+AE60</f>
        <v>0</v>
      </c>
      <c r="AI60" s="144">
        <f>AG60+AH60</f>
        <v>0</v>
      </c>
    </row>
    <row r="61" spans="1:35">
      <c r="A61" s="990">
        <v>61</v>
      </c>
      <c r="B61" s="990">
        <v>1</v>
      </c>
      <c r="C61" s="990">
        <v>61</v>
      </c>
      <c r="D61" s="1121" t="s">
        <v>999</v>
      </c>
      <c r="E61" s="1243">
        <v>1</v>
      </c>
      <c r="I61" s="153"/>
      <c r="J61" s="9" t="s">
        <v>41</v>
      </c>
      <c r="K61" s="152"/>
      <c r="L61" s="152"/>
      <c r="M61" s="152"/>
      <c r="N61" s="152"/>
      <c r="O61" s="152"/>
      <c r="P61" s="1159"/>
      <c r="Q61" s="2091"/>
      <c r="R61" s="2091"/>
      <c r="S61" s="2091"/>
      <c r="T61" s="2091"/>
      <c r="U61" s="2091"/>
      <c r="V61" s="2091"/>
      <c r="W61" s="2091"/>
      <c r="X61" s="2091"/>
      <c r="Y61" s="2091"/>
      <c r="Z61" s="2091"/>
      <c r="AA61" s="2091"/>
      <c r="AB61" s="2091"/>
      <c r="AC61" s="145">
        <f>SUM(Q61,R61,S61)</f>
        <v>0</v>
      </c>
      <c r="AD61" s="145">
        <f>SUM(T61,U61,V61)</f>
        <v>0</v>
      </c>
      <c r="AE61" s="145">
        <f>SUM(W61,X61,Y61)</f>
        <v>0</v>
      </c>
      <c r="AF61" s="145">
        <f>SUM(Z61,AA61,AB61)</f>
        <v>0</v>
      </c>
      <c r="AG61" s="145">
        <f>AC61+AD61</f>
        <v>0</v>
      </c>
      <c r="AH61" s="145">
        <f>AF61+AE61</f>
        <v>0</v>
      </c>
      <c r="AI61" s="144">
        <f>AG61+AH61</f>
        <v>0</v>
      </c>
    </row>
    <row r="62" spans="1:35">
      <c r="A62" s="990">
        <v>62</v>
      </c>
      <c r="B62" s="990">
        <v>1</v>
      </c>
      <c r="C62" s="990">
        <v>62</v>
      </c>
      <c r="D62" s="1121" t="s">
        <v>999</v>
      </c>
      <c r="E62" s="1243">
        <v>1</v>
      </c>
      <c r="I62" s="153"/>
      <c r="J62" s="9" t="s">
        <v>42</v>
      </c>
      <c r="K62" s="152"/>
      <c r="L62" s="152"/>
      <c r="M62" s="152"/>
      <c r="N62" s="152"/>
      <c r="O62" s="152"/>
      <c r="P62" s="1159"/>
      <c r="Q62" s="2091">
        <v>283</v>
      </c>
      <c r="R62" s="2091">
        <v>0</v>
      </c>
      <c r="S62" s="2091">
        <v>-33</v>
      </c>
      <c r="T62" s="2091"/>
      <c r="U62" s="2091">
        <v>1148</v>
      </c>
      <c r="V62" s="2091"/>
      <c r="W62" s="2091"/>
      <c r="X62" s="2091"/>
      <c r="Y62" s="2091"/>
      <c r="Z62" s="2091"/>
      <c r="AA62" s="2091"/>
      <c r="AB62" s="2091"/>
      <c r="AC62" s="145">
        <f>SUM(Q62,R62,S62)</f>
        <v>250</v>
      </c>
      <c r="AD62" s="145">
        <f>SUM(T62,U62,V62)</f>
        <v>1148</v>
      </c>
      <c r="AE62" s="145">
        <f>SUM(W62,X62,Y62)</f>
        <v>0</v>
      </c>
      <c r="AF62" s="145">
        <f>SUM(Z62,AA62,AB62)</f>
        <v>0</v>
      </c>
      <c r="AG62" s="145">
        <f>AC62+AD62</f>
        <v>1398</v>
      </c>
      <c r="AH62" s="145">
        <f>AF62+AE62</f>
        <v>0</v>
      </c>
      <c r="AI62" s="144">
        <f>AG62+AH62</f>
        <v>1398</v>
      </c>
    </row>
    <row r="63" spans="1:35">
      <c r="A63" s="990">
        <v>63</v>
      </c>
      <c r="B63" s="990">
        <v>1</v>
      </c>
      <c r="C63" s="990">
        <v>63</v>
      </c>
      <c r="D63" s="1121" t="s">
        <v>999</v>
      </c>
      <c r="E63" s="1292" t="s">
        <v>1013</v>
      </c>
      <c r="F63" s="1293"/>
      <c r="I63" s="153"/>
      <c r="J63" s="299" t="s">
        <v>1014</v>
      </c>
      <c r="K63" s="152"/>
      <c r="L63" s="152"/>
      <c r="M63" s="152"/>
      <c r="N63" s="152"/>
      <c r="O63" s="152"/>
      <c r="P63" s="1159"/>
      <c r="Q63" s="2091"/>
      <c r="R63" s="2091"/>
      <c r="S63" s="2091"/>
      <c r="T63" s="2091"/>
      <c r="U63" s="2091"/>
      <c r="V63" s="2091"/>
      <c r="W63" s="2091"/>
      <c r="X63" s="2091"/>
      <c r="Y63" s="2091"/>
      <c r="Z63" s="2091"/>
      <c r="AA63" s="2091"/>
      <c r="AB63" s="2091"/>
      <c r="AC63" s="145">
        <f>SUM(Q63,R63,S63)</f>
        <v>0</v>
      </c>
      <c r="AD63" s="145">
        <f>SUM(T63,U63,V63)</f>
        <v>0</v>
      </c>
      <c r="AE63" s="145">
        <f>SUM(W63,X63,Y63)</f>
        <v>0</v>
      </c>
      <c r="AF63" s="145">
        <f>SUM(Z63,AA63,AB63)</f>
        <v>0</v>
      </c>
      <c r="AG63" s="145">
        <f>AG58-AG59-AG60-AG61</f>
        <v>-10003</v>
      </c>
      <c r="AH63" s="145">
        <f>AH58-AH59-AH60-AH61</f>
        <v>-43621</v>
      </c>
      <c r="AI63" s="144">
        <f>AI58-AI59-AI60-AI61</f>
        <v>-53624</v>
      </c>
    </row>
    <row r="64" spans="1:35">
      <c r="A64" s="990">
        <v>1</v>
      </c>
      <c r="B64" s="990">
        <v>1</v>
      </c>
      <c r="C64" s="990">
        <v>64</v>
      </c>
      <c r="D64" s="1121" t="s">
        <v>999</v>
      </c>
      <c r="E64" s="1243">
        <v>1</v>
      </c>
      <c r="I64" s="151"/>
      <c r="J64" s="12" t="s">
        <v>1012</v>
      </c>
      <c r="K64" s="150"/>
      <c r="L64" s="150"/>
      <c r="M64" s="150"/>
      <c r="N64" s="150"/>
      <c r="O64" s="150"/>
      <c r="P64" s="1160"/>
      <c r="Q64" s="107">
        <f>Q59-SUM(Q60:Q63)</f>
        <v>173</v>
      </c>
      <c r="R64" s="107">
        <f t="shared" ref="R64:AB64" si="49">R59-SUM(R60:R63)</f>
        <v>0</v>
      </c>
      <c r="S64" s="107">
        <f t="shared" si="49"/>
        <v>6001</v>
      </c>
      <c r="T64" s="107">
        <f t="shared" si="49"/>
        <v>1984</v>
      </c>
      <c r="U64" s="107">
        <f t="shared" si="49"/>
        <v>447</v>
      </c>
      <c r="V64" s="107">
        <f t="shared" si="49"/>
        <v>0</v>
      </c>
      <c r="W64" s="107">
        <f t="shared" si="49"/>
        <v>623</v>
      </c>
      <c r="X64" s="107">
        <f t="shared" si="49"/>
        <v>269</v>
      </c>
      <c r="Y64" s="107">
        <f t="shared" si="49"/>
        <v>6279</v>
      </c>
      <c r="Z64" s="107">
        <f t="shared" si="49"/>
        <v>15</v>
      </c>
      <c r="AA64" s="107">
        <f t="shared" si="49"/>
        <v>385</v>
      </c>
      <c r="AB64" s="107">
        <f t="shared" si="49"/>
        <v>36050</v>
      </c>
      <c r="AC64" s="145">
        <f t="shared" ref="AC64:AI64" si="50">AC59-SUM(AC60:AC63)</f>
        <v>6174</v>
      </c>
      <c r="AD64" s="145">
        <f t="shared" si="50"/>
        <v>2431</v>
      </c>
      <c r="AE64" s="145">
        <f t="shared" si="50"/>
        <v>7171</v>
      </c>
      <c r="AF64" s="145">
        <f t="shared" si="50"/>
        <v>36450</v>
      </c>
      <c r="AG64" s="145">
        <f t="shared" si="50"/>
        <v>18608</v>
      </c>
      <c r="AH64" s="145">
        <f t="shared" si="50"/>
        <v>87242</v>
      </c>
      <c r="AI64" s="144">
        <f t="shared" si="50"/>
        <v>105850</v>
      </c>
    </row>
    <row r="65" spans="1:35">
      <c r="A65" s="990">
        <v>64</v>
      </c>
      <c r="B65" s="990">
        <v>1</v>
      </c>
      <c r="C65" s="990">
        <v>65</v>
      </c>
      <c r="D65" s="1121" t="s">
        <v>999</v>
      </c>
      <c r="E65" s="1243">
        <v>1</v>
      </c>
      <c r="I65" s="305" t="s">
        <v>1015</v>
      </c>
      <c r="J65" s="303"/>
      <c r="K65" s="781"/>
      <c r="L65" s="781"/>
      <c r="M65" s="303"/>
      <c r="N65" s="303"/>
      <c r="O65" s="303"/>
      <c r="P65" s="304"/>
      <c r="Q65" s="2058">
        <f>Q24</f>
        <v>0</v>
      </c>
      <c r="R65" s="2058">
        <f t="shared" ref="R65:AB65" si="51">R24</f>
        <v>0</v>
      </c>
      <c r="S65" s="2058">
        <f t="shared" si="51"/>
        <v>0</v>
      </c>
      <c r="T65" s="2058">
        <f t="shared" si="51"/>
        <v>635</v>
      </c>
      <c r="U65" s="2058">
        <f t="shared" si="51"/>
        <v>0</v>
      </c>
      <c r="V65" s="2058">
        <f t="shared" si="51"/>
        <v>422</v>
      </c>
      <c r="W65" s="2058">
        <f t="shared" si="51"/>
        <v>0</v>
      </c>
      <c r="X65" s="2058">
        <f t="shared" si="51"/>
        <v>0</v>
      </c>
      <c r="Y65" s="2058">
        <f t="shared" si="51"/>
        <v>0</v>
      </c>
      <c r="Z65" s="2058">
        <f t="shared" si="51"/>
        <v>0</v>
      </c>
      <c r="AA65" s="2058">
        <f t="shared" si="51"/>
        <v>0</v>
      </c>
      <c r="AB65" s="2058">
        <f t="shared" si="51"/>
        <v>0</v>
      </c>
      <c r="AC65" s="2115">
        <f t="shared" ref="AC65:AI65" si="52">AC24</f>
        <v>0</v>
      </c>
      <c r="AD65" s="2115">
        <f t="shared" si="52"/>
        <v>1057</v>
      </c>
      <c r="AE65" s="2115">
        <f t="shared" si="52"/>
        <v>0</v>
      </c>
      <c r="AF65" s="2115">
        <f t="shared" si="52"/>
        <v>0</v>
      </c>
      <c r="AG65" s="2115">
        <f t="shared" si="52"/>
        <v>1057</v>
      </c>
      <c r="AH65" s="2115">
        <f t="shared" si="52"/>
        <v>0</v>
      </c>
      <c r="AI65" s="2481">
        <f t="shared" si="52"/>
        <v>1057</v>
      </c>
    </row>
    <row r="66" spans="1:35">
      <c r="A66" s="990">
        <v>65</v>
      </c>
      <c r="B66" s="990">
        <v>1</v>
      </c>
      <c r="C66" s="990">
        <v>66</v>
      </c>
      <c r="D66" s="1121" t="s">
        <v>999</v>
      </c>
      <c r="E66" s="1243">
        <v>1</v>
      </c>
      <c r="I66" s="146"/>
      <c r="J66" s="9" t="s">
        <v>1016</v>
      </c>
      <c r="P66" s="86"/>
      <c r="Q66" s="2091"/>
      <c r="R66" s="2091"/>
      <c r="S66" s="2091"/>
      <c r="T66" s="2091">
        <v>635</v>
      </c>
      <c r="U66" s="2091"/>
      <c r="V66" s="2091">
        <v>763</v>
      </c>
      <c r="W66" s="2091"/>
      <c r="X66" s="2091"/>
      <c r="Y66" s="2091"/>
      <c r="Z66" s="2091"/>
      <c r="AA66" s="2091"/>
      <c r="AB66" s="2091"/>
      <c r="AC66" s="145">
        <f>SUM(Q66,R66,S66)</f>
        <v>0</v>
      </c>
      <c r="AD66" s="145">
        <f>SUM(T66,U66,V66)</f>
        <v>1398</v>
      </c>
      <c r="AE66" s="145">
        <f>SUM(W66,X66,Y66)</f>
        <v>0</v>
      </c>
      <c r="AF66" s="145">
        <f>SUM(Z66,AA66,AB66)</f>
        <v>0</v>
      </c>
      <c r="AG66" s="145">
        <f>AC66+AD66</f>
        <v>1398</v>
      </c>
      <c r="AH66" s="145">
        <f>AF66+AE66</f>
        <v>0</v>
      </c>
      <c r="AI66" s="144">
        <f>AG66+AH66</f>
        <v>1398</v>
      </c>
    </row>
    <row r="67" spans="1:35">
      <c r="A67" s="990">
        <v>66</v>
      </c>
      <c r="B67" s="990">
        <v>1</v>
      </c>
      <c r="C67" s="990">
        <v>67</v>
      </c>
      <c r="D67" s="1121" t="s">
        <v>999</v>
      </c>
      <c r="E67" s="1243">
        <v>1</v>
      </c>
      <c r="I67" s="146"/>
      <c r="J67" s="9" t="s">
        <v>43</v>
      </c>
      <c r="P67" s="86"/>
      <c r="Q67" s="2091"/>
      <c r="R67" s="2091"/>
      <c r="S67" s="2091"/>
      <c r="T67" s="2091"/>
      <c r="U67" s="2091"/>
      <c r="V67" s="2091"/>
      <c r="W67" s="2091"/>
      <c r="X67" s="2091"/>
      <c r="Y67" s="2091"/>
      <c r="Z67" s="2091"/>
      <c r="AA67" s="2091"/>
      <c r="AB67" s="2091"/>
      <c r="AC67" s="145">
        <f>SUM(Q67,R67,S67)</f>
        <v>0</v>
      </c>
      <c r="AD67" s="145">
        <f>SUM(T67,U67,V67)</f>
        <v>0</v>
      </c>
      <c r="AE67" s="145">
        <f>SUM(W67,X67,Y67)</f>
        <v>0</v>
      </c>
      <c r="AF67" s="145">
        <f>SUM(Z67,AA67,AB67)</f>
        <v>0</v>
      </c>
      <c r="AG67" s="145">
        <f>AC67+AD67</f>
        <v>0</v>
      </c>
      <c r="AH67" s="145">
        <f>AF67+AE67</f>
        <v>0</v>
      </c>
      <c r="AI67" s="144">
        <f>AG67+AH67</f>
        <v>0</v>
      </c>
    </row>
    <row r="68" spans="1:35">
      <c r="A68" s="990">
        <v>67</v>
      </c>
      <c r="B68" s="990">
        <v>1</v>
      </c>
      <c r="C68" s="990">
        <v>68</v>
      </c>
      <c r="D68" s="1121" t="s">
        <v>999</v>
      </c>
      <c r="E68" s="1243">
        <v>1</v>
      </c>
      <c r="I68" s="146"/>
      <c r="J68" s="9" t="s">
        <v>1017</v>
      </c>
      <c r="P68" s="86"/>
      <c r="Q68" s="2091"/>
      <c r="R68" s="2091"/>
      <c r="S68" s="2091"/>
      <c r="T68" s="2091"/>
      <c r="U68" s="2091"/>
      <c r="V68" s="2091"/>
      <c r="W68" s="2091"/>
      <c r="X68" s="2091"/>
      <c r="Y68" s="2091"/>
      <c r="Z68" s="2091"/>
      <c r="AA68" s="2091"/>
      <c r="AB68" s="2091"/>
      <c r="AC68" s="145">
        <f>SUM(Q68,R68,S68)</f>
        <v>0</v>
      </c>
      <c r="AD68" s="145">
        <f>SUM(T68,U68,V68)</f>
        <v>0</v>
      </c>
      <c r="AE68" s="145">
        <f>SUM(W68,X68,Y68)</f>
        <v>0</v>
      </c>
      <c r="AF68" s="145">
        <f>SUM(Z68,AA68,AB68)</f>
        <v>0</v>
      </c>
      <c r="AG68" s="145">
        <f>AC68+AD68</f>
        <v>0</v>
      </c>
      <c r="AH68" s="145">
        <f>AF68+AE68</f>
        <v>0</v>
      </c>
      <c r="AI68" s="144">
        <f>AG68+AH68</f>
        <v>0</v>
      </c>
    </row>
    <row r="69" spans="1:35">
      <c r="A69" s="990">
        <v>1</v>
      </c>
      <c r="B69" s="990">
        <v>1</v>
      </c>
      <c r="C69" s="990">
        <v>69</v>
      </c>
      <c r="D69" s="1121" t="s">
        <v>999</v>
      </c>
      <c r="E69" s="1292" t="s">
        <v>1013</v>
      </c>
      <c r="F69" s="1293"/>
      <c r="I69" s="146"/>
      <c r="J69" s="299" t="s">
        <v>1018</v>
      </c>
      <c r="P69" s="86"/>
      <c r="Q69" s="2091"/>
      <c r="R69" s="2091"/>
      <c r="S69" s="2091"/>
      <c r="T69" s="2091"/>
      <c r="U69" s="2091"/>
      <c r="V69" s="2091"/>
      <c r="W69" s="2091"/>
      <c r="X69" s="2091"/>
      <c r="Y69" s="2091"/>
      <c r="Z69" s="2091"/>
      <c r="AA69" s="2091"/>
      <c r="AB69" s="2091"/>
      <c r="AC69" s="145">
        <f>SUM(Q69,R69,S69)</f>
        <v>0</v>
      </c>
      <c r="AD69" s="145">
        <f>SUM(T69,U69,V69)</f>
        <v>0</v>
      </c>
      <c r="AE69" s="145">
        <f>SUM(W69,X69,Y69)</f>
        <v>0</v>
      </c>
      <c r="AF69" s="145">
        <f>SUM(Z69,AA69,AB69)</f>
        <v>0</v>
      </c>
      <c r="AG69" s="145">
        <f>AC69+AD69</f>
        <v>0</v>
      </c>
      <c r="AH69" s="145">
        <f>AF69+AE69</f>
        <v>0</v>
      </c>
      <c r="AI69" s="144">
        <f>AG69+AH69</f>
        <v>0</v>
      </c>
    </row>
    <row r="70" spans="1:35">
      <c r="A70" s="990">
        <v>68</v>
      </c>
      <c r="B70" s="990">
        <v>1</v>
      </c>
      <c r="C70" s="990">
        <v>70</v>
      </c>
      <c r="D70" s="1121" t="s">
        <v>999</v>
      </c>
      <c r="E70" s="1243">
        <v>1</v>
      </c>
      <c r="I70" s="143"/>
      <c r="J70" s="12" t="s">
        <v>1015</v>
      </c>
      <c r="K70" s="18"/>
      <c r="L70" s="18"/>
      <c r="M70" s="12"/>
      <c r="N70" s="12"/>
      <c r="O70" s="12"/>
      <c r="P70" s="85"/>
      <c r="Q70" s="113">
        <f t="shared" ref="Q70:AB70" si="53">Q65-SUM(Q66:Q69)</f>
        <v>0</v>
      </c>
      <c r="R70" s="113">
        <f t="shared" si="53"/>
        <v>0</v>
      </c>
      <c r="S70" s="113">
        <f t="shared" si="53"/>
        <v>0</v>
      </c>
      <c r="T70" s="113">
        <f t="shared" si="53"/>
        <v>0</v>
      </c>
      <c r="U70" s="113">
        <f t="shared" si="53"/>
        <v>0</v>
      </c>
      <c r="V70" s="113">
        <f t="shared" si="53"/>
        <v>-341</v>
      </c>
      <c r="W70" s="113">
        <f t="shared" si="53"/>
        <v>0</v>
      </c>
      <c r="X70" s="113">
        <f t="shared" si="53"/>
        <v>0</v>
      </c>
      <c r="Y70" s="113">
        <f t="shared" si="53"/>
        <v>0</v>
      </c>
      <c r="Z70" s="113">
        <f t="shared" si="53"/>
        <v>0</v>
      </c>
      <c r="AA70" s="113">
        <f t="shared" si="53"/>
        <v>0</v>
      </c>
      <c r="AB70" s="113">
        <f t="shared" si="53"/>
        <v>0</v>
      </c>
      <c r="AC70" s="142">
        <f t="shared" ref="AC70:AI70" si="54">AC65-SUM(AC66:AC69)</f>
        <v>0</v>
      </c>
      <c r="AD70" s="142">
        <f t="shared" si="54"/>
        <v>-341</v>
      </c>
      <c r="AE70" s="142">
        <f t="shared" si="54"/>
        <v>0</v>
      </c>
      <c r="AF70" s="142">
        <f t="shared" si="54"/>
        <v>0</v>
      </c>
      <c r="AG70" s="142">
        <f t="shared" si="54"/>
        <v>-341</v>
      </c>
      <c r="AH70" s="142">
        <f t="shared" si="54"/>
        <v>0</v>
      </c>
      <c r="AI70" s="141">
        <f t="shared" si="54"/>
        <v>-341</v>
      </c>
    </row>
    <row r="71" spans="1:35">
      <c r="A71" s="990">
        <v>69</v>
      </c>
      <c r="B71" s="990">
        <v>1</v>
      </c>
      <c r="C71" s="990">
        <v>71</v>
      </c>
      <c r="D71" s="1121" t="s">
        <v>999</v>
      </c>
      <c r="E71" s="1243">
        <v>1</v>
      </c>
      <c r="Z71" s="163"/>
      <c r="AA71" s="163"/>
      <c r="AB71" s="163"/>
      <c r="AC71" s="163"/>
      <c r="AD71" s="163"/>
      <c r="AE71" s="163"/>
      <c r="AF71" s="163"/>
      <c r="AG71" s="163"/>
      <c r="AH71" s="163"/>
      <c r="AI71" s="868"/>
    </row>
    <row r="72" spans="1:35" ht="18">
      <c r="A72" s="990">
        <v>70</v>
      </c>
      <c r="B72" s="990">
        <v>1</v>
      </c>
      <c r="C72" s="990">
        <v>72</v>
      </c>
      <c r="D72" s="1121" t="s">
        <v>999</v>
      </c>
      <c r="E72" s="1243">
        <v>1</v>
      </c>
      <c r="F72" s="313" t="s">
        <v>1019</v>
      </c>
      <c r="G72" s="313"/>
      <c r="H72" s="14"/>
      <c r="AA72" s="1"/>
      <c r="AB72" s="1"/>
      <c r="AC72" s="1"/>
      <c r="AD72" s="1"/>
      <c r="AE72" s="1"/>
      <c r="AF72" s="1"/>
      <c r="AG72" s="1"/>
      <c r="AH72" s="1"/>
      <c r="AI72" s="1"/>
    </row>
    <row r="73" spans="1:35" ht="15.5">
      <c r="A73" s="990">
        <v>71</v>
      </c>
      <c r="B73" s="990">
        <v>1</v>
      </c>
      <c r="C73" s="990">
        <v>73</v>
      </c>
      <c r="D73" s="1121" t="s">
        <v>999</v>
      </c>
      <c r="E73" s="1243">
        <v>1</v>
      </c>
      <c r="F73" s="9"/>
      <c r="G73" s="460" t="s">
        <v>1020</v>
      </c>
      <c r="I73" s="39"/>
      <c r="J73" s="40"/>
      <c r="K73" s="39"/>
      <c r="L73" s="39"/>
      <c r="M73" s="40"/>
      <c r="N73" s="67"/>
      <c r="O73" s="40"/>
      <c r="P73" s="40"/>
      <c r="Q73" s="1151"/>
      <c r="R73" s="1151"/>
      <c r="S73" s="1151"/>
      <c r="T73" s="1151"/>
      <c r="U73" s="1151"/>
      <c r="V73" s="1151"/>
      <c r="AG73" s="186"/>
      <c r="AH73" s="186"/>
      <c r="AI73" s="186"/>
    </row>
    <row r="74" spans="1:35">
      <c r="A74" s="990">
        <v>72</v>
      </c>
      <c r="B74" s="990">
        <v>1</v>
      </c>
      <c r="C74" s="990">
        <v>74</v>
      </c>
      <c r="D74" s="1121" t="s">
        <v>999</v>
      </c>
      <c r="E74" s="1243">
        <v>1</v>
      </c>
      <c r="F74" s="5"/>
      <c r="G74" s="5"/>
      <c r="H74" s="5" t="s">
        <v>98</v>
      </c>
      <c r="I74" s="5"/>
      <c r="J74" s="4"/>
      <c r="K74" s="5"/>
      <c r="L74" s="4"/>
      <c r="M74" s="4"/>
      <c r="N74" s="4"/>
      <c r="O74" s="4"/>
      <c r="P74" s="4"/>
      <c r="Q74" s="1151"/>
      <c r="R74" s="1151"/>
      <c r="S74" s="1151"/>
      <c r="T74" s="1151"/>
      <c r="U74" s="1151"/>
      <c r="V74" s="1151"/>
      <c r="AA74" s="1"/>
      <c r="AB74" s="1"/>
      <c r="AC74" s="1"/>
      <c r="AD74" s="1"/>
      <c r="AE74" s="1"/>
      <c r="AF74" s="1"/>
      <c r="AG74" s="1"/>
      <c r="AH74" s="1"/>
      <c r="AI74" s="1"/>
    </row>
    <row r="75" spans="1:35">
      <c r="A75" s="990">
        <v>73</v>
      </c>
      <c r="B75" s="990">
        <v>1</v>
      </c>
      <c r="C75" s="990">
        <v>75</v>
      </c>
      <c r="D75" s="1121" t="s">
        <v>999</v>
      </c>
      <c r="E75" s="1243">
        <v>1</v>
      </c>
      <c r="F75" s="93"/>
      <c r="G75" s="93"/>
      <c r="H75" s="14"/>
      <c r="I75" s="258"/>
      <c r="J75" s="555"/>
      <c r="K75" s="636"/>
      <c r="L75" s="636"/>
      <c r="M75" s="555"/>
      <c r="N75" s="555"/>
      <c r="O75" s="555"/>
      <c r="P75" s="1152"/>
      <c r="Q75" s="2175">
        <f>Q$10</f>
        <v>43922</v>
      </c>
      <c r="R75" s="2175">
        <f t="shared" ref="R75:AB75" si="55">R$10</f>
        <v>43952</v>
      </c>
      <c r="S75" s="2175">
        <f t="shared" si="55"/>
        <v>43983</v>
      </c>
      <c r="T75" s="2175">
        <f t="shared" si="55"/>
        <v>44013</v>
      </c>
      <c r="U75" s="2175">
        <f t="shared" si="55"/>
        <v>44044</v>
      </c>
      <c r="V75" s="2175">
        <f t="shared" si="55"/>
        <v>44075</v>
      </c>
      <c r="W75" s="2175">
        <f t="shared" si="55"/>
        <v>44105</v>
      </c>
      <c r="X75" s="2175">
        <f t="shared" si="55"/>
        <v>44136</v>
      </c>
      <c r="Y75" s="2175">
        <f t="shared" si="55"/>
        <v>44166</v>
      </c>
      <c r="Z75" s="2175">
        <f t="shared" si="55"/>
        <v>44197</v>
      </c>
      <c r="AA75" s="2175">
        <f t="shared" si="55"/>
        <v>44228</v>
      </c>
      <c r="AB75" s="2175">
        <f t="shared" si="55"/>
        <v>44256</v>
      </c>
      <c r="AC75" s="2591" t="str">
        <f t="shared" ref="AC75:AI75" si="56">AC$10</f>
        <v>Q1</v>
      </c>
      <c r="AD75" s="2591" t="str">
        <f t="shared" si="56"/>
        <v>Q2</v>
      </c>
      <c r="AE75" s="2591" t="str">
        <f t="shared" si="56"/>
        <v>Q3</v>
      </c>
      <c r="AF75" s="2591" t="str">
        <f t="shared" si="56"/>
        <v>Q4</v>
      </c>
      <c r="AG75" s="2591" t="str">
        <f t="shared" si="56"/>
        <v>1st H</v>
      </c>
      <c r="AH75" s="2591" t="str">
        <f t="shared" si="56"/>
        <v>2nd H</v>
      </c>
      <c r="AI75" s="2591" t="str">
        <f t="shared" si="56"/>
        <v>Yr.</v>
      </c>
    </row>
    <row r="76" spans="1:35" ht="14.5">
      <c r="A76" s="990">
        <v>74</v>
      </c>
      <c r="B76" s="990">
        <v>1</v>
      </c>
      <c r="C76" s="990">
        <v>76</v>
      </c>
      <c r="D76" s="1121" t="s">
        <v>999</v>
      </c>
      <c r="E76" s="1243">
        <v>1</v>
      </c>
      <c r="F76" s="5"/>
      <c r="G76" s="5"/>
      <c r="H76" s="5"/>
      <c r="I76" s="1161" t="s">
        <v>9</v>
      </c>
      <c r="J76" s="787"/>
      <c r="K76" s="1162"/>
      <c r="L76" s="1162"/>
      <c r="M76" s="1162"/>
      <c r="N76" s="1162"/>
      <c r="O76" s="1163" t="s">
        <v>530</v>
      </c>
      <c r="P76" s="1164"/>
      <c r="Q76" s="137">
        <f>SUM(Q77:Q79)</f>
        <v>149052</v>
      </c>
      <c r="R76" s="137">
        <f t="shared" ref="R76:AB76" si="57">SUM(R77:R79)</f>
        <v>75043</v>
      </c>
      <c r="S76" s="137">
        <f t="shared" si="57"/>
        <v>125222</v>
      </c>
      <c r="T76" s="137">
        <f t="shared" si="57"/>
        <v>161075</v>
      </c>
      <c r="U76" s="137">
        <f t="shared" si="57"/>
        <v>186018</v>
      </c>
      <c r="V76" s="137">
        <f t="shared" si="57"/>
        <v>262197</v>
      </c>
      <c r="W76" s="137">
        <f t="shared" si="57"/>
        <v>162787</v>
      </c>
      <c r="X76" s="137">
        <f t="shared" si="57"/>
        <v>203003</v>
      </c>
      <c r="Y76" s="137">
        <f t="shared" si="57"/>
        <v>247797</v>
      </c>
      <c r="Z76" s="137">
        <f t="shared" si="57"/>
        <v>167946</v>
      </c>
      <c r="AA76" s="137">
        <f t="shared" si="57"/>
        <v>170946</v>
      </c>
      <c r="AB76" s="137">
        <f t="shared" si="57"/>
        <v>241345</v>
      </c>
      <c r="AC76" s="137">
        <f t="shared" ref="AC76:AC83" si="58">SUM(Q76,R76,S76)</f>
        <v>349317</v>
      </c>
      <c r="AD76" s="137">
        <f t="shared" ref="AD76:AD83" si="59">SUM(T76,U76,V76)</f>
        <v>609290</v>
      </c>
      <c r="AE76" s="137">
        <f t="shared" ref="AE76:AE83" si="60">SUM(W76,X76,Y76)</f>
        <v>613587</v>
      </c>
      <c r="AF76" s="137">
        <f t="shared" ref="AF76:AF83" si="61">SUM(Z76,AA76,AB76)</f>
        <v>580237</v>
      </c>
      <c r="AG76" s="137">
        <f t="shared" ref="AG76:AI76" si="62">SUM(AG77:AG79)</f>
        <v>958607</v>
      </c>
      <c r="AH76" s="137">
        <f t="shared" si="62"/>
        <v>1193824</v>
      </c>
      <c r="AI76" s="137">
        <f t="shared" si="62"/>
        <v>2152431</v>
      </c>
    </row>
    <row r="77" spans="1:35">
      <c r="A77" s="990">
        <v>75</v>
      </c>
      <c r="B77" s="990">
        <v>1</v>
      </c>
      <c r="C77" s="990">
        <v>77</v>
      </c>
      <c r="D77" s="1121" t="s">
        <v>999</v>
      </c>
      <c r="E77" s="1243">
        <v>1</v>
      </c>
      <c r="F77" s="5"/>
      <c r="G77" s="5"/>
      <c r="H77" s="5"/>
      <c r="I77" s="30"/>
      <c r="J77" s="4"/>
      <c r="K77" s="5"/>
      <c r="L77" s="5"/>
      <c r="M77" s="4" t="s">
        <v>137</v>
      </c>
      <c r="N77" s="4"/>
      <c r="O77" s="4"/>
      <c r="P77" s="29"/>
      <c r="Q77" s="89">
        <f>Q405+Q421</f>
        <v>95114</v>
      </c>
      <c r="R77" s="89">
        <f t="shared" ref="R77:AB77" si="63">R405+R421</f>
        <v>48907</v>
      </c>
      <c r="S77" s="89">
        <f t="shared" si="63"/>
        <v>81276</v>
      </c>
      <c r="T77" s="89">
        <f t="shared" si="63"/>
        <v>101876</v>
      </c>
      <c r="U77" s="89">
        <f t="shared" si="63"/>
        <v>123141</v>
      </c>
      <c r="V77" s="89">
        <f t="shared" si="63"/>
        <v>180890</v>
      </c>
      <c r="W77" s="89">
        <f t="shared" si="63"/>
        <v>95284</v>
      </c>
      <c r="X77" s="89">
        <f t="shared" si="63"/>
        <v>141284</v>
      </c>
      <c r="Y77" s="89">
        <f t="shared" si="63"/>
        <v>159840</v>
      </c>
      <c r="Z77" s="89">
        <f t="shared" si="63"/>
        <v>108942</v>
      </c>
      <c r="AA77" s="89">
        <f t="shared" si="63"/>
        <v>103171</v>
      </c>
      <c r="AB77" s="89">
        <f t="shared" si="63"/>
        <v>183181</v>
      </c>
      <c r="AC77" s="89">
        <f t="shared" si="58"/>
        <v>225297</v>
      </c>
      <c r="AD77" s="89">
        <f t="shared" si="59"/>
        <v>405907</v>
      </c>
      <c r="AE77" s="89">
        <f t="shared" si="60"/>
        <v>396408</v>
      </c>
      <c r="AF77" s="89">
        <f t="shared" si="61"/>
        <v>395294</v>
      </c>
      <c r="AG77" s="89">
        <f>AC77+AD77</f>
        <v>631204</v>
      </c>
      <c r="AH77" s="89">
        <f>AF77+AE77</f>
        <v>791702</v>
      </c>
      <c r="AI77" s="89">
        <f>AG77+AH77</f>
        <v>1422906</v>
      </c>
    </row>
    <row r="78" spans="1:35">
      <c r="A78" s="990">
        <v>76</v>
      </c>
      <c r="B78" s="990">
        <v>1</v>
      </c>
      <c r="C78" s="990">
        <v>78</v>
      </c>
      <c r="D78" s="1121" t="s">
        <v>999</v>
      </c>
      <c r="E78" s="1243">
        <v>1</v>
      </c>
      <c r="F78" s="5"/>
      <c r="G78" s="5"/>
      <c r="H78" s="5"/>
      <c r="I78" s="30"/>
      <c r="J78" s="4"/>
      <c r="K78" s="5"/>
      <c r="L78" s="5"/>
      <c r="M78" s="4" t="s">
        <v>95</v>
      </c>
      <c r="N78" s="4"/>
      <c r="O78" s="4"/>
      <c r="P78" s="29"/>
      <c r="Q78" s="89">
        <f>Q410+Q426</f>
        <v>53938</v>
      </c>
      <c r="R78" s="89">
        <f t="shared" ref="R78:AB78" si="64">R410+R426</f>
        <v>26136</v>
      </c>
      <c r="S78" s="89">
        <f t="shared" si="64"/>
        <v>43946</v>
      </c>
      <c r="T78" s="89">
        <f t="shared" si="64"/>
        <v>59199</v>
      </c>
      <c r="U78" s="89">
        <f t="shared" si="64"/>
        <v>62877</v>
      </c>
      <c r="V78" s="89">
        <f t="shared" si="64"/>
        <v>81307</v>
      </c>
      <c r="W78" s="89">
        <f t="shared" si="64"/>
        <v>67503</v>
      </c>
      <c r="X78" s="89">
        <f t="shared" si="64"/>
        <v>61719</v>
      </c>
      <c r="Y78" s="89">
        <f t="shared" si="64"/>
        <v>87957</v>
      </c>
      <c r="Z78" s="89">
        <f t="shared" si="64"/>
        <v>59004</v>
      </c>
      <c r="AA78" s="89">
        <f t="shared" si="64"/>
        <v>67775</v>
      </c>
      <c r="AB78" s="89">
        <f t="shared" si="64"/>
        <v>58164</v>
      </c>
      <c r="AC78" s="89">
        <f t="shared" si="58"/>
        <v>124020</v>
      </c>
      <c r="AD78" s="89">
        <f t="shared" si="59"/>
        <v>203383</v>
      </c>
      <c r="AE78" s="89">
        <f t="shared" si="60"/>
        <v>217179</v>
      </c>
      <c r="AF78" s="89">
        <f t="shared" si="61"/>
        <v>184943</v>
      </c>
      <c r="AG78" s="89">
        <f>AC78+AD78</f>
        <v>327403</v>
      </c>
      <c r="AH78" s="89">
        <f>AF78+AE78</f>
        <v>402122</v>
      </c>
      <c r="AI78" s="89">
        <f>AG78+AH78</f>
        <v>729525</v>
      </c>
    </row>
    <row r="79" spans="1:35">
      <c r="A79" s="990">
        <v>77</v>
      </c>
      <c r="B79" s="990">
        <v>1</v>
      </c>
      <c r="C79" s="990">
        <v>79</v>
      </c>
      <c r="D79" s="1121" t="s">
        <v>999</v>
      </c>
      <c r="E79" s="1243">
        <v>1</v>
      </c>
      <c r="F79" s="5"/>
      <c r="G79" s="5"/>
      <c r="H79" s="5"/>
      <c r="I79" s="30"/>
      <c r="J79" s="4"/>
      <c r="K79" s="5"/>
      <c r="L79" s="5"/>
      <c r="M79" s="4" t="s">
        <v>11</v>
      </c>
      <c r="N79" s="4"/>
      <c r="O79" s="4"/>
      <c r="P79" s="29"/>
      <c r="Q79" s="89">
        <f>Q419+Q435</f>
        <v>0</v>
      </c>
      <c r="R79" s="89">
        <f t="shared" ref="R79:AB79" si="65">R419+R435</f>
        <v>0</v>
      </c>
      <c r="S79" s="89">
        <f t="shared" si="65"/>
        <v>0</v>
      </c>
      <c r="T79" s="89">
        <f t="shared" si="65"/>
        <v>0</v>
      </c>
      <c r="U79" s="89">
        <f t="shared" si="65"/>
        <v>0</v>
      </c>
      <c r="V79" s="89">
        <f t="shared" si="65"/>
        <v>0</v>
      </c>
      <c r="W79" s="89">
        <f t="shared" si="65"/>
        <v>0</v>
      </c>
      <c r="X79" s="89">
        <f t="shared" si="65"/>
        <v>0</v>
      </c>
      <c r="Y79" s="89">
        <f t="shared" si="65"/>
        <v>0</v>
      </c>
      <c r="Z79" s="89">
        <f t="shared" si="65"/>
        <v>0</v>
      </c>
      <c r="AA79" s="89">
        <f t="shared" si="65"/>
        <v>0</v>
      </c>
      <c r="AB79" s="89">
        <f t="shared" si="65"/>
        <v>0</v>
      </c>
      <c r="AC79" s="89">
        <f t="shared" si="58"/>
        <v>0</v>
      </c>
      <c r="AD79" s="89">
        <f t="shared" si="59"/>
        <v>0</v>
      </c>
      <c r="AE79" s="89">
        <f t="shared" si="60"/>
        <v>0</v>
      </c>
      <c r="AF79" s="89">
        <f t="shared" si="61"/>
        <v>0</v>
      </c>
      <c r="AG79" s="89">
        <f>AC79+AD79</f>
        <v>0</v>
      </c>
      <c r="AH79" s="89">
        <f>AF79+AE79</f>
        <v>0</v>
      </c>
      <c r="AI79" s="89">
        <f>AG79+AH79</f>
        <v>0</v>
      </c>
    </row>
    <row r="80" spans="1:35" ht="14.5">
      <c r="A80" s="990">
        <v>78</v>
      </c>
      <c r="B80" s="990">
        <v>1</v>
      </c>
      <c r="C80" s="990">
        <v>80</v>
      </c>
      <c r="D80" s="1121" t="s">
        <v>999</v>
      </c>
      <c r="E80" s="1243">
        <v>1</v>
      </c>
      <c r="F80" s="5"/>
      <c r="G80" s="5"/>
      <c r="H80" s="5"/>
      <c r="I80" s="1161" t="s">
        <v>128</v>
      </c>
      <c r="J80" s="787"/>
      <c r="K80" s="1162"/>
      <c r="L80" s="1162"/>
      <c r="M80" s="1162"/>
      <c r="N80" s="1162"/>
      <c r="O80" s="1163" t="s">
        <v>532</v>
      </c>
      <c r="P80" s="1164"/>
      <c r="Q80" s="137">
        <f>SUM(Q81:Q83)</f>
        <v>149052</v>
      </c>
      <c r="R80" s="137">
        <f t="shared" ref="R80:AB80" si="66">SUM(R81:R83)</f>
        <v>75043</v>
      </c>
      <c r="S80" s="137">
        <f t="shared" si="66"/>
        <v>125222</v>
      </c>
      <c r="T80" s="137">
        <f t="shared" si="66"/>
        <v>161075</v>
      </c>
      <c r="U80" s="137">
        <f t="shared" si="66"/>
        <v>186018</v>
      </c>
      <c r="V80" s="137">
        <f t="shared" si="66"/>
        <v>262197</v>
      </c>
      <c r="W80" s="137">
        <f t="shared" si="66"/>
        <v>162787</v>
      </c>
      <c r="X80" s="137">
        <f t="shared" si="66"/>
        <v>203003</v>
      </c>
      <c r="Y80" s="137">
        <f t="shared" si="66"/>
        <v>247797</v>
      </c>
      <c r="Z80" s="137">
        <f t="shared" si="66"/>
        <v>167946</v>
      </c>
      <c r="AA80" s="137">
        <f t="shared" si="66"/>
        <v>170946</v>
      </c>
      <c r="AB80" s="137">
        <f t="shared" si="66"/>
        <v>241345</v>
      </c>
      <c r="AC80" s="137">
        <f t="shared" si="58"/>
        <v>349317</v>
      </c>
      <c r="AD80" s="137">
        <f t="shared" si="59"/>
        <v>609290</v>
      </c>
      <c r="AE80" s="137">
        <f t="shared" si="60"/>
        <v>613587</v>
      </c>
      <c r="AF80" s="137">
        <f t="shared" si="61"/>
        <v>580237</v>
      </c>
      <c r="AG80" s="137">
        <f t="shared" ref="AG80:AI80" si="67">SUM(AG81:AG83)</f>
        <v>958607</v>
      </c>
      <c r="AH80" s="137">
        <f t="shared" si="67"/>
        <v>1193824</v>
      </c>
      <c r="AI80" s="137">
        <f t="shared" si="67"/>
        <v>2152431</v>
      </c>
    </row>
    <row r="81" spans="1:35">
      <c r="A81" s="990">
        <v>79</v>
      </c>
      <c r="B81" s="990">
        <v>1</v>
      </c>
      <c r="C81" s="990">
        <v>81</v>
      </c>
      <c r="D81" s="1121" t="s">
        <v>999</v>
      </c>
      <c r="E81" s="1243">
        <v>1</v>
      </c>
      <c r="F81" s="5"/>
      <c r="G81" s="5"/>
      <c r="H81" s="5"/>
      <c r="I81" s="30"/>
      <c r="J81" s="4"/>
      <c r="K81" s="5"/>
      <c r="L81" s="5"/>
      <c r="M81" s="4" t="s">
        <v>137</v>
      </c>
      <c r="N81" s="4"/>
      <c r="O81" s="4"/>
      <c r="P81" s="29"/>
      <c r="Q81" s="2039">
        <v>95114</v>
      </c>
      <c r="R81" s="2039">
        <v>48907</v>
      </c>
      <c r="S81" s="2039">
        <v>81276</v>
      </c>
      <c r="T81" s="2039">
        <v>101876</v>
      </c>
      <c r="U81" s="2039">
        <v>123141</v>
      </c>
      <c r="V81" s="2039">
        <v>180890</v>
      </c>
      <c r="W81" s="2039">
        <v>95284</v>
      </c>
      <c r="X81" s="2039">
        <v>141284</v>
      </c>
      <c r="Y81" s="2039">
        <v>159840</v>
      </c>
      <c r="Z81" s="2039">
        <v>108942</v>
      </c>
      <c r="AA81" s="2039">
        <v>103171</v>
      </c>
      <c r="AB81" s="2039">
        <v>183181</v>
      </c>
      <c r="AC81" s="89">
        <f t="shared" si="58"/>
        <v>225297</v>
      </c>
      <c r="AD81" s="89">
        <f t="shared" si="59"/>
        <v>405907</v>
      </c>
      <c r="AE81" s="89">
        <f t="shared" si="60"/>
        <v>396408</v>
      </c>
      <c r="AF81" s="89">
        <f t="shared" si="61"/>
        <v>395294</v>
      </c>
      <c r="AG81" s="89">
        <f>AC81+AD81</f>
        <v>631204</v>
      </c>
      <c r="AH81" s="89">
        <f>AF81+AE81</f>
        <v>791702</v>
      </c>
      <c r="AI81" s="89">
        <f>AG81+AH81</f>
        <v>1422906</v>
      </c>
    </row>
    <row r="82" spans="1:35">
      <c r="A82" s="990">
        <v>80</v>
      </c>
      <c r="B82" s="990">
        <v>1</v>
      </c>
      <c r="C82" s="990">
        <v>82</v>
      </c>
      <c r="D82" s="1121" t="s">
        <v>999</v>
      </c>
      <c r="E82" s="1243">
        <v>1</v>
      </c>
      <c r="F82" s="5"/>
      <c r="G82" s="5"/>
      <c r="H82" s="5"/>
      <c r="I82" s="30"/>
      <c r="J82" s="4"/>
      <c r="K82" s="5"/>
      <c r="L82" s="5"/>
      <c r="M82" s="4" t="s">
        <v>95</v>
      </c>
      <c r="N82" s="4"/>
      <c r="O82" s="4"/>
      <c r="P82" s="29"/>
      <c r="Q82" s="2039">
        <v>53938</v>
      </c>
      <c r="R82" s="2039">
        <v>26136</v>
      </c>
      <c r="S82" s="2039">
        <v>43946</v>
      </c>
      <c r="T82" s="2039">
        <v>59199</v>
      </c>
      <c r="U82" s="2039">
        <v>62877</v>
      </c>
      <c r="V82" s="2039">
        <v>81307</v>
      </c>
      <c r="W82" s="2039">
        <v>67503</v>
      </c>
      <c r="X82" s="2039">
        <v>61719</v>
      </c>
      <c r="Y82" s="2039">
        <v>87957</v>
      </c>
      <c r="Z82" s="2039">
        <v>59004</v>
      </c>
      <c r="AA82" s="2039">
        <v>67775</v>
      </c>
      <c r="AB82" s="2039">
        <v>58164</v>
      </c>
      <c r="AC82" s="89">
        <f t="shared" si="58"/>
        <v>124020</v>
      </c>
      <c r="AD82" s="89">
        <f t="shared" si="59"/>
        <v>203383</v>
      </c>
      <c r="AE82" s="89">
        <f t="shared" si="60"/>
        <v>217179</v>
      </c>
      <c r="AF82" s="89">
        <f t="shared" si="61"/>
        <v>184943</v>
      </c>
      <c r="AG82" s="89">
        <f>AC82+AD82</f>
        <v>327403</v>
      </c>
      <c r="AH82" s="89">
        <f>AF82+AE82</f>
        <v>402122</v>
      </c>
      <c r="AI82" s="89">
        <f>AG82+AH82</f>
        <v>729525</v>
      </c>
    </row>
    <row r="83" spans="1:35">
      <c r="A83" s="990">
        <v>81</v>
      </c>
      <c r="B83" s="990">
        <v>1</v>
      </c>
      <c r="C83" s="990">
        <v>83</v>
      </c>
      <c r="D83" s="1121" t="s">
        <v>999</v>
      </c>
      <c r="E83" s="1243">
        <v>1</v>
      </c>
      <c r="F83" s="5"/>
      <c r="G83" s="5"/>
      <c r="H83" s="5"/>
      <c r="I83" s="30"/>
      <c r="J83" s="4"/>
      <c r="K83" s="5"/>
      <c r="L83" s="5"/>
      <c r="M83" s="4" t="s">
        <v>11</v>
      </c>
      <c r="N83" s="4"/>
      <c r="O83" s="4"/>
      <c r="P83" s="29"/>
      <c r="Q83" s="2039"/>
      <c r="R83" s="2039"/>
      <c r="S83" s="2039"/>
      <c r="T83" s="2039"/>
      <c r="U83" s="2039"/>
      <c r="V83" s="2039"/>
      <c r="W83" s="2039"/>
      <c r="X83" s="2039"/>
      <c r="Y83" s="2039"/>
      <c r="Z83" s="2039"/>
      <c r="AA83" s="2039"/>
      <c r="AB83" s="2039"/>
      <c r="AC83" s="89">
        <f t="shared" si="58"/>
        <v>0</v>
      </c>
      <c r="AD83" s="89">
        <f t="shared" si="59"/>
        <v>0</v>
      </c>
      <c r="AE83" s="89">
        <f t="shared" si="60"/>
        <v>0</v>
      </c>
      <c r="AF83" s="89">
        <f t="shared" si="61"/>
        <v>0</v>
      </c>
      <c r="AG83" s="89">
        <f>AC83+AD83</f>
        <v>0</v>
      </c>
      <c r="AH83" s="89">
        <f>AF83+AE83</f>
        <v>0</v>
      </c>
      <c r="AI83" s="89">
        <f>AG83+AH83</f>
        <v>0</v>
      </c>
    </row>
    <row r="84" spans="1:35">
      <c r="A84" s="990">
        <v>82</v>
      </c>
      <c r="B84" s="990">
        <v>1</v>
      </c>
      <c r="C84" s="990">
        <v>84</v>
      </c>
      <c r="E84" s="1243">
        <v>1</v>
      </c>
      <c r="F84" s="5"/>
      <c r="G84" s="5"/>
      <c r="H84" s="5"/>
      <c r="I84" s="1161" t="s">
        <v>106</v>
      </c>
      <c r="J84" s="787"/>
      <c r="K84" s="1162"/>
      <c r="L84" s="1162"/>
      <c r="M84" s="1162"/>
      <c r="N84" s="1162"/>
      <c r="O84" s="1162"/>
      <c r="P84" s="1164"/>
      <c r="Q84" s="137">
        <f>Q85+Q88+Q96</f>
        <v>98928</v>
      </c>
      <c r="R84" s="137">
        <f>R85+R88+R96</f>
        <v>46606</v>
      </c>
      <c r="S84" s="137">
        <f t="shared" ref="S84:AB84" si="68">S85+S88+S96</f>
        <v>81197</v>
      </c>
      <c r="T84" s="137">
        <f t="shared" si="68"/>
        <v>101990</v>
      </c>
      <c r="U84" s="137">
        <f t="shared" si="68"/>
        <v>121712</v>
      </c>
      <c r="V84" s="137">
        <f t="shared" si="68"/>
        <v>167942</v>
      </c>
      <c r="W84" s="137">
        <f t="shared" si="68"/>
        <v>104269</v>
      </c>
      <c r="X84" s="137">
        <f t="shared" si="68"/>
        <v>128901</v>
      </c>
      <c r="Y84" s="137">
        <f t="shared" si="68"/>
        <v>159241</v>
      </c>
      <c r="Z84" s="137">
        <f t="shared" si="68"/>
        <v>119031</v>
      </c>
      <c r="AA84" s="137">
        <f t="shared" si="68"/>
        <v>123041</v>
      </c>
      <c r="AB84" s="137">
        <f t="shared" si="68"/>
        <v>189150</v>
      </c>
      <c r="AC84" s="137">
        <f t="shared" ref="AC84:AI84" si="69">AC85+AC88+AC96</f>
        <v>226731</v>
      </c>
      <c r="AD84" s="137">
        <f t="shared" si="69"/>
        <v>391644</v>
      </c>
      <c r="AE84" s="137">
        <f t="shared" si="69"/>
        <v>392411</v>
      </c>
      <c r="AF84" s="137">
        <f t="shared" si="69"/>
        <v>431222</v>
      </c>
      <c r="AG84" s="137">
        <f t="shared" si="69"/>
        <v>618375</v>
      </c>
      <c r="AH84" s="137">
        <f t="shared" si="69"/>
        <v>823633</v>
      </c>
      <c r="AI84" s="137">
        <f t="shared" si="69"/>
        <v>1442008</v>
      </c>
    </row>
    <row r="85" spans="1:35">
      <c r="A85" s="990">
        <v>83</v>
      </c>
      <c r="B85" s="990">
        <v>1</v>
      </c>
      <c r="C85" s="990">
        <v>85</v>
      </c>
      <c r="E85" s="1243">
        <v>1</v>
      </c>
      <c r="F85" s="5"/>
      <c r="G85" s="5"/>
      <c r="H85" s="5"/>
      <c r="I85" s="30"/>
      <c r="J85" s="4"/>
      <c r="K85" s="5"/>
      <c r="L85" s="5"/>
      <c r="M85" s="277" t="s">
        <v>137</v>
      </c>
      <c r="N85" s="277"/>
      <c r="O85" s="278"/>
      <c r="P85" s="1165"/>
      <c r="Q85" s="279">
        <f>SUM(Q86:Q87)</f>
        <v>67475</v>
      </c>
      <c r="R85" s="279">
        <f t="shared" ref="R85:AB85" si="70">SUM(R86:R87)</f>
        <v>29364</v>
      </c>
      <c r="S85" s="279">
        <f t="shared" si="70"/>
        <v>54359</v>
      </c>
      <c r="T85" s="279">
        <f t="shared" si="70"/>
        <v>67187</v>
      </c>
      <c r="U85" s="279">
        <f t="shared" si="70"/>
        <v>85512</v>
      </c>
      <c r="V85" s="279">
        <f t="shared" si="70"/>
        <v>121832</v>
      </c>
      <c r="W85" s="279">
        <f t="shared" si="70"/>
        <v>65166</v>
      </c>
      <c r="X85" s="279">
        <f t="shared" si="70"/>
        <v>91255</v>
      </c>
      <c r="Y85" s="279">
        <f t="shared" si="70"/>
        <v>111917</v>
      </c>
      <c r="Z85" s="279">
        <f t="shared" si="70"/>
        <v>83271</v>
      </c>
      <c r="AA85" s="279">
        <f t="shared" si="70"/>
        <v>81552</v>
      </c>
      <c r="AB85" s="279">
        <f t="shared" si="70"/>
        <v>151110</v>
      </c>
      <c r="AC85" s="279">
        <f t="shared" ref="AC85:AC90" si="71">SUM(Q85,R85,S85)</f>
        <v>151198</v>
      </c>
      <c r="AD85" s="279">
        <f t="shared" ref="AD85:AD90" si="72">SUM(T85,U85,V85)</f>
        <v>274531</v>
      </c>
      <c r="AE85" s="279">
        <f t="shared" ref="AE85:AE90" si="73">SUM(W85,X85,Y85)</f>
        <v>268338</v>
      </c>
      <c r="AF85" s="279">
        <f t="shared" ref="AF85:AF90" si="74">SUM(Z85,AA85,AB85)</f>
        <v>315933</v>
      </c>
      <c r="AG85" s="279">
        <f t="shared" ref="AG85:AG96" si="75">AC85+AD85</f>
        <v>425729</v>
      </c>
      <c r="AH85" s="279">
        <f t="shared" ref="AH85:AH96" si="76">AF85+AE85</f>
        <v>584271</v>
      </c>
      <c r="AI85" s="279">
        <f t="shared" ref="AI85:AI96" si="77">AG85+AH85</f>
        <v>1010000</v>
      </c>
    </row>
    <row r="86" spans="1:35">
      <c r="A86" s="990">
        <v>84</v>
      </c>
      <c r="B86" s="990">
        <v>1</v>
      </c>
      <c r="C86" s="990">
        <v>86</v>
      </c>
      <c r="E86" s="1243">
        <v>1</v>
      </c>
      <c r="F86" s="5"/>
      <c r="G86" s="5"/>
      <c r="H86" s="5"/>
      <c r="I86" s="30"/>
      <c r="J86" s="4"/>
      <c r="K86" s="5"/>
      <c r="L86" s="5"/>
      <c r="M86" s="4"/>
      <c r="N86" s="4"/>
      <c r="O86" s="4" t="s">
        <v>1021</v>
      </c>
      <c r="P86" s="29"/>
      <c r="Q86" s="89">
        <f t="shared" ref="Q86:AB86" si="78">Q406+Q422-Q439-Q463</f>
        <v>67475</v>
      </c>
      <c r="R86" s="89">
        <f t="shared" si="78"/>
        <v>29364</v>
      </c>
      <c r="S86" s="89">
        <f t="shared" si="78"/>
        <v>54359</v>
      </c>
      <c r="T86" s="89">
        <f t="shared" si="78"/>
        <v>67187</v>
      </c>
      <c r="U86" s="89">
        <f t="shared" si="78"/>
        <v>85512</v>
      </c>
      <c r="V86" s="89">
        <f t="shared" si="78"/>
        <v>121832</v>
      </c>
      <c r="W86" s="89">
        <f t="shared" si="78"/>
        <v>65166</v>
      </c>
      <c r="X86" s="89">
        <f t="shared" si="78"/>
        <v>91255</v>
      </c>
      <c r="Y86" s="89">
        <f t="shared" si="78"/>
        <v>111917</v>
      </c>
      <c r="Z86" s="89">
        <f t="shared" si="78"/>
        <v>83271</v>
      </c>
      <c r="AA86" s="89">
        <f t="shared" si="78"/>
        <v>81552</v>
      </c>
      <c r="AB86" s="89">
        <f t="shared" si="78"/>
        <v>151110</v>
      </c>
      <c r="AC86" s="89">
        <f t="shared" si="71"/>
        <v>151198</v>
      </c>
      <c r="AD86" s="89">
        <f t="shared" si="72"/>
        <v>274531</v>
      </c>
      <c r="AE86" s="89">
        <f t="shared" si="73"/>
        <v>268338</v>
      </c>
      <c r="AF86" s="89">
        <f t="shared" si="74"/>
        <v>315933</v>
      </c>
      <c r="AG86" s="89">
        <f t="shared" si="75"/>
        <v>425729</v>
      </c>
      <c r="AH86" s="89">
        <f t="shared" si="76"/>
        <v>584271</v>
      </c>
      <c r="AI86" s="89">
        <f t="shared" si="77"/>
        <v>1010000</v>
      </c>
    </row>
    <row r="87" spans="1:35">
      <c r="A87" s="990">
        <v>85</v>
      </c>
      <c r="B87" s="990">
        <v>1</v>
      </c>
      <c r="C87" s="990">
        <v>87</v>
      </c>
      <c r="E87" s="1243">
        <v>1</v>
      </c>
      <c r="F87" s="5"/>
      <c r="G87" s="5"/>
      <c r="H87" s="5"/>
      <c r="I87" s="30"/>
      <c r="J87" s="4"/>
      <c r="K87" s="5"/>
      <c r="L87" s="5"/>
      <c r="M87" s="4"/>
      <c r="N87" s="4"/>
      <c r="O87" s="4" t="s">
        <v>146</v>
      </c>
      <c r="P87" s="29"/>
      <c r="Q87" s="89">
        <f t="shared" ref="Q87:AB87" si="79">Q409+Q425-Q442-Q466</f>
        <v>0</v>
      </c>
      <c r="R87" s="89">
        <f t="shared" si="79"/>
        <v>0</v>
      </c>
      <c r="S87" s="89">
        <f t="shared" si="79"/>
        <v>0</v>
      </c>
      <c r="T87" s="89">
        <f t="shared" si="79"/>
        <v>0</v>
      </c>
      <c r="U87" s="89">
        <f t="shared" si="79"/>
        <v>0</v>
      </c>
      <c r="V87" s="89">
        <f t="shared" si="79"/>
        <v>0</v>
      </c>
      <c r="W87" s="89">
        <f t="shared" si="79"/>
        <v>0</v>
      </c>
      <c r="X87" s="89">
        <f t="shared" si="79"/>
        <v>0</v>
      </c>
      <c r="Y87" s="89">
        <f t="shared" si="79"/>
        <v>0</v>
      </c>
      <c r="Z87" s="89">
        <f t="shared" si="79"/>
        <v>0</v>
      </c>
      <c r="AA87" s="89">
        <f t="shared" si="79"/>
        <v>0</v>
      </c>
      <c r="AB87" s="89">
        <f t="shared" si="79"/>
        <v>0</v>
      </c>
      <c r="AC87" s="89">
        <f t="shared" si="71"/>
        <v>0</v>
      </c>
      <c r="AD87" s="89">
        <f t="shared" si="72"/>
        <v>0</v>
      </c>
      <c r="AE87" s="89">
        <f t="shared" si="73"/>
        <v>0</v>
      </c>
      <c r="AF87" s="89">
        <f t="shared" si="74"/>
        <v>0</v>
      </c>
      <c r="AG87" s="89">
        <f t="shared" si="75"/>
        <v>0</v>
      </c>
      <c r="AH87" s="89">
        <f t="shared" si="76"/>
        <v>0</v>
      </c>
      <c r="AI87" s="89">
        <f t="shared" si="77"/>
        <v>0</v>
      </c>
    </row>
    <row r="88" spans="1:35">
      <c r="A88" s="990">
        <v>86</v>
      </c>
      <c r="B88" s="990">
        <v>1</v>
      </c>
      <c r="C88" s="990">
        <v>88</v>
      </c>
      <c r="E88" s="1243">
        <v>1</v>
      </c>
      <c r="F88" s="5"/>
      <c r="G88" s="5"/>
      <c r="H88" s="5"/>
      <c r="I88" s="30"/>
      <c r="J88" s="4"/>
      <c r="K88" s="5"/>
      <c r="L88" s="5"/>
      <c r="M88" s="277" t="s">
        <v>95</v>
      </c>
      <c r="N88" s="277"/>
      <c r="O88" s="278"/>
      <c r="P88" s="1165"/>
      <c r="Q88" s="279">
        <f>Q78-Q103</f>
        <v>31453</v>
      </c>
      <c r="R88" s="279">
        <f>R78-R103</f>
        <v>17242</v>
      </c>
      <c r="S88" s="279">
        <f t="shared" ref="S88:AB88" si="80">S78-S103</f>
        <v>26838</v>
      </c>
      <c r="T88" s="279">
        <f t="shared" si="80"/>
        <v>34803</v>
      </c>
      <c r="U88" s="279">
        <f t="shared" si="80"/>
        <v>36200</v>
      </c>
      <c r="V88" s="279">
        <f t="shared" si="80"/>
        <v>46110</v>
      </c>
      <c r="W88" s="279">
        <f t="shared" si="80"/>
        <v>39103</v>
      </c>
      <c r="X88" s="279">
        <f t="shared" si="80"/>
        <v>37646</v>
      </c>
      <c r="Y88" s="279">
        <f t="shared" si="80"/>
        <v>47324</v>
      </c>
      <c r="Z88" s="279">
        <f t="shared" si="80"/>
        <v>35760</v>
      </c>
      <c r="AA88" s="279">
        <f t="shared" si="80"/>
        <v>41489</v>
      </c>
      <c r="AB88" s="279">
        <f t="shared" si="80"/>
        <v>38040</v>
      </c>
      <c r="AC88" s="279">
        <f t="shared" si="71"/>
        <v>75533</v>
      </c>
      <c r="AD88" s="279">
        <f t="shared" si="72"/>
        <v>117113</v>
      </c>
      <c r="AE88" s="279">
        <f t="shared" si="73"/>
        <v>124073</v>
      </c>
      <c r="AF88" s="279">
        <f t="shared" si="74"/>
        <v>115289</v>
      </c>
      <c r="AG88" s="279">
        <f t="shared" si="75"/>
        <v>192646</v>
      </c>
      <c r="AH88" s="279">
        <f t="shared" si="76"/>
        <v>239362</v>
      </c>
      <c r="AI88" s="279">
        <f t="shared" si="77"/>
        <v>432008</v>
      </c>
    </row>
    <row r="89" spans="1:35">
      <c r="A89" s="990">
        <v>87</v>
      </c>
      <c r="B89" s="990">
        <v>1</v>
      </c>
      <c r="C89" s="990">
        <v>89</v>
      </c>
      <c r="E89" s="1243">
        <v>1</v>
      </c>
      <c r="F89" s="5"/>
      <c r="G89" s="5"/>
      <c r="H89" s="5"/>
      <c r="I89" s="30"/>
      <c r="J89" s="4"/>
      <c r="K89" s="5"/>
      <c r="L89" s="5"/>
      <c r="M89" s="4"/>
      <c r="N89" s="4"/>
      <c r="O89" s="374" t="s">
        <v>461</v>
      </c>
      <c r="P89" s="1166"/>
      <c r="Q89" s="2087">
        <v>26536</v>
      </c>
      <c r="R89" s="2087">
        <v>11575</v>
      </c>
      <c r="S89" s="2087">
        <v>20448</v>
      </c>
      <c r="T89" s="2087">
        <v>28011</v>
      </c>
      <c r="U89" s="2087">
        <v>30201</v>
      </c>
      <c r="V89" s="2087">
        <v>39594</v>
      </c>
      <c r="W89" s="2087">
        <v>32309</v>
      </c>
      <c r="X89" s="2087">
        <v>30800</v>
      </c>
      <c r="Y89" s="2087">
        <v>40311</v>
      </c>
      <c r="Z89" s="2087">
        <v>29095</v>
      </c>
      <c r="AA89" s="2087">
        <v>34513</v>
      </c>
      <c r="AB89" s="2087">
        <v>27315</v>
      </c>
      <c r="AC89" s="581">
        <f t="shared" si="71"/>
        <v>58559</v>
      </c>
      <c r="AD89" s="581">
        <f t="shared" si="72"/>
        <v>97806</v>
      </c>
      <c r="AE89" s="581">
        <f t="shared" si="73"/>
        <v>103420</v>
      </c>
      <c r="AF89" s="581">
        <f t="shared" si="74"/>
        <v>90923</v>
      </c>
      <c r="AG89" s="581">
        <f t="shared" si="75"/>
        <v>156365</v>
      </c>
      <c r="AH89" s="581">
        <f t="shared" si="76"/>
        <v>194343</v>
      </c>
      <c r="AI89" s="581">
        <f t="shared" si="77"/>
        <v>350708</v>
      </c>
    </row>
    <row r="90" spans="1:35">
      <c r="A90" s="990">
        <v>88</v>
      </c>
      <c r="B90" s="990">
        <v>1</v>
      </c>
      <c r="C90" s="990">
        <v>90</v>
      </c>
      <c r="E90" s="1243">
        <v>1</v>
      </c>
      <c r="F90" s="5"/>
      <c r="G90" s="5"/>
      <c r="H90" s="5"/>
      <c r="I90" s="30"/>
      <c r="J90" s="4"/>
      <c r="K90" s="5"/>
      <c r="L90" s="5"/>
      <c r="M90" s="4"/>
      <c r="N90" s="4"/>
      <c r="O90" s="4"/>
      <c r="P90" s="29" t="s">
        <v>1022</v>
      </c>
      <c r="Q90" s="2039">
        <f>Q413-Q446</f>
        <v>2660</v>
      </c>
      <c r="R90" s="2039">
        <f t="shared" ref="R90:AB90" si="81">R413-R446</f>
        <v>1884</v>
      </c>
      <c r="S90" s="2039">
        <f t="shared" si="81"/>
        <v>4149</v>
      </c>
      <c r="T90" s="2039">
        <f t="shared" si="81"/>
        <v>3972</v>
      </c>
      <c r="U90" s="2039">
        <f t="shared" si="81"/>
        <v>4323</v>
      </c>
      <c r="V90" s="2039">
        <f t="shared" si="81"/>
        <v>5093</v>
      </c>
      <c r="W90" s="2039">
        <f t="shared" si="81"/>
        <v>4773</v>
      </c>
      <c r="X90" s="2039">
        <f t="shared" si="81"/>
        <v>6150</v>
      </c>
      <c r="Y90" s="2039">
        <f t="shared" si="81"/>
        <v>3654</v>
      </c>
      <c r="Z90" s="2039">
        <f t="shared" si="81"/>
        <v>4333</v>
      </c>
      <c r="AA90" s="2039">
        <f t="shared" si="81"/>
        <v>6020</v>
      </c>
      <c r="AB90" s="2039">
        <f t="shared" si="81"/>
        <v>5125</v>
      </c>
      <c r="AC90" s="89">
        <f t="shared" si="71"/>
        <v>8693</v>
      </c>
      <c r="AD90" s="89">
        <f t="shared" si="72"/>
        <v>13388</v>
      </c>
      <c r="AE90" s="89">
        <f t="shared" si="73"/>
        <v>14577</v>
      </c>
      <c r="AF90" s="89">
        <f t="shared" si="74"/>
        <v>15478</v>
      </c>
      <c r="AG90" s="89">
        <f t="shared" si="75"/>
        <v>22081</v>
      </c>
      <c r="AH90" s="89">
        <f t="shared" si="76"/>
        <v>30055</v>
      </c>
      <c r="AI90" s="89">
        <f t="shared" si="77"/>
        <v>52136</v>
      </c>
    </row>
    <row r="91" spans="1:35">
      <c r="A91" s="990">
        <v>89</v>
      </c>
      <c r="B91" s="990">
        <v>1</v>
      </c>
      <c r="C91" s="990">
        <v>91</v>
      </c>
      <c r="E91" s="1243">
        <v>1</v>
      </c>
      <c r="F91" s="5"/>
      <c r="G91" s="5"/>
      <c r="H91" s="5"/>
      <c r="I91" s="30"/>
      <c r="J91" s="4"/>
      <c r="K91" s="5"/>
      <c r="L91" s="5"/>
      <c r="M91" s="4"/>
      <c r="N91" s="4"/>
      <c r="O91" s="4"/>
      <c r="P91" s="50" t="s">
        <v>1023</v>
      </c>
      <c r="Q91" s="134">
        <f>Q89-Q90</f>
        <v>23876</v>
      </c>
      <c r="R91" s="134">
        <f t="shared" ref="R91:AB91" si="82">R89-R90</f>
        <v>9691</v>
      </c>
      <c r="S91" s="134">
        <f t="shared" si="82"/>
        <v>16299</v>
      </c>
      <c r="T91" s="134">
        <f t="shared" si="82"/>
        <v>24039</v>
      </c>
      <c r="U91" s="134">
        <f t="shared" si="82"/>
        <v>25878</v>
      </c>
      <c r="V91" s="134">
        <f t="shared" si="82"/>
        <v>34501</v>
      </c>
      <c r="W91" s="134">
        <f t="shared" si="82"/>
        <v>27536</v>
      </c>
      <c r="X91" s="134">
        <f t="shared" si="82"/>
        <v>24650</v>
      </c>
      <c r="Y91" s="134">
        <f t="shared" si="82"/>
        <v>36657</v>
      </c>
      <c r="Z91" s="134">
        <f t="shared" si="82"/>
        <v>24762</v>
      </c>
      <c r="AA91" s="134">
        <f t="shared" si="82"/>
        <v>28493</v>
      </c>
      <c r="AB91" s="134">
        <f t="shared" si="82"/>
        <v>22190</v>
      </c>
      <c r="AC91" s="134">
        <f t="shared" ref="AC91:AI91" si="83">AC89-AC90</f>
        <v>49866</v>
      </c>
      <c r="AD91" s="134">
        <f t="shared" si="83"/>
        <v>84418</v>
      </c>
      <c r="AE91" s="134">
        <f t="shared" si="83"/>
        <v>88843</v>
      </c>
      <c r="AF91" s="134">
        <f t="shared" si="83"/>
        <v>75445</v>
      </c>
      <c r="AG91" s="134">
        <f t="shared" si="83"/>
        <v>134284</v>
      </c>
      <c r="AH91" s="134">
        <f t="shared" si="83"/>
        <v>164288</v>
      </c>
      <c r="AI91" s="134">
        <f t="shared" si="83"/>
        <v>298572</v>
      </c>
    </row>
    <row r="92" spans="1:35">
      <c r="A92" s="990">
        <v>90</v>
      </c>
      <c r="B92" s="990">
        <v>1</v>
      </c>
      <c r="C92" s="990">
        <v>92</v>
      </c>
      <c r="E92" s="1243">
        <v>1</v>
      </c>
      <c r="F92" s="5"/>
      <c r="G92" s="5"/>
      <c r="H92" s="5"/>
      <c r="I92" s="30"/>
      <c r="J92" s="4"/>
      <c r="K92" s="5"/>
      <c r="L92" s="5"/>
      <c r="M92" s="4"/>
      <c r="N92" s="4"/>
      <c r="O92" s="4" t="s">
        <v>1024</v>
      </c>
      <c r="P92" s="29"/>
      <c r="Q92" s="89">
        <f t="shared" ref="Q92:AB92" si="84">(Q452+Q476)*-1</f>
        <v>4884</v>
      </c>
      <c r="R92" s="89">
        <f t="shared" si="84"/>
        <v>5634</v>
      </c>
      <c r="S92" s="89">
        <f t="shared" si="84"/>
        <v>6357</v>
      </c>
      <c r="T92" s="89">
        <f t="shared" si="84"/>
        <v>6765</v>
      </c>
      <c r="U92" s="89">
        <f t="shared" si="84"/>
        <v>5972</v>
      </c>
      <c r="V92" s="89">
        <f t="shared" si="84"/>
        <v>6483</v>
      </c>
      <c r="W92" s="89">
        <f t="shared" si="84"/>
        <v>6761</v>
      </c>
      <c r="X92" s="89">
        <f t="shared" si="84"/>
        <v>6813</v>
      </c>
      <c r="Y92" s="89">
        <f t="shared" si="84"/>
        <v>6958</v>
      </c>
      <c r="Z92" s="89">
        <f t="shared" si="84"/>
        <v>6632</v>
      </c>
      <c r="AA92" s="89">
        <f t="shared" si="84"/>
        <v>6946</v>
      </c>
      <c r="AB92" s="89">
        <f t="shared" si="84"/>
        <v>10718</v>
      </c>
      <c r="AC92" s="89">
        <f t="shared" ref="AC92:AC97" si="85">SUM(Q92,R92,S92)</f>
        <v>16875</v>
      </c>
      <c r="AD92" s="89">
        <f t="shared" ref="AD92:AD97" si="86">SUM(T92,U92,V92)</f>
        <v>19220</v>
      </c>
      <c r="AE92" s="89">
        <f t="shared" ref="AE92:AE97" si="87">SUM(W92,X92,Y92)</f>
        <v>20532</v>
      </c>
      <c r="AF92" s="89">
        <f t="shared" ref="AF92:AF97" si="88">SUM(Z92,AA92,AB92)</f>
        <v>24296</v>
      </c>
      <c r="AG92" s="89">
        <f t="shared" si="75"/>
        <v>36095</v>
      </c>
      <c r="AH92" s="89">
        <f t="shared" si="76"/>
        <v>44828</v>
      </c>
      <c r="AI92" s="89">
        <f t="shared" si="77"/>
        <v>80923</v>
      </c>
    </row>
    <row r="93" spans="1:35">
      <c r="A93" s="990">
        <v>91</v>
      </c>
      <c r="B93" s="990">
        <v>1</v>
      </c>
      <c r="C93" s="990">
        <v>93</v>
      </c>
      <c r="E93" s="1243">
        <v>1</v>
      </c>
      <c r="F93" s="5"/>
      <c r="G93" s="5"/>
      <c r="H93" s="5"/>
      <c r="I93" s="30"/>
      <c r="J93" s="4"/>
      <c r="K93" s="5"/>
      <c r="L93" s="5"/>
      <c r="M93" s="4"/>
      <c r="N93" s="4"/>
      <c r="O93" s="4" t="s">
        <v>1025</v>
      </c>
      <c r="P93" s="29"/>
      <c r="Q93" s="89">
        <f t="shared" ref="Q93:AB93" si="89">(Q456+Q480)*-1</f>
        <v>33</v>
      </c>
      <c r="R93" s="89">
        <f t="shared" si="89"/>
        <v>33</v>
      </c>
      <c r="S93" s="89">
        <f t="shared" si="89"/>
        <v>33</v>
      </c>
      <c r="T93" s="89">
        <f t="shared" si="89"/>
        <v>27</v>
      </c>
      <c r="U93" s="89">
        <f t="shared" si="89"/>
        <v>27</v>
      </c>
      <c r="V93" s="89">
        <f t="shared" si="89"/>
        <v>33</v>
      </c>
      <c r="W93" s="89">
        <f t="shared" si="89"/>
        <v>33</v>
      </c>
      <c r="X93" s="89">
        <f t="shared" si="89"/>
        <v>33</v>
      </c>
      <c r="Y93" s="89">
        <f t="shared" si="89"/>
        <v>55</v>
      </c>
      <c r="Z93" s="89">
        <f t="shared" si="89"/>
        <v>33</v>
      </c>
      <c r="AA93" s="89">
        <f t="shared" si="89"/>
        <v>30</v>
      </c>
      <c r="AB93" s="89">
        <f t="shared" si="89"/>
        <v>7</v>
      </c>
      <c r="AC93" s="89">
        <f t="shared" si="85"/>
        <v>99</v>
      </c>
      <c r="AD93" s="89">
        <f t="shared" si="86"/>
        <v>87</v>
      </c>
      <c r="AE93" s="89">
        <f t="shared" si="87"/>
        <v>121</v>
      </c>
      <c r="AF93" s="89">
        <f t="shared" si="88"/>
        <v>70</v>
      </c>
      <c r="AG93" s="89">
        <f t="shared" si="75"/>
        <v>186</v>
      </c>
      <c r="AH93" s="89">
        <f t="shared" si="76"/>
        <v>191</v>
      </c>
      <c r="AI93" s="89">
        <f t="shared" si="77"/>
        <v>377</v>
      </c>
    </row>
    <row r="94" spans="1:35">
      <c r="A94" s="990">
        <v>92</v>
      </c>
      <c r="B94" s="990">
        <v>1</v>
      </c>
      <c r="C94" s="990">
        <v>94</v>
      </c>
      <c r="E94" s="1243">
        <v>1</v>
      </c>
      <c r="F94" s="5"/>
      <c r="G94" s="5"/>
      <c r="H94" s="5"/>
      <c r="I94" s="30"/>
      <c r="J94" s="4"/>
      <c r="K94" s="5"/>
      <c r="L94" s="5"/>
      <c r="M94" s="4"/>
      <c r="N94" s="4"/>
      <c r="O94" s="4" t="s">
        <v>49</v>
      </c>
      <c r="P94" s="29"/>
      <c r="Q94" s="89">
        <f>(Q459+Q483)*-1</f>
        <v>0</v>
      </c>
      <c r="R94" s="89">
        <f t="shared" ref="R94:AB94" si="90">(R459+R483)*-1</f>
        <v>0</v>
      </c>
      <c r="S94" s="89">
        <f t="shared" si="90"/>
        <v>0</v>
      </c>
      <c r="T94" s="89">
        <f t="shared" si="90"/>
        <v>0</v>
      </c>
      <c r="U94" s="89">
        <f t="shared" si="90"/>
        <v>0</v>
      </c>
      <c r="V94" s="89">
        <f t="shared" si="90"/>
        <v>0</v>
      </c>
      <c r="W94" s="89">
        <f t="shared" si="90"/>
        <v>0</v>
      </c>
      <c r="X94" s="89">
        <f t="shared" si="90"/>
        <v>0</v>
      </c>
      <c r="Y94" s="89">
        <f t="shared" si="90"/>
        <v>0</v>
      </c>
      <c r="Z94" s="89">
        <f t="shared" si="90"/>
        <v>0</v>
      </c>
      <c r="AA94" s="89">
        <f t="shared" si="90"/>
        <v>0</v>
      </c>
      <c r="AB94" s="89">
        <f t="shared" si="90"/>
        <v>0</v>
      </c>
      <c r="AC94" s="89">
        <f t="shared" si="85"/>
        <v>0</v>
      </c>
      <c r="AD94" s="89">
        <f t="shared" si="86"/>
        <v>0</v>
      </c>
      <c r="AE94" s="89">
        <f t="shared" si="87"/>
        <v>0</v>
      </c>
      <c r="AF94" s="89">
        <f t="shared" si="88"/>
        <v>0</v>
      </c>
      <c r="AG94" s="89">
        <f>AC94+AD94</f>
        <v>0</v>
      </c>
      <c r="AH94" s="89">
        <f>AF94+AE94</f>
        <v>0</v>
      </c>
      <c r="AI94" s="89">
        <f>AG94+AH94</f>
        <v>0</v>
      </c>
    </row>
    <row r="95" spans="1:35">
      <c r="A95" s="990">
        <v>93</v>
      </c>
      <c r="B95" s="990">
        <v>1</v>
      </c>
      <c r="C95" s="990">
        <v>95</v>
      </c>
      <c r="E95" s="1243">
        <v>1</v>
      </c>
      <c r="F95" s="5"/>
      <c r="G95" s="5"/>
      <c r="H95" s="5"/>
      <c r="I95" s="30"/>
      <c r="J95" s="4"/>
      <c r="K95" s="5"/>
      <c r="L95" s="5"/>
      <c r="M95" s="4"/>
      <c r="N95" s="4"/>
      <c r="O95" s="4" t="s">
        <v>11</v>
      </c>
      <c r="P95" s="29"/>
      <c r="Q95" s="89">
        <f>Q88-Q89-Q92-Q93-Q94</f>
        <v>0</v>
      </c>
      <c r="R95" s="89">
        <f t="shared" ref="R95:AB95" si="91">R88-R89-R92-R93-R94</f>
        <v>0</v>
      </c>
      <c r="S95" s="89">
        <f t="shared" si="91"/>
        <v>0</v>
      </c>
      <c r="T95" s="89">
        <f t="shared" si="91"/>
        <v>0</v>
      </c>
      <c r="U95" s="89">
        <f t="shared" si="91"/>
        <v>0</v>
      </c>
      <c r="V95" s="89">
        <f t="shared" si="91"/>
        <v>0</v>
      </c>
      <c r="W95" s="89">
        <f t="shared" si="91"/>
        <v>0</v>
      </c>
      <c r="X95" s="89">
        <f t="shared" si="91"/>
        <v>0</v>
      </c>
      <c r="Y95" s="89">
        <f t="shared" si="91"/>
        <v>0</v>
      </c>
      <c r="Z95" s="89">
        <f t="shared" si="91"/>
        <v>0</v>
      </c>
      <c r="AA95" s="89">
        <f t="shared" si="91"/>
        <v>0</v>
      </c>
      <c r="AB95" s="89">
        <f t="shared" si="91"/>
        <v>0</v>
      </c>
      <c r="AC95" s="89">
        <f t="shared" si="85"/>
        <v>0</v>
      </c>
      <c r="AD95" s="89">
        <f t="shared" si="86"/>
        <v>0</v>
      </c>
      <c r="AE95" s="89">
        <f t="shared" si="87"/>
        <v>0</v>
      </c>
      <c r="AF95" s="89">
        <f t="shared" si="88"/>
        <v>0</v>
      </c>
      <c r="AG95" s="89">
        <f>AC95+AD95</f>
        <v>0</v>
      </c>
      <c r="AH95" s="89">
        <f>AF95+AE95</f>
        <v>0</v>
      </c>
      <c r="AI95" s="89">
        <f>AG95+AH95</f>
        <v>0</v>
      </c>
    </row>
    <row r="96" spans="1:35">
      <c r="A96" s="990">
        <v>94</v>
      </c>
      <c r="B96" s="990">
        <v>1</v>
      </c>
      <c r="C96" s="990">
        <v>96</v>
      </c>
      <c r="E96" s="1243">
        <v>1</v>
      </c>
      <c r="F96" s="5"/>
      <c r="G96" s="5"/>
      <c r="H96" s="5"/>
      <c r="I96" s="30"/>
      <c r="J96" s="4"/>
      <c r="K96" s="5"/>
      <c r="L96" s="5"/>
      <c r="M96" s="277" t="s">
        <v>11</v>
      </c>
      <c r="N96" s="277"/>
      <c r="O96" s="277" t="s">
        <v>1026</v>
      </c>
      <c r="P96" s="1165"/>
      <c r="Q96" s="279">
        <f t="shared" ref="Q96:AB96" si="92">Q419+Q435-Q460-Q484</f>
        <v>0</v>
      </c>
      <c r="R96" s="279">
        <f t="shared" si="92"/>
        <v>0</v>
      </c>
      <c r="S96" s="279">
        <f t="shared" si="92"/>
        <v>0</v>
      </c>
      <c r="T96" s="279">
        <f t="shared" si="92"/>
        <v>0</v>
      </c>
      <c r="U96" s="279">
        <f t="shared" si="92"/>
        <v>0</v>
      </c>
      <c r="V96" s="279">
        <f t="shared" si="92"/>
        <v>0</v>
      </c>
      <c r="W96" s="279">
        <f t="shared" si="92"/>
        <v>0</v>
      </c>
      <c r="X96" s="279">
        <f t="shared" si="92"/>
        <v>0</v>
      </c>
      <c r="Y96" s="279">
        <f t="shared" si="92"/>
        <v>0</v>
      </c>
      <c r="Z96" s="279">
        <f t="shared" si="92"/>
        <v>0</v>
      </c>
      <c r="AA96" s="279">
        <f t="shared" si="92"/>
        <v>0</v>
      </c>
      <c r="AB96" s="279">
        <f t="shared" si="92"/>
        <v>0</v>
      </c>
      <c r="AC96" s="279">
        <f t="shared" si="85"/>
        <v>0</v>
      </c>
      <c r="AD96" s="279">
        <f t="shared" si="86"/>
        <v>0</v>
      </c>
      <c r="AE96" s="279">
        <f t="shared" si="87"/>
        <v>0</v>
      </c>
      <c r="AF96" s="279">
        <f t="shared" si="88"/>
        <v>0</v>
      </c>
      <c r="AG96" s="279">
        <f t="shared" si="75"/>
        <v>0</v>
      </c>
      <c r="AH96" s="279">
        <f t="shared" si="76"/>
        <v>0</v>
      </c>
      <c r="AI96" s="279">
        <f t="shared" si="77"/>
        <v>0</v>
      </c>
    </row>
    <row r="97" spans="1:36">
      <c r="A97" s="990">
        <v>95</v>
      </c>
      <c r="B97" s="990">
        <v>1</v>
      </c>
      <c r="C97" s="990">
        <v>97</v>
      </c>
      <c r="D97" s="1121" t="s">
        <v>999</v>
      </c>
      <c r="E97" s="1243">
        <v>1</v>
      </c>
      <c r="F97" s="5"/>
      <c r="G97" s="5"/>
      <c r="H97" s="5"/>
      <c r="I97" s="1161" t="s">
        <v>134</v>
      </c>
      <c r="J97" s="787"/>
      <c r="K97" s="1162"/>
      <c r="L97" s="1162"/>
      <c r="M97" s="1162"/>
      <c r="N97" s="1162"/>
      <c r="O97" s="1162"/>
      <c r="P97" s="1164"/>
      <c r="Q97" s="137">
        <f>SUM(Q102:Q104)</f>
        <v>50124</v>
      </c>
      <c r="R97" s="137">
        <f t="shared" ref="R97:AB97" si="93">SUM(R102:R104)</f>
        <v>28437</v>
      </c>
      <c r="S97" s="137">
        <f t="shared" si="93"/>
        <v>44025</v>
      </c>
      <c r="T97" s="137">
        <f t="shared" si="93"/>
        <v>59085</v>
      </c>
      <c r="U97" s="137">
        <f t="shared" si="93"/>
        <v>64306</v>
      </c>
      <c r="V97" s="137">
        <f t="shared" si="93"/>
        <v>94255</v>
      </c>
      <c r="W97" s="137">
        <f t="shared" si="93"/>
        <v>58518</v>
      </c>
      <c r="X97" s="137">
        <f t="shared" si="93"/>
        <v>74102</v>
      </c>
      <c r="Y97" s="137">
        <f t="shared" si="93"/>
        <v>88556</v>
      </c>
      <c r="Z97" s="137">
        <f t="shared" si="93"/>
        <v>48915</v>
      </c>
      <c r="AA97" s="137">
        <f t="shared" si="93"/>
        <v>47905</v>
      </c>
      <c r="AB97" s="137">
        <f t="shared" si="93"/>
        <v>52195</v>
      </c>
      <c r="AC97" s="137">
        <f t="shared" si="85"/>
        <v>122586</v>
      </c>
      <c r="AD97" s="137">
        <f t="shared" si="86"/>
        <v>217646</v>
      </c>
      <c r="AE97" s="137">
        <f t="shared" si="87"/>
        <v>221176</v>
      </c>
      <c r="AF97" s="137">
        <f t="shared" si="88"/>
        <v>149015</v>
      </c>
      <c r="AG97" s="137">
        <f t="shared" ref="AG97:AI97" si="94">SUM(AG102:AG104)</f>
        <v>340232</v>
      </c>
      <c r="AH97" s="137">
        <f t="shared" si="94"/>
        <v>370191</v>
      </c>
      <c r="AI97" s="137">
        <f t="shared" si="94"/>
        <v>710423</v>
      </c>
    </row>
    <row r="98" spans="1:36" s="619" customFormat="1" ht="14.5">
      <c r="A98" s="990">
        <v>96</v>
      </c>
      <c r="B98" s="990">
        <v>1</v>
      </c>
      <c r="C98" s="990">
        <v>98</v>
      </c>
      <c r="D98" s="1121" t="s">
        <v>999</v>
      </c>
      <c r="E98" s="1243">
        <v>1</v>
      </c>
      <c r="F98" s="5"/>
      <c r="G98" s="5"/>
      <c r="H98" s="616"/>
      <c r="I98" s="617"/>
      <c r="J98" s="618" t="s">
        <v>135</v>
      </c>
      <c r="K98" s="616"/>
      <c r="L98" s="616"/>
      <c r="M98" s="616"/>
      <c r="N98" s="616"/>
      <c r="O98" s="587" t="s">
        <v>1027</v>
      </c>
      <c r="P98" s="1167"/>
      <c r="Q98" s="631">
        <f t="shared" ref="Q98:AB98" si="95">IFERROR(Q97/Q76,0)</f>
        <v>0.33628532324289512</v>
      </c>
      <c r="R98" s="631">
        <f t="shared" si="95"/>
        <v>0.37894273949602231</v>
      </c>
      <c r="S98" s="631">
        <f t="shared" si="95"/>
        <v>0.35157560173132518</v>
      </c>
      <c r="T98" s="631">
        <f t="shared" si="95"/>
        <v>0.36681670029489366</v>
      </c>
      <c r="U98" s="631">
        <f t="shared" si="95"/>
        <v>0.34569772817684308</v>
      </c>
      <c r="V98" s="631">
        <f t="shared" si="95"/>
        <v>0.35948161115497124</v>
      </c>
      <c r="W98" s="631">
        <f t="shared" si="95"/>
        <v>0.3594758795235492</v>
      </c>
      <c r="X98" s="631">
        <f t="shared" si="95"/>
        <v>0.36502908824007529</v>
      </c>
      <c r="Y98" s="631">
        <f t="shared" si="95"/>
        <v>0.35737317239514604</v>
      </c>
      <c r="Z98" s="631">
        <f t="shared" si="95"/>
        <v>0.29125433174949089</v>
      </c>
      <c r="AA98" s="631">
        <f t="shared" si="95"/>
        <v>0.28023469399693468</v>
      </c>
      <c r="AB98" s="631">
        <f t="shared" si="95"/>
        <v>0.21626716940479396</v>
      </c>
      <c r="AC98" s="631">
        <f t="shared" ref="AC98:AI98" si="96">IFERROR(AC97/AC76,0)</f>
        <v>0.3509305301488333</v>
      </c>
      <c r="AD98" s="631">
        <f t="shared" si="96"/>
        <v>0.3572124932298249</v>
      </c>
      <c r="AE98" s="631">
        <f t="shared" si="96"/>
        <v>0.36046396028599043</v>
      </c>
      <c r="AF98" s="631">
        <f t="shared" si="96"/>
        <v>0.25681747286022782</v>
      </c>
      <c r="AG98" s="631">
        <f t="shared" si="96"/>
        <v>0.35492334189088959</v>
      </c>
      <c r="AH98" s="631">
        <f t="shared" si="96"/>
        <v>0.31008842174390866</v>
      </c>
      <c r="AI98" s="631">
        <f t="shared" si="96"/>
        <v>0.33005610865110196</v>
      </c>
    </row>
    <row r="99" spans="1:36" s="619" customFormat="1" ht="14.5" hidden="1" outlineLevel="1">
      <c r="A99" s="990">
        <v>97</v>
      </c>
      <c r="B99" s="990">
        <v>1</v>
      </c>
      <c r="C99" s="990">
        <v>99</v>
      </c>
      <c r="D99" s="1121" t="s">
        <v>999</v>
      </c>
      <c r="E99" s="1243">
        <v>1</v>
      </c>
      <c r="F99" s="5"/>
      <c r="G99" s="5"/>
      <c r="H99" s="616"/>
      <c r="I99" s="617"/>
      <c r="J99" s="620"/>
      <c r="K99" s="616"/>
      <c r="L99" s="616"/>
      <c r="M99" s="618" t="s">
        <v>1028</v>
      </c>
      <c r="N99" s="620"/>
      <c r="O99" s="620"/>
      <c r="P99" s="1168"/>
      <c r="Q99" s="621">
        <f>IFERROR(Q102/Q77,0)</f>
        <v>0.29058813634165315</v>
      </c>
      <c r="R99" s="621">
        <f>IFERROR(R102/R77,0)</f>
        <v>0.39959514997853068</v>
      </c>
      <c r="S99" s="621">
        <f t="shared" ref="S99:AB99" si="97">IFERROR(S102/S77,0)</f>
        <v>0.33118017618977313</v>
      </c>
      <c r="T99" s="621">
        <f t="shared" si="97"/>
        <v>0.34050217911971414</v>
      </c>
      <c r="U99" s="621">
        <f t="shared" si="97"/>
        <v>0.30557653421687336</v>
      </c>
      <c r="V99" s="621">
        <f t="shared" si="97"/>
        <v>0.32648570954723866</v>
      </c>
      <c r="W99" s="621">
        <f t="shared" si="97"/>
        <v>0.316086646236514</v>
      </c>
      <c r="X99" s="621">
        <f t="shared" si="97"/>
        <v>0.35410237535743611</v>
      </c>
      <c r="Y99" s="621">
        <f t="shared" si="97"/>
        <v>0.29981856856856859</v>
      </c>
      <c r="Z99" s="621">
        <f t="shared" si="97"/>
        <v>0.23563914743625047</v>
      </c>
      <c r="AA99" s="621">
        <f t="shared" si="97"/>
        <v>0.20954531796725825</v>
      </c>
      <c r="AB99" s="621">
        <f t="shared" si="97"/>
        <v>0.17507820134184221</v>
      </c>
      <c r="AC99" s="621">
        <f t="shared" ref="AC99:AI101" si="98">IFERROR(AC102/AC77,0)</f>
        <v>0.32889474782176414</v>
      </c>
      <c r="AD99" s="621">
        <f t="shared" si="98"/>
        <v>0.32366034584276693</v>
      </c>
      <c r="AE99" s="621">
        <f t="shared" si="98"/>
        <v>0.32307622449597384</v>
      </c>
      <c r="AF99" s="621">
        <f t="shared" si="98"/>
        <v>0.20076449427514712</v>
      </c>
      <c r="AG99" s="621">
        <f t="shared" si="98"/>
        <v>0.32552867218838916</v>
      </c>
      <c r="AH99" s="621">
        <f t="shared" si="98"/>
        <v>0.26200641150331816</v>
      </c>
      <c r="AI99" s="621">
        <f t="shared" si="98"/>
        <v>0.29018501573540345</v>
      </c>
    </row>
    <row r="100" spans="1:36" s="619" customFormat="1" ht="14.5" hidden="1" outlineLevel="1">
      <c r="A100" s="990">
        <v>98</v>
      </c>
      <c r="B100" s="990">
        <v>1</v>
      </c>
      <c r="C100" s="990">
        <v>100</v>
      </c>
      <c r="D100" s="1121" t="s">
        <v>999</v>
      </c>
      <c r="E100" s="1243">
        <v>1</v>
      </c>
      <c r="F100" s="5"/>
      <c r="G100" s="5"/>
      <c r="H100" s="616"/>
      <c r="I100" s="617"/>
      <c r="J100" s="620"/>
      <c r="K100" s="616"/>
      <c r="L100" s="616"/>
      <c r="M100" s="618" t="s">
        <v>1029</v>
      </c>
      <c r="N100" s="620"/>
      <c r="O100" s="620"/>
      <c r="P100" s="1168"/>
      <c r="Q100" s="621">
        <f>IFERROR(Q103/Q78,0)</f>
        <v>0.41686751455374688</v>
      </c>
      <c r="R100" s="621">
        <f t="shared" ref="R100:AB101" si="99">IFERROR(R103/R78,0)</f>
        <v>0.34029690847872668</v>
      </c>
      <c r="S100" s="621">
        <f t="shared" si="99"/>
        <v>0.38929595412551771</v>
      </c>
      <c r="T100" s="621">
        <f t="shared" si="99"/>
        <v>0.41210155576952312</v>
      </c>
      <c r="U100" s="621">
        <f t="shared" si="99"/>
        <v>0.42427278655152123</v>
      </c>
      <c r="V100" s="621">
        <f t="shared" si="99"/>
        <v>0.43289015705904782</v>
      </c>
      <c r="W100" s="621">
        <f t="shared" si="99"/>
        <v>0.42072204198331925</v>
      </c>
      <c r="X100" s="621">
        <f t="shared" si="99"/>
        <v>0.39004196438697969</v>
      </c>
      <c r="Y100" s="621">
        <f t="shared" si="99"/>
        <v>0.46196436895301113</v>
      </c>
      <c r="Z100" s="621">
        <f t="shared" si="99"/>
        <v>0.39393939393939392</v>
      </c>
      <c r="AA100" s="621">
        <f t="shared" si="99"/>
        <v>0.38784212467724088</v>
      </c>
      <c r="AB100" s="621">
        <f t="shared" si="99"/>
        <v>0.34598720858262844</v>
      </c>
      <c r="AC100" s="621">
        <f t="shared" si="98"/>
        <v>0.39096113530075793</v>
      </c>
      <c r="AD100" s="621">
        <f t="shared" si="98"/>
        <v>0.42417507854638786</v>
      </c>
      <c r="AE100" s="621">
        <f t="shared" si="98"/>
        <v>0.42870627454772331</v>
      </c>
      <c r="AF100" s="621">
        <f t="shared" si="98"/>
        <v>0.37662414906214348</v>
      </c>
      <c r="AG100" s="621">
        <f t="shared" si="98"/>
        <v>0.41159366285586874</v>
      </c>
      <c r="AH100" s="621">
        <f t="shared" si="98"/>
        <v>0.40475278646778839</v>
      </c>
      <c r="AI100" s="621">
        <f t="shared" si="98"/>
        <v>0.40782289846132758</v>
      </c>
    </row>
    <row r="101" spans="1:36" s="619" customFormat="1" ht="14.5" hidden="1" outlineLevel="1">
      <c r="A101" s="990">
        <v>99</v>
      </c>
      <c r="B101" s="990">
        <v>1</v>
      </c>
      <c r="C101" s="990">
        <v>101</v>
      </c>
      <c r="D101" s="1121" t="s">
        <v>999</v>
      </c>
      <c r="E101" s="1243">
        <v>1</v>
      </c>
      <c r="F101" s="5"/>
      <c r="G101" s="5"/>
      <c r="H101" s="616"/>
      <c r="I101" s="617"/>
      <c r="J101" s="620"/>
      <c r="K101" s="616"/>
      <c r="L101" s="616"/>
      <c r="M101" s="618" t="s">
        <v>1030</v>
      </c>
      <c r="N101" s="620"/>
      <c r="O101" s="620"/>
      <c r="P101" s="1168"/>
      <c r="Q101" s="621">
        <f>IFERROR(Q104/Q79,0)</f>
        <v>0</v>
      </c>
      <c r="R101" s="621">
        <f t="shared" si="99"/>
        <v>0</v>
      </c>
      <c r="S101" s="621">
        <f t="shared" si="99"/>
        <v>0</v>
      </c>
      <c r="T101" s="621">
        <f t="shared" si="99"/>
        <v>0</v>
      </c>
      <c r="U101" s="621">
        <f t="shared" si="99"/>
        <v>0</v>
      </c>
      <c r="V101" s="621">
        <f t="shared" si="99"/>
        <v>0</v>
      </c>
      <c r="W101" s="621">
        <f t="shared" si="99"/>
        <v>0</v>
      </c>
      <c r="X101" s="621">
        <f t="shared" si="99"/>
        <v>0</v>
      </c>
      <c r="Y101" s="621">
        <f t="shared" si="99"/>
        <v>0</v>
      </c>
      <c r="Z101" s="621">
        <f t="shared" si="99"/>
        <v>0</v>
      </c>
      <c r="AA101" s="621">
        <f t="shared" si="99"/>
        <v>0</v>
      </c>
      <c r="AB101" s="621">
        <f t="shared" si="99"/>
        <v>0</v>
      </c>
      <c r="AC101" s="621">
        <f t="shared" si="98"/>
        <v>0</v>
      </c>
      <c r="AD101" s="621">
        <f t="shared" si="98"/>
        <v>0</v>
      </c>
      <c r="AE101" s="621">
        <f t="shared" si="98"/>
        <v>0</v>
      </c>
      <c r="AF101" s="621">
        <f t="shared" si="98"/>
        <v>0</v>
      </c>
      <c r="AG101" s="621">
        <f t="shared" si="98"/>
        <v>0</v>
      </c>
      <c r="AH101" s="621">
        <f t="shared" si="98"/>
        <v>0</v>
      </c>
      <c r="AI101" s="621">
        <f t="shared" si="98"/>
        <v>0</v>
      </c>
    </row>
    <row r="102" spans="1:36" collapsed="1">
      <c r="A102" s="990">
        <v>100</v>
      </c>
      <c r="B102" s="990">
        <v>1</v>
      </c>
      <c r="C102" s="990">
        <v>102</v>
      </c>
      <c r="D102" s="1121" t="s">
        <v>999</v>
      </c>
      <c r="E102" s="1243">
        <v>1</v>
      </c>
      <c r="F102" s="5"/>
      <c r="G102" s="5"/>
      <c r="H102" s="5"/>
      <c r="I102" s="30"/>
      <c r="J102" s="4"/>
      <c r="K102" s="5"/>
      <c r="L102" s="5"/>
      <c r="M102" s="4" t="s">
        <v>137</v>
      </c>
      <c r="N102" s="4"/>
      <c r="O102" s="4"/>
      <c r="P102" s="29"/>
      <c r="Q102" s="89">
        <f t="shared" ref="Q102:AB102" si="100">Q438+Q462</f>
        <v>27639</v>
      </c>
      <c r="R102" s="89">
        <f t="shared" si="100"/>
        <v>19543</v>
      </c>
      <c r="S102" s="89">
        <f t="shared" si="100"/>
        <v>26917</v>
      </c>
      <c r="T102" s="89">
        <f t="shared" si="100"/>
        <v>34689</v>
      </c>
      <c r="U102" s="89">
        <f t="shared" si="100"/>
        <v>37629</v>
      </c>
      <c r="V102" s="89">
        <f t="shared" si="100"/>
        <v>59058</v>
      </c>
      <c r="W102" s="89">
        <f t="shared" si="100"/>
        <v>30118</v>
      </c>
      <c r="X102" s="89">
        <f t="shared" si="100"/>
        <v>50029</v>
      </c>
      <c r="Y102" s="89">
        <f t="shared" si="100"/>
        <v>47923</v>
      </c>
      <c r="Z102" s="89">
        <f t="shared" si="100"/>
        <v>25671</v>
      </c>
      <c r="AA102" s="89">
        <f t="shared" si="100"/>
        <v>21619</v>
      </c>
      <c r="AB102" s="89">
        <f t="shared" si="100"/>
        <v>32071</v>
      </c>
      <c r="AC102" s="89">
        <f t="shared" ref="AC102:AC108" si="101">SUM(Q102,R102,S102)</f>
        <v>74099</v>
      </c>
      <c r="AD102" s="89">
        <f t="shared" ref="AD102:AD108" si="102">SUM(T102,U102,V102)</f>
        <v>131376</v>
      </c>
      <c r="AE102" s="89">
        <f t="shared" ref="AE102:AE108" si="103">SUM(W102,X102,Y102)</f>
        <v>128070</v>
      </c>
      <c r="AF102" s="89">
        <f t="shared" ref="AF102:AF108" si="104">SUM(Z102,AA102,AB102)</f>
        <v>79361</v>
      </c>
      <c r="AG102" s="89">
        <f>AC102+AD102</f>
        <v>205475</v>
      </c>
      <c r="AH102" s="89">
        <f>AF102+AE102</f>
        <v>207431</v>
      </c>
      <c r="AI102" s="89">
        <f>AG102+AH102</f>
        <v>412906</v>
      </c>
    </row>
    <row r="103" spans="1:36">
      <c r="A103" s="990">
        <v>101</v>
      </c>
      <c r="B103" s="990">
        <v>1</v>
      </c>
      <c r="C103" s="990">
        <v>103</v>
      </c>
      <c r="D103" s="1121" t="s">
        <v>999</v>
      </c>
      <c r="E103" s="1243">
        <v>1</v>
      </c>
      <c r="F103" s="5"/>
      <c r="G103" s="5"/>
      <c r="H103" s="5"/>
      <c r="I103" s="30"/>
      <c r="J103" s="4"/>
      <c r="K103" s="5"/>
      <c r="L103" s="5"/>
      <c r="M103" s="4" t="s">
        <v>95</v>
      </c>
      <c r="N103" s="4"/>
      <c r="O103" s="4"/>
      <c r="P103" s="29"/>
      <c r="Q103" s="89">
        <f t="shared" ref="Q103:AB103" si="105">Q443+Q467</f>
        <v>22485</v>
      </c>
      <c r="R103" s="89">
        <f t="shared" si="105"/>
        <v>8894</v>
      </c>
      <c r="S103" s="89">
        <f t="shared" si="105"/>
        <v>17108</v>
      </c>
      <c r="T103" s="89">
        <f t="shared" si="105"/>
        <v>24396</v>
      </c>
      <c r="U103" s="89">
        <f t="shared" si="105"/>
        <v>26677</v>
      </c>
      <c r="V103" s="89">
        <f t="shared" si="105"/>
        <v>35197</v>
      </c>
      <c r="W103" s="89">
        <f t="shared" si="105"/>
        <v>28400</v>
      </c>
      <c r="X103" s="89">
        <f t="shared" si="105"/>
        <v>24073</v>
      </c>
      <c r="Y103" s="89">
        <f t="shared" si="105"/>
        <v>40633</v>
      </c>
      <c r="Z103" s="89">
        <f t="shared" si="105"/>
        <v>23244</v>
      </c>
      <c r="AA103" s="89">
        <f t="shared" si="105"/>
        <v>26286</v>
      </c>
      <c r="AB103" s="89">
        <f t="shared" si="105"/>
        <v>20124</v>
      </c>
      <c r="AC103" s="89">
        <f t="shared" si="101"/>
        <v>48487</v>
      </c>
      <c r="AD103" s="89">
        <f t="shared" si="102"/>
        <v>86270</v>
      </c>
      <c r="AE103" s="89">
        <f t="shared" si="103"/>
        <v>93106</v>
      </c>
      <c r="AF103" s="89">
        <f t="shared" si="104"/>
        <v>69654</v>
      </c>
      <c r="AG103" s="89">
        <f>AC103+AD103</f>
        <v>134757</v>
      </c>
      <c r="AH103" s="89">
        <f>AF103+AE103</f>
        <v>162760</v>
      </c>
      <c r="AI103" s="89">
        <f>AG103+AH103</f>
        <v>297517</v>
      </c>
    </row>
    <row r="104" spans="1:36">
      <c r="A104" s="990">
        <v>102</v>
      </c>
      <c r="B104" s="990">
        <v>1</v>
      </c>
      <c r="C104" s="990">
        <v>104</v>
      </c>
      <c r="D104" s="1121" t="s">
        <v>999</v>
      </c>
      <c r="E104" s="1243">
        <v>1</v>
      </c>
      <c r="F104" s="5"/>
      <c r="G104" s="5"/>
      <c r="H104" s="5"/>
      <c r="I104" s="30"/>
      <c r="J104" s="4"/>
      <c r="K104" s="5"/>
      <c r="L104" s="5"/>
      <c r="M104" s="4" t="s">
        <v>11</v>
      </c>
      <c r="N104" s="4"/>
      <c r="O104" s="4"/>
      <c r="P104" s="29"/>
      <c r="Q104" s="89">
        <f t="shared" ref="Q104:AB104" si="106">Q460+Q484</f>
        <v>0</v>
      </c>
      <c r="R104" s="89">
        <f t="shared" si="106"/>
        <v>0</v>
      </c>
      <c r="S104" s="89">
        <f t="shared" si="106"/>
        <v>0</v>
      </c>
      <c r="T104" s="89">
        <f t="shared" si="106"/>
        <v>0</v>
      </c>
      <c r="U104" s="89">
        <f t="shared" si="106"/>
        <v>0</v>
      </c>
      <c r="V104" s="89">
        <f t="shared" si="106"/>
        <v>0</v>
      </c>
      <c r="W104" s="89">
        <f t="shared" si="106"/>
        <v>0</v>
      </c>
      <c r="X104" s="89">
        <f t="shared" si="106"/>
        <v>0</v>
      </c>
      <c r="Y104" s="89">
        <f t="shared" si="106"/>
        <v>0</v>
      </c>
      <c r="Z104" s="89">
        <f t="shared" si="106"/>
        <v>0</v>
      </c>
      <c r="AA104" s="89">
        <f t="shared" si="106"/>
        <v>0</v>
      </c>
      <c r="AB104" s="89">
        <f t="shared" si="106"/>
        <v>0</v>
      </c>
      <c r="AC104" s="89">
        <f t="shared" si="101"/>
        <v>0</v>
      </c>
      <c r="AD104" s="89">
        <f t="shared" si="102"/>
        <v>0</v>
      </c>
      <c r="AE104" s="89">
        <f t="shared" si="103"/>
        <v>0</v>
      </c>
      <c r="AF104" s="89">
        <f t="shared" si="104"/>
        <v>0</v>
      </c>
      <c r="AG104" s="89">
        <f>AC104+AD104</f>
        <v>0</v>
      </c>
      <c r="AH104" s="89">
        <f>AF104+AE104</f>
        <v>0</v>
      </c>
      <c r="AI104" s="89">
        <f>AG104+AH104</f>
        <v>0</v>
      </c>
    </row>
    <row r="105" spans="1:36">
      <c r="A105" s="990">
        <v>103</v>
      </c>
      <c r="B105" s="990">
        <v>1</v>
      </c>
      <c r="C105" s="990">
        <v>105</v>
      </c>
      <c r="D105" s="1121" t="s">
        <v>999</v>
      </c>
      <c r="E105" s="1243">
        <v>1</v>
      </c>
      <c r="F105" s="5"/>
      <c r="G105" s="5"/>
      <c r="H105" s="5"/>
      <c r="I105" s="1161" t="s">
        <v>97</v>
      </c>
      <c r="J105" s="787"/>
      <c r="K105" s="1162"/>
      <c r="L105" s="1162"/>
      <c r="M105" s="1162"/>
      <c r="N105" s="1162"/>
      <c r="O105" s="1162"/>
      <c r="P105" s="1164"/>
      <c r="Q105" s="137">
        <f>SUM(Q106:Q108)</f>
        <v>48483</v>
      </c>
      <c r="R105" s="137">
        <f t="shared" ref="R105:AB105" si="107">SUM(R106:R108)</f>
        <v>38047</v>
      </c>
      <c r="S105" s="137">
        <f t="shared" si="107"/>
        <v>39470</v>
      </c>
      <c r="T105" s="137">
        <f t="shared" si="107"/>
        <v>42225</v>
      </c>
      <c r="U105" s="137">
        <f t="shared" si="107"/>
        <v>51052</v>
      </c>
      <c r="V105" s="137">
        <f t="shared" si="107"/>
        <v>47758</v>
      </c>
      <c r="W105" s="137">
        <f t="shared" si="107"/>
        <v>58030</v>
      </c>
      <c r="X105" s="137">
        <f t="shared" si="107"/>
        <v>54473</v>
      </c>
      <c r="Y105" s="137">
        <f t="shared" si="107"/>
        <v>46276</v>
      </c>
      <c r="Z105" s="137">
        <f t="shared" si="107"/>
        <v>42350</v>
      </c>
      <c r="AA105" s="137">
        <f t="shared" si="107"/>
        <v>36089.437518303414</v>
      </c>
      <c r="AB105" s="137">
        <f t="shared" si="107"/>
        <v>65602.6662293564</v>
      </c>
      <c r="AC105" s="137">
        <f t="shared" si="101"/>
        <v>126000</v>
      </c>
      <c r="AD105" s="137">
        <f t="shared" si="102"/>
        <v>141035</v>
      </c>
      <c r="AE105" s="137">
        <f t="shared" si="103"/>
        <v>158779</v>
      </c>
      <c r="AF105" s="137">
        <f t="shared" si="104"/>
        <v>144042.10374765983</v>
      </c>
      <c r="AG105" s="137">
        <f t="shared" ref="AG105:AI105" si="108">SUM(AG106:AG108)</f>
        <v>267035</v>
      </c>
      <c r="AH105" s="137">
        <f t="shared" si="108"/>
        <v>302821.10374765983</v>
      </c>
      <c r="AI105" s="137">
        <f t="shared" si="108"/>
        <v>569856.10374765983</v>
      </c>
    </row>
    <row r="106" spans="1:36">
      <c r="A106" s="990">
        <v>104</v>
      </c>
      <c r="B106" s="990">
        <v>1</v>
      </c>
      <c r="C106" s="990">
        <v>106</v>
      </c>
      <c r="D106" s="1121" t="s">
        <v>999</v>
      </c>
      <c r="E106" s="1243">
        <v>1</v>
      </c>
      <c r="F106" s="5"/>
      <c r="G106" s="5"/>
      <c r="H106" s="5"/>
      <c r="I106" s="30"/>
      <c r="J106" s="40" t="s">
        <v>143</v>
      </c>
      <c r="K106" s="5"/>
      <c r="L106" s="5"/>
      <c r="M106" s="4"/>
      <c r="N106" s="4"/>
      <c r="O106" s="4"/>
      <c r="P106" s="29"/>
      <c r="Q106" s="2039">
        <v>11998</v>
      </c>
      <c r="R106" s="2039">
        <v>6590</v>
      </c>
      <c r="S106" s="2039">
        <v>9844</v>
      </c>
      <c r="T106" s="2039">
        <v>9113</v>
      </c>
      <c r="U106" s="2039">
        <v>16108</v>
      </c>
      <c r="V106" s="2039">
        <v>15390</v>
      </c>
      <c r="W106" s="2039">
        <v>13843</v>
      </c>
      <c r="X106" s="2039">
        <v>11411</v>
      </c>
      <c r="Y106" s="2039">
        <v>13900</v>
      </c>
      <c r="Z106" s="2039">
        <v>11926</v>
      </c>
      <c r="AA106" s="2039">
        <v>426.06558946235259</v>
      </c>
      <c r="AB106" s="2039">
        <v>14626.873553411262</v>
      </c>
      <c r="AC106" s="89">
        <f t="shared" si="101"/>
        <v>28432</v>
      </c>
      <c r="AD106" s="89">
        <f t="shared" si="102"/>
        <v>40611</v>
      </c>
      <c r="AE106" s="89">
        <f t="shared" si="103"/>
        <v>39154</v>
      </c>
      <c r="AF106" s="89">
        <f t="shared" si="104"/>
        <v>26978.939142873613</v>
      </c>
      <c r="AG106" s="89">
        <f>AC106+AD106</f>
        <v>69043</v>
      </c>
      <c r="AH106" s="89">
        <f>AF106+AE106</f>
        <v>66132.939142873613</v>
      </c>
      <c r="AI106" s="89">
        <f>AG106+AH106</f>
        <v>135175.93914287363</v>
      </c>
    </row>
    <row r="107" spans="1:36">
      <c r="A107" s="990">
        <v>105</v>
      </c>
      <c r="B107" s="990">
        <v>1</v>
      </c>
      <c r="C107" s="990">
        <v>107</v>
      </c>
      <c r="D107" s="1121" t="s">
        <v>999</v>
      </c>
      <c r="E107" s="1243">
        <v>1</v>
      </c>
      <c r="F107" s="5"/>
      <c r="G107" s="5"/>
      <c r="H107" s="5"/>
      <c r="I107" s="30"/>
      <c r="J107" s="40" t="s">
        <v>96</v>
      </c>
      <c r="K107" s="5"/>
      <c r="L107" s="5"/>
      <c r="M107" s="4"/>
      <c r="N107" s="4"/>
      <c r="O107" s="4"/>
      <c r="P107" s="29"/>
      <c r="Q107" s="2039">
        <v>22574</v>
      </c>
      <c r="R107" s="2039">
        <v>21601</v>
      </c>
      <c r="S107" s="2039">
        <v>21876</v>
      </c>
      <c r="T107" s="2039">
        <v>21565</v>
      </c>
      <c r="U107" s="2039">
        <v>21587</v>
      </c>
      <c r="V107" s="2039">
        <v>19409</v>
      </c>
      <c r="W107" s="2039">
        <v>19927</v>
      </c>
      <c r="X107" s="2039">
        <v>18823</v>
      </c>
      <c r="Y107" s="2039">
        <v>20041</v>
      </c>
      <c r="Z107" s="2039">
        <v>19571</v>
      </c>
      <c r="AA107" s="2039">
        <f>30470.9889953562+881</f>
        <v>31351.988995356201</v>
      </c>
      <c r="AB107" s="2039">
        <v>25405.79267594514</v>
      </c>
      <c r="AC107" s="89">
        <f t="shared" si="101"/>
        <v>66051</v>
      </c>
      <c r="AD107" s="89">
        <f t="shared" si="102"/>
        <v>62561</v>
      </c>
      <c r="AE107" s="89">
        <f t="shared" si="103"/>
        <v>58791</v>
      </c>
      <c r="AF107" s="89">
        <f t="shared" si="104"/>
        <v>76328.781671301345</v>
      </c>
      <c r="AG107" s="89">
        <f>AC107+AD107</f>
        <v>128612</v>
      </c>
      <c r="AH107" s="89">
        <f>AF107+AE107</f>
        <v>135119.78167130135</v>
      </c>
      <c r="AI107" s="89">
        <f>AG107+AH107</f>
        <v>263731.78167130135</v>
      </c>
    </row>
    <row r="108" spans="1:36">
      <c r="A108" s="990">
        <v>106</v>
      </c>
      <c r="B108" s="990">
        <v>1</v>
      </c>
      <c r="C108" s="990">
        <v>108</v>
      </c>
      <c r="D108" s="1121" t="s">
        <v>999</v>
      </c>
      <c r="E108" s="1243">
        <v>1</v>
      </c>
      <c r="F108" s="5"/>
      <c r="G108" s="5"/>
      <c r="H108" s="5"/>
      <c r="I108" s="30"/>
      <c r="J108" s="40" t="s">
        <v>142</v>
      </c>
      <c r="K108" s="52"/>
      <c r="L108" s="52"/>
      <c r="M108" s="51"/>
      <c r="N108" s="51"/>
      <c r="O108" s="51"/>
      <c r="P108" s="50"/>
      <c r="Q108" s="2043">
        <v>13911</v>
      </c>
      <c r="R108" s="2043">
        <v>9856</v>
      </c>
      <c r="S108" s="2043">
        <v>7750</v>
      </c>
      <c r="T108" s="2043">
        <v>11547</v>
      </c>
      <c r="U108" s="2043">
        <v>13357</v>
      </c>
      <c r="V108" s="2043">
        <v>12959</v>
      </c>
      <c r="W108" s="2043">
        <v>24260</v>
      </c>
      <c r="X108" s="2043">
        <v>24239</v>
      </c>
      <c r="Y108" s="2043">
        <v>12335</v>
      </c>
      <c r="Z108" s="2043">
        <v>10853</v>
      </c>
      <c r="AA108" s="2043">
        <v>4311.3829334848633</v>
      </c>
      <c r="AB108" s="2043">
        <v>25570</v>
      </c>
      <c r="AC108" s="134">
        <f t="shared" si="101"/>
        <v>31517</v>
      </c>
      <c r="AD108" s="134">
        <f t="shared" si="102"/>
        <v>37863</v>
      </c>
      <c r="AE108" s="134">
        <f t="shared" si="103"/>
        <v>60834</v>
      </c>
      <c r="AF108" s="134">
        <f t="shared" si="104"/>
        <v>40734.382933484863</v>
      </c>
      <c r="AG108" s="134">
        <f>AC108+AD108</f>
        <v>69380</v>
      </c>
      <c r="AH108" s="134">
        <f>AF108+AE108</f>
        <v>101568.38293348486</v>
      </c>
      <c r="AI108" s="134">
        <f>AG108+AH108</f>
        <v>170948.38293348486</v>
      </c>
    </row>
    <row r="109" spans="1:36">
      <c r="A109" s="990">
        <v>107</v>
      </c>
      <c r="B109" s="990">
        <v>1</v>
      </c>
      <c r="C109" s="990">
        <v>109</v>
      </c>
      <c r="D109" s="1121" t="s">
        <v>999</v>
      </c>
      <c r="E109" s="1243">
        <v>1</v>
      </c>
      <c r="F109" s="5"/>
      <c r="G109" s="5"/>
      <c r="H109" s="5"/>
      <c r="I109" s="1161" t="s">
        <v>136</v>
      </c>
      <c r="J109" s="787"/>
      <c r="K109" s="1162"/>
      <c r="L109" s="1162"/>
      <c r="M109" s="787"/>
      <c r="N109" s="787"/>
      <c r="O109" s="787"/>
      <c r="P109" s="1169"/>
      <c r="Q109" s="137">
        <f>Q97-Q105</f>
        <v>1641</v>
      </c>
      <c r="R109" s="137">
        <f t="shared" ref="R109:AB109" si="109">R97-R105</f>
        <v>-9610</v>
      </c>
      <c r="S109" s="137">
        <f t="shared" si="109"/>
        <v>4555</v>
      </c>
      <c r="T109" s="137">
        <f t="shared" si="109"/>
        <v>16860</v>
      </c>
      <c r="U109" s="137">
        <f t="shared" si="109"/>
        <v>13254</v>
      </c>
      <c r="V109" s="137">
        <f t="shared" si="109"/>
        <v>46497</v>
      </c>
      <c r="W109" s="137">
        <f t="shared" si="109"/>
        <v>488</v>
      </c>
      <c r="X109" s="137">
        <f t="shared" si="109"/>
        <v>19629</v>
      </c>
      <c r="Y109" s="137">
        <f t="shared" si="109"/>
        <v>42280</v>
      </c>
      <c r="Z109" s="137">
        <f t="shared" si="109"/>
        <v>6565</v>
      </c>
      <c r="AA109" s="137">
        <f t="shared" si="109"/>
        <v>11815.562481696586</v>
      </c>
      <c r="AB109" s="137">
        <f t="shared" si="109"/>
        <v>-13407.6662293564</v>
      </c>
      <c r="AC109" s="137">
        <f>AC97-AC105</f>
        <v>-3414</v>
      </c>
      <c r="AD109" s="137">
        <f t="shared" ref="AD109:AI109" si="110">AD97-AD105</f>
        <v>76611</v>
      </c>
      <c r="AE109" s="137">
        <f t="shared" si="110"/>
        <v>62397</v>
      </c>
      <c r="AF109" s="137">
        <f t="shared" si="110"/>
        <v>4972.8962523401715</v>
      </c>
      <c r="AG109" s="137">
        <f t="shared" si="110"/>
        <v>73197</v>
      </c>
      <c r="AH109" s="137">
        <f t="shared" si="110"/>
        <v>67369.896252340171</v>
      </c>
      <c r="AI109" s="137">
        <f t="shared" si="110"/>
        <v>140566.89625234017</v>
      </c>
      <c r="AJ109" s="290"/>
    </row>
    <row r="110" spans="1:36" ht="14.5">
      <c r="A110" s="990">
        <v>108</v>
      </c>
      <c r="B110" s="990">
        <v>1</v>
      </c>
      <c r="C110" s="990">
        <v>110</v>
      </c>
      <c r="D110" s="1121" t="s">
        <v>999</v>
      </c>
      <c r="E110" s="1243">
        <v>1</v>
      </c>
      <c r="F110" s="5"/>
      <c r="G110" s="5"/>
      <c r="H110" s="5"/>
      <c r="I110" s="28"/>
      <c r="J110" s="629" t="s">
        <v>135</v>
      </c>
      <c r="K110" s="3"/>
      <c r="L110" s="3"/>
      <c r="M110" s="2"/>
      <c r="N110" s="2"/>
      <c r="O110" s="2"/>
      <c r="P110" s="27"/>
      <c r="Q110" s="863">
        <f t="shared" ref="Q110:AB110" si="111">IFERROR(Q109/Q76,0)</f>
        <v>1.1009580549070122E-2</v>
      </c>
      <c r="R110" s="863">
        <f t="shared" si="111"/>
        <v>-0.12805991231693828</v>
      </c>
      <c r="S110" s="863">
        <f t="shared" si="111"/>
        <v>3.6375397294405136E-2</v>
      </c>
      <c r="T110" s="863">
        <f t="shared" si="111"/>
        <v>0.10467173676858606</v>
      </c>
      <c r="U110" s="863">
        <f t="shared" si="111"/>
        <v>7.1251169241686285E-2</v>
      </c>
      <c r="V110" s="863">
        <f t="shared" si="111"/>
        <v>0.17733612512728977</v>
      </c>
      <c r="W110" s="863">
        <f t="shared" si="111"/>
        <v>2.9977823781997333E-3</v>
      </c>
      <c r="X110" s="863">
        <f t="shared" si="111"/>
        <v>9.6693152317946035E-2</v>
      </c>
      <c r="Y110" s="863">
        <f t="shared" si="111"/>
        <v>0.1706235345867787</v>
      </c>
      <c r="Z110" s="863">
        <f t="shared" si="111"/>
        <v>3.9089945577745228E-2</v>
      </c>
      <c r="AA110" s="863">
        <f t="shared" si="111"/>
        <v>6.911868357081527E-2</v>
      </c>
      <c r="AB110" s="863">
        <f t="shared" si="111"/>
        <v>-5.5553942403432435E-2</v>
      </c>
      <c r="AC110" s="863">
        <f t="shared" ref="AC110:AI110" si="112">IFERROR(AC109/AC76,0)</f>
        <v>-9.7733577237867041E-3</v>
      </c>
      <c r="AD110" s="863">
        <f t="shared" si="112"/>
        <v>0.12573815424510495</v>
      </c>
      <c r="AE110" s="863">
        <f t="shared" si="112"/>
        <v>0.10169218057097038</v>
      </c>
      <c r="AF110" s="863">
        <f t="shared" si="112"/>
        <v>8.5704569897131194E-3</v>
      </c>
      <c r="AG110" s="863">
        <f t="shared" si="112"/>
        <v>7.635767316533261E-2</v>
      </c>
      <c r="AH110" s="863">
        <f t="shared" si="112"/>
        <v>5.6432016991064156E-2</v>
      </c>
      <c r="AI110" s="863">
        <f t="shared" si="112"/>
        <v>6.5306110278257543E-2</v>
      </c>
      <c r="AJ110" s="619"/>
    </row>
    <row r="111" spans="1:36">
      <c r="A111" s="990">
        <v>109</v>
      </c>
      <c r="B111" s="990">
        <v>1</v>
      </c>
      <c r="C111" s="990">
        <v>111</v>
      </c>
      <c r="D111" s="1121" t="s">
        <v>999</v>
      </c>
      <c r="E111" s="1243">
        <v>1</v>
      </c>
      <c r="F111" s="5"/>
      <c r="G111" s="5"/>
      <c r="H111" s="5"/>
      <c r="I111" s="258" t="s">
        <v>504</v>
      </c>
      <c r="J111" s="555"/>
      <c r="K111" s="636"/>
      <c r="L111" s="636"/>
      <c r="M111" s="555"/>
      <c r="N111" s="555"/>
      <c r="O111" s="555"/>
      <c r="P111" s="1152"/>
      <c r="Q111" s="2618">
        <v>140</v>
      </c>
      <c r="R111" s="2618">
        <v>0</v>
      </c>
      <c r="S111" s="2618">
        <v>1838</v>
      </c>
      <c r="T111" s="2618">
        <v>611</v>
      </c>
      <c r="U111" s="2618">
        <v>491</v>
      </c>
      <c r="V111" s="2618">
        <v>0</v>
      </c>
      <c r="W111" s="2618">
        <v>192</v>
      </c>
      <c r="X111" s="2618">
        <v>83</v>
      </c>
      <c r="Y111" s="2618">
        <v>1933</v>
      </c>
      <c r="Z111" s="2618">
        <v>5</v>
      </c>
      <c r="AA111" s="2618">
        <v>119</v>
      </c>
      <c r="AB111" s="2618">
        <f>2167+29011</f>
        <v>31178</v>
      </c>
      <c r="AC111" s="122">
        <f>SUM(Q111:S111)</f>
        <v>1978</v>
      </c>
      <c r="AD111" s="122">
        <f>SUM(T111:V111)</f>
        <v>1102</v>
      </c>
      <c r="AE111" s="122">
        <f>SUM(W111:Y111)</f>
        <v>2208</v>
      </c>
      <c r="AF111" s="122">
        <f>SUM(Z111:AB111)</f>
        <v>31302</v>
      </c>
      <c r="AG111" s="122">
        <f>AC111+AD111</f>
        <v>3080</v>
      </c>
      <c r="AH111" s="122">
        <f>AF111+AE111</f>
        <v>33510</v>
      </c>
      <c r="AI111" s="122">
        <f>AG111+AH111</f>
        <v>36590</v>
      </c>
    </row>
    <row r="112" spans="1:36">
      <c r="A112" s="990">
        <v>110</v>
      </c>
      <c r="B112" s="990">
        <v>1</v>
      </c>
      <c r="C112" s="990">
        <v>112</v>
      </c>
      <c r="D112" s="1121" t="s">
        <v>999</v>
      </c>
      <c r="E112" s="1243">
        <v>1</v>
      </c>
      <c r="F112" s="5"/>
      <c r="G112" s="5"/>
      <c r="H112" s="5"/>
      <c r="I112" s="121" t="s">
        <v>1002</v>
      </c>
      <c r="J112" s="119"/>
      <c r="K112" s="120"/>
      <c r="L112" s="120"/>
      <c r="M112" s="119"/>
      <c r="N112" s="119"/>
      <c r="O112" s="119"/>
      <c r="P112" s="118"/>
      <c r="Q112" s="2035">
        <v>0</v>
      </c>
      <c r="R112" s="2035">
        <v>0</v>
      </c>
      <c r="S112" s="2035">
        <v>0</v>
      </c>
      <c r="T112" s="2035">
        <v>196</v>
      </c>
      <c r="U112" s="2035">
        <v>0</v>
      </c>
      <c r="V112" s="2035">
        <v>130</v>
      </c>
      <c r="W112" s="2035">
        <v>0</v>
      </c>
      <c r="X112" s="2035">
        <v>0</v>
      </c>
      <c r="Y112" s="2035">
        <v>0</v>
      </c>
      <c r="Z112" s="2035">
        <v>0</v>
      </c>
      <c r="AA112" s="2035"/>
      <c r="AB112" s="2035">
        <v>0</v>
      </c>
      <c r="AC112" s="122">
        <f>SUM(Q112:S112)</f>
        <v>0</v>
      </c>
      <c r="AD112" s="92">
        <f>SUM(T112:V112)</f>
        <v>326</v>
      </c>
      <c r="AE112" s="92">
        <f>SUM(W112:Y112)</f>
        <v>0</v>
      </c>
      <c r="AF112" s="92">
        <f>SUM(Z112:AB112)</f>
        <v>0</v>
      </c>
      <c r="AG112" s="92">
        <f>AC112+AD112</f>
        <v>326</v>
      </c>
      <c r="AH112" s="92">
        <f>AF112+AE112</f>
        <v>0</v>
      </c>
      <c r="AI112" s="92">
        <f>AG112+AH112</f>
        <v>326</v>
      </c>
    </row>
    <row r="113" spans="1:36">
      <c r="A113" s="990">
        <v>111</v>
      </c>
      <c r="B113" s="990">
        <v>1</v>
      </c>
      <c r="C113" s="990">
        <v>113</v>
      </c>
      <c r="D113" s="1121" t="s">
        <v>999</v>
      </c>
      <c r="E113" s="1243">
        <v>1</v>
      </c>
      <c r="F113" s="5"/>
      <c r="G113" s="5"/>
      <c r="H113" s="5"/>
      <c r="I113" s="1161" t="s">
        <v>10</v>
      </c>
      <c r="J113" s="787"/>
      <c r="K113" s="1162"/>
      <c r="L113" s="1162"/>
      <c r="M113" s="1162"/>
      <c r="N113" s="1162"/>
      <c r="O113" s="1162"/>
      <c r="P113" s="1164"/>
      <c r="Q113" s="137">
        <f>Q109+Q111-Q112</f>
        <v>1781</v>
      </c>
      <c r="R113" s="137">
        <f t="shared" ref="R113:AB113" si="113">R109+R111-R112</f>
        <v>-9610</v>
      </c>
      <c r="S113" s="137">
        <f t="shared" si="113"/>
        <v>6393</v>
      </c>
      <c r="T113" s="137">
        <f t="shared" si="113"/>
        <v>17275</v>
      </c>
      <c r="U113" s="137">
        <f t="shared" si="113"/>
        <v>13745</v>
      </c>
      <c r="V113" s="137">
        <f t="shared" si="113"/>
        <v>46367</v>
      </c>
      <c r="W113" s="137">
        <f t="shared" si="113"/>
        <v>680</v>
      </c>
      <c r="X113" s="137">
        <f t="shared" si="113"/>
        <v>19712</v>
      </c>
      <c r="Y113" s="137">
        <f t="shared" si="113"/>
        <v>44213</v>
      </c>
      <c r="Z113" s="137">
        <f t="shared" si="113"/>
        <v>6570</v>
      </c>
      <c r="AA113" s="137">
        <f t="shared" si="113"/>
        <v>11934.562481696586</v>
      </c>
      <c r="AB113" s="137">
        <f t="shared" si="113"/>
        <v>17770.3337706436</v>
      </c>
      <c r="AC113" s="137">
        <f t="shared" ref="AC113:AI113" si="114">AC109+AC111-AC112</f>
        <v>-1436</v>
      </c>
      <c r="AD113" s="137">
        <f t="shared" si="114"/>
        <v>77387</v>
      </c>
      <c r="AE113" s="137">
        <f t="shared" si="114"/>
        <v>64605</v>
      </c>
      <c r="AF113" s="137">
        <f t="shared" si="114"/>
        <v>36274.896252340171</v>
      </c>
      <c r="AG113" s="137">
        <f t="shared" si="114"/>
        <v>75951</v>
      </c>
      <c r="AH113" s="137">
        <f t="shared" si="114"/>
        <v>100879.89625234017</v>
      </c>
      <c r="AI113" s="137">
        <f t="shared" si="114"/>
        <v>176830.89625234017</v>
      </c>
    </row>
    <row r="114" spans="1:36" ht="14.5">
      <c r="A114" s="990">
        <v>112</v>
      </c>
      <c r="B114" s="990">
        <v>1</v>
      </c>
      <c r="C114" s="990">
        <v>114</v>
      </c>
      <c r="D114" s="1121" t="s">
        <v>999</v>
      </c>
      <c r="E114" s="1243">
        <v>1</v>
      </c>
      <c r="F114" s="5"/>
      <c r="G114" s="5"/>
      <c r="H114" s="5"/>
      <c r="I114" s="28"/>
      <c r="J114" s="629" t="s">
        <v>135</v>
      </c>
      <c r="K114" s="3"/>
      <c r="L114" s="3"/>
      <c r="M114" s="2"/>
      <c r="N114" s="2"/>
      <c r="O114" s="2"/>
      <c r="P114" s="27"/>
      <c r="Q114" s="863">
        <f t="shared" ref="Q114:AB114" si="115">IFERROR(Q113/Q76,0)</f>
        <v>1.1948850065748867E-2</v>
      </c>
      <c r="R114" s="863">
        <f t="shared" si="115"/>
        <v>-0.12805991231693828</v>
      </c>
      <c r="S114" s="863">
        <f t="shared" si="115"/>
        <v>5.1053329287185957E-2</v>
      </c>
      <c r="T114" s="863">
        <f t="shared" si="115"/>
        <v>0.10724817631538103</v>
      </c>
      <c r="U114" s="863">
        <f t="shared" si="115"/>
        <v>7.3890698749583372E-2</v>
      </c>
      <c r="V114" s="863">
        <f t="shared" si="115"/>
        <v>0.17684031472518755</v>
      </c>
      <c r="W114" s="863">
        <f t="shared" si="115"/>
        <v>4.1772377401143824E-3</v>
      </c>
      <c r="X114" s="863">
        <f t="shared" si="115"/>
        <v>9.7102013270739848E-2</v>
      </c>
      <c r="Y114" s="863">
        <f t="shared" si="115"/>
        <v>0.17842427470873337</v>
      </c>
      <c r="Z114" s="863">
        <f t="shared" si="115"/>
        <v>3.9119717051909544E-2</v>
      </c>
      <c r="AA114" s="863">
        <f t="shared" si="115"/>
        <v>6.9814809832909733E-2</v>
      </c>
      <c r="AB114" s="863">
        <f t="shared" si="115"/>
        <v>7.3630420230970606E-2</v>
      </c>
      <c r="AC114" s="863">
        <f t="shared" ref="AC114:AI114" si="116">IFERROR(AC113/AC76,0)</f>
        <v>-4.1108792300403362E-3</v>
      </c>
      <c r="AD114" s="863">
        <f t="shared" si="116"/>
        <v>0.12701176779530274</v>
      </c>
      <c r="AE114" s="863">
        <f t="shared" si="116"/>
        <v>0.10529069227346734</v>
      </c>
      <c r="AF114" s="863">
        <f t="shared" si="116"/>
        <v>6.2517378678609209E-2</v>
      </c>
      <c r="AG114" s="863">
        <f t="shared" si="116"/>
        <v>7.9230591890107213E-2</v>
      </c>
      <c r="AH114" s="863">
        <f t="shared" si="116"/>
        <v>8.4501481166688028E-2</v>
      </c>
      <c r="AI114" s="863">
        <f t="shared" si="116"/>
        <v>8.2154037110755321E-2</v>
      </c>
      <c r="AJ114" s="619"/>
    </row>
    <row r="115" spans="1:36">
      <c r="A115" s="990">
        <v>1</v>
      </c>
      <c r="B115" s="990">
        <v>1</v>
      </c>
      <c r="C115" s="990">
        <v>115</v>
      </c>
      <c r="D115" s="1121" t="s">
        <v>999</v>
      </c>
      <c r="E115" s="1292" t="s">
        <v>1013</v>
      </c>
      <c r="F115" s="1293"/>
      <c r="G115" s="1241"/>
      <c r="H115" s="5"/>
      <c r="I115" s="5"/>
      <c r="J115" s="4"/>
      <c r="K115" s="1256" t="s">
        <v>1031</v>
      </c>
      <c r="L115" s="1116"/>
      <c r="M115" s="798"/>
      <c r="N115" s="798"/>
      <c r="O115" s="798"/>
      <c r="P115" s="798"/>
      <c r="Q115" s="2186">
        <f>Q382</f>
        <v>0.3079234115062105</v>
      </c>
      <c r="R115" s="2186">
        <f t="shared" ref="R115:AI115" si="117">R382</f>
        <v>0.30791550418493424</v>
      </c>
      <c r="S115" s="2186">
        <f t="shared" si="117"/>
        <v>0.30791152447385678</v>
      </c>
      <c r="T115" s="2186">
        <f t="shared" si="117"/>
        <v>0.30790841600955471</v>
      </c>
      <c r="U115" s="2186">
        <f t="shared" si="117"/>
        <v>0.30791814178395649</v>
      </c>
      <c r="V115" s="2186">
        <f t="shared" si="117"/>
        <v>0.30791119625852259</v>
      </c>
      <c r="W115" s="2186">
        <f t="shared" si="117"/>
        <v>0.30792002329418616</v>
      </c>
      <c r="X115" s="2186">
        <f t="shared" si="117"/>
        <v>0.30225976324620818</v>
      </c>
      <c r="Y115" s="2186">
        <f t="shared" si="117"/>
        <v>0.3079317870592263</v>
      </c>
      <c r="Z115" s="2186">
        <f t="shared" si="117"/>
        <v>0.30792173540823792</v>
      </c>
      <c r="AA115" s="2186">
        <f t="shared" si="117"/>
        <v>0.30791117768037662</v>
      </c>
      <c r="AB115" s="2186">
        <f t="shared" si="117"/>
        <v>0.31352709302167492</v>
      </c>
      <c r="AC115" s="2186">
        <f t="shared" si="117"/>
        <v>0.3079170801631933</v>
      </c>
      <c r="AD115" s="2186">
        <f t="shared" si="117"/>
        <v>0.30791256746927992</v>
      </c>
      <c r="AE115" s="2186">
        <f t="shared" si="117"/>
        <v>0.30584394889079897</v>
      </c>
      <c r="AF115" s="2186">
        <f t="shared" si="117"/>
        <v>0.31106006421781573</v>
      </c>
      <c r="AG115" s="2186">
        <f t="shared" si="117"/>
        <v>0.30791470834406387</v>
      </c>
      <c r="AH115" s="2186">
        <f t="shared" si="117"/>
        <v>0.30816946338329421</v>
      </c>
      <c r="AI115" s="2186">
        <f t="shared" si="117"/>
        <v>0.30804973519079798</v>
      </c>
    </row>
    <row r="116" spans="1:36">
      <c r="A116" s="990">
        <v>1</v>
      </c>
      <c r="B116" s="990">
        <v>1</v>
      </c>
      <c r="C116" s="990">
        <v>116</v>
      </c>
      <c r="D116" s="1121" t="s">
        <v>999</v>
      </c>
      <c r="E116" s="1294" t="s">
        <v>1032</v>
      </c>
      <c r="F116" s="1295"/>
      <c r="G116" s="1241"/>
      <c r="H116" s="5"/>
      <c r="I116" s="5"/>
      <c r="J116" s="4"/>
      <c r="K116" s="30"/>
      <c r="L116" s="764" t="s">
        <v>884</v>
      </c>
      <c r="M116" s="323"/>
      <c r="N116" s="323"/>
      <c r="O116" s="323"/>
      <c r="P116" s="323"/>
      <c r="Q116" s="325">
        <f>SUM(Q117:Q119)</f>
        <v>21015</v>
      </c>
      <c r="R116" s="325">
        <f t="shared" ref="R116:AI116" si="118">SUM(R117:R119)</f>
        <v>18733</v>
      </c>
      <c r="S116" s="325">
        <f t="shared" si="118"/>
        <v>13647</v>
      </c>
      <c r="T116" s="325">
        <f t="shared" si="118"/>
        <v>19538</v>
      </c>
      <c r="U116" s="325">
        <f t="shared" si="118"/>
        <v>26090</v>
      </c>
      <c r="V116" s="325">
        <f t="shared" si="118"/>
        <v>14971</v>
      </c>
      <c r="W116" s="361">
        <f t="shared" si="118"/>
        <v>26305</v>
      </c>
      <c r="X116" s="361">
        <f t="shared" si="118"/>
        <v>19977</v>
      </c>
      <c r="Y116" s="361">
        <f t="shared" si="118"/>
        <v>17493</v>
      </c>
      <c r="Z116" s="1117">
        <f t="shared" si="118"/>
        <v>20050</v>
      </c>
      <c r="AA116" s="1117">
        <f t="shared" si="118"/>
        <v>24544</v>
      </c>
      <c r="AB116" s="1117">
        <f t="shared" si="118"/>
        <v>21713</v>
      </c>
      <c r="AC116" s="1117">
        <f>SUM(Q116,R116,S116)</f>
        <v>53395</v>
      </c>
      <c r="AD116" s="1117">
        <f>SUM(T116,U116,V116)</f>
        <v>60599</v>
      </c>
      <c r="AE116" s="1117">
        <f>SUM(W116,X116,Y116)</f>
        <v>63775</v>
      </c>
      <c r="AF116" s="1117">
        <f>SUM(Z116,AA116,AB116)</f>
        <v>66307</v>
      </c>
      <c r="AG116" s="1117">
        <f t="shared" si="118"/>
        <v>113994</v>
      </c>
      <c r="AH116" s="1117">
        <f t="shared" si="118"/>
        <v>130082</v>
      </c>
      <c r="AI116" s="1117">
        <f t="shared" si="118"/>
        <v>244076</v>
      </c>
    </row>
    <row r="117" spans="1:36">
      <c r="A117" s="990">
        <v>1</v>
      </c>
      <c r="B117" s="990">
        <v>1</v>
      </c>
      <c r="C117" s="990">
        <v>117</v>
      </c>
      <c r="D117" s="1121" t="s">
        <v>999</v>
      </c>
      <c r="E117" s="1294" t="s">
        <v>1032</v>
      </c>
      <c r="F117" s="1295"/>
      <c r="G117" s="1241"/>
      <c r="H117" s="5"/>
      <c r="I117" s="5"/>
      <c r="J117" s="4"/>
      <c r="K117" s="30"/>
      <c r="L117" s="30"/>
      <c r="M117" s="40" t="s">
        <v>143</v>
      </c>
      <c r="N117" s="4"/>
      <c r="O117" s="4"/>
      <c r="P117" s="4"/>
      <c r="Q117" s="2159">
        <v>1437</v>
      </c>
      <c r="R117" s="2159">
        <v>116</v>
      </c>
      <c r="S117" s="2159">
        <v>1412</v>
      </c>
      <c r="T117" s="2159">
        <v>537</v>
      </c>
      <c r="U117" s="2159">
        <v>7423</v>
      </c>
      <c r="V117" s="2159">
        <v>4374</v>
      </c>
      <c r="W117" s="2091">
        <v>3004</v>
      </c>
      <c r="X117" s="2091">
        <v>399</v>
      </c>
      <c r="Y117" s="2091">
        <v>3260</v>
      </c>
      <c r="Z117" s="2160">
        <v>1917</v>
      </c>
      <c r="AA117" s="2160">
        <v>-2176</v>
      </c>
      <c r="AB117" s="2160">
        <v>4277</v>
      </c>
      <c r="AC117" s="145">
        <f>SUM(Q117,R117,S117)</f>
        <v>2965</v>
      </c>
      <c r="AD117" s="145">
        <f>SUM(T117,U117,V117)</f>
        <v>12334</v>
      </c>
      <c r="AE117" s="145">
        <f>SUM(W117,X117,Y117)</f>
        <v>6663</v>
      </c>
      <c r="AF117" s="145">
        <f>SUM(Z117,AA117,AB117)</f>
        <v>4018</v>
      </c>
      <c r="AG117" s="145">
        <f>AC117+AD117</f>
        <v>15299</v>
      </c>
      <c r="AH117" s="145">
        <f>AF117+AE117</f>
        <v>10681</v>
      </c>
      <c r="AI117" s="145">
        <f>AG117+AH117</f>
        <v>25980</v>
      </c>
    </row>
    <row r="118" spans="1:36">
      <c r="A118" s="990">
        <v>1</v>
      </c>
      <c r="B118" s="990">
        <v>1</v>
      </c>
      <c r="C118" s="990">
        <v>118</v>
      </c>
      <c r="D118" s="1121" t="s">
        <v>999</v>
      </c>
      <c r="E118" s="1294" t="s">
        <v>1032</v>
      </c>
      <c r="F118" s="1295"/>
      <c r="G118" s="1241"/>
      <c r="H118" s="5"/>
      <c r="I118" s="5"/>
      <c r="J118" s="4"/>
      <c r="K118" s="30"/>
      <c r="L118" s="30"/>
      <c r="M118" s="40" t="s">
        <v>96</v>
      </c>
      <c r="N118" s="4"/>
      <c r="O118" s="4"/>
      <c r="P118" s="4"/>
      <c r="Q118" s="2159">
        <v>16129</v>
      </c>
      <c r="R118" s="2159">
        <v>15415</v>
      </c>
      <c r="S118" s="2159">
        <v>15440</v>
      </c>
      <c r="T118" s="2159">
        <v>15169</v>
      </c>
      <c r="U118" s="2159">
        <v>15190</v>
      </c>
      <c r="V118" s="2159">
        <v>12156</v>
      </c>
      <c r="W118" s="2091">
        <v>14270</v>
      </c>
      <c r="X118" s="2091">
        <v>14030</v>
      </c>
      <c r="Y118" s="2091">
        <v>14008</v>
      </c>
      <c r="Z118" s="2160">
        <v>13877</v>
      </c>
      <c r="AA118" s="2160">
        <f>21978+881</f>
        <v>22859</v>
      </c>
      <c r="AB118" s="2160">
        <v>13236</v>
      </c>
      <c r="AC118" s="145">
        <f>SUM(Q118,R118,S118)</f>
        <v>46984</v>
      </c>
      <c r="AD118" s="145">
        <f>SUM(T118,U118,V118)</f>
        <v>42515</v>
      </c>
      <c r="AE118" s="145">
        <f>SUM(W118,X118,Y118)</f>
        <v>42308</v>
      </c>
      <c r="AF118" s="145">
        <f>SUM(Z118,AA118,AB118)</f>
        <v>49972</v>
      </c>
      <c r="AG118" s="145">
        <f>AC118+AD118</f>
        <v>89499</v>
      </c>
      <c r="AH118" s="145">
        <f>AF118+AE118</f>
        <v>92280</v>
      </c>
      <c r="AI118" s="145">
        <f>AG118+AH118</f>
        <v>181779</v>
      </c>
    </row>
    <row r="119" spans="1:36">
      <c r="A119" s="990">
        <v>1</v>
      </c>
      <c r="B119" s="990">
        <v>1</v>
      </c>
      <c r="C119" s="990">
        <v>119</v>
      </c>
      <c r="D119" s="1121" t="s">
        <v>999</v>
      </c>
      <c r="E119" s="1294" t="s">
        <v>1032</v>
      </c>
      <c r="F119" s="1295"/>
      <c r="G119" s="1241"/>
      <c r="H119" s="5"/>
      <c r="I119" s="5"/>
      <c r="J119" s="4"/>
      <c r="K119" s="30"/>
      <c r="L119" s="28"/>
      <c r="M119" s="119" t="s">
        <v>142</v>
      </c>
      <c r="N119" s="2"/>
      <c r="O119" s="2"/>
      <c r="P119" s="2"/>
      <c r="Q119" s="2161">
        <v>3449</v>
      </c>
      <c r="R119" s="2161">
        <v>3202</v>
      </c>
      <c r="S119" s="2161">
        <v>-3205</v>
      </c>
      <c r="T119" s="2161">
        <v>3832</v>
      </c>
      <c r="U119" s="2161">
        <v>3477</v>
      </c>
      <c r="V119" s="2161">
        <v>-1559</v>
      </c>
      <c r="W119" s="2092">
        <v>9031</v>
      </c>
      <c r="X119" s="2092">
        <v>5548</v>
      </c>
      <c r="Y119" s="2092">
        <v>225</v>
      </c>
      <c r="Z119" s="2162">
        <v>4256</v>
      </c>
      <c r="AA119" s="2162">
        <v>3861</v>
      </c>
      <c r="AB119" s="2162">
        <v>4200</v>
      </c>
      <c r="AC119" s="142">
        <f>SUM(Q119,R119,S119)</f>
        <v>3446</v>
      </c>
      <c r="AD119" s="142">
        <f>SUM(T119,U119,V119)</f>
        <v>5750</v>
      </c>
      <c r="AE119" s="142">
        <f>SUM(W119,X119,Y119)</f>
        <v>14804</v>
      </c>
      <c r="AF119" s="142">
        <f>SUM(Z119,AA119,AB119)</f>
        <v>12317</v>
      </c>
      <c r="AG119" s="142">
        <f>AC119+AD119</f>
        <v>9196</v>
      </c>
      <c r="AH119" s="142">
        <f>AF119+AE119</f>
        <v>27121</v>
      </c>
      <c r="AI119" s="142">
        <f>AG119+AH119</f>
        <v>36317</v>
      </c>
    </row>
    <row r="120" spans="1:36">
      <c r="A120" s="990">
        <v>1</v>
      </c>
      <c r="B120" s="990">
        <v>1</v>
      </c>
      <c r="C120" s="990">
        <v>120</v>
      </c>
      <c r="D120" s="1121" t="s">
        <v>999</v>
      </c>
      <c r="E120" s="1294" t="s">
        <v>1032</v>
      </c>
      <c r="F120" s="1295"/>
      <c r="G120" s="1241"/>
      <c r="H120" s="5"/>
      <c r="I120" s="5"/>
      <c r="J120" s="4"/>
      <c r="K120" s="30"/>
      <c r="L120" s="764" t="s">
        <v>1033</v>
      </c>
      <c r="M120" s="798"/>
      <c r="N120" s="798"/>
      <c r="O120" s="798"/>
      <c r="P120" s="798"/>
      <c r="Q120" s="2120">
        <f>SUM(Q122:Q124)</f>
        <v>27468</v>
      </c>
      <c r="R120" s="2120">
        <f t="shared" ref="R120:AI120" si="119">SUM(R122:R124)</f>
        <v>19314</v>
      </c>
      <c r="S120" s="2120">
        <f t="shared" si="119"/>
        <v>25823</v>
      </c>
      <c r="T120" s="2120">
        <f t="shared" si="119"/>
        <v>22687</v>
      </c>
      <c r="U120" s="2120">
        <f t="shared" si="119"/>
        <v>24962</v>
      </c>
      <c r="V120" s="2120">
        <f t="shared" si="119"/>
        <v>32787</v>
      </c>
      <c r="W120" s="2081">
        <f t="shared" si="119"/>
        <v>31725</v>
      </c>
      <c r="X120" s="2081">
        <f t="shared" si="119"/>
        <v>34496</v>
      </c>
      <c r="Y120" s="2081">
        <f t="shared" si="119"/>
        <v>28783</v>
      </c>
      <c r="Z120" s="2158">
        <f t="shared" si="119"/>
        <v>22300</v>
      </c>
      <c r="AA120" s="2158">
        <f t="shared" si="119"/>
        <v>11545.437518303417</v>
      </c>
      <c r="AB120" s="2158">
        <f t="shared" si="119"/>
        <v>43889.6662293564</v>
      </c>
      <c r="AC120" s="2158">
        <f>SUM(Q120,R120,S120)</f>
        <v>72605</v>
      </c>
      <c r="AD120" s="2158">
        <f>SUM(T120,U120,V120)</f>
        <v>80436</v>
      </c>
      <c r="AE120" s="2158">
        <f>SUM(W120,X120,Y120)</f>
        <v>95004</v>
      </c>
      <c r="AF120" s="2158">
        <f>SUM(Z120,AA120,AB120)</f>
        <v>77735.103747659814</v>
      </c>
      <c r="AG120" s="2158">
        <f t="shared" si="119"/>
        <v>153041</v>
      </c>
      <c r="AH120" s="2158">
        <f t="shared" si="119"/>
        <v>172739.10374765983</v>
      </c>
      <c r="AI120" s="2158">
        <f t="shared" si="119"/>
        <v>325780.10374765983</v>
      </c>
    </row>
    <row r="121" spans="1:36">
      <c r="A121" s="990">
        <v>1</v>
      </c>
      <c r="B121" s="990">
        <v>1</v>
      </c>
      <c r="C121" s="990">
        <v>121</v>
      </c>
      <c r="D121" s="1121" t="s">
        <v>999</v>
      </c>
      <c r="E121" s="1294" t="s">
        <v>1032</v>
      </c>
      <c r="F121" s="1295"/>
      <c r="G121" s="1241"/>
      <c r="H121" s="5"/>
      <c r="I121" s="5"/>
      <c r="J121" s="4"/>
      <c r="K121" s="30"/>
      <c r="L121" s="613"/>
      <c r="M121" s="676" t="s">
        <v>1034</v>
      </c>
      <c r="N121" s="51"/>
      <c r="O121" s="51"/>
      <c r="P121" s="51"/>
      <c r="Q121" s="1119">
        <f>IFERROR(Q120/Q105,0)</f>
        <v>0.56654909968442546</v>
      </c>
      <c r="R121" s="1119">
        <f t="shared" ref="R121:AI121" si="120">IFERROR(R120/R105,0)</f>
        <v>0.50763529319000189</v>
      </c>
      <c r="S121" s="1119">
        <f t="shared" si="120"/>
        <v>0.6542437294147454</v>
      </c>
      <c r="T121" s="1119">
        <f t="shared" si="120"/>
        <v>0.5372883362936649</v>
      </c>
      <c r="U121" s="1119">
        <f t="shared" si="120"/>
        <v>0.48895244064875032</v>
      </c>
      <c r="V121" s="1119">
        <f t="shared" si="120"/>
        <v>0.68652372377402737</v>
      </c>
      <c r="W121" s="1119">
        <f t="shared" si="120"/>
        <v>0.54669998276753407</v>
      </c>
      <c r="X121" s="1119">
        <f t="shared" si="120"/>
        <v>0.63326785747067349</v>
      </c>
      <c r="Y121" s="1119">
        <f t="shared" si="120"/>
        <v>0.62198547843374541</v>
      </c>
      <c r="Z121" s="1119">
        <f t="shared" si="120"/>
        <v>0.52656434474616298</v>
      </c>
      <c r="AA121" s="1119">
        <f t="shared" si="120"/>
        <v>0.31991181664851215</v>
      </c>
      <c r="AB121" s="1119">
        <f t="shared" si="120"/>
        <v>0.66902259850097834</v>
      </c>
      <c r="AC121" s="1119">
        <f t="shared" si="120"/>
        <v>0.5762301587301587</v>
      </c>
      <c r="AD121" s="1119">
        <f t="shared" si="120"/>
        <v>0.57032651469493389</v>
      </c>
      <c r="AE121" s="1119">
        <f t="shared" si="120"/>
        <v>0.59834109044646966</v>
      </c>
      <c r="AF121" s="1119">
        <f t="shared" si="120"/>
        <v>0.539669316992482</v>
      </c>
      <c r="AG121" s="1119">
        <f t="shared" si="120"/>
        <v>0.57311213885820211</v>
      </c>
      <c r="AH121" s="1119">
        <f t="shared" si="120"/>
        <v>0.5704328450358036</v>
      </c>
      <c r="AI121" s="1119">
        <f t="shared" si="120"/>
        <v>0.57168836414169522</v>
      </c>
    </row>
    <row r="122" spans="1:36">
      <c r="A122" s="990">
        <v>1</v>
      </c>
      <c r="B122" s="990">
        <v>1</v>
      </c>
      <c r="C122" s="990">
        <v>122</v>
      </c>
      <c r="D122" s="1121" t="s">
        <v>999</v>
      </c>
      <c r="E122" s="1294" t="s">
        <v>1032</v>
      </c>
      <c r="F122" s="1295"/>
      <c r="G122" s="1241"/>
      <c r="H122" s="5"/>
      <c r="I122" s="5"/>
      <c r="J122" s="4"/>
      <c r="K122" s="30"/>
      <c r="L122" s="30"/>
      <c r="M122" s="40" t="s">
        <v>143</v>
      </c>
      <c r="N122" s="4"/>
      <c r="O122" s="4"/>
      <c r="P122" s="4"/>
      <c r="Q122" s="41">
        <f>Q106-Q117</f>
        <v>10561</v>
      </c>
      <c r="R122" s="41">
        <f t="shared" ref="R122:AB122" si="121">R106-R117</f>
        <v>6474</v>
      </c>
      <c r="S122" s="41">
        <f t="shared" si="121"/>
        <v>8432</v>
      </c>
      <c r="T122" s="41">
        <f t="shared" si="121"/>
        <v>8576</v>
      </c>
      <c r="U122" s="41">
        <f t="shared" si="121"/>
        <v>8685</v>
      </c>
      <c r="V122" s="41">
        <f t="shared" si="121"/>
        <v>11016</v>
      </c>
      <c r="W122" s="19">
        <f t="shared" si="121"/>
        <v>10839</v>
      </c>
      <c r="X122" s="19">
        <f t="shared" si="121"/>
        <v>11012</v>
      </c>
      <c r="Y122" s="19">
        <f t="shared" si="121"/>
        <v>10640</v>
      </c>
      <c r="Z122" s="145">
        <f t="shared" si="121"/>
        <v>10009</v>
      </c>
      <c r="AA122" s="145">
        <f t="shared" si="121"/>
        <v>2602.0655894623524</v>
      </c>
      <c r="AB122" s="145">
        <f t="shared" si="121"/>
        <v>10349.873553411262</v>
      </c>
      <c r="AC122" s="145">
        <f>SUM(Q122,R122,S122)</f>
        <v>25467</v>
      </c>
      <c r="AD122" s="145">
        <f>SUM(T122,U122,V122)</f>
        <v>28277</v>
      </c>
      <c r="AE122" s="145">
        <f>SUM(W122,X122,Y122)</f>
        <v>32491</v>
      </c>
      <c r="AF122" s="145">
        <f>SUM(Z122,AA122,AB122)</f>
        <v>22960.939142873613</v>
      </c>
      <c r="AG122" s="145">
        <f>AC122+AD122</f>
        <v>53744</v>
      </c>
      <c r="AH122" s="145">
        <f>AF122+AE122</f>
        <v>55451.939142873613</v>
      </c>
      <c r="AI122" s="145">
        <f>AG122+AH122</f>
        <v>109195.93914287361</v>
      </c>
    </row>
    <row r="123" spans="1:36">
      <c r="A123" s="990">
        <v>1</v>
      </c>
      <c r="B123" s="990">
        <v>1</v>
      </c>
      <c r="C123" s="990">
        <v>123</v>
      </c>
      <c r="D123" s="1121" t="s">
        <v>999</v>
      </c>
      <c r="E123" s="1294" t="s">
        <v>1032</v>
      </c>
      <c r="F123" s="1295"/>
      <c r="G123" s="1241"/>
      <c r="H123" s="5"/>
      <c r="I123" s="5"/>
      <c r="J123" s="4"/>
      <c r="K123" s="30"/>
      <c r="L123" s="30"/>
      <c r="M123" s="40" t="s">
        <v>96</v>
      </c>
      <c r="N123" s="4"/>
      <c r="O123" s="4"/>
      <c r="P123" s="4"/>
      <c r="Q123" s="41">
        <f t="shared" ref="Q123:AB124" si="122">Q107-Q118</f>
        <v>6445</v>
      </c>
      <c r="R123" s="41">
        <f t="shared" si="122"/>
        <v>6186</v>
      </c>
      <c r="S123" s="41">
        <f t="shared" si="122"/>
        <v>6436</v>
      </c>
      <c r="T123" s="41">
        <f t="shared" si="122"/>
        <v>6396</v>
      </c>
      <c r="U123" s="41">
        <f t="shared" si="122"/>
        <v>6397</v>
      </c>
      <c r="V123" s="41">
        <f t="shared" si="122"/>
        <v>7253</v>
      </c>
      <c r="W123" s="19">
        <f t="shared" si="122"/>
        <v>5657</v>
      </c>
      <c r="X123" s="19">
        <f t="shared" si="122"/>
        <v>4793</v>
      </c>
      <c r="Y123" s="19">
        <f t="shared" si="122"/>
        <v>6033</v>
      </c>
      <c r="Z123" s="145">
        <f t="shared" si="122"/>
        <v>5694</v>
      </c>
      <c r="AA123" s="145">
        <f t="shared" si="122"/>
        <v>8492.9889953562015</v>
      </c>
      <c r="AB123" s="145">
        <f t="shared" si="122"/>
        <v>12169.79267594514</v>
      </c>
      <c r="AC123" s="145">
        <f>SUM(Q123,R123,S123)</f>
        <v>19067</v>
      </c>
      <c r="AD123" s="145">
        <f>SUM(T123,U123,V123)</f>
        <v>20046</v>
      </c>
      <c r="AE123" s="145">
        <f>SUM(W123,X123,Y123)</f>
        <v>16483</v>
      </c>
      <c r="AF123" s="145">
        <f>SUM(Z123,AA123,AB123)</f>
        <v>26356.781671301342</v>
      </c>
      <c r="AG123" s="145">
        <f>AC123+AD123</f>
        <v>39113</v>
      </c>
      <c r="AH123" s="145">
        <f>AF123+AE123</f>
        <v>42839.781671301345</v>
      </c>
      <c r="AI123" s="145">
        <f>AG123+AH123</f>
        <v>81952.781671301345</v>
      </c>
    </row>
    <row r="124" spans="1:36">
      <c r="A124" s="990">
        <v>1</v>
      </c>
      <c r="B124" s="990">
        <v>1</v>
      </c>
      <c r="C124" s="990">
        <v>124</v>
      </c>
      <c r="D124" s="1121" t="s">
        <v>999</v>
      </c>
      <c r="E124" s="1294" t="s">
        <v>1032</v>
      </c>
      <c r="F124" s="1295"/>
      <c r="G124" s="1241"/>
      <c r="H124" s="5"/>
      <c r="I124" s="5"/>
      <c r="J124" s="4"/>
      <c r="K124" s="28"/>
      <c r="L124" s="28"/>
      <c r="M124" s="119" t="s">
        <v>142</v>
      </c>
      <c r="N124" s="2"/>
      <c r="O124" s="2"/>
      <c r="P124" s="2"/>
      <c r="Q124" s="66">
        <f t="shared" si="122"/>
        <v>10462</v>
      </c>
      <c r="R124" s="66">
        <f t="shared" si="122"/>
        <v>6654</v>
      </c>
      <c r="S124" s="66">
        <f t="shared" si="122"/>
        <v>10955</v>
      </c>
      <c r="T124" s="66">
        <f t="shared" si="122"/>
        <v>7715</v>
      </c>
      <c r="U124" s="66">
        <f t="shared" si="122"/>
        <v>9880</v>
      </c>
      <c r="V124" s="66">
        <f t="shared" si="122"/>
        <v>14518</v>
      </c>
      <c r="W124" s="17">
        <f t="shared" si="122"/>
        <v>15229</v>
      </c>
      <c r="X124" s="17">
        <f t="shared" si="122"/>
        <v>18691</v>
      </c>
      <c r="Y124" s="17">
        <f t="shared" si="122"/>
        <v>12110</v>
      </c>
      <c r="Z124" s="142">
        <f t="shared" si="122"/>
        <v>6597</v>
      </c>
      <c r="AA124" s="142">
        <f t="shared" si="122"/>
        <v>450.38293348486332</v>
      </c>
      <c r="AB124" s="142">
        <f t="shared" si="122"/>
        <v>21370</v>
      </c>
      <c r="AC124" s="142">
        <f>SUM(Q124,R124,S124)</f>
        <v>28071</v>
      </c>
      <c r="AD124" s="142">
        <f>SUM(T124,U124,V124)</f>
        <v>32113</v>
      </c>
      <c r="AE124" s="142">
        <f>SUM(W124,X124,Y124)</f>
        <v>46030</v>
      </c>
      <c r="AF124" s="142">
        <f>SUM(Z124,AA124,AB124)</f>
        <v>28417.382933484863</v>
      </c>
      <c r="AG124" s="142">
        <f>AC124+AD124</f>
        <v>60184</v>
      </c>
      <c r="AH124" s="142">
        <f>AF124+AE124</f>
        <v>74447.382933484856</v>
      </c>
      <c r="AI124" s="142">
        <f>AG124+AH124</f>
        <v>134631.38293348486</v>
      </c>
    </row>
    <row r="125" spans="1:36">
      <c r="A125" s="990">
        <v>1</v>
      </c>
      <c r="B125" s="990">
        <v>1</v>
      </c>
      <c r="C125" s="990">
        <v>125</v>
      </c>
      <c r="D125" s="1121" t="s">
        <v>999</v>
      </c>
      <c r="E125" s="1243">
        <v>1</v>
      </c>
      <c r="F125" s="5"/>
      <c r="G125" s="5"/>
      <c r="H125" s="5"/>
      <c r="I125" s="5"/>
      <c r="J125" s="4"/>
      <c r="K125" s="5"/>
      <c r="L125" s="5"/>
      <c r="M125" s="4"/>
      <c r="N125" s="4"/>
      <c r="O125" s="4"/>
      <c r="P125" s="4"/>
      <c r="Q125" s="1151"/>
      <c r="R125" s="1151"/>
      <c r="S125" s="1151"/>
      <c r="T125" s="1151"/>
      <c r="U125" s="1151"/>
      <c r="V125" s="1151"/>
      <c r="Z125" s="163"/>
      <c r="AA125" s="163"/>
      <c r="AB125" s="163"/>
      <c r="AC125" s="163"/>
      <c r="AD125" s="163"/>
      <c r="AE125" s="163"/>
      <c r="AF125" s="163"/>
      <c r="AG125" s="163"/>
      <c r="AH125" s="163"/>
      <c r="AI125" s="868"/>
    </row>
    <row r="126" spans="1:36">
      <c r="A126" s="990">
        <v>114</v>
      </c>
      <c r="B126" s="990">
        <v>1</v>
      </c>
      <c r="C126" s="990">
        <v>126</v>
      </c>
      <c r="D126" s="1121" t="s">
        <v>999</v>
      </c>
      <c r="E126" s="1243">
        <v>1</v>
      </c>
      <c r="F126" s="5"/>
      <c r="G126" s="5"/>
      <c r="H126" s="5" t="s">
        <v>1035</v>
      </c>
      <c r="I126" s="5"/>
      <c r="J126" s="4"/>
      <c r="K126" s="5"/>
      <c r="L126" s="5"/>
      <c r="M126" s="4"/>
      <c r="N126" s="4"/>
      <c r="O126" s="4"/>
      <c r="P126" s="4"/>
      <c r="Q126" s="1151"/>
      <c r="R126" s="1151"/>
      <c r="S126" s="1151"/>
      <c r="T126" s="1151"/>
      <c r="U126" s="1151"/>
      <c r="V126" s="1151"/>
      <c r="AA126" s="1"/>
      <c r="AB126" s="1"/>
      <c r="AC126" s="1"/>
      <c r="AD126" s="1"/>
      <c r="AE126" s="1"/>
      <c r="AF126" s="1"/>
      <c r="AG126" s="1"/>
      <c r="AH126" s="1"/>
      <c r="AI126" s="1"/>
    </row>
    <row r="127" spans="1:36" ht="14.5">
      <c r="A127" s="990">
        <v>115</v>
      </c>
      <c r="B127" s="990">
        <v>1</v>
      </c>
      <c r="C127" s="990">
        <v>127</v>
      </c>
      <c r="D127" s="1121" t="s">
        <v>999</v>
      </c>
      <c r="E127" s="1243">
        <v>1</v>
      </c>
      <c r="F127" s="5"/>
      <c r="G127" s="5"/>
      <c r="H127" s="5"/>
      <c r="I127" s="1170" t="s">
        <v>9</v>
      </c>
      <c r="J127" s="1171"/>
      <c r="K127" s="1172"/>
      <c r="L127" s="1172"/>
      <c r="M127" s="1172"/>
      <c r="N127" s="1172"/>
      <c r="O127" s="1173" t="s">
        <v>530</v>
      </c>
      <c r="P127" s="1174"/>
      <c r="Q127" s="1713">
        <f>SUM(Q128:Q131)</f>
        <v>373203</v>
      </c>
      <c r="R127" s="1713">
        <f t="shared" ref="R127:AI127" si="123">SUM(R128:R131)</f>
        <v>136247</v>
      </c>
      <c r="S127" s="1713">
        <f t="shared" si="123"/>
        <v>313709</v>
      </c>
      <c r="T127" s="1713">
        <f t="shared" si="123"/>
        <v>335477</v>
      </c>
      <c r="U127" s="1713">
        <f t="shared" si="123"/>
        <v>394674</v>
      </c>
      <c r="V127" s="1713">
        <f t="shared" si="123"/>
        <v>462501</v>
      </c>
      <c r="W127" s="1713">
        <f t="shared" si="123"/>
        <v>451315</v>
      </c>
      <c r="X127" s="1713">
        <f t="shared" si="123"/>
        <v>374910</v>
      </c>
      <c r="Y127" s="1713">
        <f t="shared" si="123"/>
        <v>460271</v>
      </c>
      <c r="Z127" s="1713">
        <f t="shared" si="123"/>
        <v>406277</v>
      </c>
      <c r="AA127" s="1713">
        <f t="shared" si="123"/>
        <v>346858</v>
      </c>
      <c r="AB127" s="1713">
        <f t="shared" si="123"/>
        <v>510228</v>
      </c>
      <c r="AC127" s="129">
        <f t="shared" ref="AC127:AC136" si="124">SUM(Q127,R127,S127)</f>
        <v>823159</v>
      </c>
      <c r="AD127" s="129">
        <f t="shared" ref="AD127:AD136" si="125">SUM(T127,U127,V127)</f>
        <v>1192652</v>
      </c>
      <c r="AE127" s="129">
        <f t="shared" ref="AE127:AE136" si="126">SUM(W127,X127,Y127)</f>
        <v>1286496</v>
      </c>
      <c r="AF127" s="129">
        <f t="shared" ref="AF127:AF136" si="127">SUM(Z127,AA127,AB127)</f>
        <v>1263363</v>
      </c>
      <c r="AG127" s="129">
        <f t="shared" si="123"/>
        <v>2015811</v>
      </c>
      <c r="AH127" s="129">
        <f t="shared" si="123"/>
        <v>2549859</v>
      </c>
      <c r="AI127" s="129">
        <f t="shared" si="123"/>
        <v>4565670</v>
      </c>
    </row>
    <row r="128" spans="1:36">
      <c r="A128" s="990">
        <v>116</v>
      </c>
      <c r="B128" s="990">
        <v>1</v>
      </c>
      <c r="C128" s="990">
        <v>128</v>
      </c>
      <c r="D128" s="1121" t="s">
        <v>999</v>
      </c>
      <c r="E128" s="1243">
        <v>1</v>
      </c>
      <c r="F128" s="5"/>
      <c r="G128" s="5"/>
      <c r="H128" s="5"/>
      <c r="I128" s="30"/>
      <c r="J128" s="4"/>
      <c r="K128" s="5"/>
      <c r="L128" s="5"/>
      <c r="M128" s="4" t="s">
        <v>137</v>
      </c>
      <c r="N128" s="4"/>
      <c r="O128" s="4"/>
      <c r="P128" s="29"/>
      <c r="Q128" s="29">
        <f t="shared" ref="Q128:AB128" si="128">Q489+Q504</f>
        <v>86417</v>
      </c>
      <c r="R128" s="29">
        <f t="shared" si="128"/>
        <v>16137</v>
      </c>
      <c r="S128" s="29">
        <f t="shared" si="128"/>
        <v>77681</v>
      </c>
      <c r="T128" s="29">
        <f t="shared" si="128"/>
        <v>79818</v>
      </c>
      <c r="U128" s="29">
        <f t="shared" si="128"/>
        <v>97869</v>
      </c>
      <c r="V128" s="29">
        <f t="shared" si="128"/>
        <v>159432</v>
      </c>
      <c r="W128" s="29">
        <f t="shared" si="128"/>
        <v>104778</v>
      </c>
      <c r="X128" s="29">
        <f t="shared" si="128"/>
        <v>95993</v>
      </c>
      <c r="Y128" s="29">
        <f t="shared" si="128"/>
        <v>126291</v>
      </c>
      <c r="Z128" s="29">
        <f t="shared" si="128"/>
        <v>88559</v>
      </c>
      <c r="AA128" s="29">
        <f t="shared" si="128"/>
        <v>49106</v>
      </c>
      <c r="AB128" s="29">
        <f t="shared" si="128"/>
        <v>102305</v>
      </c>
      <c r="AC128" s="89">
        <f t="shared" si="124"/>
        <v>180235</v>
      </c>
      <c r="AD128" s="89">
        <f t="shared" si="125"/>
        <v>337119</v>
      </c>
      <c r="AE128" s="89">
        <f t="shared" si="126"/>
        <v>327062</v>
      </c>
      <c r="AF128" s="89">
        <f t="shared" si="127"/>
        <v>239970</v>
      </c>
      <c r="AG128" s="89">
        <f>AC128+AD128</f>
        <v>517354</v>
      </c>
      <c r="AH128" s="89">
        <f>AF128+AE128</f>
        <v>567032</v>
      </c>
      <c r="AI128" s="89">
        <f>AG128+AH128</f>
        <v>1084386</v>
      </c>
    </row>
    <row r="129" spans="1:35">
      <c r="A129" s="990">
        <v>117</v>
      </c>
      <c r="B129" s="990">
        <v>1</v>
      </c>
      <c r="C129" s="990">
        <v>129</v>
      </c>
      <c r="D129" s="1121" t="s">
        <v>999</v>
      </c>
      <c r="E129" s="1243">
        <v>1</v>
      </c>
      <c r="F129" s="5"/>
      <c r="G129" s="5"/>
      <c r="H129" s="5"/>
      <c r="I129" s="30"/>
      <c r="J129" s="4"/>
      <c r="K129" s="5"/>
      <c r="L129" s="5"/>
      <c r="M129" s="4" t="s">
        <v>95</v>
      </c>
      <c r="N129" s="4"/>
      <c r="O129" s="4"/>
      <c r="P129" s="29"/>
      <c r="Q129" s="29">
        <f t="shared" ref="Q129:AB129" si="129">Q492+Q507</f>
        <v>286786</v>
      </c>
      <c r="R129" s="29">
        <f t="shared" si="129"/>
        <v>120110</v>
      </c>
      <c r="S129" s="29">
        <f t="shared" si="129"/>
        <v>236028</v>
      </c>
      <c r="T129" s="29">
        <f t="shared" si="129"/>
        <v>255659</v>
      </c>
      <c r="U129" s="29">
        <f t="shared" si="129"/>
        <v>296805</v>
      </c>
      <c r="V129" s="29">
        <f t="shared" si="129"/>
        <v>303069</v>
      </c>
      <c r="W129" s="29">
        <f t="shared" si="129"/>
        <v>346537</v>
      </c>
      <c r="X129" s="29">
        <f t="shared" si="129"/>
        <v>278917</v>
      </c>
      <c r="Y129" s="29">
        <f t="shared" si="129"/>
        <v>333980</v>
      </c>
      <c r="Z129" s="29">
        <f t="shared" si="129"/>
        <v>317718</v>
      </c>
      <c r="AA129" s="29">
        <f t="shared" si="129"/>
        <v>297752</v>
      </c>
      <c r="AB129" s="29">
        <f t="shared" si="129"/>
        <v>407923</v>
      </c>
      <c r="AC129" s="89">
        <f t="shared" si="124"/>
        <v>642924</v>
      </c>
      <c r="AD129" s="89">
        <f t="shared" si="125"/>
        <v>855533</v>
      </c>
      <c r="AE129" s="89">
        <f t="shared" si="126"/>
        <v>959434</v>
      </c>
      <c r="AF129" s="89">
        <f t="shared" si="127"/>
        <v>1023393</v>
      </c>
      <c r="AG129" s="89">
        <f>AC129+AD129</f>
        <v>1498457</v>
      </c>
      <c r="AH129" s="89">
        <f>AF129+AE129</f>
        <v>1982827</v>
      </c>
      <c r="AI129" s="89">
        <f>AG129+AH129</f>
        <v>3481284</v>
      </c>
    </row>
    <row r="130" spans="1:35">
      <c r="A130" s="990">
        <v>118</v>
      </c>
      <c r="B130" s="990">
        <v>1</v>
      </c>
      <c r="C130" s="990">
        <v>130</v>
      </c>
      <c r="D130" s="1121" t="s">
        <v>999</v>
      </c>
      <c r="E130" s="1243">
        <v>1</v>
      </c>
      <c r="F130" s="5"/>
      <c r="G130" s="5"/>
      <c r="H130" s="5"/>
      <c r="I130" s="30"/>
      <c r="J130" s="4"/>
      <c r="K130" s="5"/>
      <c r="L130" s="5"/>
      <c r="M130" s="4" t="s">
        <v>85</v>
      </c>
      <c r="N130" s="4"/>
      <c r="O130" s="4"/>
      <c r="P130" s="29"/>
      <c r="Q130" s="29">
        <f t="shared" ref="Q130:AB130" si="130">Q497+Q512</f>
        <v>0</v>
      </c>
      <c r="R130" s="29">
        <f t="shared" si="130"/>
        <v>0</v>
      </c>
      <c r="S130" s="29">
        <f t="shared" si="130"/>
        <v>0</v>
      </c>
      <c r="T130" s="29">
        <f t="shared" si="130"/>
        <v>0</v>
      </c>
      <c r="U130" s="29">
        <f t="shared" si="130"/>
        <v>0</v>
      </c>
      <c r="V130" s="29">
        <f t="shared" si="130"/>
        <v>0</v>
      </c>
      <c r="W130" s="29">
        <f t="shared" si="130"/>
        <v>0</v>
      </c>
      <c r="X130" s="29">
        <f t="shared" si="130"/>
        <v>0</v>
      </c>
      <c r="Y130" s="29">
        <f t="shared" si="130"/>
        <v>0</v>
      </c>
      <c r="Z130" s="29">
        <f t="shared" si="130"/>
        <v>0</v>
      </c>
      <c r="AA130" s="29">
        <f t="shared" si="130"/>
        <v>0</v>
      </c>
      <c r="AB130" s="29">
        <f t="shared" si="130"/>
        <v>0</v>
      </c>
      <c r="AC130" s="89">
        <f t="shared" si="124"/>
        <v>0</v>
      </c>
      <c r="AD130" s="89">
        <f t="shared" si="125"/>
        <v>0</v>
      </c>
      <c r="AE130" s="89">
        <f t="shared" si="126"/>
        <v>0</v>
      </c>
      <c r="AF130" s="89">
        <f t="shared" si="127"/>
        <v>0</v>
      </c>
      <c r="AG130" s="89">
        <f>AC130+AD130</f>
        <v>0</v>
      </c>
      <c r="AH130" s="89">
        <f>AF130+AE130</f>
        <v>0</v>
      </c>
      <c r="AI130" s="89">
        <f>AG130+AH130</f>
        <v>0</v>
      </c>
    </row>
    <row r="131" spans="1:35">
      <c r="A131" s="990">
        <v>119</v>
      </c>
      <c r="B131" s="990">
        <v>1</v>
      </c>
      <c r="C131" s="990">
        <v>131</v>
      </c>
      <c r="D131" s="1121" t="s">
        <v>999</v>
      </c>
      <c r="E131" s="1243">
        <v>1</v>
      </c>
      <c r="F131" s="5"/>
      <c r="G131" s="5"/>
      <c r="H131" s="5"/>
      <c r="I131" s="30"/>
      <c r="J131" s="4"/>
      <c r="K131" s="5"/>
      <c r="L131" s="5"/>
      <c r="M131" s="4" t="s">
        <v>11</v>
      </c>
      <c r="N131" s="4"/>
      <c r="O131" s="4"/>
      <c r="P131" s="29"/>
      <c r="Q131" s="29">
        <f t="shared" ref="Q131:AB131" si="131">Q502+Q517</f>
        <v>0</v>
      </c>
      <c r="R131" s="29">
        <f t="shared" si="131"/>
        <v>0</v>
      </c>
      <c r="S131" s="29">
        <f t="shared" si="131"/>
        <v>0</v>
      </c>
      <c r="T131" s="29">
        <f t="shared" si="131"/>
        <v>0</v>
      </c>
      <c r="U131" s="29">
        <f t="shared" si="131"/>
        <v>0</v>
      </c>
      <c r="V131" s="29">
        <f t="shared" si="131"/>
        <v>0</v>
      </c>
      <c r="W131" s="29">
        <f t="shared" si="131"/>
        <v>0</v>
      </c>
      <c r="X131" s="29">
        <f t="shared" si="131"/>
        <v>0</v>
      </c>
      <c r="Y131" s="29">
        <f t="shared" si="131"/>
        <v>0</v>
      </c>
      <c r="Z131" s="29">
        <f t="shared" si="131"/>
        <v>0</v>
      </c>
      <c r="AA131" s="29">
        <f t="shared" si="131"/>
        <v>0</v>
      </c>
      <c r="AB131" s="29">
        <f t="shared" si="131"/>
        <v>0</v>
      </c>
      <c r="AC131" s="89">
        <f t="shared" si="124"/>
        <v>0</v>
      </c>
      <c r="AD131" s="89">
        <f t="shared" si="125"/>
        <v>0</v>
      </c>
      <c r="AE131" s="89">
        <f t="shared" si="126"/>
        <v>0</v>
      </c>
      <c r="AF131" s="89">
        <f t="shared" si="127"/>
        <v>0</v>
      </c>
      <c r="AG131" s="89">
        <f>AC131+AD131</f>
        <v>0</v>
      </c>
      <c r="AH131" s="89">
        <f>AF131+AE131</f>
        <v>0</v>
      </c>
      <c r="AI131" s="89">
        <f>AG131+AH131</f>
        <v>0</v>
      </c>
    </row>
    <row r="132" spans="1:35" ht="14.5">
      <c r="A132" s="990">
        <v>120</v>
      </c>
      <c r="B132" s="990">
        <v>1</v>
      </c>
      <c r="C132" s="990">
        <v>132</v>
      </c>
      <c r="D132" s="1121" t="s">
        <v>999</v>
      </c>
      <c r="E132" s="1243">
        <v>1</v>
      </c>
      <c r="F132" s="5"/>
      <c r="G132" s="5"/>
      <c r="H132" s="5"/>
      <c r="I132" s="1170" t="s">
        <v>128</v>
      </c>
      <c r="J132" s="1171"/>
      <c r="K132" s="1172"/>
      <c r="L132" s="1172"/>
      <c r="M132" s="1172"/>
      <c r="N132" s="1172"/>
      <c r="O132" s="1173" t="s">
        <v>532</v>
      </c>
      <c r="P132" s="1174"/>
      <c r="Q132" s="1713">
        <f>SUM(Q133:Q136)</f>
        <v>373203</v>
      </c>
      <c r="R132" s="1713">
        <f t="shared" ref="R132:AI132" si="132">SUM(R133:R136)</f>
        <v>136247</v>
      </c>
      <c r="S132" s="1713">
        <f t="shared" si="132"/>
        <v>313709</v>
      </c>
      <c r="T132" s="1713">
        <f t="shared" si="132"/>
        <v>335477</v>
      </c>
      <c r="U132" s="1713">
        <f t="shared" si="132"/>
        <v>394674</v>
      </c>
      <c r="V132" s="1713">
        <f t="shared" si="132"/>
        <v>462501</v>
      </c>
      <c r="W132" s="1713">
        <f t="shared" si="132"/>
        <v>451315</v>
      </c>
      <c r="X132" s="1713">
        <f>SUM(X133:X136)</f>
        <v>374910</v>
      </c>
      <c r="Y132" s="1713">
        <f t="shared" si="132"/>
        <v>460271</v>
      </c>
      <c r="Z132" s="1713">
        <f t="shared" si="132"/>
        <v>406277</v>
      </c>
      <c r="AA132" s="1713">
        <f t="shared" si="132"/>
        <v>346858</v>
      </c>
      <c r="AB132" s="1713">
        <f t="shared" si="132"/>
        <v>510228</v>
      </c>
      <c r="AC132" s="129">
        <f t="shared" si="124"/>
        <v>823159</v>
      </c>
      <c r="AD132" s="129">
        <f t="shared" si="125"/>
        <v>1192652</v>
      </c>
      <c r="AE132" s="129">
        <f t="shared" si="126"/>
        <v>1286496</v>
      </c>
      <c r="AF132" s="129">
        <f t="shared" si="127"/>
        <v>1263363</v>
      </c>
      <c r="AG132" s="129">
        <f t="shared" si="132"/>
        <v>2015811</v>
      </c>
      <c r="AH132" s="129">
        <f t="shared" si="132"/>
        <v>2549859</v>
      </c>
      <c r="AI132" s="129">
        <f t="shared" si="132"/>
        <v>4565670</v>
      </c>
    </row>
    <row r="133" spans="1:35">
      <c r="A133" s="990">
        <v>121</v>
      </c>
      <c r="B133" s="990">
        <v>1</v>
      </c>
      <c r="C133" s="990">
        <v>133</v>
      </c>
      <c r="D133" s="1121" t="s">
        <v>999</v>
      </c>
      <c r="E133" s="1243">
        <v>1</v>
      </c>
      <c r="F133" s="5"/>
      <c r="G133" s="5"/>
      <c r="H133" s="5"/>
      <c r="I133" s="30"/>
      <c r="J133" s="4"/>
      <c r="K133" s="5"/>
      <c r="L133" s="5"/>
      <c r="M133" s="4" t="s">
        <v>137</v>
      </c>
      <c r="N133" s="4"/>
      <c r="O133" s="4"/>
      <c r="P133" s="29"/>
      <c r="Q133" s="2039">
        <v>86417</v>
      </c>
      <c r="R133" s="2039">
        <v>16137</v>
      </c>
      <c r="S133" s="2039">
        <v>77681</v>
      </c>
      <c r="T133" s="2039">
        <v>79818</v>
      </c>
      <c r="U133" s="2039">
        <v>97869</v>
      </c>
      <c r="V133" s="2039">
        <v>159432</v>
      </c>
      <c r="W133" s="2039">
        <v>104778</v>
      </c>
      <c r="X133" s="2039">
        <v>95993</v>
      </c>
      <c r="Y133" s="2039">
        <v>126291</v>
      </c>
      <c r="Z133" s="2039">
        <v>88559</v>
      </c>
      <c r="AA133" s="2039">
        <v>49106</v>
      </c>
      <c r="AB133" s="2039">
        <v>102305</v>
      </c>
      <c r="AC133" s="89">
        <f t="shared" si="124"/>
        <v>180235</v>
      </c>
      <c r="AD133" s="89">
        <f t="shared" si="125"/>
        <v>337119</v>
      </c>
      <c r="AE133" s="89">
        <f t="shared" si="126"/>
        <v>327062</v>
      </c>
      <c r="AF133" s="89">
        <f t="shared" si="127"/>
        <v>239970</v>
      </c>
      <c r="AG133" s="89">
        <f>AC133+AD133</f>
        <v>517354</v>
      </c>
      <c r="AH133" s="89">
        <f>AF133+AE133</f>
        <v>567032</v>
      </c>
      <c r="AI133" s="89">
        <f>AG133+AH133</f>
        <v>1084386</v>
      </c>
    </row>
    <row r="134" spans="1:35">
      <c r="A134" s="990">
        <v>122</v>
      </c>
      <c r="B134" s="990">
        <v>1</v>
      </c>
      <c r="C134" s="990">
        <v>134</v>
      </c>
      <c r="D134" s="1121" t="s">
        <v>999</v>
      </c>
      <c r="E134" s="1243">
        <v>1</v>
      </c>
      <c r="F134" s="5"/>
      <c r="G134" s="5"/>
      <c r="H134" s="5"/>
      <c r="I134" s="30"/>
      <c r="J134" s="4"/>
      <c r="K134" s="5"/>
      <c r="L134" s="5"/>
      <c r="M134" s="4" t="s">
        <v>95</v>
      </c>
      <c r="N134" s="4"/>
      <c r="O134" s="4"/>
      <c r="P134" s="29"/>
      <c r="Q134" s="2039">
        <v>286786</v>
      </c>
      <c r="R134" s="2039">
        <v>120110</v>
      </c>
      <c r="S134" s="2039">
        <v>236028</v>
      </c>
      <c r="T134" s="2039">
        <v>255659</v>
      </c>
      <c r="U134" s="2039">
        <v>296805</v>
      </c>
      <c r="V134" s="2039">
        <v>303069</v>
      </c>
      <c r="W134" s="2039">
        <v>346537</v>
      </c>
      <c r="X134" s="2039">
        <v>278917</v>
      </c>
      <c r="Y134" s="2039">
        <v>333980</v>
      </c>
      <c r="Z134" s="2039">
        <v>317718</v>
      </c>
      <c r="AA134" s="2039">
        <v>297752</v>
      </c>
      <c r="AB134" s="2039">
        <v>407923</v>
      </c>
      <c r="AC134" s="89">
        <f t="shared" si="124"/>
        <v>642924</v>
      </c>
      <c r="AD134" s="89">
        <f t="shared" si="125"/>
        <v>855533</v>
      </c>
      <c r="AE134" s="89">
        <f t="shared" si="126"/>
        <v>959434</v>
      </c>
      <c r="AF134" s="89">
        <f t="shared" si="127"/>
        <v>1023393</v>
      </c>
      <c r="AG134" s="89">
        <f>AC134+AD134</f>
        <v>1498457</v>
      </c>
      <c r="AH134" s="89">
        <f>AF134+AE134</f>
        <v>1982827</v>
      </c>
      <c r="AI134" s="89">
        <f>AG134+AH134</f>
        <v>3481284</v>
      </c>
    </row>
    <row r="135" spans="1:35">
      <c r="A135" s="990">
        <v>123</v>
      </c>
      <c r="B135" s="990">
        <v>1</v>
      </c>
      <c r="C135" s="990">
        <v>135</v>
      </c>
      <c r="D135" s="1121" t="s">
        <v>999</v>
      </c>
      <c r="E135" s="1243">
        <v>1</v>
      </c>
      <c r="F135" s="5"/>
      <c r="G135" s="5"/>
      <c r="H135" s="5"/>
      <c r="I135" s="30"/>
      <c r="J135" s="4"/>
      <c r="K135" s="5"/>
      <c r="L135" s="5"/>
      <c r="M135" s="4" t="s">
        <v>85</v>
      </c>
      <c r="N135" s="4"/>
      <c r="O135" s="4"/>
      <c r="P135" s="29"/>
      <c r="Q135" s="2039"/>
      <c r="R135" s="2039"/>
      <c r="S135" s="2039"/>
      <c r="T135" s="2039"/>
      <c r="U135" s="2039"/>
      <c r="V135" s="2039"/>
      <c r="W135" s="2039"/>
      <c r="X135" s="2039"/>
      <c r="Y135" s="2039"/>
      <c r="Z135" s="2039"/>
      <c r="AA135" s="2039"/>
      <c r="AB135" s="2039"/>
      <c r="AC135" s="89">
        <f t="shared" si="124"/>
        <v>0</v>
      </c>
      <c r="AD135" s="89">
        <f t="shared" si="125"/>
        <v>0</v>
      </c>
      <c r="AE135" s="89">
        <f t="shared" si="126"/>
        <v>0</v>
      </c>
      <c r="AF135" s="89">
        <f t="shared" si="127"/>
        <v>0</v>
      </c>
      <c r="AG135" s="89">
        <f>AC135+AD135</f>
        <v>0</v>
      </c>
      <c r="AH135" s="89">
        <f>AF135+AE135</f>
        <v>0</v>
      </c>
      <c r="AI135" s="89">
        <f>AG135+AH135</f>
        <v>0</v>
      </c>
    </row>
    <row r="136" spans="1:35">
      <c r="A136" s="990">
        <v>124</v>
      </c>
      <c r="B136" s="990">
        <v>1</v>
      </c>
      <c r="C136" s="990">
        <v>136</v>
      </c>
      <c r="D136" s="1121" t="s">
        <v>999</v>
      </c>
      <c r="E136" s="1243">
        <v>1</v>
      </c>
      <c r="F136" s="5"/>
      <c r="G136" s="5"/>
      <c r="H136" s="5"/>
      <c r="I136" s="30"/>
      <c r="J136" s="4"/>
      <c r="K136" s="5"/>
      <c r="L136" s="5"/>
      <c r="M136" s="4" t="s">
        <v>11</v>
      </c>
      <c r="N136" s="4"/>
      <c r="O136" s="4"/>
      <c r="P136" s="29"/>
      <c r="Q136" s="2039"/>
      <c r="R136" s="2039"/>
      <c r="S136" s="2039"/>
      <c r="T136" s="2039"/>
      <c r="U136" s="2039"/>
      <c r="V136" s="2039"/>
      <c r="W136" s="2039"/>
      <c r="X136" s="2039"/>
      <c r="Y136" s="2039"/>
      <c r="Z136" s="2039"/>
      <c r="AA136" s="2039"/>
      <c r="AB136" s="2039"/>
      <c r="AC136" s="89">
        <f t="shared" si="124"/>
        <v>0</v>
      </c>
      <c r="AD136" s="89">
        <f t="shared" si="125"/>
        <v>0</v>
      </c>
      <c r="AE136" s="89">
        <f t="shared" si="126"/>
        <v>0</v>
      </c>
      <c r="AF136" s="89">
        <f t="shared" si="127"/>
        <v>0</v>
      </c>
      <c r="AG136" s="89">
        <f>AC136+AD136</f>
        <v>0</v>
      </c>
      <c r="AH136" s="89">
        <f>AF136+AE136</f>
        <v>0</v>
      </c>
      <c r="AI136" s="89">
        <f>AG136+AH136</f>
        <v>0</v>
      </c>
    </row>
    <row r="137" spans="1:35">
      <c r="A137" s="990">
        <v>125</v>
      </c>
      <c r="B137" s="990">
        <v>1</v>
      </c>
      <c r="C137" s="990">
        <v>137</v>
      </c>
      <c r="E137" s="1243">
        <v>1</v>
      </c>
      <c r="F137" s="5"/>
      <c r="G137" s="5"/>
      <c r="H137" s="5"/>
      <c r="I137" s="1170" t="s">
        <v>106</v>
      </c>
      <c r="J137" s="1171"/>
      <c r="K137" s="1172"/>
      <c r="L137" s="1172"/>
      <c r="M137" s="1172"/>
      <c r="N137" s="1172"/>
      <c r="O137" s="1172"/>
      <c r="P137" s="1174"/>
      <c r="Q137" s="1713">
        <f>Q138+Q139+Q147+Q148</f>
        <v>242760</v>
      </c>
      <c r="R137" s="1713">
        <f t="shared" ref="R137:AI137" si="133">R138+R139+R147+R148</f>
        <v>85877</v>
      </c>
      <c r="S137" s="1713">
        <f t="shared" si="133"/>
        <v>203898</v>
      </c>
      <c r="T137" s="1713">
        <f t="shared" si="133"/>
        <v>208341</v>
      </c>
      <c r="U137" s="1713">
        <f t="shared" si="133"/>
        <v>241109</v>
      </c>
      <c r="V137" s="1713">
        <f t="shared" si="133"/>
        <v>284391</v>
      </c>
      <c r="W137" s="1713">
        <f t="shared" si="133"/>
        <v>298140</v>
      </c>
      <c r="X137" s="1713">
        <f t="shared" si="133"/>
        <v>224952</v>
      </c>
      <c r="Y137" s="1713">
        <f t="shared" si="133"/>
        <v>322324</v>
      </c>
      <c r="Z137" s="1713">
        <f t="shared" si="133"/>
        <v>246935</v>
      </c>
      <c r="AA137" s="1713">
        <f t="shared" si="133"/>
        <v>237985</v>
      </c>
      <c r="AB137" s="1713">
        <f t="shared" si="133"/>
        <v>305328</v>
      </c>
      <c r="AC137" s="129">
        <f t="shared" si="133"/>
        <v>532535</v>
      </c>
      <c r="AD137" s="129">
        <f t="shared" si="133"/>
        <v>733841</v>
      </c>
      <c r="AE137" s="129">
        <f t="shared" si="133"/>
        <v>845416</v>
      </c>
      <c r="AF137" s="129">
        <f t="shared" si="133"/>
        <v>790248</v>
      </c>
      <c r="AG137" s="129">
        <f t="shared" si="133"/>
        <v>1266376</v>
      </c>
      <c r="AH137" s="129">
        <f t="shared" si="133"/>
        <v>1635664</v>
      </c>
      <c r="AI137" s="129">
        <f t="shared" si="133"/>
        <v>2902040</v>
      </c>
    </row>
    <row r="138" spans="1:35">
      <c r="A138" s="990">
        <v>126</v>
      </c>
      <c r="B138" s="990">
        <v>1</v>
      </c>
      <c r="C138" s="990">
        <v>138</v>
      </c>
      <c r="E138" s="1243">
        <v>1</v>
      </c>
      <c r="F138" s="5"/>
      <c r="G138" s="5"/>
      <c r="H138" s="5"/>
      <c r="I138" s="30"/>
      <c r="J138" s="4"/>
      <c r="K138" s="5"/>
      <c r="L138" s="5"/>
      <c r="M138" s="4" t="s">
        <v>137</v>
      </c>
      <c r="N138" s="4"/>
      <c r="O138" s="4"/>
      <c r="P138" s="29"/>
      <c r="Q138" s="29">
        <f>Q128-Q155</f>
        <v>55524</v>
      </c>
      <c r="R138" s="29">
        <f t="shared" ref="R138:AB139" si="134">R128-R155</f>
        <v>12715</v>
      </c>
      <c r="S138" s="29">
        <f t="shared" si="134"/>
        <v>56672</v>
      </c>
      <c r="T138" s="29">
        <f t="shared" si="134"/>
        <v>52960</v>
      </c>
      <c r="U138" s="29">
        <f t="shared" si="134"/>
        <v>60555</v>
      </c>
      <c r="V138" s="29">
        <f t="shared" si="134"/>
        <v>101350</v>
      </c>
      <c r="W138" s="29">
        <f t="shared" si="134"/>
        <v>91386</v>
      </c>
      <c r="X138" s="29">
        <f t="shared" si="134"/>
        <v>61606</v>
      </c>
      <c r="Y138" s="29">
        <f t="shared" si="134"/>
        <v>100121</v>
      </c>
      <c r="Z138" s="29">
        <f t="shared" si="134"/>
        <v>57660</v>
      </c>
      <c r="AA138" s="29">
        <f t="shared" si="134"/>
        <v>36959</v>
      </c>
      <c r="AB138" s="29">
        <f t="shared" si="134"/>
        <v>51146</v>
      </c>
      <c r="AC138" s="89">
        <f>SUM(Q138,R138,S138)</f>
        <v>124911</v>
      </c>
      <c r="AD138" s="89">
        <f>SUM(T138,U138,V138)</f>
        <v>214865</v>
      </c>
      <c r="AE138" s="89">
        <f>SUM(W138,X138,Y138)</f>
        <v>253113</v>
      </c>
      <c r="AF138" s="89">
        <f>SUM(Z138,AA138,AB138)</f>
        <v>145765</v>
      </c>
      <c r="AG138" s="89">
        <f>AC138+AD138</f>
        <v>339776</v>
      </c>
      <c r="AH138" s="89">
        <f>AF138+AE138</f>
        <v>398878</v>
      </c>
      <c r="AI138" s="89">
        <f>AG138+AH138</f>
        <v>738654</v>
      </c>
    </row>
    <row r="139" spans="1:35">
      <c r="A139" s="990">
        <v>127</v>
      </c>
      <c r="B139" s="990">
        <v>1</v>
      </c>
      <c r="C139" s="990">
        <v>139</v>
      </c>
      <c r="E139" s="1243">
        <v>1</v>
      </c>
      <c r="F139" s="5"/>
      <c r="G139" s="5"/>
      <c r="H139" s="5"/>
      <c r="I139" s="30"/>
      <c r="J139" s="4"/>
      <c r="K139" s="5"/>
      <c r="L139" s="5"/>
      <c r="M139" s="4" t="s">
        <v>95</v>
      </c>
      <c r="N139" s="4"/>
      <c r="O139" s="4"/>
      <c r="P139" s="29"/>
      <c r="Q139" s="2089">
        <f>Q129-Q156</f>
        <v>187236</v>
      </c>
      <c r="R139" s="2089">
        <f>R129-R156</f>
        <v>73162</v>
      </c>
      <c r="S139" s="2089">
        <f>S129-S156</f>
        <v>147226</v>
      </c>
      <c r="T139" s="2089">
        <f t="shared" si="134"/>
        <v>155381</v>
      </c>
      <c r="U139" s="2089">
        <f t="shared" si="134"/>
        <v>180554</v>
      </c>
      <c r="V139" s="2089">
        <f t="shared" si="134"/>
        <v>183041</v>
      </c>
      <c r="W139" s="2089">
        <f t="shared" si="134"/>
        <v>206754</v>
      </c>
      <c r="X139" s="2089">
        <f t="shared" si="134"/>
        <v>163346</v>
      </c>
      <c r="Y139" s="2089">
        <f t="shared" si="134"/>
        <v>222203</v>
      </c>
      <c r="Z139" s="2089">
        <f t="shared" si="134"/>
        <v>189275</v>
      </c>
      <c r="AA139" s="2089">
        <f t="shared" si="134"/>
        <v>201026</v>
      </c>
      <c r="AB139" s="2089">
        <f t="shared" si="134"/>
        <v>254182</v>
      </c>
      <c r="AC139" s="89">
        <f>SUM(Q139,R139,S139)</f>
        <v>407624</v>
      </c>
      <c r="AD139" s="89">
        <f>SUM(T139,U139,V139)</f>
        <v>518976</v>
      </c>
      <c r="AE139" s="89">
        <f>SUM(W139,X139,Y139)</f>
        <v>592303</v>
      </c>
      <c r="AF139" s="89">
        <f>SUM(Z139,AA139,AB139)</f>
        <v>644483</v>
      </c>
      <c r="AG139" s="89">
        <f>AC139+AD139</f>
        <v>926600</v>
      </c>
      <c r="AH139" s="89">
        <f>AF139+AE139</f>
        <v>1236786</v>
      </c>
      <c r="AI139" s="89">
        <f>AG139+AH139</f>
        <v>2163386</v>
      </c>
    </row>
    <row r="140" spans="1:35">
      <c r="A140" s="990">
        <v>128</v>
      </c>
      <c r="B140" s="990">
        <v>1</v>
      </c>
      <c r="C140" s="990">
        <v>140</v>
      </c>
      <c r="E140" s="1243">
        <v>1</v>
      </c>
      <c r="F140" s="5"/>
      <c r="G140" s="5"/>
      <c r="H140" s="5"/>
      <c r="I140" s="30"/>
      <c r="J140" s="4"/>
      <c r="K140" s="5"/>
      <c r="L140" s="5"/>
      <c r="M140" s="4"/>
      <c r="N140" s="4"/>
      <c r="O140" s="374" t="s">
        <v>461</v>
      </c>
      <c r="P140" s="1166"/>
      <c r="Q140" s="2087">
        <v>174656</v>
      </c>
      <c r="R140" s="2087">
        <v>59635</v>
      </c>
      <c r="S140" s="2087">
        <v>134170</v>
      </c>
      <c r="T140" s="2087">
        <v>142309</v>
      </c>
      <c r="U140" s="2087">
        <v>165519</v>
      </c>
      <c r="V140" s="2087">
        <v>170782</v>
      </c>
      <c r="W140" s="2087">
        <v>192608</v>
      </c>
      <c r="X140" s="2087">
        <v>149467</v>
      </c>
      <c r="Y140" s="2087">
        <v>208207</v>
      </c>
      <c r="Z140" s="2087">
        <v>175720</v>
      </c>
      <c r="AA140" s="2087">
        <v>186278</v>
      </c>
      <c r="AB140" s="2087">
        <v>233814</v>
      </c>
      <c r="AC140" s="581">
        <f>SUM(Q140,R140,S140)</f>
        <v>368461</v>
      </c>
      <c r="AD140" s="581">
        <f>SUM(T140,U140,V140)</f>
        <v>478610</v>
      </c>
      <c r="AE140" s="581">
        <f>SUM(W140,X140,Y140)</f>
        <v>550282</v>
      </c>
      <c r="AF140" s="581">
        <f>SUM(Z140,AA140,AB140)</f>
        <v>595812</v>
      </c>
      <c r="AG140" s="581">
        <f>AC140+AD140</f>
        <v>847071</v>
      </c>
      <c r="AH140" s="581">
        <f>AF140+AE140</f>
        <v>1146094</v>
      </c>
      <c r="AI140" s="581">
        <f>AG140+AH140</f>
        <v>1993165</v>
      </c>
    </row>
    <row r="141" spans="1:35">
      <c r="A141" s="990">
        <v>129</v>
      </c>
      <c r="B141" s="990">
        <v>1</v>
      </c>
      <c r="C141" s="990">
        <v>141</v>
      </c>
      <c r="E141" s="1243">
        <v>1</v>
      </c>
      <c r="F141" s="5"/>
      <c r="G141" s="5"/>
      <c r="H141" s="5"/>
      <c r="I141" s="30"/>
      <c r="J141" s="4"/>
      <c r="K141" s="5"/>
      <c r="L141" s="5"/>
      <c r="M141" s="4"/>
      <c r="N141" s="4"/>
      <c r="O141" s="4"/>
      <c r="P141" s="29" t="s">
        <v>1022</v>
      </c>
      <c r="Q141" s="2039">
        <f>Q493-Q524</f>
        <v>147808</v>
      </c>
      <c r="R141" s="2039">
        <f t="shared" ref="R141:AB141" si="135">R493-R524</f>
        <v>54929</v>
      </c>
      <c r="S141" s="2039">
        <f t="shared" si="135"/>
        <v>103747</v>
      </c>
      <c r="T141" s="2039">
        <f t="shared" si="135"/>
        <v>132340</v>
      </c>
      <c r="U141" s="2039">
        <f t="shared" si="135"/>
        <v>142169</v>
      </c>
      <c r="V141" s="2039">
        <f t="shared" si="135"/>
        <v>149357</v>
      </c>
      <c r="W141" s="2039">
        <f t="shared" si="135"/>
        <v>169108</v>
      </c>
      <c r="X141" s="2039">
        <f t="shared" si="135"/>
        <v>125854</v>
      </c>
      <c r="Y141" s="2039">
        <f t="shared" si="135"/>
        <v>179097</v>
      </c>
      <c r="Z141" s="2039">
        <f t="shared" si="135"/>
        <v>148703</v>
      </c>
      <c r="AA141" s="2039">
        <f t="shared" si="135"/>
        <v>158931</v>
      </c>
      <c r="AB141" s="2039">
        <f t="shared" si="135"/>
        <v>202940</v>
      </c>
      <c r="AC141" s="89">
        <f>SUM(Q141,R141,S141)</f>
        <v>306484</v>
      </c>
      <c r="AD141" s="89">
        <f>SUM(T141,U141,V141)</f>
        <v>423866</v>
      </c>
      <c r="AE141" s="89">
        <f>SUM(W141,X141,Y141)</f>
        <v>474059</v>
      </c>
      <c r="AF141" s="89">
        <f>SUM(Z141,AA141,AB141)</f>
        <v>510574</v>
      </c>
      <c r="AG141" s="89">
        <f>AC141+AD141</f>
        <v>730350</v>
      </c>
      <c r="AH141" s="89">
        <f>AF141+AE141</f>
        <v>984633</v>
      </c>
      <c r="AI141" s="89">
        <f>AG141+AH141</f>
        <v>1714983</v>
      </c>
    </row>
    <row r="142" spans="1:35">
      <c r="A142" s="990">
        <v>130</v>
      </c>
      <c r="B142" s="990">
        <v>1</v>
      </c>
      <c r="C142" s="990">
        <v>142</v>
      </c>
      <c r="E142" s="1243">
        <v>1</v>
      </c>
      <c r="F142" s="5"/>
      <c r="G142" s="5"/>
      <c r="H142" s="5"/>
      <c r="I142" s="30"/>
      <c r="J142" s="4"/>
      <c r="K142" s="5"/>
      <c r="L142" s="5"/>
      <c r="M142" s="4"/>
      <c r="N142" s="4"/>
      <c r="O142" s="4"/>
      <c r="P142" s="50" t="s">
        <v>1023</v>
      </c>
      <c r="Q142" s="2090">
        <f>Q140-Q141</f>
        <v>26848</v>
      </c>
      <c r="R142" s="2090">
        <f>R140-R141</f>
        <v>4706</v>
      </c>
      <c r="S142" s="2090">
        <f t="shared" ref="S142:AI142" si="136">S140-S141</f>
        <v>30423</v>
      </c>
      <c r="T142" s="2090">
        <f>T140-T141</f>
        <v>9969</v>
      </c>
      <c r="U142" s="2090">
        <f t="shared" si="136"/>
        <v>23350</v>
      </c>
      <c r="V142" s="2090">
        <f t="shared" si="136"/>
        <v>21425</v>
      </c>
      <c r="W142" s="2090">
        <f t="shared" si="136"/>
        <v>23500</v>
      </c>
      <c r="X142" s="2090">
        <f t="shared" si="136"/>
        <v>23613</v>
      </c>
      <c r="Y142" s="2090">
        <f t="shared" si="136"/>
        <v>29110</v>
      </c>
      <c r="Z142" s="2090">
        <f t="shared" si="136"/>
        <v>27017</v>
      </c>
      <c r="AA142" s="2090">
        <f t="shared" si="136"/>
        <v>27347</v>
      </c>
      <c r="AB142" s="2090">
        <f t="shared" si="136"/>
        <v>30874</v>
      </c>
      <c r="AC142" s="134">
        <f t="shared" si="136"/>
        <v>61977</v>
      </c>
      <c r="AD142" s="134">
        <f t="shared" si="136"/>
        <v>54744</v>
      </c>
      <c r="AE142" s="134">
        <f t="shared" si="136"/>
        <v>76223</v>
      </c>
      <c r="AF142" s="134">
        <f t="shared" si="136"/>
        <v>85238</v>
      </c>
      <c r="AG142" s="134">
        <f t="shared" si="136"/>
        <v>116721</v>
      </c>
      <c r="AH142" s="134">
        <f t="shared" si="136"/>
        <v>161461</v>
      </c>
      <c r="AI142" s="134">
        <f t="shared" si="136"/>
        <v>278182</v>
      </c>
    </row>
    <row r="143" spans="1:35">
      <c r="A143" s="990">
        <v>131</v>
      </c>
      <c r="B143" s="990">
        <v>1</v>
      </c>
      <c r="C143" s="990">
        <v>143</v>
      </c>
      <c r="E143" s="1243">
        <v>1</v>
      </c>
      <c r="F143" s="5"/>
      <c r="G143" s="5"/>
      <c r="H143" s="5"/>
      <c r="I143" s="30"/>
      <c r="J143" s="4"/>
      <c r="K143" s="5"/>
      <c r="L143" s="5"/>
      <c r="M143" s="4"/>
      <c r="N143" s="4"/>
      <c r="O143" s="4" t="s">
        <v>1024</v>
      </c>
      <c r="P143" s="29"/>
      <c r="Q143" s="2089">
        <f t="shared" ref="Q143:AB143" si="137">(Q528+Q551)*-1</f>
        <v>12279</v>
      </c>
      <c r="R143" s="2089">
        <f t="shared" si="137"/>
        <v>13226</v>
      </c>
      <c r="S143" s="2089">
        <f t="shared" si="137"/>
        <v>12755</v>
      </c>
      <c r="T143" s="2089">
        <f t="shared" si="137"/>
        <v>12826</v>
      </c>
      <c r="U143" s="2089">
        <f t="shared" si="137"/>
        <v>14789</v>
      </c>
      <c r="V143" s="2089">
        <f t="shared" si="137"/>
        <v>11963</v>
      </c>
      <c r="W143" s="2089">
        <f t="shared" si="137"/>
        <v>13845</v>
      </c>
      <c r="X143" s="2089">
        <f t="shared" si="137"/>
        <v>13578</v>
      </c>
      <c r="Y143" s="2089">
        <f t="shared" si="137"/>
        <v>13503</v>
      </c>
      <c r="Z143" s="2089">
        <f t="shared" si="137"/>
        <v>13254</v>
      </c>
      <c r="AA143" s="2089">
        <f t="shared" si="137"/>
        <v>14474</v>
      </c>
      <c r="AB143" s="2089">
        <f t="shared" si="137"/>
        <v>20308</v>
      </c>
      <c r="AC143" s="89">
        <f t="shared" ref="AC143:AC149" si="138">SUM(Q143,R143,S143)</f>
        <v>38260</v>
      </c>
      <c r="AD143" s="89">
        <f t="shared" ref="AD143:AD149" si="139">SUM(T143,U143,V143)</f>
        <v>39578</v>
      </c>
      <c r="AE143" s="89">
        <f t="shared" ref="AE143:AE149" si="140">SUM(W143,X143,Y143)</f>
        <v>40926</v>
      </c>
      <c r="AF143" s="89">
        <f t="shared" ref="AF143:AF149" si="141">SUM(Z143,AA143,AB143)</f>
        <v>48036</v>
      </c>
      <c r="AG143" s="89">
        <f t="shared" ref="AG143:AG148" si="142">AC143+AD143</f>
        <v>77838</v>
      </c>
      <c r="AH143" s="89">
        <f t="shared" ref="AH143:AH148" si="143">AF143+AE143</f>
        <v>88962</v>
      </c>
      <c r="AI143" s="89">
        <f t="shared" ref="AI143:AI148" si="144">AG143+AH143</f>
        <v>166800</v>
      </c>
    </row>
    <row r="144" spans="1:35">
      <c r="A144" s="990">
        <v>132</v>
      </c>
      <c r="B144" s="990">
        <v>1</v>
      </c>
      <c r="C144" s="990">
        <v>144</v>
      </c>
      <c r="E144" s="1243">
        <v>1</v>
      </c>
      <c r="F144" s="5"/>
      <c r="G144" s="5"/>
      <c r="H144" s="5"/>
      <c r="I144" s="30"/>
      <c r="J144" s="4"/>
      <c r="K144" s="5"/>
      <c r="L144" s="5"/>
      <c r="M144" s="4"/>
      <c r="N144" s="4"/>
      <c r="O144" s="4" t="s">
        <v>1025</v>
      </c>
      <c r="P144" s="29"/>
      <c r="Q144" s="2089">
        <f t="shared" ref="Q144:AB144" si="145">(Q532+Q555)*-1</f>
        <v>301</v>
      </c>
      <c r="R144" s="2089">
        <f t="shared" si="145"/>
        <v>301</v>
      </c>
      <c r="S144" s="2089">
        <f t="shared" si="145"/>
        <v>301</v>
      </c>
      <c r="T144" s="2089">
        <f t="shared" si="145"/>
        <v>246</v>
      </c>
      <c r="U144" s="2089">
        <f t="shared" si="145"/>
        <v>246</v>
      </c>
      <c r="V144" s="2089">
        <f t="shared" si="145"/>
        <v>296</v>
      </c>
      <c r="W144" s="2089">
        <f t="shared" si="145"/>
        <v>301</v>
      </c>
      <c r="X144" s="2089">
        <f t="shared" si="145"/>
        <v>301</v>
      </c>
      <c r="Y144" s="2089">
        <f t="shared" si="145"/>
        <v>493</v>
      </c>
      <c r="Z144" s="2089">
        <f t="shared" si="145"/>
        <v>301</v>
      </c>
      <c r="AA144" s="2089">
        <f t="shared" si="145"/>
        <v>274</v>
      </c>
      <c r="AB144" s="2089">
        <f t="shared" si="145"/>
        <v>60</v>
      </c>
      <c r="AC144" s="89">
        <f t="shared" si="138"/>
        <v>903</v>
      </c>
      <c r="AD144" s="89">
        <f t="shared" si="139"/>
        <v>788</v>
      </c>
      <c r="AE144" s="89">
        <f t="shared" si="140"/>
        <v>1095</v>
      </c>
      <c r="AF144" s="89">
        <f t="shared" si="141"/>
        <v>635</v>
      </c>
      <c r="AG144" s="89">
        <f t="shared" si="142"/>
        <v>1691</v>
      </c>
      <c r="AH144" s="89">
        <f t="shared" si="143"/>
        <v>1730</v>
      </c>
      <c r="AI144" s="89">
        <f t="shared" si="144"/>
        <v>3421</v>
      </c>
    </row>
    <row r="145" spans="1:36">
      <c r="A145" s="990">
        <v>133</v>
      </c>
      <c r="B145" s="990">
        <v>1</v>
      </c>
      <c r="C145" s="990">
        <v>145</v>
      </c>
      <c r="E145" s="1243">
        <v>1</v>
      </c>
      <c r="F145" s="5"/>
      <c r="G145" s="5"/>
      <c r="H145" s="5"/>
      <c r="I145" s="30"/>
      <c r="J145" s="4"/>
      <c r="K145" s="5"/>
      <c r="L145" s="5"/>
      <c r="M145" s="4"/>
      <c r="N145" s="4"/>
      <c r="O145" s="4" t="s">
        <v>49</v>
      </c>
      <c r="P145" s="29"/>
      <c r="Q145" s="2089">
        <f>(Q535+Q558)*-1</f>
        <v>0</v>
      </c>
      <c r="R145" s="2089">
        <f t="shared" ref="R145:AB145" si="146">(R535+R558)*-1</f>
        <v>0</v>
      </c>
      <c r="S145" s="2089">
        <f t="shared" si="146"/>
        <v>0</v>
      </c>
      <c r="T145" s="2089">
        <f t="shared" si="146"/>
        <v>0</v>
      </c>
      <c r="U145" s="2089">
        <f t="shared" si="146"/>
        <v>0</v>
      </c>
      <c r="V145" s="2089">
        <f t="shared" si="146"/>
        <v>0</v>
      </c>
      <c r="W145" s="2089">
        <f t="shared" si="146"/>
        <v>0</v>
      </c>
      <c r="X145" s="2089">
        <f t="shared" si="146"/>
        <v>0</v>
      </c>
      <c r="Y145" s="2089">
        <f t="shared" si="146"/>
        <v>0</v>
      </c>
      <c r="Z145" s="2089">
        <f t="shared" si="146"/>
        <v>0</v>
      </c>
      <c r="AA145" s="2089">
        <f t="shared" si="146"/>
        <v>0</v>
      </c>
      <c r="AB145" s="2089">
        <f t="shared" si="146"/>
        <v>0</v>
      </c>
      <c r="AC145" s="89">
        <f t="shared" si="138"/>
        <v>0</v>
      </c>
      <c r="AD145" s="89">
        <f t="shared" si="139"/>
        <v>0</v>
      </c>
      <c r="AE145" s="89">
        <f t="shared" si="140"/>
        <v>0</v>
      </c>
      <c r="AF145" s="89">
        <f t="shared" si="141"/>
        <v>0</v>
      </c>
      <c r="AG145" s="89">
        <f t="shared" si="142"/>
        <v>0</v>
      </c>
      <c r="AH145" s="89">
        <f t="shared" si="143"/>
        <v>0</v>
      </c>
      <c r="AI145" s="89">
        <f t="shared" si="144"/>
        <v>0</v>
      </c>
    </row>
    <row r="146" spans="1:36">
      <c r="A146" s="990">
        <v>134</v>
      </c>
      <c r="B146" s="990">
        <v>1</v>
      </c>
      <c r="C146" s="990">
        <v>146</v>
      </c>
      <c r="E146" s="1243">
        <v>1</v>
      </c>
      <c r="F146" s="5"/>
      <c r="G146" s="5"/>
      <c r="H146" s="5"/>
      <c r="I146" s="30"/>
      <c r="J146" s="4"/>
      <c r="K146" s="5"/>
      <c r="L146" s="5"/>
      <c r="M146" s="4"/>
      <c r="N146" s="4"/>
      <c r="O146" s="4" t="s">
        <v>11</v>
      </c>
      <c r="P146" s="29"/>
      <c r="Q146" s="2089">
        <f>Q139-Q140-Q143-Q144-Q145</f>
        <v>0</v>
      </c>
      <c r="R146" s="2089">
        <f>R139-R140-R143-R144-R145</f>
        <v>0</v>
      </c>
      <c r="S146" s="2089">
        <f t="shared" ref="S146:AB146" si="147">S139-S140-S143-S144-S145</f>
        <v>0</v>
      </c>
      <c r="T146" s="2089">
        <f>T139-T140-T143-T144-T145</f>
        <v>0</v>
      </c>
      <c r="U146" s="2089">
        <f t="shared" si="147"/>
        <v>0</v>
      </c>
      <c r="V146" s="2089">
        <f t="shared" si="147"/>
        <v>0</v>
      </c>
      <c r="W146" s="2089">
        <f t="shared" si="147"/>
        <v>0</v>
      </c>
      <c r="X146" s="2089">
        <f t="shared" si="147"/>
        <v>0</v>
      </c>
      <c r="Y146" s="2089">
        <f t="shared" si="147"/>
        <v>0</v>
      </c>
      <c r="Z146" s="2089">
        <f t="shared" si="147"/>
        <v>0</v>
      </c>
      <c r="AA146" s="2089">
        <f t="shared" si="147"/>
        <v>0</v>
      </c>
      <c r="AB146" s="2089">
        <f t="shared" si="147"/>
        <v>0</v>
      </c>
      <c r="AC146" s="89">
        <f t="shared" si="138"/>
        <v>0</v>
      </c>
      <c r="AD146" s="89">
        <f>SUM(T146,U146,V146)</f>
        <v>0</v>
      </c>
      <c r="AE146" s="89">
        <f t="shared" si="140"/>
        <v>0</v>
      </c>
      <c r="AF146" s="89">
        <f t="shared" si="141"/>
        <v>0</v>
      </c>
      <c r="AG146" s="89">
        <f t="shared" si="142"/>
        <v>0</v>
      </c>
      <c r="AH146" s="89">
        <f t="shared" si="143"/>
        <v>0</v>
      </c>
      <c r="AI146" s="89">
        <f t="shared" si="144"/>
        <v>0</v>
      </c>
    </row>
    <row r="147" spans="1:36">
      <c r="A147" s="990">
        <v>135</v>
      </c>
      <c r="B147" s="990">
        <v>1</v>
      </c>
      <c r="C147" s="990">
        <v>147</v>
      </c>
      <c r="E147" s="1243">
        <v>1</v>
      </c>
      <c r="F147" s="5"/>
      <c r="G147" s="5"/>
      <c r="H147" s="5"/>
      <c r="I147" s="30"/>
      <c r="J147" s="4"/>
      <c r="K147" s="5"/>
      <c r="L147" s="5"/>
      <c r="M147" s="4" t="s">
        <v>85</v>
      </c>
      <c r="N147" s="4"/>
      <c r="O147" s="4"/>
      <c r="P147" s="29"/>
      <c r="Q147" s="2177">
        <f>Q130-Q157</f>
        <v>0</v>
      </c>
      <c r="R147" s="2177">
        <f t="shared" ref="R147:AB148" si="148">R130-R157</f>
        <v>0</v>
      </c>
      <c r="S147" s="2177">
        <f t="shared" si="148"/>
        <v>0</v>
      </c>
      <c r="T147" s="2177">
        <f t="shared" si="148"/>
        <v>0</v>
      </c>
      <c r="U147" s="2177">
        <f t="shared" si="148"/>
        <v>0</v>
      </c>
      <c r="V147" s="2177">
        <f t="shared" si="148"/>
        <v>0</v>
      </c>
      <c r="W147" s="2177">
        <f t="shared" si="148"/>
        <v>0</v>
      </c>
      <c r="X147" s="2177">
        <f t="shared" si="148"/>
        <v>0</v>
      </c>
      <c r="Y147" s="2177">
        <f t="shared" si="148"/>
        <v>0</v>
      </c>
      <c r="Z147" s="2177">
        <f t="shared" si="148"/>
        <v>0</v>
      </c>
      <c r="AA147" s="2177">
        <f t="shared" si="148"/>
        <v>0</v>
      </c>
      <c r="AB147" s="2177">
        <f t="shared" si="148"/>
        <v>0</v>
      </c>
      <c r="AC147" s="89">
        <f t="shared" si="138"/>
        <v>0</v>
      </c>
      <c r="AD147" s="89">
        <f t="shared" si="139"/>
        <v>0</v>
      </c>
      <c r="AE147" s="89">
        <f t="shared" si="140"/>
        <v>0</v>
      </c>
      <c r="AF147" s="89">
        <f t="shared" si="141"/>
        <v>0</v>
      </c>
      <c r="AG147" s="89">
        <f t="shared" si="142"/>
        <v>0</v>
      </c>
      <c r="AH147" s="89">
        <f t="shared" si="143"/>
        <v>0</v>
      </c>
      <c r="AI147" s="89">
        <f t="shared" si="144"/>
        <v>0</v>
      </c>
    </row>
    <row r="148" spans="1:36">
      <c r="A148" s="990">
        <v>136</v>
      </c>
      <c r="B148" s="990">
        <v>1</v>
      </c>
      <c r="C148" s="990">
        <v>148</v>
      </c>
      <c r="E148" s="1243">
        <v>1</v>
      </c>
      <c r="F148" s="5"/>
      <c r="G148" s="5"/>
      <c r="H148" s="5"/>
      <c r="I148" s="30"/>
      <c r="J148" s="4"/>
      <c r="K148" s="5"/>
      <c r="L148" s="5"/>
      <c r="M148" s="4" t="s">
        <v>11</v>
      </c>
      <c r="N148" s="4"/>
      <c r="O148" s="4"/>
      <c r="P148" s="29"/>
      <c r="Q148" s="29">
        <f>Q131-Q158</f>
        <v>0</v>
      </c>
      <c r="R148" s="29">
        <f t="shared" si="148"/>
        <v>0</v>
      </c>
      <c r="S148" s="29">
        <f t="shared" si="148"/>
        <v>0</v>
      </c>
      <c r="T148" s="29">
        <f t="shared" si="148"/>
        <v>0</v>
      </c>
      <c r="U148" s="29">
        <f t="shared" si="148"/>
        <v>0</v>
      </c>
      <c r="V148" s="29">
        <f t="shared" si="148"/>
        <v>0</v>
      </c>
      <c r="W148" s="29">
        <f t="shared" si="148"/>
        <v>0</v>
      </c>
      <c r="X148" s="29">
        <f t="shared" si="148"/>
        <v>0</v>
      </c>
      <c r="Y148" s="29">
        <f t="shared" si="148"/>
        <v>0</v>
      </c>
      <c r="Z148" s="29">
        <f t="shared" si="148"/>
        <v>0</v>
      </c>
      <c r="AA148" s="29">
        <f t="shared" si="148"/>
        <v>0</v>
      </c>
      <c r="AB148" s="29">
        <f t="shared" si="148"/>
        <v>0</v>
      </c>
      <c r="AC148" s="89">
        <f t="shared" si="138"/>
        <v>0</v>
      </c>
      <c r="AD148" s="89">
        <f t="shared" si="139"/>
        <v>0</v>
      </c>
      <c r="AE148" s="89">
        <f t="shared" si="140"/>
        <v>0</v>
      </c>
      <c r="AF148" s="89">
        <f t="shared" si="141"/>
        <v>0</v>
      </c>
      <c r="AG148" s="89">
        <f t="shared" si="142"/>
        <v>0</v>
      </c>
      <c r="AH148" s="89">
        <f t="shared" si="143"/>
        <v>0</v>
      </c>
      <c r="AI148" s="89">
        <f t="shared" si="144"/>
        <v>0</v>
      </c>
    </row>
    <row r="149" spans="1:36">
      <c r="A149" s="990">
        <v>137</v>
      </c>
      <c r="B149" s="990">
        <v>1</v>
      </c>
      <c r="C149" s="990">
        <v>149</v>
      </c>
      <c r="D149" s="1121" t="s">
        <v>999</v>
      </c>
      <c r="E149" s="1243">
        <v>1</v>
      </c>
      <c r="F149" s="5"/>
      <c r="G149" s="5"/>
      <c r="H149" s="5"/>
      <c r="I149" s="1170" t="s">
        <v>134</v>
      </c>
      <c r="J149" s="1171"/>
      <c r="K149" s="1172"/>
      <c r="L149" s="1172"/>
      <c r="M149" s="1172"/>
      <c r="N149" s="1172"/>
      <c r="O149" s="1172"/>
      <c r="P149" s="1174"/>
      <c r="Q149" s="1713">
        <f>SUM(Q155:Q158)</f>
        <v>130443</v>
      </c>
      <c r="R149" s="1713">
        <f t="shared" ref="R149:AI149" si="149">SUM(R155:R158)</f>
        <v>50370</v>
      </c>
      <c r="S149" s="1713">
        <f t="shared" si="149"/>
        <v>109811</v>
      </c>
      <c r="T149" s="1713">
        <f t="shared" si="149"/>
        <v>127136</v>
      </c>
      <c r="U149" s="1713">
        <f t="shared" si="149"/>
        <v>153565</v>
      </c>
      <c r="V149" s="1713">
        <f t="shared" si="149"/>
        <v>178110</v>
      </c>
      <c r="W149" s="1713">
        <f t="shared" si="149"/>
        <v>153175</v>
      </c>
      <c r="X149" s="1713">
        <f t="shared" si="149"/>
        <v>149958</v>
      </c>
      <c r="Y149" s="1713">
        <f t="shared" si="149"/>
        <v>137947</v>
      </c>
      <c r="Z149" s="1713">
        <f t="shared" si="149"/>
        <v>159342</v>
      </c>
      <c r="AA149" s="1713">
        <f t="shared" si="149"/>
        <v>108873</v>
      </c>
      <c r="AB149" s="1713">
        <f t="shared" si="149"/>
        <v>204900</v>
      </c>
      <c r="AC149" s="129">
        <f t="shared" si="138"/>
        <v>290624</v>
      </c>
      <c r="AD149" s="129">
        <f t="shared" si="139"/>
        <v>458811</v>
      </c>
      <c r="AE149" s="129">
        <f t="shared" si="140"/>
        <v>441080</v>
      </c>
      <c r="AF149" s="129">
        <f t="shared" si="141"/>
        <v>473115</v>
      </c>
      <c r="AG149" s="129">
        <f t="shared" si="149"/>
        <v>749435</v>
      </c>
      <c r="AH149" s="129">
        <f t="shared" si="149"/>
        <v>914195</v>
      </c>
      <c r="AI149" s="129">
        <f t="shared" si="149"/>
        <v>1663630</v>
      </c>
    </row>
    <row r="150" spans="1:36" ht="14.5">
      <c r="A150" s="990">
        <v>138</v>
      </c>
      <c r="B150" s="990">
        <v>1</v>
      </c>
      <c r="C150" s="990">
        <v>150</v>
      </c>
      <c r="D150" s="1121" t="s">
        <v>999</v>
      </c>
      <c r="E150" s="1243">
        <v>1</v>
      </c>
      <c r="F150" s="5"/>
      <c r="G150" s="5"/>
      <c r="H150" s="5"/>
      <c r="I150" s="617"/>
      <c r="J150" s="618" t="s">
        <v>135</v>
      </c>
      <c r="K150" s="616"/>
      <c r="L150" s="616"/>
      <c r="M150" s="616"/>
      <c r="N150" s="616"/>
      <c r="O150" s="587" t="s">
        <v>1027</v>
      </c>
      <c r="P150" s="91"/>
      <c r="Q150" s="622">
        <f>IFERROR(Q149/Q127,0)</f>
        <v>0.3495229138029437</v>
      </c>
      <c r="R150" s="622">
        <f t="shared" ref="R150:AI150" si="150">IFERROR(R149/R127,0)</f>
        <v>0.36969621349460907</v>
      </c>
      <c r="S150" s="622">
        <f t="shared" si="150"/>
        <v>0.35004096152804032</v>
      </c>
      <c r="T150" s="622">
        <f t="shared" si="150"/>
        <v>0.37897083853736618</v>
      </c>
      <c r="U150" s="622">
        <f t="shared" si="150"/>
        <v>0.38909327698302903</v>
      </c>
      <c r="V150" s="622">
        <f t="shared" si="150"/>
        <v>0.38510187005001068</v>
      </c>
      <c r="W150" s="622">
        <f t="shared" si="150"/>
        <v>0.3393970951552685</v>
      </c>
      <c r="X150" s="622">
        <f t="shared" si="150"/>
        <v>0.3999839961590782</v>
      </c>
      <c r="Y150" s="622">
        <f t="shared" si="150"/>
        <v>0.29970821537746239</v>
      </c>
      <c r="Z150" s="622">
        <f t="shared" si="150"/>
        <v>0.39220039529680489</v>
      </c>
      <c r="AA150" s="622">
        <f t="shared" si="150"/>
        <v>0.31388349122695741</v>
      </c>
      <c r="AB150" s="622">
        <f t="shared" si="150"/>
        <v>0.40158517368705754</v>
      </c>
      <c r="AC150" s="622">
        <f t="shared" si="150"/>
        <v>0.35305937249061237</v>
      </c>
      <c r="AD150" s="622">
        <f t="shared" si="150"/>
        <v>0.3846981349127826</v>
      </c>
      <c r="AE150" s="622">
        <f t="shared" si="150"/>
        <v>0.3428537671318061</v>
      </c>
      <c r="AF150" s="622">
        <f t="shared" si="150"/>
        <v>0.37448856741886538</v>
      </c>
      <c r="AG150" s="622">
        <f t="shared" si="150"/>
        <v>0.37177840581284655</v>
      </c>
      <c r="AH150" s="622">
        <f t="shared" si="150"/>
        <v>0.35852766760828736</v>
      </c>
      <c r="AI150" s="622">
        <f t="shared" si="150"/>
        <v>0.36437806499374681</v>
      </c>
      <c r="AJ150" s="619"/>
    </row>
    <row r="151" spans="1:36" s="619" customFormat="1" ht="14.5" hidden="1" outlineLevel="1">
      <c r="A151" s="990">
        <v>139</v>
      </c>
      <c r="B151" s="990">
        <v>1</v>
      </c>
      <c r="C151" s="990">
        <v>151</v>
      </c>
      <c r="D151" s="1121" t="s">
        <v>999</v>
      </c>
      <c r="E151" s="1243">
        <v>1</v>
      </c>
      <c r="F151" s="5"/>
      <c r="G151" s="5"/>
      <c r="H151" s="616"/>
      <c r="I151" s="617"/>
      <c r="J151" s="620"/>
      <c r="K151" s="616"/>
      <c r="L151" s="616"/>
      <c r="M151" s="618" t="s">
        <v>1028</v>
      </c>
      <c r="N151" s="620"/>
      <c r="O151" s="620"/>
      <c r="P151" s="1168"/>
      <c r="Q151" s="621">
        <f>IFERROR(Q155/Q128,0)</f>
        <v>0.35748753138849992</v>
      </c>
      <c r="R151" s="621">
        <f t="shared" ref="R151:AI151" si="151">IFERROR(R155/R128,0)</f>
        <v>0.21205924273408935</v>
      </c>
      <c r="S151" s="621">
        <f t="shared" si="151"/>
        <v>0.27045223413704766</v>
      </c>
      <c r="T151" s="621">
        <f t="shared" si="151"/>
        <v>0.33649051592372647</v>
      </c>
      <c r="U151" s="621">
        <f t="shared" si="151"/>
        <v>0.38126475186218312</v>
      </c>
      <c r="V151" s="621">
        <f t="shared" si="151"/>
        <v>0.36430578553866227</v>
      </c>
      <c r="W151" s="621">
        <f t="shared" si="151"/>
        <v>0.12781309053427245</v>
      </c>
      <c r="X151" s="621">
        <f t="shared" si="151"/>
        <v>0.35822403716937695</v>
      </c>
      <c r="Y151" s="621">
        <f t="shared" si="151"/>
        <v>0.20721983355900261</v>
      </c>
      <c r="Z151" s="621">
        <f t="shared" si="151"/>
        <v>0.34890863717973331</v>
      </c>
      <c r="AA151" s="621">
        <f t="shared" si="151"/>
        <v>0.24736284771718323</v>
      </c>
      <c r="AB151" s="621">
        <f t="shared" si="151"/>
        <v>0.50006353550657345</v>
      </c>
      <c r="AC151" s="621">
        <f t="shared" si="151"/>
        <v>0.30695480899936195</v>
      </c>
      <c r="AD151" s="621">
        <f t="shared" si="151"/>
        <v>0.36264345824471478</v>
      </c>
      <c r="AE151" s="621">
        <f t="shared" si="151"/>
        <v>0.22610086161033688</v>
      </c>
      <c r="AF151" s="621">
        <f t="shared" si="151"/>
        <v>0.39256990457140478</v>
      </c>
      <c r="AG151" s="621">
        <f t="shared" si="151"/>
        <v>0.34324273128264204</v>
      </c>
      <c r="AH151" s="621">
        <f t="shared" si="151"/>
        <v>0.29655116466090098</v>
      </c>
      <c r="AI151" s="621">
        <f t="shared" si="151"/>
        <v>0.31882742860936975</v>
      </c>
    </row>
    <row r="152" spans="1:36" s="619" customFormat="1" ht="14.5" hidden="1" outlineLevel="1">
      <c r="A152" s="990">
        <v>140</v>
      </c>
      <c r="B152" s="990">
        <v>1</v>
      </c>
      <c r="C152" s="990">
        <v>152</v>
      </c>
      <c r="D152" s="1121" t="s">
        <v>999</v>
      </c>
      <c r="E152" s="1243">
        <v>1</v>
      </c>
      <c r="F152" s="5"/>
      <c r="G152" s="5"/>
      <c r="H152" s="616"/>
      <c r="I152" s="617"/>
      <c r="J152" s="620"/>
      <c r="K152" s="616"/>
      <c r="L152" s="616"/>
      <c r="M152" s="618" t="s">
        <v>1029</v>
      </c>
      <c r="N152" s="620"/>
      <c r="O152" s="620"/>
      <c r="P152" s="1168"/>
      <c r="Q152" s="621">
        <f t="shared" ref="Q152:AI154" si="152">IFERROR(Q156/Q129,0)</f>
        <v>0.34712294184513887</v>
      </c>
      <c r="R152" s="621">
        <f t="shared" si="152"/>
        <v>0.3908750312213804</v>
      </c>
      <c r="S152" s="621">
        <f t="shared" si="152"/>
        <v>0.37623502296337724</v>
      </c>
      <c r="T152" s="621">
        <f t="shared" si="152"/>
        <v>0.39223340465229073</v>
      </c>
      <c r="U152" s="621">
        <f t="shared" si="152"/>
        <v>0.39167466855342731</v>
      </c>
      <c r="V152" s="621">
        <f t="shared" si="152"/>
        <v>0.39604182545888889</v>
      </c>
      <c r="W152" s="621">
        <f t="shared" si="152"/>
        <v>0.4033710686016212</v>
      </c>
      <c r="X152" s="621">
        <f t="shared" si="152"/>
        <v>0.41435624217957312</v>
      </c>
      <c r="Y152" s="621">
        <f t="shared" si="152"/>
        <v>0.33468171746811187</v>
      </c>
      <c r="Z152" s="621">
        <f t="shared" si="152"/>
        <v>0.40426730622753509</v>
      </c>
      <c r="AA152" s="621">
        <f t="shared" si="152"/>
        <v>0.32485424111340983</v>
      </c>
      <c r="AB152" s="621">
        <f t="shared" si="152"/>
        <v>0.37688730471191867</v>
      </c>
      <c r="AC152" s="621">
        <f t="shared" si="152"/>
        <v>0.36598415986959576</v>
      </c>
      <c r="AD152" s="621">
        <f t="shared" si="152"/>
        <v>0.3933886828444958</v>
      </c>
      <c r="AE152" s="621">
        <f t="shared" si="152"/>
        <v>0.38265373126239011</v>
      </c>
      <c r="AF152" s="621">
        <f t="shared" si="152"/>
        <v>0.37024877051142618</v>
      </c>
      <c r="AG152" s="621">
        <f t="shared" si="152"/>
        <v>0.38163057064700556</v>
      </c>
      <c r="AH152" s="621">
        <f t="shared" si="152"/>
        <v>0.3762511807636269</v>
      </c>
      <c r="AI152" s="621">
        <f t="shared" si="152"/>
        <v>0.37856664380153987</v>
      </c>
    </row>
    <row r="153" spans="1:36" s="619" customFormat="1" ht="14.5" hidden="1" outlineLevel="1">
      <c r="A153" s="990">
        <v>141</v>
      </c>
      <c r="B153" s="990">
        <v>1</v>
      </c>
      <c r="C153" s="990">
        <v>153</v>
      </c>
      <c r="D153" s="1121" t="s">
        <v>999</v>
      </c>
      <c r="E153" s="1243">
        <v>1</v>
      </c>
      <c r="F153" s="5"/>
      <c r="G153" s="5"/>
      <c r="H153" s="616"/>
      <c r="I153" s="617"/>
      <c r="J153" s="620"/>
      <c r="K153" s="616"/>
      <c r="L153" s="616"/>
      <c r="M153" s="618" t="s">
        <v>1036</v>
      </c>
      <c r="N153" s="620"/>
      <c r="O153" s="620"/>
      <c r="P153" s="1168"/>
      <c r="Q153" s="621">
        <f t="shared" si="152"/>
        <v>0</v>
      </c>
      <c r="R153" s="621">
        <f t="shared" si="152"/>
        <v>0</v>
      </c>
      <c r="S153" s="621">
        <f t="shared" si="152"/>
        <v>0</v>
      </c>
      <c r="T153" s="621">
        <f t="shared" si="152"/>
        <v>0</v>
      </c>
      <c r="U153" s="621">
        <f t="shared" si="152"/>
        <v>0</v>
      </c>
      <c r="V153" s="621">
        <f t="shared" si="152"/>
        <v>0</v>
      </c>
      <c r="W153" s="621">
        <f t="shared" si="152"/>
        <v>0</v>
      </c>
      <c r="X153" s="621">
        <f t="shared" si="152"/>
        <v>0</v>
      </c>
      <c r="Y153" s="621">
        <f t="shared" si="152"/>
        <v>0</v>
      </c>
      <c r="Z153" s="621">
        <f t="shared" si="152"/>
        <v>0</v>
      </c>
      <c r="AA153" s="621">
        <f t="shared" si="152"/>
        <v>0</v>
      </c>
      <c r="AB153" s="621">
        <f t="shared" si="152"/>
        <v>0</v>
      </c>
      <c r="AC153" s="621">
        <f t="shared" si="152"/>
        <v>0</v>
      </c>
      <c r="AD153" s="621">
        <f t="shared" si="152"/>
        <v>0</v>
      </c>
      <c r="AE153" s="621">
        <f t="shared" si="152"/>
        <v>0</v>
      </c>
      <c r="AF153" s="621">
        <f t="shared" si="152"/>
        <v>0</v>
      </c>
      <c r="AG153" s="621">
        <f t="shared" si="152"/>
        <v>0</v>
      </c>
      <c r="AH153" s="621">
        <f t="shared" si="152"/>
        <v>0</v>
      </c>
      <c r="AI153" s="621">
        <f t="shared" si="152"/>
        <v>0</v>
      </c>
    </row>
    <row r="154" spans="1:36" s="619" customFormat="1" ht="14.5" hidden="1" outlineLevel="1">
      <c r="A154" s="990">
        <v>142</v>
      </c>
      <c r="B154" s="990">
        <v>1</v>
      </c>
      <c r="C154" s="990">
        <v>154</v>
      </c>
      <c r="D154" s="1121" t="s">
        <v>999</v>
      </c>
      <c r="E154" s="1243">
        <v>1</v>
      </c>
      <c r="F154" s="5"/>
      <c r="G154" s="5"/>
      <c r="H154" s="616"/>
      <c r="I154" s="617"/>
      <c r="J154" s="620"/>
      <c r="K154" s="616"/>
      <c r="L154" s="616"/>
      <c r="M154" s="618" t="s">
        <v>1030</v>
      </c>
      <c r="N154" s="620"/>
      <c r="O154" s="620"/>
      <c r="P154" s="1168"/>
      <c r="Q154" s="621">
        <f t="shared" si="152"/>
        <v>0</v>
      </c>
      <c r="R154" s="621">
        <f t="shared" si="152"/>
        <v>0</v>
      </c>
      <c r="S154" s="621">
        <f t="shared" si="152"/>
        <v>0</v>
      </c>
      <c r="T154" s="621">
        <f t="shared" si="152"/>
        <v>0</v>
      </c>
      <c r="U154" s="621">
        <f t="shared" si="152"/>
        <v>0</v>
      </c>
      <c r="V154" s="621">
        <f t="shared" si="152"/>
        <v>0</v>
      </c>
      <c r="W154" s="621">
        <f t="shared" si="152"/>
        <v>0</v>
      </c>
      <c r="X154" s="621">
        <f t="shared" si="152"/>
        <v>0</v>
      </c>
      <c r="Y154" s="621">
        <f t="shared" si="152"/>
        <v>0</v>
      </c>
      <c r="Z154" s="621">
        <f t="shared" si="152"/>
        <v>0</v>
      </c>
      <c r="AA154" s="621">
        <f t="shared" si="152"/>
        <v>0</v>
      </c>
      <c r="AB154" s="621">
        <f t="shared" si="152"/>
        <v>0</v>
      </c>
      <c r="AC154" s="621">
        <f t="shared" si="152"/>
        <v>0</v>
      </c>
      <c r="AD154" s="621">
        <f t="shared" si="152"/>
        <v>0</v>
      </c>
      <c r="AE154" s="621">
        <f t="shared" si="152"/>
        <v>0</v>
      </c>
      <c r="AF154" s="621">
        <f t="shared" si="152"/>
        <v>0</v>
      </c>
      <c r="AG154" s="621">
        <f t="shared" si="152"/>
        <v>0</v>
      </c>
      <c r="AH154" s="621">
        <f t="shared" si="152"/>
        <v>0</v>
      </c>
      <c r="AI154" s="621">
        <f t="shared" si="152"/>
        <v>0</v>
      </c>
    </row>
    <row r="155" spans="1:36" collapsed="1">
      <c r="A155" s="990">
        <v>143</v>
      </c>
      <c r="B155" s="990">
        <v>1</v>
      </c>
      <c r="C155" s="990">
        <v>155</v>
      </c>
      <c r="D155" s="1121" t="s">
        <v>999</v>
      </c>
      <c r="E155" s="1243">
        <v>1</v>
      </c>
      <c r="F155" s="5"/>
      <c r="G155" s="5"/>
      <c r="H155" s="5"/>
      <c r="I155" s="30"/>
      <c r="J155" s="4"/>
      <c r="K155" s="5"/>
      <c r="L155" s="5"/>
      <c r="M155" s="4" t="s">
        <v>137</v>
      </c>
      <c r="N155" s="4"/>
      <c r="O155" s="4"/>
      <c r="P155" s="29"/>
      <c r="Q155" s="29">
        <f t="shared" ref="Q155:AB155" si="153">Q520+Q543</f>
        <v>30893</v>
      </c>
      <c r="R155" s="29">
        <f t="shared" si="153"/>
        <v>3422</v>
      </c>
      <c r="S155" s="29">
        <f t="shared" si="153"/>
        <v>21009</v>
      </c>
      <c r="T155" s="29">
        <f t="shared" si="153"/>
        <v>26858</v>
      </c>
      <c r="U155" s="29">
        <f t="shared" si="153"/>
        <v>37314</v>
      </c>
      <c r="V155" s="29">
        <f t="shared" si="153"/>
        <v>58082</v>
      </c>
      <c r="W155" s="29">
        <f t="shared" si="153"/>
        <v>13392</v>
      </c>
      <c r="X155" s="29">
        <f t="shared" si="153"/>
        <v>34387</v>
      </c>
      <c r="Y155" s="29">
        <f t="shared" si="153"/>
        <v>26170</v>
      </c>
      <c r="Z155" s="29">
        <f t="shared" si="153"/>
        <v>30899</v>
      </c>
      <c r="AA155" s="29">
        <f t="shared" si="153"/>
        <v>12147</v>
      </c>
      <c r="AB155" s="29">
        <f t="shared" si="153"/>
        <v>51159</v>
      </c>
      <c r="AC155" s="89">
        <f t="shared" ref="AC155:AC162" si="154">SUM(Q155,R155,S155)</f>
        <v>55324</v>
      </c>
      <c r="AD155" s="89">
        <f t="shared" ref="AD155:AD162" si="155">SUM(T155,U155,V155)</f>
        <v>122254</v>
      </c>
      <c r="AE155" s="89">
        <f t="shared" ref="AE155:AE162" si="156">SUM(W155,X155,Y155)</f>
        <v>73949</v>
      </c>
      <c r="AF155" s="89">
        <f t="shared" ref="AF155:AF162" si="157">SUM(Z155,AA155,AB155)</f>
        <v>94205</v>
      </c>
      <c r="AG155" s="89">
        <f>AC155+AD155</f>
        <v>177578</v>
      </c>
      <c r="AH155" s="89">
        <f>AF155+AE155</f>
        <v>168154</v>
      </c>
      <c r="AI155" s="89">
        <f>AG155+AH155</f>
        <v>345732</v>
      </c>
    </row>
    <row r="156" spans="1:36">
      <c r="A156" s="990">
        <v>144</v>
      </c>
      <c r="B156" s="990">
        <v>1</v>
      </c>
      <c r="C156" s="990">
        <v>156</v>
      </c>
      <c r="D156" s="1121" t="s">
        <v>999</v>
      </c>
      <c r="E156" s="1243">
        <v>1</v>
      </c>
      <c r="F156" s="5"/>
      <c r="G156" s="5"/>
      <c r="H156" s="5"/>
      <c r="I156" s="30"/>
      <c r="J156" s="4"/>
      <c r="K156" s="5"/>
      <c r="L156" s="5"/>
      <c r="M156" s="4" t="s">
        <v>95</v>
      </c>
      <c r="N156" s="4"/>
      <c r="O156" s="4"/>
      <c r="P156" s="29"/>
      <c r="Q156" s="29">
        <f t="shared" ref="Q156:AB156" si="158">Q523+Q546</f>
        <v>99550</v>
      </c>
      <c r="R156" s="29">
        <f t="shared" si="158"/>
        <v>46948</v>
      </c>
      <c r="S156" s="29">
        <f t="shared" si="158"/>
        <v>88802</v>
      </c>
      <c r="T156" s="29">
        <f t="shared" si="158"/>
        <v>100278</v>
      </c>
      <c r="U156" s="29">
        <f t="shared" si="158"/>
        <v>116251</v>
      </c>
      <c r="V156" s="29">
        <f t="shared" si="158"/>
        <v>120028</v>
      </c>
      <c r="W156" s="29">
        <f t="shared" si="158"/>
        <v>139783</v>
      </c>
      <c r="X156" s="29">
        <f t="shared" si="158"/>
        <v>115571</v>
      </c>
      <c r="Y156" s="29">
        <f t="shared" si="158"/>
        <v>111777</v>
      </c>
      <c r="Z156" s="29">
        <f t="shared" si="158"/>
        <v>128443</v>
      </c>
      <c r="AA156" s="29">
        <f t="shared" si="158"/>
        <v>96726</v>
      </c>
      <c r="AB156" s="29">
        <f t="shared" si="158"/>
        <v>153741</v>
      </c>
      <c r="AC156" s="89">
        <f t="shared" si="154"/>
        <v>235300</v>
      </c>
      <c r="AD156" s="89">
        <f t="shared" si="155"/>
        <v>336557</v>
      </c>
      <c r="AE156" s="89">
        <f t="shared" si="156"/>
        <v>367131</v>
      </c>
      <c r="AF156" s="89">
        <f t="shared" si="157"/>
        <v>378910</v>
      </c>
      <c r="AG156" s="89">
        <f>AC156+AD156</f>
        <v>571857</v>
      </c>
      <c r="AH156" s="89">
        <f>AF156+AE156</f>
        <v>746041</v>
      </c>
      <c r="AI156" s="89">
        <f>AG156+AH156</f>
        <v>1317898</v>
      </c>
    </row>
    <row r="157" spans="1:36">
      <c r="A157" s="990">
        <v>145</v>
      </c>
      <c r="B157" s="990">
        <v>1</v>
      </c>
      <c r="C157" s="990">
        <v>157</v>
      </c>
      <c r="D157" s="1121" t="s">
        <v>999</v>
      </c>
      <c r="E157" s="1243">
        <v>1</v>
      </c>
      <c r="F157" s="5"/>
      <c r="G157" s="5"/>
      <c r="H157" s="5"/>
      <c r="I157" s="30"/>
      <c r="J157" s="4"/>
      <c r="K157" s="5"/>
      <c r="L157" s="5"/>
      <c r="M157" s="4" t="s">
        <v>85</v>
      </c>
      <c r="N157" s="4"/>
      <c r="O157" s="4"/>
      <c r="P157" s="29"/>
      <c r="Q157" s="29">
        <f t="shared" ref="Q157:AB157" si="159">Q536+Q559</f>
        <v>0</v>
      </c>
      <c r="R157" s="29">
        <f t="shared" si="159"/>
        <v>0</v>
      </c>
      <c r="S157" s="29">
        <f t="shared" si="159"/>
        <v>0</v>
      </c>
      <c r="T157" s="29">
        <f t="shared" si="159"/>
        <v>0</v>
      </c>
      <c r="U157" s="29">
        <f t="shared" si="159"/>
        <v>0</v>
      </c>
      <c r="V157" s="29">
        <f t="shared" si="159"/>
        <v>0</v>
      </c>
      <c r="W157" s="29">
        <f t="shared" si="159"/>
        <v>0</v>
      </c>
      <c r="X157" s="29">
        <f t="shared" si="159"/>
        <v>0</v>
      </c>
      <c r="Y157" s="29">
        <f t="shared" si="159"/>
        <v>0</v>
      </c>
      <c r="Z157" s="29">
        <f t="shared" si="159"/>
        <v>0</v>
      </c>
      <c r="AA157" s="29">
        <f t="shared" si="159"/>
        <v>0</v>
      </c>
      <c r="AB157" s="29">
        <f t="shared" si="159"/>
        <v>0</v>
      </c>
      <c r="AC157" s="89">
        <f t="shared" si="154"/>
        <v>0</v>
      </c>
      <c r="AD157" s="89">
        <f t="shared" si="155"/>
        <v>0</v>
      </c>
      <c r="AE157" s="89">
        <f t="shared" si="156"/>
        <v>0</v>
      </c>
      <c r="AF157" s="89">
        <f t="shared" si="157"/>
        <v>0</v>
      </c>
      <c r="AG157" s="89">
        <f>AC157+AD157</f>
        <v>0</v>
      </c>
      <c r="AH157" s="89">
        <f>AF157+AE157</f>
        <v>0</v>
      </c>
      <c r="AI157" s="89">
        <f>AG157+AH157</f>
        <v>0</v>
      </c>
    </row>
    <row r="158" spans="1:36">
      <c r="A158" s="990">
        <v>146</v>
      </c>
      <c r="B158" s="990">
        <v>1</v>
      </c>
      <c r="C158" s="990">
        <v>158</v>
      </c>
      <c r="D158" s="1121" t="s">
        <v>999</v>
      </c>
      <c r="E158" s="1243">
        <v>1</v>
      </c>
      <c r="F158" s="5"/>
      <c r="G158" s="5"/>
      <c r="H158" s="5"/>
      <c r="I158" s="30"/>
      <c r="J158" s="4"/>
      <c r="K158" s="5"/>
      <c r="L158" s="5"/>
      <c r="M158" s="4" t="s">
        <v>11</v>
      </c>
      <c r="N158" s="4"/>
      <c r="O158" s="4"/>
      <c r="P158" s="29"/>
      <c r="Q158" s="29">
        <f t="shared" ref="Q158:AB158" si="160">Q541+Q564</f>
        <v>0</v>
      </c>
      <c r="R158" s="29">
        <f t="shared" si="160"/>
        <v>0</v>
      </c>
      <c r="S158" s="29">
        <f t="shared" si="160"/>
        <v>0</v>
      </c>
      <c r="T158" s="29">
        <f t="shared" si="160"/>
        <v>0</v>
      </c>
      <c r="U158" s="29">
        <f t="shared" si="160"/>
        <v>0</v>
      </c>
      <c r="V158" s="29">
        <f t="shared" si="160"/>
        <v>0</v>
      </c>
      <c r="W158" s="29">
        <f t="shared" si="160"/>
        <v>0</v>
      </c>
      <c r="X158" s="29">
        <f t="shared" si="160"/>
        <v>0</v>
      </c>
      <c r="Y158" s="29">
        <f t="shared" si="160"/>
        <v>0</v>
      </c>
      <c r="Z158" s="29">
        <f t="shared" si="160"/>
        <v>0</v>
      </c>
      <c r="AA158" s="29">
        <f t="shared" si="160"/>
        <v>0</v>
      </c>
      <c r="AB158" s="29">
        <f t="shared" si="160"/>
        <v>0</v>
      </c>
      <c r="AC158" s="89">
        <f t="shared" si="154"/>
        <v>0</v>
      </c>
      <c r="AD158" s="89">
        <f t="shared" si="155"/>
        <v>0</v>
      </c>
      <c r="AE158" s="89">
        <f t="shared" si="156"/>
        <v>0</v>
      </c>
      <c r="AF158" s="89">
        <f t="shared" si="157"/>
        <v>0</v>
      </c>
      <c r="AG158" s="89">
        <f>AC158+AD158</f>
        <v>0</v>
      </c>
      <c r="AH158" s="89">
        <f>AF158+AE158</f>
        <v>0</v>
      </c>
      <c r="AI158" s="89">
        <f>AG158+AH158</f>
        <v>0</v>
      </c>
    </row>
    <row r="159" spans="1:36">
      <c r="A159" s="990">
        <v>147</v>
      </c>
      <c r="B159" s="990">
        <v>1</v>
      </c>
      <c r="C159" s="990">
        <v>159</v>
      </c>
      <c r="D159" s="1121" t="s">
        <v>999</v>
      </c>
      <c r="E159" s="1243">
        <v>1</v>
      </c>
      <c r="F159" s="5"/>
      <c r="G159" s="5"/>
      <c r="H159" s="5"/>
      <c r="I159" s="1170" t="s">
        <v>97</v>
      </c>
      <c r="J159" s="1171"/>
      <c r="K159" s="1172"/>
      <c r="L159" s="1172"/>
      <c r="M159" s="1172"/>
      <c r="N159" s="1172"/>
      <c r="O159" s="1172"/>
      <c r="P159" s="1174"/>
      <c r="Q159" s="1713">
        <f>SUM(Q160:Q162)</f>
        <v>90279</v>
      </c>
      <c r="R159" s="1713">
        <f t="shared" ref="R159:AI159" si="161">SUM(R160:R162)</f>
        <v>70610</v>
      </c>
      <c r="S159" s="1713">
        <f t="shared" si="161"/>
        <v>74754</v>
      </c>
      <c r="T159" s="1713">
        <f t="shared" si="161"/>
        <v>77591</v>
      </c>
      <c r="U159" s="1713">
        <f t="shared" si="161"/>
        <v>83764</v>
      </c>
      <c r="V159" s="1713">
        <f t="shared" si="161"/>
        <v>92262</v>
      </c>
      <c r="W159" s="1713">
        <f t="shared" si="161"/>
        <v>103345</v>
      </c>
      <c r="X159" s="1713">
        <f t="shared" si="161"/>
        <v>110480</v>
      </c>
      <c r="Y159" s="1713">
        <f t="shared" si="161"/>
        <v>91083</v>
      </c>
      <c r="Z159" s="1713">
        <f t="shared" si="161"/>
        <v>81163</v>
      </c>
      <c r="AA159" s="1713">
        <f t="shared" si="161"/>
        <v>59010.221186422212</v>
      </c>
      <c r="AB159" s="1713">
        <f t="shared" si="161"/>
        <v>130704.58800697146</v>
      </c>
      <c r="AC159" s="129">
        <f t="shared" si="154"/>
        <v>235643</v>
      </c>
      <c r="AD159" s="129">
        <f t="shared" si="155"/>
        <v>253617</v>
      </c>
      <c r="AE159" s="129">
        <f t="shared" si="156"/>
        <v>304908</v>
      </c>
      <c r="AF159" s="129">
        <f t="shared" si="157"/>
        <v>270877.80919339368</v>
      </c>
      <c r="AG159" s="129">
        <f t="shared" si="161"/>
        <v>489260</v>
      </c>
      <c r="AH159" s="129">
        <f t="shared" si="161"/>
        <v>575785.80919339368</v>
      </c>
      <c r="AI159" s="129">
        <f t="shared" si="161"/>
        <v>1065045.8091933937</v>
      </c>
    </row>
    <row r="160" spans="1:36">
      <c r="A160" s="990">
        <v>148</v>
      </c>
      <c r="B160" s="990">
        <v>1</v>
      </c>
      <c r="C160" s="990">
        <v>160</v>
      </c>
      <c r="D160" s="1121" t="s">
        <v>999</v>
      </c>
      <c r="E160" s="1243">
        <v>1</v>
      </c>
      <c r="F160" s="5"/>
      <c r="G160" s="5"/>
      <c r="H160" s="5"/>
      <c r="I160" s="30"/>
      <c r="J160" s="123" t="s">
        <v>143</v>
      </c>
      <c r="K160" s="5"/>
      <c r="L160" s="5"/>
      <c r="M160" s="4"/>
      <c r="N160" s="4"/>
      <c r="O160" s="4"/>
      <c r="P160" s="29"/>
      <c r="Q160" s="2039">
        <v>24517</v>
      </c>
      <c r="R160" s="2039">
        <v>15712</v>
      </c>
      <c r="S160" s="2039">
        <v>20197</v>
      </c>
      <c r="T160" s="2039">
        <v>19800</v>
      </c>
      <c r="U160" s="2039">
        <v>21622</v>
      </c>
      <c r="V160" s="2039">
        <v>28763</v>
      </c>
      <c r="W160" s="2039">
        <v>28062</v>
      </c>
      <c r="X160" s="2039">
        <v>27381</v>
      </c>
      <c r="Y160" s="2039">
        <v>29971</v>
      </c>
      <c r="Z160" s="2039">
        <v>24145</v>
      </c>
      <c r="AA160" s="2039">
        <v>6095.5139268492276</v>
      </c>
      <c r="AB160" s="2039">
        <v>22703.515254911552</v>
      </c>
      <c r="AC160" s="89">
        <f t="shared" si="154"/>
        <v>60426</v>
      </c>
      <c r="AD160" s="89">
        <f t="shared" si="155"/>
        <v>70185</v>
      </c>
      <c r="AE160" s="89">
        <f t="shared" si="156"/>
        <v>85414</v>
      </c>
      <c r="AF160" s="89">
        <f t="shared" si="157"/>
        <v>52944.029181760779</v>
      </c>
      <c r="AG160" s="89">
        <f>AC160+AD160</f>
        <v>130611</v>
      </c>
      <c r="AH160" s="89">
        <f>AF160+AE160</f>
        <v>138358.02918176079</v>
      </c>
      <c r="AI160" s="89">
        <f>AG160+AH160</f>
        <v>268969.02918176079</v>
      </c>
    </row>
    <row r="161" spans="1:36">
      <c r="A161" s="990">
        <v>149</v>
      </c>
      <c r="B161" s="990">
        <v>1</v>
      </c>
      <c r="C161" s="990">
        <v>161</v>
      </c>
      <c r="D161" s="1121" t="s">
        <v>999</v>
      </c>
      <c r="E161" s="1243">
        <v>1</v>
      </c>
      <c r="F161" s="5"/>
      <c r="G161" s="5"/>
      <c r="H161" s="5"/>
      <c r="I161" s="30"/>
      <c r="J161" s="40" t="s">
        <v>96</v>
      </c>
      <c r="K161" s="5"/>
      <c r="L161" s="5"/>
      <c r="M161" s="4"/>
      <c r="N161" s="4"/>
      <c r="O161" s="4"/>
      <c r="P161" s="29"/>
      <c r="Q161" s="2039">
        <v>29720</v>
      </c>
      <c r="R161" s="2039">
        <v>27848</v>
      </c>
      <c r="S161" s="2039">
        <v>28692</v>
      </c>
      <c r="T161" s="2039">
        <v>28321</v>
      </c>
      <c r="U161" s="2039">
        <v>28839</v>
      </c>
      <c r="V161" s="2039">
        <v>27988</v>
      </c>
      <c r="W161" s="2039">
        <v>26434</v>
      </c>
      <c r="X161" s="2039">
        <v>25014</v>
      </c>
      <c r="Y161" s="2039">
        <v>27095</v>
      </c>
      <c r="Z161" s="2039">
        <v>26345</v>
      </c>
      <c r="AA161" s="2039">
        <v>40439.22579705438</v>
      </c>
      <c r="AB161" s="2039">
        <v>40031.072752059903</v>
      </c>
      <c r="AC161" s="89">
        <f t="shared" si="154"/>
        <v>86260</v>
      </c>
      <c r="AD161" s="89">
        <f t="shared" si="155"/>
        <v>85148</v>
      </c>
      <c r="AE161" s="89">
        <f t="shared" si="156"/>
        <v>78543</v>
      </c>
      <c r="AF161" s="89">
        <f t="shared" si="157"/>
        <v>106815.29854911429</v>
      </c>
      <c r="AG161" s="89">
        <f>AC161+AD161</f>
        <v>171408</v>
      </c>
      <c r="AH161" s="89">
        <f>AF161+AE161</f>
        <v>185358.29854911429</v>
      </c>
      <c r="AI161" s="89">
        <f>AG161+AH161</f>
        <v>356766.29854911426</v>
      </c>
    </row>
    <row r="162" spans="1:36">
      <c r="A162" s="990">
        <v>150</v>
      </c>
      <c r="B162" s="990">
        <v>1</v>
      </c>
      <c r="C162" s="990">
        <v>162</v>
      </c>
      <c r="D162" s="1121" t="s">
        <v>999</v>
      </c>
      <c r="E162" s="1243">
        <v>1</v>
      </c>
      <c r="F162" s="5"/>
      <c r="G162" s="5"/>
      <c r="H162" s="5"/>
      <c r="I162" s="30"/>
      <c r="J162" s="40" t="s">
        <v>142</v>
      </c>
      <c r="K162" s="5"/>
      <c r="L162" s="5"/>
      <c r="M162" s="4"/>
      <c r="N162" s="4"/>
      <c r="O162" s="4"/>
      <c r="P162" s="29"/>
      <c r="Q162" s="2039">
        <v>36042</v>
      </c>
      <c r="R162" s="2039">
        <v>27050</v>
      </c>
      <c r="S162" s="2039">
        <v>25865</v>
      </c>
      <c r="T162" s="2039">
        <v>29470</v>
      </c>
      <c r="U162" s="2039">
        <v>33303</v>
      </c>
      <c r="V162" s="2039">
        <v>35511</v>
      </c>
      <c r="W162" s="2039">
        <v>48849</v>
      </c>
      <c r="X162" s="2039">
        <v>58085</v>
      </c>
      <c r="Y162" s="2039">
        <v>34017</v>
      </c>
      <c r="Z162" s="2039">
        <v>30673</v>
      </c>
      <c r="AA162" s="2039">
        <v>12475.481462518605</v>
      </c>
      <c r="AB162" s="2039">
        <v>67970</v>
      </c>
      <c r="AC162" s="89">
        <f t="shared" si="154"/>
        <v>88957</v>
      </c>
      <c r="AD162" s="89">
        <f t="shared" si="155"/>
        <v>98284</v>
      </c>
      <c r="AE162" s="89">
        <f t="shared" si="156"/>
        <v>140951</v>
      </c>
      <c r="AF162" s="89">
        <f t="shared" si="157"/>
        <v>111118.4814625186</v>
      </c>
      <c r="AG162" s="89">
        <f>AC162+AD162</f>
        <v>187241</v>
      </c>
      <c r="AH162" s="89">
        <f>AF162+AE162</f>
        <v>252069.4814625186</v>
      </c>
      <c r="AI162" s="89">
        <f>AG162+AH162</f>
        <v>439310.48146251857</v>
      </c>
    </row>
    <row r="163" spans="1:36">
      <c r="A163" s="990">
        <v>151</v>
      </c>
      <c r="B163" s="990">
        <v>1</v>
      </c>
      <c r="C163" s="990">
        <v>163</v>
      </c>
      <c r="D163" s="1121" t="s">
        <v>999</v>
      </c>
      <c r="E163" s="1243">
        <v>1</v>
      </c>
      <c r="F163" s="5"/>
      <c r="G163" s="5"/>
      <c r="H163" s="5"/>
      <c r="I163" s="1170" t="s">
        <v>136</v>
      </c>
      <c r="J163" s="1171"/>
      <c r="K163" s="1172"/>
      <c r="L163" s="1172"/>
      <c r="M163" s="1172"/>
      <c r="N163" s="1172"/>
      <c r="O163" s="1172"/>
      <c r="P163" s="1174"/>
      <c r="Q163" s="1713">
        <f>Q149-Q159</f>
        <v>40164</v>
      </c>
      <c r="R163" s="1713">
        <f t="shared" ref="R163:AI163" si="162">R149-R159</f>
        <v>-20240</v>
      </c>
      <c r="S163" s="1713">
        <f t="shared" si="162"/>
        <v>35057</v>
      </c>
      <c r="T163" s="1713">
        <f t="shared" si="162"/>
        <v>49545</v>
      </c>
      <c r="U163" s="1713">
        <f t="shared" si="162"/>
        <v>69801</v>
      </c>
      <c r="V163" s="1713">
        <f t="shared" si="162"/>
        <v>85848</v>
      </c>
      <c r="W163" s="1713">
        <f t="shared" si="162"/>
        <v>49830</v>
      </c>
      <c r="X163" s="1713">
        <f t="shared" si="162"/>
        <v>39478</v>
      </c>
      <c r="Y163" s="1713">
        <f t="shared" si="162"/>
        <v>46864</v>
      </c>
      <c r="Z163" s="1713">
        <f t="shared" si="162"/>
        <v>78179</v>
      </c>
      <c r="AA163" s="1713">
        <f t="shared" si="162"/>
        <v>49862.778813577788</v>
      </c>
      <c r="AB163" s="1713">
        <f t="shared" si="162"/>
        <v>74195.411993028538</v>
      </c>
      <c r="AC163" s="129">
        <f t="shared" si="162"/>
        <v>54981</v>
      </c>
      <c r="AD163" s="129">
        <f t="shared" si="162"/>
        <v>205194</v>
      </c>
      <c r="AE163" s="129">
        <f t="shared" si="162"/>
        <v>136172</v>
      </c>
      <c r="AF163" s="129">
        <f t="shared" si="162"/>
        <v>202237.19080660632</v>
      </c>
      <c r="AG163" s="129">
        <f t="shared" si="162"/>
        <v>260175</v>
      </c>
      <c r="AH163" s="129">
        <f t="shared" si="162"/>
        <v>338409.19080660632</v>
      </c>
      <c r="AI163" s="129">
        <f t="shared" si="162"/>
        <v>598584.19080660632</v>
      </c>
    </row>
    <row r="164" spans="1:36" ht="14.5">
      <c r="A164" s="990">
        <v>152</v>
      </c>
      <c r="B164" s="990">
        <v>1</v>
      </c>
      <c r="C164" s="990">
        <v>164</v>
      </c>
      <c r="D164" s="1121" t="s">
        <v>999</v>
      </c>
      <c r="E164" s="1243">
        <v>1</v>
      </c>
      <c r="F164" s="5"/>
      <c r="G164" s="5"/>
      <c r="H164" s="5"/>
      <c r="I164" s="28"/>
      <c r="J164" s="629" t="s">
        <v>135</v>
      </c>
      <c r="K164" s="3"/>
      <c r="L164" s="3"/>
      <c r="M164" s="2"/>
      <c r="N164" s="2"/>
      <c r="O164" s="2"/>
      <c r="P164" s="27"/>
      <c r="Q164" s="866">
        <f t="shared" ref="Q164:AI164" si="163">IFERROR(Q163/Q127,0)</f>
        <v>0.10761971366789656</v>
      </c>
      <c r="R164" s="866">
        <f t="shared" si="163"/>
        <v>-0.14855372962340455</v>
      </c>
      <c r="S164" s="866">
        <f t="shared" si="163"/>
        <v>0.11175006136260038</v>
      </c>
      <c r="T164" s="866">
        <f t="shared" si="163"/>
        <v>0.14768523624570387</v>
      </c>
      <c r="U164" s="866">
        <f t="shared" si="163"/>
        <v>0.17685735569102601</v>
      </c>
      <c r="V164" s="866">
        <f t="shared" si="163"/>
        <v>0.1856168959634682</v>
      </c>
      <c r="W164" s="866">
        <f t="shared" si="163"/>
        <v>0.11041068876505324</v>
      </c>
      <c r="X164" s="866">
        <f t="shared" si="163"/>
        <v>0.10529993865194313</v>
      </c>
      <c r="Y164" s="866">
        <f t="shared" si="163"/>
        <v>0.10181827662398892</v>
      </c>
      <c r="Z164" s="866">
        <f t="shared" si="163"/>
        <v>0.19242782633523434</v>
      </c>
      <c r="AA164" s="866">
        <f t="shared" si="163"/>
        <v>0.14375559685397998</v>
      </c>
      <c r="AB164" s="866">
        <f t="shared" si="163"/>
        <v>0.14541619039533021</v>
      </c>
      <c r="AC164" s="866">
        <f t="shared" si="163"/>
        <v>6.679268525278835E-2</v>
      </c>
      <c r="AD164" s="866">
        <f t="shared" si="163"/>
        <v>0.17204851037855132</v>
      </c>
      <c r="AE164" s="866">
        <f t="shared" si="163"/>
        <v>0.10584720045767729</v>
      </c>
      <c r="AF164" s="866">
        <f t="shared" si="163"/>
        <v>0.16007844998358059</v>
      </c>
      <c r="AG164" s="866">
        <f t="shared" si="163"/>
        <v>0.12906715957001921</v>
      </c>
      <c r="AH164" s="866">
        <f t="shared" si="163"/>
        <v>0.13271682505056409</v>
      </c>
      <c r="AI164" s="866">
        <f t="shared" si="163"/>
        <v>0.1311054436274646</v>
      </c>
      <c r="AJ164" s="619"/>
    </row>
    <row r="165" spans="1:36">
      <c r="A165" s="990">
        <v>153</v>
      </c>
      <c r="B165" s="990">
        <v>1</v>
      </c>
      <c r="C165" s="990">
        <v>165</v>
      </c>
      <c r="D165" s="1121" t="s">
        <v>999</v>
      </c>
      <c r="E165" s="1243">
        <v>1</v>
      </c>
      <c r="F165" s="5"/>
      <c r="G165" s="5"/>
      <c r="H165" s="5"/>
      <c r="I165" s="258" t="s">
        <v>504</v>
      </c>
      <c r="J165" s="555"/>
      <c r="K165" s="636"/>
      <c r="L165" s="636"/>
      <c r="M165" s="555"/>
      <c r="N165" s="555"/>
      <c r="O165" s="555"/>
      <c r="P165" s="1152"/>
      <c r="Q165" s="2618">
        <v>316</v>
      </c>
      <c r="R165" s="2618">
        <v>0</v>
      </c>
      <c r="S165" s="2618">
        <v>4130</v>
      </c>
      <c r="T165" s="2618">
        <v>1373</v>
      </c>
      <c r="U165" s="2618">
        <v>1104</v>
      </c>
      <c r="V165" s="2618">
        <v>0</v>
      </c>
      <c r="W165" s="2618">
        <v>431</v>
      </c>
      <c r="X165" s="2618">
        <v>186</v>
      </c>
      <c r="Y165" s="2618">
        <v>4346</v>
      </c>
      <c r="Z165" s="2618">
        <v>10</v>
      </c>
      <c r="AA165" s="2618">
        <v>266</v>
      </c>
      <c r="AB165" s="2618">
        <v>4872</v>
      </c>
      <c r="AC165" s="122">
        <f>SUM(Q165,R165,S165)</f>
        <v>4446</v>
      </c>
      <c r="AD165" s="122">
        <f>SUM(T165,U165,V165)</f>
        <v>2477</v>
      </c>
      <c r="AE165" s="122">
        <f>SUM(W165,X165,Y165)</f>
        <v>4963</v>
      </c>
      <c r="AF165" s="122">
        <f>SUM(Z165,AA165,AB165)</f>
        <v>5148</v>
      </c>
      <c r="AG165" s="122">
        <f>AC165+AD165</f>
        <v>6923</v>
      </c>
      <c r="AH165" s="122">
        <f>AF165+AE165</f>
        <v>10111</v>
      </c>
      <c r="AI165" s="122">
        <f>AG165+AH165</f>
        <v>17034</v>
      </c>
    </row>
    <row r="166" spans="1:36">
      <c r="A166" s="990">
        <v>154</v>
      </c>
      <c r="B166" s="990">
        <v>1</v>
      </c>
      <c r="C166" s="990">
        <v>166</v>
      </c>
      <c r="D166" s="1121" t="s">
        <v>999</v>
      </c>
      <c r="E166" s="1243">
        <v>1</v>
      </c>
      <c r="F166" s="5"/>
      <c r="G166" s="5"/>
      <c r="H166" s="5"/>
      <c r="I166" s="121" t="s">
        <v>1002</v>
      </c>
      <c r="J166" s="119"/>
      <c r="K166" s="120"/>
      <c r="L166" s="120"/>
      <c r="M166" s="119"/>
      <c r="N166" s="119"/>
      <c r="O166" s="119"/>
      <c r="P166" s="118"/>
      <c r="Q166" s="2035">
        <v>0</v>
      </c>
      <c r="R166" s="2035">
        <v>0</v>
      </c>
      <c r="S166" s="2035">
        <v>0</v>
      </c>
      <c r="T166" s="2035">
        <v>439</v>
      </c>
      <c r="U166" s="2035">
        <v>0</v>
      </c>
      <c r="V166" s="2035">
        <v>292</v>
      </c>
      <c r="W166" s="2035">
        <v>0</v>
      </c>
      <c r="X166" s="2035">
        <v>0</v>
      </c>
      <c r="Y166" s="2035">
        <v>0</v>
      </c>
      <c r="Z166" s="2035">
        <v>0</v>
      </c>
      <c r="AA166" s="2035"/>
      <c r="AB166" s="2035">
        <v>0</v>
      </c>
      <c r="AC166" s="92">
        <f>SUM(Q166,R166,S166)</f>
        <v>0</v>
      </c>
      <c r="AD166" s="92">
        <f>SUM(T166,U166,V166)</f>
        <v>731</v>
      </c>
      <c r="AE166" s="92">
        <f>SUM(W166,X166,Y166)</f>
        <v>0</v>
      </c>
      <c r="AF166" s="92">
        <f>SUM(Z166,AA166,AB166)</f>
        <v>0</v>
      </c>
      <c r="AG166" s="92">
        <f>AC166+AD166</f>
        <v>731</v>
      </c>
      <c r="AH166" s="92">
        <f>AF166+AE166</f>
        <v>0</v>
      </c>
      <c r="AI166" s="92">
        <f>AG166+AH166</f>
        <v>731</v>
      </c>
    </row>
    <row r="167" spans="1:36">
      <c r="A167" s="990">
        <v>155</v>
      </c>
      <c r="B167" s="990">
        <v>1</v>
      </c>
      <c r="C167" s="990">
        <v>167</v>
      </c>
      <c r="D167" s="1121" t="s">
        <v>999</v>
      </c>
      <c r="E167" s="1243">
        <v>1</v>
      </c>
      <c r="F167" s="5"/>
      <c r="G167" s="5"/>
      <c r="H167" s="5"/>
      <c r="I167" s="1170" t="s">
        <v>10</v>
      </c>
      <c r="J167" s="1171"/>
      <c r="K167" s="1172"/>
      <c r="L167" s="1172"/>
      <c r="M167" s="1172"/>
      <c r="N167" s="1172"/>
      <c r="O167" s="1172"/>
      <c r="P167" s="1174"/>
      <c r="Q167" s="1713">
        <f>Q163+Q165-Q166</f>
        <v>40480</v>
      </c>
      <c r="R167" s="1713">
        <f t="shared" ref="R167:AI167" si="164">R163+R165-R166</f>
        <v>-20240</v>
      </c>
      <c r="S167" s="1713">
        <f t="shared" si="164"/>
        <v>39187</v>
      </c>
      <c r="T167" s="1713">
        <f t="shared" si="164"/>
        <v>50479</v>
      </c>
      <c r="U167" s="1713">
        <f t="shared" si="164"/>
        <v>70905</v>
      </c>
      <c r="V167" s="1713">
        <f t="shared" si="164"/>
        <v>85556</v>
      </c>
      <c r="W167" s="1713">
        <f t="shared" si="164"/>
        <v>50261</v>
      </c>
      <c r="X167" s="1713">
        <f t="shared" si="164"/>
        <v>39664</v>
      </c>
      <c r="Y167" s="1713">
        <f t="shared" si="164"/>
        <v>51210</v>
      </c>
      <c r="Z167" s="1713">
        <f t="shared" si="164"/>
        <v>78189</v>
      </c>
      <c r="AA167" s="1713">
        <f t="shared" si="164"/>
        <v>50128.778813577788</v>
      </c>
      <c r="AB167" s="1713">
        <f t="shared" si="164"/>
        <v>79067.411993028538</v>
      </c>
      <c r="AC167" s="129">
        <f t="shared" si="164"/>
        <v>59427</v>
      </c>
      <c r="AD167" s="129">
        <f t="shared" si="164"/>
        <v>206940</v>
      </c>
      <c r="AE167" s="129">
        <f t="shared" si="164"/>
        <v>141135</v>
      </c>
      <c r="AF167" s="129">
        <f t="shared" si="164"/>
        <v>207385.19080660632</v>
      </c>
      <c r="AG167" s="129">
        <f t="shared" si="164"/>
        <v>266367</v>
      </c>
      <c r="AH167" s="129">
        <f t="shared" si="164"/>
        <v>348520.19080660632</v>
      </c>
      <c r="AI167" s="129">
        <f t="shared" si="164"/>
        <v>614887.19080660632</v>
      </c>
    </row>
    <row r="168" spans="1:36" ht="14.5">
      <c r="A168" s="990">
        <v>156</v>
      </c>
      <c r="B168" s="990">
        <v>1</v>
      </c>
      <c r="C168" s="990">
        <v>168</v>
      </c>
      <c r="D168" s="1121" t="s">
        <v>999</v>
      </c>
      <c r="E168" s="1243">
        <v>1</v>
      </c>
      <c r="F168" s="5"/>
      <c r="G168" s="5"/>
      <c r="H168" s="5"/>
      <c r="I168" s="28"/>
      <c r="J168" s="629" t="s">
        <v>135</v>
      </c>
      <c r="K168" s="3"/>
      <c r="L168" s="3"/>
      <c r="M168" s="2"/>
      <c r="N168" s="2"/>
      <c r="O168" s="2"/>
      <c r="P168" s="27"/>
      <c r="Q168" s="866">
        <f t="shared" ref="Q168:AI168" si="165">IFERROR(Q167/Q127,0)</f>
        <v>0.10846643783678052</v>
      </c>
      <c r="R168" s="866">
        <f t="shared" si="165"/>
        <v>-0.14855372962340455</v>
      </c>
      <c r="S168" s="866">
        <f t="shared" si="165"/>
        <v>0.12491512835143397</v>
      </c>
      <c r="T168" s="866">
        <f t="shared" si="165"/>
        <v>0.15046933172765942</v>
      </c>
      <c r="U168" s="866">
        <f t="shared" si="165"/>
        <v>0.17965460101248118</v>
      </c>
      <c r="V168" s="866">
        <f t="shared" si="165"/>
        <v>0.18498554597719788</v>
      </c>
      <c r="W168" s="866">
        <f t="shared" si="165"/>
        <v>0.11136567585832512</v>
      </c>
      <c r="X168" s="866">
        <f t="shared" si="165"/>
        <v>0.10579605772051959</v>
      </c>
      <c r="Y168" s="866">
        <f t="shared" si="165"/>
        <v>0.11126053998622551</v>
      </c>
      <c r="Z168" s="866">
        <f t="shared" si="165"/>
        <v>0.1924524400839821</v>
      </c>
      <c r="AA168" s="866">
        <f t="shared" si="165"/>
        <v>0.14452248128507281</v>
      </c>
      <c r="AB168" s="866">
        <f t="shared" si="165"/>
        <v>0.15496486275357005</v>
      </c>
      <c r="AC168" s="866">
        <f t="shared" si="165"/>
        <v>7.2193828895754042E-2</v>
      </c>
      <c r="AD168" s="866">
        <f t="shared" si="165"/>
        <v>0.17351247472020337</v>
      </c>
      <c r="AE168" s="866">
        <f t="shared" si="165"/>
        <v>0.10970496604730991</v>
      </c>
      <c r="AF168" s="866">
        <f t="shared" si="165"/>
        <v>0.16415328833170381</v>
      </c>
      <c r="AG168" s="866">
        <f t="shared" si="165"/>
        <v>0.13213887611487388</v>
      </c>
      <c r="AH168" s="866">
        <f t="shared" si="165"/>
        <v>0.13668214234850096</v>
      </c>
      <c r="AI168" s="866">
        <f t="shared" si="165"/>
        <v>0.13467622294353432</v>
      </c>
      <c r="AJ168" s="619"/>
    </row>
    <row r="169" spans="1:36">
      <c r="A169" s="990">
        <v>1</v>
      </c>
      <c r="B169" s="990">
        <v>1</v>
      </c>
      <c r="C169" s="990">
        <v>169</v>
      </c>
      <c r="D169" s="1121" t="s">
        <v>999</v>
      </c>
      <c r="E169" s="1292" t="s">
        <v>1013</v>
      </c>
      <c r="F169" s="1293"/>
      <c r="G169" s="1241"/>
      <c r="H169" s="5"/>
      <c r="I169" s="5"/>
      <c r="J169" s="4"/>
      <c r="K169" s="1256" t="s">
        <v>1037</v>
      </c>
      <c r="L169" s="1116"/>
      <c r="M169" s="798"/>
      <c r="N169" s="798"/>
      <c r="O169" s="798"/>
      <c r="P169" s="798"/>
      <c r="Q169" s="2186">
        <f>Q386</f>
        <v>0.6920765884937895</v>
      </c>
      <c r="R169" s="2186">
        <f t="shared" ref="R169:AI169" si="166">R386</f>
        <v>0.6921004384216819</v>
      </c>
      <c r="S169" s="2186">
        <f t="shared" si="166"/>
        <v>0.69208847552614317</v>
      </c>
      <c r="T169" s="2186">
        <f t="shared" si="166"/>
        <v>0.69209158399044535</v>
      </c>
      <c r="U169" s="2186">
        <f t="shared" si="166"/>
        <v>0.69208185821604351</v>
      </c>
      <c r="V169" s="2186">
        <f t="shared" si="166"/>
        <v>0.69208880374147741</v>
      </c>
      <c r="W169" s="2186">
        <f t="shared" si="166"/>
        <v>0.69207997670581389</v>
      </c>
      <c r="X169" s="2186">
        <f t="shared" si="166"/>
        <v>0.69207111375923314</v>
      </c>
      <c r="Y169" s="2186">
        <f t="shared" si="166"/>
        <v>0.6920682129407737</v>
      </c>
      <c r="Z169" s="2186">
        <f t="shared" si="166"/>
        <v>0.69207826459176203</v>
      </c>
      <c r="AA169" s="2186">
        <f t="shared" si="166"/>
        <v>0.69207972014140651</v>
      </c>
      <c r="AB169" s="2186">
        <f t="shared" si="166"/>
        <v>0.6906048434178611</v>
      </c>
      <c r="AC169" s="2186">
        <f t="shared" si="166"/>
        <v>0.69208716082682342</v>
      </c>
      <c r="AD169" s="2186">
        <f t="shared" si="166"/>
        <v>0.69208743253072003</v>
      </c>
      <c r="AE169" s="2186">
        <f t="shared" si="166"/>
        <v>0.69207318054656841</v>
      </c>
      <c r="AF169" s="2186">
        <f t="shared" si="166"/>
        <v>0.69125312723001875</v>
      </c>
      <c r="AG169" s="2186">
        <f t="shared" si="166"/>
        <v>0.69208730363121296</v>
      </c>
      <c r="AH169" s="2186">
        <f t="shared" si="166"/>
        <v>0.69170757400746885</v>
      </c>
      <c r="AI169" s="2186">
        <f t="shared" si="166"/>
        <v>0.6918860369796852</v>
      </c>
    </row>
    <row r="170" spans="1:36">
      <c r="A170" s="990">
        <v>1</v>
      </c>
      <c r="B170" s="990">
        <v>1</v>
      </c>
      <c r="C170" s="990">
        <v>170</v>
      </c>
      <c r="D170" s="1121" t="s">
        <v>999</v>
      </c>
      <c r="E170" s="1294" t="s">
        <v>1032</v>
      </c>
      <c r="F170" s="1295"/>
      <c r="G170" s="1241"/>
      <c r="H170" s="5"/>
      <c r="I170" s="5"/>
      <c r="J170" s="4"/>
      <c r="K170" s="30"/>
      <c r="L170" s="764" t="s">
        <v>884</v>
      </c>
      <c r="M170" s="323"/>
      <c r="N170" s="323"/>
      <c r="O170" s="323"/>
      <c r="P170" s="323"/>
      <c r="Q170" s="325">
        <f>SUM(Q171:Q173)</f>
        <v>28543</v>
      </c>
      <c r="R170" s="325">
        <f t="shared" ref="R170:AI170" si="167">SUM(R171:R173)</f>
        <v>27198</v>
      </c>
      <c r="S170" s="325">
        <f t="shared" si="167"/>
        <v>16712</v>
      </c>
      <c r="T170" s="325">
        <f t="shared" si="167"/>
        <v>26597</v>
      </c>
      <c r="U170" s="325">
        <f t="shared" si="167"/>
        <v>27659</v>
      </c>
      <c r="V170" s="325">
        <f t="shared" si="167"/>
        <v>18567</v>
      </c>
      <c r="W170" s="361">
        <f t="shared" si="167"/>
        <v>32040</v>
      </c>
      <c r="X170" s="361">
        <f t="shared" si="167"/>
        <v>31496</v>
      </c>
      <c r="Y170" s="361">
        <f t="shared" si="167"/>
        <v>26394</v>
      </c>
      <c r="Z170" s="1117">
        <f t="shared" si="167"/>
        <v>31042</v>
      </c>
      <c r="AA170" s="1117">
        <f t="shared" si="167"/>
        <v>33060</v>
      </c>
      <c r="AB170" s="1117">
        <f t="shared" si="167"/>
        <v>34029</v>
      </c>
      <c r="AC170" s="1117">
        <f t="shared" si="167"/>
        <v>72453</v>
      </c>
      <c r="AD170" s="1117">
        <f t="shared" si="167"/>
        <v>72823</v>
      </c>
      <c r="AE170" s="1117">
        <f t="shared" si="167"/>
        <v>89930</v>
      </c>
      <c r="AF170" s="1117">
        <f t="shared" si="167"/>
        <v>98131</v>
      </c>
      <c r="AG170" s="1117">
        <f t="shared" si="167"/>
        <v>145276</v>
      </c>
      <c r="AH170" s="1117">
        <f t="shared" si="167"/>
        <v>188061</v>
      </c>
      <c r="AI170" s="1117">
        <f t="shared" si="167"/>
        <v>333337</v>
      </c>
    </row>
    <row r="171" spans="1:36">
      <c r="A171" s="990">
        <v>1</v>
      </c>
      <c r="B171" s="990">
        <v>1</v>
      </c>
      <c r="C171" s="990">
        <v>171</v>
      </c>
      <c r="D171" s="1121" t="s">
        <v>999</v>
      </c>
      <c r="E171" s="1294" t="s">
        <v>1032</v>
      </c>
      <c r="F171" s="1295"/>
      <c r="G171" s="1241"/>
      <c r="H171" s="5"/>
      <c r="I171" s="5"/>
      <c r="J171" s="4"/>
      <c r="K171" s="30"/>
      <c r="L171" s="30"/>
      <c r="M171" s="40" t="s">
        <v>143</v>
      </c>
      <c r="N171" s="4"/>
      <c r="O171" s="4"/>
      <c r="P171" s="4"/>
      <c r="Q171" s="2159">
        <v>780</v>
      </c>
      <c r="R171" s="2159">
        <v>1160</v>
      </c>
      <c r="S171" s="2159">
        <v>1245</v>
      </c>
      <c r="T171" s="2159">
        <v>524</v>
      </c>
      <c r="U171" s="2159">
        <v>2103</v>
      </c>
      <c r="V171" s="2159">
        <v>4002</v>
      </c>
      <c r="W171" s="2091">
        <v>3700</v>
      </c>
      <c r="X171" s="2091">
        <v>2633</v>
      </c>
      <c r="Y171" s="2091">
        <v>6059</v>
      </c>
      <c r="Z171" s="2160">
        <v>1649</v>
      </c>
      <c r="AA171" s="2160">
        <v>247</v>
      </c>
      <c r="AB171" s="2160">
        <v>-559</v>
      </c>
      <c r="AC171" s="145">
        <f>SUM(Q171,R171,S171)</f>
        <v>3185</v>
      </c>
      <c r="AD171" s="145">
        <f>SUM(T171,U171,V171)</f>
        <v>6629</v>
      </c>
      <c r="AE171" s="145">
        <f>SUM(W171,X171,Y171)</f>
        <v>12392</v>
      </c>
      <c r="AF171" s="145">
        <f>SUM(Z171,AA171,AB171)</f>
        <v>1337</v>
      </c>
      <c r="AG171" s="145">
        <f>AC171+AD171</f>
        <v>9814</v>
      </c>
      <c r="AH171" s="145">
        <f>AF171+AE171</f>
        <v>13729</v>
      </c>
      <c r="AI171" s="145">
        <f>AG171+AH171</f>
        <v>23543</v>
      </c>
    </row>
    <row r="172" spans="1:36">
      <c r="A172" s="990">
        <v>1</v>
      </c>
      <c r="B172" s="990">
        <v>1</v>
      </c>
      <c r="C172" s="990">
        <v>172</v>
      </c>
      <c r="D172" s="1121" t="s">
        <v>999</v>
      </c>
      <c r="E172" s="1294" t="s">
        <v>1032</v>
      </c>
      <c r="F172" s="1295"/>
      <c r="G172" s="1241"/>
      <c r="H172" s="5"/>
      <c r="I172" s="5"/>
      <c r="J172" s="4"/>
      <c r="K172" s="30"/>
      <c r="L172" s="30"/>
      <c r="M172" s="40" t="s">
        <v>96</v>
      </c>
      <c r="N172" s="4"/>
      <c r="O172" s="4"/>
      <c r="P172" s="4"/>
      <c r="Q172" s="2159">
        <v>15236</v>
      </c>
      <c r="R172" s="2159">
        <v>13943</v>
      </c>
      <c r="S172" s="2159">
        <v>14226</v>
      </c>
      <c r="T172" s="2159">
        <v>13945</v>
      </c>
      <c r="U172" s="2159">
        <v>14461</v>
      </c>
      <c r="V172" s="2159">
        <v>11685</v>
      </c>
      <c r="W172" s="2091">
        <v>13720</v>
      </c>
      <c r="X172" s="2091">
        <v>12787</v>
      </c>
      <c r="Y172" s="2091">
        <v>13536</v>
      </c>
      <c r="Z172" s="2160">
        <v>13547</v>
      </c>
      <c r="AA172" s="2160">
        <v>21350</v>
      </c>
      <c r="AB172" s="2160">
        <v>15817</v>
      </c>
      <c r="AC172" s="145">
        <f>SUM(Q172,R172,S172)</f>
        <v>43405</v>
      </c>
      <c r="AD172" s="145">
        <f>SUM(T172,U172,V172)</f>
        <v>40091</v>
      </c>
      <c r="AE172" s="145">
        <f>SUM(W172,X172,Y172)</f>
        <v>40043</v>
      </c>
      <c r="AF172" s="145">
        <f>SUM(Z172,AA172,AB172)</f>
        <v>50714</v>
      </c>
      <c r="AG172" s="145">
        <f>AC172+AD172</f>
        <v>83496</v>
      </c>
      <c r="AH172" s="145">
        <f>AF172+AE172</f>
        <v>90757</v>
      </c>
      <c r="AI172" s="145">
        <f>AG172+AH172</f>
        <v>174253</v>
      </c>
    </row>
    <row r="173" spans="1:36">
      <c r="A173" s="990">
        <v>1</v>
      </c>
      <c r="B173" s="990">
        <v>1</v>
      </c>
      <c r="C173" s="990">
        <v>173</v>
      </c>
      <c r="D173" s="1121" t="s">
        <v>999</v>
      </c>
      <c r="E173" s="1294" t="s">
        <v>1032</v>
      </c>
      <c r="F173" s="1295"/>
      <c r="G173" s="1241"/>
      <c r="H173" s="5"/>
      <c r="I173" s="5"/>
      <c r="J173" s="4"/>
      <c r="K173" s="30"/>
      <c r="L173" s="28"/>
      <c r="M173" s="119" t="s">
        <v>142</v>
      </c>
      <c r="N173" s="2"/>
      <c r="O173" s="2"/>
      <c r="P173" s="2"/>
      <c r="Q173" s="2161">
        <v>12527</v>
      </c>
      <c r="R173" s="2161">
        <v>12095</v>
      </c>
      <c r="S173" s="2161">
        <v>1241</v>
      </c>
      <c r="T173" s="2161">
        <v>12128</v>
      </c>
      <c r="U173" s="2161">
        <v>11095</v>
      </c>
      <c r="V173" s="2161">
        <v>2880</v>
      </c>
      <c r="W173" s="2092">
        <v>14620</v>
      </c>
      <c r="X173" s="2092">
        <v>16076</v>
      </c>
      <c r="Y173" s="2092">
        <v>6799</v>
      </c>
      <c r="Z173" s="2162">
        <v>15846</v>
      </c>
      <c r="AA173" s="2162">
        <v>11463</v>
      </c>
      <c r="AB173" s="2162">
        <f>16523+2248</f>
        <v>18771</v>
      </c>
      <c r="AC173" s="142">
        <f>SUM(Q173,R173,S173)</f>
        <v>25863</v>
      </c>
      <c r="AD173" s="142">
        <f>SUM(T173,U173,V173)</f>
        <v>26103</v>
      </c>
      <c r="AE173" s="142">
        <f>SUM(W173,X173,Y173)</f>
        <v>37495</v>
      </c>
      <c r="AF173" s="142">
        <f>SUM(Z173,AA173,AB173)</f>
        <v>46080</v>
      </c>
      <c r="AG173" s="142">
        <f>AC173+AD173</f>
        <v>51966</v>
      </c>
      <c r="AH173" s="142">
        <f>AF173+AE173</f>
        <v>83575</v>
      </c>
      <c r="AI173" s="142">
        <f>AG173+AH173</f>
        <v>135541</v>
      </c>
    </row>
    <row r="174" spans="1:36">
      <c r="A174" s="990">
        <v>1</v>
      </c>
      <c r="B174" s="990">
        <v>1</v>
      </c>
      <c r="C174" s="990">
        <v>174</v>
      </c>
      <c r="D174" s="1121" t="s">
        <v>999</v>
      </c>
      <c r="E174" s="1294" t="s">
        <v>1032</v>
      </c>
      <c r="F174" s="1295"/>
      <c r="G174" s="1241"/>
      <c r="H174" s="5"/>
      <c r="I174" s="5"/>
      <c r="J174" s="4"/>
      <c r="K174" s="30"/>
      <c r="L174" s="764" t="s">
        <v>1033</v>
      </c>
      <c r="M174" s="798"/>
      <c r="N174" s="798"/>
      <c r="O174" s="798"/>
      <c r="P174" s="798"/>
      <c r="Q174" s="2120">
        <f>SUM(Q176:Q178)</f>
        <v>61736</v>
      </c>
      <c r="R174" s="2120">
        <f t="shared" ref="R174:AI174" si="168">SUM(R176:R178)</f>
        <v>43412</v>
      </c>
      <c r="S174" s="2120">
        <f t="shared" si="168"/>
        <v>58042</v>
      </c>
      <c r="T174" s="2120">
        <f t="shared" si="168"/>
        <v>50994</v>
      </c>
      <c r="U174" s="2120">
        <f t="shared" si="168"/>
        <v>56105</v>
      </c>
      <c r="V174" s="2120">
        <f t="shared" si="168"/>
        <v>73695</v>
      </c>
      <c r="W174" s="2081">
        <f t="shared" si="168"/>
        <v>71305</v>
      </c>
      <c r="X174" s="2081">
        <f t="shared" si="168"/>
        <v>78984</v>
      </c>
      <c r="Y174" s="2081">
        <f t="shared" si="168"/>
        <v>64689</v>
      </c>
      <c r="Z174" s="2158">
        <f t="shared" si="168"/>
        <v>50121</v>
      </c>
      <c r="AA174" s="2158">
        <f t="shared" si="168"/>
        <v>25950.221186422212</v>
      </c>
      <c r="AB174" s="2158">
        <f t="shared" si="168"/>
        <v>96675.588006971462</v>
      </c>
      <c r="AC174" s="2158">
        <f t="shared" si="168"/>
        <v>163190</v>
      </c>
      <c r="AD174" s="2158">
        <f t="shared" si="168"/>
        <v>180794</v>
      </c>
      <c r="AE174" s="2158">
        <f t="shared" si="168"/>
        <v>214978</v>
      </c>
      <c r="AF174" s="2158">
        <f t="shared" si="168"/>
        <v>172746.80919339365</v>
      </c>
      <c r="AG174" s="2158">
        <f t="shared" si="168"/>
        <v>343984</v>
      </c>
      <c r="AH174" s="2158">
        <f t="shared" si="168"/>
        <v>387724.80919339368</v>
      </c>
      <c r="AI174" s="2158">
        <f t="shared" si="168"/>
        <v>731708.80919339368</v>
      </c>
    </row>
    <row r="175" spans="1:36">
      <c r="A175" s="990">
        <v>1</v>
      </c>
      <c r="B175" s="990">
        <v>1</v>
      </c>
      <c r="C175" s="990">
        <v>175</v>
      </c>
      <c r="D175" s="1121" t="s">
        <v>999</v>
      </c>
      <c r="E175" s="1294" t="s">
        <v>1032</v>
      </c>
      <c r="F175" s="1295"/>
      <c r="G175" s="1241"/>
      <c r="H175" s="5"/>
      <c r="I175" s="5"/>
      <c r="J175" s="4"/>
      <c r="K175" s="30"/>
      <c r="L175" s="613"/>
      <c r="M175" s="676" t="s">
        <v>1034</v>
      </c>
      <c r="N175" s="51"/>
      <c r="O175" s="51"/>
      <c r="P175" s="51"/>
      <c r="Q175" s="1119">
        <f>IFERROR(Q174/Q159,0)</f>
        <v>0.68383566499407389</v>
      </c>
      <c r="R175" s="1119">
        <f t="shared" ref="R175:AI175" si="169">IFERROR(R174/R159,0)</f>
        <v>0.61481376575555868</v>
      </c>
      <c r="S175" s="1119">
        <f t="shared" si="169"/>
        <v>0.77644005671937288</v>
      </c>
      <c r="T175" s="1119">
        <f t="shared" si="169"/>
        <v>0.65721539869314738</v>
      </c>
      <c r="U175" s="1119">
        <f t="shared" si="169"/>
        <v>0.66979848144787735</v>
      </c>
      <c r="V175" s="1119">
        <f t="shared" si="169"/>
        <v>0.79875788515315083</v>
      </c>
      <c r="W175" s="1119">
        <f t="shared" si="169"/>
        <v>0.68997048720305776</v>
      </c>
      <c r="X175" s="1119">
        <f t="shared" si="169"/>
        <v>0.71491672700941344</v>
      </c>
      <c r="Y175" s="1119">
        <f t="shared" si="169"/>
        <v>0.71022034847337046</v>
      </c>
      <c r="Z175" s="1119">
        <f t="shared" si="169"/>
        <v>0.61753508372041443</v>
      </c>
      <c r="AA175" s="1119">
        <f t="shared" si="169"/>
        <v>0.43975807351139284</v>
      </c>
      <c r="AB175" s="1119">
        <f t="shared" si="169"/>
        <v>0.73964953702937364</v>
      </c>
      <c r="AC175" s="1119">
        <f t="shared" si="169"/>
        <v>0.69253065017844795</v>
      </c>
      <c r="AD175" s="1119">
        <f t="shared" si="169"/>
        <v>0.71286230812603257</v>
      </c>
      <c r="AE175" s="1119">
        <f t="shared" si="169"/>
        <v>0.70505857504558755</v>
      </c>
      <c r="AF175" s="1119">
        <f t="shared" si="169"/>
        <v>0.63772964536220378</v>
      </c>
      <c r="AG175" s="1119">
        <f t="shared" si="169"/>
        <v>0.70306994236193432</v>
      </c>
      <c r="AH175" s="1119">
        <f t="shared" si="169"/>
        <v>0.67338375312956966</v>
      </c>
      <c r="AI175" s="1119">
        <f t="shared" si="169"/>
        <v>0.68702097400631912</v>
      </c>
    </row>
    <row r="176" spans="1:36">
      <c r="A176" s="990">
        <v>1</v>
      </c>
      <c r="B176" s="990">
        <v>1</v>
      </c>
      <c r="C176" s="990">
        <v>176</v>
      </c>
      <c r="D176" s="1121" t="s">
        <v>999</v>
      </c>
      <c r="E176" s="1294" t="s">
        <v>1032</v>
      </c>
      <c r="F176" s="1295"/>
      <c r="G176" s="1241"/>
      <c r="H176" s="5"/>
      <c r="I176" s="5"/>
      <c r="J176" s="4"/>
      <c r="K176" s="30"/>
      <c r="L176" s="30"/>
      <c r="M176" s="40" t="s">
        <v>143</v>
      </c>
      <c r="N176" s="4"/>
      <c r="O176" s="4"/>
      <c r="P176" s="4"/>
      <c r="Q176" s="41">
        <f>Q160-Q171</f>
        <v>23737</v>
      </c>
      <c r="R176" s="41">
        <f t="shared" ref="R176:AB176" si="170">R160-R171</f>
        <v>14552</v>
      </c>
      <c r="S176" s="41">
        <f t="shared" si="170"/>
        <v>18952</v>
      </c>
      <c r="T176" s="41">
        <f t="shared" si="170"/>
        <v>19276</v>
      </c>
      <c r="U176" s="41">
        <f t="shared" si="170"/>
        <v>19519</v>
      </c>
      <c r="V176" s="41">
        <f t="shared" si="170"/>
        <v>24761</v>
      </c>
      <c r="W176" s="19">
        <f t="shared" si="170"/>
        <v>24362</v>
      </c>
      <c r="X176" s="19">
        <f t="shared" si="170"/>
        <v>24748</v>
      </c>
      <c r="Y176" s="19">
        <f t="shared" si="170"/>
        <v>23912</v>
      </c>
      <c r="Z176" s="145">
        <f t="shared" si="170"/>
        <v>22496</v>
      </c>
      <c r="AA176" s="145">
        <f t="shared" si="170"/>
        <v>5848.5139268492276</v>
      </c>
      <c r="AB176" s="145">
        <f t="shared" si="170"/>
        <v>23262.515254911552</v>
      </c>
      <c r="AC176" s="145">
        <f>SUM(Q176,R176,S176)</f>
        <v>57241</v>
      </c>
      <c r="AD176" s="145">
        <f>SUM(T176,U176,V176)</f>
        <v>63556</v>
      </c>
      <c r="AE176" s="145">
        <f>SUM(W176,X176,Y176)</f>
        <v>73022</v>
      </c>
      <c r="AF176" s="145">
        <f>SUM(Z176,AA176,AB176)</f>
        <v>51607.029181760779</v>
      </c>
      <c r="AG176" s="145">
        <f>AC176+AD176</f>
        <v>120797</v>
      </c>
      <c r="AH176" s="145">
        <f>AF176+AE176</f>
        <v>124629.02918176078</v>
      </c>
      <c r="AI176" s="145">
        <f>AG176+AH176</f>
        <v>245426.02918176079</v>
      </c>
    </row>
    <row r="177" spans="1:35">
      <c r="A177" s="990">
        <v>1</v>
      </c>
      <c r="B177" s="990">
        <v>1</v>
      </c>
      <c r="C177" s="990">
        <v>177</v>
      </c>
      <c r="D177" s="1121" t="s">
        <v>999</v>
      </c>
      <c r="E177" s="1294" t="s">
        <v>1032</v>
      </c>
      <c r="F177" s="1295"/>
      <c r="G177" s="1241"/>
      <c r="H177" s="5"/>
      <c r="I177" s="5"/>
      <c r="J177" s="4"/>
      <c r="K177" s="30"/>
      <c r="L177" s="30"/>
      <c r="M177" s="40" t="s">
        <v>96</v>
      </c>
      <c r="N177" s="4"/>
      <c r="O177" s="4"/>
      <c r="P177" s="4"/>
      <c r="Q177" s="41">
        <f t="shared" ref="Q177:AB178" si="171">Q161-Q172</f>
        <v>14484</v>
      </c>
      <c r="R177" s="41">
        <f t="shared" si="171"/>
        <v>13905</v>
      </c>
      <c r="S177" s="41">
        <f t="shared" si="171"/>
        <v>14466</v>
      </c>
      <c r="T177" s="41">
        <f t="shared" si="171"/>
        <v>14376</v>
      </c>
      <c r="U177" s="41">
        <f t="shared" si="171"/>
        <v>14378</v>
      </c>
      <c r="V177" s="41">
        <f t="shared" si="171"/>
        <v>16303</v>
      </c>
      <c r="W177" s="19">
        <f t="shared" si="171"/>
        <v>12714</v>
      </c>
      <c r="X177" s="19">
        <f t="shared" si="171"/>
        <v>12227</v>
      </c>
      <c r="Y177" s="19">
        <f t="shared" si="171"/>
        <v>13559</v>
      </c>
      <c r="Z177" s="145">
        <f t="shared" si="171"/>
        <v>12798</v>
      </c>
      <c r="AA177" s="145">
        <f t="shared" si="171"/>
        <v>19089.22579705438</v>
      </c>
      <c r="AB177" s="145">
        <f t="shared" si="171"/>
        <v>24214.072752059903</v>
      </c>
      <c r="AC177" s="145">
        <f>SUM(Q177,R177,S177)</f>
        <v>42855</v>
      </c>
      <c r="AD177" s="145">
        <f>SUM(T177,U177,V177)</f>
        <v>45057</v>
      </c>
      <c r="AE177" s="145">
        <f>SUM(W177,X177,Y177)</f>
        <v>38500</v>
      </c>
      <c r="AF177" s="145">
        <f>SUM(Z177,AA177,AB177)</f>
        <v>56101.298549114283</v>
      </c>
      <c r="AG177" s="145">
        <f>AC177+AD177</f>
        <v>87912</v>
      </c>
      <c r="AH177" s="145">
        <f>AF177+AE177</f>
        <v>94601.29854911429</v>
      </c>
      <c r="AI177" s="145">
        <f>AG177+AH177</f>
        <v>182513.29854911429</v>
      </c>
    </row>
    <row r="178" spans="1:35">
      <c r="A178" s="990">
        <v>1</v>
      </c>
      <c r="B178" s="990">
        <v>1</v>
      </c>
      <c r="C178" s="990">
        <v>178</v>
      </c>
      <c r="D178" s="1121" t="s">
        <v>999</v>
      </c>
      <c r="E178" s="1294" t="s">
        <v>1032</v>
      </c>
      <c r="F178" s="1295"/>
      <c r="G178" s="1241"/>
      <c r="H178" s="5"/>
      <c r="I178" s="5"/>
      <c r="J178" s="4"/>
      <c r="K178" s="28"/>
      <c r="L178" s="28"/>
      <c r="M178" s="119" t="s">
        <v>142</v>
      </c>
      <c r="N178" s="2"/>
      <c r="O178" s="2"/>
      <c r="P178" s="2"/>
      <c r="Q178" s="66">
        <f t="shared" si="171"/>
        <v>23515</v>
      </c>
      <c r="R178" s="66">
        <f t="shared" si="171"/>
        <v>14955</v>
      </c>
      <c r="S178" s="66">
        <f t="shared" si="171"/>
        <v>24624</v>
      </c>
      <c r="T178" s="66">
        <f t="shared" si="171"/>
        <v>17342</v>
      </c>
      <c r="U178" s="66">
        <f t="shared" si="171"/>
        <v>22208</v>
      </c>
      <c r="V178" s="66">
        <f t="shared" si="171"/>
        <v>32631</v>
      </c>
      <c r="W178" s="17">
        <f t="shared" si="171"/>
        <v>34229</v>
      </c>
      <c r="X178" s="17">
        <f t="shared" si="171"/>
        <v>42009</v>
      </c>
      <c r="Y178" s="17">
        <f t="shared" si="171"/>
        <v>27218</v>
      </c>
      <c r="Z178" s="142">
        <f t="shared" si="171"/>
        <v>14827</v>
      </c>
      <c r="AA178" s="142">
        <f t="shared" si="171"/>
        <v>1012.4814625186045</v>
      </c>
      <c r="AB178" s="142">
        <f t="shared" si="171"/>
        <v>49199</v>
      </c>
      <c r="AC178" s="142">
        <f>SUM(Q178,R178,S178)</f>
        <v>63094</v>
      </c>
      <c r="AD178" s="142">
        <f>SUM(T178,U178,V178)</f>
        <v>72181</v>
      </c>
      <c r="AE178" s="142">
        <f>SUM(W178,X178,Y178)</f>
        <v>103456</v>
      </c>
      <c r="AF178" s="142">
        <f>SUM(Z178,AA178,AB178)</f>
        <v>65038.481462518605</v>
      </c>
      <c r="AG178" s="142">
        <f>AC178+AD178</f>
        <v>135275</v>
      </c>
      <c r="AH178" s="142">
        <f>AF178+AE178</f>
        <v>168494.4814625186</v>
      </c>
      <c r="AI178" s="142">
        <f>AG178+AH178</f>
        <v>303769.48146251857</v>
      </c>
    </row>
    <row r="179" spans="1:35">
      <c r="A179" s="990">
        <v>157</v>
      </c>
      <c r="B179" s="990">
        <v>1</v>
      </c>
      <c r="C179" s="990">
        <v>179</v>
      </c>
      <c r="D179" s="1121" t="s">
        <v>999</v>
      </c>
      <c r="E179" s="1243">
        <v>1</v>
      </c>
      <c r="F179" s="5"/>
      <c r="G179" s="5"/>
      <c r="H179" s="5"/>
      <c r="I179" s="5"/>
      <c r="J179" s="4"/>
      <c r="K179" s="5"/>
      <c r="L179" s="5"/>
      <c r="M179" s="4"/>
      <c r="N179" s="4"/>
      <c r="O179" s="4"/>
      <c r="P179" s="4"/>
      <c r="Q179" s="1151"/>
      <c r="R179" s="1151"/>
      <c r="S179" s="1151"/>
      <c r="T179" s="1151"/>
      <c r="U179" s="1151"/>
      <c r="V179" s="1151"/>
      <c r="Z179" s="163"/>
      <c r="AA179" s="163"/>
      <c r="AB179" s="163"/>
      <c r="AC179" s="163"/>
      <c r="AD179" s="163"/>
      <c r="AE179" s="163"/>
      <c r="AF179" s="163"/>
      <c r="AG179" s="163"/>
      <c r="AH179" s="163"/>
      <c r="AI179" s="868"/>
    </row>
    <row r="180" spans="1:35">
      <c r="A180" s="990">
        <v>158</v>
      </c>
      <c r="B180" s="990">
        <v>1</v>
      </c>
      <c r="C180" s="990">
        <v>180</v>
      </c>
      <c r="D180" s="1121" t="s">
        <v>999</v>
      </c>
      <c r="E180" s="1243">
        <v>1</v>
      </c>
      <c r="F180" s="5"/>
      <c r="G180" s="5"/>
      <c r="H180" s="5" t="s">
        <v>1038</v>
      </c>
      <c r="I180" s="5"/>
      <c r="J180" s="4"/>
      <c r="K180" s="5"/>
      <c r="L180" s="5"/>
      <c r="M180" s="4"/>
      <c r="N180" s="4"/>
      <c r="O180" s="4"/>
      <c r="P180" s="4"/>
      <c r="Q180" s="1151"/>
      <c r="R180" s="1151"/>
      <c r="S180" s="1151"/>
      <c r="T180" s="1151"/>
      <c r="U180" s="1151"/>
      <c r="V180" s="1151"/>
      <c r="AA180" s="1"/>
      <c r="AB180" s="1"/>
      <c r="AC180" s="1"/>
      <c r="AD180" s="1"/>
      <c r="AE180" s="1"/>
      <c r="AF180" s="1"/>
      <c r="AG180" s="1"/>
      <c r="AH180" s="1"/>
      <c r="AI180" s="1"/>
    </row>
    <row r="181" spans="1:35" ht="14.5">
      <c r="A181" s="990">
        <v>159</v>
      </c>
      <c r="B181" s="990">
        <v>1</v>
      </c>
      <c r="C181" s="990">
        <v>181</v>
      </c>
      <c r="D181" s="1121" t="s">
        <v>999</v>
      </c>
      <c r="E181" s="1243">
        <v>1</v>
      </c>
      <c r="F181" s="5"/>
      <c r="G181" s="5"/>
      <c r="H181" s="5"/>
      <c r="I181" s="458" t="s">
        <v>9</v>
      </c>
      <c r="J181" s="604"/>
      <c r="K181" s="788"/>
      <c r="L181" s="788"/>
      <c r="M181" s="604"/>
      <c r="N181" s="604"/>
      <c r="O181" s="1175" t="s">
        <v>530</v>
      </c>
      <c r="P181" s="1176"/>
      <c r="Q181" s="455">
        <f t="shared" ref="Q181:AI181" si="172">Q182+Q189</f>
        <v>12895</v>
      </c>
      <c r="R181" s="455">
        <f t="shared" si="172"/>
        <v>26937</v>
      </c>
      <c r="S181" s="455">
        <f t="shared" si="172"/>
        <v>51846</v>
      </c>
      <c r="T181" s="455">
        <f t="shared" si="172"/>
        <v>13879</v>
      </c>
      <c r="U181" s="455">
        <f t="shared" si="172"/>
        <v>3983</v>
      </c>
      <c r="V181" s="455">
        <f t="shared" si="172"/>
        <v>13487</v>
      </c>
      <c r="W181" s="455">
        <f t="shared" si="172"/>
        <v>4910</v>
      </c>
      <c r="X181" s="455">
        <f t="shared" si="172"/>
        <v>4900</v>
      </c>
      <c r="Y181" s="455">
        <f t="shared" si="172"/>
        <v>15594</v>
      </c>
      <c r="Z181" s="455">
        <f t="shared" si="172"/>
        <v>32184</v>
      </c>
      <c r="AA181" s="455">
        <f t="shared" si="172"/>
        <v>41979</v>
      </c>
      <c r="AB181" s="455">
        <f t="shared" si="172"/>
        <v>17459</v>
      </c>
      <c r="AC181" s="455">
        <f t="shared" si="172"/>
        <v>91678</v>
      </c>
      <c r="AD181" s="455">
        <f t="shared" si="172"/>
        <v>31349</v>
      </c>
      <c r="AE181" s="455">
        <f t="shared" si="172"/>
        <v>25404</v>
      </c>
      <c r="AF181" s="455">
        <f t="shared" si="172"/>
        <v>91622</v>
      </c>
      <c r="AG181" s="455">
        <f t="shared" si="172"/>
        <v>123027</v>
      </c>
      <c r="AH181" s="455">
        <f t="shared" si="172"/>
        <v>117026</v>
      </c>
      <c r="AI181" s="455">
        <f t="shared" si="172"/>
        <v>240053</v>
      </c>
    </row>
    <row r="182" spans="1:35" s="75" customFormat="1">
      <c r="A182" s="990">
        <v>160</v>
      </c>
      <c r="B182" s="990">
        <v>1</v>
      </c>
      <c r="C182" s="990">
        <v>182</v>
      </c>
      <c r="D182" s="1121" t="s">
        <v>999</v>
      </c>
      <c r="E182" s="1243">
        <v>1</v>
      </c>
      <c r="F182" s="5"/>
      <c r="G182" s="5"/>
      <c r="H182" s="5"/>
      <c r="I182" s="30"/>
      <c r="J182" s="4"/>
      <c r="K182" s="5"/>
      <c r="L182" s="5"/>
      <c r="M182" s="389" t="s">
        <v>1039</v>
      </c>
      <c r="N182" s="389"/>
      <c r="O182" s="389"/>
      <c r="P182" s="1177"/>
      <c r="Q182" s="390">
        <f>SUM(Q183:Q188)</f>
        <v>9500</v>
      </c>
      <c r="R182" s="390">
        <f t="shared" ref="R182:AB182" si="173">SUM(R183:R188)</f>
        <v>25300</v>
      </c>
      <c r="S182" s="390">
        <f t="shared" si="173"/>
        <v>49976</v>
      </c>
      <c r="T182" s="390">
        <f t="shared" si="173"/>
        <v>9252</v>
      </c>
      <c r="U182" s="390">
        <f t="shared" si="173"/>
        <v>0</v>
      </c>
      <c r="V182" s="390">
        <f t="shared" si="173"/>
        <v>9352</v>
      </c>
      <c r="W182" s="390">
        <f t="shared" si="173"/>
        <v>252</v>
      </c>
      <c r="X182" s="390">
        <f t="shared" si="173"/>
        <v>0</v>
      </c>
      <c r="Y182" s="390">
        <f t="shared" si="173"/>
        <v>9211</v>
      </c>
      <c r="Z182" s="390">
        <f t="shared" si="173"/>
        <v>26300</v>
      </c>
      <c r="AA182" s="390">
        <f t="shared" si="173"/>
        <v>35087</v>
      </c>
      <c r="AB182" s="390">
        <f t="shared" si="173"/>
        <v>12311</v>
      </c>
      <c r="AC182" s="390">
        <f t="shared" ref="AC182:AC195" si="174">SUM(Q182,R182,S182)</f>
        <v>84776</v>
      </c>
      <c r="AD182" s="390">
        <f t="shared" ref="AD182:AD195" si="175">SUM(T182,U182,V182)</f>
        <v>18604</v>
      </c>
      <c r="AE182" s="390">
        <f t="shared" ref="AE182:AE195" si="176">SUM(W182,X182,Y182)</f>
        <v>9463</v>
      </c>
      <c r="AF182" s="390">
        <f t="shared" ref="AF182:AF195" si="177">SUM(Z182,AA182,AB182)</f>
        <v>73698</v>
      </c>
      <c r="AG182" s="390">
        <f>AC182+AD182</f>
        <v>103380</v>
      </c>
      <c r="AH182" s="390">
        <f>AF182+AE182</f>
        <v>83161</v>
      </c>
      <c r="AI182" s="390">
        <f>AG182+AH182</f>
        <v>186541</v>
      </c>
    </row>
    <row r="183" spans="1:35" s="75" customFormat="1">
      <c r="A183" s="990">
        <v>161</v>
      </c>
      <c r="B183" s="990">
        <v>1</v>
      </c>
      <c r="C183" s="990">
        <v>183</v>
      </c>
      <c r="D183" s="1121" t="s">
        <v>999</v>
      </c>
      <c r="E183" s="1243">
        <v>1</v>
      </c>
      <c r="F183" s="5"/>
      <c r="G183" s="5"/>
      <c r="H183" s="5"/>
      <c r="I183" s="30"/>
      <c r="J183" s="4"/>
      <c r="K183" s="5"/>
      <c r="L183" s="5"/>
      <c r="M183" s="5"/>
      <c r="N183" s="4" t="s">
        <v>55</v>
      </c>
      <c r="O183" s="4"/>
      <c r="P183" s="29"/>
      <c r="Q183" s="135">
        <f t="shared" ref="Q183:AB188" si="178">Q570+Q585</f>
        <v>0</v>
      </c>
      <c r="R183" s="135">
        <f t="shared" si="178"/>
        <v>0</v>
      </c>
      <c r="S183" s="135">
        <f t="shared" si="178"/>
        <v>0</v>
      </c>
      <c r="T183" s="135">
        <f t="shared" si="178"/>
        <v>0</v>
      </c>
      <c r="U183" s="135">
        <f t="shared" si="178"/>
        <v>0</v>
      </c>
      <c r="V183" s="135">
        <f t="shared" si="178"/>
        <v>0</v>
      </c>
      <c r="W183" s="135">
        <f t="shared" si="178"/>
        <v>0</v>
      </c>
      <c r="X183" s="135">
        <f t="shared" si="178"/>
        <v>0</v>
      </c>
      <c r="Y183" s="135">
        <f t="shared" si="178"/>
        <v>0</v>
      </c>
      <c r="Z183" s="135">
        <f t="shared" si="178"/>
        <v>0</v>
      </c>
      <c r="AA183" s="135">
        <f t="shared" si="178"/>
        <v>-1647</v>
      </c>
      <c r="AB183" s="135">
        <f t="shared" si="178"/>
        <v>0</v>
      </c>
      <c r="AC183" s="135">
        <f t="shared" si="174"/>
        <v>0</v>
      </c>
      <c r="AD183" s="135">
        <f t="shared" si="175"/>
        <v>0</v>
      </c>
      <c r="AE183" s="135">
        <f t="shared" si="176"/>
        <v>0</v>
      </c>
      <c r="AF183" s="135">
        <f t="shared" si="177"/>
        <v>-1647</v>
      </c>
      <c r="AG183" s="135">
        <f t="shared" ref="AG183:AG195" si="179">AC183+AD183</f>
        <v>0</v>
      </c>
      <c r="AH183" s="135">
        <f t="shared" ref="AH183:AH195" si="180">AF183+AE183</f>
        <v>-1647</v>
      </c>
      <c r="AI183" s="135">
        <f t="shared" ref="AI183:AI195" si="181">AG183+AH183</f>
        <v>-1647</v>
      </c>
    </row>
    <row r="184" spans="1:35" s="75" customFormat="1">
      <c r="A184" s="990">
        <v>162</v>
      </c>
      <c r="B184" s="990">
        <v>1</v>
      </c>
      <c r="C184" s="990">
        <v>184</v>
      </c>
      <c r="D184" s="1121" t="s">
        <v>999</v>
      </c>
      <c r="E184" s="1243">
        <v>1</v>
      </c>
      <c r="F184" s="5"/>
      <c r="G184" s="5"/>
      <c r="H184" s="5"/>
      <c r="I184" s="30"/>
      <c r="J184" s="4"/>
      <c r="K184" s="5"/>
      <c r="L184" s="5"/>
      <c r="M184" s="5"/>
      <c r="N184" s="4" t="s">
        <v>1040</v>
      </c>
      <c r="O184" s="4"/>
      <c r="P184" s="29"/>
      <c r="Q184" s="135">
        <f t="shared" si="178"/>
        <v>0</v>
      </c>
      <c r="R184" s="135">
        <f t="shared" si="178"/>
        <v>9000</v>
      </c>
      <c r="S184" s="135">
        <f t="shared" si="178"/>
        <v>9250</v>
      </c>
      <c r="T184" s="135">
        <f t="shared" si="178"/>
        <v>0</v>
      </c>
      <c r="U184" s="135">
        <f t="shared" si="178"/>
        <v>0</v>
      </c>
      <c r="V184" s="135">
        <f t="shared" si="178"/>
        <v>0</v>
      </c>
      <c r="W184" s="135">
        <f t="shared" si="178"/>
        <v>0</v>
      </c>
      <c r="X184" s="135">
        <f t="shared" si="178"/>
        <v>0</v>
      </c>
      <c r="Y184" s="135">
        <f t="shared" si="178"/>
        <v>411</v>
      </c>
      <c r="Z184" s="135">
        <f t="shared" si="178"/>
        <v>0</v>
      </c>
      <c r="AA184" s="135">
        <f t="shared" si="178"/>
        <v>11812</v>
      </c>
      <c r="AB184" s="135">
        <f t="shared" si="178"/>
        <v>2709</v>
      </c>
      <c r="AC184" s="135">
        <f t="shared" si="174"/>
        <v>18250</v>
      </c>
      <c r="AD184" s="135">
        <f t="shared" si="175"/>
        <v>0</v>
      </c>
      <c r="AE184" s="135">
        <f t="shared" si="176"/>
        <v>411</v>
      </c>
      <c r="AF184" s="135">
        <f t="shared" si="177"/>
        <v>14521</v>
      </c>
      <c r="AG184" s="135">
        <f t="shared" si="179"/>
        <v>18250</v>
      </c>
      <c r="AH184" s="135">
        <f t="shared" si="180"/>
        <v>14932</v>
      </c>
      <c r="AI184" s="135">
        <f t="shared" si="181"/>
        <v>33182</v>
      </c>
    </row>
    <row r="185" spans="1:35" s="75" customFormat="1">
      <c r="A185" s="990">
        <v>163</v>
      </c>
      <c r="B185" s="990">
        <v>1</v>
      </c>
      <c r="C185" s="990">
        <v>185</v>
      </c>
      <c r="D185" s="1121" t="s">
        <v>999</v>
      </c>
      <c r="E185" s="1243">
        <v>1</v>
      </c>
      <c r="F185" s="5"/>
      <c r="G185" s="5"/>
      <c r="H185" s="5"/>
      <c r="I185" s="30"/>
      <c r="J185" s="4"/>
      <c r="K185" s="5"/>
      <c r="L185" s="5"/>
      <c r="M185" s="5"/>
      <c r="N185" s="4" t="s">
        <v>1041</v>
      </c>
      <c r="O185" s="4"/>
      <c r="P185" s="29"/>
      <c r="Q185" s="135">
        <f t="shared" si="178"/>
        <v>9500</v>
      </c>
      <c r="R185" s="135">
        <f t="shared" si="178"/>
        <v>16300</v>
      </c>
      <c r="S185" s="135">
        <f t="shared" si="178"/>
        <v>40726</v>
      </c>
      <c r="T185" s="135">
        <f t="shared" si="178"/>
        <v>9252</v>
      </c>
      <c r="U185" s="135">
        <f t="shared" si="178"/>
        <v>0</v>
      </c>
      <c r="V185" s="135">
        <f t="shared" si="178"/>
        <v>9352</v>
      </c>
      <c r="W185" s="135">
        <f t="shared" si="178"/>
        <v>252</v>
      </c>
      <c r="X185" s="135">
        <f t="shared" si="178"/>
        <v>0</v>
      </c>
      <c r="Y185" s="135">
        <f t="shared" si="178"/>
        <v>8800</v>
      </c>
      <c r="Z185" s="135">
        <f t="shared" si="178"/>
        <v>26300</v>
      </c>
      <c r="AA185" s="135">
        <f t="shared" si="178"/>
        <v>24922</v>
      </c>
      <c r="AB185" s="135">
        <f t="shared" si="178"/>
        <v>9602</v>
      </c>
      <c r="AC185" s="135">
        <f t="shared" si="174"/>
        <v>66526</v>
      </c>
      <c r="AD185" s="135">
        <f t="shared" si="175"/>
        <v>18604</v>
      </c>
      <c r="AE185" s="135">
        <f t="shared" si="176"/>
        <v>9052</v>
      </c>
      <c r="AF185" s="135">
        <f t="shared" si="177"/>
        <v>60824</v>
      </c>
      <c r="AG185" s="135">
        <f t="shared" si="179"/>
        <v>85130</v>
      </c>
      <c r="AH185" s="135">
        <f t="shared" si="180"/>
        <v>69876</v>
      </c>
      <c r="AI185" s="135">
        <f t="shared" si="181"/>
        <v>155006</v>
      </c>
    </row>
    <row r="186" spans="1:35" s="75" customFormat="1">
      <c r="A186" s="990">
        <v>164</v>
      </c>
      <c r="B186" s="990">
        <v>1</v>
      </c>
      <c r="C186" s="990">
        <v>186</v>
      </c>
      <c r="D186" s="1121" t="s">
        <v>999</v>
      </c>
      <c r="E186" s="1243">
        <v>1</v>
      </c>
      <c r="F186" s="5"/>
      <c r="G186" s="5"/>
      <c r="H186" s="5"/>
      <c r="I186" s="30"/>
      <c r="J186" s="4"/>
      <c r="K186" s="5"/>
      <c r="L186" s="5"/>
      <c r="M186" s="5"/>
      <c r="N186" s="4" t="s">
        <v>1042</v>
      </c>
      <c r="O186" s="4"/>
      <c r="P186" s="29"/>
      <c r="Q186" s="135">
        <f t="shared" si="178"/>
        <v>0</v>
      </c>
      <c r="R186" s="135">
        <f t="shared" si="178"/>
        <v>0</v>
      </c>
      <c r="S186" s="135">
        <f t="shared" si="178"/>
        <v>0</v>
      </c>
      <c r="T186" s="135">
        <f t="shared" si="178"/>
        <v>0</v>
      </c>
      <c r="U186" s="135">
        <f t="shared" si="178"/>
        <v>0</v>
      </c>
      <c r="V186" s="135">
        <f t="shared" si="178"/>
        <v>0</v>
      </c>
      <c r="W186" s="135">
        <f t="shared" si="178"/>
        <v>0</v>
      </c>
      <c r="X186" s="135">
        <f t="shared" si="178"/>
        <v>0</v>
      </c>
      <c r="Y186" s="135">
        <f t="shared" si="178"/>
        <v>0</v>
      </c>
      <c r="Z186" s="135">
        <f t="shared" si="178"/>
        <v>0</v>
      </c>
      <c r="AA186" s="135">
        <f t="shared" si="178"/>
        <v>0</v>
      </c>
      <c r="AB186" s="135">
        <f t="shared" si="178"/>
        <v>0</v>
      </c>
      <c r="AC186" s="135">
        <f t="shared" si="174"/>
        <v>0</v>
      </c>
      <c r="AD186" s="135">
        <f t="shared" si="175"/>
        <v>0</v>
      </c>
      <c r="AE186" s="135">
        <f t="shared" si="176"/>
        <v>0</v>
      </c>
      <c r="AF186" s="135">
        <f t="shared" si="177"/>
        <v>0</v>
      </c>
      <c r="AG186" s="135">
        <f t="shared" si="179"/>
        <v>0</v>
      </c>
      <c r="AH186" s="135">
        <f t="shared" si="180"/>
        <v>0</v>
      </c>
      <c r="AI186" s="135">
        <f t="shared" si="181"/>
        <v>0</v>
      </c>
    </row>
    <row r="187" spans="1:35" s="75" customFormat="1">
      <c r="A187" s="990">
        <v>165</v>
      </c>
      <c r="B187" s="990">
        <v>1</v>
      </c>
      <c r="C187" s="990">
        <v>187</v>
      </c>
      <c r="D187" s="1121" t="s">
        <v>999</v>
      </c>
      <c r="E187" s="1243">
        <v>1</v>
      </c>
      <c r="F187" s="5"/>
      <c r="G187" s="5"/>
      <c r="H187" s="5"/>
      <c r="I187" s="30"/>
      <c r="J187" s="4"/>
      <c r="K187" s="5"/>
      <c r="L187" s="5"/>
      <c r="M187" s="5"/>
      <c r="N187" s="4" t="s">
        <v>852</v>
      </c>
      <c r="O187" s="4"/>
      <c r="P187" s="29"/>
      <c r="Q187" s="135">
        <f t="shared" si="178"/>
        <v>0</v>
      </c>
      <c r="R187" s="135">
        <f t="shared" si="178"/>
        <v>0</v>
      </c>
      <c r="S187" s="135">
        <f t="shared" si="178"/>
        <v>0</v>
      </c>
      <c r="T187" s="135">
        <f t="shared" si="178"/>
        <v>0</v>
      </c>
      <c r="U187" s="135">
        <f t="shared" si="178"/>
        <v>0</v>
      </c>
      <c r="V187" s="135">
        <f t="shared" si="178"/>
        <v>0</v>
      </c>
      <c r="W187" s="135">
        <f t="shared" si="178"/>
        <v>0</v>
      </c>
      <c r="X187" s="135">
        <f t="shared" si="178"/>
        <v>0</v>
      </c>
      <c r="Y187" s="135">
        <f t="shared" si="178"/>
        <v>0</v>
      </c>
      <c r="Z187" s="135">
        <f t="shared" si="178"/>
        <v>0</v>
      </c>
      <c r="AA187" s="135">
        <f t="shared" si="178"/>
        <v>0</v>
      </c>
      <c r="AB187" s="135">
        <f t="shared" si="178"/>
        <v>0</v>
      </c>
      <c r="AC187" s="135">
        <f t="shared" si="174"/>
        <v>0</v>
      </c>
      <c r="AD187" s="135">
        <f t="shared" si="175"/>
        <v>0</v>
      </c>
      <c r="AE187" s="135">
        <f t="shared" si="176"/>
        <v>0</v>
      </c>
      <c r="AF187" s="135">
        <f t="shared" si="177"/>
        <v>0</v>
      </c>
      <c r="AG187" s="135">
        <f t="shared" si="179"/>
        <v>0</v>
      </c>
      <c r="AH187" s="135">
        <f t="shared" si="180"/>
        <v>0</v>
      </c>
      <c r="AI187" s="135">
        <f t="shared" si="181"/>
        <v>0</v>
      </c>
    </row>
    <row r="188" spans="1:35" s="75" customFormat="1">
      <c r="A188" s="990">
        <v>166</v>
      </c>
      <c r="B188" s="990">
        <v>1</v>
      </c>
      <c r="C188" s="990">
        <v>188</v>
      </c>
      <c r="D188" s="1121" t="s">
        <v>999</v>
      </c>
      <c r="E188" s="1243">
        <v>1</v>
      </c>
      <c r="F188" s="5"/>
      <c r="G188" s="5"/>
      <c r="H188" s="5"/>
      <c r="I188" s="30"/>
      <c r="J188" s="4"/>
      <c r="K188" s="5"/>
      <c r="L188" s="5"/>
      <c r="M188" s="51"/>
      <c r="N188" s="51" t="s">
        <v>11</v>
      </c>
      <c r="O188" s="51"/>
      <c r="P188" s="50"/>
      <c r="Q188" s="284">
        <f t="shared" si="178"/>
        <v>0</v>
      </c>
      <c r="R188" s="284">
        <f t="shared" si="178"/>
        <v>0</v>
      </c>
      <c r="S188" s="284">
        <f t="shared" si="178"/>
        <v>0</v>
      </c>
      <c r="T188" s="284">
        <f t="shared" si="178"/>
        <v>0</v>
      </c>
      <c r="U188" s="284">
        <f t="shared" si="178"/>
        <v>0</v>
      </c>
      <c r="V188" s="284">
        <f t="shared" si="178"/>
        <v>0</v>
      </c>
      <c r="W188" s="284">
        <f t="shared" si="178"/>
        <v>0</v>
      </c>
      <c r="X188" s="284">
        <f t="shared" si="178"/>
        <v>0</v>
      </c>
      <c r="Y188" s="284">
        <f t="shared" si="178"/>
        <v>0</v>
      </c>
      <c r="Z188" s="284">
        <f t="shared" si="178"/>
        <v>0</v>
      </c>
      <c r="AA188" s="284">
        <f t="shared" si="178"/>
        <v>0</v>
      </c>
      <c r="AB188" s="284" t="s">
        <v>1657</v>
      </c>
      <c r="AC188" s="284">
        <f t="shared" si="174"/>
        <v>0</v>
      </c>
      <c r="AD188" s="284">
        <f t="shared" si="175"/>
        <v>0</v>
      </c>
      <c r="AE188" s="284">
        <f t="shared" si="176"/>
        <v>0</v>
      </c>
      <c r="AF188" s="284">
        <f t="shared" si="177"/>
        <v>0</v>
      </c>
      <c r="AG188" s="284">
        <f t="shared" si="179"/>
        <v>0</v>
      </c>
      <c r="AH188" s="284">
        <f t="shared" si="180"/>
        <v>0</v>
      </c>
      <c r="AI188" s="284">
        <f t="shared" si="181"/>
        <v>0</v>
      </c>
    </row>
    <row r="189" spans="1:35" s="75" customFormat="1">
      <c r="A189" s="990">
        <v>167</v>
      </c>
      <c r="B189" s="990">
        <v>1</v>
      </c>
      <c r="C189" s="990">
        <v>189</v>
      </c>
      <c r="D189" s="1121" t="s">
        <v>999</v>
      </c>
      <c r="E189" s="1243">
        <v>1</v>
      </c>
      <c r="F189" s="5"/>
      <c r="G189" s="5"/>
      <c r="H189" s="5"/>
      <c r="I189" s="30"/>
      <c r="J189" s="4"/>
      <c r="K189" s="5"/>
      <c r="L189" s="5"/>
      <c r="M189" s="387" t="s">
        <v>95</v>
      </c>
      <c r="N189" s="387"/>
      <c r="O189" s="387"/>
      <c r="P189" s="1178"/>
      <c r="Q189" s="388">
        <f>SUM(Q190:Q195)</f>
        <v>3395</v>
      </c>
      <c r="R189" s="388">
        <f t="shared" ref="R189:AB189" si="182">SUM(R190:R195)</f>
        <v>1637</v>
      </c>
      <c r="S189" s="388">
        <f t="shared" si="182"/>
        <v>1870</v>
      </c>
      <c r="T189" s="388">
        <f t="shared" si="182"/>
        <v>4627</v>
      </c>
      <c r="U189" s="388">
        <f t="shared" si="182"/>
        <v>3983</v>
      </c>
      <c r="V189" s="388">
        <f t="shared" si="182"/>
        <v>4135</v>
      </c>
      <c r="W189" s="388">
        <f t="shared" si="182"/>
        <v>4658</v>
      </c>
      <c r="X189" s="388">
        <f t="shared" si="182"/>
        <v>4900</v>
      </c>
      <c r="Y189" s="388">
        <f t="shared" si="182"/>
        <v>6383</v>
      </c>
      <c r="Z189" s="388">
        <f t="shared" si="182"/>
        <v>5884</v>
      </c>
      <c r="AA189" s="388">
        <f t="shared" si="182"/>
        <v>6892</v>
      </c>
      <c r="AB189" s="388">
        <f t="shared" si="182"/>
        <v>5148</v>
      </c>
      <c r="AC189" s="388">
        <f t="shared" si="174"/>
        <v>6902</v>
      </c>
      <c r="AD189" s="388">
        <f t="shared" si="175"/>
        <v>12745</v>
      </c>
      <c r="AE189" s="388">
        <f t="shared" si="176"/>
        <v>15941</v>
      </c>
      <c r="AF189" s="388">
        <f t="shared" si="177"/>
        <v>17924</v>
      </c>
      <c r="AG189" s="388">
        <f t="shared" si="179"/>
        <v>19647</v>
      </c>
      <c r="AH189" s="388">
        <f t="shared" si="180"/>
        <v>33865</v>
      </c>
      <c r="AI189" s="388">
        <f t="shared" si="181"/>
        <v>53512</v>
      </c>
    </row>
    <row r="190" spans="1:35" s="75" customFormat="1">
      <c r="A190" s="990">
        <v>168</v>
      </c>
      <c r="B190" s="990">
        <v>1</v>
      </c>
      <c r="C190" s="990">
        <v>190</v>
      </c>
      <c r="D190" s="1121" t="s">
        <v>999</v>
      </c>
      <c r="E190" s="1243">
        <v>1</v>
      </c>
      <c r="F190" s="5"/>
      <c r="G190" s="5"/>
      <c r="H190" s="5"/>
      <c r="I190" s="30"/>
      <c r="J190" s="4"/>
      <c r="K190" s="5"/>
      <c r="L190" s="5"/>
      <c r="M190" s="5"/>
      <c r="N190" s="4" t="s">
        <v>55</v>
      </c>
      <c r="O190" s="4"/>
      <c r="P190" s="29"/>
      <c r="Q190" s="135">
        <f t="shared" ref="Q190:AB195" si="183">Q577+Q592</f>
        <v>0</v>
      </c>
      <c r="R190" s="135">
        <f t="shared" si="183"/>
        <v>0</v>
      </c>
      <c r="S190" s="135">
        <f t="shared" si="183"/>
        <v>0</v>
      </c>
      <c r="T190" s="135">
        <f t="shared" si="183"/>
        <v>349</v>
      </c>
      <c r="U190" s="135">
        <f t="shared" si="183"/>
        <v>0</v>
      </c>
      <c r="V190" s="135">
        <f t="shared" si="183"/>
        <v>0</v>
      </c>
      <c r="W190" s="135">
        <f t="shared" si="183"/>
        <v>0</v>
      </c>
      <c r="X190" s="135">
        <f t="shared" si="183"/>
        <v>589</v>
      </c>
      <c r="Y190" s="135">
        <f t="shared" si="183"/>
        <v>847</v>
      </c>
      <c r="Z190" s="135">
        <f t="shared" si="183"/>
        <v>699</v>
      </c>
      <c r="AA190" s="135">
        <f t="shared" si="183"/>
        <v>1362</v>
      </c>
      <c r="AB190" s="135">
        <f t="shared" si="183"/>
        <v>522</v>
      </c>
      <c r="AC190" s="135">
        <f t="shared" si="174"/>
        <v>0</v>
      </c>
      <c r="AD190" s="135">
        <f t="shared" si="175"/>
        <v>349</v>
      </c>
      <c r="AE190" s="135">
        <f t="shared" si="176"/>
        <v>1436</v>
      </c>
      <c r="AF190" s="135">
        <f t="shared" si="177"/>
        <v>2583</v>
      </c>
      <c r="AG190" s="135">
        <f t="shared" si="179"/>
        <v>349</v>
      </c>
      <c r="AH190" s="135">
        <f t="shared" si="180"/>
        <v>4019</v>
      </c>
      <c r="AI190" s="135">
        <f t="shared" si="181"/>
        <v>4368</v>
      </c>
    </row>
    <row r="191" spans="1:35" s="75" customFormat="1">
      <c r="A191" s="990">
        <v>169</v>
      </c>
      <c r="B191" s="990">
        <v>1</v>
      </c>
      <c r="C191" s="990">
        <v>191</v>
      </c>
      <c r="D191" s="1121" t="s">
        <v>999</v>
      </c>
      <c r="E191" s="1243">
        <v>1</v>
      </c>
      <c r="F191" s="5"/>
      <c r="G191" s="5"/>
      <c r="H191" s="5"/>
      <c r="I191" s="30"/>
      <c r="J191" s="4"/>
      <c r="K191" s="5"/>
      <c r="L191" s="5"/>
      <c r="M191" s="5"/>
      <c r="N191" s="4" t="s">
        <v>1040</v>
      </c>
      <c r="O191" s="4"/>
      <c r="P191" s="29"/>
      <c r="Q191" s="135">
        <f t="shared" si="183"/>
        <v>1690</v>
      </c>
      <c r="R191" s="135">
        <f t="shared" si="183"/>
        <v>1186</v>
      </c>
      <c r="S191" s="135">
        <f t="shared" si="183"/>
        <v>1379</v>
      </c>
      <c r="T191" s="135">
        <f t="shared" si="183"/>
        <v>2130</v>
      </c>
      <c r="U191" s="135">
        <f t="shared" si="183"/>
        <v>1694</v>
      </c>
      <c r="V191" s="135">
        <f t="shared" si="183"/>
        <v>1851</v>
      </c>
      <c r="W191" s="135">
        <f t="shared" si="183"/>
        <v>1386</v>
      </c>
      <c r="X191" s="135">
        <f t="shared" si="183"/>
        <v>1779</v>
      </c>
      <c r="Y191" s="135">
        <f t="shared" si="183"/>
        <v>2570</v>
      </c>
      <c r="Z191" s="135">
        <f t="shared" si="183"/>
        <v>2859</v>
      </c>
      <c r="AA191" s="135">
        <f t="shared" si="183"/>
        <v>2396</v>
      </c>
      <c r="AB191" s="135">
        <f t="shared" si="183"/>
        <v>2293</v>
      </c>
      <c r="AC191" s="135">
        <f t="shared" si="174"/>
        <v>4255</v>
      </c>
      <c r="AD191" s="135">
        <f t="shared" si="175"/>
        <v>5675</v>
      </c>
      <c r="AE191" s="135">
        <f t="shared" si="176"/>
        <v>5735</v>
      </c>
      <c r="AF191" s="135">
        <f t="shared" si="177"/>
        <v>7548</v>
      </c>
      <c r="AG191" s="135">
        <f t="shared" si="179"/>
        <v>9930</v>
      </c>
      <c r="AH191" s="135">
        <f t="shared" si="180"/>
        <v>13283</v>
      </c>
      <c r="AI191" s="135">
        <f t="shared" si="181"/>
        <v>23213</v>
      </c>
    </row>
    <row r="192" spans="1:35" s="75" customFormat="1">
      <c r="A192" s="990">
        <v>170</v>
      </c>
      <c r="B192" s="990">
        <v>1</v>
      </c>
      <c r="C192" s="990">
        <v>192</v>
      </c>
      <c r="D192" s="1121" t="s">
        <v>999</v>
      </c>
      <c r="E192" s="1243">
        <v>1</v>
      </c>
      <c r="F192" s="5"/>
      <c r="G192" s="5"/>
      <c r="H192" s="5"/>
      <c r="I192" s="30"/>
      <c r="J192" s="4"/>
      <c r="K192" s="5"/>
      <c r="L192" s="5"/>
      <c r="M192" s="5"/>
      <c r="N192" s="4" t="s">
        <v>1041</v>
      </c>
      <c r="O192" s="4"/>
      <c r="P192" s="1179"/>
      <c r="Q192" s="135">
        <f t="shared" si="183"/>
        <v>1705</v>
      </c>
      <c r="R192" s="135">
        <f t="shared" si="183"/>
        <v>451</v>
      </c>
      <c r="S192" s="135">
        <f t="shared" si="183"/>
        <v>491</v>
      </c>
      <c r="T192" s="135">
        <f t="shared" si="183"/>
        <v>2148</v>
      </c>
      <c r="U192" s="135">
        <f t="shared" si="183"/>
        <v>2289</v>
      </c>
      <c r="V192" s="135">
        <f t="shared" si="183"/>
        <v>2284</v>
      </c>
      <c r="W192" s="135">
        <f t="shared" si="183"/>
        <v>3272</v>
      </c>
      <c r="X192" s="135">
        <f t="shared" si="183"/>
        <v>2532</v>
      </c>
      <c r="Y192" s="135">
        <f t="shared" si="183"/>
        <v>2966</v>
      </c>
      <c r="Z192" s="135">
        <f t="shared" si="183"/>
        <v>2326</v>
      </c>
      <c r="AA192" s="135">
        <f t="shared" si="183"/>
        <v>3134</v>
      </c>
      <c r="AB192" s="135">
        <f t="shared" si="183"/>
        <v>2333</v>
      </c>
      <c r="AC192" s="135">
        <f t="shared" si="174"/>
        <v>2647</v>
      </c>
      <c r="AD192" s="135">
        <f t="shared" si="175"/>
        <v>6721</v>
      </c>
      <c r="AE192" s="135">
        <f t="shared" si="176"/>
        <v>8770</v>
      </c>
      <c r="AF192" s="135">
        <f t="shared" si="177"/>
        <v>7793</v>
      </c>
      <c r="AG192" s="135">
        <f t="shared" si="179"/>
        <v>9368</v>
      </c>
      <c r="AH192" s="135">
        <f t="shared" si="180"/>
        <v>16563</v>
      </c>
      <c r="AI192" s="135">
        <f t="shared" si="181"/>
        <v>25931</v>
      </c>
    </row>
    <row r="193" spans="1:35" s="75" customFormat="1">
      <c r="A193" s="990">
        <v>171</v>
      </c>
      <c r="B193" s="990">
        <v>1</v>
      </c>
      <c r="C193" s="990">
        <v>193</v>
      </c>
      <c r="D193" s="1121" t="s">
        <v>999</v>
      </c>
      <c r="E193" s="1243">
        <v>1</v>
      </c>
      <c r="F193" s="5"/>
      <c r="G193" s="5"/>
      <c r="H193" s="5"/>
      <c r="I193" s="30"/>
      <c r="J193" s="4"/>
      <c r="K193" s="5"/>
      <c r="L193" s="5"/>
      <c r="M193" s="5"/>
      <c r="N193" s="4" t="s">
        <v>1042</v>
      </c>
      <c r="O193" s="4"/>
      <c r="P193" s="29"/>
      <c r="Q193" s="135">
        <f t="shared" si="183"/>
        <v>0</v>
      </c>
      <c r="R193" s="135">
        <f t="shared" si="183"/>
        <v>0</v>
      </c>
      <c r="S193" s="135">
        <f t="shared" si="183"/>
        <v>0</v>
      </c>
      <c r="T193" s="135">
        <f t="shared" si="183"/>
        <v>0</v>
      </c>
      <c r="U193" s="135">
        <f t="shared" si="183"/>
        <v>0</v>
      </c>
      <c r="V193" s="135">
        <f t="shared" si="183"/>
        <v>0</v>
      </c>
      <c r="W193" s="135">
        <f t="shared" si="183"/>
        <v>0</v>
      </c>
      <c r="X193" s="135">
        <f t="shared" si="183"/>
        <v>0</v>
      </c>
      <c r="Y193" s="135">
        <f t="shared" si="183"/>
        <v>0</v>
      </c>
      <c r="Z193" s="135">
        <f t="shared" si="183"/>
        <v>0</v>
      </c>
      <c r="AA193" s="135">
        <f t="shared" si="183"/>
        <v>0</v>
      </c>
      <c r="AB193" s="135">
        <f t="shared" si="183"/>
        <v>0</v>
      </c>
      <c r="AC193" s="135">
        <f t="shared" si="174"/>
        <v>0</v>
      </c>
      <c r="AD193" s="135">
        <f t="shared" si="175"/>
        <v>0</v>
      </c>
      <c r="AE193" s="135">
        <f t="shared" si="176"/>
        <v>0</v>
      </c>
      <c r="AF193" s="135">
        <f t="shared" si="177"/>
        <v>0</v>
      </c>
      <c r="AG193" s="135">
        <f t="shared" si="179"/>
        <v>0</v>
      </c>
      <c r="AH193" s="135">
        <f t="shared" si="180"/>
        <v>0</v>
      </c>
      <c r="AI193" s="135">
        <f t="shared" si="181"/>
        <v>0</v>
      </c>
    </row>
    <row r="194" spans="1:35" s="75" customFormat="1">
      <c r="A194" s="990">
        <v>172</v>
      </c>
      <c r="B194" s="990">
        <v>1</v>
      </c>
      <c r="C194" s="990">
        <v>194</v>
      </c>
      <c r="D194" s="1121" t="s">
        <v>999</v>
      </c>
      <c r="E194" s="1243">
        <v>1</v>
      </c>
      <c r="F194" s="5"/>
      <c r="G194" s="5"/>
      <c r="H194" s="5"/>
      <c r="I194" s="30"/>
      <c r="J194" s="4"/>
      <c r="K194" s="5"/>
      <c r="L194" s="5"/>
      <c r="M194" s="5"/>
      <c r="N194" s="4" t="s">
        <v>852</v>
      </c>
      <c r="O194" s="4"/>
      <c r="P194" s="29"/>
      <c r="Q194" s="135">
        <f t="shared" si="183"/>
        <v>0</v>
      </c>
      <c r="R194" s="135">
        <f t="shared" si="183"/>
        <v>0</v>
      </c>
      <c r="S194" s="135">
        <f t="shared" si="183"/>
        <v>0</v>
      </c>
      <c r="T194" s="135">
        <f t="shared" si="183"/>
        <v>0</v>
      </c>
      <c r="U194" s="135">
        <f t="shared" si="183"/>
        <v>0</v>
      </c>
      <c r="V194" s="135">
        <f t="shared" si="183"/>
        <v>0</v>
      </c>
      <c r="W194" s="135">
        <f t="shared" si="183"/>
        <v>0</v>
      </c>
      <c r="X194" s="135">
        <f t="shared" si="183"/>
        <v>0</v>
      </c>
      <c r="Y194" s="135">
        <f t="shared" si="183"/>
        <v>0</v>
      </c>
      <c r="Z194" s="135">
        <f t="shared" si="183"/>
        <v>0</v>
      </c>
      <c r="AA194" s="135">
        <f t="shared" si="183"/>
        <v>0</v>
      </c>
      <c r="AB194" s="135">
        <f t="shared" si="183"/>
        <v>0</v>
      </c>
      <c r="AC194" s="135">
        <f t="shared" si="174"/>
        <v>0</v>
      </c>
      <c r="AD194" s="135">
        <f t="shared" si="175"/>
        <v>0</v>
      </c>
      <c r="AE194" s="135">
        <f t="shared" si="176"/>
        <v>0</v>
      </c>
      <c r="AF194" s="135">
        <f t="shared" si="177"/>
        <v>0</v>
      </c>
      <c r="AG194" s="135">
        <f t="shared" si="179"/>
        <v>0</v>
      </c>
      <c r="AH194" s="135">
        <f t="shared" si="180"/>
        <v>0</v>
      </c>
      <c r="AI194" s="135">
        <f t="shared" si="181"/>
        <v>0</v>
      </c>
    </row>
    <row r="195" spans="1:35" s="75" customFormat="1">
      <c r="A195" s="990">
        <v>173</v>
      </c>
      <c r="B195" s="990">
        <v>1</v>
      </c>
      <c r="C195" s="990">
        <v>195</v>
      </c>
      <c r="D195" s="1121" t="s">
        <v>999</v>
      </c>
      <c r="E195" s="1243">
        <v>1</v>
      </c>
      <c r="F195" s="5"/>
      <c r="G195" s="5"/>
      <c r="H195" s="5"/>
      <c r="I195" s="28"/>
      <c r="J195" s="2"/>
      <c r="K195" s="3"/>
      <c r="L195" s="3"/>
      <c r="M195" s="3"/>
      <c r="N195" s="2" t="s">
        <v>11</v>
      </c>
      <c r="O195" s="2"/>
      <c r="P195" s="27"/>
      <c r="Q195" s="285">
        <f t="shared" si="183"/>
        <v>0</v>
      </c>
      <c r="R195" s="285">
        <f t="shared" si="183"/>
        <v>0</v>
      </c>
      <c r="S195" s="285">
        <f t="shared" si="183"/>
        <v>0</v>
      </c>
      <c r="T195" s="285">
        <f t="shared" si="183"/>
        <v>0</v>
      </c>
      <c r="U195" s="285">
        <f t="shared" si="183"/>
        <v>0</v>
      </c>
      <c r="V195" s="285">
        <f t="shared" si="183"/>
        <v>0</v>
      </c>
      <c r="W195" s="285">
        <f t="shared" si="183"/>
        <v>0</v>
      </c>
      <c r="X195" s="285">
        <f t="shared" si="183"/>
        <v>0</v>
      </c>
      <c r="Y195" s="285">
        <f t="shared" si="183"/>
        <v>0</v>
      </c>
      <c r="Z195" s="285">
        <f t="shared" si="183"/>
        <v>0</v>
      </c>
      <c r="AA195" s="285">
        <f t="shared" si="183"/>
        <v>0</v>
      </c>
      <c r="AB195" s="285">
        <f t="shared" si="183"/>
        <v>0</v>
      </c>
      <c r="AC195" s="285">
        <f t="shared" si="174"/>
        <v>0</v>
      </c>
      <c r="AD195" s="285">
        <f t="shared" si="175"/>
        <v>0</v>
      </c>
      <c r="AE195" s="285">
        <f t="shared" si="176"/>
        <v>0</v>
      </c>
      <c r="AF195" s="285">
        <f t="shared" si="177"/>
        <v>0</v>
      </c>
      <c r="AG195" s="285">
        <f t="shared" si="179"/>
        <v>0</v>
      </c>
      <c r="AH195" s="285">
        <f t="shared" si="180"/>
        <v>0</v>
      </c>
      <c r="AI195" s="285">
        <f t="shared" si="181"/>
        <v>0</v>
      </c>
    </row>
    <row r="196" spans="1:35" ht="14.5">
      <c r="A196" s="990">
        <v>174</v>
      </c>
      <c r="B196" s="990">
        <v>1</v>
      </c>
      <c r="C196" s="990">
        <v>196</v>
      </c>
      <c r="D196" s="1121" t="s">
        <v>999</v>
      </c>
      <c r="E196" s="1243">
        <v>1</v>
      </c>
      <c r="F196" s="5"/>
      <c r="G196" s="5"/>
      <c r="H196" s="5"/>
      <c r="I196" s="458" t="s">
        <v>128</v>
      </c>
      <c r="J196" s="604"/>
      <c r="K196" s="788"/>
      <c r="L196" s="788"/>
      <c r="M196" s="604"/>
      <c r="N196" s="604"/>
      <c r="O196" s="1175" t="s">
        <v>532</v>
      </c>
      <c r="P196" s="1176"/>
      <c r="Q196" s="455">
        <f t="shared" ref="Q196:AI196" si="184">Q197+Q204</f>
        <v>12895</v>
      </c>
      <c r="R196" s="455">
        <f t="shared" si="184"/>
        <v>26937</v>
      </c>
      <c r="S196" s="455">
        <f t="shared" si="184"/>
        <v>51846</v>
      </c>
      <c r="T196" s="455">
        <f t="shared" si="184"/>
        <v>13879</v>
      </c>
      <c r="U196" s="455">
        <f t="shared" si="184"/>
        <v>3983</v>
      </c>
      <c r="V196" s="455">
        <f t="shared" si="184"/>
        <v>13487</v>
      </c>
      <c r="W196" s="455">
        <f t="shared" si="184"/>
        <v>4910</v>
      </c>
      <c r="X196" s="455">
        <f t="shared" si="184"/>
        <v>4900</v>
      </c>
      <c r="Y196" s="455">
        <f t="shared" si="184"/>
        <v>15594</v>
      </c>
      <c r="Z196" s="455">
        <f t="shared" si="184"/>
        <v>32184</v>
      </c>
      <c r="AA196" s="455">
        <f t="shared" si="184"/>
        <v>41979</v>
      </c>
      <c r="AB196" s="455">
        <f t="shared" si="184"/>
        <v>17459</v>
      </c>
      <c r="AC196" s="455">
        <f t="shared" si="184"/>
        <v>91678</v>
      </c>
      <c r="AD196" s="455">
        <f t="shared" si="184"/>
        <v>31349</v>
      </c>
      <c r="AE196" s="455">
        <f t="shared" si="184"/>
        <v>25404</v>
      </c>
      <c r="AF196" s="455">
        <f t="shared" si="184"/>
        <v>91622</v>
      </c>
      <c r="AG196" s="455">
        <f t="shared" si="184"/>
        <v>123027</v>
      </c>
      <c r="AH196" s="455">
        <f t="shared" si="184"/>
        <v>117026</v>
      </c>
      <c r="AI196" s="455">
        <f t="shared" si="184"/>
        <v>240053</v>
      </c>
    </row>
    <row r="197" spans="1:35" s="75" customFormat="1">
      <c r="A197" s="990">
        <v>175</v>
      </c>
      <c r="B197" s="990">
        <v>1</v>
      </c>
      <c r="C197" s="990">
        <v>197</v>
      </c>
      <c r="D197" s="1121" t="s">
        <v>999</v>
      </c>
      <c r="E197" s="1243">
        <v>1</v>
      </c>
      <c r="F197" s="5"/>
      <c r="G197" s="5"/>
      <c r="H197" s="5"/>
      <c r="I197" s="30"/>
      <c r="J197" s="4"/>
      <c r="K197" s="5"/>
      <c r="L197" s="5"/>
      <c r="M197" s="389" t="s">
        <v>1039</v>
      </c>
      <c r="N197" s="389"/>
      <c r="O197" s="389"/>
      <c r="P197" s="1177"/>
      <c r="Q197" s="390">
        <f>SUM(Q198:Q203)</f>
        <v>9500</v>
      </c>
      <c r="R197" s="390">
        <f t="shared" ref="R197:AB197" si="185">SUM(R198:R203)</f>
        <v>25300</v>
      </c>
      <c r="S197" s="390">
        <f t="shared" si="185"/>
        <v>49976</v>
      </c>
      <c r="T197" s="390">
        <f t="shared" si="185"/>
        <v>9252</v>
      </c>
      <c r="U197" s="390">
        <f t="shared" si="185"/>
        <v>0</v>
      </c>
      <c r="V197" s="390">
        <f t="shared" si="185"/>
        <v>9352</v>
      </c>
      <c r="W197" s="390">
        <f t="shared" si="185"/>
        <v>252</v>
      </c>
      <c r="X197" s="390">
        <f t="shared" si="185"/>
        <v>0</v>
      </c>
      <c r="Y197" s="390">
        <f t="shared" si="185"/>
        <v>9211</v>
      </c>
      <c r="Z197" s="390">
        <f t="shared" si="185"/>
        <v>26300</v>
      </c>
      <c r="AA197" s="390">
        <f t="shared" si="185"/>
        <v>35087</v>
      </c>
      <c r="AB197" s="390">
        <f t="shared" si="185"/>
        <v>12311</v>
      </c>
      <c r="AC197" s="390">
        <f t="shared" ref="AC197:AC210" si="186">SUM(Q197,R197,S197)</f>
        <v>84776</v>
      </c>
      <c r="AD197" s="390">
        <f t="shared" ref="AD197:AD210" si="187">SUM(T197,U197,V197)</f>
        <v>18604</v>
      </c>
      <c r="AE197" s="390">
        <f t="shared" ref="AE197:AE210" si="188">SUM(W197,X197,Y197)</f>
        <v>9463</v>
      </c>
      <c r="AF197" s="390">
        <f t="shared" ref="AF197:AF210" si="189">SUM(Z197,AA197,AB197)</f>
        <v>73698</v>
      </c>
      <c r="AG197" s="390">
        <f>AC197+AD197</f>
        <v>103380</v>
      </c>
      <c r="AH197" s="390">
        <f>AF197+AE197</f>
        <v>83161</v>
      </c>
      <c r="AI197" s="390">
        <f>AG197+AH197</f>
        <v>186541</v>
      </c>
    </row>
    <row r="198" spans="1:35" s="75" customFormat="1">
      <c r="A198" s="990">
        <v>176</v>
      </c>
      <c r="B198" s="990">
        <v>1</v>
      </c>
      <c r="C198" s="990">
        <v>198</v>
      </c>
      <c r="D198" s="1121" t="s">
        <v>999</v>
      </c>
      <c r="E198" s="1243">
        <v>1</v>
      </c>
      <c r="F198" s="5"/>
      <c r="G198" s="5"/>
      <c r="H198" s="5"/>
      <c r="I198" s="30"/>
      <c r="J198" s="4"/>
      <c r="K198" s="5"/>
      <c r="L198" s="5"/>
      <c r="M198" s="5"/>
      <c r="N198" s="4" t="s">
        <v>55</v>
      </c>
      <c r="O198" s="4"/>
      <c r="P198" s="29"/>
      <c r="Q198" s="2039"/>
      <c r="R198" s="2039"/>
      <c r="S198" s="2039"/>
      <c r="T198" s="2039"/>
      <c r="U198" s="2039"/>
      <c r="V198" s="2039"/>
      <c r="W198" s="2039"/>
      <c r="X198" s="2039"/>
      <c r="Y198" s="2039"/>
      <c r="Z198" s="2039"/>
      <c r="AA198" s="2039">
        <v>-1647</v>
      </c>
      <c r="AB198" s="2039"/>
      <c r="AC198" s="135">
        <f t="shared" si="186"/>
        <v>0</v>
      </c>
      <c r="AD198" s="135">
        <f t="shared" si="187"/>
        <v>0</v>
      </c>
      <c r="AE198" s="135">
        <f t="shared" si="188"/>
        <v>0</v>
      </c>
      <c r="AF198" s="135">
        <f t="shared" si="189"/>
        <v>-1647</v>
      </c>
      <c r="AG198" s="135">
        <f t="shared" ref="AG198:AG210" si="190">AC198+AD198</f>
        <v>0</v>
      </c>
      <c r="AH198" s="135">
        <f t="shared" ref="AH198:AH210" si="191">AF198+AE198</f>
        <v>-1647</v>
      </c>
      <c r="AI198" s="135">
        <f t="shared" ref="AI198:AI210" si="192">AG198+AH198</f>
        <v>-1647</v>
      </c>
    </row>
    <row r="199" spans="1:35" s="75" customFormat="1">
      <c r="A199" s="990">
        <v>177</v>
      </c>
      <c r="B199" s="990">
        <v>1</v>
      </c>
      <c r="C199" s="990">
        <v>199</v>
      </c>
      <c r="D199" s="1121" t="s">
        <v>999</v>
      </c>
      <c r="E199" s="1243">
        <v>1</v>
      </c>
      <c r="F199" s="5"/>
      <c r="G199" s="5"/>
      <c r="H199" s="5"/>
      <c r="I199" s="30"/>
      <c r="J199" s="4"/>
      <c r="K199" s="5"/>
      <c r="L199" s="5"/>
      <c r="M199" s="5"/>
      <c r="N199" s="4" t="s">
        <v>1040</v>
      </c>
      <c r="O199" s="4"/>
      <c r="P199" s="29"/>
      <c r="Q199" s="2039"/>
      <c r="R199" s="2039">
        <v>9000</v>
      </c>
      <c r="S199" s="2039">
        <v>9250</v>
      </c>
      <c r="T199" s="2039">
        <v>9252</v>
      </c>
      <c r="U199" s="2039"/>
      <c r="V199" s="2039"/>
      <c r="W199" s="2039"/>
      <c r="X199" s="2039"/>
      <c r="Y199" s="2039">
        <v>411</v>
      </c>
      <c r="Z199" s="2039"/>
      <c r="AA199" s="2039">
        <v>11812</v>
      </c>
      <c r="AB199" s="2039">
        <v>2709</v>
      </c>
      <c r="AC199" s="135">
        <f t="shared" si="186"/>
        <v>18250</v>
      </c>
      <c r="AD199" s="135">
        <f t="shared" si="187"/>
        <v>9252</v>
      </c>
      <c r="AE199" s="135">
        <f t="shared" si="188"/>
        <v>411</v>
      </c>
      <c r="AF199" s="135">
        <f t="shared" si="189"/>
        <v>14521</v>
      </c>
      <c r="AG199" s="135">
        <f t="shared" si="190"/>
        <v>27502</v>
      </c>
      <c r="AH199" s="135">
        <f t="shared" si="191"/>
        <v>14932</v>
      </c>
      <c r="AI199" s="135">
        <f t="shared" si="192"/>
        <v>42434</v>
      </c>
    </row>
    <row r="200" spans="1:35" s="75" customFormat="1">
      <c r="A200" s="990">
        <v>178</v>
      </c>
      <c r="B200" s="990">
        <v>1</v>
      </c>
      <c r="C200" s="990">
        <v>200</v>
      </c>
      <c r="D200" s="1121" t="s">
        <v>999</v>
      </c>
      <c r="E200" s="1243">
        <v>1</v>
      </c>
      <c r="F200" s="5"/>
      <c r="G200" s="5"/>
      <c r="H200" s="5"/>
      <c r="I200" s="30"/>
      <c r="J200" s="4"/>
      <c r="K200" s="5"/>
      <c r="L200" s="5"/>
      <c r="M200" s="5"/>
      <c r="N200" s="4" t="s">
        <v>1041</v>
      </c>
      <c r="O200" s="4"/>
      <c r="P200" s="29"/>
      <c r="Q200" s="2039">
        <v>9500</v>
      </c>
      <c r="R200" s="2039">
        <v>16300</v>
      </c>
      <c r="S200" s="2039">
        <v>40726</v>
      </c>
      <c r="T200" s="2039"/>
      <c r="U200" s="2039"/>
      <c r="V200" s="2039">
        <v>9352</v>
      </c>
      <c r="W200" s="2039">
        <v>252</v>
      </c>
      <c r="X200" s="2039"/>
      <c r="Y200" s="2039">
        <v>8800</v>
      </c>
      <c r="Z200" s="2039">
        <v>26300</v>
      </c>
      <c r="AA200" s="2039">
        <v>24922</v>
      </c>
      <c r="AB200" s="2039">
        <v>9602</v>
      </c>
      <c r="AC200" s="135">
        <f t="shared" si="186"/>
        <v>66526</v>
      </c>
      <c r="AD200" s="135">
        <f t="shared" si="187"/>
        <v>9352</v>
      </c>
      <c r="AE200" s="135">
        <f t="shared" si="188"/>
        <v>9052</v>
      </c>
      <c r="AF200" s="135">
        <f t="shared" si="189"/>
        <v>60824</v>
      </c>
      <c r="AG200" s="135">
        <f t="shared" si="190"/>
        <v>75878</v>
      </c>
      <c r="AH200" s="135">
        <f t="shared" si="191"/>
        <v>69876</v>
      </c>
      <c r="AI200" s="135">
        <f t="shared" si="192"/>
        <v>145754</v>
      </c>
    </row>
    <row r="201" spans="1:35" s="75" customFormat="1">
      <c r="A201" s="990">
        <v>179</v>
      </c>
      <c r="B201" s="990">
        <v>1</v>
      </c>
      <c r="C201" s="990">
        <v>201</v>
      </c>
      <c r="D201" s="1121" t="s">
        <v>999</v>
      </c>
      <c r="E201" s="1243">
        <v>1</v>
      </c>
      <c r="F201" s="5"/>
      <c r="G201" s="5"/>
      <c r="H201" s="5"/>
      <c r="I201" s="30"/>
      <c r="J201" s="4"/>
      <c r="K201" s="5"/>
      <c r="L201" s="5"/>
      <c r="M201" s="5"/>
      <c r="N201" s="4" t="s">
        <v>1042</v>
      </c>
      <c r="O201" s="4"/>
      <c r="P201" s="29"/>
      <c r="Q201" s="2039"/>
      <c r="R201" s="2039"/>
      <c r="S201" s="2039"/>
      <c r="T201" s="2039"/>
      <c r="U201" s="2039"/>
      <c r="V201" s="2039"/>
      <c r="W201" s="2039"/>
      <c r="X201" s="2039"/>
      <c r="Y201" s="2039"/>
      <c r="Z201" s="2039"/>
      <c r="AA201" s="2039"/>
      <c r="AB201" s="2039"/>
      <c r="AC201" s="135">
        <f t="shared" si="186"/>
        <v>0</v>
      </c>
      <c r="AD201" s="135">
        <f t="shared" si="187"/>
        <v>0</v>
      </c>
      <c r="AE201" s="135">
        <f t="shared" si="188"/>
        <v>0</v>
      </c>
      <c r="AF201" s="135">
        <f t="shared" si="189"/>
        <v>0</v>
      </c>
      <c r="AG201" s="135">
        <f t="shared" si="190"/>
        <v>0</v>
      </c>
      <c r="AH201" s="135">
        <f t="shared" si="191"/>
        <v>0</v>
      </c>
      <c r="AI201" s="135">
        <f t="shared" si="192"/>
        <v>0</v>
      </c>
    </row>
    <row r="202" spans="1:35" s="75" customFormat="1">
      <c r="A202" s="990">
        <v>180</v>
      </c>
      <c r="B202" s="990">
        <v>1</v>
      </c>
      <c r="C202" s="990">
        <v>202</v>
      </c>
      <c r="D202" s="1121" t="s">
        <v>999</v>
      </c>
      <c r="E202" s="1243">
        <v>1</v>
      </c>
      <c r="F202" s="5"/>
      <c r="G202" s="5"/>
      <c r="H202" s="5"/>
      <c r="I202" s="30"/>
      <c r="J202" s="4"/>
      <c r="K202" s="5"/>
      <c r="L202" s="5"/>
      <c r="M202" s="5"/>
      <c r="N202" s="4" t="s">
        <v>852</v>
      </c>
      <c r="O202" s="4"/>
      <c r="P202" s="29"/>
      <c r="Q202" s="2039"/>
      <c r="R202" s="2039"/>
      <c r="S202" s="2039"/>
      <c r="T202" s="2039"/>
      <c r="U202" s="2039"/>
      <c r="V202" s="2039"/>
      <c r="W202" s="2039"/>
      <c r="X202" s="2039"/>
      <c r="Y202" s="2039"/>
      <c r="Z202" s="2039"/>
      <c r="AA202" s="2039"/>
      <c r="AB202" s="2039"/>
      <c r="AC202" s="135">
        <f t="shared" si="186"/>
        <v>0</v>
      </c>
      <c r="AD202" s="135">
        <f t="shared" si="187"/>
        <v>0</v>
      </c>
      <c r="AE202" s="135">
        <f t="shared" si="188"/>
        <v>0</v>
      </c>
      <c r="AF202" s="135">
        <f t="shared" si="189"/>
        <v>0</v>
      </c>
      <c r="AG202" s="135">
        <f t="shared" si="190"/>
        <v>0</v>
      </c>
      <c r="AH202" s="135">
        <f t="shared" si="191"/>
        <v>0</v>
      </c>
      <c r="AI202" s="135">
        <f t="shared" si="192"/>
        <v>0</v>
      </c>
    </row>
    <row r="203" spans="1:35" s="75" customFormat="1">
      <c r="A203" s="990">
        <v>181</v>
      </c>
      <c r="B203" s="990">
        <v>1</v>
      </c>
      <c r="C203" s="990">
        <v>203</v>
      </c>
      <c r="D203" s="1121" t="s">
        <v>999</v>
      </c>
      <c r="E203" s="1243">
        <v>1</v>
      </c>
      <c r="F203" s="5"/>
      <c r="G203" s="5"/>
      <c r="H203" s="5"/>
      <c r="I203" s="30"/>
      <c r="J203" s="4"/>
      <c r="K203" s="5"/>
      <c r="L203" s="5"/>
      <c r="M203" s="51"/>
      <c r="N203" s="51" t="s">
        <v>11</v>
      </c>
      <c r="O203" s="51"/>
      <c r="P203" s="50"/>
      <c r="Q203" s="2043"/>
      <c r="R203" s="2043"/>
      <c r="S203" s="2043"/>
      <c r="T203" s="2043"/>
      <c r="U203" s="2043"/>
      <c r="V203" s="2043"/>
      <c r="W203" s="2043"/>
      <c r="X203" s="2043"/>
      <c r="Y203" s="2043"/>
      <c r="Z203" s="2043"/>
      <c r="AA203" s="2043"/>
      <c r="AB203" s="2043"/>
      <c r="AC203" s="284">
        <f t="shared" si="186"/>
        <v>0</v>
      </c>
      <c r="AD203" s="284">
        <f t="shared" si="187"/>
        <v>0</v>
      </c>
      <c r="AE203" s="284">
        <f t="shared" si="188"/>
        <v>0</v>
      </c>
      <c r="AF203" s="284">
        <f t="shared" si="189"/>
        <v>0</v>
      </c>
      <c r="AG203" s="284">
        <f t="shared" si="190"/>
        <v>0</v>
      </c>
      <c r="AH203" s="284">
        <f t="shared" si="191"/>
        <v>0</v>
      </c>
      <c r="AI203" s="284">
        <f t="shared" si="192"/>
        <v>0</v>
      </c>
    </row>
    <row r="204" spans="1:35" s="75" customFormat="1">
      <c r="A204" s="990">
        <v>182</v>
      </c>
      <c r="B204" s="990">
        <v>1</v>
      </c>
      <c r="C204" s="990">
        <v>204</v>
      </c>
      <c r="D204" s="1121" t="s">
        <v>999</v>
      </c>
      <c r="E204" s="1243">
        <v>1</v>
      </c>
      <c r="F204" s="5"/>
      <c r="G204" s="5"/>
      <c r="H204" s="5"/>
      <c r="I204" s="30"/>
      <c r="J204" s="4"/>
      <c r="K204" s="5"/>
      <c r="L204" s="5"/>
      <c r="M204" s="387" t="s">
        <v>95</v>
      </c>
      <c r="N204" s="387"/>
      <c r="O204" s="387"/>
      <c r="P204" s="1178"/>
      <c r="Q204" s="388">
        <f>SUM(Q205:Q210)</f>
        <v>3395</v>
      </c>
      <c r="R204" s="388">
        <f t="shared" ref="R204:AB204" si="193">SUM(R205:R210)</f>
        <v>1637</v>
      </c>
      <c r="S204" s="388">
        <f t="shared" si="193"/>
        <v>1870</v>
      </c>
      <c r="T204" s="388">
        <f t="shared" si="193"/>
        <v>4627</v>
      </c>
      <c r="U204" s="388">
        <f t="shared" si="193"/>
        <v>3983</v>
      </c>
      <c r="V204" s="388">
        <f t="shared" si="193"/>
        <v>4135</v>
      </c>
      <c r="W204" s="388">
        <f t="shared" si="193"/>
        <v>4658</v>
      </c>
      <c r="X204" s="388">
        <f t="shared" si="193"/>
        <v>4900</v>
      </c>
      <c r="Y204" s="388">
        <f t="shared" si="193"/>
        <v>6383</v>
      </c>
      <c r="Z204" s="388">
        <f t="shared" si="193"/>
        <v>5884</v>
      </c>
      <c r="AA204" s="388">
        <f t="shared" si="193"/>
        <v>6892</v>
      </c>
      <c r="AB204" s="388">
        <f t="shared" si="193"/>
        <v>5148</v>
      </c>
      <c r="AC204" s="388">
        <f t="shared" si="186"/>
        <v>6902</v>
      </c>
      <c r="AD204" s="388">
        <f t="shared" si="187"/>
        <v>12745</v>
      </c>
      <c r="AE204" s="388">
        <f t="shared" si="188"/>
        <v>15941</v>
      </c>
      <c r="AF204" s="388">
        <f t="shared" si="189"/>
        <v>17924</v>
      </c>
      <c r="AG204" s="388">
        <f t="shared" si="190"/>
        <v>19647</v>
      </c>
      <c r="AH204" s="388">
        <f t="shared" si="191"/>
        <v>33865</v>
      </c>
      <c r="AI204" s="388">
        <f t="shared" si="192"/>
        <v>53512</v>
      </c>
    </row>
    <row r="205" spans="1:35" s="75" customFormat="1">
      <c r="A205" s="990">
        <v>183</v>
      </c>
      <c r="B205" s="990">
        <v>1</v>
      </c>
      <c r="C205" s="990">
        <v>205</v>
      </c>
      <c r="D205" s="1121" t="s">
        <v>999</v>
      </c>
      <c r="E205" s="1243">
        <v>1</v>
      </c>
      <c r="F205" s="5"/>
      <c r="G205" s="5"/>
      <c r="H205" s="5"/>
      <c r="I205" s="30"/>
      <c r="J205" s="4"/>
      <c r="K205" s="5"/>
      <c r="L205" s="5"/>
      <c r="M205" s="5"/>
      <c r="N205" s="4" t="s">
        <v>55</v>
      </c>
      <c r="O205" s="4"/>
      <c r="P205" s="29"/>
      <c r="Q205" s="2039"/>
      <c r="R205" s="2039"/>
      <c r="S205" s="2039"/>
      <c r="T205" s="2039">
        <v>349</v>
      </c>
      <c r="U205" s="2039"/>
      <c r="V205" s="2039"/>
      <c r="W205" s="2039"/>
      <c r="X205" s="2039">
        <v>589</v>
      </c>
      <c r="Y205" s="2039">
        <v>847</v>
      </c>
      <c r="Z205" s="2039">
        <v>699</v>
      </c>
      <c r="AA205" s="2039">
        <v>1362</v>
      </c>
      <c r="AB205" s="2039">
        <v>522</v>
      </c>
      <c r="AC205" s="135">
        <f t="shared" si="186"/>
        <v>0</v>
      </c>
      <c r="AD205" s="135">
        <f t="shared" si="187"/>
        <v>349</v>
      </c>
      <c r="AE205" s="135">
        <f t="shared" si="188"/>
        <v>1436</v>
      </c>
      <c r="AF205" s="135">
        <f t="shared" si="189"/>
        <v>2583</v>
      </c>
      <c r="AG205" s="135">
        <f t="shared" si="190"/>
        <v>349</v>
      </c>
      <c r="AH205" s="135">
        <f t="shared" si="191"/>
        <v>4019</v>
      </c>
      <c r="AI205" s="135">
        <f t="shared" si="192"/>
        <v>4368</v>
      </c>
    </row>
    <row r="206" spans="1:35" s="75" customFormat="1">
      <c r="A206" s="990">
        <v>184</v>
      </c>
      <c r="B206" s="990">
        <v>1</v>
      </c>
      <c r="C206" s="990">
        <v>206</v>
      </c>
      <c r="D206" s="1121" t="s">
        <v>999</v>
      </c>
      <c r="E206" s="1243">
        <v>1</v>
      </c>
      <c r="F206" s="5"/>
      <c r="G206" s="5"/>
      <c r="H206" s="5"/>
      <c r="I206" s="30"/>
      <c r="J206" s="4"/>
      <c r="K206" s="5"/>
      <c r="L206" s="5"/>
      <c r="M206" s="5"/>
      <c r="N206" s="4" t="s">
        <v>1040</v>
      </c>
      <c r="O206" s="4"/>
      <c r="P206" s="29"/>
      <c r="Q206" s="2039">
        <v>1690</v>
      </c>
      <c r="R206" s="2039">
        <v>1186</v>
      </c>
      <c r="S206" s="2039">
        <v>1379</v>
      </c>
      <c r="T206" s="2039">
        <v>2130</v>
      </c>
      <c r="U206" s="2039">
        <v>1694</v>
      </c>
      <c r="V206" s="2039">
        <v>1851</v>
      </c>
      <c r="W206" s="2039">
        <v>1386</v>
      </c>
      <c r="X206" s="2039">
        <v>1779</v>
      </c>
      <c r="Y206" s="2039">
        <v>2570</v>
      </c>
      <c r="Z206" s="2039">
        <v>2859</v>
      </c>
      <c r="AA206" s="2039">
        <v>2396</v>
      </c>
      <c r="AB206" s="2039">
        <v>2293</v>
      </c>
      <c r="AC206" s="135">
        <f t="shared" si="186"/>
        <v>4255</v>
      </c>
      <c r="AD206" s="135">
        <f t="shared" si="187"/>
        <v>5675</v>
      </c>
      <c r="AE206" s="135">
        <f t="shared" si="188"/>
        <v>5735</v>
      </c>
      <c r="AF206" s="135">
        <f t="shared" si="189"/>
        <v>7548</v>
      </c>
      <c r="AG206" s="135">
        <f t="shared" si="190"/>
        <v>9930</v>
      </c>
      <c r="AH206" s="135">
        <f t="shared" si="191"/>
        <v>13283</v>
      </c>
      <c r="AI206" s="135">
        <f t="shared" si="192"/>
        <v>23213</v>
      </c>
    </row>
    <row r="207" spans="1:35" s="75" customFormat="1">
      <c r="A207" s="990">
        <v>185</v>
      </c>
      <c r="B207" s="990">
        <v>1</v>
      </c>
      <c r="C207" s="990">
        <v>207</v>
      </c>
      <c r="D207" s="1121" t="s">
        <v>999</v>
      </c>
      <c r="E207" s="1243">
        <v>1</v>
      </c>
      <c r="F207" s="5"/>
      <c r="G207" s="5"/>
      <c r="H207" s="5"/>
      <c r="I207" s="30"/>
      <c r="J207" s="4"/>
      <c r="K207" s="5"/>
      <c r="L207" s="5"/>
      <c r="M207" s="5"/>
      <c r="N207" s="4" t="s">
        <v>1041</v>
      </c>
      <c r="O207" s="4"/>
      <c r="P207" s="1179"/>
      <c r="Q207" s="2039">
        <v>1705</v>
      </c>
      <c r="R207" s="2039">
        <v>451</v>
      </c>
      <c r="S207" s="2039">
        <v>491</v>
      </c>
      <c r="T207" s="2039">
        <v>2148</v>
      </c>
      <c r="U207" s="2039">
        <v>2289</v>
      </c>
      <c r="V207" s="2039">
        <v>2284</v>
      </c>
      <c r="W207" s="2039">
        <v>3272</v>
      </c>
      <c r="X207" s="2039">
        <v>2532</v>
      </c>
      <c r="Y207" s="2039">
        <v>2966</v>
      </c>
      <c r="Z207" s="2039">
        <v>2326</v>
      </c>
      <c r="AA207" s="2039">
        <v>3134</v>
      </c>
      <c r="AB207" s="2039">
        <v>2333</v>
      </c>
      <c r="AC207" s="135">
        <f t="shared" si="186"/>
        <v>2647</v>
      </c>
      <c r="AD207" s="135">
        <f t="shared" si="187"/>
        <v>6721</v>
      </c>
      <c r="AE207" s="135">
        <f t="shared" si="188"/>
        <v>8770</v>
      </c>
      <c r="AF207" s="135">
        <f t="shared" si="189"/>
        <v>7793</v>
      </c>
      <c r="AG207" s="135">
        <f t="shared" si="190"/>
        <v>9368</v>
      </c>
      <c r="AH207" s="135">
        <f t="shared" si="191"/>
        <v>16563</v>
      </c>
      <c r="AI207" s="135">
        <f t="shared" si="192"/>
        <v>25931</v>
      </c>
    </row>
    <row r="208" spans="1:35" s="75" customFormat="1">
      <c r="A208" s="990">
        <v>186</v>
      </c>
      <c r="B208" s="990">
        <v>1</v>
      </c>
      <c r="C208" s="990">
        <v>208</v>
      </c>
      <c r="D208" s="1121" t="s">
        <v>999</v>
      </c>
      <c r="E208" s="1243">
        <v>1</v>
      </c>
      <c r="F208" s="5"/>
      <c r="G208" s="5"/>
      <c r="H208" s="5"/>
      <c r="I208" s="30"/>
      <c r="J208" s="4"/>
      <c r="K208" s="5"/>
      <c r="L208" s="5"/>
      <c r="M208" s="5"/>
      <c r="N208" s="4" t="s">
        <v>1042</v>
      </c>
      <c r="O208" s="4"/>
      <c r="P208" s="29"/>
      <c r="Q208" s="2039"/>
      <c r="R208" s="2039"/>
      <c r="S208" s="2039"/>
      <c r="T208" s="2039"/>
      <c r="U208" s="2039"/>
      <c r="V208" s="2039"/>
      <c r="W208" s="2039"/>
      <c r="X208" s="2039"/>
      <c r="Y208" s="2039"/>
      <c r="Z208" s="2039"/>
      <c r="AA208" s="2039"/>
      <c r="AB208" s="2039"/>
      <c r="AC208" s="135">
        <f t="shared" si="186"/>
        <v>0</v>
      </c>
      <c r="AD208" s="135">
        <f t="shared" si="187"/>
        <v>0</v>
      </c>
      <c r="AE208" s="135">
        <f t="shared" si="188"/>
        <v>0</v>
      </c>
      <c r="AF208" s="135">
        <f t="shared" si="189"/>
        <v>0</v>
      </c>
      <c r="AG208" s="135">
        <f t="shared" si="190"/>
        <v>0</v>
      </c>
      <c r="AH208" s="135">
        <f t="shared" si="191"/>
        <v>0</v>
      </c>
      <c r="AI208" s="135">
        <f t="shared" si="192"/>
        <v>0</v>
      </c>
    </row>
    <row r="209" spans="1:35" s="75" customFormat="1">
      <c r="A209" s="990">
        <v>187</v>
      </c>
      <c r="B209" s="990">
        <v>1</v>
      </c>
      <c r="C209" s="990">
        <v>209</v>
      </c>
      <c r="D209" s="1121" t="s">
        <v>999</v>
      </c>
      <c r="E209" s="1243">
        <v>1</v>
      </c>
      <c r="F209" s="5"/>
      <c r="G209" s="5"/>
      <c r="H209" s="5"/>
      <c r="I209" s="30"/>
      <c r="J209" s="4"/>
      <c r="K209" s="5"/>
      <c r="L209" s="5"/>
      <c r="M209" s="5"/>
      <c r="N209" s="4" t="s">
        <v>852</v>
      </c>
      <c r="O209" s="4"/>
      <c r="P209" s="29"/>
      <c r="Q209" s="2039"/>
      <c r="R209" s="2039"/>
      <c r="S209" s="2039"/>
      <c r="T209" s="2039"/>
      <c r="U209" s="2039"/>
      <c r="V209" s="2039"/>
      <c r="W209" s="2039"/>
      <c r="X209" s="2039"/>
      <c r="Y209" s="2039"/>
      <c r="Z209" s="2039"/>
      <c r="AA209" s="2039"/>
      <c r="AB209" s="2039"/>
      <c r="AC209" s="135">
        <f t="shared" si="186"/>
        <v>0</v>
      </c>
      <c r="AD209" s="135">
        <f t="shared" si="187"/>
        <v>0</v>
      </c>
      <c r="AE209" s="135">
        <f t="shared" si="188"/>
        <v>0</v>
      </c>
      <c r="AF209" s="135">
        <f t="shared" si="189"/>
        <v>0</v>
      </c>
      <c r="AG209" s="135">
        <f t="shared" si="190"/>
        <v>0</v>
      </c>
      <c r="AH209" s="135">
        <f t="shared" si="191"/>
        <v>0</v>
      </c>
      <c r="AI209" s="135">
        <f t="shared" si="192"/>
        <v>0</v>
      </c>
    </row>
    <row r="210" spans="1:35" s="75" customFormat="1">
      <c r="A210" s="990">
        <v>188</v>
      </c>
      <c r="B210" s="990">
        <v>1</v>
      </c>
      <c r="C210" s="990">
        <v>210</v>
      </c>
      <c r="D210" s="1121" t="s">
        <v>999</v>
      </c>
      <c r="E210" s="1243">
        <v>1</v>
      </c>
      <c r="F210" s="5"/>
      <c r="G210" s="5"/>
      <c r="H210" s="5"/>
      <c r="I210" s="28"/>
      <c r="J210" s="2"/>
      <c r="K210" s="3"/>
      <c r="L210" s="3"/>
      <c r="M210" s="3"/>
      <c r="N210" s="2" t="s">
        <v>11</v>
      </c>
      <c r="O210" s="2"/>
      <c r="P210" s="27"/>
      <c r="Q210" s="2043"/>
      <c r="R210" s="2043"/>
      <c r="S210" s="2043"/>
      <c r="T210" s="2043"/>
      <c r="U210" s="2043"/>
      <c r="V210" s="2043"/>
      <c r="W210" s="2043"/>
      <c r="X210" s="2043"/>
      <c r="Y210" s="2043"/>
      <c r="Z210" s="2043"/>
      <c r="AA210" s="2043"/>
      <c r="AB210" s="2043"/>
      <c r="AC210" s="285">
        <f t="shared" si="186"/>
        <v>0</v>
      </c>
      <c r="AD210" s="285">
        <f t="shared" si="187"/>
        <v>0</v>
      </c>
      <c r="AE210" s="285">
        <f t="shared" si="188"/>
        <v>0</v>
      </c>
      <c r="AF210" s="285">
        <f t="shared" si="189"/>
        <v>0</v>
      </c>
      <c r="AG210" s="285">
        <f t="shared" si="190"/>
        <v>0</v>
      </c>
      <c r="AH210" s="285">
        <f t="shared" si="191"/>
        <v>0</v>
      </c>
      <c r="AI210" s="285">
        <f t="shared" si="192"/>
        <v>0</v>
      </c>
    </row>
    <row r="211" spans="1:35">
      <c r="A211" s="990">
        <v>189</v>
      </c>
      <c r="B211" s="990">
        <v>1</v>
      </c>
      <c r="C211" s="990">
        <v>211</v>
      </c>
      <c r="D211" s="1121" t="s">
        <v>999</v>
      </c>
      <c r="E211" s="1243">
        <v>1</v>
      </c>
      <c r="F211" s="5"/>
      <c r="G211" s="5"/>
      <c r="H211" s="5"/>
      <c r="I211" s="458" t="s">
        <v>134</v>
      </c>
      <c r="J211" s="604"/>
      <c r="K211" s="788"/>
      <c r="L211" s="788"/>
      <c r="M211" s="604"/>
      <c r="N211" s="604"/>
      <c r="O211" s="604"/>
      <c r="P211" s="1176"/>
      <c r="Q211" s="455">
        <f>Q227+Q234</f>
        <v>3475</v>
      </c>
      <c r="R211" s="455">
        <f t="shared" ref="R211:AI211" si="194">R227+R234</f>
        <v>3894</v>
      </c>
      <c r="S211" s="455">
        <f t="shared" si="194"/>
        <v>12475</v>
      </c>
      <c r="T211" s="455">
        <f t="shared" si="194"/>
        <v>-584</v>
      </c>
      <c r="U211" s="455">
        <f t="shared" si="194"/>
        <v>741</v>
      </c>
      <c r="V211" s="455">
        <f t="shared" si="194"/>
        <v>-273</v>
      </c>
      <c r="W211" s="455">
        <f t="shared" si="194"/>
        <v>-1099</v>
      </c>
      <c r="X211" s="455">
        <f t="shared" si="194"/>
        <v>1503</v>
      </c>
      <c r="Y211" s="455">
        <f t="shared" si="194"/>
        <v>-12979</v>
      </c>
      <c r="Z211" s="455">
        <f t="shared" si="194"/>
        <v>14505</v>
      </c>
      <c r="AA211" s="455">
        <f t="shared" si="194"/>
        <v>10381</v>
      </c>
      <c r="AB211" s="455">
        <f t="shared" si="194"/>
        <v>1804</v>
      </c>
      <c r="AC211" s="455">
        <f t="shared" si="194"/>
        <v>19844</v>
      </c>
      <c r="AD211" s="455">
        <f t="shared" si="194"/>
        <v>-116</v>
      </c>
      <c r="AE211" s="455">
        <f t="shared" si="194"/>
        <v>-12575</v>
      </c>
      <c r="AF211" s="455">
        <f t="shared" si="194"/>
        <v>26690</v>
      </c>
      <c r="AG211" s="455">
        <f t="shared" si="194"/>
        <v>19728</v>
      </c>
      <c r="AH211" s="455">
        <f t="shared" si="194"/>
        <v>14115</v>
      </c>
      <c r="AI211" s="455">
        <f t="shared" si="194"/>
        <v>33843</v>
      </c>
    </row>
    <row r="212" spans="1:35" s="619" customFormat="1" ht="14.5">
      <c r="A212" s="990">
        <v>190</v>
      </c>
      <c r="B212" s="990">
        <v>1</v>
      </c>
      <c r="C212" s="990">
        <v>212</v>
      </c>
      <c r="D212" s="1121" t="s">
        <v>999</v>
      </c>
      <c r="E212" s="1243">
        <v>1</v>
      </c>
      <c r="F212" s="5"/>
      <c r="G212" s="5"/>
      <c r="H212" s="616"/>
      <c r="I212" s="617"/>
      <c r="J212" s="618" t="s">
        <v>135</v>
      </c>
      <c r="K212" s="616"/>
      <c r="L212" s="616"/>
      <c r="M212" s="616"/>
      <c r="N212" s="616"/>
      <c r="O212" s="587" t="s">
        <v>1027</v>
      </c>
      <c r="P212" s="1167"/>
      <c r="Q212" s="622">
        <f>IFERROR(Q211/Q181,0)</f>
        <v>0.26948429623885228</v>
      </c>
      <c r="R212" s="622">
        <f t="shared" ref="R212:AI212" si="195">IFERROR(R211/R181,0)</f>
        <v>0.14455952778705869</v>
      </c>
      <c r="S212" s="622">
        <f t="shared" si="195"/>
        <v>0.24061644099834123</v>
      </c>
      <c r="T212" s="622">
        <f t="shared" si="195"/>
        <v>-4.2077959507169103E-2</v>
      </c>
      <c r="U212" s="622">
        <f t="shared" si="195"/>
        <v>0.18604067285965353</v>
      </c>
      <c r="V212" s="622">
        <f t="shared" si="195"/>
        <v>-2.0241714243345445E-2</v>
      </c>
      <c r="W212" s="622">
        <f t="shared" si="195"/>
        <v>-0.22382892057026477</v>
      </c>
      <c r="X212" s="622">
        <f t="shared" si="195"/>
        <v>0.30673469387755103</v>
      </c>
      <c r="Y212" s="622">
        <f t="shared" si="195"/>
        <v>-0.83230729767859435</v>
      </c>
      <c r="Z212" s="622">
        <f t="shared" si="195"/>
        <v>0.45068978374347501</v>
      </c>
      <c r="AA212" s="622">
        <f t="shared" si="195"/>
        <v>0.24729031182257796</v>
      </c>
      <c r="AB212" s="622">
        <f t="shared" si="195"/>
        <v>0.10332779655192165</v>
      </c>
      <c r="AC212" s="622">
        <f t="shared" si="195"/>
        <v>0.21645323850869347</v>
      </c>
      <c r="AD212" s="622">
        <f t="shared" si="195"/>
        <v>-3.7002775208140612E-3</v>
      </c>
      <c r="AE212" s="622">
        <f t="shared" si="195"/>
        <v>-0.49500078727759406</v>
      </c>
      <c r="AF212" s="622">
        <f t="shared" si="195"/>
        <v>0.29130558162886644</v>
      </c>
      <c r="AG212" s="622">
        <f t="shared" si="195"/>
        <v>0.16035504401472847</v>
      </c>
      <c r="AH212" s="622">
        <f t="shared" si="195"/>
        <v>0.12061422248047443</v>
      </c>
      <c r="AI212" s="622">
        <f t="shared" si="195"/>
        <v>0.14098136661487254</v>
      </c>
    </row>
    <row r="213" spans="1:35" s="627" customFormat="1" ht="14.5" hidden="1" outlineLevel="1">
      <c r="A213" s="990">
        <v>191</v>
      </c>
      <c r="B213" s="990">
        <v>1</v>
      </c>
      <c r="C213" s="990">
        <v>213</v>
      </c>
      <c r="D213" s="1121" t="s">
        <v>999</v>
      </c>
      <c r="E213" s="1243">
        <v>1</v>
      </c>
      <c r="F213" s="5"/>
      <c r="G213" s="5"/>
      <c r="H213" s="624"/>
      <c r="I213" s="625"/>
      <c r="J213" s="618"/>
      <c r="K213" s="624"/>
      <c r="L213" s="624"/>
      <c r="M213" s="626" t="s">
        <v>1043</v>
      </c>
      <c r="N213" s="626"/>
      <c r="O213" s="626"/>
      <c r="P213" s="1180"/>
      <c r="Q213" s="632">
        <f>IFERROR(Q227/Q182,0)</f>
        <v>0.38</v>
      </c>
      <c r="R213" s="632">
        <f t="shared" ref="R213:AI213" si="196">IFERROR(R227/R182,0)</f>
        <v>0.19735177865612649</v>
      </c>
      <c r="S213" s="632">
        <f t="shared" si="196"/>
        <v>0.2485993276772851</v>
      </c>
      <c r="T213" s="632">
        <f t="shared" si="196"/>
        <v>2.4859489840034586E-3</v>
      </c>
      <c r="U213" s="632">
        <f t="shared" si="196"/>
        <v>0</v>
      </c>
      <c r="V213" s="632">
        <f t="shared" si="196"/>
        <v>1.9247219846022241E-3</v>
      </c>
      <c r="W213" s="632">
        <f t="shared" si="196"/>
        <v>5.5555555555555552E-2</v>
      </c>
      <c r="X213" s="632">
        <f t="shared" si="196"/>
        <v>0</v>
      </c>
      <c r="Y213" s="632">
        <f t="shared" si="196"/>
        <v>-1.5519487569210726</v>
      </c>
      <c r="Z213" s="632">
        <f t="shared" si="196"/>
        <v>0.48247148288973385</v>
      </c>
      <c r="AA213" s="632">
        <f t="shared" si="196"/>
        <v>0.27839370707099498</v>
      </c>
      <c r="AB213" s="632">
        <f t="shared" si="196"/>
        <v>0.14076841848753147</v>
      </c>
      <c r="AC213" s="632">
        <f t="shared" si="196"/>
        <v>0.2480301028592998</v>
      </c>
      <c r="AD213" s="632">
        <f t="shared" si="196"/>
        <v>-1.0589120619221673E-2</v>
      </c>
      <c r="AE213" s="632">
        <f t="shared" si="196"/>
        <v>-1.5341857761809152</v>
      </c>
      <c r="AF213" s="632">
        <f t="shared" si="196"/>
        <v>0.32823143097506036</v>
      </c>
      <c r="AG213" s="632">
        <f t="shared" si="196"/>
        <v>0.20148964983555814</v>
      </c>
      <c r="AH213" s="632">
        <f t="shared" si="196"/>
        <v>0.11630451774269189</v>
      </c>
      <c r="AI213" s="632">
        <f t="shared" si="196"/>
        <v>0.16351365115443789</v>
      </c>
    </row>
    <row r="214" spans="1:35" s="627" customFormat="1" ht="14.5" hidden="1" outlineLevel="1">
      <c r="A214" s="990">
        <v>192</v>
      </c>
      <c r="B214" s="990">
        <v>1</v>
      </c>
      <c r="C214" s="990">
        <v>214</v>
      </c>
      <c r="D214" s="1121" t="s">
        <v>999</v>
      </c>
      <c r="E214" s="1243">
        <v>1</v>
      </c>
      <c r="F214" s="5"/>
      <c r="G214" s="5"/>
      <c r="H214" s="624"/>
      <c r="I214" s="625"/>
      <c r="J214" s="618"/>
      <c r="K214" s="624"/>
      <c r="L214" s="624"/>
      <c r="M214" s="624"/>
      <c r="N214" s="618" t="s">
        <v>1044</v>
      </c>
      <c r="O214" s="618"/>
      <c r="P214" s="1181"/>
      <c r="Q214" s="623">
        <f t="shared" ref="Q214:AI226" si="197">IFERROR(Q228/Q183,0)</f>
        <v>0</v>
      </c>
      <c r="R214" s="623">
        <f t="shared" si="197"/>
        <v>0</v>
      </c>
      <c r="S214" s="623">
        <f t="shared" si="197"/>
        <v>0</v>
      </c>
      <c r="T214" s="623">
        <f t="shared" si="197"/>
        <v>0</v>
      </c>
      <c r="U214" s="623">
        <f t="shared" si="197"/>
        <v>0</v>
      </c>
      <c r="V214" s="623">
        <f t="shared" si="197"/>
        <v>0</v>
      </c>
      <c r="W214" s="623">
        <f t="shared" si="197"/>
        <v>0</v>
      </c>
      <c r="X214" s="623">
        <f t="shared" si="197"/>
        <v>0</v>
      </c>
      <c r="Y214" s="623">
        <f t="shared" si="197"/>
        <v>0</v>
      </c>
      <c r="Z214" s="623">
        <f t="shared" si="197"/>
        <v>0</v>
      </c>
      <c r="AA214" s="623">
        <f t="shared" si="197"/>
        <v>1.0783242258652095</v>
      </c>
      <c r="AB214" s="623">
        <f t="shared" si="197"/>
        <v>0</v>
      </c>
      <c r="AC214" s="623">
        <f t="shared" si="197"/>
        <v>0</v>
      </c>
      <c r="AD214" s="623">
        <f t="shared" si="197"/>
        <v>0</v>
      </c>
      <c r="AE214" s="623">
        <f t="shared" si="197"/>
        <v>0</v>
      </c>
      <c r="AF214" s="623">
        <f t="shared" si="197"/>
        <v>0.91621129326047357</v>
      </c>
      <c r="AG214" s="623">
        <f t="shared" si="197"/>
        <v>0</v>
      </c>
      <c r="AH214" s="623">
        <f t="shared" si="197"/>
        <v>0.91621129326047357</v>
      </c>
      <c r="AI214" s="623">
        <f t="shared" si="197"/>
        <v>0.99453551912568305</v>
      </c>
    </row>
    <row r="215" spans="1:35" s="627" customFormat="1" ht="14.5" hidden="1" outlineLevel="1">
      <c r="A215" s="990">
        <v>193</v>
      </c>
      <c r="B215" s="990">
        <v>1</v>
      </c>
      <c r="C215" s="990">
        <v>215</v>
      </c>
      <c r="D215" s="1121" t="s">
        <v>999</v>
      </c>
      <c r="E215" s="1243">
        <v>1</v>
      </c>
      <c r="F215" s="5"/>
      <c r="G215" s="5"/>
      <c r="H215" s="624"/>
      <c r="I215" s="625"/>
      <c r="J215" s="618"/>
      <c r="K215" s="624"/>
      <c r="L215" s="624"/>
      <c r="M215" s="624"/>
      <c r="N215" s="618" t="s">
        <v>1045</v>
      </c>
      <c r="O215" s="618"/>
      <c r="P215" s="1181"/>
      <c r="Q215" s="623">
        <f t="shared" si="197"/>
        <v>0</v>
      </c>
      <c r="R215" s="623">
        <f t="shared" si="197"/>
        <v>0.53800000000000003</v>
      </c>
      <c r="S215" s="623">
        <f t="shared" si="197"/>
        <v>0.57859459459459461</v>
      </c>
      <c r="T215" s="623">
        <f t="shared" si="197"/>
        <v>0</v>
      </c>
      <c r="U215" s="623">
        <f t="shared" si="197"/>
        <v>0</v>
      </c>
      <c r="V215" s="623">
        <f t="shared" si="197"/>
        <v>0</v>
      </c>
      <c r="W215" s="623">
        <f t="shared" si="197"/>
        <v>0</v>
      </c>
      <c r="X215" s="623">
        <f t="shared" si="197"/>
        <v>0</v>
      </c>
      <c r="Y215" s="623">
        <f t="shared" si="197"/>
        <v>0.22871046228710462</v>
      </c>
      <c r="Z215" s="623">
        <f t="shared" si="197"/>
        <v>0</v>
      </c>
      <c r="AA215" s="623">
        <f t="shared" si="197"/>
        <v>0.47104639349813748</v>
      </c>
      <c r="AB215" s="623">
        <f t="shared" si="197"/>
        <v>0.39018087855297157</v>
      </c>
      <c r="AC215" s="623">
        <f t="shared" si="197"/>
        <v>0.55857534246575347</v>
      </c>
      <c r="AD215" s="623">
        <f t="shared" si="197"/>
        <v>0</v>
      </c>
      <c r="AE215" s="623">
        <f t="shared" si="197"/>
        <v>0.22871046228710462</v>
      </c>
      <c r="AF215" s="623">
        <f t="shared" si="197"/>
        <v>0.45596033331037805</v>
      </c>
      <c r="AG215" s="623">
        <f t="shared" si="197"/>
        <v>0.55857534246575347</v>
      </c>
      <c r="AH215" s="623">
        <f t="shared" si="197"/>
        <v>0.4497053308331101</v>
      </c>
      <c r="AI215" s="623">
        <f t="shared" si="197"/>
        <v>0.50958350913145678</v>
      </c>
    </row>
    <row r="216" spans="1:35" s="627" customFormat="1" ht="14.5" hidden="1" outlineLevel="1">
      <c r="A216" s="990">
        <v>194</v>
      </c>
      <c r="B216" s="990">
        <v>1</v>
      </c>
      <c r="C216" s="990">
        <v>216</v>
      </c>
      <c r="D216" s="1121" t="s">
        <v>999</v>
      </c>
      <c r="E216" s="1243">
        <v>1</v>
      </c>
      <c r="F216" s="5"/>
      <c r="G216" s="5"/>
      <c r="H216" s="624"/>
      <c r="I216" s="625"/>
      <c r="J216" s="618"/>
      <c r="K216" s="624"/>
      <c r="L216" s="624"/>
      <c r="M216" s="624"/>
      <c r="N216" s="618" t="s">
        <v>1046</v>
      </c>
      <c r="O216" s="618"/>
      <c r="P216" s="1181"/>
      <c r="Q216" s="623">
        <f t="shared" si="197"/>
        <v>0.39357894736842103</v>
      </c>
      <c r="R216" s="623">
        <f t="shared" si="197"/>
        <v>9.263803680981595E-3</v>
      </c>
      <c r="S216" s="623">
        <f t="shared" si="197"/>
        <v>0.17364828365172125</v>
      </c>
      <c r="T216" s="623">
        <f t="shared" si="197"/>
        <v>2.4859489840034586E-3</v>
      </c>
      <c r="U216" s="623">
        <f t="shared" si="197"/>
        <v>0</v>
      </c>
      <c r="V216" s="623">
        <f t="shared" si="197"/>
        <v>1.9247219846022241E-3</v>
      </c>
      <c r="W216" s="623">
        <f t="shared" si="197"/>
        <v>5.5555555555555552E-2</v>
      </c>
      <c r="X216" s="623">
        <f t="shared" si="197"/>
        <v>0</v>
      </c>
      <c r="Y216" s="623">
        <f t="shared" si="197"/>
        <v>-1.6351136363636363</v>
      </c>
      <c r="Z216" s="623">
        <f t="shared" si="197"/>
        <v>0.48247148288973385</v>
      </c>
      <c r="AA216" s="623">
        <f t="shared" si="197"/>
        <v>0.23994863975603883</v>
      </c>
      <c r="AB216" s="623">
        <f t="shared" si="197"/>
        <v>4.2595292647365134E-2</v>
      </c>
      <c r="AC216" s="623">
        <f t="shared" si="197"/>
        <v>0.16477768090671316</v>
      </c>
      <c r="AD216" s="623">
        <f t="shared" si="197"/>
        <v>-1.0589120619221673E-2</v>
      </c>
      <c r="AE216" s="623">
        <f t="shared" si="197"/>
        <v>-1.6142288996906762</v>
      </c>
      <c r="AF216" s="623">
        <f t="shared" si="197"/>
        <v>0.31365908194133896</v>
      </c>
      <c r="AG216" s="623">
        <f t="shared" si="197"/>
        <v>0.12645365910959708</v>
      </c>
      <c r="AH216" s="623">
        <f t="shared" si="197"/>
        <v>6.3913217699925584E-2</v>
      </c>
      <c r="AI216" s="623">
        <f t="shared" si="197"/>
        <v>9.8260712488548826E-2</v>
      </c>
    </row>
    <row r="217" spans="1:35" s="627" customFormat="1" ht="14.5" hidden="1" outlineLevel="1">
      <c r="A217" s="990">
        <v>195</v>
      </c>
      <c r="B217" s="990">
        <v>1</v>
      </c>
      <c r="C217" s="990">
        <v>217</v>
      </c>
      <c r="D217" s="1121" t="s">
        <v>999</v>
      </c>
      <c r="E217" s="1243">
        <v>1</v>
      </c>
      <c r="F217" s="5"/>
      <c r="G217" s="5"/>
      <c r="H217" s="624"/>
      <c r="I217" s="625"/>
      <c r="J217" s="618"/>
      <c r="K217" s="624"/>
      <c r="L217" s="624"/>
      <c r="M217" s="624"/>
      <c r="N217" s="618" t="s">
        <v>1047</v>
      </c>
      <c r="O217" s="618"/>
      <c r="P217" s="1181"/>
      <c r="Q217" s="623">
        <f t="shared" si="197"/>
        <v>0</v>
      </c>
      <c r="R217" s="623">
        <f t="shared" si="197"/>
        <v>0</v>
      </c>
      <c r="S217" s="623">
        <f t="shared" si="197"/>
        <v>0</v>
      </c>
      <c r="T217" s="623">
        <f t="shared" si="197"/>
        <v>0</v>
      </c>
      <c r="U217" s="623">
        <f t="shared" si="197"/>
        <v>0</v>
      </c>
      <c r="V217" s="623">
        <f t="shared" si="197"/>
        <v>0</v>
      </c>
      <c r="W217" s="623">
        <f t="shared" si="197"/>
        <v>0</v>
      </c>
      <c r="X217" s="623">
        <f t="shared" si="197"/>
        <v>0</v>
      </c>
      <c r="Y217" s="623">
        <f t="shared" si="197"/>
        <v>0</v>
      </c>
      <c r="Z217" s="623">
        <f t="shared" si="197"/>
        <v>0</v>
      </c>
      <c r="AA217" s="623">
        <f t="shared" si="197"/>
        <v>0</v>
      </c>
      <c r="AB217" s="623">
        <f t="shared" si="197"/>
        <v>0</v>
      </c>
      <c r="AC217" s="623">
        <f t="shared" si="197"/>
        <v>0</v>
      </c>
      <c r="AD217" s="623">
        <f t="shared" si="197"/>
        <v>0</v>
      </c>
      <c r="AE217" s="623">
        <f t="shared" si="197"/>
        <v>0</v>
      </c>
      <c r="AF217" s="623">
        <f t="shared" si="197"/>
        <v>0</v>
      </c>
      <c r="AG217" s="623">
        <f>IFERROR(AG231/AG186,0)</f>
        <v>0</v>
      </c>
      <c r="AH217" s="623">
        <f t="shared" si="197"/>
        <v>0</v>
      </c>
      <c r="AI217" s="623">
        <f t="shared" si="197"/>
        <v>0</v>
      </c>
    </row>
    <row r="218" spans="1:35" s="627" customFormat="1" ht="14.5" hidden="1" outlineLevel="1">
      <c r="A218" s="990">
        <v>196</v>
      </c>
      <c r="B218" s="990">
        <v>1</v>
      </c>
      <c r="C218" s="990">
        <v>218</v>
      </c>
      <c r="D218" s="1121" t="s">
        <v>999</v>
      </c>
      <c r="E218" s="1243">
        <v>1</v>
      </c>
      <c r="F218" s="5"/>
      <c r="G218" s="5"/>
      <c r="H218" s="624"/>
      <c r="I218" s="625"/>
      <c r="J218" s="618"/>
      <c r="K218" s="624"/>
      <c r="L218" s="624"/>
      <c r="M218" s="624"/>
      <c r="N218" s="618" t="s">
        <v>1048</v>
      </c>
      <c r="O218" s="618"/>
      <c r="P218" s="1181"/>
      <c r="Q218" s="623">
        <f t="shared" si="197"/>
        <v>0</v>
      </c>
      <c r="R218" s="623">
        <f t="shared" si="197"/>
        <v>0</v>
      </c>
      <c r="S218" s="623">
        <f t="shared" si="197"/>
        <v>0</v>
      </c>
      <c r="T218" s="623">
        <f t="shared" si="197"/>
        <v>0</v>
      </c>
      <c r="U218" s="623">
        <f t="shared" si="197"/>
        <v>0</v>
      </c>
      <c r="V218" s="623">
        <f t="shared" si="197"/>
        <v>0</v>
      </c>
      <c r="W218" s="623">
        <f t="shared" si="197"/>
        <v>0</v>
      </c>
      <c r="X218" s="623">
        <f t="shared" si="197"/>
        <v>0</v>
      </c>
      <c r="Y218" s="623">
        <f t="shared" si="197"/>
        <v>0</v>
      </c>
      <c r="Z218" s="623">
        <f t="shared" si="197"/>
        <v>0</v>
      </c>
      <c r="AA218" s="623">
        <f t="shared" si="197"/>
        <v>0</v>
      </c>
      <c r="AB218" s="623">
        <f t="shared" si="197"/>
        <v>0</v>
      </c>
      <c r="AC218" s="623">
        <f t="shared" si="197"/>
        <v>0</v>
      </c>
      <c r="AD218" s="623">
        <f t="shared" si="197"/>
        <v>0</v>
      </c>
      <c r="AE218" s="623">
        <f t="shared" si="197"/>
        <v>0</v>
      </c>
      <c r="AF218" s="623">
        <f t="shared" si="197"/>
        <v>0</v>
      </c>
      <c r="AG218" s="623">
        <f t="shared" si="197"/>
        <v>0</v>
      </c>
      <c r="AH218" s="623">
        <f t="shared" si="197"/>
        <v>0</v>
      </c>
      <c r="AI218" s="623">
        <f t="shared" si="197"/>
        <v>0</v>
      </c>
    </row>
    <row r="219" spans="1:35" s="627" customFormat="1" ht="14.5" hidden="1" outlineLevel="1">
      <c r="A219" s="990">
        <v>197</v>
      </c>
      <c r="B219" s="990">
        <v>1</v>
      </c>
      <c r="C219" s="990">
        <v>219</v>
      </c>
      <c r="D219" s="1121" t="s">
        <v>999</v>
      </c>
      <c r="E219" s="1243">
        <v>1</v>
      </c>
      <c r="F219" s="5"/>
      <c r="G219" s="5"/>
      <c r="H219" s="624"/>
      <c r="I219" s="625"/>
      <c r="J219" s="618"/>
      <c r="K219" s="624"/>
      <c r="L219" s="624"/>
      <c r="M219" s="628"/>
      <c r="N219" s="628" t="s">
        <v>1030</v>
      </c>
      <c r="O219" s="628"/>
      <c r="P219" s="1182"/>
      <c r="Q219" s="633">
        <f t="shared" si="197"/>
        <v>0</v>
      </c>
      <c r="R219" s="633">
        <f t="shared" si="197"/>
        <v>0</v>
      </c>
      <c r="S219" s="633">
        <f t="shared" si="197"/>
        <v>0</v>
      </c>
      <c r="T219" s="633">
        <f t="shared" si="197"/>
        <v>0</v>
      </c>
      <c r="U219" s="633">
        <f t="shared" si="197"/>
        <v>0</v>
      </c>
      <c r="V219" s="633">
        <f t="shared" si="197"/>
        <v>0</v>
      </c>
      <c r="W219" s="633">
        <f t="shared" si="197"/>
        <v>0</v>
      </c>
      <c r="X219" s="633">
        <f t="shared" si="197"/>
        <v>0</v>
      </c>
      <c r="Y219" s="633">
        <f t="shared" si="197"/>
        <v>0</v>
      </c>
      <c r="Z219" s="633">
        <f t="shared" si="197"/>
        <v>0</v>
      </c>
      <c r="AA219" s="633">
        <f t="shared" si="197"/>
        <v>0</v>
      </c>
      <c r="AB219" s="633">
        <f t="shared" si="197"/>
        <v>0</v>
      </c>
      <c r="AC219" s="633">
        <f t="shared" si="197"/>
        <v>0</v>
      </c>
      <c r="AD219" s="633">
        <f t="shared" si="197"/>
        <v>0</v>
      </c>
      <c r="AE219" s="633">
        <f t="shared" si="197"/>
        <v>0</v>
      </c>
      <c r="AF219" s="633">
        <f t="shared" si="197"/>
        <v>0</v>
      </c>
      <c r="AG219" s="633">
        <f t="shared" si="197"/>
        <v>0</v>
      </c>
      <c r="AH219" s="633">
        <f t="shared" si="197"/>
        <v>0</v>
      </c>
      <c r="AI219" s="633">
        <f t="shared" si="197"/>
        <v>0</v>
      </c>
    </row>
    <row r="220" spans="1:35" s="627" customFormat="1" ht="14.5" hidden="1" outlineLevel="1">
      <c r="A220" s="990">
        <v>198</v>
      </c>
      <c r="B220" s="990">
        <v>1</v>
      </c>
      <c r="C220" s="990">
        <v>220</v>
      </c>
      <c r="D220" s="1121" t="s">
        <v>999</v>
      </c>
      <c r="E220" s="1243">
        <v>1</v>
      </c>
      <c r="F220" s="5"/>
      <c r="G220" s="5"/>
      <c r="H220" s="624"/>
      <c r="I220" s="625"/>
      <c r="J220" s="618"/>
      <c r="K220" s="624"/>
      <c r="L220" s="624"/>
      <c r="M220" s="626" t="s">
        <v>1029</v>
      </c>
      <c r="N220" s="626"/>
      <c r="O220" s="626"/>
      <c r="P220" s="1180"/>
      <c r="Q220" s="632">
        <f t="shared" si="197"/>
        <v>-3.9764359351988215E-2</v>
      </c>
      <c r="R220" s="632">
        <f t="shared" si="197"/>
        <v>-0.67135003054367748</v>
      </c>
      <c r="S220" s="632">
        <f t="shared" si="197"/>
        <v>2.7272727272727271E-2</v>
      </c>
      <c r="T220" s="632">
        <f t="shared" si="197"/>
        <v>-0.13118651393991787</v>
      </c>
      <c r="U220" s="632">
        <f t="shared" si="197"/>
        <v>0.24579462716545317</v>
      </c>
      <c r="V220" s="632">
        <f t="shared" si="197"/>
        <v>-7.0374848851269656E-2</v>
      </c>
      <c r="W220" s="632">
        <f t="shared" si="197"/>
        <v>-0.23894375268355517</v>
      </c>
      <c r="X220" s="632">
        <f t="shared" si="197"/>
        <v>0.35510204081632651</v>
      </c>
      <c r="Y220" s="632">
        <f t="shared" si="197"/>
        <v>0.20617264609117969</v>
      </c>
      <c r="Z220" s="632">
        <f t="shared" si="197"/>
        <v>0.3086335825968729</v>
      </c>
      <c r="AA220" s="632">
        <f t="shared" si="197"/>
        <v>8.8943702843876954E-2</v>
      </c>
      <c r="AB220" s="632">
        <f t="shared" si="197"/>
        <v>1.3791763791763792E-2</v>
      </c>
      <c r="AC220" s="632">
        <f t="shared" si="197"/>
        <v>-0.17139959432048682</v>
      </c>
      <c r="AD220" s="632">
        <f t="shared" si="197"/>
        <v>6.3554335033346411E-3</v>
      </c>
      <c r="AE220" s="632">
        <f t="shared" si="197"/>
        <v>0.12188695815820839</v>
      </c>
      <c r="AF220" s="632">
        <f t="shared" si="197"/>
        <v>0.13947779513501452</v>
      </c>
      <c r="AG220" s="632">
        <f t="shared" si="197"/>
        <v>-5.6089988293378121E-2</v>
      </c>
      <c r="AH220" s="632">
        <f t="shared" si="197"/>
        <v>0.1311974014469216</v>
      </c>
      <c r="AI220" s="632">
        <f t="shared" si="197"/>
        <v>6.24345941097324E-2</v>
      </c>
    </row>
    <row r="221" spans="1:35" s="627" customFormat="1" ht="14.5" hidden="1" outlineLevel="1">
      <c r="A221" s="990">
        <v>199</v>
      </c>
      <c r="B221" s="990">
        <v>1</v>
      </c>
      <c r="C221" s="990">
        <v>221</v>
      </c>
      <c r="D221" s="1121" t="s">
        <v>999</v>
      </c>
      <c r="E221" s="1243">
        <v>1</v>
      </c>
      <c r="F221" s="5"/>
      <c r="G221" s="5"/>
      <c r="H221" s="624"/>
      <c r="I221" s="625"/>
      <c r="J221" s="618"/>
      <c r="K221" s="624"/>
      <c r="L221" s="624"/>
      <c r="M221" s="624"/>
      <c r="N221" s="618" t="s">
        <v>1044</v>
      </c>
      <c r="O221" s="618"/>
      <c r="P221" s="1181"/>
      <c r="Q221" s="623">
        <f t="shared" si="197"/>
        <v>0</v>
      </c>
      <c r="R221" s="623">
        <f t="shared" si="197"/>
        <v>0</v>
      </c>
      <c r="S221" s="623">
        <f t="shared" si="197"/>
        <v>0</v>
      </c>
      <c r="T221" s="623">
        <f t="shared" si="197"/>
        <v>-7.0085959885386817</v>
      </c>
      <c r="U221" s="623">
        <f t="shared" si="197"/>
        <v>0</v>
      </c>
      <c r="V221" s="623">
        <f t="shared" si="197"/>
        <v>0</v>
      </c>
      <c r="W221" s="623">
        <f t="shared" si="197"/>
        <v>0</v>
      </c>
      <c r="X221" s="623">
        <f t="shared" si="197"/>
        <v>7.3005093378607805E-2</v>
      </c>
      <c r="Y221" s="623">
        <f t="shared" si="197"/>
        <v>-0.65289256198347112</v>
      </c>
      <c r="Z221" s="623">
        <f t="shared" si="197"/>
        <v>-0.63233190271816886</v>
      </c>
      <c r="AA221" s="623">
        <f t="shared" si="197"/>
        <v>3.0837004405286344E-2</v>
      </c>
      <c r="AB221" s="623">
        <f t="shared" si="197"/>
        <v>-0.97701149425287359</v>
      </c>
      <c r="AC221" s="623">
        <f t="shared" si="197"/>
        <v>0</v>
      </c>
      <c r="AD221" s="623">
        <f t="shared" si="197"/>
        <v>-11.326647564469914</v>
      </c>
      <c r="AE221" s="623">
        <f t="shared" si="197"/>
        <v>-1.1629526462395543</v>
      </c>
      <c r="AF221" s="623">
        <f t="shared" si="197"/>
        <v>-0.35230352303523033</v>
      </c>
      <c r="AG221" s="623">
        <f t="shared" si="197"/>
        <v>-18.45272206303725</v>
      </c>
      <c r="AH221" s="623">
        <f t="shared" si="197"/>
        <v>-0.64195073401343616</v>
      </c>
      <c r="AI221" s="623">
        <f t="shared" si="197"/>
        <v>-2.0650183150183152</v>
      </c>
    </row>
    <row r="222" spans="1:35" s="627" customFormat="1" ht="14.5" hidden="1" outlineLevel="1">
      <c r="A222" s="990">
        <v>200</v>
      </c>
      <c r="B222" s="990">
        <v>1</v>
      </c>
      <c r="C222" s="990">
        <v>222</v>
      </c>
      <c r="D222" s="1121" t="s">
        <v>999</v>
      </c>
      <c r="E222" s="1243">
        <v>1</v>
      </c>
      <c r="F222" s="5"/>
      <c r="G222" s="5"/>
      <c r="H222" s="624"/>
      <c r="I222" s="625"/>
      <c r="J222" s="618"/>
      <c r="K222" s="624"/>
      <c r="L222" s="624"/>
      <c r="M222" s="624"/>
      <c r="N222" s="618" t="s">
        <v>1045</v>
      </c>
      <c r="O222" s="618"/>
      <c r="P222" s="1181"/>
      <c r="Q222" s="623">
        <f t="shared" si="197"/>
        <v>0.75739644970414199</v>
      </c>
      <c r="R222" s="623">
        <f t="shared" si="197"/>
        <v>0.74198988195615512</v>
      </c>
      <c r="S222" s="623">
        <f t="shared" si="197"/>
        <v>0.68745467730239307</v>
      </c>
      <c r="T222" s="623">
        <f t="shared" si="197"/>
        <v>0.79859154929577469</v>
      </c>
      <c r="U222" s="623">
        <f t="shared" si="197"/>
        <v>0.7863046044864227</v>
      </c>
      <c r="V222" s="623">
        <f t="shared" si="197"/>
        <v>0.75850891410048626</v>
      </c>
      <c r="W222" s="623">
        <f t="shared" si="197"/>
        <v>0.71500721500721498</v>
      </c>
      <c r="X222" s="623">
        <f t="shared" si="197"/>
        <v>0.79876335019673972</v>
      </c>
      <c r="Y222" s="623">
        <f t="shared" si="197"/>
        <v>0.81361867704280155</v>
      </c>
      <c r="Z222" s="623">
        <f t="shared" si="197"/>
        <v>0.73627142357467645</v>
      </c>
      <c r="AA222" s="623">
        <f t="shared" si="197"/>
        <v>0.79340567612687818</v>
      </c>
      <c r="AB222" s="623">
        <f t="shared" si="197"/>
        <v>0.70388137810728302</v>
      </c>
      <c r="AC222" s="623">
        <f t="shared" si="197"/>
        <v>0.73043478260869565</v>
      </c>
      <c r="AD222" s="623">
        <f t="shared" si="197"/>
        <v>0.78185022026431716</v>
      </c>
      <c r="AE222" s="623">
        <f t="shared" si="197"/>
        <v>0.78517872711421099</v>
      </c>
      <c r="AF222" s="623">
        <f t="shared" si="197"/>
        <v>0.744568097509274</v>
      </c>
      <c r="AG222" s="623">
        <f t="shared" si="197"/>
        <v>0.75981873111782472</v>
      </c>
      <c r="AH222" s="623">
        <f t="shared" si="197"/>
        <v>0.76210193480388466</v>
      </c>
      <c r="AI222" s="623">
        <f t="shared" si="197"/>
        <v>0.76112523155128586</v>
      </c>
    </row>
    <row r="223" spans="1:35" s="627" customFormat="1" ht="14.5" hidden="1" outlineLevel="1">
      <c r="A223" s="990">
        <v>201</v>
      </c>
      <c r="B223" s="990">
        <v>1</v>
      </c>
      <c r="C223" s="990">
        <v>223</v>
      </c>
      <c r="D223" s="1121" t="s">
        <v>999</v>
      </c>
      <c r="E223" s="1243">
        <v>1</v>
      </c>
      <c r="F223" s="5"/>
      <c r="G223" s="5"/>
      <c r="H223" s="624"/>
      <c r="I223" s="625"/>
      <c r="J223" s="618"/>
      <c r="K223" s="624"/>
      <c r="L223" s="624"/>
      <c r="M223" s="624"/>
      <c r="N223" s="618" t="s">
        <v>1046</v>
      </c>
      <c r="O223" s="618"/>
      <c r="P223" s="1183"/>
      <c r="Q223" s="623">
        <f t="shared" si="197"/>
        <v>-7.6246334310850442E-2</v>
      </c>
      <c r="R223" s="623">
        <f t="shared" si="197"/>
        <v>-1.9800443458980044</v>
      </c>
      <c r="S223" s="623">
        <f t="shared" si="197"/>
        <v>-1.5906313645621182</v>
      </c>
      <c r="T223" s="623">
        <f t="shared" si="197"/>
        <v>6.4245810055865923E-2</v>
      </c>
      <c r="U223" s="623">
        <f t="shared" si="197"/>
        <v>3.8007863695937089E-2</v>
      </c>
      <c r="V223" s="623">
        <f t="shared" si="197"/>
        <v>-0.27495621716287216</v>
      </c>
      <c r="W223" s="623">
        <f t="shared" si="197"/>
        <v>-0.28850855745721271</v>
      </c>
      <c r="X223" s="623">
        <f t="shared" si="197"/>
        <v>0.10900473933649289</v>
      </c>
      <c r="Y223" s="623">
        <f t="shared" si="197"/>
        <v>-7.4848280512474719E-2</v>
      </c>
      <c r="Z223" s="623">
        <f t="shared" si="197"/>
        <v>6.5778159931212388E-2</v>
      </c>
      <c r="AA223" s="623">
        <f t="shared" si="197"/>
        <v>-0.42437779195915765</v>
      </c>
      <c r="AB223" s="623">
        <f t="shared" si="197"/>
        <v>-0.44277753964852123</v>
      </c>
      <c r="AC223" s="623">
        <f t="shared" si="197"/>
        <v>-0.68152625613902529</v>
      </c>
      <c r="AD223" s="623">
        <f t="shared" si="197"/>
        <v>-5.9961315280464215E-2</v>
      </c>
      <c r="AE223" s="623">
        <f t="shared" si="197"/>
        <v>-0.10148232611174458</v>
      </c>
      <c r="AF223" s="623">
        <f t="shared" si="197"/>
        <v>-0.28358783523675091</v>
      </c>
      <c r="AG223" s="623">
        <f t="shared" si="197"/>
        <v>-0.23558923996584116</v>
      </c>
      <c r="AH223" s="623">
        <f t="shared" si="197"/>
        <v>-0.1871641610819296</v>
      </c>
      <c r="AI223" s="623">
        <f t="shared" si="197"/>
        <v>-0.20465851683313407</v>
      </c>
    </row>
    <row r="224" spans="1:35" s="627" customFormat="1" ht="14.5" hidden="1" outlineLevel="1">
      <c r="A224" s="990">
        <v>202</v>
      </c>
      <c r="B224" s="990">
        <v>1</v>
      </c>
      <c r="C224" s="990">
        <v>224</v>
      </c>
      <c r="D224" s="1121" t="s">
        <v>999</v>
      </c>
      <c r="E224" s="1243">
        <v>1</v>
      </c>
      <c r="F224" s="5"/>
      <c r="G224" s="5"/>
      <c r="H224" s="624"/>
      <c r="I224" s="625"/>
      <c r="J224" s="618"/>
      <c r="K224" s="624"/>
      <c r="L224" s="624"/>
      <c r="M224" s="624"/>
      <c r="N224" s="618" t="s">
        <v>1047</v>
      </c>
      <c r="O224" s="618"/>
      <c r="P224" s="1181"/>
      <c r="Q224" s="623">
        <f t="shared" si="197"/>
        <v>0</v>
      </c>
      <c r="R224" s="623">
        <f t="shared" si="197"/>
        <v>0</v>
      </c>
      <c r="S224" s="623">
        <f t="shared" si="197"/>
        <v>0</v>
      </c>
      <c r="T224" s="623">
        <f t="shared" si="197"/>
        <v>0</v>
      </c>
      <c r="U224" s="623">
        <f t="shared" si="197"/>
        <v>0</v>
      </c>
      <c r="V224" s="623">
        <f t="shared" si="197"/>
        <v>0</v>
      </c>
      <c r="W224" s="623">
        <f t="shared" si="197"/>
        <v>0</v>
      </c>
      <c r="X224" s="623">
        <f t="shared" si="197"/>
        <v>0</v>
      </c>
      <c r="Y224" s="623">
        <f t="shared" si="197"/>
        <v>0</v>
      </c>
      <c r="Z224" s="623">
        <f t="shared" si="197"/>
        <v>0</v>
      </c>
      <c r="AA224" s="623">
        <f t="shared" si="197"/>
        <v>0</v>
      </c>
      <c r="AB224" s="623">
        <f t="shared" si="197"/>
        <v>0</v>
      </c>
      <c r="AC224" s="623">
        <f t="shared" si="197"/>
        <v>0</v>
      </c>
      <c r="AD224" s="623">
        <f t="shared" si="197"/>
        <v>0</v>
      </c>
      <c r="AE224" s="623">
        <f t="shared" si="197"/>
        <v>0</v>
      </c>
      <c r="AF224" s="623">
        <f t="shared" si="197"/>
        <v>0</v>
      </c>
      <c r="AG224" s="623">
        <f t="shared" si="197"/>
        <v>0</v>
      </c>
      <c r="AH224" s="623">
        <f t="shared" si="197"/>
        <v>0</v>
      </c>
      <c r="AI224" s="623">
        <f t="shared" si="197"/>
        <v>0</v>
      </c>
    </row>
    <row r="225" spans="1:35" s="627" customFormat="1" ht="14.5" hidden="1" outlineLevel="1">
      <c r="A225" s="990">
        <v>203</v>
      </c>
      <c r="B225" s="990">
        <v>1</v>
      </c>
      <c r="C225" s="990">
        <v>225</v>
      </c>
      <c r="D225" s="1121" t="s">
        <v>999</v>
      </c>
      <c r="E225" s="1243">
        <v>1</v>
      </c>
      <c r="F225" s="5"/>
      <c r="G225" s="5"/>
      <c r="H225" s="624"/>
      <c r="I225" s="625"/>
      <c r="J225" s="618"/>
      <c r="K225" s="624"/>
      <c r="L225" s="624"/>
      <c r="M225" s="624"/>
      <c r="N225" s="618" t="s">
        <v>1048</v>
      </c>
      <c r="O225" s="618"/>
      <c r="P225" s="1181"/>
      <c r="Q225" s="623">
        <f t="shared" si="197"/>
        <v>0</v>
      </c>
      <c r="R225" s="623">
        <f t="shared" si="197"/>
        <v>0</v>
      </c>
      <c r="S225" s="623">
        <f t="shared" si="197"/>
        <v>0</v>
      </c>
      <c r="T225" s="623">
        <f t="shared" si="197"/>
        <v>0</v>
      </c>
      <c r="U225" s="623">
        <f t="shared" si="197"/>
        <v>0</v>
      </c>
      <c r="V225" s="623">
        <f t="shared" si="197"/>
        <v>0</v>
      </c>
      <c r="W225" s="623">
        <f t="shared" si="197"/>
        <v>0</v>
      </c>
      <c r="X225" s="623">
        <f t="shared" si="197"/>
        <v>0</v>
      </c>
      <c r="Y225" s="623">
        <f t="shared" si="197"/>
        <v>0</v>
      </c>
      <c r="Z225" s="623">
        <f t="shared" si="197"/>
        <v>0</v>
      </c>
      <c r="AA225" s="623">
        <f t="shared" si="197"/>
        <v>0</v>
      </c>
      <c r="AB225" s="623">
        <f t="shared" si="197"/>
        <v>0</v>
      </c>
      <c r="AC225" s="623">
        <f t="shared" si="197"/>
        <v>0</v>
      </c>
      <c r="AD225" s="623">
        <f t="shared" si="197"/>
        <v>0</v>
      </c>
      <c r="AE225" s="623">
        <f t="shared" si="197"/>
        <v>0</v>
      </c>
      <c r="AF225" s="623">
        <f t="shared" si="197"/>
        <v>0</v>
      </c>
      <c r="AG225" s="623">
        <f t="shared" si="197"/>
        <v>0</v>
      </c>
      <c r="AH225" s="623">
        <f t="shared" si="197"/>
        <v>0</v>
      </c>
      <c r="AI225" s="623">
        <f t="shared" si="197"/>
        <v>0</v>
      </c>
    </row>
    <row r="226" spans="1:35" s="627" customFormat="1" ht="14.5" hidden="1" outlineLevel="1">
      <c r="A226" s="990">
        <v>204</v>
      </c>
      <c r="B226" s="990">
        <v>1</v>
      </c>
      <c r="C226" s="990">
        <v>226</v>
      </c>
      <c r="D226" s="1121" t="s">
        <v>999</v>
      </c>
      <c r="E226" s="1243">
        <v>1</v>
      </c>
      <c r="F226" s="5"/>
      <c r="G226" s="5"/>
      <c r="H226" s="624"/>
      <c r="I226" s="625"/>
      <c r="J226" s="618"/>
      <c r="K226" s="624"/>
      <c r="L226" s="624"/>
      <c r="M226" s="630"/>
      <c r="N226" s="629" t="s">
        <v>1030</v>
      </c>
      <c r="O226" s="629"/>
      <c r="P226" s="1184"/>
      <c r="Q226" s="634">
        <f t="shared" si="197"/>
        <v>0</v>
      </c>
      <c r="R226" s="634">
        <f t="shared" si="197"/>
        <v>0</v>
      </c>
      <c r="S226" s="634">
        <f t="shared" si="197"/>
        <v>0</v>
      </c>
      <c r="T226" s="634">
        <f t="shared" si="197"/>
        <v>0</v>
      </c>
      <c r="U226" s="634">
        <f t="shared" si="197"/>
        <v>0</v>
      </c>
      <c r="V226" s="634">
        <f t="shared" si="197"/>
        <v>0</v>
      </c>
      <c r="W226" s="634">
        <f t="shared" si="197"/>
        <v>0</v>
      </c>
      <c r="X226" s="634">
        <f t="shared" si="197"/>
        <v>0</v>
      </c>
      <c r="Y226" s="634">
        <f t="shared" si="197"/>
        <v>0</v>
      </c>
      <c r="Z226" s="634">
        <f t="shared" si="197"/>
        <v>0</v>
      </c>
      <c r="AA226" s="634">
        <f t="shared" si="197"/>
        <v>0</v>
      </c>
      <c r="AB226" s="634">
        <f t="shared" si="197"/>
        <v>0</v>
      </c>
      <c r="AC226" s="634">
        <f t="shared" si="197"/>
        <v>0</v>
      </c>
      <c r="AD226" s="634">
        <f t="shared" si="197"/>
        <v>0</v>
      </c>
      <c r="AE226" s="634">
        <f t="shared" si="197"/>
        <v>0</v>
      </c>
      <c r="AF226" s="634">
        <f t="shared" si="197"/>
        <v>0</v>
      </c>
      <c r="AG226" s="634">
        <f t="shared" si="197"/>
        <v>0</v>
      </c>
      <c r="AH226" s="634">
        <f t="shared" si="197"/>
        <v>0</v>
      </c>
      <c r="AI226" s="634">
        <f t="shared" si="197"/>
        <v>0</v>
      </c>
    </row>
    <row r="227" spans="1:35" s="75" customFormat="1" ht="14.5" collapsed="1">
      <c r="A227" s="990">
        <v>205</v>
      </c>
      <c r="B227" s="990">
        <v>1</v>
      </c>
      <c r="C227" s="990">
        <v>227</v>
      </c>
      <c r="D227" s="1121" t="s">
        <v>999</v>
      </c>
      <c r="E227" s="1243">
        <v>1</v>
      </c>
      <c r="F227" s="5"/>
      <c r="G227" s="5"/>
      <c r="H227" s="5"/>
      <c r="I227" s="625"/>
      <c r="J227" s="618"/>
      <c r="K227" s="624"/>
      <c r="L227" s="624"/>
      <c r="M227" s="387" t="s">
        <v>1039</v>
      </c>
      <c r="N227" s="389"/>
      <c r="O227" s="387"/>
      <c r="P227" s="1178"/>
      <c r="Q227" s="388">
        <f>SUM(Q228:Q233)</f>
        <v>3610</v>
      </c>
      <c r="R227" s="388">
        <f t="shared" ref="R227:AB227" si="198">SUM(R228:R233)</f>
        <v>4993</v>
      </c>
      <c r="S227" s="388">
        <f t="shared" si="198"/>
        <v>12424</v>
      </c>
      <c r="T227" s="388">
        <f t="shared" si="198"/>
        <v>23</v>
      </c>
      <c r="U227" s="388">
        <f t="shared" si="198"/>
        <v>-238</v>
      </c>
      <c r="V227" s="388">
        <f t="shared" si="198"/>
        <v>18</v>
      </c>
      <c r="W227" s="388">
        <f t="shared" si="198"/>
        <v>14</v>
      </c>
      <c r="X227" s="388">
        <f t="shared" si="198"/>
        <v>-237</v>
      </c>
      <c r="Y227" s="388">
        <f t="shared" si="198"/>
        <v>-14295</v>
      </c>
      <c r="Z227" s="388">
        <f t="shared" si="198"/>
        <v>12689</v>
      </c>
      <c r="AA227" s="388">
        <f t="shared" si="198"/>
        <v>9768</v>
      </c>
      <c r="AB227" s="388">
        <f t="shared" si="198"/>
        <v>1733</v>
      </c>
      <c r="AC227" s="388">
        <f t="shared" ref="AC227:AC240" si="199">SUM(Q227,R227,S227)</f>
        <v>21027</v>
      </c>
      <c r="AD227" s="388">
        <f t="shared" ref="AD227:AD240" si="200">SUM(T227,U227,V227)</f>
        <v>-197</v>
      </c>
      <c r="AE227" s="388">
        <f t="shared" ref="AE227:AE240" si="201">SUM(W227,X227,Y227)</f>
        <v>-14518</v>
      </c>
      <c r="AF227" s="388">
        <f t="shared" ref="AF227:AF240" si="202">SUM(Z227,AA227,AB227)</f>
        <v>24190</v>
      </c>
      <c r="AG227" s="388">
        <f>AC227+AD227</f>
        <v>20830</v>
      </c>
      <c r="AH227" s="388">
        <f>AF227+AE227</f>
        <v>9672</v>
      </c>
      <c r="AI227" s="388">
        <f>AG227+AH227</f>
        <v>30502</v>
      </c>
    </row>
    <row r="228" spans="1:35" s="75" customFormat="1" ht="14.5">
      <c r="A228" s="990">
        <v>206</v>
      </c>
      <c r="B228" s="990">
        <v>1</v>
      </c>
      <c r="C228" s="990">
        <v>228</v>
      </c>
      <c r="D228" s="1121" t="s">
        <v>999</v>
      </c>
      <c r="E228" s="1243">
        <v>1</v>
      </c>
      <c r="F228" s="5"/>
      <c r="G228" s="5"/>
      <c r="H228" s="5"/>
      <c r="I228" s="625"/>
      <c r="J228" s="618"/>
      <c r="K228" s="624"/>
      <c r="L228" s="624"/>
      <c r="M228" s="5"/>
      <c r="N228" s="4" t="s">
        <v>55</v>
      </c>
      <c r="O228" s="4"/>
      <c r="P228" s="29"/>
      <c r="Q228" s="135">
        <f t="shared" ref="Q228:AB233" si="203">Q601+Q645</f>
        <v>-129</v>
      </c>
      <c r="R228" s="135">
        <f t="shared" si="203"/>
        <v>0</v>
      </c>
      <c r="S228" s="135">
        <f t="shared" si="203"/>
        <v>0</v>
      </c>
      <c r="T228" s="135">
        <f t="shared" si="203"/>
        <v>0</v>
      </c>
      <c r="U228" s="135">
        <f t="shared" si="203"/>
        <v>0</v>
      </c>
      <c r="V228" s="135">
        <f t="shared" si="203"/>
        <v>0</v>
      </c>
      <c r="W228" s="135">
        <f t="shared" si="203"/>
        <v>0</v>
      </c>
      <c r="X228" s="135">
        <f t="shared" si="203"/>
        <v>0</v>
      </c>
      <c r="Y228" s="135">
        <f t="shared" si="203"/>
        <v>0</v>
      </c>
      <c r="Z228" s="135">
        <f t="shared" si="203"/>
        <v>0</v>
      </c>
      <c r="AA228" s="135">
        <f t="shared" si="203"/>
        <v>-1776</v>
      </c>
      <c r="AB228" s="135">
        <f t="shared" si="203"/>
        <v>267</v>
      </c>
      <c r="AC228" s="135">
        <f t="shared" si="199"/>
        <v>-129</v>
      </c>
      <c r="AD228" s="135">
        <f t="shared" si="200"/>
        <v>0</v>
      </c>
      <c r="AE228" s="135">
        <f t="shared" si="201"/>
        <v>0</v>
      </c>
      <c r="AF228" s="135">
        <f t="shared" si="202"/>
        <v>-1509</v>
      </c>
      <c r="AG228" s="135">
        <f t="shared" ref="AG228:AG240" si="204">AC228+AD228</f>
        <v>-129</v>
      </c>
      <c r="AH228" s="135">
        <f t="shared" ref="AH228:AH240" si="205">AF228+AE228</f>
        <v>-1509</v>
      </c>
      <c r="AI228" s="135">
        <f t="shared" ref="AI228:AI240" si="206">AG228+AH228</f>
        <v>-1638</v>
      </c>
    </row>
    <row r="229" spans="1:35" s="75" customFormat="1" ht="14.5">
      <c r="A229" s="990">
        <v>207</v>
      </c>
      <c r="B229" s="990">
        <v>1</v>
      </c>
      <c r="C229" s="990">
        <v>229</v>
      </c>
      <c r="D229" s="1121" t="s">
        <v>999</v>
      </c>
      <c r="E229" s="1243">
        <v>1</v>
      </c>
      <c r="F229" s="5"/>
      <c r="G229" s="5"/>
      <c r="H229" s="5"/>
      <c r="I229" s="625"/>
      <c r="J229" s="618"/>
      <c r="K229" s="624"/>
      <c r="L229" s="624"/>
      <c r="M229" s="5"/>
      <c r="N229" s="4" t="s">
        <v>1040</v>
      </c>
      <c r="O229" s="4"/>
      <c r="P229" s="29"/>
      <c r="Q229" s="135">
        <f t="shared" si="203"/>
        <v>0</v>
      </c>
      <c r="R229" s="135">
        <f t="shared" si="203"/>
        <v>4842</v>
      </c>
      <c r="S229" s="135">
        <f t="shared" si="203"/>
        <v>5352</v>
      </c>
      <c r="T229" s="135">
        <f t="shared" si="203"/>
        <v>0</v>
      </c>
      <c r="U229" s="135">
        <f t="shared" si="203"/>
        <v>0</v>
      </c>
      <c r="V229" s="135">
        <f t="shared" si="203"/>
        <v>0</v>
      </c>
      <c r="W229" s="135">
        <f t="shared" si="203"/>
        <v>0</v>
      </c>
      <c r="X229" s="135">
        <f t="shared" si="203"/>
        <v>0</v>
      </c>
      <c r="Y229" s="135">
        <f t="shared" si="203"/>
        <v>94</v>
      </c>
      <c r="Z229" s="135">
        <f t="shared" si="203"/>
        <v>0</v>
      </c>
      <c r="AA229" s="135">
        <f t="shared" si="203"/>
        <v>5564</v>
      </c>
      <c r="AB229" s="135">
        <f t="shared" si="203"/>
        <v>1057</v>
      </c>
      <c r="AC229" s="135">
        <f t="shared" si="199"/>
        <v>10194</v>
      </c>
      <c r="AD229" s="135">
        <f t="shared" si="200"/>
        <v>0</v>
      </c>
      <c r="AE229" s="135">
        <f t="shared" si="201"/>
        <v>94</v>
      </c>
      <c r="AF229" s="135">
        <f t="shared" si="202"/>
        <v>6621</v>
      </c>
      <c r="AG229" s="135">
        <f t="shared" si="204"/>
        <v>10194</v>
      </c>
      <c r="AH229" s="135">
        <f t="shared" si="205"/>
        <v>6715</v>
      </c>
      <c r="AI229" s="135">
        <f t="shared" si="206"/>
        <v>16909</v>
      </c>
    </row>
    <row r="230" spans="1:35" s="75" customFormat="1" ht="14.5">
      <c r="A230" s="990">
        <v>208</v>
      </c>
      <c r="B230" s="990">
        <v>1</v>
      </c>
      <c r="C230" s="990">
        <v>230</v>
      </c>
      <c r="D230" s="1121" t="s">
        <v>999</v>
      </c>
      <c r="E230" s="1243">
        <v>1</v>
      </c>
      <c r="F230" s="5"/>
      <c r="G230" s="5"/>
      <c r="H230" s="5"/>
      <c r="I230" s="625"/>
      <c r="J230" s="618"/>
      <c r="K230" s="624"/>
      <c r="L230" s="624"/>
      <c r="M230" s="5"/>
      <c r="N230" s="4" t="s">
        <v>1041</v>
      </c>
      <c r="O230" s="4"/>
      <c r="P230" s="29"/>
      <c r="Q230" s="135">
        <f t="shared" si="203"/>
        <v>3739</v>
      </c>
      <c r="R230" s="135">
        <f t="shared" si="203"/>
        <v>151</v>
      </c>
      <c r="S230" s="135">
        <f t="shared" si="203"/>
        <v>7072</v>
      </c>
      <c r="T230" s="135">
        <f t="shared" si="203"/>
        <v>23</v>
      </c>
      <c r="U230" s="135">
        <f t="shared" si="203"/>
        <v>-238</v>
      </c>
      <c r="V230" s="135">
        <f t="shared" si="203"/>
        <v>18</v>
      </c>
      <c r="W230" s="135">
        <f t="shared" si="203"/>
        <v>14</v>
      </c>
      <c r="X230" s="135">
        <f t="shared" si="203"/>
        <v>-237</v>
      </c>
      <c r="Y230" s="135">
        <f t="shared" si="203"/>
        <v>-14389</v>
      </c>
      <c r="Z230" s="135">
        <f t="shared" si="203"/>
        <v>12689</v>
      </c>
      <c r="AA230" s="135">
        <f t="shared" si="203"/>
        <v>5980</v>
      </c>
      <c r="AB230" s="135">
        <f t="shared" si="203"/>
        <v>409</v>
      </c>
      <c r="AC230" s="135">
        <f t="shared" si="199"/>
        <v>10962</v>
      </c>
      <c r="AD230" s="135">
        <f t="shared" si="200"/>
        <v>-197</v>
      </c>
      <c r="AE230" s="135">
        <f t="shared" si="201"/>
        <v>-14612</v>
      </c>
      <c r="AF230" s="135">
        <f t="shared" si="202"/>
        <v>19078</v>
      </c>
      <c r="AG230" s="135">
        <f t="shared" si="204"/>
        <v>10765</v>
      </c>
      <c r="AH230" s="135">
        <f t="shared" si="205"/>
        <v>4466</v>
      </c>
      <c r="AI230" s="135">
        <f t="shared" si="206"/>
        <v>15231</v>
      </c>
    </row>
    <row r="231" spans="1:35" s="75" customFormat="1">
      <c r="A231" s="990">
        <v>209</v>
      </c>
      <c r="B231" s="990">
        <v>1</v>
      </c>
      <c r="C231" s="990">
        <v>231</v>
      </c>
      <c r="D231" s="1121" t="s">
        <v>999</v>
      </c>
      <c r="E231" s="1243">
        <v>1</v>
      </c>
      <c r="F231" s="5"/>
      <c r="G231" s="5"/>
      <c r="H231" s="5"/>
      <c r="I231" s="30"/>
      <c r="J231" s="4"/>
      <c r="K231" s="5"/>
      <c r="L231" s="5"/>
      <c r="M231" s="5"/>
      <c r="N231" s="4" t="s">
        <v>1042</v>
      </c>
      <c r="O231" s="4"/>
      <c r="P231" s="29"/>
      <c r="Q231" s="135">
        <f t="shared" si="203"/>
        <v>0</v>
      </c>
      <c r="R231" s="135">
        <f t="shared" si="203"/>
        <v>0</v>
      </c>
      <c r="S231" s="135">
        <f t="shared" si="203"/>
        <v>0</v>
      </c>
      <c r="T231" s="135">
        <f t="shared" si="203"/>
        <v>0</v>
      </c>
      <c r="U231" s="135">
        <f t="shared" si="203"/>
        <v>0</v>
      </c>
      <c r="V231" s="135">
        <f t="shared" si="203"/>
        <v>0</v>
      </c>
      <c r="W231" s="135">
        <f t="shared" si="203"/>
        <v>0</v>
      </c>
      <c r="X231" s="135">
        <f t="shared" si="203"/>
        <v>0</v>
      </c>
      <c r="Y231" s="135">
        <f t="shared" si="203"/>
        <v>0</v>
      </c>
      <c r="Z231" s="135">
        <f t="shared" si="203"/>
        <v>0</v>
      </c>
      <c r="AA231" s="135">
        <f t="shared" si="203"/>
        <v>0</v>
      </c>
      <c r="AB231" s="135">
        <f t="shared" si="203"/>
        <v>0</v>
      </c>
      <c r="AC231" s="135">
        <f t="shared" si="199"/>
        <v>0</v>
      </c>
      <c r="AD231" s="135">
        <f t="shared" si="200"/>
        <v>0</v>
      </c>
      <c r="AE231" s="135">
        <f t="shared" si="201"/>
        <v>0</v>
      </c>
      <c r="AF231" s="135">
        <f t="shared" si="202"/>
        <v>0</v>
      </c>
      <c r="AG231" s="135">
        <f t="shared" si="204"/>
        <v>0</v>
      </c>
      <c r="AH231" s="135">
        <f t="shared" si="205"/>
        <v>0</v>
      </c>
      <c r="AI231" s="135">
        <f t="shared" si="206"/>
        <v>0</v>
      </c>
    </row>
    <row r="232" spans="1:35" s="75" customFormat="1">
      <c r="A232" s="990">
        <v>210</v>
      </c>
      <c r="B232" s="990">
        <v>1</v>
      </c>
      <c r="C232" s="990">
        <v>232</v>
      </c>
      <c r="D232" s="1121" t="s">
        <v>999</v>
      </c>
      <c r="E232" s="1243">
        <v>1</v>
      </c>
      <c r="F232" s="5"/>
      <c r="G232" s="5"/>
      <c r="H232" s="5"/>
      <c r="I232" s="30"/>
      <c r="J232" s="4"/>
      <c r="K232" s="5"/>
      <c r="L232" s="5"/>
      <c r="M232" s="5"/>
      <c r="N232" s="4" t="s">
        <v>852</v>
      </c>
      <c r="O232" s="4"/>
      <c r="P232" s="29"/>
      <c r="Q232" s="135">
        <f t="shared" si="203"/>
        <v>0</v>
      </c>
      <c r="R232" s="135">
        <f t="shared" si="203"/>
        <v>0</v>
      </c>
      <c r="S232" s="135">
        <f t="shared" si="203"/>
        <v>0</v>
      </c>
      <c r="T232" s="135">
        <f t="shared" si="203"/>
        <v>0</v>
      </c>
      <c r="U232" s="135">
        <f t="shared" si="203"/>
        <v>0</v>
      </c>
      <c r="V232" s="135">
        <f t="shared" si="203"/>
        <v>0</v>
      </c>
      <c r="W232" s="135">
        <f t="shared" si="203"/>
        <v>0</v>
      </c>
      <c r="X232" s="135">
        <f t="shared" si="203"/>
        <v>0</v>
      </c>
      <c r="Y232" s="135">
        <f t="shared" si="203"/>
        <v>0</v>
      </c>
      <c r="Z232" s="135">
        <f t="shared" si="203"/>
        <v>0</v>
      </c>
      <c r="AA232" s="135">
        <f t="shared" si="203"/>
        <v>0</v>
      </c>
      <c r="AB232" s="135">
        <f t="shared" si="203"/>
        <v>0</v>
      </c>
      <c r="AC232" s="135">
        <f t="shared" si="199"/>
        <v>0</v>
      </c>
      <c r="AD232" s="135">
        <f t="shared" si="200"/>
        <v>0</v>
      </c>
      <c r="AE232" s="135">
        <f t="shared" si="201"/>
        <v>0</v>
      </c>
      <c r="AF232" s="135">
        <f t="shared" si="202"/>
        <v>0</v>
      </c>
      <c r="AG232" s="135">
        <f t="shared" si="204"/>
        <v>0</v>
      </c>
      <c r="AH232" s="135">
        <f t="shared" si="205"/>
        <v>0</v>
      </c>
      <c r="AI232" s="135">
        <f t="shared" si="206"/>
        <v>0</v>
      </c>
    </row>
    <row r="233" spans="1:35" s="75" customFormat="1">
      <c r="A233" s="990">
        <v>211</v>
      </c>
      <c r="B233" s="990">
        <v>1</v>
      </c>
      <c r="C233" s="990">
        <v>233</v>
      </c>
      <c r="D233" s="1121" t="s">
        <v>999</v>
      </c>
      <c r="E233" s="1243">
        <v>1</v>
      </c>
      <c r="F233" s="5"/>
      <c r="G233" s="5"/>
      <c r="H233" s="5"/>
      <c r="I233" s="30"/>
      <c r="J233" s="4"/>
      <c r="K233" s="5"/>
      <c r="L233" s="5"/>
      <c r="M233" s="51"/>
      <c r="N233" s="51" t="s">
        <v>11</v>
      </c>
      <c r="O233" s="51"/>
      <c r="P233" s="50"/>
      <c r="Q233" s="284">
        <f t="shared" si="203"/>
        <v>0</v>
      </c>
      <c r="R233" s="284">
        <f t="shared" si="203"/>
        <v>0</v>
      </c>
      <c r="S233" s="284">
        <f t="shared" si="203"/>
        <v>0</v>
      </c>
      <c r="T233" s="284">
        <f t="shared" si="203"/>
        <v>0</v>
      </c>
      <c r="U233" s="284">
        <f t="shared" si="203"/>
        <v>0</v>
      </c>
      <c r="V233" s="284">
        <f t="shared" si="203"/>
        <v>0</v>
      </c>
      <c r="W233" s="284">
        <f t="shared" si="203"/>
        <v>0</v>
      </c>
      <c r="X233" s="284">
        <f t="shared" si="203"/>
        <v>0</v>
      </c>
      <c r="Y233" s="284">
        <f t="shared" si="203"/>
        <v>0</v>
      </c>
      <c r="Z233" s="284">
        <f t="shared" si="203"/>
        <v>0</v>
      </c>
      <c r="AA233" s="284">
        <f t="shared" si="203"/>
        <v>0</v>
      </c>
      <c r="AB233" s="284">
        <f t="shared" si="203"/>
        <v>0</v>
      </c>
      <c r="AC233" s="284">
        <f t="shared" si="199"/>
        <v>0</v>
      </c>
      <c r="AD233" s="284">
        <f t="shared" si="200"/>
        <v>0</v>
      </c>
      <c r="AE233" s="284">
        <f t="shared" si="201"/>
        <v>0</v>
      </c>
      <c r="AF233" s="284">
        <f t="shared" si="202"/>
        <v>0</v>
      </c>
      <c r="AG233" s="284">
        <f t="shared" si="204"/>
        <v>0</v>
      </c>
      <c r="AH233" s="284">
        <f t="shared" si="205"/>
        <v>0</v>
      </c>
      <c r="AI233" s="284">
        <f t="shared" si="206"/>
        <v>0</v>
      </c>
    </row>
    <row r="234" spans="1:35" s="75" customFormat="1">
      <c r="A234" s="990">
        <v>212</v>
      </c>
      <c r="B234" s="990">
        <v>1</v>
      </c>
      <c r="C234" s="990">
        <v>234</v>
      </c>
      <c r="D234" s="1121" t="s">
        <v>999</v>
      </c>
      <c r="E234" s="1243">
        <v>1</v>
      </c>
      <c r="F234" s="5"/>
      <c r="G234" s="5"/>
      <c r="H234" s="5"/>
      <c r="I234" s="30"/>
      <c r="J234" s="4"/>
      <c r="K234" s="5"/>
      <c r="L234" s="5"/>
      <c r="M234" s="387" t="s">
        <v>95</v>
      </c>
      <c r="N234" s="387"/>
      <c r="O234" s="387"/>
      <c r="P234" s="1178"/>
      <c r="Q234" s="388">
        <f>SUM(Q235:Q240)</f>
        <v>-135</v>
      </c>
      <c r="R234" s="388">
        <f t="shared" ref="R234:AB234" si="207">SUM(R235:R240)</f>
        <v>-1099</v>
      </c>
      <c r="S234" s="388">
        <f t="shared" si="207"/>
        <v>51</v>
      </c>
      <c r="T234" s="388">
        <f t="shared" si="207"/>
        <v>-607</v>
      </c>
      <c r="U234" s="388">
        <f t="shared" si="207"/>
        <v>979</v>
      </c>
      <c r="V234" s="388">
        <f t="shared" si="207"/>
        <v>-291</v>
      </c>
      <c r="W234" s="388">
        <f t="shared" si="207"/>
        <v>-1113</v>
      </c>
      <c r="X234" s="388">
        <f t="shared" si="207"/>
        <v>1740</v>
      </c>
      <c r="Y234" s="388">
        <f t="shared" si="207"/>
        <v>1316</v>
      </c>
      <c r="Z234" s="388">
        <f t="shared" si="207"/>
        <v>1816</v>
      </c>
      <c r="AA234" s="388">
        <f t="shared" si="207"/>
        <v>613</v>
      </c>
      <c r="AB234" s="388">
        <f t="shared" si="207"/>
        <v>71</v>
      </c>
      <c r="AC234" s="388">
        <f t="shared" si="199"/>
        <v>-1183</v>
      </c>
      <c r="AD234" s="388">
        <f t="shared" si="200"/>
        <v>81</v>
      </c>
      <c r="AE234" s="388">
        <f t="shared" si="201"/>
        <v>1943</v>
      </c>
      <c r="AF234" s="388">
        <f t="shared" si="202"/>
        <v>2500</v>
      </c>
      <c r="AG234" s="388">
        <f t="shared" si="204"/>
        <v>-1102</v>
      </c>
      <c r="AH234" s="388">
        <f t="shared" si="205"/>
        <v>4443</v>
      </c>
      <c r="AI234" s="388">
        <f t="shared" si="206"/>
        <v>3341</v>
      </c>
    </row>
    <row r="235" spans="1:35" s="75" customFormat="1">
      <c r="A235" s="990">
        <v>213</v>
      </c>
      <c r="B235" s="990">
        <v>1</v>
      </c>
      <c r="C235" s="990">
        <v>235</v>
      </c>
      <c r="D235" s="1121" t="s">
        <v>999</v>
      </c>
      <c r="E235" s="1243">
        <v>1</v>
      </c>
      <c r="F235" s="5"/>
      <c r="G235" s="5"/>
      <c r="H235" s="5"/>
      <c r="I235" s="30"/>
      <c r="J235" s="4"/>
      <c r="K235" s="5"/>
      <c r="L235" s="5"/>
      <c r="M235" s="5"/>
      <c r="N235" s="4" t="s">
        <v>55</v>
      </c>
      <c r="O235" s="4"/>
      <c r="P235" s="29"/>
      <c r="Q235" s="135">
        <f t="shared" ref="Q235:AB235" si="208">Q608+Q652</f>
        <v>-1285</v>
      </c>
      <c r="R235" s="135">
        <f t="shared" si="208"/>
        <v>-1086</v>
      </c>
      <c r="S235" s="135">
        <f t="shared" si="208"/>
        <v>-116</v>
      </c>
      <c r="T235" s="135">
        <f t="shared" si="208"/>
        <v>-2446</v>
      </c>
      <c r="U235" s="135">
        <f t="shared" si="208"/>
        <v>-440</v>
      </c>
      <c r="V235" s="135">
        <f t="shared" si="208"/>
        <v>-1067</v>
      </c>
      <c r="W235" s="135">
        <f t="shared" si="208"/>
        <v>-1160</v>
      </c>
      <c r="X235" s="135">
        <f t="shared" si="208"/>
        <v>43</v>
      </c>
      <c r="Y235" s="135">
        <f t="shared" si="208"/>
        <v>-553</v>
      </c>
      <c r="Z235" s="135">
        <f t="shared" si="208"/>
        <v>-442</v>
      </c>
      <c r="AA235" s="135">
        <f t="shared" si="208"/>
        <v>42</v>
      </c>
      <c r="AB235" s="135">
        <f t="shared" si="208"/>
        <v>-510</v>
      </c>
      <c r="AC235" s="135">
        <f t="shared" si="199"/>
        <v>-2487</v>
      </c>
      <c r="AD235" s="135">
        <f t="shared" si="200"/>
        <v>-3953</v>
      </c>
      <c r="AE235" s="135">
        <f t="shared" si="201"/>
        <v>-1670</v>
      </c>
      <c r="AF235" s="135">
        <f t="shared" si="202"/>
        <v>-910</v>
      </c>
      <c r="AG235" s="135">
        <f t="shared" si="204"/>
        <v>-6440</v>
      </c>
      <c r="AH235" s="135">
        <f t="shared" si="205"/>
        <v>-2580</v>
      </c>
      <c r="AI235" s="135">
        <f t="shared" si="206"/>
        <v>-9020</v>
      </c>
    </row>
    <row r="236" spans="1:35" s="75" customFormat="1">
      <c r="A236" s="990">
        <v>214</v>
      </c>
      <c r="B236" s="990">
        <v>1</v>
      </c>
      <c r="C236" s="990">
        <v>236</v>
      </c>
      <c r="D236" s="1121" t="s">
        <v>999</v>
      </c>
      <c r="E236" s="1243">
        <v>1</v>
      </c>
      <c r="F236" s="5"/>
      <c r="G236" s="5"/>
      <c r="H236" s="5"/>
      <c r="I236" s="30"/>
      <c r="J236" s="4"/>
      <c r="K236" s="5"/>
      <c r="L236" s="5"/>
      <c r="M236" s="5"/>
      <c r="N236" s="4" t="s">
        <v>1040</v>
      </c>
      <c r="O236" s="4"/>
      <c r="P236" s="29"/>
      <c r="Q236" s="135">
        <f t="shared" ref="Q236:AB236" si="209">Q614+Q658</f>
        <v>1280</v>
      </c>
      <c r="R236" s="135">
        <f t="shared" si="209"/>
        <v>880</v>
      </c>
      <c r="S236" s="135">
        <f t="shared" si="209"/>
        <v>948</v>
      </c>
      <c r="T236" s="135">
        <f t="shared" si="209"/>
        <v>1701</v>
      </c>
      <c r="U236" s="135">
        <f t="shared" si="209"/>
        <v>1332</v>
      </c>
      <c r="V236" s="135">
        <f t="shared" si="209"/>
        <v>1404</v>
      </c>
      <c r="W236" s="135">
        <f t="shared" si="209"/>
        <v>991</v>
      </c>
      <c r="X236" s="135">
        <f t="shared" si="209"/>
        <v>1421</v>
      </c>
      <c r="Y236" s="135">
        <f t="shared" si="209"/>
        <v>2091</v>
      </c>
      <c r="Z236" s="135">
        <f t="shared" si="209"/>
        <v>2105</v>
      </c>
      <c r="AA236" s="135">
        <f t="shared" si="209"/>
        <v>1901</v>
      </c>
      <c r="AB236" s="135">
        <f t="shared" si="209"/>
        <v>1614</v>
      </c>
      <c r="AC236" s="135">
        <f t="shared" si="199"/>
        <v>3108</v>
      </c>
      <c r="AD236" s="135">
        <f t="shared" si="200"/>
        <v>4437</v>
      </c>
      <c r="AE236" s="135">
        <f t="shared" si="201"/>
        <v>4503</v>
      </c>
      <c r="AF236" s="135">
        <f t="shared" si="202"/>
        <v>5620</v>
      </c>
      <c r="AG236" s="135">
        <f t="shared" si="204"/>
        <v>7545</v>
      </c>
      <c r="AH236" s="135">
        <f t="shared" si="205"/>
        <v>10123</v>
      </c>
      <c r="AI236" s="135">
        <f t="shared" si="206"/>
        <v>17668</v>
      </c>
    </row>
    <row r="237" spans="1:35" s="75" customFormat="1">
      <c r="A237" s="990">
        <v>215</v>
      </c>
      <c r="B237" s="990">
        <v>1</v>
      </c>
      <c r="C237" s="990">
        <v>237</v>
      </c>
      <c r="D237" s="1121" t="s">
        <v>999</v>
      </c>
      <c r="E237" s="1243">
        <v>1</v>
      </c>
      <c r="F237" s="5"/>
      <c r="G237" s="5"/>
      <c r="H237" s="5"/>
      <c r="I237" s="30"/>
      <c r="J237" s="4"/>
      <c r="K237" s="5"/>
      <c r="L237" s="5"/>
      <c r="M237" s="5"/>
      <c r="N237" s="4" t="s">
        <v>1041</v>
      </c>
      <c r="O237" s="4"/>
      <c r="P237" s="1179"/>
      <c r="Q237" s="135">
        <f t="shared" ref="Q237:AB237" si="210">Q620+Q664</f>
        <v>-130</v>
      </c>
      <c r="R237" s="135">
        <f t="shared" si="210"/>
        <v>-893</v>
      </c>
      <c r="S237" s="135">
        <f t="shared" si="210"/>
        <v>-781</v>
      </c>
      <c r="T237" s="135">
        <f t="shared" si="210"/>
        <v>138</v>
      </c>
      <c r="U237" s="135">
        <f t="shared" si="210"/>
        <v>87</v>
      </c>
      <c r="V237" s="135">
        <f t="shared" si="210"/>
        <v>-628</v>
      </c>
      <c r="W237" s="135">
        <f t="shared" si="210"/>
        <v>-944</v>
      </c>
      <c r="X237" s="135">
        <f t="shared" si="210"/>
        <v>276</v>
      </c>
      <c r="Y237" s="135">
        <f t="shared" si="210"/>
        <v>-222</v>
      </c>
      <c r="Z237" s="135">
        <f t="shared" si="210"/>
        <v>153</v>
      </c>
      <c r="AA237" s="135">
        <f t="shared" si="210"/>
        <v>-1330</v>
      </c>
      <c r="AB237" s="135">
        <f t="shared" si="210"/>
        <v>-1033</v>
      </c>
      <c r="AC237" s="135">
        <f t="shared" si="199"/>
        <v>-1804</v>
      </c>
      <c r="AD237" s="135">
        <f t="shared" si="200"/>
        <v>-403</v>
      </c>
      <c r="AE237" s="135">
        <f t="shared" si="201"/>
        <v>-890</v>
      </c>
      <c r="AF237" s="135">
        <f t="shared" si="202"/>
        <v>-2210</v>
      </c>
      <c r="AG237" s="135">
        <f t="shared" si="204"/>
        <v>-2207</v>
      </c>
      <c r="AH237" s="135">
        <f t="shared" si="205"/>
        <v>-3100</v>
      </c>
      <c r="AI237" s="135">
        <f t="shared" si="206"/>
        <v>-5307</v>
      </c>
    </row>
    <row r="238" spans="1:35" s="75" customFormat="1">
      <c r="A238" s="990">
        <v>216</v>
      </c>
      <c r="B238" s="990">
        <v>1</v>
      </c>
      <c r="C238" s="990">
        <v>238</v>
      </c>
      <c r="D238" s="1121" t="s">
        <v>999</v>
      </c>
      <c r="E238" s="1243">
        <v>1</v>
      </c>
      <c r="F238" s="5"/>
      <c r="G238" s="5"/>
      <c r="H238" s="5"/>
      <c r="I238" s="30"/>
      <c r="J238" s="4"/>
      <c r="K238" s="5"/>
      <c r="L238" s="5"/>
      <c r="M238" s="5"/>
      <c r="N238" s="4" t="s">
        <v>1042</v>
      </c>
      <c r="O238" s="4"/>
      <c r="P238" s="29"/>
      <c r="Q238" s="135">
        <f t="shared" ref="Q238:AB238" si="211">Q626+Q670</f>
        <v>0</v>
      </c>
      <c r="R238" s="135">
        <f t="shared" si="211"/>
        <v>0</v>
      </c>
      <c r="S238" s="135">
        <f t="shared" si="211"/>
        <v>0</v>
      </c>
      <c r="T238" s="135">
        <f t="shared" si="211"/>
        <v>0</v>
      </c>
      <c r="U238" s="135">
        <f t="shared" si="211"/>
        <v>0</v>
      </c>
      <c r="V238" s="135">
        <f t="shared" si="211"/>
        <v>0</v>
      </c>
      <c r="W238" s="135">
        <f t="shared" si="211"/>
        <v>0</v>
      </c>
      <c r="X238" s="135">
        <f t="shared" si="211"/>
        <v>0</v>
      </c>
      <c r="Y238" s="135">
        <f t="shared" si="211"/>
        <v>0</v>
      </c>
      <c r="Z238" s="135">
        <f t="shared" si="211"/>
        <v>0</v>
      </c>
      <c r="AA238" s="135">
        <f t="shared" si="211"/>
        <v>0</v>
      </c>
      <c r="AB238" s="135">
        <f t="shared" si="211"/>
        <v>0</v>
      </c>
      <c r="AC238" s="135">
        <f t="shared" si="199"/>
        <v>0</v>
      </c>
      <c r="AD238" s="135">
        <f t="shared" si="200"/>
        <v>0</v>
      </c>
      <c r="AE238" s="135">
        <f t="shared" si="201"/>
        <v>0</v>
      </c>
      <c r="AF238" s="135">
        <f t="shared" si="202"/>
        <v>0</v>
      </c>
      <c r="AG238" s="135">
        <f t="shared" si="204"/>
        <v>0</v>
      </c>
      <c r="AH238" s="135">
        <f t="shared" si="205"/>
        <v>0</v>
      </c>
      <c r="AI238" s="135">
        <f t="shared" si="206"/>
        <v>0</v>
      </c>
    </row>
    <row r="239" spans="1:35" s="75" customFormat="1">
      <c r="A239" s="990">
        <v>217</v>
      </c>
      <c r="B239" s="990">
        <v>1</v>
      </c>
      <c r="C239" s="990">
        <v>239</v>
      </c>
      <c r="D239" s="1121" t="s">
        <v>999</v>
      </c>
      <c r="E239" s="1243">
        <v>1</v>
      </c>
      <c r="F239" s="5"/>
      <c r="G239" s="5"/>
      <c r="H239" s="5"/>
      <c r="I239" s="30"/>
      <c r="J239" s="4"/>
      <c r="K239" s="5"/>
      <c r="L239" s="5"/>
      <c r="M239" s="5"/>
      <c r="N239" s="4" t="s">
        <v>852</v>
      </c>
      <c r="O239" s="4"/>
      <c r="P239" s="29"/>
      <c r="Q239" s="135">
        <f t="shared" ref="Q239:AB239" si="212">Q632+Q676</f>
        <v>0</v>
      </c>
      <c r="R239" s="135">
        <f t="shared" si="212"/>
        <v>0</v>
      </c>
      <c r="S239" s="135">
        <f t="shared" si="212"/>
        <v>0</v>
      </c>
      <c r="T239" s="135">
        <f t="shared" si="212"/>
        <v>0</v>
      </c>
      <c r="U239" s="135">
        <f t="shared" si="212"/>
        <v>0</v>
      </c>
      <c r="V239" s="135">
        <f t="shared" si="212"/>
        <v>0</v>
      </c>
      <c r="W239" s="135">
        <f t="shared" si="212"/>
        <v>0</v>
      </c>
      <c r="X239" s="135">
        <f t="shared" si="212"/>
        <v>0</v>
      </c>
      <c r="Y239" s="135">
        <f t="shared" si="212"/>
        <v>0</v>
      </c>
      <c r="Z239" s="135">
        <f t="shared" si="212"/>
        <v>0</v>
      </c>
      <c r="AA239" s="135">
        <f t="shared" si="212"/>
        <v>0</v>
      </c>
      <c r="AB239" s="135">
        <f t="shared" si="212"/>
        <v>0</v>
      </c>
      <c r="AC239" s="135">
        <f t="shared" si="199"/>
        <v>0</v>
      </c>
      <c r="AD239" s="135">
        <f t="shared" si="200"/>
        <v>0</v>
      </c>
      <c r="AE239" s="135">
        <f t="shared" si="201"/>
        <v>0</v>
      </c>
      <c r="AF239" s="135">
        <f t="shared" si="202"/>
        <v>0</v>
      </c>
      <c r="AG239" s="135">
        <f t="shared" si="204"/>
        <v>0</v>
      </c>
      <c r="AH239" s="135">
        <f t="shared" si="205"/>
        <v>0</v>
      </c>
      <c r="AI239" s="135">
        <f t="shared" si="206"/>
        <v>0</v>
      </c>
    </row>
    <row r="240" spans="1:35" s="75" customFormat="1">
      <c r="A240" s="990">
        <v>218</v>
      </c>
      <c r="B240" s="990">
        <v>1</v>
      </c>
      <c r="C240" s="990">
        <v>240</v>
      </c>
      <c r="D240" s="1121" t="s">
        <v>999</v>
      </c>
      <c r="E240" s="1243">
        <v>1</v>
      </c>
      <c r="F240" s="5"/>
      <c r="G240" s="5"/>
      <c r="H240" s="5"/>
      <c r="I240" s="28"/>
      <c r="J240" s="2"/>
      <c r="K240" s="3"/>
      <c r="L240" s="3"/>
      <c r="M240" s="3"/>
      <c r="N240" s="2" t="s">
        <v>11</v>
      </c>
      <c r="O240" s="2"/>
      <c r="P240" s="27"/>
      <c r="Q240" s="285">
        <f>Q638+Q641+Q642+Q682+Q685+Q686</f>
        <v>0</v>
      </c>
      <c r="R240" s="285">
        <f t="shared" ref="R240:AB240" si="213">R638+R641+R642+R682+R685+R686</f>
        <v>0</v>
      </c>
      <c r="S240" s="285">
        <f t="shared" si="213"/>
        <v>0</v>
      </c>
      <c r="T240" s="285">
        <f t="shared" si="213"/>
        <v>0</v>
      </c>
      <c r="U240" s="285">
        <f t="shared" si="213"/>
        <v>0</v>
      </c>
      <c r="V240" s="285">
        <f t="shared" si="213"/>
        <v>0</v>
      </c>
      <c r="W240" s="285">
        <f t="shared" si="213"/>
        <v>0</v>
      </c>
      <c r="X240" s="285">
        <f t="shared" si="213"/>
        <v>0</v>
      </c>
      <c r="Y240" s="285">
        <f t="shared" si="213"/>
        <v>0</v>
      </c>
      <c r="Z240" s="285">
        <f t="shared" si="213"/>
        <v>0</v>
      </c>
      <c r="AA240" s="285">
        <f t="shared" si="213"/>
        <v>0</v>
      </c>
      <c r="AB240" s="285">
        <f t="shared" si="213"/>
        <v>0</v>
      </c>
      <c r="AC240" s="285">
        <f t="shared" si="199"/>
        <v>0</v>
      </c>
      <c r="AD240" s="285">
        <f t="shared" si="200"/>
        <v>0</v>
      </c>
      <c r="AE240" s="285">
        <f t="shared" si="201"/>
        <v>0</v>
      </c>
      <c r="AF240" s="285">
        <f t="shared" si="202"/>
        <v>0</v>
      </c>
      <c r="AG240" s="285">
        <f t="shared" si="204"/>
        <v>0</v>
      </c>
      <c r="AH240" s="285">
        <f t="shared" si="205"/>
        <v>0</v>
      </c>
      <c r="AI240" s="285">
        <f t="shared" si="206"/>
        <v>0</v>
      </c>
    </row>
    <row r="241" spans="1:36">
      <c r="A241" s="990">
        <v>219</v>
      </c>
      <c r="B241" s="990">
        <v>1</v>
      </c>
      <c r="C241" s="990">
        <v>241</v>
      </c>
      <c r="D241" s="1121" t="s">
        <v>999</v>
      </c>
      <c r="E241" s="1243">
        <v>1</v>
      </c>
      <c r="F241" s="5"/>
      <c r="G241" s="5"/>
      <c r="H241" s="5"/>
      <c r="I241" s="458" t="s">
        <v>97</v>
      </c>
      <c r="J241" s="604"/>
      <c r="K241" s="788"/>
      <c r="L241" s="788"/>
      <c r="M241" s="604"/>
      <c r="N241" s="604"/>
      <c r="O241" s="604"/>
      <c r="P241" s="1176"/>
      <c r="Q241" s="455">
        <f>SUM(Q242:Q244)</f>
        <v>2389</v>
      </c>
      <c r="R241" s="455">
        <f t="shared" ref="R241:AI241" si="214">SUM(R242:R244)</f>
        <v>2371</v>
      </c>
      <c r="S241" s="455">
        <f t="shared" si="214"/>
        <v>1325</v>
      </c>
      <c r="T241" s="455">
        <f t="shared" si="214"/>
        <v>2122</v>
      </c>
      <c r="U241" s="455">
        <f t="shared" si="214"/>
        <v>2279</v>
      </c>
      <c r="V241" s="455">
        <f t="shared" si="214"/>
        <v>929</v>
      </c>
      <c r="W241" s="455">
        <f t="shared" si="214"/>
        <v>2289</v>
      </c>
      <c r="X241" s="455">
        <f t="shared" si="214"/>
        <v>2268</v>
      </c>
      <c r="Y241" s="455">
        <f t="shared" si="214"/>
        <v>1777</v>
      </c>
      <c r="Z241" s="455">
        <f t="shared" si="214"/>
        <v>2106</v>
      </c>
      <c r="AA241" s="455">
        <f t="shared" si="214"/>
        <v>3127.3412952744147</v>
      </c>
      <c r="AB241" s="455">
        <f t="shared" si="214"/>
        <v>1206.2545536721029</v>
      </c>
      <c r="AC241" s="455">
        <f t="shared" si="214"/>
        <v>6085</v>
      </c>
      <c r="AD241" s="455">
        <f t="shared" si="214"/>
        <v>5330</v>
      </c>
      <c r="AE241" s="455">
        <f t="shared" si="214"/>
        <v>6334</v>
      </c>
      <c r="AF241" s="455">
        <f t="shared" si="214"/>
        <v>6439.5958489465183</v>
      </c>
      <c r="AG241" s="455">
        <f t="shared" si="214"/>
        <v>11415</v>
      </c>
      <c r="AH241" s="455">
        <f t="shared" si="214"/>
        <v>12773.595848946519</v>
      </c>
      <c r="AI241" s="455">
        <f t="shared" si="214"/>
        <v>24188.595848946519</v>
      </c>
    </row>
    <row r="242" spans="1:36">
      <c r="A242" s="990">
        <v>220</v>
      </c>
      <c r="B242" s="990">
        <v>1</v>
      </c>
      <c r="C242" s="990">
        <v>242</v>
      </c>
      <c r="D242" s="1121" t="s">
        <v>999</v>
      </c>
      <c r="E242" s="1243">
        <v>1</v>
      </c>
      <c r="F242" s="5"/>
      <c r="G242" s="5"/>
      <c r="H242" s="5"/>
      <c r="I242" s="30"/>
      <c r="J242" s="123" t="s">
        <v>143</v>
      </c>
      <c r="K242" s="5"/>
      <c r="L242" s="5"/>
      <c r="M242" s="4"/>
      <c r="N242" s="4"/>
      <c r="O242" s="4"/>
      <c r="P242" s="29"/>
      <c r="Q242" s="2039">
        <v>2</v>
      </c>
      <c r="R242" s="2039">
        <v>41</v>
      </c>
      <c r="S242" s="2039">
        <v>0</v>
      </c>
      <c r="T242" s="2039">
        <v>14</v>
      </c>
      <c r="U242" s="2039">
        <v>90</v>
      </c>
      <c r="V242" s="2039">
        <v>0</v>
      </c>
      <c r="W242" s="2039">
        <v>144</v>
      </c>
      <c r="X242" s="2039">
        <v>103</v>
      </c>
      <c r="Y242" s="2039">
        <v>249</v>
      </c>
      <c r="Z242" s="2039">
        <v>61</v>
      </c>
      <c r="AA242" s="2039">
        <v>38.420483688420646</v>
      </c>
      <c r="AB242" s="2039">
        <v>-72.388808322818306</v>
      </c>
      <c r="AC242" s="89">
        <f>SUM(Q242,R242,S242)</f>
        <v>43</v>
      </c>
      <c r="AD242" s="89">
        <f>SUM(T242,U242,V242)</f>
        <v>104</v>
      </c>
      <c r="AE242" s="89">
        <f>SUM(W242,X242,Y242)</f>
        <v>496</v>
      </c>
      <c r="AF242" s="89">
        <f>SUM(Z242,AA242,AB242)</f>
        <v>27.031675365602339</v>
      </c>
      <c r="AG242" s="89">
        <f>AC242+AD242</f>
        <v>147</v>
      </c>
      <c r="AH242" s="89">
        <f>AF242+AE242</f>
        <v>523.03167536560238</v>
      </c>
      <c r="AI242" s="89">
        <f>AG242+AH242</f>
        <v>670.03167536560238</v>
      </c>
    </row>
    <row r="243" spans="1:36">
      <c r="A243" s="990">
        <v>221</v>
      </c>
      <c r="B243" s="990">
        <v>1</v>
      </c>
      <c r="C243" s="990">
        <v>243</v>
      </c>
      <c r="D243" s="1121" t="s">
        <v>999</v>
      </c>
      <c r="E243" s="1243">
        <v>1</v>
      </c>
      <c r="F243" s="5"/>
      <c r="G243" s="5"/>
      <c r="H243" s="5"/>
      <c r="I243" s="30"/>
      <c r="J243" s="40" t="s">
        <v>96</v>
      </c>
      <c r="K243" s="5"/>
      <c r="L243" s="5"/>
      <c r="M243" s="4"/>
      <c r="N243" s="4"/>
      <c r="O243" s="4"/>
      <c r="P243" s="29"/>
      <c r="Q243" s="2039">
        <v>1941</v>
      </c>
      <c r="R243" s="2039">
        <v>1911</v>
      </c>
      <c r="S243" s="2039">
        <v>1898</v>
      </c>
      <c r="T243" s="2039">
        <v>1685</v>
      </c>
      <c r="U243" s="2039">
        <v>1762</v>
      </c>
      <c r="V243" s="2039">
        <v>1339</v>
      </c>
      <c r="W243" s="2039">
        <v>1670</v>
      </c>
      <c r="X243" s="2039">
        <v>1588</v>
      </c>
      <c r="Y243" s="2039">
        <v>1669</v>
      </c>
      <c r="Z243" s="2039">
        <v>1664</v>
      </c>
      <c r="AA243" s="2039">
        <v>2665.7852075894639</v>
      </c>
      <c r="AB243" s="2039">
        <v>1550.6433619949212</v>
      </c>
      <c r="AC243" s="89">
        <f>SUM(Q243,R243,S243)</f>
        <v>5750</v>
      </c>
      <c r="AD243" s="89">
        <f>SUM(T243,U243,V243)</f>
        <v>4786</v>
      </c>
      <c r="AE243" s="89">
        <f>SUM(W243,X243,Y243)</f>
        <v>4927</v>
      </c>
      <c r="AF243" s="89">
        <f>SUM(Z243,AA243,AB243)</f>
        <v>5880.4285695843855</v>
      </c>
      <c r="AG243" s="89">
        <f>AC243+AD243</f>
        <v>10536</v>
      </c>
      <c r="AH243" s="89">
        <f>AF243+AE243</f>
        <v>10807.428569584386</v>
      </c>
      <c r="AI243" s="89">
        <f>AG243+AH243</f>
        <v>21343.428569584386</v>
      </c>
    </row>
    <row r="244" spans="1:36">
      <c r="A244" s="990">
        <v>222</v>
      </c>
      <c r="B244" s="990">
        <v>1</v>
      </c>
      <c r="C244" s="990">
        <v>244</v>
      </c>
      <c r="D244" s="1121" t="s">
        <v>999</v>
      </c>
      <c r="E244" s="1243">
        <v>1</v>
      </c>
      <c r="F244" s="5"/>
      <c r="G244" s="5"/>
      <c r="H244" s="5"/>
      <c r="I244" s="30"/>
      <c r="J244" s="40" t="s">
        <v>142</v>
      </c>
      <c r="K244" s="5"/>
      <c r="L244" s="5"/>
      <c r="M244" s="4"/>
      <c r="N244" s="4"/>
      <c r="O244" s="4"/>
      <c r="P244" s="29"/>
      <c r="Q244" s="2039">
        <v>446</v>
      </c>
      <c r="R244" s="2039">
        <v>419</v>
      </c>
      <c r="S244" s="2039">
        <v>-573</v>
      </c>
      <c r="T244" s="2039">
        <v>423</v>
      </c>
      <c r="U244" s="2039">
        <v>427</v>
      </c>
      <c r="V244" s="2039">
        <v>-410</v>
      </c>
      <c r="W244" s="2039">
        <v>475</v>
      </c>
      <c r="X244" s="2039">
        <v>577</v>
      </c>
      <c r="Y244" s="2039">
        <v>-141</v>
      </c>
      <c r="Z244" s="2039">
        <v>381</v>
      </c>
      <c r="AA244" s="2039">
        <v>423.13560399653045</v>
      </c>
      <c r="AB244" s="2039">
        <v>-272</v>
      </c>
      <c r="AC244" s="89">
        <f>SUM(Q244,R244,S244)</f>
        <v>292</v>
      </c>
      <c r="AD244" s="89">
        <f>SUM(T244,U244,V244)</f>
        <v>440</v>
      </c>
      <c r="AE244" s="89">
        <f>SUM(W244,X244,Y244)</f>
        <v>911</v>
      </c>
      <c r="AF244" s="89">
        <f>SUM(Z244,AA244,AB244)</f>
        <v>532.13560399653045</v>
      </c>
      <c r="AG244" s="89">
        <f>AC244+AD244</f>
        <v>732</v>
      </c>
      <c r="AH244" s="89">
        <f>AF244+AE244</f>
        <v>1443.1356039965303</v>
      </c>
      <c r="AI244" s="89">
        <f>AG244+AH244</f>
        <v>2175.1356039965303</v>
      </c>
    </row>
    <row r="245" spans="1:36">
      <c r="A245" s="990">
        <v>223</v>
      </c>
      <c r="B245" s="990">
        <v>1</v>
      </c>
      <c r="C245" s="990">
        <v>245</v>
      </c>
      <c r="D245" s="1121" t="s">
        <v>999</v>
      </c>
      <c r="E245" s="1243">
        <v>1</v>
      </c>
      <c r="F245" s="5"/>
      <c r="G245" s="5"/>
      <c r="H245" s="5"/>
      <c r="I245" s="458" t="s">
        <v>136</v>
      </c>
      <c r="J245" s="604"/>
      <c r="K245" s="788"/>
      <c r="L245" s="788"/>
      <c r="M245" s="788"/>
      <c r="N245" s="788"/>
      <c r="O245" s="788"/>
      <c r="P245" s="1185"/>
      <c r="Q245" s="455">
        <f t="shared" ref="Q245:AI245" si="215">Q211-Q241</f>
        <v>1086</v>
      </c>
      <c r="R245" s="455">
        <f t="shared" si="215"/>
        <v>1523</v>
      </c>
      <c r="S245" s="455">
        <f t="shared" si="215"/>
        <v>11150</v>
      </c>
      <c r="T245" s="455">
        <f t="shared" si="215"/>
        <v>-2706</v>
      </c>
      <c r="U245" s="455">
        <f t="shared" si="215"/>
        <v>-1538</v>
      </c>
      <c r="V245" s="455">
        <f t="shared" si="215"/>
        <v>-1202</v>
      </c>
      <c r="W245" s="455">
        <f t="shared" si="215"/>
        <v>-3388</v>
      </c>
      <c r="X245" s="455">
        <f t="shared" si="215"/>
        <v>-765</v>
      </c>
      <c r="Y245" s="455">
        <f t="shared" si="215"/>
        <v>-14756</v>
      </c>
      <c r="Z245" s="455">
        <f t="shared" si="215"/>
        <v>12399</v>
      </c>
      <c r="AA245" s="455">
        <f t="shared" si="215"/>
        <v>7253.6587047255853</v>
      </c>
      <c r="AB245" s="455">
        <f t="shared" si="215"/>
        <v>597.74544632789707</v>
      </c>
      <c r="AC245" s="455">
        <f t="shared" si="215"/>
        <v>13759</v>
      </c>
      <c r="AD245" s="455">
        <f t="shared" si="215"/>
        <v>-5446</v>
      </c>
      <c r="AE245" s="455">
        <f t="shared" si="215"/>
        <v>-18909</v>
      </c>
      <c r="AF245" s="455">
        <f t="shared" si="215"/>
        <v>20250.404151053481</v>
      </c>
      <c r="AG245" s="455">
        <f t="shared" si="215"/>
        <v>8313</v>
      </c>
      <c r="AH245" s="455">
        <f t="shared" si="215"/>
        <v>1341.4041510534807</v>
      </c>
      <c r="AI245" s="455">
        <f t="shared" si="215"/>
        <v>9654.4041510534807</v>
      </c>
    </row>
    <row r="246" spans="1:36" ht="14.5">
      <c r="A246" s="990">
        <v>224</v>
      </c>
      <c r="B246" s="990">
        <v>1</v>
      </c>
      <c r="C246" s="990">
        <v>246</v>
      </c>
      <c r="D246" s="1121" t="s">
        <v>999</v>
      </c>
      <c r="E246" s="1243">
        <v>1</v>
      </c>
      <c r="F246" s="5"/>
      <c r="G246" s="5"/>
      <c r="H246" s="5"/>
      <c r="I246" s="28"/>
      <c r="J246" s="629" t="s">
        <v>135</v>
      </c>
      <c r="K246" s="3"/>
      <c r="L246" s="3"/>
      <c r="M246" s="2"/>
      <c r="N246" s="2"/>
      <c r="O246" s="2"/>
      <c r="P246" s="27"/>
      <c r="Q246" s="866">
        <f t="shared" ref="Q246:AI246" si="216">IFERROR(Q245/Q181,0)</f>
        <v>8.4218689414501752E-2</v>
      </c>
      <c r="R246" s="866">
        <f t="shared" si="216"/>
        <v>5.653933251661284E-2</v>
      </c>
      <c r="S246" s="866">
        <f t="shared" si="216"/>
        <v>0.2150599853412028</v>
      </c>
      <c r="T246" s="866">
        <f t="shared" si="216"/>
        <v>-0.19497081922328699</v>
      </c>
      <c r="U246" s="866">
        <f t="shared" si="216"/>
        <v>-0.38614109967361288</v>
      </c>
      <c r="V246" s="866">
        <f t="shared" si="216"/>
        <v>-8.9122859049455036E-2</v>
      </c>
      <c r="W246" s="866">
        <f t="shared" si="216"/>
        <v>-0.69002036659877797</v>
      </c>
      <c r="X246" s="866">
        <f t="shared" si="216"/>
        <v>-0.15612244897959185</v>
      </c>
      <c r="Y246" s="866">
        <f t="shared" si="216"/>
        <v>-0.94626138258304471</v>
      </c>
      <c r="Z246" s="866">
        <f t="shared" si="216"/>
        <v>0.38525354213273677</v>
      </c>
      <c r="AA246" s="866">
        <f t="shared" si="216"/>
        <v>0.17279255591428061</v>
      </c>
      <c r="AB246" s="866">
        <f t="shared" si="216"/>
        <v>3.4237095270513607E-2</v>
      </c>
      <c r="AC246" s="866">
        <f t="shared" si="216"/>
        <v>0.15007962651890311</v>
      </c>
      <c r="AD246" s="866">
        <f t="shared" si="216"/>
        <v>-0.17372164981339117</v>
      </c>
      <c r="AE246" s="866">
        <f t="shared" si="216"/>
        <v>-0.74433160132262632</v>
      </c>
      <c r="AF246" s="866">
        <f t="shared" si="216"/>
        <v>0.22102119743133178</v>
      </c>
      <c r="AG246" s="866">
        <f t="shared" si="216"/>
        <v>6.7570533297568833E-2</v>
      </c>
      <c r="AH246" s="866">
        <f t="shared" si="216"/>
        <v>1.1462445533928193E-2</v>
      </c>
      <c r="AI246" s="866">
        <f t="shared" si="216"/>
        <v>4.0217802531330504E-2</v>
      </c>
      <c r="AJ246" s="619"/>
    </row>
    <row r="247" spans="1:36">
      <c r="A247" s="990">
        <v>225</v>
      </c>
      <c r="B247" s="990">
        <v>1</v>
      </c>
      <c r="C247" s="990">
        <v>247</v>
      </c>
      <c r="D247" s="1121" t="s">
        <v>999</v>
      </c>
      <c r="E247" s="1243">
        <v>1</v>
      </c>
      <c r="F247" s="5"/>
      <c r="G247" s="5"/>
      <c r="H247" s="5"/>
      <c r="I247" s="258" t="s">
        <v>504</v>
      </c>
      <c r="J247" s="555"/>
      <c r="K247" s="636"/>
      <c r="L247" s="636"/>
      <c r="M247" s="555"/>
      <c r="N247" s="555"/>
      <c r="O247" s="555"/>
      <c r="P247" s="1152"/>
      <c r="Q247" s="2618">
        <v>0</v>
      </c>
      <c r="R247" s="2618">
        <v>0</v>
      </c>
      <c r="S247" s="2618">
        <v>0</v>
      </c>
      <c r="T247" s="2618">
        <v>0</v>
      </c>
      <c r="U247" s="2618">
        <v>0</v>
      </c>
      <c r="V247" s="2618">
        <v>0</v>
      </c>
      <c r="W247" s="2618">
        <v>0</v>
      </c>
      <c r="X247" s="2618">
        <v>0</v>
      </c>
      <c r="Y247" s="2618">
        <v>0</v>
      </c>
      <c r="Z247" s="2618">
        <v>0</v>
      </c>
      <c r="AA247" s="2618"/>
      <c r="AB247" s="2618"/>
      <c r="AC247" s="122">
        <f>SUM(Q247,R247,S247)</f>
        <v>0</v>
      </c>
      <c r="AD247" s="122">
        <f>SUM(T247,U247,V247)</f>
        <v>0</v>
      </c>
      <c r="AE247" s="122">
        <f>SUM(W247,X247,Y247)</f>
        <v>0</v>
      </c>
      <c r="AF247" s="122">
        <f>SUM(Z247,AA247,AB247)</f>
        <v>0</v>
      </c>
      <c r="AG247" s="122">
        <f>AC247+AD247</f>
        <v>0</v>
      </c>
      <c r="AH247" s="122">
        <f>AF247+AE247</f>
        <v>0</v>
      </c>
      <c r="AI247" s="122">
        <f>AG247+AH247</f>
        <v>0</v>
      </c>
    </row>
    <row r="248" spans="1:36">
      <c r="A248" s="990">
        <v>226</v>
      </c>
      <c r="B248" s="990">
        <v>1</v>
      </c>
      <c r="C248" s="990">
        <v>248</v>
      </c>
      <c r="D248" s="1121" t="s">
        <v>999</v>
      </c>
      <c r="E248" s="1243">
        <v>1</v>
      </c>
      <c r="F248" s="5"/>
      <c r="G248" s="5"/>
      <c r="H248" s="5"/>
      <c r="I248" s="121" t="s">
        <v>1002</v>
      </c>
      <c r="J248" s="119"/>
      <c r="K248" s="120"/>
      <c r="L248" s="120"/>
      <c r="M248" s="119"/>
      <c r="N248" s="119"/>
      <c r="O248" s="119"/>
      <c r="P248" s="118"/>
      <c r="Q248" s="2035">
        <v>0</v>
      </c>
      <c r="R248" s="2035">
        <v>0</v>
      </c>
      <c r="S248" s="2035">
        <v>0</v>
      </c>
      <c r="T248" s="2035">
        <v>0</v>
      </c>
      <c r="U248" s="2035">
        <v>0</v>
      </c>
      <c r="V248" s="2035">
        <v>0</v>
      </c>
      <c r="W248" s="2035">
        <v>0</v>
      </c>
      <c r="X248" s="2035">
        <v>0</v>
      </c>
      <c r="Y248" s="2035">
        <v>0</v>
      </c>
      <c r="Z248" s="2035">
        <v>0</v>
      </c>
      <c r="AA248" s="2035"/>
      <c r="AB248" s="2035"/>
      <c r="AC248" s="92">
        <f>SUM(Q248,R248,S248)</f>
        <v>0</v>
      </c>
      <c r="AD248" s="92">
        <f>SUM(T248,U248,V248)</f>
        <v>0</v>
      </c>
      <c r="AE248" s="92">
        <f>SUM(W248,X248,Y248)</f>
        <v>0</v>
      </c>
      <c r="AF248" s="92">
        <f>SUM(Z248,AA248,AB248)</f>
        <v>0</v>
      </c>
      <c r="AG248" s="92">
        <f>AC248+AD248</f>
        <v>0</v>
      </c>
      <c r="AH248" s="92">
        <f>AF248+AE248</f>
        <v>0</v>
      </c>
      <c r="AI248" s="92">
        <f>AG248+AH248</f>
        <v>0</v>
      </c>
    </row>
    <row r="249" spans="1:36">
      <c r="A249" s="990">
        <v>227</v>
      </c>
      <c r="B249" s="990">
        <v>1</v>
      </c>
      <c r="C249" s="990">
        <v>249</v>
      </c>
      <c r="D249" s="1121" t="s">
        <v>999</v>
      </c>
      <c r="E249" s="1243">
        <v>1</v>
      </c>
      <c r="F249" s="5"/>
      <c r="G249" s="5"/>
      <c r="H249" s="5"/>
      <c r="I249" s="458" t="s">
        <v>10</v>
      </c>
      <c r="J249" s="604"/>
      <c r="K249" s="788"/>
      <c r="L249" s="788"/>
      <c r="M249" s="788"/>
      <c r="N249" s="788"/>
      <c r="O249" s="788"/>
      <c r="P249" s="1185"/>
      <c r="Q249" s="455">
        <f>Q245+Q247-Q248</f>
        <v>1086</v>
      </c>
      <c r="R249" s="455">
        <f t="shared" ref="R249:AI249" si="217">R245+R247-R248</f>
        <v>1523</v>
      </c>
      <c r="S249" s="455">
        <f t="shared" si="217"/>
        <v>11150</v>
      </c>
      <c r="T249" s="455">
        <f t="shared" si="217"/>
        <v>-2706</v>
      </c>
      <c r="U249" s="455">
        <f t="shared" si="217"/>
        <v>-1538</v>
      </c>
      <c r="V249" s="455">
        <f t="shared" si="217"/>
        <v>-1202</v>
      </c>
      <c r="W249" s="455">
        <f t="shared" si="217"/>
        <v>-3388</v>
      </c>
      <c r="X249" s="455">
        <f t="shared" si="217"/>
        <v>-765</v>
      </c>
      <c r="Y249" s="455">
        <f t="shared" si="217"/>
        <v>-14756</v>
      </c>
      <c r="Z249" s="455">
        <f t="shared" si="217"/>
        <v>12399</v>
      </c>
      <c r="AA249" s="455">
        <f t="shared" si="217"/>
        <v>7253.6587047255853</v>
      </c>
      <c r="AB249" s="455">
        <f t="shared" si="217"/>
        <v>597.74544632789707</v>
      </c>
      <c r="AC249" s="455">
        <f t="shared" si="217"/>
        <v>13759</v>
      </c>
      <c r="AD249" s="455">
        <f t="shared" si="217"/>
        <v>-5446</v>
      </c>
      <c r="AE249" s="455">
        <f t="shared" si="217"/>
        <v>-18909</v>
      </c>
      <c r="AF249" s="455">
        <f t="shared" si="217"/>
        <v>20250.404151053481</v>
      </c>
      <c r="AG249" s="455">
        <f t="shared" si="217"/>
        <v>8313</v>
      </c>
      <c r="AH249" s="455">
        <f t="shared" si="217"/>
        <v>1341.4041510534807</v>
      </c>
      <c r="AI249" s="455">
        <f t="shared" si="217"/>
        <v>9654.4041510534807</v>
      </c>
    </row>
    <row r="250" spans="1:36" ht="14.5">
      <c r="A250" s="990">
        <v>228</v>
      </c>
      <c r="B250" s="990">
        <v>1</v>
      </c>
      <c r="C250" s="990">
        <v>250</v>
      </c>
      <c r="D250" s="1121" t="s">
        <v>999</v>
      </c>
      <c r="E250" s="1243">
        <v>1</v>
      </c>
      <c r="F250" s="5"/>
      <c r="G250" s="5"/>
      <c r="H250" s="5"/>
      <c r="I250" s="28"/>
      <c r="J250" s="629" t="s">
        <v>135</v>
      </c>
      <c r="K250" s="3"/>
      <c r="L250" s="3"/>
      <c r="M250" s="2"/>
      <c r="N250" s="2"/>
      <c r="O250" s="2"/>
      <c r="P250" s="27"/>
      <c r="Q250" s="866">
        <f t="shared" ref="Q250:AI250" si="218">IFERROR(Q249/Q181,0)</f>
        <v>8.4218689414501752E-2</v>
      </c>
      <c r="R250" s="866">
        <f t="shared" si="218"/>
        <v>5.653933251661284E-2</v>
      </c>
      <c r="S250" s="866">
        <f t="shared" si="218"/>
        <v>0.2150599853412028</v>
      </c>
      <c r="T250" s="866">
        <f t="shared" si="218"/>
        <v>-0.19497081922328699</v>
      </c>
      <c r="U250" s="866">
        <f t="shared" si="218"/>
        <v>-0.38614109967361288</v>
      </c>
      <c r="V250" s="866">
        <f t="shared" si="218"/>
        <v>-8.9122859049455036E-2</v>
      </c>
      <c r="W250" s="866">
        <f t="shared" si="218"/>
        <v>-0.69002036659877797</v>
      </c>
      <c r="X250" s="866">
        <f t="shared" si="218"/>
        <v>-0.15612244897959185</v>
      </c>
      <c r="Y250" s="866">
        <f t="shared" si="218"/>
        <v>-0.94626138258304471</v>
      </c>
      <c r="Z250" s="866">
        <f t="shared" si="218"/>
        <v>0.38525354213273677</v>
      </c>
      <c r="AA250" s="866">
        <f t="shared" si="218"/>
        <v>0.17279255591428061</v>
      </c>
      <c r="AB250" s="866">
        <f t="shared" si="218"/>
        <v>3.4237095270513607E-2</v>
      </c>
      <c r="AC250" s="866">
        <f t="shared" si="218"/>
        <v>0.15007962651890311</v>
      </c>
      <c r="AD250" s="866">
        <f t="shared" si="218"/>
        <v>-0.17372164981339117</v>
      </c>
      <c r="AE250" s="866">
        <f t="shared" si="218"/>
        <v>-0.74433160132262632</v>
      </c>
      <c r="AF250" s="866">
        <f t="shared" si="218"/>
        <v>0.22102119743133178</v>
      </c>
      <c r="AG250" s="866">
        <f t="shared" si="218"/>
        <v>6.7570533297568833E-2</v>
      </c>
      <c r="AH250" s="866">
        <f t="shared" si="218"/>
        <v>1.1462445533928193E-2</v>
      </c>
      <c r="AI250" s="866">
        <f t="shared" si="218"/>
        <v>4.0217802531330504E-2</v>
      </c>
      <c r="AJ250" s="619"/>
    </row>
    <row r="251" spans="1:36">
      <c r="A251" s="990">
        <v>1</v>
      </c>
      <c r="B251" s="990">
        <v>1</v>
      </c>
      <c r="C251" s="990">
        <v>251</v>
      </c>
      <c r="D251" s="1121" t="s">
        <v>999</v>
      </c>
      <c r="E251" s="1292" t="s">
        <v>1013</v>
      </c>
      <c r="F251" s="1293"/>
      <c r="G251" s="1241"/>
      <c r="H251" s="5"/>
      <c r="I251" s="5"/>
      <c r="J251" s="4"/>
      <c r="K251" s="1256" t="s">
        <v>1049</v>
      </c>
      <c r="L251" s="1116"/>
      <c r="M251" s="798"/>
      <c r="N251" s="798"/>
      <c r="O251" s="798"/>
      <c r="P251" s="798"/>
      <c r="Q251" s="2186">
        <f>Q390</f>
        <v>0</v>
      </c>
      <c r="R251" s="2186">
        <f t="shared" ref="R251:AI251" si="219">R390</f>
        <v>0</v>
      </c>
      <c r="S251" s="2186">
        <f t="shared" si="219"/>
        <v>0</v>
      </c>
      <c r="T251" s="2186">
        <f t="shared" si="219"/>
        <v>0</v>
      </c>
      <c r="U251" s="2186">
        <f t="shared" si="219"/>
        <v>0</v>
      </c>
      <c r="V251" s="2186">
        <f t="shared" si="219"/>
        <v>0</v>
      </c>
      <c r="W251" s="2186">
        <f t="shared" si="219"/>
        <v>0</v>
      </c>
      <c r="X251" s="2186">
        <f t="shared" si="219"/>
        <v>0</v>
      </c>
      <c r="Y251" s="2186">
        <f t="shared" si="219"/>
        <v>0</v>
      </c>
      <c r="Z251" s="2186">
        <f t="shared" si="219"/>
        <v>0</v>
      </c>
      <c r="AA251" s="2186">
        <f t="shared" si="219"/>
        <v>9.1021782167424367E-6</v>
      </c>
      <c r="AB251" s="2186">
        <f t="shared" si="219"/>
        <v>-3.763218916417939E-3</v>
      </c>
      <c r="AC251" s="2186">
        <f t="shared" si="219"/>
        <v>0</v>
      </c>
      <c r="AD251" s="2186">
        <f t="shared" si="219"/>
        <v>0</v>
      </c>
      <c r="AE251" s="2186">
        <f t="shared" si="219"/>
        <v>0</v>
      </c>
      <c r="AF251" s="2186">
        <f t="shared" si="219"/>
        <v>-2.1066496015309248E-3</v>
      </c>
      <c r="AG251" s="2186">
        <f t="shared" si="219"/>
        <v>0</v>
      </c>
      <c r="AH251" s="2186">
        <f t="shared" si="219"/>
        <v>-9.3921316378777115E-4</v>
      </c>
      <c r="AI251" s="2186">
        <f t="shared" si="219"/>
        <v>-4.9780758920649649E-4</v>
      </c>
    </row>
    <row r="252" spans="1:36">
      <c r="A252" s="990">
        <v>1</v>
      </c>
      <c r="B252" s="990">
        <v>1</v>
      </c>
      <c r="C252" s="990">
        <v>252</v>
      </c>
      <c r="D252" s="1121" t="s">
        <v>999</v>
      </c>
      <c r="E252" s="1294" t="s">
        <v>1032</v>
      </c>
      <c r="F252" s="1295"/>
      <c r="G252" s="1241"/>
      <c r="H252" s="5"/>
      <c r="I252" s="5"/>
      <c r="J252" s="4"/>
      <c r="K252" s="30"/>
      <c r="L252" s="764" t="s">
        <v>884</v>
      </c>
      <c r="M252" s="323"/>
      <c r="N252" s="323"/>
      <c r="O252" s="323"/>
      <c r="P252" s="323"/>
      <c r="Q252" s="325">
        <f>SUM(Q253:Q255)</f>
        <v>2389</v>
      </c>
      <c r="R252" s="325">
        <f t="shared" ref="R252:AI252" si="220">SUM(R253:R255)</f>
        <v>2371</v>
      </c>
      <c r="S252" s="325">
        <f t="shared" si="220"/>
        <v>1325</v>
      </c>
      <c r="T252" s="325">
        <f t="shared" si="220"/>
        <v>2122</v>
      </c>
      <c r="U252" s="325">
        <f t="shared" si="220"/>
        <v>2279</v>
      </c>
      <c r="V252" s="325">
        <f t="shared" si="220"/>
        <v>929</v>
      </c>
      <c r="W252" s="361">
        <f t="shared" si="220"/>
        <v>2289</v>
      </c>
      <c r="X252" s="361">
        <f t="shared" si="220"/>
        <v>2268</v>
      </c>
      <c r="Y252" s="361">
        <f t="shared" si="220"/>
        <v>1777</v>
      </c>
      <c r="Z252" s="1117">
        <f t="shared" si="220"/>
        <v>2106</v>
      </c>
      <c r="AA252" s="1117">
        <f t="shared" si="220"/>
        <v>3127</v>
      </c>
      <c r="AB252" s="1117">
        <f t="shared" si="220"/>
        <v>1733.0556686818518</v>
      </c>
      <c r="AC252" s="1117">
        <f t="shared" si="220"/>
        <v>6085</v>
      </c>
      <c r="AD252" s="1117">
        <f t="shared" si="220"/>
        <v>5330</v>
      </c>
      <c r="AE252" s="1117">
        <f t="shared" si="220"/>
        <v>6334</v>
      </c>
      <c r="AF252" s="1117">
        <f t="shared" si="220"/>
        <v>6966.0556686818518</v>
      </c>
      <c r="AG252" s="1117">
        <f t="shared" si="220"/>
        <v>11415</v>
      </c>
      <c r="AH252" s="1117">
        <f t="shared" si="220"/>
        <v>13300.055668681851</v>
      </c>
      <c r="AI252" s="1117">
        <f t="shared" si="220"/>
        <v>24715.055668681849</v>
      </c>
    </row>
    <row r="253" spans="1:36">
      <c r="A253" s="990">
        <v>1</v>
      </c>
      <c r="B253" s="990">
        <v>1</v>
      </c>
      <c r="C253" s="990">
        <v>253</v>
      </c>
      <c r="D253" s="1121" t="s">
        <v>999</v>
      </c>
      <c r="E253" s="1294" t="s">
        <v>1032</v>
      </c>
      <c r="F253" s="1295"/>
      <c r="G253" s="1241"/>
      <c r="H253" s="5"/>
      <c r="I253" s="5"/>
      <c r="J253" s="4"/>
      <c r="K253" s="30"/>
      <c r="L253" s="30"/>
      <c r="M253" s="40" t="s">
        <v>143</v>
      </c>
      <c r="N253" s="4"/>
      <c r="O253" s="4"/>
      <c r="P253" s="4"/>
      <c r="Q253" s="2159">
        <v>2</v>
      </c>
      <c r="R253" s="2159">
        <v>41</v>
      </c>
      <c r="S253" s="2159">
        <v>0</v>
      </c>
      <c r="T253" s="2159">
        <v>14</v>
      </c>
      <c r="U253" s="2159">
        <v>90</v>
      </c>
      <c r="V253" s="2159">
        <v>0</v>
      </c>
      <c r="W253" s="2091">
        <v>144</v>
      </c>
      <c r="X253" s="2091">
        <v>103</v>
      </c>
      <c r="Y253" s="2091">
        <v>249</v>
      </c>
      <c r="Z253" s="2160">
        <v>61</v>
      </c>
      <c r="AA253" s="2160">
        <v>38</v>
      </c>
      <c r="AB253" s="2160">
        <v>-72.388808322818306</v>
      </c>
      <c r="AC253" s="145">
        <f>SUM(Q253,R253,S253)</f>
        <v>43</v>
      </c>
      <c r="AD253" s="145">
        <f>SUM(T253,U253,V253)</f>
        <v>104</v>
      </c>
      <c r="AE253" s="145">
        <f>SUM(W253,X253,Y253)</f>
        <v>496</v>
      </c>
      <c r="AF253" s="145">
        <f>SUM(Z253,AA253,AB253)</f>
        <v>26.611191677181694</v>
      </c>
      <c r="AG253" s="145">
        <f>AC253+AD253</f>
        <v>147</v>
      </c>
      <c r="AH253" s="145">
        <f>AF253+AE253</f>
        <v>522.61119167718175</v>
      </c>
      <c r="AI253" s="145">
        <f>AG253+AH253</f>
        <v>669.61119167718175</v>
      </c>
    </row>
    <row r="254" spans="1:36">
      <c r="A254" s="990">
        <v>1</v>
      </c>
      <c r="B254" s="990">
        <v>1</v>
      </c>
      <c r="C254" s="990">
        <v>254</v>
      </c>
      <c r="D254" s="1121" t="s">
        <v>999</v>
      </c>
      <c r="E254" s="1294" t="s">
        <v>1032</v>
      </c>
      <c r="F254" s="1295"/>
      <c r="G254" s="1241"/>
      <c r="H254" s="5"/>
      <c r="I254" s="5"/>
      <c r="J254" s="4"/>
      <c r="K254" s="30"/>
      <c r="L254" s="30"/>
      <c r="M254" s="40" t="s">
        <v>96</v>
      </c>
      <c r="N254" s="4"/>
      <c r="O254" s="4"/>
      <c r="P254" s="4"/>
      <c r="Q254" s="2159">
        <v>1941</v>
      </c>
      <c r="R254" s="2159">
        <v>1911</v>
      </c>
      <c r="S254" s="2159">
        <v>1898</v>
      </c>
      <c r="T254" s="2159">
        <v>1685</v>
      </c>
      <c r="U254" s="2159">
        <v>1762</v>
      </c>
      <c r="V254" s="2159">
        <v>1339</v>
      </c>
      <c r="W254" s="2091">
        <v>1670</v>
      </c>
      <c r="X254" s="2091">
        <v>1588</v>
      </c>
      <c r="Y254" s="2091">
        <v>1669</v>
      </c>
      <c r="Z254" s="2160">
        <v>1664</v>
      </c>
      <c r="AA254" s="2160">
        <v>2666</v>
      </c>
      <c r="AB254" s="2160">
        <v>1550.6433619949212</v>
      </c>
      <c r="AC254" s="145">
        <f>SUM(Q254,R254,S254)</f>
        <v>5750</v>
      </c>
      <c r="AD254" s="145">
        <f>SUM(T254,U254,V254)</f>
        <v>4786</v>
      </c>
      <c r="AE254" s="145">
        <f>SUM(W254,X254,Y254)</f>
        <v>4927</v>
      </c>
      <c r="AF254" s="145">
        <f>SUM(Z254,AA254,AB254)</f>
        <v>5880.6433619949212</v>
      </c>
      <c r="AG254" s="145">
        <f>AC254+AD254</f>
        <v>10536</v>
      </c>
      <c r="AH254" s="145">
        <f>AF254+AE254</f>
        <v>10807.64336199492</v>
      </c>
      <c r="AI254" s="145">
        <f>AG254+AH254</f>
        <v>21343.64336199492</v>
      </c>
    </row>
    <row r="255" spans="1:36">
      <c r="A255" s="990">
        <v>1</v>
      </c>
      <c r="B255" s="990">
        <v>1</v>
      </c>
      <c r="C255" s="990">
        <v>255</v>
      </c>
      <c r="D255" s="1121" t="s">
        <v>999</v>
      </c>
      <c r="E255" s="1294" t="s">
        <v>1032</v>
      </c>
      <c r="F255" s="1295"/>
      <c r="G255" s="1241"/>
      <c r="H255" s="5"/>
      <c r="I255" s="5"/>
      <c r="J255" s="4"/>
      <c r="K255" s="30"/>
      <c r="L255" s="28"/>
      <c r="M255" s="119" t="s">
        <v>142</v>
      </c>
      <c r="N255" s="2"/>
      <c r="O255" s="2"/>
      <c r="P255" s="2"/>
      <c r="Q255" s="2161">
        <v>446</v>
      </c>
      <c r="R255" s="2161">
        <v>419</v>
      </c>
      <c r="S255" s="2161">
        <v>-573</v>
      </c>
      <c r="T255" s="2161">
        <v>423</v>
      </c>
      <c r="U255" s="2161">
        <v>427</v>
      </c>
      <c r="V255" s="2161">
        <v>-410</v>
      </c>
      <c r="W255" s="2092">
        <v>475</v>
      </c>
      <c r="X255" s="2092">
        <v>577</v>
      </c>
      <c r="Y255" s="2092">
        <v>-141</v>
      </c>
      <c r="Z255" s="2162">
        <v>381</v>
      </c>
      <c r="AA255" s="2162">
        <v>423</v>
      </c>
      <c r="AB255" s="2162">
        <v>254.80111500974888</v>
      </c>
      <c r="AC255" s="142">
        <f>SUM(Q255,R255,S255)</f>
        <v>292</v>
      </c>
      <c r="AD255" s="142">
        <f>SUM(T255,U255,V255)</f>
        <v>440</v>
      </c>
      <c r="AE255" s="142">
        <f>SUM(W255,X255,Y255)</f>
        <v>911</v>
      </c>
      <c r="AF255" s="142">
        <f>SUM(Z255,AA255,AB255)</f>
        <v>1058.8011150097489</v>
      </c>
      <c r="AG255" s="142">
        <f>AC255+AD255</f>
        <v>732</v>
      </c>
      <c r="AH255" s="142">
        <f>AF255+AE255</f>
        <v>1969.8011150097489</v>
      </c>
      <c r="AI255" s="142">
        <f>AG255+AH255</f>
        <v>2701.8011150097491</v>
      </c>
    </row>
    <row r="256" spans="1:36">
      <c r="A256" s="990">
        <v>1</v>
      </c>
      <c r="B256" s="990">
        <v>1</v>
      </c>
      <c r="C256" s="990">
        <v>256</v>
      </c>
      <c r="D256" s="1121" t="s">
        <v>999</v>
      </c>
      <c r="E256" s="1294" t="s">
        <v>1032</v>
      </c>
      <c r="F256" s="1295"/>
      <c r="G256" s="1241"/>
      <c r="H256" s="5"/>
      <c r="I256" s="5"/>
      <c r="J256" s="4"/>
      <c r="K256" s="30"/>
      <c r="L256" s="764" t="s">
        <v>1033</v>
      </c>
      <c r="M256" s="798"/>
      <c r="N256" s="798"/>
      <c r="O256" s="798"/>
      <c r="P256" s="798"/>
      <c r="Q256" s="2120">
        <f>SUM(Q258:Q260)</f>
        <v>0</v>
      </c>
      <c r="R256" s="2120">
        <f t="shared" ref="R256:AI256" si="221">SUM(R258:R260)</f>
        <v>0</v>
      </c>
      <c r="S256" s="2120">
        <f t="shared" si="221"/>
        <v>0</v>
      </c>
      <c r="T256" s="2120">
        <f t="shared" si="221"/>
        <v>0</v>
      </c>
      <c r="U256" s="2120">
        <f t="shared" si="221"/>
        <v>0</v>
      </c>
      <c r="V256" s="2120">
        <f t="shared" si="221"/>
        <v>0</v>
      </c>
      <c r="W256" s="2081">
        <f t="shared" si="221"/>
        <v>0</v>
      </c>
      <c r="X256" s="2081">
        <f t="shared" si="221"/>
        <v>0</v>
      </c>
      <c r="Y256" s="2081">
        <f t="shared" si="221"/>
        <v>0</v>
      </c>
      <c r="Z256" s="2158">
        <f t="shared" si="221"/>
        <v>0</v>
      </c>
      <c r="AA256" s="2158">
        <f t="shared" si="221"/>
        <v>0.34129527441497487</v>
      </c>
      <c r="AB256" s="2158">
        <f t="shared" si="221"/>
        <v>-526.80111500974886</v>
      </c>
      <c r="AC256" s="2158">
        <f t="shared" si="221"/>
        <v>0</v>
      </c>
      <c r="AD256" s="2158">
        <f t="shared" si="221"/>
        <v>0</v>
      </c>
      <c r="AE256" s="2158">
        <f t="shared" si="221"/>
        <v>0</v>
      </c>
      <c r="AF256" s="2158">
        <f t="shared" si="221"/>
        <v>-526.45981973533389</v>
      </c>
      <c r="AG256" s="2158">
        <f t="shared" si="221"/>
        <v>0</v>
      </c>
      <c r="AH256" s="2158">
        <f t="shared" si="221"/>
        <v>-526.45981973533389</v>
      </c>
      <c r="AI256" s="2158">
        <f t="shared" si="221"/>
        <v>-526.45981973533389</v>
      </c>
    </row>
    <row r="257" spans="1:35">
      <c r="A257" s="990">
        <v>1</v>
      </c>
      <c r="B257" s="990">
        <v>1</v>
      </c>
      <c r="C257" s="990">
        <v>257</v>
      </c>
      <c r="D257" s="1121" t="s">
        <v>999</v>
      </c>
      <c r="E257" s="1294" t="s">
        <v>1032</v>
      </c>
      <c r="F257" s="1295"/>
      <c r="G257" s="1241"/>
      <c r="H257" s="5"/>
      <c r="I257" s="5"/>
      <c r="J257" s="4"/>
      <c r="K257" s="30"/>
      <c r="L257" s="613"/>
      <c r="M257" s="676" t="s">
        <v>1034</v>
      </c>
      <c r="N257" s="51"/>
      <c r="O257" s="51"/>
      <c r="P257" s="51"/>
      <c r="Q257" s="1119">
        <f>IFERROR(Q256/Q241,0)</f>
        <v>0</v>
      </c>
      <c r="R257" s="1119">
        <f t="shared" ref="R257:AI257" si="222">IFERROR(R256/R241,0)</f>
        <v>0</v>
      </c>
      <c r="S257" s="1119">
        <f t="shared" si="222"/>
        <v>0</v>
      </c>
      <c r="T257" s="1119">
        <f t="shared" si="222"/>
        <v>0</v>
      </c>
      <c r="U257" s="1119">
        <f t="shared" si="222"/>
        <v>0</v>
      </c>
      <c r="V257" s="1119">
        <f t="shared" si="222"/>
        <v>0</v>
      </c>
      <c r="W257" s="1119">
        <f t="shared" si="222"/>
        <v>0</v>
      </c>
      <c r="X257" s="1119">
        <f t="shared" si="222"/>
        <v>0</v>
      </c>
      <c r="Y257" s="1119">
        <f t="shared" si="222"/>
        <v>0</v>
      </c>
      <c r="Z257" s="1119">
        <f t="shared" si="222"/>
        <v>0</v>
      </c>
      <c r="AA257" s="1119">
        <f t="shared" si="222"/>
        <v>1.0913272399488052E-4</v>
      </c>
      <c r="AB257" s="1119">
        <f t="shared" si="222"/>
        <v>-0.43672466429747431</v>
      </c>
      <c r="AC257" s="1119">
        <f t="shared" si="222"/>
        <v>0</v>
      </c>
      <c r="AD257" s="1119">
        <f t="shared" si="222"/>
        <v>0</v>
      </c>
      <c r="AE257" s="1119">
        <f t="shared" si="222"/>
        <v>0</v>
      </c>
      <c r="AF257" s="1119">
        <f t="shared" si="222"/>
        <v>-8.1753549769968833E-2</v>
      </c>
      <c r="AG257" s="1119">
        <f t="shared" si="222"/>
        <v>0</v>
      </c>
      <c r="AH257" s="1119">
        <f t="shared" si="222"/>
        <v>-4.1214692085216768E-2</v>
      </c>
      <c r="AI257" s="1119">
        <f t="shared" si="222"/>
        <v>-2.1764794576046576E-2</v>
      </c>
    </row>
    <row r="258" spans="1:35">
      <c r="A258" s="990">
        <v>1</v>
      </c>
      <c r="B258" s="990">
        <v>1</v>
      </c>
      <c r="C258" s="990">
        <v>258</v>
      </c>
      <c r="D258" s="1121" t="s">
        <v>999</v>
      </c>
      <c r="E258" s="1294" t="s">
        <v>1032</v>
      </c>
      <c r="F258" s="1295"/>
      <c r="G258" s="1241"/>
      <c r="H258" s="5"/>
      <c r="I258" s="5"/>
      <c r="J258" s="4"/>
      <c r="K258" s="30"/>
      <c r="L258" s="30"/>
      <c r="M258" s="40" t="s">
        <v>143</v>
      </c>
      <c r="N258" s="4"/>
      <c r="O258" s="4"/>
      <c r="P258" s="4"/>
      <c r="Q258" s="41">
        <f>Q242-Q253</f>
        <v>0</v>
      </c>
      <c r="R258" s="41">
        <f t="shared" ref="R258:AB258" si="223">R242-R253</f>
        <v>0</v>
      </c>
      <c r="S258" s="41">
        <f t="shared" si="223"/>
        <v>0</v>
      </c>
      <c r="T258" s="41">
        <f t="shared" si="223"/>
        <v>0</v>
      </c>
      <c r="U258" s="41">
        <f t="shared" si="223"/>
        <v>0</v>
      </c>
      <c r="V258" s="41">
        <f t="shared" si="223"/>
        <v>0</v>
      </c>
      <c r="W258" s="19">
        <f t="shared" si="223"/>
        <v>0</v>
      </c>
      <c r="X258" s="19">
        <f t="shared" si="223"/>
        <v>0</v>
      </c>
      <c r="Y258" s="19">
        <f t="shared" si="223"/>
        <v>0</v>
      </c>
      <c r="Z258" s="145">
        <f t="shared" si="223"/>
        <v>0</v>
      </c>
      <c r="AA258" s="145">
        <f t="shared" si="223"/>
        <v>0.42048368842064576</v>
      </c>
      <c r="AB258" s="145">
        <f t="shared" si="223"/>
        <v>0</v>
      </c>
      <c r="AC258" s="145">
        <f>SUM(Q258,R258,S258)</f>
        <v>0</v>
      </c>
      <c r="AD258" s="145">
        <f>SUM(T258,U258,V258)</f>
        <v>0</v>
      </c>
      <c r="AE258" s="145">
        <f>SUM(W258,X258,Y258)</f>
        <v>0</v>
      </c>
      <c r="AF258" s="145">
        <f>SUM(Z258,AA258,AB258)</f>
        <v>0.42048368842064576</v>
      </c>
      <c r="AG258" s="145">
        <f>AC258+AD258</f>
        <v>0</v>
      </c>
      <c r="AH258" s="145">
        <f>AF258+AE258</f>
        <v>0.42048368842064576</v>
      </c>
      <c r="AI258" s="145">
        <f>AG258+AH258</f>
        <v>0.42048368842064576</v>
      </c>
    </row>
    <row r="259" spans="1:35">
      <c r="A259" s="990">
        <v>1</v>
      </c>
      <c r="B259" s="990">
        <v>1</v>
      </c>
      <c r="C259" s="990">
        <v>259</v>
      </c>
      <c r="D259" s="1121" t="s">
        <v>999</v>
      </c>
      <c r="E259" s="1294" t="s">
        <v>1032</v>
      </c>
      <c r="F259" s="1295"/>
      <c r="G259" s="1241"/>
      <c r="H259" s="5"/>
      <c r="I259" s="5"/>
      <c r="J259" s="4"/>
      <c r="K259" s="30"/>
      <c r="L259" s="30"/>
      <c r="M259" s="40" t="s">
        <v>96</v>
      </c>
      <c r="N259" s="4"/>
      <c r="O259" s="4"/>
      <c r="P259" s="4"/>
      <c r="Q259" s="41">
        <f t="shared" ref="Q259:AB260" si="224">Q243-Q254</f>
        <v>0</v>
      </c>
      <c r="R259" s="41">
        <f t="shared" si="224"/>
        <v>0</v>
      </c>
      <c r="S259" s="41">
        <f t="shared" si="224"/>
        <v>0</v>
      </c>
      <c r="T259" s="41">
        <f t="shared" si="224"/>
        <v>0</v>
      </c>
      <c r="U259" s="41">
        <f t="shared" si="224"/>
        <v>0</v>
      </c>
      <c r="V259" s="41">
        <f t="shared" si="224"/>
        <v>0</v>
      </c>
      <c r="W259" s="19">
        <f t="shared" si="224"/>
        <v>0</v>
      </c>
      <c r="X259" s="19">
        <f t="shared" si="224"/>
        <v>0</v>
      </c>
      <c r="Y259" s="19">
        <f t="shared" si="224"/>
        <v>0</v>
      </c>
      <c r="Z259" s="145">
        <f t="shared" si="224"/>
        <v>0</v>
      </c>
      <c r="AA259" s="145">
        <f t="shared" si="224"/>
        <v>-0.21479241053611986</v>
      </c>
      <c r="AB259" s="145">
        <f t="shared" si="224"/>
        <v>0</v>
      </c>
      <c r="AC259" s="145">
        <f>SUM(Q259,R259,S259)</f>
        <v>0</v>
      </c>
      <c r="AD259" s="145">
        <f>SUM(T259,U259,V259)</f>
        <v>0</v>
      </c>
      <c r="AE259" s="145">
        <f>SUM(W259,X259,Y259)</f>
        <v>0</v>
      </c>
      <c r="AF259" s="145">
        <f>SUM(Z259,AA259,AB259)</f>
        <v>-0.21479241053611986</v>
      </c>
      <c r="AG259" s="145">
        <f>AC259+AD259</f>
        <v>0</v>
      </c>
      <c r="AH259" s="145">
        <f>AF259+AE259</f>
        <v>-0.21479241053611986</v>
      </c>
      <c r="AI259" s="145">
        <f>AG259+AH259</f>
        <v>-0.21479241053611986</v>
      </c>
    </row>
    <row r="260" spans="1:35">
      <c r="A260" s="990">
        <v>1</v>
      </c>
      <c r="B260" s="990">
        <v>1</v>
      </c>
      <c r="C260" s="990">
        <v>260</v>
      </c>
      <c r="D260" s="1121" t="s">
        <v>999</v>
      </c>
      <c r="E260" s="1294" t="s">
        <v>1032</v>
      </c>
      <c r="F260" s="1295"/>
      <c r="G260" s="1241"/>
      <c r="H260" s="5"/>
      <c r="I260" s="5"/>
      <c r="J260" s="4"/>
      <c r="K260" s="28"/>
      <c r="L260" s="28"/>
      <c r="M260" s="119" t="s">
        <v>142</v>
      </c>
      <c r="N260" s="2"/>
      <c r="O260" s="2"/>
      <c r="P260" s="2"/>
      <c r="Q260" s="66">
        <f t="shared" si="224"/>
        <v>0</v>
      </c>
      <c r="R260" s="66">
        <f t="shared" si="224"/>
        <v>0</v>
      </c>
      <c r="S260" s="66">
        <f t="shared" si="224"/>
        <v>0</v>
      </c>
      <c r="T260" s="66">
        <f t="shared" si="224"/>
        <v>0</v>
      </c>
      <c r="U260" s="66">
        <f t="shared" si="224"/>
        <v>0</v>
      </c>
      <c r="V260" s="66">
        <f t="shared" si="224"/>
        <v>0</v>
      </c>
      <c r="W260" s="17">
        <f t="shared" si="224"/>
        <v>0</v>
      </c>
      <c r="X260" s="17">
        <f t="shared" si="224"/>
        <v>0</v>
      </c>
      <c r="Y260" s="17">
        <f t="shared" si="224"/>
        <v>0</v>
      </c>
      <c r="Z260" s="142">
        <f t="shared" si="224"/>
        <v>0</v>
      </c>
      <c r="AA260" s="142">
        <f t="shared" si="224"/>
        <v>0.13560399653044897</v>
      </c>
      <c r="AB260" s="142">
        <f t="shared" si="224"/>
        <v>-526.80111500974886</v>
      </c>
      <c r="AC260" s="142">
        <f>SUM(Q260,R260,S260)</f>
        <v>0</v>
      </c>
      <c r="AD260" s="142">
        <f>SUM(T260,U260,V260)</f>
        <v>0</v>
      </c>
      <c r="AE260" s="142">
        <f>SUM(W260,X260,Y260)</f>
        <v>0</v>
      </c>
      <c r="AF260" s="142">
        <f>SUM(Z260,AA260,AB260)</f>
        <v>-526.66551101321841</v>
      </c>
      <c r="AG260" s="142">
        <f>AC260+AD260</f>
        <v>0</v>
      </c>
      <c r="AH260" s="142">
        <f>AF260+AE260</f>
        <v>-526.66551101321841</v>
      </c>
      <c r="AI260" s="142">
        <f>AG260+AH260</f>
        <v>-526.66551101321841</v>
      </c>
    </row>
    <row r="261" spans="1:35">
      <c r="A261" s="990">
        <v>229</v>
      </c>
      <c r="B261" s="990">
        <v>1</v>
      </c>
      <c r="C261" s="990">
        <v>261</v>
      </c>
      <c r="D261" s="1121" t="s">
        <v>999</v>
      </c>
      <c r="E261" s="1243">
        <v>1</v>
      </c>
      <c r="F261" s="5"/>
      <c r="G261" s="5"/>
      <c r="H261" s="5"/>
      <c r="I261" s="5"/>
      <c r="J261" s="4"/>
      <c r="K261" s="5"/>
      <c r="L261" s="5"/>
      <c r="M261" s="4"/>
      <c r="N261" s="4"/>
      <c r="O261" s="4"/>
      <c r="P261" s="4"/>
      <c r="Q261" s="1151"/>
      <c r="R261" s="1151"/>
      <c r="S261" s="1151"/>
      <c r="T261" s="1151"/>
      <c r="U261" s="1151"/>
      <c r="V261" s="1151"/>
      <c r="Z261" s="163"/>
      <c r="AA261" s="163"/>
      <c r="AB261" s="163"/>
      <c r="AC261" s="163"/>
      <c r="AD261" s="163"/>
      <c r="AE261" s="163"/>
      <c r="AF261" s="163"/>
      <c r="AG261" s="163"/>
      <c r="AH261" s="163"/>
      <c r="AI261" s="868"/>
    </row>
    <row r="262" spans="1:35">
      <c r="A262" s="990">
        <v>230</v>
      </c>
      <c r="B262" s="990">
        <v>1</v>
      </c>
      <c r="C262" s="990">
        <v>262</v>
      </c>
      <c r="D262" s="1121" t="s">
        <v>999</v>
      </c>
      <c r="E262" s="1243">
        <v>1</v>
      </c>
      <c r="F262" s="5"/>
      <c r="G262" s="5"/>
      <c r="H262" s="5" t="s">
        <v>1050</v>
      </c>
      <c r="I262" s="5"/>
      <c r="J262" s="4"/>
      <c r="K262" s="5"/>
      <c r="L262" s="5"/>
      <c r="M262" s="4"/>
      <c r="N262" s="4"/>
      <c r="O262" s="4"/>
      <c r="P262" s="4"/>
      <c r="Q262" s="1151"/>
      <c r="R262" s="1151"/>
      <c r="S262" s="1151"/>
      <c r="T262" s="1151"/>
      <c r="U262" s="1151"/>
      <c r="V262" s="1151"/>
      <c r="AA262" s="1"/>
      <c r="AB262" s="1"/>
      <c r="AC262" s="1"/>
      <c r="AD262" s="1"/>
      <c r="AE262" s="1"/>
      <c r="AF262" s="1"/>
      <c r="AG262" s="1"/>
      <c r="AH262" s="1"/>
      <c r="AI262" s="1"/>
    </row>
    <row r="263" spans="1:35" ht="14.5">
      <c r="A263" s="990">
        <v>231</v>
      </c>
      <c r="B263" s="990">
        <v>1</v>
      </c>
      <c r="C263" s="990">
        <v>263</v>
      </c>
      <c r="D263" s="1121" t="s">
        <v>999</v>
      </c>
      <c r="E263" s="1243">
        <v>1</v>
      </c>
      <c r="F263" s="5"/>
      <c r="G263" s="5"/>
      <c r="H263" s="5"/>
      <c r="I263" s="326" t="s">
        <v>9</v>
      </c>
      <c r="J263" s="829"/>
      <c r="K263" s="1186"/>
      <c r="L263" s="1186"/>
      <c r="M263" s="829"/>
      <c r="N263" s="829"/>
      <c r="O263" s="1187" t="s">
        <v>530</v>
      </c>
      <c r="P263" s="1188"/>
      <c r="Q263" s="1716">
        <f>SUM(Q264,Q268)</f>
        <v>0</v>
      </c>
      <c r="R263" s="1716">
        <f t="shared" ref="R263:AI263" si="225">SUM(R264,R268)</f>
        <v>0</v>
      </c>
      <c r="S263" s="1716">
        <f t="shared" si="225"/>
        <v>0</v>
      </c>
      <c r="T263" s="1716">
        <f t="shared" si="225"/>
        <v>0</v>
      </c>
      <c r="U263" s="1716">
        <f t="shared" si="225"/>
        <v>0</v>
      </c>
      <c r="V263" s="1716">
        <f t="shared" si="225"/>
        <v>0</v>
      </c>
      <c r="W263" s="1716">
        <f t="shared" si="225"/>
        <v>0</v>
      </c>
      <c r="X263" s="1716">
        <f t="shared" si="225"/>
        <v>0</v>
      </c>
      <c r="Y263" s="1716">
        <f t="shared" si="225"/>
        <v>0</v>
      </c>
      <c r="Z263" s="1716">
        <f t="shared" si="225"/>
        <v>0</v>
      </c>
      <c r="AA263" s="1716">
        <f t="shared" si="225"/>
        <v>0</v>
      </c>
      <c r="AB263" s="1716">
        <f t="shared" si="225"/>
        <v>0</v>
      </c>
      <c r="AC263" s="125">
        <f t="shared" si="225"/>
        <v>0</v>
      </c>
      <c r="AD263" s="125">
        <f t="shared" si="225"/>
        <v>0</v>
      </c>
      <c r="AE263" s="125">
        <f t="shared" si="225"/>
        <v>0</v>
      </c>
      <c r="AF263" s="125">
        <f t="shared" si="225"/>
        <v>0</v>
      </c>
      <c r="AG263" s="125">
        <f t="shared" si="225"/>
        <v>0</v>
      </c>
      <c r="AH263" s="125">
        <f t="shared" si="225"/>
        <v>0</v>
      </c>
      <c r="AI263" s="125">
        <f t="shared" si="225"/>
        <v>0</v>
      </c>
    </row>
    <row r="264" spans="1:35">
      <c r="A264" s="990">
        <v>232</v>
      </c>
      <c r="B264" s="990">
        <v>1</v>
      </c>
      <c r="C264" s="990">
        <v>264</v>
      </c>
      <c r="D264" s="1121" t="s">
        <v>999</v>
      </c>
      <c r="E264" s="1243">
        <v>1</v>
      </c>
      <c r="F264" s="5"/>
      <c r="G264" s="5"/>
      <c r="H264" s="5"/>
      <c r="I264" s="30"/>
      <c r="J264" s="4"/>
      <c r="K264" s="5"/>
      <c r="L264" s="389" t="s">
        <v>1051</v>
      </c>
      <c r="M264" s="389"/>
      <c r="N264" s="389"/>
      <c r="O264" s="389"/>
      <c r="P264" s="1177"/>
      <c r="Q264" s="1177">
        <f>SUM(Q265:Q267)</f>
        <v>0</v>
      </c>
      <c r="R264" s="1177">
        <f t="shared" ref="R264:AB264" si="226">SUM(R265:R267)</f>
        <v>0</v>
      </c>
      <c r="S264" s="1177">
        <f t="shared" si="226"/>
        <v>0</v>
      </c>
      <c r="T264" s="1177">
        <f t="shared" si="226"/>
        <v>0</v>
      </c>
      <c r="U264" s="1177">
        <f t="shared" si="226"/>
        <v>0</v>
      </c>
      <c r="V264" s="1177">
        <f t="shared" si="226"/>
        <v>0</v>
      </c>
      <c r="W264" s="1177">
        <f t="shared" si="226"/>
        <v>0</v>
      </c>
      <c r="X264" s="1177">
        <f t="shared" si="226"/>
        <v>0</v>
      </c>
      <c r="Y264" s="1177">
        <f t="shared" si="226"/>
        <v>0</v>
      </c>
      <c r="Z264" s="1177">
        <f t="shared" si="226"/>
        <v>0</v>
      </c>
      <c r="AA264" s="1177">
        <f t="shared" si="226"/>
        <v>0</v>
      </c>
      <c r="AB264" s="1177">
        <f t="shared" si="226"/>
        <v>0</v>
      </c>
      <c r="AC264" s="390">
        <f t="shared" ref="AC264:AC272" si="227">SUM(Q264,R264,S264)</f>
        <v>0</v>
      </c>
      <c r="AD264" s="390">
        <f t="shared" ref="AD264:AD272" si="228">SUM(T264,U264,V264)</f>
        <v>0</v>
      </c>
      <c r="AE264" s="390">
        <f t="shared" ref="AE264:AE272" si="229">SUM(W264,X264,Y264)</f>
        <v>0</v>
      </c>
      <c r="AF264" s="390">
        <f t="shared" ref="AF264:AF272" si="230">SUM(Z264,AA264,AB264)</f>
        <v>0</v>
      </c>
      <c r="AG264" s="390">
        <f t="shared" ref="AG264:AG272" si="231">AC264+AD264</f>
        <v>0</v>
      </c>
      <c r="AH264" s="390">
        <f t="shared" ref="AH264:AH272" si="232">AF264+AE264</f>
        <v>0</v>
      </c>
      <c r="AI264" s="390">
        <f t="shared" ref="AI264:AI272" si="233">AG264+AH264</f>
        <v>0</v>
      </c>
    </row>
    <row r="265" spans="1:35" ht="15" customHeight="1">
      <c r="A265" s="990">
        <v>233</v>
      </c>
      <c r="B265" s="990">
        <v>1</v>
      </c>
      <c r="C265" s="990">
        <v>265</v>
      </c>
      <c r="D265" s="1121" t="s">
        <v>999</v>
      </c>
      <c r="E265" s="1243">
        <v>1</v>
      </c>
      <c r="F265" s="5"/>
      <c r="G265" s="5"/>
      <c r="H265" s="5"/>
      <c r="I265" s="30"/>
      <c r="J265" s="4"/>
      <c r="K265" s="5"/>
      <c r="L265" s="5"/>
      <c r="M265" s="4" t="s">
        <v>57</v>
      </c>
      <c r="N265" s="4"/>
      <c r="O265" s="4"/>
      <c r="P265" s="29"/>
      <c r="Q265" s="1190"/>
      <c r="R265" s="2039"/>
      <c r="S265" s="2039"/>
      <c r="T265" s="2039"/>
      <c r="U265" s="2039"/>
      <c r="V265" s="2039"/>
      <c r="W265" s="2039"/>
      <c r="X265" s="2039"/>
      <c r="Y265" s="2039"/>
      <c r="Z265" s="2039"/>
      <c r="AA265" s="2039"/>
      <c r="AB265" s="2039"/>
      <c r="AC265" s="89">
        <f t="shared" si="227"/>
        <v>0</v>
      </c>
      <c r="AD265" s="89">
        <f t="shared" si="228"/>
        <v>0</v>
      </c>
      <c r="AE265" s="89">
        <f t="shared" si="229"/>
        <v>0</v>
      </c>
      <c r="AF265" s="89">
        <f t="shared" si="230"/>
        <v>0</v>
      </c>
      <c r="AG265" s="89">
        <f t="shared" si="231"/>
        <v>0</v>
      </c>
      <c r="AH265" s="89">
        <f t="shared" si="232"/>
        <v>0</v>
      </c>
      <c r="AI265" s="89">
        <f t="shared" si="233"/>
        <v>0</v>
      </c>
    </row>
    <row r="266" spans="1:35" ht="15" customHeight="1">
      <c r="A266" s="990">
        <v>234</v>
      </c>
      <c r="B266" s="990">
        <v>1</v>
      </c>
      <c r="C266" s="990">
        <v>266</v>
      </c>
      <c r="D266" s="1121" t="s">
        <v>999</v>
      </c>
      <c r="E266" s="1243">
        <v>1</v>
      </c>
      <c r="F266" s="5"/>
      <c r="G266" s="5"/>
      <c r="H266" s="5"/>
      <c r="I266" s="30"/>
      <c r="J266" s="4"/>
      <c r="K266" s="5"/>
      <c r="L266" s="5"/>
      <c r="M266" s="4" t="s">
        <v>58</v>
      </c>
      <c r="N266" s="4"/>
      <c r="O266" s="4"/>
      <c r="P266" s="29"/>
      <c r="Q266" s="1190"/>
      <c r="R266" s="2039"/>
      <c r="S266" s="2039"/>
      <c r="T266" s="2039"/>
      <c r="U266" s="2039"/>
      <c r="V266" s="2039"/>
      <c r="W266" s="2039"/>
      <c r="X266" s="2039"/>
      <c r="Y266" s="2039"/>
      <c r="Z266" s="2039"/>
      <c r="AA266" s="2039"/>
      <c r="AB266" s="2039"/>
      <c r="AC266" s="89">
        <f t="shared" si="227"/>
        <v>0</v>
      </c>
      <c r="AD266" s="89">
        <f t="shared" si="228"/>
        <v>0</v>
      </c>
      <c r="AE266" s="89">
        <f t="shared" si="229"/>
        <v>0</v>
      </c>
      <c r="AF266" s="89">
        <f t="shared" si="230"/>
        <v>0</v>
      </c>
      <c r="AG266" s="89">
        <f t="shared" si="231"/>
        <v>0</v>
      </c>
      <c r="AH266" s="89">
        <f t="shared" si="232"/>
        <v>0</v>
      </c>
      <c r="AI266" s="89">
        <f t="shared" si="233"/>
        <v>0</v>
      </c>
    </row>
    <row r="267" spans="1:35" ht="15" customHeight="1">
      <c r="A267" s="990">
        <v>235</v>
      </c>
      <c r="B267" s="990">
        <v>1</v>
      </c>
      <c r="C267" s="990">
        <v>267</v>
      </c>
      <c r="D267" s="1121" t="s">
        <v>999</v>
      </c>
      <c r="E267" s="1243">
        <v>1</v>
      </c>
      <c r="F267" s="5"/>
      <c r="G267" s="5"/>
      <c r="H267" s="5"/>
      <c r="I267" s="30"/>
      <c r="J267" s="4"/>
      <c r="K267" s="5"/>
      <c r="L267" s="52"/>
      <c r="M267" s="51" t="s">
        <v>85</v>
      </c>
      <c r="N267" s="51"/>
      <c r="O267" s="51"/>
      <c r="P267" s="50"/>
      <c r="Q267" s="1191"/>
      <c r="R267" s="2043"/>
      <c r="S267" s="2043"/>
      <c r="T267" s="2043"/>
      <c r="U267" s="2043"/>
      <c r="V267" s="2043"/>
      <c r="W267" s="2043"/>
      <c r="X267" s="2043"/>
      <c r="Y267" s="2043"/>
      <c r="Z267" s="2043"/>
      <c r="AA267" s="2043"/>
      <c r="AB267" s="2043"/>
      <c r="AC267" s="134">
        <f t="shared" si="227"/>
        <v>0</v>
      </c>
      <c r="AD267" s="134">
        <f t="shared" si="228"/>
        <v>0</v>
      </c>
      <c r="AE267" s="134">
        <f t="shared" si="229"/>
        <v>0</v>
      </c>
      <c r="AF267" s="134">
        <f t="shared" si="230"/>
        <v>0</v>
      </c>
      <c r="AG267" s="134">
        <f t="shared" si="231"/>
        <v>0</v>
      </c>
      <c r="AH267" s="134">
        <f t="shared" si="232"/>
        <v>0</v>
      </c>
      <c r="AI267" s="134">
        <f t="shared" si="233"/>
        <v>0</v>
      </c>
    </row>
    <row r="268" spans="1:35" ht="15" customHeight="1">
      <c r="A268" s="990">
        <v>236</v>
      </c>
      <c r="B268" s="990">
        <v>1</v>
      </c>
      <c r="C268" s="990">
        <v>268</v>
      </c>
      <c r="D268" s="1121" t="s">
        <v>999</v>
      </c>
      <c r="E268" s="1243">
        <v>1</v>
      </c>
      <c r="F268" s="5"/>
      <c r="G268" s="5"/>
      <c r="H268" s="5"/>
      <c r="I268" s="30"/>
      <c r="J268" s="4"/>
      <c r="K268" s="5"/>
      <c r="L268" s="389" t="s">
        <v>1052</v>
      </c>
      <c r="M268" s="389"/>
      <c r="N268" s="389"/>
      <c r="O268" s="389"/>
      <c r="P268" s="1177"/>
      <c r="Q268" s="1177">
        <f>SUM(Q269:Q272)</f>
        <v>0</v>
      </c>
      <c r="R268" s="1177">
        <f t="shared" ref="R268:AB268" si="234">SUM(R269:R272)</f>
        <v>0</v>
      </c>
      <c r="S268" s="1177">
        <f t="shared" si="234"/>
        <v>0</v>
      </c>
      <c r="T268" s="1177">
        <f t="shared" si="234"/>
        <v>0</v>
      </c>
      <c r="U268" s="1177">
        <f t="shared" si="234"/>
        <v>0</v>
      </c>
      <c r="V268" s="1177">
        <f t="shared" si="234"/>
        <v>0</v>
      </c>
      <c r="W268" s="1177">
        <f t="shared" si="234"/>
        <v>0</v>
      </c>
      <c r="X268" s="1177">
        <f t="shared" si="234"/>
        <v>0</v>
      </c>
      <c r="Y268" s="1177">
        <f t="shared" si="234"/>
        <v>0</v>
      </c>
      <c r="Z268" s="1177">
        <f t="shared" si="234"/>
        <v>0</v>
      </c>
      <c r="AA268" s="1177">
        <f t="shared" si="234"/>
        <v>0</v>
      </c>
      <c r="AB268" s="1177">
        <f t="shared" si="234"/>
        <v>0</v>
      </c>
      <c r="AC268" s="390">
        <f t="shared" si="227"/>
        <v>0</v>
      </c>
      <c r="AD268" s="390">
        <f t="shared" si="228"/>
        <v>0</v>
      </c>
      <c r="AE268" s="390">
        <f t="shared" si="229"/>
        <v>0</v>
      </c>
      <c r="AF268" s="390">
        <f t="shared" si="230"/>
        <v>0</v>
      </c>
      <c r="AG268" s="390">
        <f t="shared" si="231"/>
        <v>0</v>
      </c>
      <c r="AH268" s="390">
        <f t="shared" si="232"/>
        <v>0</v>
      </c>
      <c r="AI268" s="390">
        <f t="shared" si="233"/>
        <v>0</v>
      </c>
    </row>
    <row r="269" spans="1:35" ht="15" customHeight="1">
      <c r="A269" s="990">
        <v>237</v>
      </c>
      <c r="B269" s="990">
        <v>1</v>
      </c>
      <c r="C269" s="990">
        <v>269</v>
      </c>
      <c r="D269" s="1121" t="s">
        <v>999</v>
      </c>
      <c r="E269" s="1243">
        <v>1</v>
      </c>
      <c r="F269" s="5"/>
      <c r="G269" s="5"/>
      <c r="H269" s="5"/>
      <c r="I269" s="30"/>
      <c r="J269" s="4"/>
      <c r="K269" s="5"/>
      <c r="L269" s="5"/>
      <c r="M269" s="4" t="s">
        <v>59</v>
      </c>
      <c r="N269" s="4"/>
      <c r="O269" s="4"/>
      <c r="P269" s="29"/>
      <c r="Q269" s="1190"/>
      <c r="R269" s="2039"/>
      <c r="S269" s="2039"/>
      <c r="T269" s="2039"/>
      <c r="U269" s="2039"/>
      <c r="V269" s="2039"/>
      <c r="W269" s="2039"/>
      <c r="X269" s="2039"/>
      <c r="Y269" s="2039"/>
      <c r="Z269" s="2039"/>
      <c r="AA269" s="2039"/>
      <c r="AB269" s="2039"/>
      <c r="AC269" s="89">
        <f t="shared" si="227"/>
        <v>0</v>
      </c>
      <c r="AD269" s="89">
        <f t="shared" si="228"/>
        <v>0</v>
      </c>
      <c r="AE269" s="89">
        <f t="shared" si="229"/>
        <v>0</v>
      </c>
      <c r="AF269" s="89">
        <f t="shared" si="230"/>
        <v>0</v>
      </c>
      <c r="AG269" s="89">
        <f t="shared" si="231"/>
        <v>0</v>
      </c>
      <c r="AH269" s="89">
        <f t="shared" si="232"/>
        <v>0</v>
      </c>
      <c r="AI269" s="89">
        <f t="shared" si="233"/>
        <v>0</v>
      </c>
    </row>
    <row r="270" spans="1:35" ht="15" customHeight="1">
      <c r="A270" s="990">
        <v>238</v>
      </c>
      <c r="B270" s="990">
        <v>1</v>
      </c>
      <c r="C270" s="990">
        <v>270</v>
      </c>
      <c r="D270" s="1121" t="s">
        <v>999</v>
      </c>
      <c r="E270" s="1243">
        <v>1</v>
      </c>
      <c r="F270" s="423">
        <v>1</v>
      </c>
      <c r="G270" s="316"/>
      <c r="H270" s="5"/>
      <c r="I270" s="30"/>
      <c r="J270" s="4"/>
      <c r="K270" s="5"/>
      <c r="L270" s="5"/>
      <c r="M270" s="4" t="s">
        <v>683</v>
      </c>
      <c r="N270" s="4"/>
      <c r="O270" s="4"/>
      <c r="P270" s="29"/>
      <c r="Q270" s="1190"/>
      <c r="R270" s="2039"/>
      <c r="S270" s="2039"/>
      <c r="T270" s="2039"/>
      <c r="U270" s="2039"/>
      <c r="V270" s="2039"/>
      <c r="W270" s="2039"/>
      <c r="X270" s="2039"/>
      <c r="Y270" s="2039"/>
      <c r="Z270" s="2039"/>
      <c r="AA270" s="2039"/>
      <c r="AB270" s="2039"/>
      <c r="AC270" s="89">
        <f t="shared" si="227"/>
        <v>0</v>
      </c>
      <c r="AD270" s="89">
        <f t="shared" si="228"/>
        <v>0</v>
      </c>
      <c r="AE270" s="89">
        <f t="shared" si="229"/>
        <v>0</v>
      </c>
      <c r="AF270" s="89">
        <f t="shared" si="230"/>
        <v>0</v>
      </c>
      <c r="AG270" s="89">
        <f t="shared" si="231"/>
        <v>0</v>
      </c>
      <c r="AH270" s="89">
        <f t="shared" si="232"/>
        <v>0</v>
      </c>
      <c r="AI270" s="89">
        <f t="shared" si="233"/>
        <v>0</v>
      </c>
    </row>
    <row r="271" spans="1:35" ht="15" customHeight="1">
      <c r="A271" s="990">
        <v>239</v>
      </c>
      <c r="B271" s="990">
        <v>1</v>
      </c>
      <c r="C271" s="990">
        <v>271</v>
      </c>
      <c r="D271" s="1121" t="s">
        <v>999</v>
      </c>
      <c r="E271" s="1243">
        <v>1</v>
      </c>
      <c r="F271" s="423">
        <v>1</v>
      </c>
      <c r="G271" s="316"/>
      <c r="H271" s="5"/>
      <c r="I271" s="30"/>
      <c r="J271" s="4"/>
      <c r="K271" s="5"/>
      <c r="L271" s="5"/>
      <c r="M271" s="4" t="s">
        <v>684</v>
      </c>
      <c r="N271" s="4"/>
      <c r="O271" s="4"/>
      <c r="P271" s="29"/>
      <c r="Q271" s="1190"/>
      <c r="R271" s="2039"/>
      <c r="S271" s="2039"/>
      <c r="T271" s="2039"/>
      <c r="U271" s="2039"/>
      <c r="V271" s="2039"/>
      <c r="W271" s="2039"/>
      <c r="X271" s="2039"/>
      <c r="Y271" s="2039"/>
      <c r="Z271" s="2039"/>
      <c r="AA271" s="2039"/>
      <c r="AB271" s="2039"/>
      <c r="AC271" s="89">
        <f t="shared" si="227"/>
        <v>0</v>
      </c>
      <c r="AD271" s="89">
        <f t="shared" si="228"/>
        <v>0</v>
      </c>
      <c r="AE271" s="89">
        <f t="shared" si="229"/>
        <v>0</v>
      </c>
      <c r="AF271" s="89">
        <f t="shared" si="230"/>
        <v>0</v>
      </c>
      <c r="AG271" s="89">
        <f t="shared" si="231"/>
        <v>0</v>
      </c>
      <c r="AH271" s="89">
        <f t="shared" si="232"/>
        <v>0</v>
      </c>
      <c r="AI271" s="89">
        <f t="shared" si="233"/>
        <v>0</v>
      </c>
    </row>
    <row r="272" spans="1:35" ht="15" customHeight="1">
      <c r="A272" s="990">
        <v>240</v>
      </c>
      <c r="B272" s="990">
        <v>1</v>
      </c>
      <c r="C272" s="990">
        <v>272</v>
      </c>
      <c r="D272" s="1121" t="s">
        <v>999</v>
      </c>
      <c r="E272" s="1243">
        <v>1</v>
      </c>
      <c r="F272" s="423">
        <v>1</v>
      </c>
      <c r="G272" s="316"/>
      <c r="H272" s="5"/>
      <c r="I272" s="30"/>
      <c r="J272" s="4"/>
      <c r="K272" s="5"/>
      <c r="L272" s="5"/>
      <c r="M272" s="4" t="s">
        <v>685</v>
      </c>
      <c r="N272" s="4"/>
      <c r="O272" s="4"/>
      <c r="P272" s="29"/>
      <c r="Q272" s="1190"/>
      <c r="R272" s="2039"/>
      <c r="S272" s="2039"/>
      <c r="T272" s="2039"/>
      <c r="U272" s="2039"/>
      <c r="V272" s="2039"/>
      <c r="W272" s="2039"/>
      <c r="X272" s="2039"/>
      <c r="Y272" s="2039"/>
      <c r="Z272" s="2039"/>
      <c r="AA272" s="2039"/>
      <c r="AB272" s="2039"/>
      <c r="AC272" s="89">
        <f t="shared" si="227"/>
        <v>0</v>
      </c>
      <c r="AD272" s="89">
        <f t="shared" si="228"/>
        <v>0</v>
      </c>
      <c r="AE272" s="89">
        <f t="shared" si="229"/>
        <v>0</v>
      </c>
      <c r="AF272" s="89">
        <f t="shared" si="230"/>
        <v>0</v>
      </c>
      <c r="AG272" s="89">
        <f t="shared" si="231"/>
        <v>0</v>
      </c>
      <c r="AH272" s="89">
        <f t="shared" si="232"/>
        <v>0</v>
      </c>
      <c r="AI272" s="89">
        <f t="shared" si="233"/>
        <v>0</v>
      </c>
    </row>
    <row r="273" spans="1:36" ht="14.5">
      <c r="A273" s="990">
        <v>241</v>
      </c>
      <c r="B273" s="990">
        <v>1</v>
      </c>
      <c r="C273" s="990">
        <v>273</v>
      </c>
      <c r="D273" s="1121" t="s">
        <v>999</v>
      </c>
      <c r="E273" s="1243">
        <v>1</v>
      </c>
      <c r="F273" s="5"/>
      <c r="G273" s="5"/>
      <c r="H273" s="5"/>
      <c r="I273" s="326" t="s">
        <v>128</v>
      </c>
      <c r="J273" s="829"/>
      <c r="K273" s="1186"/>
      <c r="L273" s="1186"/>
      <c r="M273" s="829"/>
      <c r="N273" s="829"/>
      <c r="O273" s="1187" t="s">
        <v>532</v>
      </c>
      <c r="P273" s="1188"/>
      <c r="Q273" s="1716">
        <f>SUM(Q274,Q278)</f>
        <v>0</v>
      </c>
      <c r="R273" s="1716">
        <f t="shared" ref="R273:AI273" si="235">SUM(R274,R278)</f>
        <v>0</v>
      </c>
      <c r="S273" s="1716">
        <f t="shared" si="235"/>
        <v>0</v>
      </c>
      <c r="T273" s="1716">
        <f t="shared" si="235"/>
        <v>0</v>
      </c>
      <c r="U273" s="1716">
        <f t="shared" si="235"/>
        <v>0</v>
      </c>
      <c r="V273" s="1716">
        <f t="shared" si="235"/>
        <v>0</v>
      </c>
      <c r="W273" s="1716">
        <f t="shared" si="235"/>
        <v>0</v>
      </c>
      <c r="X273" s="1716">
        <f t="shared" si="235"/>
        <v>0</v>
      </c>
      <c r="Y273" s="1716">
        <f t="shared" si="235"/>
        <v>0</v>
      </c>
      <c r="Z273" s="1716">
        <f t="shared" si="235"/>
        <v>0</v>
      </c>
      <c r="AA273" s="1716">
        <f t="shared" si="235"/>
        <v>0</v>
      </c>
      <c r="AB273" s="1716">
        <f t="shared" si="235"/>
        <v>0</v>
      </c>
      <c r="AC273" s="125">
        <f t="shared" si="235"/>
        <v>0</v>
      </c>
      <c r="AD273" s="125">
        <f t="shared" si="235"/>
        <v>0</v>
      </c>
      <c r="AE273" s="125">
        <f t="shared" si="235"/>
        <v>0</v>
      </c>
      <c r="AF273" s="125">
        <f t="shared" si="235"/>
        <v>0</v>
      </c>
      <c r="AG273" s="125">
        <f t="shared" si="235"/>
        <v>0</v>
      </c>
      <c r="AH273" s="125">
        <f t="shared" si="235"/>
        <v>0</v>
      </c>
      <c r="AI273" s="125">
        <f t="shared" si="235"/>
        <v>0</v>
      </c>
    </row>
    <row r="274" spans="1:36">
      <c r="A274" s="990">
        <v>242</v>
      </c>
      <c r="B274" s="990">
        <v>1</v>
      </c>
      <c r="C274" s="990">
        <v>274</v>
      </c>
      <c r="D274" s="1121" t="s">
        <v>999</v>
      </c>
      <c r="E274" s="1243">
        <v>1</v>
      </c>
      <c r="F274" s="5"/>
      <c r="G274" s="5"/>
      <c r="H274" s="5"/>
      <c r="I274" s="30"/>
      <c r="J274" s="4"/>
      <c r="K274" s="5"/>
      <c r="L274" s="389" t="s">
        <v>1051</v>
      </c>
      <c r="M274" s="389"/>
      <c r="N274" s="389"/>
      <c r="O274" s="389"/>
      <c r="P274" s="1177"/>
      <c r="Q274" s="1177">
        <f>SUM(Q275:Q277)</f>
        <v>0</v>
      </c>
      <c r="R274" s="1177">
        <f t="shared" ref="R274:AB274" si="236">SUM(R275:R277)</f>
        <v>0</v>
      </c>
      <c r="S274" s="1177">
        <f t="shared" si="236"/>
        <v>0</v>
      </c>
      <c r="T274" s="1177">
        <f t="shared" si="236"/>
        <v>0</v>
      </c>
      <c r="U274" s="1177">
        <f t="shared" si="236"/>
        <v>0</v>
      </c>
      <c r="V274" s="1177">
        <f t="shared" si="236"/>
        <v>0</v>
      </c>
      <c r="W274" s="1177">
        <f t="shared" si="236"/>
        <v>0</v>
      </c>
      <c r="X274" s="1177">
        <f t="shared" si="236"/>
        <v>0</v>
      </c>
      <c r="Y274" s="1177">
        <f t="shared" si="236"/>
        <v>0</v>
      </c>
      <c r="Z274" s="1177">
        <f t="shared" si="236"/>
        <v>0</v>
      </c>
      <c r="AA274" s="1177">
        <f t="shared" si="236"/>
        <v>0</v>
      </c>
      <c r="AB274" s="1177">
        <f t="shared" si="236"/>
        <v>0</v>
      </c>
      <c r="AC274" s="390">
        <f t="shared" ref="AC274:AC282" si="237">SUM(Q274,R274,S274)</f>
        <v>0</v>
      </c>
      <c r="AD274" s="390">
        <f t="shared" ref="AD274:AD282" si="238">SUM(T274,U274,V274)</f>
        <v>0</v>
      </c>
      <c r="AE274" s="390">
        <f t="shared" ref="AE274:AE282" si="239">SUM(W274,X274,Y274)</f>
        <v>0</v>
      </c>
      <c r="AF274" s="390">
        <f t="shared" ref="AF274:AF282" si="240">SUM(Z274,AA274,AB274)</f>
        <v>0</v>
      </c>
      <c r="AG274" s="390">
        <f t="shared" ref="AG274:AG282" si="241">AC274+AD274</f>
        <v>0</v>
      </c>
      <c r="AH274" s="390">
        <f t="shared" ref="AH274:AH282" si="242">AF274+AE274</f>
        <v>0</v>
      </c>
      <c r="AI274" s="390">
        <f t="shared" ref="AI274:AI282" si="243">AG274+AH274</f>
        <v>0</v>
      </c>
    </row>
    <row r="275" spans="1:36" ht="15" customHeight="1">
      <c r="A275" s="990">
        <v>243</v>
      </c>
      <c r="B275" s="990">
        <v>1</v>
      </c>
      <c r="C275" s="990">
        <v>275</v>
      </c>
      <c r="D275" s="1121" t="s">
        <v>999</v>
      </c>
      <c r="E275" s="1243">
        <v>1</v>
      </c>
      <c r="F275" s="5"/>
      <c r="G275" s="5"/>
      <c r="H275" s="5"/>
      <c r="I275" s="30"/>
      <c r="J275" s="4"/>
      <c r="K275" s="5"/>
      <c r="L275" s="5"/>
      <c r="M275" s="4" t="s">
        <v>57</v>
      </c>
      <c r="N275" s="4"/>
      <c r="O275" s="4"/>
      <c r="P275" s="29"/>
      <c r="Q275" s="1190"/>
      <c r="R275" s="2039"/>
      <c r="S275" s="2039"/>
      <c r="T275" s="2039"/>
      <c r="U275" s="2039"/>
      <c r="V275" s="2039"/>
      <c r="W275" s="2039"/>
      <c r="X275" s="2039"/>
      <c r="Y275" s="2039"/>
      <c r="Z275" s="2039"/>
      <c r="AA275" s="2039"/>
      <c r="AB275" s="2039"/>
      <c r="AC275" s="89">
        <f t="shared" si="237"/>
        <v>0</v>
      </c>
      <c r="AD275" s="89">
        <f t="shared" si="238"/>
        <v>0</v>
      </c>
      <c r="AE275" s="89">
        <f t="shared" si="239"/>
        <v>0</v>
      </c>
      <c r="AF275" s="89">
        <f t="shared" si="240"/>
        <v>0</v>
      </c>
      <c r="AG275" s="89">
        <f t="shared" si="241"/>
        <v>0</v>
      </c>
      <c r="AH275" s="89">
        <f t="shared" si="242"/>
        <v>0</v>
      </c>
      <c r="AI275" s="89">
        <f t="shared" si="243"/>
        <v>0</v>
      </c>
    </row>
    <row r="276" spans="1:36" ht="15" customHeight="1">
      <c r="A276" s="990">
        <v>244</v>
      </c>
      <c r="B276" s="990">
        <v>1</v>
      </c>
      <c r="C276" s="990">
        <v>276</v>
      </c>
      <c r="D276" s="1121" t="s">
        <v>999</v>
      </c>
      <c r="E276" s="1243">
        <v>1</v>
      </c>
      <c r="F276" s="5"/>
      <c r="G276" s="5"/>
      <c r="H276" s="5"/>
      <c r="I276" s="30"/>
      <c r="J276" s="4"/>
      <c r="K276" s="5"/>
      <c r="L276" s="5"/>
      <c r="M276" s="4" t="s">
        <v>58</v>
      </c>
      <c r="N276" s="4"/>
      <c r="O276" s="4"/>
      <c r="P276" s="29"/>
      <c r="Q276" s="1190"/>
      <c r="R276" s="2039"/>
      <c r="S276" s="2039"/>
      <c r="T276" s="2039"/>
      <c r="U276" s="2039"/>
      <c r="V276" s="2039"/>
      <c r="W276" s="2039"/>
      <c r="X276" s="2039"/>
      <c r="Y276" s="2039"/>
      <c r="Z276" s="2039"/>
      <c r="AA276" s="2039"/>
      <c r="AB276" s="2039"/>
      <c r="AC276" s="89">
        <f t="shared" si="237"/>
        <v>0</v>
      </c>
      <c r="AD276" s="89">
        <f t="shared" si="238"/>
        <v>0</v>
      </c>
      <c r="AE276" s="89">
        <f t="shared" si="239"/>
        <v>0</v>
      </c>
      <c r="AF276" s="89">
        <f t="shared" si="240"/>
        <v>0</v>
      </c>
      <c r="AG276" s="89">
        <f t="shared" si="241"/>
        <v>0</v>
      </c>
      <c r="AH276" s="89">
        <f t="shared" si="242"/>
        <v>0</v>
      </c>
      <c r="AI276" s="89">
        <f t="shared" si="243"/>
        <v>0</v>
      </c>
    </row>
    <row r="277" spans="1:36" ht="15" customHeight="1">
      <c r="A277" s="990">
        <v>245</v>
      </c>
      <c r="B277" s="990">
        <v>1</v>
      </c>
      <c r="C277" s="990">
        <v>277</v>
      </c>
      <c r="D277" s="1121" t="s">
        <v>999</v>
      </c>
      <c r="E277" s="1243">
        <v>1</v>
      </c>
      <c r="F277" s="5"/>
      <c r="G277" s="5"/>
      <c r="H277" s="5"/>
      <c r="I277" s="30"/>
      <c r="J277" s="4"/>
      <c r="K277" s="5"/>
      <c r="L277" s="52"/>
      <c r="M277" s="51" t="s">
        <v>85</v>
      </c>
      <c r="N277" s="51"/>
      <c r="O277" s="51"/>
      <c r="P277" s="50"/>
      <c r="Q277" s="1191"/>
      <c r="R277" s="2043"/>
      <c r="S277" s="2043"/>
      <c r="T277" s="2043"/>
      <c r="U277" s="2043"/>
      <c r="V277" s="2043"/>
      <c r="W277" s="2043"/>
      <c r="X277" s="2043"/>
      <c r="Y277" s="2043"/>
      <c r="Z277" s="2043"/>
      <c r="AA277" s="2043"/>
      <c r="AB277" s="2043"/>
      <c r="AC277" s="134">
        <f t="shared" si="237"/>
        <v>0</v>
      </c>
      <c r="AD277" s="134">
        <f t="shared" si="238"/>
        <v>0</v>
      </c>
      <c r="AE277" s="134">
        <f t="shared" si="239"/>
        <v>0</v>
      </c>
      <c r="AF277" s="134">
        <f t="shared" si="240"/>
        <v>0</v>
      </c>
      <c r="AG277" s="134">
        <f t="shared" si="241"/>
        <v>0</v>
      </c>
      <c r="AH277" s="134">
        <f t="shared" si="242"/>
        <v>0</v>
      </c>
      <c r="AI277" s="134">
        <f t="shared" si="243"/>
        <v>0</v>
      </c>
    </row>
    <row r="278" spans="1:36" ht="15" customHeight="1">
      <c r="A278" s="990">
        <v>246</v>
      </c>
      <c r="B278" s="990">
        <v>1</v>
      </c>
      <c r="C278" s="990">
        <v>278</v>
      </c>
      <c r="D278" s="1121" t="s">
        <v>999</v>
      </c>
      <c r="E278" s="1243">
        <v>1</v>
      </c>
      <c r="F278" s="5"/>
      <c r="G278" s="5"/>
      <c r="H278" s="5"/>
      <c r="I278" s="30"/>
      <c r="J278" s="4"/>
      <c r="K278" s="5"/>
      <c r="L278" s="389" t="s">
        <v>1052</v>
      </c>
      <c r="M278" s="389"/>
      <c r="N278" s="389"/>
      <c r="O278" s="389"/>
      <c r="P278" s="1177"/>
      <c r="Q278" s="1177">
        <f>SUM(Q279:Q282)</f>
        <v>0</v>
      </c>
      <c r="R278" s="1177">
        <f t="shared" ref="R278:AB278" si="244">SUM(R279:R282)</f>
        <v>0</v>
      </c>
      <c r="S278" s="1177">
        <f t="shared" si="244"/>
        <v>0</v>
      </c>
      <c r="T278" s="1177">
        <f t="shared" si="244"/>
        <v>0</v>
      </c>
      <c r="U278" s="1177">
        <f t="shared" si="244"/>
        <v>0</v>
      </c>
      <c r="V278" s="1177">
        <f t="shared" si="244"/>
        <v>0</v>
      </c>
      <c r="W278" s="1177">
        <f t="shared" si="244"/>
        <v>0</v>
      </c>
      <c r="X278" s="1177">
        <f t="shared" si="244"/>
        <v>0</v>
      </c>
      <c r="Y278" s="1177">
        <f t="shared" si="244"/>
        <v>0</v>
      </c>
      <c r="Z278" s="1177">
        <f t="shared" si="244"/>
        <v>0</v>
      </c>
      <c r="AA278" s="1177">
        <f t="shared" si="244"/>
        <v>0</v>
      </c>
      <c r="AB278" s="1177">
        <f t="shared" si="244"/>
        <v>0</v>
      </c>
      <c r="AC278" s="390">
        <f t="shared" si="237"/>
        <v>0</v>
      </c>
      <c r="AD278" s="390">
        <f t="shared" si="238"/>
        <v>0</v>
      </c>
      <c r="AE278" s="390">
        <f t="shared" si="239"/>
        <v>0</v>
      </c>
      <c r="AF278" s="390">
        <f t="shared" si="240"/>
        <v>0</v>
      </c>
      <c r="AG278" s="390">
        <f t="shared" si="241"/>
        <v>0</v>
      </c>
      <c r="AH278" s="390">
        <f t="shared" si="242"/>
        <v>0</v>
      </c>
      <c r="AI278" s="390">
        <f t="shared" si="243"/>
        <v>0</v>
      </c>
    </row>
    <row r="279" spans="1:36" ht="15" customHeight="1">
      <c r="A279" s="990">
        <v>247</v>
      </c>
      <c r="B279" s="990">
        <v>1</v>
      </c>
      <c r="C279" s="990">
        <v>279</v>
      </c>
      <c r="D279" s="1121" t="s">
        <v>999</v>
      </c>
      <c r="E279" s="1243">
        <v>1</v>
      </c>
      <c r="F279" s="5"/>
      <c r="G279" s="5"/>
      <c r="H279" s="5"/>
      <c r="I279" s="30"/>
      <c r="J279" s="4"/>
      <c r="K279" s="5"/>
      <c r="L279" s="5"/>
      <c r="M279" s="4" t="s">
        <v>59</v>
      </c>
      <c r="N279" s="4"/>
      <c r="O279" s="4"/>
      <c r="P279" s="29"/>
      <c r="Q279" s="1190"/>
      <c r="R279" s="2039"/>
      <c r="S279" s="2039"/>
      <c r="T279" s="2039"/>
      <c r="U279" s="2039"/>
      <c r="V279" s="2039"/>
      <c r="W279" s="2039"/>
      <c r="X279" s="2039"/>
      <c r="Y279" s="2039"/>
      <c r="Z279" s="2039"/>
      <c r="AA279" s="2039"/>
      <c r="AB279" s="2039"/>
      <c r="AC279" s="89">
        <f t="shared" si="237"/>
        <v>0</v>
      </c>
      <c r="AD279" s="89">
        <f t="shared" si="238"/>
        <v>0</v>
      </c>
      <c r="AE279" s="89">
        <f t="shared" si="239"/>
        <v>0</v>
      </c>
      <c r="AF279" s="89">
        <f t="shared" si="240"/>
        <v>0</v>
      </c>
      <c r="AG279" s="89">
        <f t="shared" si="241"/>
        <v>0</v>
      </c>
      <c r="AH279" s="89">
        <f t="shared" si="242"/>
        <v>0</v>
      </c>
      <c r="AI279" s="89">
        <f t="shared" si="243"/>
        <v>0</v>
      </c>
    </row>
    <row r="280" spans="1:36" ht="15" customHeight="1">
      <c r="A280" s="990">
        <v>248</v>
      </c>
      <c r="B280" s="990">
        <v>1</v>
      </c>
      <c r="C280" s="990">
        <v>280</v>
      </c>
      <c r="D280" s="1121" t="s">
        <v>999</v>
      </c>
      <c r="E280" s="1243">
        <v>1</v>
      </c>
      <c r="F280" s="423">
        <v>1</v>
      </c>
      <c r="G280" s="316"/>
      <c r="H280" s="5"/>
      <c r="I280" s="30"/>
      <c r="J280" s="4"/>
      <c r="K280" s="5"/>
      <c r="L280" s="5"/>
      <c r="M280" s="4" t="s">
        <v>683</v>
      </c>
      <c r="N280" s="4"/>
      <c r="O280" s="4"/>
      <c r="P280" s="29"/>
      <c r="Q280" s="1190"/>
      <c r="R280" s="2039"/>
      <c r="S280" s="2039"/>
      <c r="T280" s="2039"/>
      <c r="U280" s="2039"/>
      <c r="V280" s="2039"/>
      <c r="W280" s="2039"/>
      <c r="X280" s="2039"/>
      <c r="Y280" s="2039"/>
      <c r="Z280" s="2039"/>
      <c r="AA280" s="2039"/>
      <c r="AB280" s="2039"/>
      <c r="AC280" s="89">
        <f t="shared" si="237"/>
        <v>0</v>
      </c>
      <c r="AD280" s="89">
        <f t="shared" si="238"/>
        <v>0</v>
      </c>
      <c r="AE280" s="89">
        <f t="shared" si="239"/>
        <v>0</v>
      </c>
      <c r="AF280" s="89">
        <f t="shared" si="240"/>
        <v>0</v>
      </c>
      <c r="AG280" s="89">
        <f t="shared" si="241"/>
        <v>0</v>
      </c>
      <c r="AH280" s="89">
        <f t="shared" si="242"/>
        <v>0</v>
      </c>
      <c r="AI280" s="89">
        <f t="shared" si="243"/>
        <v>0</v>
      </c>
    </row>
    <row r="281" spans="1:36" ht="15" customHeight="1">
      <c r="A281" s="990">
        <v>249</v>
      </c>
      <c r="B281" s="990">
        <v>1</v>
      </c>
      <c r="C281" s="990">
        <v>281</v>
      </c>
      <c r="D281" s="1121" t="s">
        <v>999</v>
      </c>
      <c r="E281" s="1243">
        <v>1</v>
      </c>
      <c r="F281" s="423">
        <v>1</v>
      </c>
      <c r="G281" s="316"/>
      <c r="H281" s="5"/>
      <c r="I281" s="30"/>
      <c r="J281" s="4"/>
      <c r="K281" s="5"/>
      <c r="L281" s="5"/>
      <c r="M281" s="4" t="s">
        <v>684</v>
      </c>
      <c r="N281" s="4"/>
      <c r="O281" s="4"/>
      <c r="P281" s="29"/>
      <c r="Q281" s="1190"/>
      <c r="R281" s="2039"/>
      <c r="S281" s="2039"/>
      <c r="T281" s="2039"/>
      <c r="U281" s="2039"/>
      <c r="V281" s="2039"/>
      <c r="W281" s="2039"/>
      <c r="X281" s="2039"/>
      <c r="Y281" s="2039"/>
      <c r="Z281" s="2039"/>
      <c r="AA281" s="2039"/>
      <c r="AB281" s="2039"/>
      <c r="AC281" s="89">
        <f t="shared" si="237"/>
        <v>0</v>
      </c>
      <c r="AD281" s="89">
        <f t="shared" si="238"/>
        <v>0</v>
      </c>
      <c r="AE281" s="89">
        <f t="shared" si="239"/>
        <v>0</v>
      </c>
      <c r="AF281" s="89">
        <f t="shared" si="240"/>
        <v>0</v>
      </c>
      <c r="AG281" s="89">
        <f t="shared" si="241"/>
        <v>0</v>
      </c>
      <c r="AH281" s="89">
        <f t="shared" si="242"/>
        <v>0</v>
      </c>
      <c r="AI281" s="89">
        <f t="shared" si="243"/>
        <v>0</v>
      </c>
    </row>
    <row r="282" spans="1:36" ht="15" customHeight="1">
      <c r="A282" s="990">
        <v>250</v>
      </c>
      <c r="B282" s="990">
        <v>1</v>
      </c>
      <c r="C282" s="990">
        <v>282</v>
      </c>
      <c r="D282" s="1121" t="s">
        <v>999</v>
      </c>
      <c r="E282" s="1243">
        <v>1</v>
      </c>
      <c r="F282" s="423">
        <v>1</v>
      </c>
      <c r="G282" s="316"/>
      <c r="H282" s="5"/>
      <c r="I282" s="30"/>
      <c r="J282" s="4"/>
      <c r="K282" s="5"/>
      <c r="L282" s="5"/>
      <c r="M282" s="4" t="s">
        <v>685</v>
      </c>
      <c r="N282" s="4"/>
      <c r="O282" s="4"/>
      <c r="P282" s="29"/>
      <c r="Q282" s="1190"/>
      <c r="R282" s="2039"/>
      <c r="S282" s="2039"/>
      <c r="T282" s="2039"/>
      <c r="U282" s="2039"/>
      <c r="V282" s="2039"/>
      <c r="W282" s="2039"/>
      <c r="X282" s="2039"/>
      <c r="Y282" s="2039"/>
      <c r="Z282" s="2039"/>
      <c r="AA282" s="2039"/>
      <c r="AB282" s="2039"/>
      <c r="AC282" s="89">
        <f t="shared" si="237"/>
        <v>0</v>
      </c>
      <c r="AD282" s="89">
        <f t="shared" si="238"/>
        <v>0</v>
      </c>
      <c r="AE282" s="89">
        <f t="shared" si="239"/>
        <v>0</v>
      </c>
      <c r="AF282" s="89">
        <f t="shared" si="240"/>
        <v>0</v>
      </c>
      <c r="AG282" s="89">
        <f t="shared" si="241"/>
        <v>0</v>
      </c>
      <c r="AH282" s="89">
        <f t="shared" si="242"/>
        <v>0</v>
      </c>
      <c r="AI282" s="89">
        <f t="shared" si="243"/>
        <v>0</v>
      </c>
    </row>
    <row r="283" spans="1:36">
      <c r="A283" s="990">
        <v>251</v>
      </c>
      <c r="B283" s="990">
        <v>1</v>
      </c>
      <c r="C283" s="990">
        <v>283</v>
      </c>
      <c r="D283" s="1121" t="s">
        <v>999</v>
      </c>
      <c r="E283" s="1243">
        <v>1</v>
      </c>
      <c r="F283" s="5"/>
      <c r="G283" s="5"/>
      <c r="H283" s="5"/>
      <c r="I283" s="326" t="s">
        <v>134</v>
      </c>
      <c r="J283" s="829"/>
      <c r="K283" s="1186"/>
      <c r="L283" s="1186"/>
      <c r="M283" s="829"/>
      <c r="N283" s="829"/>
      <c r="O283" s="829"/>
      <c r="P283" s="1188"/>
      <c r="Q283" s="1716">
        <f>SUM(Q294,Q298)</f>
        <v>0</v>
      </c>
      <c r="R283" s="1716">
        <f t="shared" ref="R283:AI283" si="245">SUM(R294,R298)</f>
        <v>0</v>
      </c>
      <c r="S283" s="1716">
        <f t="shared" si="245"/>
        <v>0</v>
      </c>
      <c r="T283" s="1716">
        <f t="shared" si="245"/>
        <v>0</v>
      </c>
      <c r="U283" s="1716">
        <f t="shared" si="245"/>
        <v>0</v>
      </c>
      <c r="V283" s="1716">
        <f t="shared" si="245"/>
        <v>0</v>
      </c>
      <c r="W283" s="1716">
        <f t="shared" si="245"/>
        <v>0</v>
      </c>
      <c r="X283" s="1716">
        <f t="shared" si="245"/>
        <v>0</v>
      </c>
      <c r="Y283" s="1716">
        <f t="shared" si="245"/>
        <v>0</v>
      </c>
      <c r="Z283" s="1716">
        <f t="shared" si="245"/>
        <v>0</v>
      </c>
      <c r="AA283" s="1716">
        <f t="shared" si="245"/>
        <v>0</v>
      </c>
      <c r="AB283" s="1716">
        <f t="shared" si="245"/>
        <v>0</v>
      </c>
      <c r="AC283" s="125">
        <f t="shared" si="245"/>
        <v>0</v>
      </c>
      <c r="AD283" s="125">
        <f t="shared" si="245"/>
        <v>0</v>
      </c>
      <c r="AE283" s="125">
        <f t="shared" si="245"/>
        <v>0</v>
      </c>
      <c r="AF283" s="125">
        <f t="shared" si="245"/>
        <v>0</v>
      </c>
      <c r="AG283" s="125">
        <f t="shared" si="245"/>
        <v>0</v>
      </c>
      <c r="AH283" s="125">
        <f t="shared" si="245"/>
        <v>0</v>
      </c>
      <c r="AI283" s="125">
        <f t="shared" si="245"/>
        <v>0</v>
      </c>
    </row>
    <row r="284" spans="1:36" ht="14.5">
      <c r="A284" s="990">
        <v>252</v>
      </c>
      <c r="B284" s="990">
        <v>1</v>
      </c>
      <c r="C284" s="990">
        <v>284</v>
      </c>
      <c r="D284" s="1121" t="s">
        <v>999</v>
      </c>
      <c r="E284" s="1243">
        <v>1</v>
      </c>
      <c r="F284" s="5"/>
      <c r="G284" s="5"/>
      <c r="H284" s="5"/>
      <c r="I284" s="625"/>
      <c r="J284" s="618" t="s">
        <v>135</v>
      </c>
      <c r="K284" s="5"/>
      <c r="L284" s="52"/>
      <c r="M284" s="52"/>
      <c r="N284" s="52"/>
      <c r="O284" s="674" t="s">
        <v>1027</v>
      </c>
      <c r="P284" s="1192"/>
      <c r="Q284" s="867">
        <f>IFERROR(Q283/Q263,0)</f>
        <v>0</v>
      </c>
      <c r="R284" s="867">
        <f t="shared" ref="R284:AI284" si="246">IFERROR(R283/R263,0)</f>
        <v>0</v>
      </c>
      <c r="S284" s="867">
        <f t="shared" si="246"/>
        <v>0</v>
      </c>
      <c r="T284" s="867">
        <f t="shared" si="246"/>
        <v>0</v>
      </c>
      <c r="U284" s="867">
        <f t="shared" si="246"/>
        <v>0</v>
      </c>
      <c r="V284" s="867">
        <f t="shared" si="246"/>
        <v>0</v>
      </c>
      <c r="W284" s="867">
        <f t="shared" si="246"/>
        <v>0</v>
      </c>
      <c r="X284" s="867">
        <f t="shared" si="246"/>
        <v>0</v>
      </c>
      <c r="Y284" s="867">
        <f t="shared" si="246"/>
        <v>0</v>
      </c>
      <c r="Z284" s="867">
        <f t="shared" si="246"/>
        <v>0</v>
      </c>
      <c r="AA284" s="867">
        <f t="shared" si="246"/>
        <v>0</v>
      </c>
      <c r="AB284" s="867">
        <f t="shared" si="246"/>
        <v>0</v>
      </c>
      <c r="AC284" s="867">
        <f t="shared" si="246"/>
        <v>0</v>
      </c>
      <c r="AD284" s="867">
        <f t="shared" si="246"/>
        <v>0</v>
      </c>
      <c r="AE284" s="867">
        <f t="shared" si="246"/>
        <v>0</v>
      </c>
      <c r="AF284" s="867">
        <f t="shared" si="246"/>
        <v>0</v>
      </c>
      <c r="AG284" s="867">
        <f t="shared" si="246"/>
        <v>0</v>
      </c>
      <c r="AH284" s="867">
        <f t="shared" si="246"/>
        <v>0</v>
      </c>
      <c r="AI284" s="867">
        <f t="shared" si="246"/>
        <v>0</v>
      </c>
      <c r="AJ284" s="619"/>
    </row>
    <row r="285" spans="1:36" s="619" customFormat="1" ht="14.5" hidden="1" outlineLevel="1">
      <c r="A285" s="990">
        <v>253</v>
      </c>
      <c r="B285" s="990">
        <v>1</v>
      </c>
      <c r="C285" s="990">
        <v>285</v>
      </c>
      <c r="D285" s="1121" t="s">
        <v>999</v>
      </c>
      <c r="E285" s="1243">
        <v>1</v>
      </c>
      <c r="F285" s="5"/>
      <c r="G285" s="5"/>
      <c r="H285" s="616"/>
      <c r="I285" s="617"/>
      <c r="J285" s="620"/>
      <c r="K285" s="616"/>
      <c r="L285" s="618" t="s">
        <v>1053</v>
      </c>
      <c r="M285" s="618"/>
      <c r="N285" s="620"/>
      <c r="O285" s="620"/>
      <c r="P285" s="1168"/>
      <c r="Q285" s="621">
        <f t="shared" ref="Q285:AI293" si="247">IFERROR(Q294/Q264,0)</f>
        <v>0</v>
      </c>
      <c r="R285" s="621">
        <f t="shared" si="247"/>
        <v>0</v>
      </c>
      <c r="S285" s="621">
        <f t="shared" si="247"/>
        <v>0</v>
      </c>
      <c r="T285" s="621">
        <f t="shared" si="247"/>
        <v>0</v>
      </c>
      <c r="U285" s="621">
        <f t="shared" si="247"/>
        <v>0</v>
      </c>
      <c r="V285" s="621">
        <f t="shared" si="247"/>
        <v>0</v>
      </c>
      <c r="W285" s="621">
        <f t="shared" si="247"/>
        <v>0</v>
      </c>
      <c r="X285" s="621">
        <f t="shared" si="247"/>
        <v>0</v>
      </c>
      <c r="Y285" s="621">
        <f t="shared" si="247"/>
        <v>0</v>
      </c>
      <c r="Z285" s="621">
        <f t="shared" si="247"/>
        <v>0</v>
      </c>
      <c r="AA285" s="621">
        <f t="shared" si="247"/>
        <v>0</v>
      </c>
      <c r="AB285" s="621">
        <f t="shared" si="247"/>
        <v>0</v>
      </c>
      <c r="AC285" s="621">
        <f t="shared" si="247"/>
        <v>0</v>
      </c>
      <c r="AD285" s="621">
        <f t="shared" si="247"/>
        <v>0</v>
      </c>
      <c r="AE285" s="621">
        <f t="shared" si="247"/>
        <v>0</v>
      </c>
      <c r="AF285" s="621">
        <f t="shared" si="247"/>
        <v>0</v>
      </c>
      <c r="AG285" s="621">
        <f t="shared" si="247"/>
        <v>0</v>
      </c>
      <c r="AH285" s="621">
        <f t="shared" si="247"/>
        <v>0</v>
      </c>
      <c r="AI285" s="621">
        <f t="shared" si="247"/>
        <v>0</v>
      </c>
    </row>
    <row r="286" spans="1:36" s="619" customFormat="1" ht="14.5" hidden="1" outlineLevel="1">
      <c r="A286" s="990">
        <v>254</v>
      </c>
      <c r="B286" s="990">
        <v>1</v>
      </c>
      <c r="C286" s="990">
        <v>286</v>
      </c>
      <c r="D286" s="1121" t="s">
        <v>999</v>
      </c>
      <c r="E286" s="1243">
        <v>1</v>
      </c>
      <c r="F286" s="5"/>
      <c r="G286" s="5"/>
      <c r="H286" s="616"/>
      <c r="I286" s="617"/>
      <c r="J286" s="620"/>
      <c r="K286" s="616"/>
      <c r="L286" s="616"/>
      <c r="M286" s="618" t="s">
        <v>1054</v>
      </c>
      <c r="N286" s="620"/>
      <c r="O286" s="620"/>
      <c r="P286" s="1168"/>
      <c r="Q286" s="621">
        <f t="shared" si="247"/>
        <v>0</v>
      </c>
      <c r="R286" s="621">
        <f t="shared" si="247"/>
        <v>0</v>
      </c>
      <c r="S286" s="621">
        <f t="shared" si="247"/>
        <v>0</v>
      </c>
      <c r="T286" s="621">
        <f t="shared" si="247"/>
        <v>0</v>
      </c>
      <c r="U286" s="621">
        <f t="shared" si="247"/>
        <v>0</v>
      </c>
      <c r="V286" s="621">
        <f t="shared" si="247"/>
        <v>0</v>
      </c>
      <c r="W286" s="621">
        <f t="shared" si="247"/>
        <v>0</v>
      </c>
      <c r="X286" s="621">
        <f t="shared" si="247"/>
        <v>0</v>
      </c>
      <c r="Y286" s="621">
        <f t="shared" si="247"/>
        <v>0</v>
      </c>
      <c r="Z286" s="621">
        <f t="shared" si="247"/>
        <v>0</v>
      </c>
      <c r="AA286" s="621">
        <f t="shared" si="247"/>
        <v>0</v>
      </c>
      <c r="AB286" s="621">
        <f t="shared" si="247"/>
        <v>0</v>
      </c>
      <c r="AC286" s="621">
        <f t="shared" si="247"/>
        <v>0</v>
      </c>
      <c r="AD286" s="621">
        <f t="shared" si="247"/>
        <v>0</v>
      </c>
      <c r="AE286" s="621">
        <f t="shared" si="247"/>
        <v>0</v>
      </c>
      <c r="AF286" s="621">
        <f t="shared" si="247"/>
        <v>0</v>
      </c>
      <c r="AG286" s="621">
        <f t="shared" si="247"/>
        <v>0</v>
      </c>
      <c r="AH286" s="621">
        <f t="shared" si="247"/>
        <v>0</v>
      </c>
      <c r="AI286" s="621">
        <f t="shared" si="247"/>
        <v>0</v>
      </c>
    </row>
    <row r="287" spans="1:36" s="619" customFormat="1" ht="14.5" hidden="1" outlineLevel="1">
      <c r="A287" s="990">
        <v>255</v>
      </c>
      <c r="B287" s="990">
        <v>1</v>
      </c>
      <c r="C287" s="990">
        <v>287</v>
      </c>
      <c r="D287" s="1121" t="s">
        <v>999</v>
      </c>
      <c r="E287" s="1243">
        <v>1</v>
      </c>
      <c r="F287" s="5"/>
      <c r="G287" s="5"/>
      <c r="H287" s="616"/>
      <c r="I287" s="617"/>
      <c r="J287" s="620"/>
      <c r="K287" s="616"/>
      <c r="L287" s="616"/>
      <c r="M287" s="618" t="s">
        <v>1055</v>
      </c>
      <c r="N287" s="620"/>
      <c r="O287" s="620"/>
      <c r="P287" s="1168"/>
      <c r="Q287" s="621">
        <f t="shared" si="247"/>
        <v>0</v>
      </c>
      <c r="R287" s="621">
        <f t="shared" si="247"/>
        <v>0</v>
      </c>
      <c r="S287" s="621">
        <f t="shared" si="247"/>
        <v>0</v>
      </c>
      <c r="T287" s="621">
        <f t="shared" si="247"/>
        <v>0</v>
      </c>
      <c r="U287" s="621">
        <f t="shared" si="247"/>
        <v>0</v>
      </c>
      <c r="V287" s="621">
        <f t="shared" si="247"/>
        <v>0</v>
      </c>
      <c r="W287" s="621">
        <f t="shared" si="247"/>
        <v>0</v>
      </c>
      <c r="X287" s="621">
        <f t="shared" si="247"/>
        <v>0</v>
      </c>
      <c r="Y287" s="621">
        <f t="shared" si="247"/>
        <v>0</v>
      </c>
      <c r="Z287" s="621">
        <f t="shared" si="247"/>
        <v>0</v>
      </c>
      <c r="AA287" s="621">
        <f t="shared" si="247"/>
        <v>0</v>
      </c>
      <c r="AB287" s="621">
        <f t="shared" si="247"/>
        <v>0</v>
      </c>
      <c r="AC287" s="621">
        <f t="shared" si="247"/>
        <v>0</v>
      </c>
      <c r="AD287" s="621">
        <f t="shared" si="247"/>
        <v>0</v>
      </c>
      <c r="AE287" s="621">
        <f t="shared" si="247"/>
        <v>0</v>
      </c>
      <c r="AF287" s="621">
        <f t="shared" si="247"/>
        <v>0</v>
      </c>
      <c r="AG287" s="621">
        <f t="shared" si="247"/>
        <v>0</v>
      </c>
      <c r="AH287" s="621">
        <f t="shared" si="247"/>
        <v>0</v>
      </c>
      <c r="AI287" s="621">
        <f t="shared" si="247"/>
        <v>0</v>
      </c>
    </row>
    <row r="288" spans="1:36" s="619" customFormat="1" ht="14.5" hidden="1" outlineLevel="1">
      <c r="A288" s="990">
        <v>256</v>
      </c>
      <c r="B288" s="990">
        <v>1</v>
      </c>
      <c r="C288" s="990">
        <v>288</v>
      </c>
      <c r="D288" s="1121" t="s">
        <v>999</v>
      </c>
      <c r="E288" s="1243">
        <v>1</v>
      </c>
      <c r="F288" s="5"/>
      <c r="G288" s="5"/>
      <c r="H288" s="616"/>
      <c r="I288" s="617"/>
      <c r="J288" s="620"/>
      <c r="K288" s="616"/>
      <c r="L288" s="675"/>
      <c r="M288" s="628" t="s">
        <v>1036</v>
      </c>
      <c r="N288" s="676"/>
      <c r="O288" s="676"/>
      <c r="P288" s="1193"/>
      <c r="Q288" s="677">
        <f t="shared" si="247"/>
        <v>0</v>
      </c>
      <c r="R288" s="677">
        <f t="shared" si="247"/>
        <v>0</v>
      </c>
      <c r="S288" s="677">
        <f t="shared" si="247"/>
        <v>0</v>
      </c>
      <c r="T288" s="677">
        <f t="shared" si="247"/>
        <v>0</v>
      </c>
      <c r="U288" s="677">
        <f t="shared" si="247"/>
        <v>0</v>
      </c>
      <c r="V288" s="677">
        <f t="shared" si="247"/>
        <v>0</v>
      </c>
      <c r="W288" s="677">
        <f t="shared" si="247"/>
        <v>0</v>
      </c>
      <c r="X288" s="677">
        <f t="shared" si="247"/>
        <v>0</v>
      </c>
      <c r="Y288" s="677">
        <f t="shared" si="247"/>
        <v>0</v>
      </c>
      <c r="Z288" s="677">
        <f t="shared" si="247"/>
        <v>0</v>
      </c>
      <c r="AA288" s="677">
        <f t="shared" si="247"/>
        <v>0</v>
      </c>
      <c r="AB288" s="677">
        <f t="shared" si="247"/>
        <v>0</v>
      </c>
      <c r="AC288" s="677">
        <f t="shared" si="247"/>
        <v>0</v>
      </c>
      <c r="AD288" s="677">
        <f t="shared" si="247"/>
        <v>0</v>
      </c>
      <c r="AE288" s="677">
        <f t="shared" si="247"/>
        <v>0</v>
      </c>
      <c r="AF288" s="677">
        <f t="shared" si="247"/>
        <v>0</v>
      </c>
      <c r="AG288" s="677">
        <f t="shared" si="247"/>
        <v>0</v>
      </c>
      <c r="AH288" s="677">
        <f t="shared" si="247"/>
        <v>0</v>
      </c>
      <c r="AI288" s="677">
        <f t="shared" si="247"/>
        <v>0</v>
      </c>
    </row>
    <row r="289" spans="1:35" s="619" customFormat="1" ht="14.5" hidden="1" outlineLevel="1">
      <c r="A289" s="990">
        <v>257</v>
      </c>
      <c r="B289" s="990">
        <v>1</v>
      </c>
      <c r="C289" s="990">
        <v>289</v>
      </c>
      <c r="D289" s="1121" t="s">
        <v>999</v>
      </c>
      <c r="E289" s="1243">
        <v>1</v>
      </c>
      <c r="F289" s="5"/>
      <c r="G289" s="5"/>
      <c r="H289" s="616"/>
      <c r="I289" s="617"/>
      <c r="J289" s="620"/>
      <c r="K289" s="616"/>
      <c r="L289" s="618" t="s">
        <v>1056</v>
      </c>
      <c r="M289" s="618"/>
      <c r="N289" s="620"/>
      <c r="O289" s="620"/>
      <c r="P289" s="1168"/>
      <c r="Q289" s="621">
        <f t="shared" si="247"/>
        <v>0</v>
      </c>
      <c r="R289" s="621">
        <f t="shared" si="247"/>
        <v>0</v>
      </c>
      <c r="S289" s="621">
        <f t="shared" si="247"/>
        <v>0</v>
      </c>
      <c r="T289" s="621">
        <f t="shared" si="247"/>
        <v>0</v>
      </c>
      <c r="U289" s="621">
        <f t="shared" si="247"/>
        <v>0</v>
      </c>
      <c r="V289" s="621">
        <f t="shared" si="247"/>
        <v>0</v>
      </c>
      <c r="W289" s="621">
        <f t="shared" si="247"/>
        <v>0</v>
      </c>
      <c r="X289" s="621">
        <f t="shared" si="247"/>
        <v>0</v>
      </c>
      <c r="Y289" s="621">
        <f t="shared" si="247"/>
        <v>0</v>
      </c>
      <c r="Z289" s="621">
        <f t="shared" si="247"/>
        <v>0</v>
      </c>
      <c r="AA289" s="621">
        <f t="shared" si="247"/>
        <v>0</v>
      </c>
      <c r="AB289" s="621">
        <f t="shared" si="247"/>
        <v>0</v>
      </c>
      <c r="AC289" s="621">
        <f t="shared" si="247"/>
        <v>0</v>
      </c>
      <c r="AD289" s="621">
        <f t="shared" si="247"/>
        <v>0</v>
      </c>
      <c r="AE289" s="621">
        <f t="shared" si="247"/>
        <v>0</v>
      </c>
      <c r="AF289" s="621">
        <f t="shared" si="247"/>
        <v>0</v>
      </c>
      <c r="AG289" s="621">
        <f t="shared" si="247"/>
        <v>0</v>
      </c>
      <c r="AH289" s="621">
        <f t="shared" si="247"/>
        <v>0</v>
      </c>
      <c r="AI289" s="621">
        <f t="shared" si="247"/>
        <v>0</v>
      </c>
    </row>
    <row r="290" spans="1:35" s="619" customFormat="1" ht="14.5" hidden="1" outlineLevel="1">
      <c r="A290" s="990">
        <v>258</v>
      </c>
      <c r="B290" s="990">
        <v>1</v>
      </c>
      <c r="C290" s="990">
        <v>290</v>
      </c>
      <c r="D290" s="1121" t="s">
        <v>999</v>
      </c>
      <c r="E290" s="1243">
        <v>1</v>
      </c>
      <c r="F290" s="5"/>
      <c r="G290" s="5"/>
      <c r="H290" s="616"/>
      <c r="I290" s="617"/>
      <c r="J290" s="620"/>
      <c r="K290" s="616"/>
      <c r="L290" s="616"/>
      <c r="M290" s="618" t="s">
        <v>1057</v>
      </c>
      <c r="N290" s="620"/>
      <c r="O290" s="620"/>
      <c r="P290" s="1168"/>
      <c r="Q290" s="621">
        <f t="shared" si="247"/>
        <v>0</v>
      </c>
      <c r="R290" s="621">
        <f t="shared" si="247"/>
        <v>0</v>
      </c>
      <c r="S290" s="621">
        <f t="shared" si="247"/>
        <v>0</v>
      </c>
      <c r="T290" s="621">
        <f t="shared" si="247"/>
        <v>0</v>
      </c>
      <c r="U290" s="621">
        <f t="shared" si="247"/>
        <v>0</v>
      </c>
      <c r="V290" s="621">
        <f t="shared" si="247"/>
        <v>0</v>
      </c>
      <c r="W290" s="621">
        <f t="shared" si="247"/>
        <v>0</v>
      </c>
      <c r="X290" s="621">
        <f t="shared" si="247"/>
        <v>0</v>
      </c>
      <c r="Y290" s="621">
        <f t="shared" si="247"/>
        <v>0</v>
      </c>
      <c r="Z290" s="621">
        <f t="shared" si="247"/>
        <v>0</v>
      </c>
      <c r="AA290" s="621">
        <f t="shared" si="247"/>
        <v>0</v>
      </c>
      <c r="AB290" s="621">
        <f t="shared" si="247"/>
        <v>0</v>
      </c>
      <c r="AC290" s="621">
        <f t="shared" si="247"/>
        <v>0</v>
      </c>
      <c r="AD290" s="621">
        <f t="shared" si="247"/>
        <v>0</v>
      </c>
      <c r="AE290" s="621">
        <f t="shared" si="247"/>
        <v>0</v>
      </c>
      <c r="AF290" s="621">
        <f t="shared" si="247"/>
        <v>0</v>
      </c>
      <c r="AG290" s="621">
        <f t="shared" si="247"/>
        <v>0</v>
      </c>
      <c r="AH290" s="621">
        <f t="shared" si="247"/>
        <v>0</v>
      </c>
      <c r="AI290" s="621">
        <f t="shared" si="247"/>
        <v>0</v>
      </c>
    </row>
    <row r="291" spans="1:35" s="619" customFormat="1" ht="14.5" hidden="1" outlineLevel="1">
      <c r="A291" s="990">
        <v>259</v>
      </c>
      <c r="B291" s="990">
        <v>1</v>
      </c>
      <c r="C291" s="990">
        <v>291</v>
      </c>
      <c r="D291" s="1121" t="s">
        <v>999</v>
      </c>
      <c r="E291" s="1243">
        <v>1</v>
      </c>
      <c r="F291" s="5"/>
      <c r="G291" s="5"/>
      <c r="H291" s="616"/>
      <c r="I291" s="617"/>
      <c r="J291" s="620"/>
      <c r="K291" s="616"/>
      <c r="L291" s="616"/>
      <c r="M291" s="618" t="s">
        <v>1058</v>
      </c>
      <c r="N291" s="620"/>
      <c r="O291" s="620"/>
      <c r="P291" s="1168"/>
      <c r="Q291" s="621">
        <f t="shared" si="247"/>
        <v>0</v>
      </c>
      <c r="R291" s="621">
        <f t="shared" si="247"/>
        <v>0</v>
      </c>
      <c r="S291" s="621">
        <f t="shared" si="247"/>
        <v>0</v>
      </c>
      <c r="T291" s="621">
        <f t="shared" si="247"/>
        <v>0</v>
      </c>
      <c r="U291" s="621">
        <f t="shared" si="247"/>
        <v>0</v>
      </c>
      <c r="V291" s="621">
        <f t="shared" si="247"/>
        <v>0</v>
      </c>
      <c r="W291" s="621">
        <f t="shared" si="247"/>
        <v>0</v>
      </c>
      <c r="X291" s="621">
        <f t="shared" si="247"/>
        <v>0</v>
      </c>
      <c r="Y291" s="621">
        <f t="shared" si="247"/>
        <v>0</v>
      </c>
      <c r="Z291" s="621">
        <f t="shared" si="247"/>
        <v>0</v>
      </c>
      <c r="AA291" s="621">
        <f t="shared" si="247"/>
        <v>0</v>
      </c>
      <c r="AB291" s="621">
        <f t="shared" si="247"/>
        <v>0</v>
      </c>
      <c r="AC291" s="621">
        <f t="shared" si="247"/>
        <v>0</v>
      </c>
      <c r="AD291" s="621">
        <f t="shared" si="247"/>
        <v>0</v>
      </c>
      <c r="AE291" s="621">
        <f t="shared" si="247"/>
        <v>0</v>
      </c>
      <c r="AF291" s="621">
        <f t="shared" si="247"/>
        <v>0</v>
      </c>
      <c r="AG291" s="621">
        <f t="shared" si="247"/>
        <v>0</v>
      </c>
      <c r="AH291" s="621">
        <f t="shared" si="247"/>
        <v>0</v>
      </c>
      <c r="AI291" s="621">
        <f t="shared" si="247"/>
        <v>0</v>
      </c>
    </row>
    <row r="292" spans="1:35" s="619" customFormat="1" ht="14.5" hidden="1" outlineLevel="1">
      <c r="A292" s="990">
        <v>260</v>
      </c>
      <c r="B292" s="990">
        <v>1</v>
      </c>
      <c r="C292" s="990">
        <v>292</v>
      </c>
      <c r="D292" s="1121" t="s">
        <v>999</v>
      </c>
      <c r="E292" s="1243">
        <v>1</v>
      </c>
      <c r="F292" s="5"/>
      <c r="G292" s="5"/>
      <c r="H292" s="616"/>
      <c r="I292" s="617"/>
      <c r="J292" s="620"/>
      <c r="K292" s="616"/>
      <c r="L292" s="616"/>
      <c r="M292" s="618" t="s">
        <v>1059</v>
      </c>
      <c r="N292" s="620"/>
      <c r="O292" s="620"/>
      <c r="P292" s="1168"/>
      <c r="Q292" s="621">
        <f t="shared" si="247"/>
        <v>0</v>
      </c>
      <c r="R292" s="621">
        <f t="shared" si="247"/>
        <v>0</v>
      </c>
      <c r="S292" s="621">
        <f t="shared" si="247"/>
        <v>0</v>
      </c>
      <c r="T292" s="621">
        <f t="shared" si="247"/>
        <v>0</v>
      </c>
      <c r="U292" s="621">
        <f t="shared" si="247"/>
        <v>0</v>
      </c>
      <c r="V292" s="621">
        <f t="shared" si="247"/>
        <v>0</v>
      </c>
      <c r="W292" s="621">
        <f t="shared" si="247"/>
        <v>0</v>
      </c>
      <c r="X292" s="621">
        <f t="shared" si="247"/>
        <v>0</v>
      </c>
      <c r="Y292" s="621">
        <f t="shared" si="247"/>
        <v>0</v>
      </c>
      <c r="Z292" s="621">
        <f t="shared" si="247"/>
        <v>0</v>
      </c>
      <c r="AA292" s="621">
        <f t="shared" si="247"/>
        <v>0</v>
      </c>
      <c r="AB292" s="621">
        <f t="shared" si="247"/>
        <v>0</v>
      </c>
      <c r="AC292" s="621">
        <f t="shared" si="247"/>
        <v>0</v>
      </c>
      <c r="AD292" s="621">
        <f t="shared" si="247"/>
        <v>0</v>
      </c>
      <c r="AE292" s="621">
        <f t="shared" si="247"/>
        <v>0</v>
      </c>
      <c r="AF292" s="621">
        <f t="shared" si="247"/>
        <v>0</v>
      </c>
      <c r="AG292" s="621">
        <f t="shared" si="247"/>
        <v>0</v>
      </c>
      <c r="AH292" s="621">
        <f t="shared" si="247"/>
        <v>0</v>
      </c>
      <c r="AI292" s="621">
        <f t="shared" si="247"/>
        <v>0</v>
      </c>
    </row>
    <row r="293" spans="1:35" s="619" customFormat="1" ht="14.5" hidden="1" outlineLevel="1">
      <c r="A293" s="990">
        <v>261</v>
      </c>
      <c r="B293" s="990">
        <v>1</v>
      </c>
      <c r="C293" s="990">
        <v>293</v>
      </c>
      <c r="D293" s="1121" t="s">
        <v>999</v>
      </c>
      <c r="E293" s="1243">
        <v>1</v>
      </c>
      <c r="F293" s="5"/>
      <c r="G293" s="5"/>
      <c r="H293" s="616"/>
      <c r="I293" s="617"/>
      <c r="J293" s="620"/>
      <c r="K293" s="616"/>
      <c r="L293" s="616"/>
      <c r="M293" s="618" t="s">
        <v>1060</v>
      </c>
      <c r="N293" s="620"/>
      <c r="O293" s="620"/>
      <c r="P293" s="1168"/>
      <c r="Q293" s="621">
        <f t="shared" si="247"/>
        <v>0</v>
      </c>
      <c r="R293" s="621">
        <f t="shared" si="247"/>
        <v>0</v>
      </c>
      <c r="S293" s="621">
        <f t="shared" si="247"/>
        <v>0</v>
      </c>
      <c r="T293" s="621">
        <f t="shared" si="247"/>
        <v>0</v>
      </c>
      <c r="U293" s="621">
        <f t="shared" si="247"/>
        <v>0</v>
      </c>
      <c r="V293" s="621">
        <f t="shared" si="247"/>
        <v>0</v>
      </c>
      <c r="W293" s="621">
        <f t="shared" si="247"/>
        <v>0</v>
      </c>
      <c r="X293" s="621">
        <f t="shared" si="247"/>
        <v>0</v>
      </c>
      <c r="Y293" s="621">
        <f t="shared" si="247"/>
        <v>0</v>
      </c>
      <c r="Z293" s="621">
        <f t="shared" si="247"/>
        <v>0</v>
      </c>
      <c r="AA293" s="621">
        <f t="shared" si="247"/>
        <v>0</v>
      </c>
      <c r="AB293" s="621">
        <f t="shared" si="247"/>
        <v>0</v>
      </c>
      <c r="AC293" s="621">
        <f t="shared" si="247"/>
        <v>0</v>
      </c>
      <c r="AD293" s="621">
        <f t="shared" si="247"/>
        <v>0</v>
      </c>
      <c r="AE293" s="621">
        <f t="shared" si="247"/>
        <v>0</v>
      </c>
      <c r="AF293" s="621">
        <f t="shared" si="247"/>
        <v>0</v>
      </c>
      <c r="AG293" s="621">
        <f t="shared" si="247"/>
        <v>0</v>
      </c>
      <c r="AH293" s="621">
        <f t="shared" si="247"/>
        <v>0</v>
      </c>
      <c r="AI293" s="621">
        <f t="shared" si="247"/>
        <v>0</v>
      </c>
    </row>
    <row r="294" spans="1:35" collapsed="1">
      <c r="A294" s="990">
        <v>262</v>
      </c>
      <c r="B294" s="990">
        <v>1</v>
      </c>
      <c r="C294" s="990">
        <v>294</v>
      </c>
      <c r="D294" s="1121" t="s">
        <v>999</v>
      </c>
      <c r="E294" s="1243">
        <v>1</v>
      </c>
      <c r="F294" s="5"/>
      <c r="G294" s="5"/>
      <c r="H294" s="5"/>
      <c r="I294" s="30"/>
      <c r="J294" s="4"/>
      <c r="K294" s="5"/>
      <c r="L294" s="389" t="s">
        <v>1051</v>
      </c>
      <c r="M294" s="389"/>
      <c r="N294" s="389"/>
      <c r="O294" s="389"/>
      <c r="P294" s="1177"/>
      <c r="Q294" s="1177">
        <f>SUM(Q295:Q297)</f>
        <v>0</v>
      </c>
      <c r="R294" s="1177">
        <f t="shared" ref="R294:AB294" si="248">SUM(R295:R297)</f>
        <v>0</v>
      </c>
      <c r="S294" s="1177">
        <f t="shared" si="248"/>
        <v>0</v>
      </c>
      <c r="T294" s="1177">
        <f t="shared" si="248"/>
        <v>0</v>
      </c>
      <c r="U294" s="1177">
        <f t="shared" si="248"/>
        <v>0</v>
      </c>
      <c r="V294" s="1177">
        <f t="shared" si="248"/>
        <v>0</v>
      </c>
      <c r="W294" s="1177">
        <f t="shared" si="248"/>
        <v>0</v>
      </c>
      <c r="X294" s="1177">
        <f t="shared" si="248"/>
        <v>0</v>
      </c>
      <c r="Y294" s="1177">
        <f t="shared" si="248"/>
        <v>0</v>
      </c>
      <c r="Z294" s="1177">
        <f t="shared" si="248"/>
        <v>0</v>
      </c>
      <c r="AA294" s="1177">
        <f t="shared" si="248"/>
        <v>0</v>
      </c>
      <c r="AB294" s="1177">
        <f t="shared" si="248"/>
        <v>0</v>
      </c>
      <c r="AC294" s="390">
        <f t="shared" ref="AC294:AC303" si="249">SUM(Q294,R294,S294)</f>
        <v>0</v>
      </c>
      <c r="AD294" s="390">
        <f t="shared" ref="AD294:AD303" si="250">SUM(T294,U294,V294)</f>
        <v>0</v>
      </c>
      <c r="AE294" s="390">
        <f t="shared" ref="AE294:AE303" si="251">SUM(W294,X294,Y294)</f>
        <v>0</v>
      </c>
      <c r="AF294" s="390">
        <f t="shared" ref="AF294:AF303" si="252">SUM(Z294,AA294,AB294)</f>
        <v>0</v>
      </c>
      <c r="AG294" s="390">
        <f t="shared" ref="AG294:AG303" si="253">AC294+AD294</f>
        <v>0</v>
      </c>
      <c r="AH294" s="390">
        <f t="shared" ref="AH294:AH303" si="254">AF294+AE294</f>
        <v>0</v>
      </c>
      <c r="AI294" s="390">
        <f t="shared" ref="AI294:AI303" si="255">AG294+AH294</f>
        <v>0</v>
      </c>
    </row>
    <row r="295" spans="1:35" ht="15" customHeight="1">
      <c r="A295" s="990">
        <v>263</v>
      </c>
      <c r="B295" s="990">
        <v>1</v>
      </c>
      <c r="C295" s="990">
        <v>295</v>
      </c>
      <c r="D295" s="1121" t="s">
        <v>999</v>
      </c>
      <c r="E295" s="1243">
        <v>1</v>
      </c>
      <c r="F295" s="5"/>
      <c r="G295" s="5"/>
      <c r="H295" s="5"/>
      <c r="I295" s="30"/>
      <c r="J295" s="4"/>
      <c r="K295" s="5"/>
      <c r="L295" s="5"/>
      <c r="M295" s="4" t="s">
        <v>57</v>
      </c>
      <c r="N295" s="4"/>
      <c r="O295" s="4"/>
      <c r="P295" s="29"/>
      <c r="Q295" s="1190"/>
      <c r="R295" s="2039"/>
      <c r="S295" s="2039"/>
      <c r="T295" s="2039"/>
      <c r="U295" s="2039"/>
      <c r="V295" s="2039"/>
      <c r="W295" s="2039"/>
      <c r="X295" s="2039"/>
      <c r="Y295" s="2039"/>
      <c r="Z295" s="2039"/>
      <c r="AA295" s="2039"/>
      <c r="AB295" s="2039"/>
      <c r="AC295" s="89">
        <f t="shared" si="249"/>
        <v>0</v>
      </c>
      <c r="AD295" s="89">
        <f t="shared" si="250"/>
        <v>0</v>
      </c>
      <c r="AE295" s="89">
        <f t="shared" si="251"/>
        <v>0</v>
      </c>
      <c r="AF295" s="89">
        <f t="shared" si="252"/>
        <v>0</v>
      </c>
      <c r="AG295" s="89">
        <f t="shared" si="253"/>
        <v>0</v>
      </c>
      <c r="AH295" s="89">
        <f t="shared" si="254"/>
        <v>0</v>
      </c>
      <c r="AI295" s="89">
        <f t="shared" si="255"/>
        <v>0</v>
      </c>
    </row>
    <row r="296" spans="1:35" ht="15" customHeight="1">
      <c r="A296" s="990">
        <v>264</v>
      </c>
      <c r="B296" s="990">
        <v>1</v>
      </c>
      <c r="C296" s="990">
        <v>296</v>
      </c>
      <c r="D296" s="1121" t="s">
        <v>999</v>
      </c>
      <c r="E296" s="1243">
        <v>1</v>
      </c>
      <c r="F296" s="5"/>
      <c r="G296" s="5"/>
      <c r="H296" s="5"/>
      <c r="I296" s="30"/>
      <c r="J296" s="4"/>
      <c r="K296" s="5"/>
      <c r="L296" s="5"/>
      <c r="M296" s="4" t="s">
        <v>58</v>
      </c>
      <c r="N296" s="4"/>
      <c r="O296" s="4"/>
      <c r="P296" s="29"/>
      <c r="Q296" s="1190"/>
      <c r="R296" s="2039"/>
      <c r="S296" s="2039"/>
      <c r="T296" s="2039"/>
      <c r="U296" s="2039"/>
      <c r="V296" s="2039"/>
      <c r="W296" s="2039"/>
      <c r="X296" s="2039"/>
      <c r="Y296" s="2039"/>
      <c r="Z296" s="2039"/>
      <c r="AA296" s="2039"/>
      <c r="AB296" s="2039"/>
      <c r="AC296" s="89">
        <f t="shared" si="249"/>
        <v>0</v>
      </c>
      <c r="AD296" s="89">
        <f t="shared" si="250"/>
        <v>0</v>
      </c>
      <c r="AE296" s="89">
        <f t="shared" si="251"/>
        <v>0</v>
      </c>
      <c r="AF296" s="89">
        <f t="shared" si="252"/>
        <v>0</v>
      </c>
      <c r="AG296" s="89">
        <f t="shared" si="253"/>
        <v>0</v>
      </c>
      <c r="AH296" s="89">
        <f t="shared" si="254"/>
        <v>0</v>
      </c>
      <c r="AI296" s="89">
        <f t="shared" si="255"/>
        <v>0</v>
      </c>
    </row>
    <row r="297" spans="1:35" ht="15" customHeight="1">
      <c r="A297" s="990">
        <v>265</v>
      </c>
      <c r="B297" s="990">
        <v>1</v>
      </c>
      <c r="C297" s="990">
        <v>297</v>
      </c>
      <c r="D297" s="1121" t="s">
        <v>999</v>
      </c>
      <c r="E297" s="1243">
        <v>1</v>
      </c>
      <c r="F297" s="5"/>
      <c r="G297" s="5"/>
      <c r="H297" s="5"/>
      <c r="I297" s="30"/>
      <c r="J297" s="4"/>
      <c r="K297" s="5"/>
      <c r="L297" s="52"/>
      <c r="M297" s="51" t="s">
        <v>85</v>
      </c>
      <c r="N297" s="51"/>
      <c r="O297" s="51"/>
      <c r="P297" s="50"/>
      <c r="Q297" s="1191"/>
      <c r="R297" s="2043"/>
      <c r="S297" s="2043"/>
      <c r="T297" s="2043"/>
      <c r="U297" s="2043"/>
      <c r="V297" s="2043"/>
      <c r="W297" s="2043"/>
      <c r="X297" s="2043"/>
      <c r="Y297" s="2043"/>
      <c r="Z297" s="2043"/>
      <c r="AA297" s="2043"/>
      <c r="AB297" s="2043"/>
      <c r="AC297" s="134">
        <f t="shared" si="249"/>
        <v>0</v>
      </c>
      <c r="AD297" s="134">
        <f t="shared" si="250"/>
        <v>0</v>
      </c>
      <c r="AE297" s="134">
        <f t="shared" si="251"/>
        <v>0</v>
      </c>
      <c r="AF297" s="134">
        <f t="shared" si="252"/>
        <v>0</v>
      </c>
      <c r="AG297" s="134">
        <f t="shared" si="253"/>
        <v>0</v>
      </c>
      <c r="AH297" s="134">
        <f t="shared" si="254"/>
        <v>0</v>
      </c>
      <c r="AI297" s="134">
        <f t="shared" si="255"/>
        <v>0</v>
      </c>
    </row>
    <row r="298" spans="1:35" ht="15" customHeight="1">
      <c r="A298" s="990">
        <v>266</v>
      </c>
      <c r="B298" s="990">
        <v>1</v>
      </c>
      <c r="C298" s="990">
        <v>298</v>
      </c>
      <c r="D298" s="1121" t="s">
        <v>999</v>
      </c>
      <c r="E298" s="1243">
        <v>1</v>
      </c>
      <c r="F298" s="5"/>
      <c r="G298" s="5"/>
      <c r="H298" s="5"/>
      <c r="I298" s="30"/>
      <c r="J298" s="4"/>
      <c r="K298" s="5"/>
      <c r="L298" s="389" t="s">
        <v>1052</v>
      </c>
      <c r="M298" s="389"/>
      <c r="N298" s="389"/>
      <c r="O298" s="389"/>
      <c r="P298" s="1177"/>
      <c r="Q298" s="1177">
        <f>SUM(Q299:Q303)</f>
        <v>0</v>
      </c>
      <c r="R298" s="1177">
        <f t="shared" ref="R298:AB298" si="256">SUM(R299:R303)</f>
        <v>0</v>
      </c>
      <c r="S298" s="1177">
        <f t="shared" si="256"/>
        <v>0</v>
      </c>
      <c r="T298" s="1177">
        <f t="shared" si="256"/>
        <v>0</v>
      </c>
      <c r="U298" s="1177">
        <f t="shared" si="256"/>
        <v>0</v>
      </c>
      <c r="V298" s="1177">
        <f t="shared" si="256"/>
        <v>0</v>
      </c>
      <c r="W298" s="1177">
        <f t="shared" si="256"/>
        <v>0</v>
      </c>
      <c r="X298" s="1177">
        <f t="shared" si="256"/>
        <v>0</v>
      </c>
      <c r="Y298" s="1177">
        <f t="shared" si="256"/>
        <v>0</v>
      </c>
      <c r="Z298" s="1177">
        <f t="shared" si="256"/>
        <v>0</v>
      </c>
      <c r="AA298" s="1177">
        <f t="shared" si="256"/>
        <v>0</v>
      </c>
      <c r="AB298" s="1177">
        <f t="shared" si="256"/>
        <v>0</v>
      </c>
      <c r="AC298" s="390">
        <f t="shared" si="249"/>
        <v>0</v>
      </c>
      <c r="AD298" s="390">
        <f t="shared" si="250"/>
        <v>0</v>
      </c>
      <c r="AE298" s="390">
        <f t="shared" si="251"/>
        <v>0</v>
      </c>
      <c r="AF298" s="390">
        <f t="shared" si="252"/>
        <v>0</v>
      </c>
      <c r="AG298" s="390">
        <f t="shared" si="253"/>
        <v>0</v>
      </c>
      <c r="AH298" s="390">
        <f t="shared" si="254"/>
        <v>0</v>
      </c>
      <c r="AI298" s="390">
        <f t="shared" si="255"/>
        <v>0</v>
      </c>
    </row>
    <row r="299" spans="1:35" ht="15" customHeight="1">
      <c r="A299" s="990">
        <v>267</v>
      </c>
      <c r="B299" s="990">
        <v>1</v>
      </c>
      <c r="C299" s="990">
        <v>299</v>
      </c>
      <c r="D299" s="1121" t="s">
        <v>999</v>
      </c>
      <c r="E299" s="1243">
        <v>1</v>
      </c>
      <c r="F299" s="5"/>
      <c r="G299" s="5"/>
      <c r="H299" s="5"/>
      <c r="I299" s="30"/>
      <c r="J299" s="4"/>
      <c r="K299" s="5"/>
      <c r="L299" s="5"/>
      <c r="M299" s="4" t="s">
        <v>59</v>
      </c>
      <c r="N299" s="4"/>
      <c r="O299" s="4"/>
      <c r="P299" s="29"/>
      <c r="Q299" s="1190"/>
      <c r="R299" s="2039"/>
      <c r="S299" s="2039"/>
      <c r="T299" s="2039"/>
      <c r="U299" s="2039"/>
      <c r="V299" s="2039"/>
      <c r="W299" s="2039"/>
      <c r="X299" s="2039"/>
      <c r="Y299" s="2039"/>
      <c r="Z299" s="2039"/>
      <c r="AA299" s="2039"/>
      <c r="AB299" s="2039"/>
      <c r="AC299" s="89">
        <f t="shared" si="249"/>
        <v>0</v>
      </c>
      <c r="AD299" s="89">
        <f t="shared" si="250"/>
        <v>0</v>
      </c>
      <c r="AE299" s="89">
        <f t="shared" si="251"/>
        <v>0</v>
      </c>
      <c r="AF299" s="89">
        <f t="shared" si="252"/>
        <v>0</v>
      </c>
      <c r="AG299" s="89">
        <f t="shared" si="253"/>
        <v>0</v>
      </c>
      <c r="AH299" s="89">
        <f t="shared" si="254"/>
        <v>0</v>
      </c>
      <c r="AI299" s="89">
        <f t="shared" si="255"/>
        <v>0</v>
      </c>
    </row>
    <row r="300" spans="1:35" ht="15" customHeight="1">
      <c r="A300" s="990">
        <v>268</v>
      </c>
      <c r="B300" s="990">
        <v>1</v>
      </c>
      <c r="C300" s="990">
        <v>300</v>
      </c>
      <c r="D300" s="1121" t="s">
        <v>999</v>
      </c>
      <c r="E300" s="1243">
        <v>1</v>
      </c>
      <c r="F300" s="423">
        <v>1</v>
      </c>
      <c r="G300" s="316"/>
      <c r="H300" s="5"/>
      <c r="I300" s="30"/>
      <c r="J300" s="4"/>
      <c r="K300" s="5"/>
      <c r="L300" s="5"/>
      <c r="M300" s="4" t="s">
        <v>683</v>
      </c>
      <c r="N300" s="4"/>
      <c r="O300" s="4"/>
      <c r="P300" s="29"/>
      <c r="Q300" s="1190"/>
      <c r="R300" s="2039"/>
      <c r="S300" s="2039"/>
      <c r="T300" s="2039"/>
      <c r="U300" s="2039"/>
      <c r="V300" s="2039"/>
      <c r="W300" s="2039"/>
      <c r="X300" s="2039"/>
      <c r="Y300" s="2039"/>
      <c r="Z300" s="2039"/>
      <c r="AA300" s="2039"/>
      <c r="AB300" s="2039"/>
      <c r="AC300" s="89">
        <f t="shared" si="249"/>
        <v>0</v>
      </c>
      <c r="AD300" s="89">
        <f t="shared" si="250"/>
        <v>0</v>
      </c>
      <c r="AE300" s="89">
        <f t="shared" si="251"/>
        <v>0</v>
      </c>
      <c r="AF300" s="89">
        <f t="shared" si="252"/>
        <v>0</v>
      </c>
      <c r="AG300" s="89">
        <f t="shared" si="253"/>
        <v>0</v>
      </c>
      <c r="AH300" s="89">
        <f t="shared" si="254"/>
        <v>0</v>
      </c>
      <c r="AI300" s="89">
        <f t="shared" si="255"/>
        <v>0</v>
      </c>
    </row>
    <row r="301" spans="1:35" ht="15" customHeight="1">
      <c r="A301" s="990">
        <v>269</v>
      </c>
      <c r="B301" s="990">
        <v>1</v>
      </c>
      <c r="C301" s="990">
        <v>301</v>
      </c>
      <c r="D301" s="1121" t="s">
        <v>999</v>
      </c>
      <c r="E301" s="1243">
        <v>1</v>
      </c>
      <c r="F301" s="423">
        <v>1</v>
      </c>
      <c r="G301" s="316"/>
      <c r="H301" s="5"/>
      <c r="I301" s="30"/>
      <c r="J301" s="4"/>
      <c r="K301" s="5"/>
      <c r="L301" s="5"/>
      <c r="M301" s="4" t="s">
        <v>684</v>
      </c>
      <c r="N301" s="4"/>
      <c r="O301" s="4"/>
      <c r="P301" s="29"/>
      <c r="Q301" s="1190"/>
      <c r="R301" s="2039"/>
      <c r="S301" s="2039"/>
      <c r="T301" s="2039"/>
      <c r="U301" s="2039"/>
      <c r="V301" s="2039"/>
      <c r="W301" s="2039"/>
      <c r="X301" s="2039"/>
      <c r="Y301" s="2039"/>
      <c r="Z301" s="2039"/>
      <c r="AA301" s="2039"/>
      <c r="AB301" s="2039"/>
      <c r="AC301" s="89">
        <f t="shared" si="249"/>
        <v>0</v>
      </c>
      <c r="AD301" s="89">
        <f t="shared" si="250"/>
        <v>0</v>
      </c>
      <c r="AE301" s="89">
        <f t="shared" si="251"/>
        <v>0</v>
      </c>
      <c r="AF301" s="89">
        <f t="shared" si="252"/>
        <v>0</v>
      </c>
      <c r="AG301" s="89">
        <f t="shared" si="253"/>
        <v>0</v>
      </c>
      <c r="AH301" s="89">
        <f t="shared" si="254"/>
        <v>0</v>
      </c>
      <c r="AI301" s="89">
        <f t="shared" si="255"/>
        <v>0</v>
      </c>
    </row>
    <row r="302" spans="1:35" ht="15" customHeight="1">
      <c r="A302" s="990">
        <v>270</v>
      </c>
      <c r="B302" s="990">
        <v>1</v>
      </c>
      <c r="C302" s="990">
        <v>302</v>
      </c>
      <c r="D302" s="1121" t="s">
        <v>999</v>
      </c>
      <c r="E302" s="1243">
        <v>1</v>
      </c>
      <c r="F302" s="423">
        <v>1</v>
      </c>
      <c r="G302" s="316"/>
      <c r="H302" s="5"/>
      <c r="I302" s="30"/>
      <c r="J302" s="4"/>
      <c r="K302" s="5"/>
      <c r="L302" s="5"/>
      <c r="M302" s="4" t="s">
        <v>685</v>
      </c>
      <c r="N302" s="4"/>
      <c r="O302" s="4"/>
      <c r="P302" s="29"/>
      <c r="Q302" s="1190"/>
      <c r="R302" s="2039"/>
      <c r="S302" s="2039"/>
      <c r="T302" s="2039"/>
      <c r="U302" s="2039"/>
      <c r="V302" s="2039"/>
      <c r="W302" s="2039"/>
      <c r="X302" s="2039"/>
      <c r="Y302" s="2039"/>
      <c r="Z302" s="2039"/>
      <c r="AA302" s="2039"/>
      <c r="AB302" s="2039"/>
      <c r="AC302" s="89">
        <f t="shared" si="249"/>
        <v>0</v>
      </c>
      <c r="AD302" s="89">
        <f t="shared" si="250"/>
        <v>0</v>
      </c>
      <c r="AE302" s="89">
        <f t="shared" si="251"/>
        <v>0</v>
      </c>
      <c r="AF302" s="89">
        <f t="shared" si="252"/>
        <v>0</v>
      </c>
      <c r="AG302" s="89">
        <f t="shared" si="253"/>
        <v>0</v>
      </c>
      <c r="AH302" s="89">
        <f t="shared" si="254"/>
        <v>0</v>
      </c>
      <c r="AI302" s="89">
        <f t="shared" si="255"/>
        <v>0</v>
      </c>
    </row>
    <row r="303" spans="1:35" ht="15" customHeight="1">
      <c r="A303" s="990">
        <v>271</v>
      </c>
      <c r="B303" s="990">
        <v>1</v>
      </c>
      <c r="C303" s="990">
        <v>303</v>
      </c>
      <c r="D303" s="1121" t="s">
        <v>999</v>
      </c>
      <c r="E303" s="1243">
        <v>1</v>
      </c>
      <c r="F303" s="9"/>
      <c r="G303" s="9"/>
      <c r="H303" s="5"/>
      <c r="I303" s="30"/>
      <c r="J303" s="4"/>
      <c r="K303" s="5"/>
      <c r="L303" s="5"/>
      <c r="M303" s="4" t="s">
        <v>1061</v>
      </c>
      <c r="N303" s="4"/>
      <c r="O303" s="4"/>
      <c r="P303" s="29"/>
      <c r="Q303" s="29">
        <f>-Q777</f>
        <v>0</v>
      </c>
      <c r="R303" s="29">
        <f t="shared" ref="R303:AB303" si="257">-R777</f>
        <v>0</v>
      </c>
      <c r="S303" s="29">
        <f t="shared" si="257"/>
        <v>0</v>
      </c>
      <c r="T303" s="29">
        <f t="shared" si="257"/>
        <v>0</v>
      </c>
      <c r="U303" s="29">
        <f t="shared" si="257"/>
        <v>0</v>
      </c>
      <c r="V303" s="29">
        <f t="shared" si="257"/>
        <v>0</v>
      </c>
      <c r="W303" s="29">
        <f t="shared" si="257"/>
        <v>0</v>
      </c>
      <c r="X303" s="29">
        <f t="shared" si="257"/>
        <v>0</v>
      </c>
      <c r="Y303" s="29">
        <f t="shared" si="257"/>
        <v>0</v>
      </c>
      <c r="Z303" s="29">
        <f t="shared" si="257"/>
        <v>0</v>
      </c>
      <c r="AA303" s="29">
        <f t="shared" si="257"/>
        <v>0</v>
      </c>
      <c r="AB303" s="29">
        <f t="shared" si="257"/>
        <v>0</v>
      </c>
      <c r="AC303" s="89">
        <f t="shared" si="249"/>
        <v>0</v>
      </c>
      <c r="AD303" s="89">
        <f t="shared" si="250"/>
        <v>0</v>
      </c>
      <c r="AE303" s="89">
        <f t="shared" si="251"/>
        <v>0</v>
      </c>
      <c r="AF303" s="89">
        <f t="shared" si="252"/>
        <v>0</v>
      </c>
      <c r="AG303" s="89">
        <f t="shared" si="253"/>
        <v>0</v>
      </c>
      <c r="AH303" s="89">
        <f t="shared" si="254"/>
        <v>0</v>
      </c>
      <c r="AI303" s="89">
        <f t="shared" si="255"/>
        <v>0</v>
      </c>
    </row>
    <row r="304" spans="1:35">
      <c r="A304" s="990">
        <v>272</v>
      </c>
      <c r="B304" s="990">
        <v>1</v>
      </c>
      <c r="C304" s="990">
        <v>304</v>
      </c>
      <c r="D304" s="1121" t="s">
        <v>999</v>
      </c>
      <c r="E304" s="1243">
        <v>1</v>
      </c>
      <c r="F304" s="5"/>
      <c r="G304" s="5"/>
      <c r="H304" s="5"/>
      <c r="I304" s="326" t="s">
        <v>97</v>
      </c>
      <c r="J304" s="829"/>
      <c r="K304" s="1186"/>
      <c r="L304" s="1186"/>
      <c r="M304" s="829"/>
      <c r="N304" s="829"/>
      <c r="O304" s="829"/>
      <c r="P304" s="1188"/>
      <c r="Q304" s="1716">
        <f>SUM(Q305:Q307)</f>
        <v>0</v>
      </c>
      <c r="R304" s="1716">
        <f t="shared" ref="R304:AI304" si="258">SUM(R305:R307)</f>
        <v>0</v>
      </c>
      <c r="S304" s="1716">
        <f t="shared" si="258"/>
        <v>0</v>
      </c>
      <c r="T304" s="1716">
        <f t="shared" si="258"/>
        <v>0</v>
      </c>
      <c r="U304" s="1716">
        <f t="shared" si="258"/>
        <v>0</v>
      </c>
      <c r="V304" s="1716">
        <f t="shared" si="258"/>
        <v>0</v>
      </c>
      <c r="W304" s="1716">
        <f t="shared" si="258"/>
        <v>0</v>
      </c>
      <c r="X304" s="1716">
        <f t="shared" si="258"/>
        <v>0</v>
      </c>
      <c r="Y304" s="1716">
        <f t="shared" si="258"/>
        <v>0</v>
      </c>
      <c r="Z304" s="1716">
        <f t="shared" si="258"/>
        <v>0</v>
      </c>
      <c r="AA304" s="1716">
        <f t="shared" si="258"/>
        <v>0</v>
      </c>
      <c r="AB304" s="1716">
        <f t="shared" si="258"/>
        <v>0</v>
      </c>
      <c r="AC304" s="125">
        <f t="shared" si="258"/>
        <v>0</v>
      </c>
      <c r="AD304" s="125">
        <f t="shared" si="258"/>
        <v>0</v>
      </c>
      <c r="AE304" s="125">
        <f t="shared" si="258"/>
        <v>0</v>
      </c>
      <c r="AF304" s="125">
        <f t="shared" si="258"/>
        <v>0</v>
      </c>
      <c r="AG304" s="125">
        <f t="shared" si="258"/>
        <v>0</v>
      </c>
      <c r="AH304" s="125">
        <f t="shared" si="258"/>
        <v>0</v>
      </c>
      <c r="AI304" s="125">
        <f t="shared" si="258"/>
        <v>0</v>
      </c>
    </row>
    <row r="305" spans="1:36">
      <c r="A305" s="990">
        <v>273</v>
      </c>
      <c r="B305" s="990">
        <v>1</v>
      </c>
      <c r="C305" s="990">
        <v>305</v>
      </c>
      <c r="D305" s="1121" t="s">
        <v>999</v>
      </c>
      <c r="E305" s="1243">
        <v>1</v>
      </c>
      <c r="F305" s="5"/>
      <c r="G305" s="5"/>
      <c r="H305" s="5"/>
      <c r="I305" s="30"/>
      <c r="J305" s="40" t="s">
        <v>143</v>
      </c>
      <c r="K305" s="5"/>
      <c r="L305" s="5"/>
      <c r="M305" s="4"/>
      <c r="N305" s="4"/>
      <c r="O305" s="4"/>
      <c r="P305" s="29"/>
      <c r="Q305" s="1190"/>
      <c r="R305" s="2039"/>
      <c r="S305" s="2039"/>
      <c r="T305" s="2039"/>
      <c r="U305" s="2039"/>
      <c r="V305" s="2039"/>
      <c r="W305" s="2039"/>
      <c r="X305" s="2039"/>
      <c r="Y305" s="2039"/>
      <c r="Z305" s="2039"/>
      <c r="AA305" s="2039"/>
      <c r="AB305" s="2039"/>
      <c r="AC305" s="89">
        <f>SUM(Q305,R305,S305)</f>
        <v>0</v>
      </c>
      <c r="AD305" s="89">
        <f>SUM(T305,U305,V305)</f>
        <v>0</v>
      </c>
      <c r="AE305" s="89">
        <f>SUM(W305,X305,Y305)</f>
        <v>0</v>
      </c>
      <c r="AF305" s="89">
        <f>SUM(Z305,AA305,AB305)</f>
        <v>0</v>
      </c>
      <c r="AG305" s="89">
        <f>AC305+AD305</f>
        <v>0</v>
      </c>
      <c r="AH305" s="89">
        <f>AF305+AE305</f>
        <v>0</v>
      </c>
      <c r="AI305" s="89">
        <f>AG305+AH305</f>
        <v>0</v>
      </c>
    </row>
    <row r="306" spans="1:36">
      <c r="A306" s="990">
        <v>274</v>
      </c>
      <c r="B306" s="990">
        <v>1</v>
      </c>
      <c r="C306" s="990">
        <v>306</v>
      </c>
      <c r="D306" s="1121" t="s">
        <v>999</v>
      </c>
      <c r="E306" s="1243">
        <v>1</v>
      </c>
      <c r="F306" s="5"/>
      <c r="G306" s="5"/>
      <c r="H306" s="5"/>
      <c r="I306" s="30"/>
      <c r="J306" s="40" t="s">
        <v>96</v>
      </c>
      <c r="K306" s="5"/>
      <c r="L306" s="5"/>
      <c r="M306" s="4"/>
      <c r="N306" s="4"/>
      <c r="O306" s="4"/>
      <c r="P306" s="29"/>
      <c r="Q306" s="1190"/>
      <c r="R306" s="2039"/>
      <c r="S306" s="2039"/>
      <c r="T306" s="2039"/>
      <c r="U306" s="2039"/>
      <c r="V306" s="2039"/>
      <c r="W306" s="2039"/>
      <c r="X306" s="2039"/>
      <c r="Y306" s="2039"/>
      <c r="Z306" s="2039"/>
      <c r="AA306" s="2039"/>
      <c r="AB306" s="2039"/>
      <c r="AC306" s="89">
        <f>SUM(Q306,R306,S306)</f>
        <v>0</v>
      </c>
      <c r="AD306" s="89">
        <f>SUM(T306,U306,V306)</f>
        <v>0</v>
      </c>
      <c r="AE306" s="89">
        <f>SUM(W306,X306,Y306)</f>
        <v>0</v>
      </c>
      <c r="AF306" s="89">
        <f>SUM(Z306,AA306,AB306)</f>
        <v>0</v>
      </c>
      <c r="AG306" s="89">
        <f>AC306+AD306</f>
        <v>0</v>
      </c>
      <c r="AH306" s="89">
        <f>AF306+AE306</f>
        <v>0</v>
      </c>
      <c r="AI306" s="89">
        <f>AG306+AH306</f>
        <v>0</v>
      </c>
    </row>
    <row r="307" spans="1:36">
      <c r="A307" s="990">
        <v>275</v>
      </c>
      <c r="B307" s="990">
        <v>1</v>
      </c>
      <c r="C307" s="990">
        <v>307</v>
      </c>
      <c r="D307" s="1121" t="s">
        <v>999</v>
      </c>
      <c r="E307" s="1243">
        <v>1</v>
      </c>
      <c r="F307" s="5"/>
      <c r="G307" s="5"/>
      <c r="H307" s="5"/>
      <c r="I307" s="30"/>
      <c r="J307" s="40" t="s">
        <v>142</v>
      </c>
      <c r="K307" s="5"/>
      <c r="L307" s="5"/>
      <c r="M307" s="4"/>
      <c r="N307" s="4"/>
      <c r="O307" s="4"/>
      <c r="P307" s="29"/>
      <c r="Q307" s="1190"/>
      <c r="R307" s="2039"/>
      <c r="S307" s="2039"/>
      <c r="T307" s="2039"/>
      <c r="U307" s="2039"/>
      <c r="V307" s="2039"/>
      <c r="W307" s="2039"/>
      <c r="X307" s="2039"/>
      <c r="Y307" s="2039"/>
      <c r="Z307" s="2039"/>
      <c r="AA307" s="2039"/>
      <c r="AB307" s="2039"/>
      <c r="AC307" s="89">
        <f>SUM(Q307,R307,S307)</f>
        <v>0</v>
      </c>
      <c r="AD307" s="89">
        <f>SUM(T307,U307,V307)</f>
        <v>0</v>
      </c>
      <c r="AE307" s="89">
        <f>SUM(W307,X307,Y307)</f>
        <v>0</v>
      </c>
      <c r="AF307" s="89">
        <f>SUM(Z307,AA307,AB307)</f>
        <v>0</v>
      </c>
      <c r="AG307" s="89">
        <f>AC307+AD307</f>
        <v>0</v>
      </c>
      <c r="AH307" s="89">
        <f>AF307+AE307</f>
        <v>0</v>
      </c>
      <c r="AI307" s="89">
        <f>AG307+AH307</f>
        <v>0</v>
      </c>
    </row>
    <row r="308" spans="1:36">
      <c r="A308" s="990">
        <v>276</v>
      </c>
      <c r="B308" s="990">
        <v>1</v>
      </c>
      <c r="C308" s="990">
        <v>308</v>
      </c>
      <c r="D308" s="1121" t="s">
        <v>999</v>
      </c>
      <c r="E308" s="1243">
        <v>1</v>
      </c>
      <c r="F308" s="5"/>
      <c r="G308" s="5"/>
      <c r="H308" s="5"/>
      <c r="I308" s="326" t="s">
        <v>136</v>
      </c>
      <c r="J308" s="829"/>
      <c r="K308" s="1186"/>
      <c r="L308" s="1186"/>
      <c r="M308" s="1186"/>
      <c r="N308" s="1186"/>
      <c r="O308" s="1186"/>
      <c r="P308" s="1189"/>
      <c r="Q308" s="1716">
        <f t="shared" ref="Q308:AI308" si="259">Q283-Q304</f>
        <v>0</v>
      </c>
      <c r="R308" s="1716">
        <f t="shared" si="259"/>
        <v>0</v>
      </c>
      <c r="S308" s="1716">
        <f t="shared" si="259"/>
        <v>0</v>
      </c>
      <c r="T308" s="1716">
        <f t="shared" si="259"/>
        <v>0</v>
      </c>
      <c r="U308" s="1716">
        <f t="shared" si="259"/>
        <v>0</v>
      </c>
      <c r="V308" s="1716">
        <f t="shared" si="259"/>
        <v>0</v>
      </c>
      <c r="W308" s="1716">
        <f t="shared" si="259"/>
        <v>0</v>
      </c>
      <c r="X308" s="1716">
        <f t="shared" si="259"/>
        <v>0</v>
      </c>
      <c r="Y308" s="1716">
        <f t="shared" si="259"/>
        <v>0</v>
      </c>
      <c r="Z308" s="1716">
        <f t="shared" si="259"/>
        <v>0</v>
      </c>
      <c r="AA308" s="1716">
        <f t="shared" si="259"/>
        <v>0</v>
      </c>
      <c r="AB308" s="1716">
        <f t="shared" si="259"/>
        <v>0</v>
      </c>
      <c r="AC308" s="125">
        <f t="shared" si="259"/>
        <v>0</v>
      </c>
      <c r="AD308" s="125">
        <f t="shared" si="259"/>
        <v>0</v>
      </c>
      <c r="AE308" s="125">
        <f t="shared" si="259"/>
        <v>0</v>
      </c>
      <c r="AF308" s="125">
        <f t="shared" si="259"/>
        <v>0</v>
      </c>
      <c r="AG308" s="125">
        <f t="shared" si="259"/>
        <v>0</v>
      </c>
      <c r="AH308" s="125">
        <f t="shared" si="259"/>
        <v>0</v>
      </c>
      <c r="AI308" s="125">
        <f t="shared" si="259"/>
        <v>0</v>
      </c>
    </row>
    <row r="309" spans="1:36" ht="14.5">
      <c r="A309" s="990">
        <v>277</v>
      </c>
      <c r="B309" s="990">
        <v>1</v>
      </c>
      <c r="C309" s="990">
        <v>309</v>
      </c>
      <c r="D309" s="1121" t="s">
        <v>999</v>
      </c>
      <c r="E309" s="1243">
        <v>1</v>
      </c>
      <c r="F309" s="5"/>
      <c r="G309" s="5"/>
      <c r="H309" s="5"/>
      <c r="I309" s="28"/>
      <c r="J309" s="629" t="s">
        <v>135</v>
      </c>
      <c r="K309" s="3"/>
      <c r="L309" s="3"/>
      <c r="M309" s="2"/>
      <c r="N309" s="2"/>
      <c r="O309" s="2"/>
      <c r="P309" s="27"/>
      <c r="Q309" s="866">
        <f t="shared" ref="Q309:AI309" si="260">IFERROR(Q308/Q263,0)</f>
        <v>0</v>
      </c>
      <c r="R309" s="866">
        <f t="shared" si="260"/>
        <v>0</v>
      </c>
      <c r="S309" s="866">
        <f t="shared" si="260"/>
        <v>0</v>
      </c>
      <c r="T309" s="866">
        <f t="shared" si="260"/>
        <v>0</v>
      </c>
      <c r="U309" s="866">
        <f t="shared" si="260"/>
        <v>0</v>
      </c>
      <c r="V309" s="866">
        <f t="shared" si="260"/>
        <v>0</v>
      </c>
      <c r="W309" s="866">
        <f t="shared" si="260"/>
        <v>0</v>
      </c>
      <c r="X309" s="866">
        <f t="shared" si="260"/>
        <v>0</v>
      </c>
      <c r="Y309" s="866">
        <f t="shared" si="260"/>
        <v>0</v>
      </c>
      <c r="Z309" s="866">
        <f t="shared" si="260"/>
        <v>0</v>
      </c>
      <c r="AA309" s="866">
        <f t="shared" si="260"/>
        <v>0</v>
      </c>
      <c r="AB309" s="866">
        <f t="shared" si="260"/>
        <v>0</v>
      </c>
      <c r="AC309" s="866">
        <f t="shared" si="260"/>
        <v>0</v>
      </c>
      <c r="AD309" s="866">
        <f t="shared" si="260"/>
        <v>0</v>
      </c>
      <c r="AE309" s="866">
        <f t="shared" si="260"/>
        <v>0</v>
      </c>
      <c r="AF309" s="866">
        <f t="shared" si="260"/>
        <v>0</v>
      </c>
      <c r="AG309" s="866">
        <f t="shared" si="260"/>
        <v>0</v>
      </c>
      <c r="AH309" s="866">
        <f t="shared" si="260"/>
        <v>0</v>
      </c>
      <c r="AI309" s="866">
        <f t="shared" si="260"/>
        <v>0</v>
      </c>
      <c r="AJ309" s="619"/>
    </row>
    <row r="310" spans="1:36">
      <c r="A310" s="990">
        <v>278</v>
      </c>
      <c r="B310" s="990">
        <v>1</v>
      </c>
      <c r="C310" s="990">
        <v>310</v>
      </c>
      <c r="D310" s="1121" t="s">
        <v>999</v>
      </c>
      <c r="E310" s="1243">
        <v>1</v>
      </c>
      <c r="F310" s="5"/>
      <c r="G310" s="5"/>
      <c r="H310" s="5"/>
      <c r="I310" s="258" t="s">
        <v>504</v>
      </c>
      <c r="J310" s="555"/>
      <c r="K310" s="636"/>
      <c r="L310" s="636"/>
      <c r="M310" s="555"/>
      <c r="N310" s="555"/>
      <c r="O310" s="555"/>
      <c r="P310" s="1152"/>
      <c r="Q310" s="1718"/>
      <c r="R310" s="2618"/>
      <c r="S310" s="2618"/>
      <c r="T310" s="2618"/>
      <c r="U310" s="2618"/>
      <c r="V310" s="2618"/>
      <c r="W310" s="2618"/>
      <c r="X310" s="2618"/>
      <c r="Y310" s="2618"/>
      <c r="Z310" s="2618"/>
      <c r="AA310" s="2618"/>
      <c r="AB310" s="2618"/>
      <c r="AC310" s="122">
        <f>SUM(Q310,R310,S310)</f>
        <v>0</v>
      </c>
      <c r="AD310" s="122">
        <f>SUM(T310,U310,V310)</f>
        <v>0</v>
      </c>
      <c r="AE310" s="122">
        <f>SUM(W310,X310,Y310)</f>
        <v>0</v>
      </c>
      <c r="AF310" s="122">
        <f>SUM(Z310,AA310,AB310)</f>
        <v>0</v>
      </c>
      <c r="AG310" s="122">
        <f>AC310+AD310</f>
        <v>0</v>
      </c>
      <c r="AH310" s="122">
        <f>AF310+AE310</f>
        <v>0</v>
      </c>
      <c r="AI310" s="122">
        <f>AG310+AH310</f>
        <v>0</v>
      </c>
    </row>
    <row r="311" spans="1:36">
      <c r="A311" s="990">
        <v>279</v>
      </c>
      <c r="B311" s="990">
        <v>1</v>
      </c>
      <c r="C311" s="990">
        <v>311</v>
      </c>
      <c r="D311" s="1121" t="s">
        <v>999</v>
      </c>
      <c r="E311" s="1243">
        <v>1</v>
      </c>
      <c r="F311" s="5"/>
      <c r="G311" s="5"/>
      <c r="H311" s="5"/>
      <c r="I311" s="121" t="s">
        <v>1002</v>
      </c>
      <c r="J311" s="119"/>
      <c r="K311" s="120"/>
      <c r="L311" s="120"/>
      <c r="M311" s="119"/>
      <c r="N311" s="119"/>
      <c r="O311" s="119"/>
      <c r="P311" s="118"/>
      <c r="Q311" s="2178"/>
      <c r="R311" s="2035"/>
      <c r="S311" s="2035"/>
      <c r="T311" s="2035"/>
      <c r="U311" s="2035"/>
      <c r="V311" s="2035"/>
      <c r="W311" s="2035"/>
      <c r="X311" s="2035"/>
      <c r="Y311" s="2035"/>
      <c r="Z311" s="2035"/>
      <c r="AA311" s="2035"/>
      <c r="AB311" s="2035"/>
      <c r="AC311" s="92">
        <f>SUM(Q311,R311,S311)</f>
        <v>0</v>
      </c>
      <c r="AD311" s="92">
        <f>SUM(T311,U311,V311)</f>
        <v>0</v>
      </c>
      <c r="AE311" s="92">
        <f>SUM(W311,X311,Y311)</f>
        <v>0</v>
      </c>
      <c r="AF311" s="92">
        <f>SUM(Z311,AA311,AB311)</f>
        <v>0</v>
      </c>
      <c r="AG311" s="92">
        <f>AC311+AD311</f>
        <v>0</v>
      </c>
      <c r="AH311" s="92">
        <f>AF311+AE311</f>
        <v>0</v>
      </c>
      <c r="AI311" s="92">
        <f>AG311+AH311</f>
        <v>0</v>
      </c>
    </row>
    <row r="312" spans="1:36">
      <c r="A312" s="990">
        <v>280</v>
      </c>
      <c r="B312" s="990">
        <v>1</v>
      </c>
      <c r="C312" s="990">
        <v>312</v>
      </c>
      <c r="D312" s="1121" t="s">
        <v>999</v>
      </c>
      <c r="E312" s="1243">
        <v>1</v>
      </c>
      <c r="F312" s="5"/>
      <c r="G312" s="5"/>
      <c r="H312" s="5"/>
      <c r="I312" s="326" t="s">
        <v>10</v>
      </c>
      <c r="J312" s="829"/>
      <c r="K312" s="1186"/>
      <c r="L312" s="1186"/>
      <c r="M312" s="1186"/>
      <c r="N312" s="1186"/>
      <c r="O312" s="1186"/>
      <c r="P312" s="1189"/>
      <c r="Q312" s="1716">
        <f>Q308+Q310-Q311</f>
        <v>0</v>
      </c>
      <c r="R312" s="1716">
        <f t="shared" ref="R312:AI312" si="261">R308+R310-R311</f>
        <v>0</v>
      </c>
      <c r="S312" s="1716">
        <f t="shared" si="261"/>
        <v>0</v>
      </c>
      <c r="T312" s="1716">
        <f t="shared" si="261"/>
        <v>0</v>
      </c>
      <c r="U312" s="1716">
        <f t="shared" si="261"/>
        <v>0</v>
      </c>
      <c r="V312" s="1716">
        <f t="shared" si="261"/>
        <v>0</v>
      </c>
      <c r="W312" s="1716">
        <f t="shared" si="261"/>
        <v>0</v>
      </c>
      <c r="X312" s="1716">
        <f t="shared" si="261"/>
        <v>0</v>
      </c>
      <c r="Y312" s="1716">
        <f t="shared" si="261"/>
        <v>0</v>
      </c>
      <c r="Z312" s="1716">
        <f t="shared" si="261"/>
        <v>0</v>
      </c>
      <c r="AA312" s="1716">
        <f t="shared" si="261"/>
        <v>0</v>
      </c>
      <c r="AB312" s="1716">
        <f t="shared" si="261"/>
        <v>0</v>
      </c>
      <c r="AC312" s="125">
        <f t="shared" si="261"/>
        <v>0</v>
      </c>
      <c r="AD312" s="125">
        <f t="shared" si="261"/>
        <v>0</v>
      </c>
      <c r="AE312" s="125">
        <f t="shared" si="261"/>
        <v>0</v>
      </c>
      <c r="AF312" s="125">
        <f t="shared" si="261"/>
        <v>0</v>
      </c>
      <c r="AG312" s="125">
        <f t="shared" si="261"/>
        <v>0</v>
      </c>
      <c r="AH312" s="125">
        <f t="shared" si="261"/>
        <v>0</v>
      </c>
      <c r="AI312" s="125">
        <f t="shared" si="261"/>
        <v>0</v>
      </c>
    </row>
    <row r="313" spans="1:36" ht="14.5">
      <c r="A313" s="990">
        <v>281</v>
      </c>
      <c r="B313" s="990">
        <v>1</v>
      </c>
      <c r="C313" s="990">
        <v>313</v>
      </c>
      <c r="D313" s="1121" t="s">
        <v>999</v>
      </c>
      <c r="E313" s="1243">
        <v>1</v>
      </c>
      <c r="F313" s="5"/>
      <c r="G313" s="5"/>
      <c r="H313" s="5"/>
      <c r="I313" s="28"/>
      <c r="J313" s="629" t="s">
        <v>135</v>
      </c>
      <c r="K313" s="3"/>
      <c r="L313" s="3"/>
      <c r="M313" s="2"/>
      <c r="N313" s="2"/>
      <c r="O313" s="2"/>
      <c r="P313" s="27"/>
      <c r="Q313" s="866">
        <f t="shared" ref="Q313:AI313" si="262">IFERROR(Q312/Q263,0)</f>
        <v>0</v>
      </c>
      <c r="R313" s="866">
        <f t="shared" si="262"/>
        <v>0</v>
      </c>
      <c r="S313" s="866">
        <f t="shared" si="262"/>
        <v>0</v>
      </c>
      <c r="T313" s="866">
        <f t="shared" si="262"/>
        <v>0</v>
      </c>
      <c r="U313" s="866">
        <f t="shared" si="262"/>
        <v>0</v>
      </c>
      <c r="V313" s="866">
        <f t="shared" si="262"/>
        <v>0</v>
      </c>
      <c r="W313" s="866">
        <f t="shared" si="262"/>
        <v>0</v>
      </c>
      <c r="X313" s="866">
        <f t="shared" si="262"/>
        <v>0</v>
      </c>
      <c r="Y313" s="866">
        <f t="shared" si="262"/>
        <v>0</v>
      </c>
      <c r="Z313" s="866">
        <f t="shared" si="262"/>
        <v>0</v>
      </c>
      <c r="AA313" s="866">
        <f t="shared" si="262"/>
        <v>0</v>
      </c>
      <c r="AB313" s="866">
        <f t="shared" si="262"/>
        <v>0</v>
      </c>
      <c r="AC313" s="866">
        <f t="shared" si="262"/>
        <v>0</v>
      </c>
      <c r="AD313" s="866">
        <f t="shared" si="262"/>
        <v>0</v>
      </c>
      <c r="AE313" s="866">
        <f t="shared" si="262"/>
        <v>0</v>
      </c>
      <c r="AF313" s="866">
        <f t="shared" si="262"/>
        <v>0</v>
      </c>
      <c r="AG313" s="866">
        <f t="shared" si="262"/>
        <v>0</v>
      </c>
      <c r="AH313" s="866">
        <f t="shared" si="262"/>
        <v>0</v>
      </c>
      <c r="AI313" s="866">
        <f t="shared" si="262"/>
        <v>0</v>
      </c>
      <c r="AJ313" s="619"/>
    </row>
    <row r="314" spans="1:36">
      <c r="A314" s="990">
        <v>1</v>
      </c>
      <c r="B314" s="990">
        <v>1</v>
      </c>
      <c r="C314" s="990">
        <v>314</v>
      </c>
      <c r="D314" s="1121" t="s">
        <v>999</v>
      </c>
      <c r="E314" s="1292" t="s">
        <v>1013</v>
      </c>
      <c r="F314" s="1293"/>
      <c r="G314" s="1241"/>
      <c r="H314" s="5"/>
      <c r="I314" s="5"/>
      <c r="J314" s="4"/>
      <c r="K314" s="1256" t="s">
        <v>1062</v>
      </c>
      <c r="L314" s="1116"/>
      <c r="M314" s="798"/>
      <c r="N314" s="798"/>
      <c r="O314" s="798"/>
      <c r="P314" s="798"/>
      <c r="Q314" s="2186">
        <f>Q394</f>
        <v>0</v>
      </c>
      <c r="R314" s="2186">
        <f>R394</f>
        <v>0</v>
      </c>
      <c r="S314" s="2186">
        <f t="shared" ref="S314:AI314" si="263">S394</f>
        <v>0</v>
      </c>
      <c r="T314" s="2186">
        <f t="shared" si="263"/>
        <v>0</v>
      </c>
      <c r="U314" s="2186">
        <f t="shared" si="263"/>
        <v>0</v>
      </c>
      <c r="V314" s="2186">
        <f t="shared" si="263"/>
        <v>0</v>
      </c>
      <c r="W314" s="2186">
        <f t="shared" si="263"/>
        <v>0</v>
      </c>
      <c r="X314" s="2186">
        <f t="shared" si="263"/>
        <v>0</v>
      </c>
      <c r="Y314" s="2186">
        <f t="shared" si="263"/>
        <v>0</v>
      </c>
      <c r="Z314" s="2186">
        <f t="shared" si="263"/>
        <v>0</v>
      </c>
      <c r="AA314" s="2186">
        <f t="shared" si="263"/>
        <v>0</v>
      </c>
      <c r="AB314" s="2186">
        <f t="shared" si="263"/>
        <v>0</v>
      </c>
      <c r="AC314" s="2186">
        <f t="shared" si="263"/>
        <v>0</v>
      </c>
      <c r="AD314" s="2186">
        <f t="shared" si="263"/>
        <v>0</v>
      </c>
      <c r="AE314" s="2186">
        <f t="shared" si="263"/>
        <v>0</v>
      </c>
      <c r="AF314" s="2186">
        <f t="shared" si="263"/>
        <v>0</v>
      </c>
      <c r="AG314" s="2186">
        <f t="shared" si="263"/>
        <v>0</v>
      </c>
      <c r="AH314" s="2186">
        <f t="shared" si="263"/>
        <v>0</v>
      </c>
      <c r="AI314" s="2186">
        <f t="shared" si="263"/>
        <v>0</v>
      </c>
    </row>
    <row r="315" spans="1:36">
      <c r="A315" s="990">
        <v>1</v>
      </c>
      <c r="B315" s="990">
        <v>1</v>
      </c>
      <c r="C315" s="990">
        <v>315</v>
      </c>
      <c r="D315" s="1121" t="s">
        <v>999</v>
      </c>
      <c r="E315" s="1294" t="s">
        <v>1032</v>
      </c>
      <c r="F315" s="1295"/>
      <c r="G315" s="1241"/>
      <c r="H315" s="5"/>
      <c r="I315" s="5"/>
      <c r="J315" s="4"/>
      <c r="K315" s="30"/>
      <c r="L315" s="764" t="s">
        <v>884</v>
      </c>
      <c r="M315" s="323"/>
      <c r="N315" s="323"/>
      <c r="O315" s="323"/>
      <c r="P315" s="323"/>
      <c r="Q315" s="325">
        <f>SUM(Q316:Q318)</f>
        <v>0</v>
      </c>
      <c r="R315" s="325">
        <f t="shared" ref="R315:AI315" si="264">SUM(R316:R318)</f>
        <v>0</v>
      </c>
      <c r="S315" s="325">
        <f t="shared" si="264"/>
        <v>0</v>
      </c>
      <c r="T315" s="325">
        <f t="shared" si="264"/>
        <v>0</v>
      </c>
      <c r="U315" s="325">
        <f t="shared" si="264"/>
        <v>0</v>
      </c>
      <c r="V315" s="325">
        <f t="shared" si="264"/>
        <v>0</v>
      </c>
      <c r="W315" s="361">
        <f t="shared" si="264"/>
        <v>0</v>
      </c>
      <c r="X315" s="361">
        <f t="shared" si="264"/>
        <v>0</v>
      </c>
      <c r="Y315" s="361">
        <f t="shared" si="264"/>
        <v>0</v>
      </c>
      <c r="Z315" s="1117">
        <f t="shared" si="264"/>
        <v>0</v>
      </c>
      <c r="AA315" s="1117">
        <f t="shared" si="264"/>
        <v>0</v>
      </c>
      <c r="AB315" s="1117">
        <f t="shared" si="264"/>
        <v>0</v>
      </c>
      <c r="AC315" s="1117">
        <f t="shared" si="264"/>
        <v>0</v>
      </c>
      <c r="AD315" s="1117">
        <f t="shared" si="264"/>
        <v>0</v>
      </c>
      <c r="AE315" s="1117">
        <f t="shared" si="264"/>
        <v>0</v>
      </c>
      <c r="AF315" s="1117">
        <f t="shared" si="264"/>
        <v>0</v>
      </c>
      <c r="AG315" s="1117">
        <f t="shared" si="264"/>
        <v>0</v>
      </c>
      <c r="AH315" s="1117">
        <f t="shared" si="264"/>
        <v>0</v>
      </c>
      <c r="AI315" s="1117">
        <f t="shared" si="264"/>
        <v>0</v>
      </c>
    </row>
    <row r="316" spans="1:36">
      <c r="A316" s="990">
        <v>1</v>
      </c>
      <c r="B316" s="990">
        <v>1</v>
      </c>
      <c r="C316" s="990">
        <v>316</v>
      </c>
      <c r="D316" s="1121" t="s">
        <v>999</v>
      </c>
      <c r="E316" s="1294" t="s">
        <v>1032</v>
      </c>
      <c r="F316" s="1295"/>
      <c r="G316" s="1241"/>
      <c r="H316" s="5"/>
      <c r="I316" s="5"/>
      <c r="J316" s="4"/>
      <c r="K316" s="30"/>
      <c r="L316" s="30"/>
      <c r="M316" s="40" t="s">
        <v>143</v>
      </c>
      <c r="N316" s="4"/>
      <c r="O316" s="4"/>
      <c r="P316" s="4"/>
      <c r="Q316" s="2159"/>
      <c r="R316" s="2159"/>
      <c r="S316" s="2159"/>
      <c r="T316" s="2159"/>
      <c r="U316" s="2159"/>
      <c r="V316" s="2159"/>
      <c r="W316" s="2091"/>
      <c r="X316" s="2091"/>
      <c r="Y316" s="2091"/>
      <c r="Z316" s="2160"/>
      <c r="AA316" s="2160"/>
      <c r="AB316" s="2160"/>
      <c r="AC316" s="145">
        <f>SUM(Q316,R316,S316)</f>
        <v>0</v>
      </c>
      <c r="AD316" s="145">
        <f>SUM(T316,U316,V316)</f>
        <v>0</v>
      </c>
      <c r="AE316" s="145">
        <f>SUM(W316,X316,Y316)</f>
        <v>0</v>
      </c>
      <c r="AF316" s="145">
        <f>SUM(Z316,AA316,AB316)</f>
        <v>0</v>
      </c>
      <c r="AG316" s="145">
        <f>AC316+AD316</f>
        <v>0</v>
      </c>
      <c r="AH316" s="145">
        <f>AF316+AE316</f>
        <v>0</v>
      </c>
      <c r="AI316" s="145">
        <f>AG316+AH316</f>
        <v>0</v>
      </c>
    </row>
    <row r="317" spans="1:36">
      <c r="A317" s="990">
        <v>1</v>
      </c>
      <c r="B317" s="990">
        <v>1</v>
      </c>
      <c r="C317" s="990">
        <v>317</v>
      </c>
      <c r="D317" s="1121" t="s">
        <v>999</v>
      </c>
      <c r="E317" s="1294" t="s">
        <v>1032</v>
      </c>
      <c r="F317" s="1295"/>
      <c r="G317" s="1241"/>
      <c r="H317" s="5"/>
      <c r="I317" s="5"/>
      <c r="J317" s="4"/>
      <c r="K317" s="30"/>
      <c r="L317" s="30"/>
      <c r="M317" s="40" t="s">
        <v>96</v>
      </c>
      <c r="N317" s="4"/>
      <c r="O317" s="4"/>
      <c r="P317" s="4"/>
      <c r="Q317" s="2159"/>
      <c r="R317" s="2159"/>
      <c r="S317" s="2159"/>
      <c r="T317" s="2159"/>
      <c r="U317" s="2159"/>
      <c r="V317" s="2159"/>
      <c r="W317" s="2091"/>
      <c r="X317" s="2091"/>
      <c r="Y317" s="2091"/>
      <c r="Z317" s="2160"/>
      <c r="AA317" s="2160"/>
      <c r="AB317" s="2160"/>
      <c r="AC317" s="145">
        <f>SUM(Q317,R317,S317)</f>
        <v>0</v>
      </c>
      <c r="AD317" s="145">
        <f>SUM(T317,U317,V317)</f>
        <v>0</v>
      </c>
      <c r="AE317" s="145">
        <f>SUM(W317,X317,Y317)</f>
        <v>0</v>
      </c>
      <c r="AF317" s="145">
        <f>SUM(Z317,AA317,AB317)</f>
        <v>0</v>
      </c>
      <c r="AG317" s="145">
        <f>AC317+AD317</f>
        <v>0</v>
      </c>
      <c r="AH317" s="145">
        <f>AF317+AE317</f>
        <v>0</v>
      </c>
      <c r="AI317" s="145">
        <f>AG317+AH317</f>
        <v>0</v>
      </c>
    </row>
    <row r="318" spans="1:36">
      <c r="A318" s="990">
        <v>1</v>
      </c>
      <c r="B318" s="990">
        <v>1</v>
      </c>
      <c r="C318" s="990">
        <v>318</v>
      </c>
      <c r="D318" s="1121" t="s">
        <v>999</v>
      </c>
      <c r="E318" s="1294" t="s">
        <v>1032</v>
      </c>
      <c r="F318" s="1295"/>
      <c r="G318" s="1241"/>
      <c r="H318" s="5"/>
      <c r="I318" s="5"/>
      <c r="J318" s="4"/>
      <c r="K318" s="30"/>
      <c r="L318" s="28"/>
      <c r="M318" s="119" t="s">
        <v>142</v>
      </c>
      <c r="N318" s="2"/>
      <c r="O318" s="2"/>
      <c r="P318" s="2"/>
      <c r="Q318" s="2161"/>
      <c r="R318" s="2161"/>
      <c r="S318" s="2161"/>
      <c r="T318" s="2161"/>
      <c r="U318" s="2161"/>
      <c r="V318" s="2161"/>
      <c r="W318" s="2092"/>
      <c r="X318" s="2092"/>
      <c r="Y318" s="2092"/>
      <c r="Z318" s="2162"/>
      <c r="AA318" s="2162"/>
      <c r="AB318" s="2162"/>
      <c r="AC318" s="142">
        <f>SUM(Q318,R318,S318)</f>
        <v>0</v>
      </c>
      <c r="AD318" s="142">
        <f>SUM(T318,U318,V318)</f>
        <v>0</v>
      </c>
      <c r="AE318" s="142">
        <f>SUM(W318,X318,Y318)</f>
        <v>0</v>
      </c>
      <c r="AF318" s="142">
        <f>SUM(Z318,AA318,AB318)</f>
        <v>0</v>
      </c>
      <c r="AG318" s="142">
        <f>AC318+AD318</f>
        <v>0</v>
      </c>
      <c r="AH318" s="142">
        <f>AF318+AE318</f>
        <v>0</v>
      </c>
      <c r="AI318" s="142">
        <f>AG318+AH318</f>
        <v>0</v>
      </c>
    </row>
    <row r="319" spans="1:36">
      <c r="A319" s="990">
        <v>1</v>
      </c>
      <c r="B319" s="990">
        <v>1</v>
      </c>
      <c r="C319" s="990">
        <v>319</v>
      </c>
      <c r="D319" s="1121" t="s">
        <v>999</v>
      </c>
      <c r="E319" s="1294" t="s">
        <v>1032</v>
      </c>
      <c r="F319" s="1295"/>
      <c r="G319" s="1241"/>
      <c r="H319" s="5"/>
      <c r="I319" s="5"/>
      <c r="J319" s="4"/>
      <c r="K319" s="30"/>
      <c r="L319" s="764" t="s">
        <v>1033</v>
      </c>
      <c r="M319" s="798"/>
      <c r="N319" s="798"/>
      <c r="O319" s="798"/>
      <c r="P319" s="798"/>
      <c r="Q319" s="2120">
        <f>SUM(Q321:Q323)</f>
        <v>0</v>
      </c>
      <c r="R319" s="2120">
        <f t="shared" ref="R319:AI319" si="265">SUM(R321:R323)</f>
        <v>0</v>
      </c>
      <c r="S319" s="2120">
        <f t="shared" si="265"/>
        <v>0</v>
      </c>
      <c r="T319" s="2120">
        <f t="shared" si="265"/>
        <v>0</v>
      </c>
      <c r="U319" s="2120">
        <f t="shared" si="265"/>
        <v>0</v>
      </c>
      <c r="V319" s="2120">
        <f t="shared" si="265"/>
        <v>0</v>
      </c>
      <c r="W319" s="2081">
        <f t="shared" si="265"/>
        <v>0</v>
      </c>
      <c r="X319" s="2081">
        <f t="shared" si="265"/>
        <v>0</v>
      </c>
      <c r="Y319" s="2081">
        <f t="shared" si="265"/>
        <v>0</v>
      </c>
      <c r="Z319" s="2158">
        <f t="shared" si="265"/>
        <v>0</v>
      </c>
      <c r="AA319" s="2158">
        <f t="shared" si="265"/>
        <v>0</v>
      </c>
      <c r="AB319" s="2158">
        <f t="shared" si="265"/>
        <v>0</v>
      </c>
      <c r="AC319" s="2158">
        <f t="shared" si="265"/>
        <v>0</v>
      </c>
      <c r="AD319" s="2158">
        <f t="shared" si="265"/>
        <v>0</v>
      </c>
      <c r="AE319" s="2158">
        <f t="shared" si="265"/>
        <v>0</v>
      </c>
      <c r="AF319" s="2158">
        <f t="shared" si="265"/>
        <v>0</v>
      </c>
      <c r="AG319" s="2158">
        <f t="shared" si="265"/>
        <v>0</v>
      </c>
      <c r="AH319" s="2158">
        <f t="shared" si="265"/>
        <v>0</v>
      </c>
      <c r="AI319" s="2158">
        <f t="shared" si="265"/>
        <v>0</v>
      </c>
    </row>
    <row r="320" spans="1:36">
      <c r="A320" s="990">
        <v>1</v>
      </c>
      <c r="B320" s="990">
        <v>1</v>
      </c>
      <c r="C320" s="990">
        <v>320</v>
      </c>
      <c r="D320" s="1121" t="s">
        <v>999</v>
      </c>
      <c r="E320" s="1294" t="s">
        <v>1032</v>
      </c>
      <c r="F320" s="1295"/>
      <c r="G320" s="1241"/>
      <c r="H320" s="5"/>
      <c r="I320" s="5"/>
      <c r="J320" s="4"/>
      <c r="K320" s="30"/>
      <c r="L320" s="613"/>
      <c r="M320" s="676" t="s">
        <v>1034</v>
      </c>
      <c r="N320" s="51"/>
      <c r="O320" s="51"/>
      <c r="P320" s="51"/>
      <c r="Q320" s="1119">
        <f>IFERROR(Q319/Q304,0)</f>
        <v>0</v>
      </c>
      <c r="R320" s="1119">
        <f t="shared" ref="R320:AI320" si="266">IFERROR(R319/R304,0)</f>
        <v>0</v>
      </c>
      <c r="S320" s="1119">
        <f t="shared" si="266"/>
        <v>0</v>
      </c>
      <c r="T320" s="1119">
        <f t="shared" si="266"/>
        <v>0</v>
      </c>
      <c r="U320" s="1119">
        <f t="shared" si="266"/>
        <v>0</v>
      </c>
      <c r="V320" s="1119">
        <f t="shared" si="266"/>
        <v>0</v>
      </c>
      <c r="W320" s="1119">
        <f t="shared" si="266"/>
        <v>0</v>
      </c>
      <c r="X320" s="1119">
        <f t="shared" si="266"/>
        <v>0</v>
      </c>
      <c r="Y320" s="1119">
        <f t="shared" si="266"/>
        <v>0</v>
      </c>
      <c r="Z320" s="1119">
        <f t="shared" si="266"/>
        <v>0</v>
      </c>
      <c r="AA320" s="1119">
        <f t="shared" si="266"/>
        <v>0</v>
      </c>
      <c r="AB320" s="1119">
        <f t="shared" si="266"/>
        <v>0</v>
      </c>
      <c r="AC320" s="1119">
        <f t="shared" si="266"/>
        <v>0</v>
      </c>
      <c r="AD320" s="1119">
        <f t="shared" si="266"/>
        <v>0</v>
      </c>
      <c r="AE320" s="1119">
        <f t="shared" si="266"/>
        <v>0</v>
      </c>
      <c r="AF320" s="1119">
        <f t="shared" si="266"/>
        <v>0</v>
      </c>
      <c r="AG320" s="1119">
        <f t="shared" si="266"/>
        <v>0</v>
      </c>
      <c r="AH320" s="1119">
        <f t="shared" si="266"/>
        <v>0</v>
      </c>
      <c r="AI320" s="1119">
        <f t="shared" si="266"/>
        <v>0</v>
      </c>
    </row>
    <row r="321" spans="1:35">
      <c r="A321" s="990">
        <v>1</v>
      </c>
      <c r="B321" s="990">
        <v>1</v>
      </c>
      <c r="C321" s="990">
        <v>321</v>
      </c>
      <c r="D321" s="1121" t="s">
        <v>999</v>
      </c>
      <c r="E321" s="1294" t="s">
        <v>1032</v>
      </c>
      <c r="F321" s="1295"/>
      <c r="G321" s="1241"/>
      <c r="H321" s="5"/>
      <c r="I321" s="5"/>
      <c r="J321" s="4"/>
      <c r="K321" s="30"/>
      <c r="L321" s="30"/>
      <c r="M321" s="40" t="s">
        <v>143</v>
      </c>
      <c r="N321" s="4"/>
      <c r="O321" s="4"/>
      <c r="P321" s="4"/>
      <c r="Q321" s="41">
        <f>Q305-Q316</f>
        <v>0</v>
      </c>
      <c r="R321" s="41">
        <f t="shared" ref="R321:AB321" si="267">R305-R316</f>
        <v>0</v>
      </c>
      <c r="S321" s="41">
        <f t="shared" si="267"/>
        <v>0</v>
      </c>
      <c r="T321" s="41">
        <f t="shared" si="267"/>
        <v>0</v>
      </c>
      <c r="U321" s="41">
        <f t="shared" si="267"/>
        <v>0</v>
      </c>
      <c r="V321" s="41">
        <f t="shared" si="267"/>
        <v>0</v>
      </c>
      <c r="W321" s="19">
        <f t="shared" si="267"/>
        <v>0</v>
      </c>
      <c r="X321" s="19">
        <f t="shared" si="267"/>
        <v>0</v>
      </c>
      <c r="Y321" s="19">
        <f t="shared" si="267"/>
        <v>0</v>
      </c>
      <c r="Z321" s="145">
        <f t="shared" si="267"/>
        <v>0</v>
      </c>
      <c r="AA321" s="145">
        <f t="shared" si="267"/>
        <v>0</v>
      </c>
      <c r="AB321" s="145">
        <f t="shared" si="267"/>
        <v>0</v>
      </c>
      <c r="AC321" s="145">
        <f>SUM(Q321,R321,S321)</f>
        <v>0</v>
      </c>
      <c r="AD321" s="145">
        <f>SUM(T321,U321,V321)</f>
        <v>0</v>
      </c>
      <c r="AE321" s="145">
        <f>SUM(W321,X321,Y321)</f>
        <v>0</v>
      </c>
      <c r="AF321" s="145">
        <f>SUM(Z321,AA321,AB321)</f>
        <v>0</v>
      </c>
      <c r="AG321" s="145">
        <f>AC321+AD321</f>
        <v>0</v>
      </c>
      <c r="AH321" s="145">
        <f>AF321+AE321</f>
        <v>0</v>
      </c>
      <c r="AI321" s="145">
        <f>AG321+AH321</f>
        <v>0</v>
      </c>
    </row>
    <row r="322" spans="1:35">
      <c r="A322" s="990">
        <v>1</v>
      </c>
      <c r="B322" s="990">
        <v>1</v>
      </c>
      <c r="C322" s="990">
        <v>322</v>
      </c>
      <c r="D322" s="1121" t="s">
        <v>999</v>
      </c>
      <c r="E322" s="1294" t="s">
        <v>1032</v>
      </c>
      <c r="F322" s="1295"/>
      <c r="G322" s="1241"/>
      <c r="H322" s="5"/>
      <c r="I322" s="5"/>
      <c r="J322" s="4"/>
      <c r="K322" s="30"/>
      <c r="L322" s="30"/>
      <c r="M322" s="40" t="s">
        <v>96</v>
      </c>
      <c r="N322" s="4"/>
      <c r="O322" s="4"/>
      <c r="P322" s="4"/>
      <c r="Q322" s="41">
        <f t="shared" ref="Q322:AB323" si="268">Q306-Q317</f>
        <v>0</v>
      </c>
      <c r="R322" s="41">
        <f t="shared" si="268"/>
        <v>0</v>
      </c>
      <c r="S322" s="41">
        <f t="shared" si="268"/>
        <v>0</v>
      </c>
      <c r="T322" s="41">
        <f t="shared" si="268"/>
        <v>0</v>
      </c>
      <c r="U322" s="41">
        <f t="shared" si="268"/>
        <v>0</v>
      </c>
      <c r="V322" s="41">
        <f t="shared" si="268"/>
        <v>0</v>
      </c>
      <c r="W322" s="19">
        <f t="shared" si="268"/>
        <v>0</v>
      </c>
      <c r="X322" s="19">
        <f t="shared" si="268"/>
        <v>0</v>
      </c>
      <c r="Y322" s="19">
        <f t="shared" si="268"/>
        <v>0</v>
      </c>
      <c r="Z322" s="145">
        <f t="shared" si="268"/>
        <v>0</v>
      </c>
      <c r="AA322" s="145">
        <f t="shared" si="268"/>
        <v>0</v>
      </c>
      <c r="AB322" s="145">
        <f t="shared" si="268"/>
        <v>0</v>
      </c>
      <c r="AC322" s="145">
        <f>SUM(Q322,R322,S322)</f>
        <v>0</v>
      </c>
      <c r="AD322" s="145">
        <f>SUM(T322,U322,V322)</f>
        <v>0</v>
      </c>
      <c r="AE322" s="145">
        <f>SUM(W322,X322,Y322)</f>
        <v>0</v>
      </c>
      <c r="AF322" s="145">
        <f>SUM(Z322,AA322,AB322)</f>
        <v>0</v>
      </c>
      <c r="AG322" s="145">
        <f>AC322+AD322</f>
        <v>0</v>
      </c>
      <c r="AH322" s="145">
        <f>AF322+AE322</f>
        <v>0</v>
      </c>
      <c r="AI322" s="145">
        <f>AG322+AH322</f>
        <v>0</v>
      </c>
    </row>
    <row r="323" spans="1:35">
      <c r="A323" s="990">
        <v>1</v>
      </c>
      <c r="B323" s="990">
        <v>1</v>
      </c>
      <c r="C323" s="990">
        <v>323</v>
      </c>
      <c r="D323" s="1121" t="s">
        <v>999</v>
      </c>
      <c r="E323" s="1294" t="s">
        <v>1032</v>
      </c>
      <c r="F323" s="1295"/>
      <c r="G323" s="1241"/>
      <c r="H323" s="5"/>
      <c r="I323" s="5"/>
      <c r="J323" s="4"/>
      <c r="K323" s="28"/>
      <c r="L323" s="28"/>
      <c r="M323" s="119" t="s">
        <v>142</v>
      </c>
      <c r="N323" s="2"/>
      <c r="O323" s="2"/>
      <c r="P323" s="2"/>
      <c r="Q323" s="66">
        <f t="shared" si="268"/>
        <v>0</v>
      </c>
      <c r="R323" s="66">
        <f t="shared" si="268"/>
        <v>0</v>
      </c>
      <c r="S323" s="66">
        <f t="shared" si="268"/>
        <v>0</v>
      </c>
      <c r="T323" s="66">
        <f t="shared" si="268"/>
        <v>0</v>
      </c>
      <c r="U323" s="66">
        <f t="shared" si="268"/>
        <v>0</v>
      </c>
      <c r="V323" s="66">
        <f t="shared" si="268"/>
        <v>0</v>
      </c>
      <c r="W323" s="17">
        <f t="shared" si="268"/>
        <v>0</v>
      </c>
      <c r="X323" s="17">
        <f t="shared" si="268"/>
        <v>0</v>
      </c>
      <c r="Y323" s="17">
        <f t="shared" si="268"/>
        <v>0</v>
      </c>
      <c r="Z323" s="142">
        <f t="shared" si="268"/>
        <v>0</v>
      </c>
      <c r="AA323" s="142">
        <f t="shared" si="268"/>
        <v>0</v>
      </c>
      <c r="AB323" s="142">
        <f t="shared" si="268"/>
        <v>0</v>
      </c>
      <c r="AC323" s="142">
        <f>SUM(Q323,R323,S323)</f>
        <v>0</v>
      </c>
      <c r="AD323" s="142">
        <f>SUM(T323,U323,V323)</f>
        <v>0</v>
      </c>
      <c r="AE323" s="142">
        <f>SUM(W323,X323,Y323)</f>
        <v>0</v>
      </c>
      <c r="AF323" s="142">
        <f>SUM(Z323,AA323,AB323)</f>
        <v>0</v>
      </c>
      <c r="AG323" s="142">
        <f>AC323+AD323</f>
        <v>0</v>
      </c>
      <c r="AH323" s="142">
        <f>AF323+AE323</f>
        <v>0</v>
      </c>
      <c r="AI323" s="142">
        <f>AG323+AH323</f>
        <v>0</v>
      </c>
    </row>
    <row r="324" spans="1:35">
      <c r="A324" s="990">
        <v>1</v>
      </c>
      <c r="B324" s="990">
        <v>1</v>
      </c>
      <c r="C324" s="990">
        <v>324</v>
      </c>
      <c r="D324" s="1121" t="s">
        <v>999</v>
      </c>
      <c r="E324" s="1243">
        <v>1</v>
      </c>
      <c r="F324" s="5"/>
      <c r="G324" s="5"/>
      <c r="H324" s="5"/>
      <c r="I324" s="5"/>
      <c r="J324" s="4"/>
      <c r="K324" s="5"/>
      <c r="L324" s="5"/>
      <c r="M324" s="4"/>
      <c r="N324" s="4"/>
      <c r="O324" s="4"/>
      <c r="P324" s="4"/>
      <c r="Q324" s="1151"/>
      <c r="R324" s="1151"/>
      <c r="S324" s="1151"/>
      <c r="T324" s="1151"/>
      <c r="U324" s="1151"/>
      <c r="V324" s="1151"/>
      <c r="Z324" s="163"/>
      <c r="AA324" s="163"/>
      <c r="AB324" s="163"/>
      <c r="AC324" s="163"/>
      <c r="AD324" s="163"/>
      <c r="AE324" s="163"/>
      <c r="AF324" s="163"/>
      <c r="AG324" s="163"/>
      <c r="AH324" s="163"/>
      <c r="AI324" s="868"/>
    </row>
    <row r="325" spans="1:35">
      <c r="A325" s="990">
        <v>312</v>
      </c>
      <c r="B325" s="990">
        <v>283</v>
      </c>
      <c r="C325" s="990">
        <v>325</v>
      </c>
      <c r="D325" s="1121" t="s">
        <v>999</v>
      </c>
      <c r="E325" s="1296" t="s">
        <v>931</v>
      </c>
      <c r="F325" s="1297"/>
      <c r="G325" s="5"/>
      <c r="H325" s="1286" t="s">
        <v>1063</v>
      </c>
      <c r="I325" s="5"/>
      <c r="J325" s="4"/>
      <c r="K325" s="5"/>
      <c r="L325" s="5"/>
      <c r="M325" s="4"/>
      <c r="N325" s="4"/>
      <c r="O325" s="4"/>
      <c r="P325" s="4"/>
      <c r="Q325" s="1151"/>
      <c r="R325" s="1151"/>
      <c r="S325" s="1151"/>
      <c r="T325" s="1151"/>
      <c r="U325" s="1151"/>
      <c r="V325" s="1151"/>
      <c r="AA325" s="1"/>
      <c r="AB325" s="1"/>
      <c r="AC325" s="1"/>
      <c r="AD325" s="1"/>
      <c r="AE325" s="1"/>
      <c r="AF325" s="1"/>
      <c r="AG325" s="1"/>
      <c r="AH325" s="1"/>
      <c r="AI325" s="1"/>
    </row>
    <row r="326" spans="1:35" ht="14.5">
      <c r="A326" s="990">
        <v>313</v>
      </c>
      <c r="B326" s="990">
        <v>284</v>
      </c>
      <c r="C326" s="990">
        <v>326</v>
      </c>
      <c r="D326" s="1121" t="s">
        <v>999</v>
      </c>
      <c r="E326" s="1243">
        <v>1</v>
      </c>
      <c r="F326" s="5"/>
      <c r="G326" s="5"/>
      <c r="H326" s="5"/>
      <c r="I326" s="409" t="s">
        <v>9</v>
      </c>
      <c r="J326" s="789"/>
      <c r="K326" s="580"/>
      <c r="L326" s="580"/>
      <c r="M326" s="580"/>
      <c r="N326" s="580"/>
      <c r="O326" s="790" t="s">
        <v>530</v>
      </c>
      <c r="P326" s="1053"/>
      <c r="Q326" s="101">
        <f>SUM(Q327:Q331)</f>
        <v>1597</v>
      </c>
      <c r="R326" s="101">
        <f t="shared" ref="R326:AI326" si="269">SUM(R327:R331)</f>
        <v>1515</v>
      </c>
      <c r="S326" s="101">
        <f t="shared" si="269"/>
        <v>1262</v>
      </c>
      <c r="T326" s="101">
        <f t="shared" si="269"/>
        <v>2860</v>
      </c>
      <c r="U326" s="101">
        <f t="shared" si="269"/>
        <v>2424</v>
      </c>
      <c r="V326" s="101">
        <f t="shared" si="269"/>
        <v>1435</v>
      </c>
      <c r="W326" s="101">
        <f t="shared" si="269"/>
        <v>1450</v>
      </c>
      <c r="X326" s="101">
        <f t="shared" si="269"/>
        <v>2038</v>
      </c>
      <c r="Y326" s="101">
        <f t="shared" si="269"/>
        <v>3084</v>
      </c>
      <c r="Z326" s="101">
        <f t="shared" si="269"/>
        <v>1775</v>
      </c>
      <c r="AA326" s="101">
        <f t="shared" si="269"/>
        <v>1596</v>
      </c>
      <c r="AB326" s="101">
        <f t="shared" si="269"/>
        <v>1356</v>
      </c>
      <c r="AC326" s="101">
        <f t="shared" si="269"/>
        <v>4374</v>
      </c>
      <c r="AD326" s="101">
        <f t="shared" si="269"/>
        <v>6719</v>
      </c>
      <c r="AE326" s="101">
        <f t="shared" si="269"/>
        <v>6572</v>
      </c>
      <c r="AF326" s="101">
        <f t="shared" si="269"/>
        <v>4727</v>
      </c>
      <c r="AG326" s="101">
        <f t="shared" si="269"/>
        <v>11093</v>
      </c>
      <c r="AH326" s="101">
        <f t="shared" si="269"/>
        <v>11299</v>
      </c>
      <c r="AI326" s="101">
        <f t="shared" si="269"/>
        <v>22392</v>
      </c>
    </row>
    <row r="327" spans="1:35">
      <c r="A327" s="990">
        <v>314</v>
      </c>
      <c r="B327" s="990">
        <v>1</v>
      </c>
      <c r="C327" s="990">
        <v>327</v>
      </c>
      <c r="D327" s="1121" t="s">
        <v>999</v>
      </c>
      <c r="E327" s="1243">
        <v>1</v>
      </c>
      <c r="F327" s="5"/>
      <c r="G327" s="5"/>
      <c r="H327" s="5"/>
      <c r="I327" s="30"/>
      <c r="J327" s="4"/>
      <c r="K327" s="5"/>
      <c r="L327" s="5"/>
      <c r="M327" s="4" t="s">
        <v>12</v>
      </c>
      <c r="N327" s="4"/>
      <c r="O327" s="4"/>
      <c r="P327" s="29"/>
      <c r="Q327" s="89">
        <f t="shared" ref="Q327:AB327" si="270">Q691+Q717</f>
        <v>0</v>
      </c>
      <c r="R327" s="89">
        <f t="shared" si="270"/>
        <v>0</v>
      </c>
      <c r="S327" s="89">
        <f t="shared" si="270"/>
        <v>0</v>
      </c>
      <c r="T327" s="89">
        <f t="shared" si="270"/>
        <v>60</v>
      </c>
      <c r="U327" s="89">
        <f t="shared" si="270"/>
        <v>0</v>
      </c>
      <c r="V327" s="89">
        <f t="shared" si="270"/>
        <v>0</v>
      </c>
      <c r="W327" s="89">
        <f t="shared" si="270"/>
        <v>0</v>
      </c>
      <c r="X327" s="89">
        <f t="shared" si="270"/>
        <v>0</v>
      </c>
      <c r="Y327" s="89">
        <f t="shared" si="270"/>
        <v>0</v>
      </c>
      <c r="Z327" s="89">
        <f t="shared" si="270"/>
        <v>0</v>
      </c>
      <c r="AA327" s="89">
        <f t="shared" si="270"/>
        <v>0</v>
      </c>
      <c r="AB327" s="89">
        <f t="shared" si="270"/>
        <v>0</v>
      </c>
      <c r="AC327" s="89">
        <f>SUM(Q327,R327,S327)</f>
        <v>0</v>
      </c>
      <c r="AD327" s="89">
        <f>SUM(T327,U327,V327)</f>
        <v>60</v>
      </c>
      <c r="AE327" s="89">
        <f>SUM(W327,X327,Y327)</f>
        <v>0</v>
      </c>
      <c r="AF327" s="89">
        <f>SUM(Z327,AA327,AB327)</f>
        <v>0</v>
      </c>
      <c r="AG327" s="89">
        <f>AC327+AD327</f>
        <v>60</v>
      </c>
      <c r="AH327" s="89">
        <f>AF327+AE327</f>
        <v>0</v>
      </c>
      <c r="AI327" s="89">
        <f>AG327+AH327</f>
        <v>60</v>
      </c>
    </row>
    <row r="328" spans="1:35">
      <c r="A328" s="990">
        <v>1</v>
      </c>
      <c r="B328" s="990">
        <v>285</v>
      </c>
      <c r="C328" s="990">
        <v>328</v>
      </c>
      <c r="D328" s="1121" t="s">
        <v>999</v>
      </c>
      <c r="E328" s="1294" t="s">
        <v>931</v>
      </c>
      <c r="F328" s="1295"/>
      <c r="G328" s="1241"/>
      <c r="H328" s="5"/>
      <c r="I328" s="30"/>
      <c r="J328" s="4"/>
      <c r="K328" s="5"/>
      <c r="L328" s="5"/>
      <c r="M328" s="1144" t="s">
        <v>693</v>
      </c>
      <c r="N328" s="4"/>
      <c r="O328" s="4"/>
      <c r="P328" s="29"/>
      <c r="Q328" s="89">
        <f>Q696+Q718</f>
        <v>0</v>
      </c>
      <c r="R328" s="89">
        <f t="shared" ref="R328:AB328" si="271">R696+R718</f>
        <v>0</v>
      </c>
      <c r="S328" s="89">
        <f t="shared" si="271"/>
        <v>0</v>
      </c>
      <c r="T328" s="89">
        <f t="shared" si="271"/>
        <v>0</v>
      </c>
      <c r="U328" s="89">
        <f t="shared" si="271"/>
        <v>0</v>
      </c>
      <c r="V328" s="89">
        <f t="shared" si="271"/>
        <v>0</v>
      </c>
      <c r="W328" s="89">
        <f t="shared" si="271"/>
        <v>0</v>
      </c>
      <c r="X328" s="89">
        <f t="shared" si="271"/>
        <v>0</v>
      </c>
      <c r="Y328" s="89">
        <f t="shared" si="271"/>
        <v>0</v>
      </c>
      <c r="Z328" s="89">
        <f t="shared" si="271"/>
        <v>0</v>
      </c>
      <c r="AA328" s="89">
        <f t="shared" si="271"/>
        <v>0</v>
      </c>
      <c r="AB328" s="89">
        <f t="shared" si="271"/>
        <v>0</v>
      </c>
      <c r="AC328" s="89">
        <f>SUM(Q328,R328,S328)</f>
        <v>0</v>
      </c>
      <c r="AD328" s="89">
        <f>SUM(T328,U328,V328)</f>
        <v>0</v>
      </c>
      <c r="AE328" s="89">
        <f>SUM(W328,X328,Y328)</f>
        <v>0</v>
      </c>
      <c r="AF328" s="89">
        <f>SUM(Z328,AA328,AB328)</f>
        <v>0</v>
      </c>
      <c r="AG328" s="89">
        <f>AC328+AD328</f>
        <v>0</v>
      </c>
      <c r="AH328" s="89">
        <f>AF328+AE328</f>
        <v>0</v>
      </c>
      <c r="AI328" s="89">
        <f>AG328+AH328</f>
        <v>0</v>
      </c>
    </row>
    <row r="329" spans="1:35">
      <c r="A329" s="990">
        <v>315</v>
      </c>
      <c r="B329" s="990">
        <v>1</v>
      </c>
      <c r="C329" s="990">
        <v>329</v>
      </c>
      <c r="D329" s="1121" t="s">
        <v>999</v>
      </c>
      <c r="E329" s="1243">
        <v>1</v>
      </c>
      <c r="F329" s="5"/>
      <c r="G329" s="5"/>
      <c r="H329" s="5"/>
      <c r="I329" s="30"/>
      <c r="J329" s="4"/>
      <c r="K329" s="5"/>
      <c r="L329" s="5"/>
      <c r="M329" s="4" t="s">
        <v>13</v>
      </c>
      <c r="N329" s="4"/>
      <c r="O329" s="4"/>
      <c r="P329" s="29"/>
      <c r="Q329" s="89">
        <f t="shared" ref="Q329:AB329" si="272">Q701+Q719</f>
        <v>0</v>
      </c>
      <c r="R329" s="89">
        <f t="shared" si="272"/>
        <v>384</v>
      </c>
      <c r="S329" s="89">
        <f t="shared" si="272"/>
        <v>0</v>
      </c>
      <c r="T329" s="89">
        <f t="shared" si="272"/>
        <v>1328</v>
      </c>
      <c r="U329" s="89">
        <f t="shared" si="272"/>
        <v>0</v>
      </c>
      <c r="V329" s="89">
        <f t="shared" si="272"/>
        <v>194</v>
      </c>
      <c r="W329" s="89">
        <f t="shared" si="272"/>
        <v>584</v>
      </c>
      <c r="X329" s="89">
        <f t="shared" si="272"/>
        <v>166</v>
      </c>
      <c r="Y329" s="89">
        <f t="shared" si="272"/>
        <v>353</v>
      </c>
      <c r="Z329" s="89">
        <f t="shared" si="272"/>
        <v>266</v>
      </c>
      <c r="AA329" s="89">
        <f t="shared" si="272"/>
        <v>72</v>
      </c>
      <c r="AB329" s="89">
        <f t="shared" si="272"/>
        <v>62</v>
      </c>
      <c r="AC329" s="89">
        <f>SUM(Q329,R329,S329)</f>
        <v>384</v>
      </c>
      <c r="AD329" s="89">
        <f>SUM(T329,U329,V329)</f>
        <v>1522</v>
      </c>
      <c r="AE329" s="89">
        <f>SUM(W329,X329,Y329)</f>
        <v>1103</v>
      </c>
      <c r="AF329" s="89">
        <f>SUM(Z329,AA329,AB329)</f>
        <v>400</v>
      </c>
      <c r="AG329" s="89">
        <f>AC329+AD329</f>
        <v>1906</v>
      </c>
      <c r="AH329" s="89">
        <f>AF329+AE329</f>
        <v>1503</v>
      </c>
      <c r="AI329" s="89">
        <f>AG329+AH329</f>
        <v>3409</v>
      </c>
    </row>
    <row r="330" spans="1:35">
      <c r="A330" s="990">
        <v>316</v>
      </c>
      <c r="B330" s="990">
        <v>286</v>
      </c>
      <c r="C330" s="990">
        <v>330</v>
      </c>
      <c r="D330" s="1121" t="s">
        <v>999</v>
      </c>
      <c r="E330" s="1296" t="s">
        <v>931</v>
      </c>
      <c r="F330" s="1297"/>
      <c r="G330" s="5"/>
      <c r="H330" s="5"/>
      <c r="I330" s="30"/>
      <c r="J330" s="4"/>
      <c r="K330" s="5"/>
      <c r="L330" s="5"/>
      <c r="M330" s="1144" t="s">
        <v>921</v>
      </c>
      <c r="N330" s="4"/>
      <c r="O330" s="4"/>
      <c r="P330" s="29"/>
      <c r="Q330" s="89">
        <f>Q706+Q720</f>
        <v>0</v>
      </c>
      <c r="R330" s="89">
        <f t="shared" ref="R330:AB330" si="273">R706+R720</f>
        <v>0</v>
      </c>
      <c r="S330" s="89">
        <f t="shared" si="273"/>
        <v>0</v>
      </c>
      <c r="T330" s="89">
        <f t="shared" si="273"/>
        <v>0</v>
      </c>
      <c r="U330" s="89">
        <f t="shared" si="273"/>
        <v>0</v>
      </c>
      <c r="V330" s="89">
        <f t="shared" si="273"/>
        <v>0</v>
      </c>
      <c r="W330" s="89">
        <f t="shared" si="273"/>
        <v>0</v>
      </c>
      <c r="X330" s="89">
        <f t="shared" si="273"/>
        <v>0</v>
      </c>
      <c r="Y330" s="89">
        <f t="shared" si="273"/>
        <v>0</v>
      </c>
      <c r="Z330" s="89">
        <f t="shared" si="273"/>
        <v>0</v>
      </c>
      <c r="AA330" s="89">
        <f t="shared" si="273"/>
        <v>0</v>
      </c>
      <c r="AB330" s="89">
        <f t="shared" si="273"/>
        <v>0</v>
      </c>
      <c r="AC330" s="89">
        <f>SUM(Q330,R330,S330)</f>
        <v>0</v>
      </c>
      <c r="AD330" s="89">
        <f>SUM(T330,U330,V330)</f>
        <v>0</v>
      </c>
      <c r="AE330" s="89">
        <f>SUM(W330,X330,Y330)</f>
        <v>0</v>
      </c>
      <c r="AF330" s="89">
        <f>SUM(Z330,AA330,AB330)</f>
        <v>0</v>
      </c>
      <c r="AG330" s="89">
        <f>AC330+AD330</f>
        <v>0</v>
      </c>
      <c r="AH330" s="89">
        <f>AF330+AE330</f>
        <v>0</v>
      </c>
      <c r="AI330" s="89">
        <f>AG330+AH330</f>
        <v>0</v>
      </c>
    </row>
    <row r="331" spans="1:35">
      <c r="A331" s="990">
        <v>317</v>
      </c>
      <c r="B331" s="990">
        <v>1</v>
      </c>
      <c r="C331" s="990">
        <v>331</v>
      </c>
      <c r="D331" s="1121" t="s">
        <v>999</v>
      </c>
      <c r="E331" s="1243">
        <v>1</v>
      </c>
      <c r="F331" s="5"/>
      <c r="G331" s="5"/>
      <c r="H331" s="5"/>
      <c r="I331" s="30"/>
      <c r="J331" s="4"/>
      <c r="K331" s="5"/>
      <c r="L331" s="5"/>
      <c r="M331" s="4" t="s">
        <v>275</v>
      </c>
      <c r="N331" s="4"/>
      <c r="O331" s="4"/>
      <c r="P331" s="29"/>
      <c r="Q331" s="89">
        <f>Q711+Q721</f>
        <v>1597</v>
      </c>
      <c r="R331" s="89">
        <f t="shared" ref="R331:AB331" si="274">R711+R721</f>
        <v>1131</v>
      </c>
      <c r="S331" s="89">
        <f t="shared" si="274"/>
        <v>1262</v>
      </c>
      <c r="T331" s="89">
        <f t="shared" si="274"/>
        <v>1472</v>
      </c>
      <c r="U331" s="89">
        <f t="shared" si="274"/>
        <v>2424</v>
      </c>
      <c r="V331" s="89">
        <f t="shared" si="274"/>
        <v>1241</v>
      </c>
      <c r="W331" s="89">
        <f t="shared" si="274"/>
        <v>866</v>
      </c>
      <c r="X331" s="89">
        <f t="shared" si="274"/>
        <v>1872</v>
      </c>
      <c r="Y331" s="89">
        <f t="shared" si="274"/>
        <v>2731</v>
      </c>
      <c r="Z331" s="89">
        <f t="shared" si="274"/>
        <v>1509</v>
      </c>
      <c r="AA331" s="89">
        <f t="shared" si="274"/>
        <v>1524</v>
      </c>
      <c r="AB331" s="89">
        <f t="shared" si="274"/>
        <v>1294</v>
      </c>
      <c r="AC331" s="89">
        <f>SUM(Q331,R331,S331)</f>
        <v>3990</v>
      </c>
      <c r="AD331" s="89">
        <f>SUM(T331,U331,V331)</f>
        <v>5137</v>
      </c>
      <c r="AE331" s="89">
        <f>SUM(W331,X331,Y331)</f>
        <v>5469</v>
      </c>
      <c r="AF331" s="89">
        <f>SUM(Z331,AA331,AB331)</f>
        <v>4327</v>
      </c>
      <c r="AG331" s="89">
        <f>AC331+AD331</f>
        <v>9127</v>
      </c>
      <c r="AH331" s="89">
        <f>AF331+AE331</f>
        <v>9796</v>
      </c>
      <c r="AI331" s="89">
        <f>AG331+AH331</f>
        <v>18923</v>
      </c>
    </row>
    <row r="332" spans="1:35" ht="14.5">
      <c r="A332" s="990">
        <v>318</v>
      </c>
      <c r="B332" s="990">
        <v>287</v>
      </c>
      <c r="C332" s="990">
        <v>332</v>
      </c>
      <c r="D332" s="1121" t="s">
        <v>999</v>
      </c>
      <c r="E332" s="1243">
        <v>1</v>
      </c>
      <c r="F332" s="5"/>
      <c r="G332" s="5"/>
      <c r="H332" s="5"/>
      <c r="I332" s="409" t="s">
        <v>128</v>
      </c>
      <c r="J332" s="789"/>
      <c r="K332" s="580"/>
      <c r="L332" s="580"/>
      <c r="M332" s="580"/>
      <c r="N332" s="580"/>
      <c r="O332" s="790" t="s">
        <v>532</v>
      </c>
      <c r="P332" s="1053"/>
      <c r="Q332" s="101">
        <f t="shared" ref="Q332:AI332" si="275">SUM(Q333:Q337)</f>
        <v>1597</v>
      </c>
      <c r="R332" s="101">
        <f t="shared" si="275"/>
        <v>1515</v>
      </c>
      <c r="S332" s="101">
        <f t="shared" si="275"/>
        <v>1262</v>
      </c>
      <c r="T332" s="101">
        <f t="shared" si="275"/>
        <v>2860</v>
      </c>
      <c r="U332" s="101">
        <f t="shared" si="275"/>
        <v>2424</v>
      </c>
      <c r="V332" s="101">
        <f t="shared" si="275"/>
        <v>1435</v>
      </c>
      <c r="W332" s="101">
        <f t="shared" si="275"/>
        <v>1450</v>
      </c>
      <c r="X332" s="101">
        <f t="shared" si="275"/>
        <v>2038</v>
      </c>
      <c r="Y332" s="101">
        <f t="shared" si="275"/>
        <v>3084</v>
      </c>
      <c r="Z332" s="101">
        <f t="shared" si="275"/>
        <v>1775</v>
      </c>
      <c r="AA332" s="101">
        <f t="shared" si="275"/>
        <v>1596</v>
      </c>
      <c r="AB332" s="101">
        <f t="shared" si="275"/>
        <v>1356</v>
      </c>
      <c r="AC332" s="101">
        <f t="shared" si="275"/>
        <v>4374</v>
      </c>
      <c r="AD332" s="101">
        <f t="shared" si="275"/>
        <v>6719</v>
      </c>
      <c r="AE332" s="101">
        <f t="shared" si="275"/>
        <v>6572</v>
      </c>
      <c r="AF332" s="101">
        <f t="shared" si="275"/>
        <v>4727</v>
      </c>
      <c r="AG332" s="101">
        <f t="shared" si="275"/>
        <v>11093</v>
      </c>
      <c r="AH332" s="101">
        <f t="shared" si="275"/>
        <v>11299</v>
      </c>
      <c r="AI332" s="101">
        <f t="shared" si="275"/>
        <v>22392</v>
      </c>
    </row>
    <row r="333" spans="1:35">
      <c r="A333" s="990">
        <v>319</v>
      </c>
      <c r="B333" s="990">
        <v>1</v>
      </c>
      <c r="C333" s="990">
        <v>333</v>
      </c>
      <c r="D333" s="1121" t="s">
        <v>999</v>
      </c>
      <c r="E333" s="1243">
        <v>1</v>
      </c>
      <c r="F333" s="5"/>
      <c r="G333" s="5"/>
      <c r="H333" s="5"/>
      <c r="I333" s="30"/>
      <c r="J333" s="4"/>
      <c r="K333" s="5"/>
      <c r="L333" s="5"/>
      <c r="M333" s="4" t="s">
        <v>12</v>
      </c>
      <c r="N333" s="4"/>
      <c r="O333" s="4"/>
      <c r="P333" s="29"/>
      <c r="Q333" s="2039"/>
      <c r="R333" s="2039"/>
      <c r="S333" s="2039"/>
      <c r="T333" s="2039">
        <v>60</v>
      </c>
      <c r="U333" s="2039"/>
      <c r="V333" s="2039"/>
      <c r="W333" s="2039"/>
      <c r="X333" s="2039"/>
      <c r="Y333" s="2039"/>
      <c r="Z333" s="2039"/>
      <c r="AA333" s="2039"/>
      <c r="AB333" s="2039"/>
      <c r="AC333" s="89">
        <f>SUM(Q333,R333,S333)</f>
        <v>0</v>
      </c>
      <c r="AD333" s="89">
        <f>SUM(T333,U333,V333)</f>
        <v>60</v>
      </c>
      <c r="AE333" s="89">
        <f>SUM(W333,X333,Y333)</f>
        <v>0</v>
      </c>
      <c r="AF333" s="89">
        <f>SUM(Z333,AA333,AB333)</f>
        <v>0</v>
      </c>
      <c r="AG333" s="89">
        <f>AC333+AD333</f>
        <v>60</v>
      </c>
      <c r="AH333" s="89">
        <f>AF333+AE333</f>
        <v>0</v>
      </c>
      <c r="AI333" s="89">
        <f>AG333+AH333</f>
        <v>60</v>
      </c>
    </row>
    <row r="334" spans="1:35">
      <c r="A334" s="990">
        <v>1</v>
      </c>
      <c r="B334" s="990">
        <v>288</v>
      </c>
      <c r="C334" s="990">
        <v>334</v>
      </c>
      <c r="D334" s="1121" t="s">
        <v>999</v>
      </c>
      <c r="E334" s="1294" t="s">
        <v>931</v>
      </c>
      <c r="F334" s="1295"/>
      <c r="G334" s="1241"/>
      <c r="H334" s="5"/>
      <c r="I334" s="30"/>
      <c r="J334" s="4"/>
      <c r="K334" s="5"/>
      <c r="L334" s="5"/>
      <c r="M334" s="1144" t="s">
        <v>693</v>
      </c>
      <c r="N334" s="4"/>
      <c r="O334" s="4"/>
      <c r="P334" s="29"/>
      <c r="Q334" s="2039"/>
      <c r="R334" s="2039"/>
      <c r="S334" s="2039"/>
      <c r="T334" s="2039">
        <v>0</v>
      </c>
      <c r="U334" s="2039"/>
      <c r="V334" s="2039"/>
      <c r="W334" s="2039"/>
      <c r="X334" s="2039"/>
      <c r="Y334" s="2039"/>
      <c r="Z334" s="2039"/>
      <c r="AA334" s="2039"/>
      <c r="AB334" s="2039"/>
      <c r="AC334" s="89">
        <f>SUM(Q334,R334,S334)</f>
        <v>0</v>
      </c>
      <c r="AD334" s="89">
        <f>SUM(T334,U334,V334)</f>
        <v>0</v>
      </c>
      <c r="AE334" s="89">
        <f>SUM(W334,X334,Y334)</f>
        <v>0</v>
      </c>
      <c r="AF334" s="89">
        <f>SUM(Z334,AA334,AB334)</f>
        <v>0</v>
      </c>
      <c r="AG334" s="89">
        <f>AC334+AD334</f>
        <v>0</v>
      </c>
      <c r="AH334" s="89">
        <f>AF334+AE334</f>
        <v>0</v>
      </c>
      <c r="AI334" s="89">
        <f>AG334+AH334</f>
        <v>0</v>
      </c>
    </row>
    <row r="335" spans="1:35">
      <c r="A335" s="990">
        <v>320</v>
      </c>
      <c r="B335" s="990">
        <v>1</v>
      </c>
      <c r="C335" s="990">
        <v>335</v>
      </c>
      <c r="D335" s="1121" t="s">
        <v>999</v>
      </c>
      <c r="E335" s="1243">
        <v>1</v>
      </c>
      <c r="F335" s="5"/>
      <c r="G335" s="5"/>
      <c r="H335" s="5"/>
      <c r="I335" s="30"/>
      <c r="J335" s="4"/>
      <c r="K335" s="5"/>
      <c r="L335" s="5"/>
      <c r="M335" s="4" t="s">
        <v>13</v>
      </c>
      <c r="N335" s="4"/>
      <c r="O335" s="4"/>
      <c r="P335" s="29"/>
      <c r="Q335" s="2039"/>
      <c r="R335" s="2039">
        <v>384</v>
      </c>
      <c r="S335" s="2039"/>
      <c r="T335" s="2039">
        <v>1328</v>
      </c>
      <c r="U335" s="2039"/>
      <c r="V335" s="2039">
        <v>194</v>
      </c>
      <c r="W335" s="2039">
        <v>584</v>
      </c>
      <c r="X335" s="2039">
        <v>166</v>
      </c>
      <c r="Y335" s="2039">
        <v>353</v>
      </c>
      <c r="Z335" s="2039">
        <v>266</v>
      </c>
      <c r="AA335" s="2039">
        <v>72</v>
      </c>
      <c r="AB335" s="2039">
        <v>62</v>
      </c>
      <c r="AC335" s="89">
        <f>SUM(Q335,R335,S335)</f>
        <v>384</v>
      </c>
      <c r="AD335" s="89">
        <f>SUM(T335,U335,V335)</f>
        <v>1522</v>
      </c>
      <c r="AE335" s="89">
        <f>SUM(W335,X335,Y335)</f>
        <v>1103</v>
      </c>
      <c r="AF335" s="89">
        <f>SUM(Z335,AA335,AB335)</f>
        <v>400</v>
      </c>
      <c r="AG335" s="89">
        <f>AC335+AD335</f>
        <v>1906</v>
      </c>
      <c r="AH335" s="89">
        <f>AF335+AE335</f>
        <v>1503</v>
      </c>
      <c r="AI335" s="89">
        <f>AG335+AH335</f>
        <v>3409</v>
      </c>
    </row>
    <row r="336" spans="1:35">
      <c r="A336" s="990">
        <v>321</v>
      </c>
      <c r="B336" s="990">
        <v>289</v>
      </c>
      <c r="C336" s="990">
        <v>336</v>
      </c>
      <c r="D336" s="1121" t="s">
        <v>999</v>
      </c>
      <c r="E336" s="1296" t="s">
        <v>931</v>
      </c>
      <c r="F336" s="1297"/>
      <c r="G336" s="5"/>
      <c r="H336" s="5"/>
      <c r="I336" s="30"/>
      <c r="J336" s="4"/>
      <c r="K336" s="5"/>
      <c r="L336" s="5"/>
      <c r="M336" s="1144" t="s">
        <v>921</v>
      </c>
      <c r="N336" s="4"/>
      <c r="O336" s="4"/>
      <c r="P336" s="29"/>
      <c r="Q336" s="2039"/>
      <c r="R336" s="2776">
        <v>0</v>
      </c>
      <c r="S336" s="2776"/>
      <c r="T336" s="2776">
        <v>0</v>
      </c>
      <c r="U336" s="2776"/>
      <c r="V336" s="2776">
        <v>0</v>
      </c>
      <c r="W336" s="2776">
        <v>0</v>
      </c>
      <c r="X336" s="2776">
        <v>0</v>
      </c>
      <c r="Y336" s="2776">
        <v>0</v>
      </c>
      <c r="Z336" s="2039">
        <v>0</v>
      </c>
      <c r="AA336" s="2039"/>
      <c r="AB336" s="2039">
        <v>0</v>
      </c>
      <c r="AC336" s="89">
        <f>SUM(Q336,R336,S336)</f>
        <v>0</v>
      </c>
      <c r="AD336" s="89">
        <f>SUM(T336,U336,V336)</f>
        <v>0</v>
      </c>
      <c r="AE336" s="89">
        <f>SUM(W336,X336,Y336)</f>
        <v>0</v>
      </c>
      <c r="AF336" s="89">
        <f>SUM(Z336,AA336,AB336)</f>
        <v>0</v>
      </c>
      <c r="AG336" s="89">
        <f>AC336+AD336</f>
        <v>0</v>
      </c>
      <c r="AH336" s="89">
        <f>AF336+AE336</f>
        <v>0</v>
      </c>
      <c r="AI336" s="89">
        <f>AG336+AH336</f>
        <v>0</v>
      </c>
    </row>
    <row r="337" spans="1:36">
      <c r="A337" s="990">
        <v>322</v>
      </c>
      <c r="B337" s="990">
        <v>1</v>
      </c>
      <c r="C337" s="990">
        <v>337</v>
      </c>
      <c r="D337" s="1121" t="s">
        <v>999</v>
      </c>
      <c r="E337" s="1243">
        <v>1</v>
      </c>
      <c r="F337" s="5"/>
      <c r="G337" s="5"/>
      <c r="H337" s="5"/>
      <c r="I337" s="30"/>
      <c r="J337" s="4"/>
      <c r="K337" s="5"/>
      <c r="L337" s="5"/>
      <c r="M337" s="4" t="s">
        <v>275</v>
      </c>
      <c r="N337" s="4"/>
      <c r="O337" s="4"/>
      <c r="P337" s="29"/>
      <c r="Q337" s="2039">
        <v>1597</v>
      </c>
      <c r="R337" s="2039">
        <v>1131</v>
      </c>
      <c r="S337" s="2039">
        <v>1262</v>
      </c>
      <c r="T337" s="2039">
        <v>1472</v>
      </c>
      <c r="U337" s="2039">
        <v>2424</v>
      </c>
      <c r="V337" s="2039">
        <v>1241</v>
      </c>
      <c r="W337" s="2039">
        <v>866</v>
      </c>
      <c r="X337" s="2039">
        <v>1872</v>
      </c>
      <c r="Y337" s="2039">
        <v>2731</v>
      </c>
      <c r="Z337" s="2039">
        <v>1509</v>
      </c>
      <c r="AA337" s="2039">
        <v>1524</v>
      </c>
      <c r="AB337" s="2039">
        <v>1294</v>
      </c>
      <c r="AC337" s="89">
        <f>SUM(Q337,R337,S337)</f>
        <v>3990</v>
      </c>
      <c r="AD337" s="89">
        <f>SUM(T337,U337,V337)</f>
        <v>5137</v>
      </c>
      <c r="AE337" s="89">
        <f>SUM(W337,X337,Y337)</f>
        <v>5469</v>
      </c>
      <c r="AF337" s="89">
        <f>SUM(Z337,AA337,AB337)</f>
        <v>4327</v>
      </c>
      <c r="AG337" s="89">
        <f>AC337+AD337</f>
        <v>9127</v>
      </c>
      <c r="AH337" s="89">
        <f>AF337+AE337</f>
        <v>9796</v>
      </c>
      <c r="AI337" s="89">
        <f>AG337+AH337</f>
        <v>18923</v>
      </c>
    </row>
    <row r="338" spans="1:36">
      <c r="A338" s="990">
        <v>323</v>
      </c>
      <c r="B338" s="990">
        <v>290</v>
      </c>
      <c r="C338" s="990">
        <v>338</v>
      </c>
      <c r="D338" s="1121" t="s">
        <v>999</v>
      </c>
      <c r="E338" s="1243">
        <v>1</v>
      </c>
      <c r="F338" s="5"/>
      <c r="G338" s="5"/>
      <c r="H338" s="5"/>
      <c r="I338" s="409" t="s">
        <v>134</v>
      </c>
      <c r="J338" s="789"/>
      <c r="K338" s="580"/>
      <c r="L338" s="580"/>
      <c r="M338" s="580"/>
      <c r="N338" s="580"/>
      <c r="O338" s="580"/>
      <c r="P338" s="1053"/>
      <c r="Q338" s="101">
        <f>SUM(Q345:Q349)</f>
        <v>1095</v>
      </c>
      <c r="R338" s="101">
        <f t="shared" ref="R338:AA338" si="276">SUM(R345:R349)</f>
        <v>-1942</v>
      </c>
      <c r="S338" s="101">
        <f t="shared" si="276"/>
        <v>1023</v>
      </c>
      <c r="T338" s="101">
        <f t="shared" si="276"/>
        <v>1790</v>
      </c>
      <c r="U338" s="101">
        <f t="shared" si="276"/>
        <v>1520</v>
      </c>
      <c r="V338" s="101">
        <f t="shared" si="276"/>
        <v>3942</v>
      </c>
      <c r="W338" s="101">
        <f t="shared" si="276"/>
        <v>708</v>
      </c>
      <c r="X338" s="101">
        <f t="shared" si="276"/>
        <v>1201</v>
      </c>
      <c r="Y338" s="101">
        <f t="shared" si="276"/>
        <v>1125</v>
      </c>
      <c r="Z338" s="101">
        <f t="shared" si="276"/>
        <v>825</v>
      </c>
      <c r="AA338" s="101">
        <f t="shared" si="276"/>
        <v>1103</v>
      </c>
      <c r="AB338" s="101">
        <f>SUM(AB345:AB349)</f>
        <v>864</v>
      </c>
      <c r="AC338" s="101">
        <f t="shared" ref="AC338:AI338" si="277">SUM(AC345:AC349)</f>
        <v>176</v>
      </c>
      <c r="AD338" s="101">
        <f t="shared" si="277"/>
        <v>7252</v>
      </c>
      <c r="AE338" s="101">
        <f t="shared" si="277"/>
        <v>3034</v>
      </c>
      <c r="AF338" s="101">
        <f t="shared" si="277"/>
        <v>2792</v>
      </c>
      <c r="AG338" s="101">
        <f t="shared" si="277"/>
        <v>7428</v>
      </c>
      <c r="AH338" s="101">
        <f t="shared" si="277"/>
        <v>5826</v>
      </c>
      <c r="AI338" s="101">
        <f t="shared" si="277"/>
        <v>13254</v>
      </c>
    </row>
    <row r="339" spans="1:36" ht="14.5">
      <c r="A339" s="990">
        <v>324</v>
      </c>
      <c r="B339" s="990">
        <v>291</v>
      </c>
      <c r="C339" s="990">
        <v>339</v>
      </c>
      <c r="D339" s="1121" t="s">
        <v>999</v>
      </c>
      <c r="E339" s="1243">
        <v>1</v>
      </c>
      <c r="F339" s="5"/>
      <c r="G339" s="5"/>
      <c r="H339" s="5"/>
      <c r="I339" s="30"/>
      <c r="J339" s="618" t="s">
        <v>135</v>
      </c>
      <c r="K339" s="5"/>
      <c r="L339" s="5"/>
      <c r="M339" s="5"/>
      <c r="N339" s="5"/>
      <c r="O339" s="587" t="s">
        <v>1027</v>
      </c>
      <c r="P339" s="91"/>
      <c r="Q339" s="622">
        <f>IFERROR(Q338/Q326,0)</f>
        <v>0.68566061365059483</v>
      </c>
      <c r="R339" s="622">
        <f t="shared" ref="R339:AI339" si="278">IFERROR(R338/R326,0)</f>
        <v>-1.281848184818482</v>
      </c>
      <c r="S339" s="622">
        <f t="shared" si="278"/>
        <v>0.81061806656101432</v>
      </c>
      <c r="T339" s="622">
        <f t="shared" si="278"/>
        <v>0.62587412587412583</v>
      </c>
      <c r="U339" s="622">
        <f t="shared" si="278"/>
        <v>0.6270627062706271</v>
      </c>
      <c r="V339" s="622">
        <f t="shared" si="278"/>
        <v>2.7470383275261323</v>
      </c>
      <c r="W339" s="622">
        <f t="shared" si="278"/>
        <v>0.4882758620689655</v>
      </c>
      <c r="X339" s="622">
        <f t="shared" si="278"/>
        <v>0.58930323846908739</v>
      </c>
      <c r="Y339" s="622">
        <f t="shared" si="278"/>
        <v>0.36478599221789881</v>
      </c>
      <c r="Z339" s="622">
        <f t="shared" si="278"/>
        <v>0.46478873239436619</v>
      </c>
      <c r="AA339" s="622">
        <f t="shared" si="278"/>
        <v>0.69110275689223055</v>
      </c>
      <c r="AB339" s="622">
        <f t="shared" si="278"/>
        <v>0.63716814159292035</v>
      </c>
      <c r="AC339" s="622">
        <f t="shared" si="278"/>
        <v>4.0237768632830365E-2</v>
      </c>
      <c r="AD339" s="622">
        <f t="shared" si="278"/>
        <v>1.079327280845364</v>
      </c>
      <c r="AE339" s="622">
        <f t="shared" si="278"/>
        <v>0.46165550821667684</v>
      </c>
      <c r="AF339" s="622">
        <f t="shared" si="278"/>
        <v>0.5906494605458007</v>
      </c>
      <c r="AG339" s="622">
        <f t="shared" si="278"/>
        <v>0.66961146669070581</v>
      </c>
      <c r="AH339" s="622">
        <f t="shared" si="278"/>
        <v>0.51562085140277902</v>
      </c>
      <c r="AI339" s="622">
        <f t="shared" si="278"/>
        <v>0.59190782422293675</v>
      </c>
      <c r="AJ339" s="619"/>
    </row>
    <row r="340" spans="1:36" s="619" customFormat="1" ht="14.5" hidden="1" outlineLevel="1">
      <c r="A340" s="990">
        <v>325</v>
      </c>
      <c r="B340" s="990">
        <v>1</v>
      </c>
      <c r="C340" s="990">
        <v>340</v>
      </c>
      <c r="D340" s="1121" t="s">
        <v>999</v>
      </c>
      <c r="E340" s="1243">
        <v>1</v>
      </c>
      <c r="F340" s="5"/>
      <c r="G340" s="5"/>
      <c r="H340" s="616"/>
      <c r="I340" s="617"/>
      <c r="J340" s="620"/>
      <c r="K340" s="616"/>
      <c r="L340" s="616"/>
      <c r="M340" s="618" t="s">
        <v>1064</v>
      </c>
      <c r="N340" s="620"/>
      <c r="O340" s="620"/>
      <c r="P340" s="1168"/>
      <c r="Q340" s="621">
        <f>IFERROR(Q345/Q327,0)</f>
        <v>0</v>
      </c>
      <c r="R340" s="621">
        <f t="shared" ref="R340:AI344" si="279">IFERROR(R345/R327,0)</f>
        <v>0</v>
      </c>
      <c r="S340" s="621">
        <f t="shared" si="279"/>
        <v>0</v>
      </c>
      <c r="T340" s="621">
        <f t="shared" si="279"/>
        <v>0.71666666666666667</v>
      </c>
      <c r="U340" s="621">
        <f t="shared" si="279"/>
        <v>0</v>
      </c>
      <c r="V340" s="621">
        <f t="shared" si="279"/>
        <v>0</v>
      </c>
      <c r="W340" s="621">
        <f t="shared" si="279"/>
        <v>0</v>
      </c>
      <c r="X340" s="621">
        <f t="shared" si="279"/>
        <v>0</v>
      </c>
      <c r="Y340" s="621">
        <f t="shared" si="279"/>
        <v>0</v>
      </c>
      <c r="Z340" s="621">
        <f t="shared" si="279"/>
        <v>0</v>
      </c>
      <c r="AA340" s="621">
        <f t="shared" si="279"/>
        <v>0</v>
      </c>
      <c r="AB340" s="621">
        <f t="shared" si="279"/>
        <v>0</v>
      </c>
      <c r="AC340" s="621">
        <f t="shared" si="279"/>
        <v>0</v>
      </c>
      <c r="AD340" s="621">
        <f t="shared" si="279"/>
        <v>0.71666666666666667</v>
      </c>
      <c r="AE340" s="621">
        <f t="shared" si="279"/>
        <v>0</v>
      </c>
      <c r="AF340" s="621">
        <f t="shared" si="279"/>
        <v>0</v>
      </c>
      <c r="AG340" s="621">
        <f t="shared" si="279"/>
        <v>0.71666666666666667</v>
      </c>
      <c r="AH340" s="621">
        <f t="shared" si="279"/>
        <v>0</v>
      </c>
      <c r="AI340" s="621">
        <f t="shared" si="279"/>
        <v>0.71666666666666667</v>
      </c>
    </row>
    <row r="341" spans="1:36" s="619" customFormat="1" ht="14.5" hidden="1" outlineLevel="1">
      <c r="A341" s="990">
        <v>1</v>
      </c>
      <c r="B341" s="990">
        <v>292</v>
      </c>
      <c r="C341" s="990">
        <v>341</v>
      </c>
      <c r="D341" s="1121" t="s">
        <v>999</v>
      </c>
      <c r="E341" s="1294" t="s">
        <v>931</v>
      </c>
      <c r="F341" s="1295"/>
      <c r="G341" s="1241"/>
      <c r="H341" s="616"/>
      <c r="I341" s="617"/>
      <c r="J341" s="620"/>
      <c r="K341" s="616"/>
      <c r="L341" s="616"/>
      <c r="M341" s="1235" t="s">
        <v>1065</v>
      </c>
      <c r="N341" s="620"/>
      <c r="O341" s="620"/>
      <c r="P341" s="1168"/>
      <c r="Q341" s="621">
        <f>IFERROR(Q346/Q328,0)</f>
        <v>0</v>
      </c>
      <c r="R341" s="621">
        <f t="shared" si="279"/>
        <v>0</v>
      </c>
      <c r="S341" s="621">
        <f t="shared" si="279"/>
        <v>0</v>
      </c>
      <c r="T341" s="621">
        <f t="shared" si="279"/>
        <v>0</v>
      </c>
      <c r="U341" s="621">
        <f t="shared" si="279"/>
        <v>0</v>
      </c>
      <c r="V341" s="621">
        <f t="shared" si="279"/>
        <v>0</v>
      </c>
      <c r="W341" s="621">
        <f t="shared" si="279"/>
        <v>0</v>
      </c>
      <c r="X341" s="621">
        <f t="shared" si="279"/>
        <v>0</v>
      </c>
      <c r="Y341" s="621">
        <f t="shared" si="279"/>
        <v>0</v>
      </c>
      <c r="Z341" s="621">
        <f t="shared" si="279"/>
        <v>0</v>
      </c>
      <c r="AA341" s="621">
        <f t="shared" si="279"/>
        <v>0</v>
      </c>
      <c r="AB341" s="621">
        <f t="shared" si="279"/>
        <v>0</v>
      </c>
      <c r="AC341" s="621">
        <f t="shared" si="279"/>
        <v>0</v>
      </c>
      <c r="AD341" s="621">
        <f t="shared" si="279"/>
        <v>0</v>
      </c>
      <c r="AE341" s="621">
        <f t="shared" si="279"/>
        <v>0</v>
      </c>
      <c r="AF341" s="621">
        <f t="shared" si="279"/>
        <v>0</v>
      </c>
      <c r="AG341" s="621">
        <f t="shared" si="279"/>
        <v>0</v>
      </c>
      <c r="AH341" s="621">
        <f t="shared" si="279"/>
        <v>0</v>
      </c>
      <c r="AI341" s="621">
        <f t="shared" si="279"/>
        <v>0</v>
      </c>
    </row>
    <row r="342" spans="1:36" s="619" customFormat="1" ht="14.5" hidden="1" outlineLevel="1">
      <c r="A342" s="990">
        <v>326</v>
      </c>
      <c r="B342" s="990">
        <v>1</v>
      </c>
      <c r="C342" s="990">
        <v>342</v>
      </c>
      <c r="D342" s="1121" t="s">
        <v>999</v>
      </c>
      <c r="E342" s="1243">
        <v>1</v>
      </c>
      <c r="F342" s="5"/>
      <c r="G342" s="5"/>
      <c r="H342" s="616"/>
      <c r="I342" s="617"/>
      <c r="J342" s="620"/>
      <c r="K342" s="616"/>
      <c r="L342" s="616"/>
      <c r="M342" s="618" t="s">
        <v>1066</v>
      </c>
      <c r="N342" s="620"/>
      <c r="O342" s="620"/>
      <c r="P342" s="1168"/>
      <c r="Q342" s="621">
        <f>IFERROR(Q347/Q329,0)</f>
        <v>0</v>
      </c>
      <c r="R342" s="621">
        <f t="shared" si="279"/>
        <v>0.63020833333333337</v>
      </c>
      <c r="S342" s="621">
        <f t="shared" si="279"/>
        <v>0</v>
      </c>
      <c r="T342" s="621">
        <f t="shared" si="279"/>
        <v>0.64457831325301207</v>
      </c>
      <c r="U342" s="621">
        <f t="shared" si="279"/>
        <v>0</v>
      </c>
      <c r="V342" s="621">
        <f t="shared" si="279"/>
        <v>0.95876288659793818</v>
      </c>
      <c r="W342" s="621">
        <f t="shared" si="279"/>
        <v>0.9571917808219178</v>
      </c>
      <c r="X342" s="621">
        <f t="shared" si="279"/>
        <v>1.0060240963855422</v>
      </c>
      <c r="Y342" s="621">
        <f t="shared" si="279"/>
        <v>0.84702549575070818</v>
      </c>
      <c r="Z342" s="621">
        <f t="shared" si="279"/>
        <v>0.85338345864661658</v>
      </c>
      <c r="AA342" s="621">
        <f t="shared" si="279"/>
        <v>0.88888888888888884</v>
      </c>
      <c r="AB342" s="621">
        <f t="shared" si="279"/>
        <v>0.95161290322580649</v>
      </c>
      <c r="AC342" s="621">
        <f t="shared" si="279"/>
        <v>0.63020833333333337</v>
      </c>
      <c r="AD342" s="621">
        <f t="shared" si="279"/>
        <v>0.68462549277266749</v>
      </c>
      <c r="AE342" s="621">
        <f t="shared" si="279"/>
        <v>0.929283771532185</v>
      </c>
      <c r="AF342" s="621">
        <f t="shared" si="279"/>
        <v>0.875</v>
      </c>
      <c r="AG342" s="621">
        <f t="shared" si="279"/>
        <v>0.67366211962224554</v>
      </c>
      <c r="AH342" s="621">
        <f t="shared" si="279"/>
        <v>0.91483699268130403</v>
      </c>
      <c r="AI342" s="621">
        <f t="shared" si="279"/>
        <v>0.77999413317688471</v>
      </c>
    </row>
    <row r="343" spans="1:36" s="619" customFormat="1" ht="14.5" hidden="1" outlineLevel="1">
      <c r="A343" s="990">
        <v>327</v>
      </c>
      <c r="B343" s="990">
        <v>293</v>
      </c>
      <c r="C343" s="990">
        <v>343</v>
      </c>
      <c r="D343" s="1121" t="s">
        <v>999</v>
      </c>
      <c r="E343" s="1296" t="s">
        <v>931</v>
      </c>
      <c r="F343" s="1297"/>
      <c r="G343" s="5"/>
      <c r="H343" s="616"/>
      <c r="I343" s="617"/>
      <c r="J343" s="620"/>
      <c r="K343" s="616"/>
      <c r="L343" s="616"/>
      <c r="M343" s="1235" t="s">
        <v>1067</v>
      </c>
      <c r="N343" s="620"/>
      <c r="O343" s="620"/>
      <c r="P343" s="1168"/>
      <c r="Q343" s="621">
        <f>IFERROR(Q348/Q330,0)</f>
        <v>0</v>
      </c>
      <c r="R343" s="621">
        <f t="shared" si="279"/>
        <v>0</v>
      </c>
      <c r="S343" s="621">
        <f t="shared" si="279"/>
        <v>0</v>
      </c>
      <c r="T343" s="621">
        <f t="shared" si="279"/>
        <v>0</v>
      </c>
      <c r="U343" s="621">
        <f t="shared" si="279"/>
        <v>0</v>
      </c>
      <c r="V343" s="621">
        <f t="shared" si="279"/>
        <v>0</v>
      </c>
      <c r="W343" s="621">
        <f t="shared" si="279"/>
        <v>0</v>
      </c>
      <c r="X343" s="621">
        <f t="shared" si="279"/>
        <v>0</v>
      </c>
      <c r="Y343" s="621">
        <f t="shared" si="279"/>
        <v>0</v>
      </c>
      <c r="Z343" s="621">
        <f t="shared" si="279"/>
        <v>0</v>
      </c>
      <c r="AA343" s="621">
        <f t="shared" si="279"/>
        <v>0</v>
      </c>
      <c r="AB343" s="621">
        <f t="shared" si="279"/>
        <v>0</v>
      </c>
      <c r="AC343" s="621">
        <f t="shared" si="279"/>
        <v>0</v>
      </c>
      <c r="AD343" s="621">
        <f t="shared" si="279"/>
        <v>0</v>
      </c>
      <c r="AE343" s="621">
        <f t="shared" si="279"/>
        <v>0</v>
      </c>
      <c r="AF343" s="621">
        <f t="shared" si="279"/>
        <v>0</v>
      </c>
      <c r="AG343" s="621">
        <f t="shared" si="279"/>
        <v>0</v>
      </c>
      <c r="AH343" s="621">
        <f t="shared" si="279"/>
        <v>0</v>
      </c>
      <c r="AI343" s="621">
        <f t="shared" si="279"/>
        <v>0</v>
      </c>
    </row>
    <row r="344" spans="1:36" s="619" customFormat="1" ht="14.5" hidden="1" outlineLevel="1">
      <c r="A344" s="990">
        <v>328</v>
      </c>
      <c r="B344" s="990">
        <v>1</v>
      </c>
      <c r="C344" s="990">
        <v>344</v>
      </c>
      <c r="D344" s="1121" t="s">
        <v>999</v>
      </c>
      <c r="E344" s="1243">
        <v>1</v>
      </c>
      <c r="F344" s="5"/>
      <c r="G344" s="5"/>
      <c r="H344" s="616"/>
      <c r="I344" s="617"/>
      <c r="J344" s="620"/>
      <c r="K344" s="616"/>
      <c r="L344" s="616"/>
      <c r="M344" s="618" t="s">
        <v>1068</v>
      </c>
      <c r="N344" s="620"/>
      <c r="O344" s="620"/>
      <c r="P344" s="1168"/>
      <c r="Q344" s="621">
        <f>IFERROR(Q349/Q331,0)</f>
        <v>0.68566061365059483</v>
      </c>
      <c r="R344" s="621">
        <f t="shared" si="279"/>
        <v>-1.9310344827586208</v>
      </c>
      <c r="S344" s="621">
        <f t="shared" si="279"/>
        <v>0.81061806656101432</v>
      </c>
      <c r="T344" s="621">
        <f t="shared" si="279"/>
        <v>0.60529891304347827</v>
      </c>
      <c r="U344" s="621">
        <f t="shared" si="279"/>
        <v>0.6270627062706271</v>
      </c>
      <c r="V344" s="621">
        <f t="shared" si="279"/>
        <v>3.0265914585012088</v>
      </c>
      <c r="W344" s="621">
        <f t="shared" si="279"/>
        <v>0.17205542725173209</v>
      </c>
      <c r="X344" s="621">
        <f t="shared" si="279"/>
        <v>0.55235042735042739</v>
      </c>
      <c r="Y344" s="621">
        <f t="shared" si="279"/>
        <v>0.30245331380446722</v>
      </c>
      <c r="Z344" s="621">
        <f t="shared" si="279"/>
        <v>0.39628893306825713</v>
      </c>
      <c r="AA344" s="621">
        <f t="shared" si="279"/>
        <v>0.68175853018372701</v>
      </c>
      <c r="AB344" s="621">
        <f t="shared" si="279"/>
        <v>0.62210200927357029</v>
      </c>
      <c r="AC344" s="621">
        <f t="shared" si="279"/>
        <v>-1.6541353383458645E-2</v>
      </c>
      <c r="AD344" s="621">
        <f t="shared" si="279"/>
        <v>1.2005061319836481</v>
      </c>
      <c r="AE344" s="621">
        <f t="shared" si="279"/>
        <v>0.36734320716767233</v>
      </c>
      <c r="AF344" s="621">
        <f t="shared" si="279"/>
        <v>0.5643633002079963</v>
      </c>
      <c r="AG344" s="621">
        <f t="shared" si="279"/>
        <v>0.66845622877177602</v>
      </c>
      <c r="AH344" s="621">
        <f t="shared" si="279"/>
        <v>0.45436913025724784</v>
      </c>
      <c r="AI344" s="621">
        <f t="shared" si="279"/>
        <v>0.55762828304180101</v>
      </c>
    </row>
    <row r="345" spans="1:36" collapsed="1">
      <c r="A345" s="990">
        <v>329</v>
      </c>
      <c r="B345" s="990">
        <v>1</v>
      </c>
      <c r="C345" s="990">
        <v>345</v>
      </c>
      <c r="D345" s="1121" t="s">
        <v>999</v>
      </c>
      <c r="E345" s="1243">
        <v>1</v>
      </c>
      <c r="F345" s="5"/>
      <c r="G345" s="5"/>
      <c r="H345" s="5"/>
      <c r="I345" s="30"/>
      <c r="J345" s="4"/>
      <c r="K345" s="5"/>
      <c r="L345" s="5"/>
      <c r="M345" s="4" t="s">
        <v>12</v>
      </c>
      <c r="N345" s="4"/>
      <c r="O345" s="4"/>
      <c r="P345" s="29"/>
      <c r="Q345" s="89">
        <f>Q724+Q750</f>
        <v>0</v>
      </c>
      <c r="R345" s="89">
        <f t="shared" ref="R345:AB345" si="280">R724+R750</f>
        <v>0</v>
      </c>
      <c r="S345" s="89">
        <f t="shared" si="280"/>
        <v>0</v>
      </c>
      <c r="T345" s="89">
        <f t="shared" si="280"/>
        <v>43</v>
      </c>
      <c r="U345" s="89">
        <f t="shared" si="280"/>
        <v>0</v>
      </c>
      <c r="V345" s="89">
        <f t="shared" si="280"/>
        <v>0</v>
      </c>
      <c r="W345" s="89">
        <f t="shared" si="280"/>
        <v>0</v>
      </c>
      <c r="X345" s="89">
        <f t="shared" si="280"/>
        <v>0</v>
      </c>
      <c r="Y345" s="89">
        <f t="shared" si="280"/>
        <v>0</v>
      </c>
      <c r="Z345" s="89">
        <f t="shared" si="280"/>
        <v>0</v>
      </c>
      <c r="AA345" s="89">
        <f t="shared" si="280"/>
        <v>0</v>
      </c>
      <c r="AB345" s="89">
        <f t="shared" si="280"/>
        <v>0</v>
      </c>
      <c r="AC345" s="89">
        <f>SUM(Q345,R345,S345)</f>
        <v>0</v>
      </c>
      <c r="AD345" s="89">
        <f>SUM(T345,U345,V345)</f>
        <v>43</v>
      </c>
      <c r="AE345" s="89">
        <f>SUM(W345,X345,Y345)</f>
        <v>0</v>
      </c>
      <c r="AF345" s="89">
        <f>SUM(Z345,AA345,AB345)</f>
        <v>0</v>
      </c>
      <c r="AG345" s="89">
        <f>AC345+AD345</f>
        <v>43</v>
      </c>
      <c r="AH345" s="89">
        <f>AF345+AE345</f>
        <v>0</v>
      </c>
      <c r="AI345" s="89">
        <f>AG345+AH345</f>
        <v>43</v>
      </c>
    </row>
    <row r="346" spans="1:36">
      <c r="A346" s="990">
        <v>1</v>
      </c>
      <c r="B346" s="990">
        <v>294</v>
      </c>
      <c r="C346" s="990">
        <v>346</v>
      </c>
      <c r="D346" s="1121" t="s">
        <v>999</v>
      </c>
      <c r="E346" s="1294" t="s">
        <v>931</v>
      </c>
      <c r="F346" s="1295"/>
      <c r="G346" s="1241"/>
      <c r="H346" s="5"/>
      <c r="I346" s="30"/>
      <c r="J346" s="4"/>
      <c r="K346" s="5"/>
      <c r="L346" s="5"/>
      <c r="M346" s="1144" t="s">
        <v>693</v>
      </c>
      <c r="N346" s="4"/>
      <c r="O346" s="4"/>
      <c r="P346" s="29"/>
      <c r="Q346" s="89">
        <f>Q729+Q751</f>
        <v>0</v>
      </c>
      <c r="R346" s="89">
        <f t="shared" ref="R346:AB346" si="281">R729+R751</f>
        <v>0</v>
      </c>
      <c r="S346" s="89">
        <f t="shared" si="281"/>
        <v>0</v>
      </c>
      <c r="T346" s="89">
        <f t="shared" si="281"/>
        <v>0</v>
      </c>
      <c r="U346" s="89">
        <f t="shared" si="281"/>
        <v>0</v>
      </c>
      <c r="V346" s="89">
        <f t="shared" si="281"/>
        <v>0</v>
      </c>
      <c r="W346" s="89">
        <f t="shared" si="281"/>
        <v>0</v>
      </c>
      <c r="X346" s="89">
        <f t="shared" si="281"/>
        <v>0</v>
      </c>
      <c r="Y346" s="89">
        <f t="shared" si="281"/>
        <v>0</v>
      </c>
      <c r="Z346" s="89">
        <f t="shared" si="281"/>
        <v>0</v>
      </c>
      <c r="AA346" s="89">
        <f t="shared" si="281"/>
        <v>0</v>
      </c>
      <c r="AB346" s="89">
        <f t="shared" si="281"/>
        <v>0</v>
      </c>
      <c r="AC346" s="89">
        <f>SUM(Q346,R346,S346)</f>
        <v>0</v>
      </c>
      <c r="AD346" s="89">
        <f>SUM(T346,U346,V346)</f>
        <v>0</v>
      </c>
      <c r="AE346" s="89">
        <f>SUM(W346,X346,Y346)</f>
        <v>0</v>
      </c>
      <c r="AF346" s="89">
        <f>SUM(Z346,AA346,AB346)</f>
        <v>0</v>
      </c>
      <c r="AG346" s="89">
        <f>AC346+AD346</f>
        <v>0</v>
      </c>
      <c r="AH346" s="89">
        <f>AF346+AE346</f>
        <v>0</v>
      </c>
      <c r="AI346" s="89">
        <f>AG346+AH346</f>
        <v>0</v>
      </c>
    </row>
    <row r="347" spans="1:36">
      <c r="A347" s="990">
        <v>330</v>
      </c>
      <c r="B347" s="990">
        <v>1</v>
      </c>
      <c r="C347" s="990">
        <v>347</v>
      </c>
      <c r="D347" s="1121" t="s">
        <v>999</v>
      </c>
      <c r="E347" s="1243">
        <v>1</v>
      </c>
      <c r="F347" s="5"/>
      <c r="G347" s="5"/>
      <c r="H347" s="5"/>
      <c r="I347" s="30"/>
      <c r="J347" s="4"/>
      <c r="K347" s="5"/>
      <c r="L347" s="5"/>
      <c r="M347" s="4" t="s">
        <v>13</v>
      </c>
      <c r="N347" s="4"/>
      <c r="O347" s="4"/>
      <c r="P347" s="29"/>
      <c r="Q347" s="89">
        <f>Q734+Q752</f>
        <v>0</v>
      </c>
      <c r="R347" s="89">
        <f t="shared" ref="R347:AB347" si="282">R734+R752</f>
        <v>242</v>
      </c>
      <c r="S347" s="89">
        <f t="shared" si="282"/>
        <v>0</v>
      </c>
      <c r="T347" s="89">
        <f t="shared" si="282"/>
        <v>856</v>
      </c>
      <c r="U347" s="89">
        <f t="shared" si="282"/>
        <v>0</v>
      </c>
      <c r="V347" s="89">
        <f t="shared" si="282"/>
        <v>186</v>
      </c>
      <c r="W347" s="89">
        <f t="shared" si="282"/>
        <v>559</v>
      </c>
      <c r="X347" s="89">
        <f t="shared" si="282"/>
        <v>167</v>
      </c>
      <c r="Y347" s="89">
        <f t="shared" si="282"/>
        <v>299</v>
      </c>
      <c r="Z347" s="89">
        <f t="shared" si="282"/>
        <v>227</v>
      </c>
      <c r="AA347" s="89">
        <f t="shared" si="282"/>
        <v>64</v>
      </c>
      <c r="AB347" s="89">
        <f t="shared" si="282"/>
        <v>59</v>
      </c>
      <c r="AC347" s="89">
        <f>SUM(Q347,R347,S347)</f>
        <v>242</v>
      </c>
      <c r="AD347" s="89">
        <f>SUM(T347,U347,V347)</f>
        <v>1042</v>
      </c>
      <c r="AE347" s="89">
        <f>SUM(W347,X347,Y347)</f>
        <v>1025</v>
      </c>
      <c r="AF347" s="89">
        <f>SUM(Z347,AA347,AB347)</f>
        <v>350</v>
      </c>
      <c r="AG347" s="89">
        <f>AC347+AD347</f>
        <v>1284</v>
      </c>
      <c r="AH347" s="89">
        <f>AF347+AE347</f>
        <v>1375</v>
      </c>
      <c r="AI347" s="89">
        <f>AG347+AH347</f>
        <v>2659</v>
      </c>
    </row>
    <row r="348" spans="1:36">
      <c r="A348" s="990">
        <v>331</v>
      </c>
      <c r="B348" s="990">
        <v>295</v>
      </c>
      <c r="C348" s="990">
        <v>348</v>
      </c>
      <c r="D348" s="1121" t="s">
        <v>999</v>
      </c>
      <c r="E348" s="1296" t="s">
        <v>931</v>
      </c>
      <c r="F348" s="1297"/>
      <c r="G348" s="5"/>
      <c r="H348" s="5"/>
      <c r="I348" s="30"/>
      <c r="J348" s="4"/>
      <c r="K348" s="5"/>
      <c r="L348" s="5"/>
      <c r="M348" s="1144" t="s">
        <v>921</v>
      </c>
      <c r="N348" s="4"/>
      <c r="O348" s="4"/>
      <c r="P348" s="29"/>
      <c r="Q348" s="89">
        <f>Q739+Q753</f>
        <v>0</v>
      </c>
      <c r="R348" s="89">
        <f t="shared" ref="R348:AB348" si="283">R739+R753</f>
        <v>0</v>
      </c>
      <c r="S348" s="89">
        <f t="shared" si="283"/>
        <v>0</v>
      </c>
      <c r="T348" s="89">
        <f t="shared" si="283"/>
        <v>0</v>
      </c>
      <c r="U348" s="89">
        <f t="shared" si="283"/>
        <v>0</v>
      </c>
      <c r="V348" s="89">
        <f t="shared" si="283"/>
        <v>0</v>
      </c>
      <c r="W348" s="89">
        <f t="shared" si="283"/>
        <v>0</v>
      </c>
      <c r="X348" s="89">
        <f t="shared" si="283"/>
        <v>0</v>
      </c>
      <c r="Y348" s="89">
        <f t="shared" si="283"/>
        <v>0</v>
      </c>
      <c r="Z348" s="89">
        <f t="shared" si="283"/>
        <v>0</v>
      </c>
      <c r="AA348" s="89">
        <f t="shared" si="283"/>
        <v>0</v>
      </c>
      <c r="AB348" s="89">
        <f t="shared" si="283"/>
        <v>0</v>
      </c>
      <c r="AC348" s="89">
        <f>SUM(Q348,R348,S348)</f>
        <v>0</v>
      </c>
      <c r="AD348" s="89">
        <f>SUM(T348,U348,V348)</f>
        <v>0</v>
      </c>
      <c r="AE348" s="89">
        <f>SUM(W348,X348,Y348)</f>
        <v>0</v>
      </c>
      <c r="AF348" s="89">
        <f>SUM(Z348,AA348,AB348)</f>
        <v>0</v>
      </c>
      <c r="AG348" s="89">
        <f>AC348+AD348</f>
        <v>0</v>
      </c>
      <c r="AH348" s="89">
        <f>AF348+AE348</f>
        <v>0</v>
      </c>
      <c r="AI348" s="89">
        <f>AG348+AH348</f>
        <v>0</v>
      </c>
    </row>
    <row r="349" spans="1:36">
      <c r="A349" s="990">
        <v>332</v>
      </c>
      <c r="B349" s="990">
        <v>1</v>
      </c>
      <c r="C349" s="990">
        <v>349</v>
      </c>
      <c r="D349" s="1121" t="s">
        <v>999</v>
      </c>
      <c r="E349" s="1243">
        <v>1</v>
      </c>
      <c r="F349" s="5"/>
      <c r="G349" s="5"/>
      <c r="H349" s="5"/>
      <c r="I349" s="30"/>
      <c r="J349" s="4"/>
      <c r="K349" s="5"/>
      <c r="L349" s="5"/>
      <c r="M349" s="4" t="s">
        <v>275</v>
      </c>
      <c r="N349" s="4"/>
      <c r="O349" s="4"/>
      <c r="P349" s="29"/>
      <c r="Q349" s="89">
        <f>Q744+Q754</f>
        <v>1095</v>
      </c>
      <c r="R349" s="89">
        <f t="shared" ref="R349:AB349" si="284">R744+R754</f>
        <v>-2184</v>
      </c>
      <c r="S349" s="89">
        <f t="shared" si="284"/>
        <v>1023</v>
      </c>
      <c r="T349" s="89">
        <f t="shared" si="284"/>
        <v>891</v>
      </c>
      <c r="U349" s="89">
        <f t="shared" si="284"/>
        <v>1520</v>
      </c>
      <c r="V349" s="89">
        <f t="shared" si="284"/>
        <v>3756</v>
      </c>
      <c r="W349" s="89">
        <f t="shared" si="284"/>
        <v>149</v>
      </c>
      <c r="X349" s="89">
        <f t="shared" si="284"/>
        <v>1034</v>
      </c>
      <c r="Y349" s="89">
        <f t="shared" si="284"/>
        <v>826</v>
      </c>
      <c r="Z349" s="89">
        <f t="shared" si="284"/>
        <v>598</v>
      </c>
      <c r="AA349" s="89">
        <f t="shared" si="284"/>
        <v>1039</v>
      </c>
      <c r="AB349" s="89">
        <f t="shared" si="284"/>
        <v>805</v>
      </c>
      <c r="AC349" s="89">
        <f>SUM(Q349,R349,S349)</f>
        <v>-66</v>
      </c>
      <c r="AD349" s="89">
        <f>SUM(T349,U349,V349)</f>
        <v>6167</v>
      </c>
      <c r="AE349" s="89">
        <f>SUM(W349,X349,Y349)</f>
        <v>2009</v>
      </c>
      <c r="AF349" s="89">
        <f>SUM(Z349,AA349,AB349)</f>
        <v>2442</v>
      </c>
      <c r="AG349" s="89">
        <f>AC349+AD349</f>
        <v>6101</v>
      </c>
      <c r="AH349" s="89">
        <f>AF349+AE349</f>
        <v>4451</v>
      </c>
      <c r="AI349" s="89">
        <f>AG349+AH349</f>
        <v>10552</v>
      </c>
    </row>
    <row r="350" spans="1:36">
      <c r="A350" s="990">
        <v>333</v>
      </c>
      <c r="B350" s="990">
        <v>296</v>
      </c>
      <c r="C350" s="990">
        <v>350</v>
      </c>
      <c r="D350" s="1121" t="s">
        <v>999</v>
      </c>
      <c r="E350" s="1243">
        <v>1</v>
      </c>
      <c r="F350" s="5"/>
      <c r="G350" s="5"/>
      <c r="H350" s="5"/>
      <c r="I350" s="409" t="s">
        <v>97</v>
      </c>
      <c r="J350" s="580"/>
      <c r="K350" s="580"/>
      <c r="L350" s="580"/>
      <c r="M350" s="580"/>
      <c r="N350" s="580"/>
      <c r="O350" s="580"/>
      <c r="P350" s="1053"/>
      <c r="Q350" s="101">
        <f>SUM(Q351:Q352,Q357)</f>
        <v>624</v>
      </c>
      <c r="R350" s="101">
        <f t="shared" ref="R350:AI350" si="285">SUM(R351:R352,R357)</f>
        <v>597</v>
      </c>
      <c r="S350" s="101">
        <f t="shared" si="285"/>
        <v>437</v>
      </c>
      <c r="T350" s="101">
        <f t="shared" si="285"/>
        <v>696</v>
      </c>
      <c r="U350" s="101">
        <f t="shared" si="285"/>
        <v>852</v>
      </c>
      <c r="V350" s="101">
        <f t="shared" si="285"/>
        <v>377</v>
      </c>
      <c r="W350" s="101">
        <f t="shared" si="285"/>
        <v>697</v>
      </c>
      <c r="X350" s="101">
        <f t="shared" si="285"/>
        <v>1612</v>
      </c>
      <c r="Y350" s="101">
        <f t="shared" si="285"/>
        <v>2312</v>
      </c>
      <c r="Z350" s="101">
        <f t="shared" si="285"/>
        <v>1379</v>
      </c>
      <c r="AA350" s="101">
        <f t="shared" si="285"/>
        <v>1688</v>
      </c>
      <c r="AB350" s="101">
        <f t="shared" si="285"/>
        <v>2668.3843999999999</v>
      </c>
      <c r="AC350" s="101">
        <f t="shared" si="285"/>
        <v>1658</v>
      </c>
      <c r="AD350" s="101">
        <f t="shared" si="285"/>
        <v>1925</v>
      </c>
      <c r="AE350" s="101">
        <f t="shared" si="285"/>
        <v>4621</v>
      </c>
      <c r="AF350" s="101">
        <f t="shared" si="285"/>
        <v>5735.3843999999999</v>
      </c>
      <c r="AG350" s="101">
        <f t="shared" si="285"/>
        <v>3583</v>
      </c>
      <c r="AH350" s="101">
        <f t="shared" si="285"/>
        <v>10356.384399999999</v>
      </c>
      <c r="AI350" s="101">
        <f t="shared" si="285"/>
        <v>13939.384399999999</v>
      </c>
    </row>
    <row r="351" spans="1:36">
      <c r="A351" s="990">
        <v>334</v>
      </c>
      <c r="B351" s="990">
        <v>297</v>
      </c>
      <c r="C351" s="990">
        <v>351</v>
      </c>
      <c r="D351" s="1121" t="s">
        <v>999</v>
      </c>
      <c r="E351" s="1243">
        <v>1</v>
      </c>
      <c r="F351" s="5"/>
      <c r="G351" s="5"/>
      <c r="H351" s="5"/>
      <c r="I351" s="30"/>
      <c r="J351" s="123" t="s">
        <v>143</v>
      </c>
      <c r="K351" s="5"/>
      <c r="L351" s="5"/>
      <c r="M351" s="4"/>
      <c r="N351" s="4"/>
      <c r="O351" s="4"/>
      <c r="P351" s="29"/>
      <c r="Q351" s="2039">
        <v>0</v>
      </c>
      <c r="R351" s="2039">
        <v>0</v>
      </c>
      <c r="S351" s="2039">
        <v>0</v>
      </c>
      <c r="T351" s="2039">
        <v>0</v>
      </c>
      <c r="U351" s="2039">
        <v>247</v>
      </c>
      <c r="V351" s="2039">
        <v>0</v>
      </c>
      <c r="W351" s="2039">
        <v>136</v>
      </c>
      <c r="X351" s="2039">
        <v>415</v>
      </c>
      <c r="Y351" s="2039">
        <v>1126</v>
      </c>
      <c r="Z351" s="2039">
        <v>93</v>
      </c>
      <c r="AA351" s="2039">
        <v>140</v>
      </c>
      <c r="AB351" s="2039">
        <v>1193</v>
      </c>
      <c r="AC351" s="89">
        <f t="shared" ref="AC351:AC357" si="286">SUM(Q351,R351,S351)</f>
        <v>0</v>
      </c>
      <c r="AD351" s="89">
        <f t="shared" ref="AD351:AD357" si="287">SUM(T351,U351,V351)</f>
        <v>247</v>
      </c>
      <c r="AE351" s="89">
        <f t="shared" ref="AE351:AE357" si="288">SUM(W351,X351,Y351)</f>
        <v>1677</v>
      </c>
      <c r="AF351" s="89">
        <f t="shared" ref="AF351:AF357" si="289">SUM(Z351,AA351,AB351)</f>
        <v>1426</v>
      </c>
      <c r="AG351" s="89">
        <f t="shared" ref="AG351:AG357" si="290">AC351+AD351</f>
        <v>247</v>
      </c>
      <c r="AH351" s="89">
        <f t="shared" ref="AH351:AH357" si="291">AF351+AE351</f>
        <v>3103</v>
      </c>
      <c r="AI351" s="89">
        <f t="shared" ref="AI351:AI357" si="292">AG351+AH351</f>
        <v>3350</v>
      </c>
    </row>
    <row r="352" spans="1:36">
      <c r="A352" s="990">
        <v>335</v>
      </c>
      <c r="B352" s="990">
        <v>298</v>
      </c>
      <c r="C352" s="990">
        <v>352</v>
      </c>
      <c r="D352" s="1121" t="s">
        <v>999</v>
      </c>
      <c r="E352" s="1243">
        <v>1</v>
      </c>
      <c r="F352" s="5"/>
      <c r="G352" s="5"/>
      <c r="H352" s="5"/>
      <c r="I352" s="30"/>
      <c r="J352" s="1139" t="s">
        <v>96</v>
      </c>
      <c r="K352" s="1140"/>
      <c r="L352" s="1140"/>
      <c r="M352" s="1141"/>
      <c r="N352" s="1141"/>
      <c r="O352" s="1141"/>
      <c r="P352" s="1166"/>
      <c r="Q352" s="2174">
        <f>SUM(Q353:Q356)</f>
        <v>548</v>
      </c>
      <c r="R352" s="2174">
        <f t="shared" ref="R352:AB352" si="293">SUM(R353:R356)</f>
        <v>523</v>
      </c>
      <c r="S352" s="2174">
        <f t="shared" si="293"/>
        <v>538</v>
      </c>
      <c r="T352" s="2174">
        <f t="shared" si="293"/>
        <v>621</v>
      </c>
      <c r="U352" s="2174">
        <f t="shared" si="293"/>
        <v>530</v>
      </c>
      <c r="V352" s="2174">
        <f t="shared" si="293"/>
        <v>455</v>
      </c>
      <c r="W352" s="2174">
        <f t="shared" si="293"/>
        <v>479</v>
      </c>
      <c r="X352" s="2174">
        <f t="shared" si="293"/>
        <v>1115</v>
      </c>
      <c r="Y352" s="2174">
        <f t="shared" si="293"/>
        <v>1218</v>
      </c>
      <c r="Z352" s="2174">
        <f t="shared" si="293"/>
        <v>1219</v>
      </c>
      <c r="AA352" s="2174">
        <f t="shared" si="293"/>
        <v>1424</v>
      </c>
      <c r="AB352" s="2174">
        <f t="shared" si="293"/>
        <v>1416.3843999999999</v>
      </c>
      <c r="AC352" s="581">
        <f t="shared" si="286"/>
        <v>1609</v>
      </c>
      <c r="AD352" s="581">
        <f t="shared" si="287"/>
        <v>1606</v>
      </c>
      <c r="AE352" s="581">
        <f t="shared" si="288"/>
        <v>2812</v>
      </c>
      <c r="AF352" s="581">
        <f t="shared" si="289"/>
        <v>4059.3843999999999</v>
      </c>
      <c r="AG352" s="581">
        <f t="shared" si="290"/>
        <v>3215</v>
      </c>
      <c r="AH352" s="581">
        <f t="shared" si="291"/>
        <v>6871.3843999999999</v>
      </c>
      <c r="AI352" s="581">
        <f t="shared" si="292"/>
        <v>10086.384399999999</v>
      </c>
    </row>
    <row r="353" spans="1:36">
      <c r="A353" s="990">
        <v>1</v>
      </c>
      <c r="B353" s="990">
        <v>1</v>
      </c>
      <c r="C353" s="990">
        <v>353</v>
      </c>
      <c r="D353" s="1121" t="s">
        <v>999</v>
      </c>
      <c r="E353" s="1292" t="s">
        <v>1013</v>
      </c>
      <c r="F353" s="1298"/>
      <c r="G353" s="5"/>
      <c r="H353" s="5"/>
      <c r="I353" s="30"/>
      <c r="J353" s="1142"/>
      <c r="K353" s="5"/>
      <c r="L353" s="5"/>
      <c r="M353" s="1144" t="s">
        <v>899</v>
      </c>
      <c r="N353" s="4"/>
      <c r="O353" s="4"/>
      <c r="P353" s="29"/>
      <c r="Q353" s="2039"/>
      <c r="R353" s="2039"/>
      <c r="S353" s="2039"/>
      <c r="T353" s="2039"/>
      <c r="U353" s="2039"/>
      <c r="V353" s="2039"/>
      <c r="W353" s="2039"/>
      <c r="X353" s="2039"/>
      <c r="Y353" s="2039"/>
      <c r="Z353" s="2039"/>
      <c r="AA353" s="2039"/>
      <c r="AB353" s="2039"/>
      <c r="AC353" s="89">
        <f t="shared" si="286"/>
        <v>0</v>
      </c>
      <c r="AD353" s="89">
        <f t="shared" si="287"/>
        <v>0</v>
      </c>
      <c r="AE353" s="89">
        <f t="shared" si="288"/>
        <v>0</v>
      </c>
      <c r="AF353" s="89">
        <f t="shared" si="289"/>
        <v>0</v>
      </c>
      <c r="AG353" s="89">
        <f t="shared" si="290"/>
        <v>0</v>
      </c>
      <c r="AH353" s="89">
        <f t="shared" si="291"/>
        <v>0</v>
      </c>
      <c r="AI353" s="89">
        <f t="shared" si="292"/>
        <v>0</v>
      </c>
    </row>
    <row r="354" spans="1:36">
      <c r="A354" s="990">
        <v>1</v>
      </c>
      <c r="B354" s="990">
        <v>1</v>
      </c>
      <c r="C354" s="990">
        <v>354</v>
      </c>
      <c r="D354" s="1121" t="s">
        <v>999</v>
      </c>
      <c r="E354" s="1292" t="s">
        <v>1013</v>
      </c>
      <c r="F354" s="1298"/>
      <c r="G354" s="5"/>
      <c r="H354" s="5"/>
      <c r="I354" s="30"/>
      <c r="J354" s="1142"/>
      <c r="K354" s="5"/>
      <c r="L354" s="5"/>
      <c r="M354" s="1144" t="s">
        <v>900</v>
      </c>
      <c r="N354" s="4"/>
      <c r="O354" s="4"/>
      <c r="P354" s="29"/>
      <c r="Q354" s="2039"/>
      <c r="R354" s="2039"/>
      <c r="S354" s="2039"/>
      <c r="T354" s="2039"/>
      <c r="U354" s="2039"/>
      <c r="V354" s="2039"/>
      <c r="W354" s="2039"/>
      <c r="X354" s="2039">
        <v>544</v>
      </c>
      <c r="Y354" s="2039">
        <v>647</v>
      </c>
      <c r="Z354" s="2039">
        <v>648</v>
      </c>
      <c r="AA354" s="2039">
        <v>853</v>
      </c>
      <c r="AB354" s="2039">
        <v>845.38439999999991</v>
      </c>
      <c r="AC354" s="89">
        <f t="shared" si="286"/>
        <v>0</v>
      </c>
      <c r="AD354" s="89">
        <f t="shared" si="287"/>
        <v>0</v>
      </c>
      <c r="AE354" s="89">
        <f t="shared" si="288"/>
        <v>1191</v>
      </c>
      <c r="AF354" s="89">
        <f t="shared" si="289"/>
        <v>2346.3843999999999</v>
      </c>
      <c r="AG354" s="89">
        <f t="shared" si="290"/>
        <v>0</v>
      </c>
      <c r="AH354" s="89">
        <f t="shared" si="291"/>
        <v>3537.3843999999999</v>
      </c>
      <c r="AI354" s="89">
        <f t="shared" si="292"/>
        <v>3537.3843999999999</v>
      </c>
    </row>
    <row r="355" spans="1:36">
      <c r="A355" s="990">
        <v>1</v>
      </c>
      <c r="B355" s="990">
        <v>1</v>
      </c>
      <c r="C355" s="990">
        <v>355</v>
      </c>
      <c r="D355" s="1121" t="s">
        <v>999</v>
      </c>
      <c r="E355" s="1292" t="s">
        <v>1013</v>
      </c>
      <c r="F355" s="1298"/>
      <c r="G355" s="5"/>
      <c r="H355" s="5"/>
      <c r="I355" s="30"/>
      <c r="J355" s="1142"/>
      <c r="K355" s="5"/>
      <c r="L355" s="5"/>
      <c r="M355" s="1144" t="s">
        <v>901</v>
      </c>
      <c r="N355" s="4"/>
      <c r="O355" s="4"/>
      <c r="P355" s="29"/>
      <c r="Q355" s="2039">
        <v>548</v>
      </c>
      <c r="R355" s="2039">
        <v>523</v>
      </c>
      <c r="S355" s="2039">
        <v>538</v>
      </c>
      <c r="T355" s="2039">
        <v>621</v>
      </c>
      <c r="U355" s="2039">
        <v>530</v>
      </c>
      <c r="V355" s="2039">
        <v>455</v>
      </c>
      <c r="W355" s="2039">
        <v>479</v>
      </c>
      <c r="X355" s="2039"/>
      <c r="Y355" s="2039"/>
      <c r="Z355" s="2039"/>
      <c r="AA355" s="2039"/>
      <c r="AB355" s="2039"/>
      <c r="AC355" s="89">
        <f t="shared" si="286"/>
        <v>1609</v>
      </c>
      <c r="AD355" s="89">
        <f t="shared" si="287"/>
        <v>1606</v>
      </c>
      <c r="AE355" s="89">
        <f t="shared" si="288"/>
        <v>479</v>
      </c>
      <c r="AF355" s="89">
        <f t="shared" si="289"/>
        <v>0</v>
      </c>
      <c r="AG355" s="89">
        <f t="shared" si="290"/>
        <v>3215</v>
      </c>
      <c r="AH355" s="89">
        <f t="shared" si="291"/>
        <v>479</v>
      </c>
      <c r="AI355" s="89">
        <f t="shared" si="292"/>
        <v>3694</v>
      </c>
    </row>
    <row r="356" spans="1:36">
      <c r="A356" s="990">
        <v>1</v>
      </c>
      <c r="B356" s="990">
        <v>1</v>
      </c>
      <c r="C356" s="990">
        <v>356</v>
      </c>
      <c r="D356" s="1121" t="s">
        <v>999</v>
      </c>
      <c r="E356" s="1292" t="s">
        <v>1013</v>
      </c>
      <c r="F356" s="1298"/>
      <c r="G356" s="5"/>
      <c r="H356" s="5"/>
      <c r="I356" s="30"/>
      <c r="J356" s="1143"/>
      <c r="K356" s="52"/>
      <c r="L356" s="52"/>
      <c r="M356" s="1299" t="s">
        <v>902</v>
      </c>
      <c r="N356" s="51"/>
      <c r="O356" s="51"/>
      <c r="P356" s="50"/>
      <c r="Q356" s="2043"/>
      <c r="R356" s="2043"/>
      <c r="S356" s="2043"/>
      <c r="T356" s="2043"/>
      <c r="U356" s="2043"/>
      <c r="V356" s="2043"/>
      <c r="W356" s="2043"/>
      <c r="X356" s="2043">
        <v>571</v>
      </c>
      <c r="Y356" s="2043">
        <v>571</v>
      </c>
      <c r="Z356" s="2043">
        <v>571</v>
      </c>
      <c r="AA356" s="2043">
        <v>571</v>
      </c>
      <c r="AB356" s="2043">
        <v>571</v>
      </c>
      <c r="AC356" s="134">
        <f t="shared" si="286"/>
        <v>0</v>
      </c>
      <c r="AD356" s="134">
        <f t="shared" si="287"/>
        <v>0</v>
      </c>
      <c r="AE356" s="134">
        <f t="shared" si="288"/>
        <v>1142</v>
      </c>
      <c r="AF356" s="134">
        <f t="shared" si="289"/>
        <v>1713</v>
      </c>
      <c r="AG356" s="134">
        <f t="shared" si="290"/>
        <v>0</v>
      </c>
      <c r="AH356" s="134">
        <f t="shared" si="291"/>
        <v>2855</v>
      </c>
      <c r="AI356" s="134">
        <f t="shared" si="292"/>
        <v>2855</v>
      </c>
    </row>
    <row r="357" spans="1:36">
      <c r="A357" s="990">
        <v>336</v>
      </c>
      <c r="B357" s="990">
        <v>299</v>
      </c>
      <c r="C357" s="990">
        <v>357</v>
      </c>
      <c r="D357" s="1121" t="s">
        <v>999</v>
      </c>
      <c r="E357" s="1243">
        <v>1</v>
      </c>
      <c r="F357" s="5"/>
      <c r="G357" s="5"/>
      <c r="H357" s="5"/>
      <c r="I357" s="53"/>
      <c r="J357" s="1194" t="s">
        <v>142</v>
      </c>
      <c r="K357" s="52"/>
      <c r="L357" s="52"/>
      <c r="M357" s="51"/>
      <c r="N357" s="51"/>
      <c r="O357" s="51"/>
      <c r="P357" s="50"/>
      <c r="Q357" s="2043">
        <v>76</v>
      </c>
      <c r="R357" s="2043">
        <v>74</v>
      </c>
      <c r="S357" s="2043">
        <v>-101</v>
      </c>
      <c r="T357" s="2043">
        <v>75</v>
      </c>
      <c r="U357" s="2043">
        <v>75</v>
      </c>
      <c r="V357" s="2043">
        <v>-78</v>
      </c>
      <c r="W357" s="2043">
        <v>82</v>
      </c>
      <c r="X357" s="2043">
        <v>82</v>
      </c>
      <c r="Y357" s="2043">
        <v>-32</v>
      </c>
      <c r="Z357" s="2043">
        <v>67</v>
      </c>
      <c r="AA357" s="2043">
        <v>124</v>
      </c>
      <c r="AB357" s="2043">
        <v>59</v>
      </c>
      <c r="AC357" s="134">
        <f t="shared" si="286"/>
        <v>49</v>
      </c>
      <c r="AD357" s="134">
        <f t="shared" si="287"/>
        <v>72</v>
      </c>
      <c r="AE357" s="134">
        <f t="shared" si="288"/>
        <v>132</v>
      </c>
      <c r="AF357" s="134">
        <f t="shared" si="289"/>
        <v>250</v>
      </c>
      <c r="AG357" s="134">
        <f t="shared" si="290"/>
        <v>121</v>
      </c>
      <c r="AH357" s="134">
        <f t="shared" si="291"/>
        <v>382</v>
      </c>
      <c r="AI357" s="134">
        <f t="shared" si="292"/>
        <v>503</v>
      </c>
    </row>
    <row r="358" spans="1:36">
      <c r="A358" s="990">
        <v>342</v>
      </c>
      <c r="B358" s="990">
        <v>303</v>
      </c>
      <c r="C358" s="990">
        <v>358</v>
      </c>
      <c r="D358" s="1121" t="s">
        <v>999</v>
      </c>
      <c r="E358" s="1243">
        <v>1</v>
      </c>
      <c r="F358" s="5"/>
      <c r="G358" s="5"/>
      <c r="H358" s="5"/>
      <c r="I358" s="420" t="s">
        <v>136</v>
      </c>
      <c r="J358" s="1195"/>
      <c r="K358" s="1196"/>
      <c r="L358" s="1196"/>
      <c r="M358" s="1196"/>
      <c r="N358" s="1196"/>
      <c r="O358" s="1196"/>
      <c r="P358" s="1197"/>
      <c r="Q358" s="136">
        <f t="shared" ref="Q358:AI358" si="294">Q338-Q350</f>
        <v>471</v>
      </c>
      <c r="R358" s="136">
        <f t="shared" si="294"/>
        <v>-2539</v>
      </c>
      <c r="S358" s="136">
        <f t="shared" si="294"/>
        <v>586</v>
      </c>
      <c r="T358" s="136">
        <f t="shared" si="294"/>
        <v>1094</v>
      </c>
      <c r="U358" s="136">
        <f t="shared" si="294"/>
        <v>668</v>
      </c>
      <c r="V358" s="136">
        <f t="shared" si="294"/>
        <v>3565</v>
      </c>
      <c r="W358" s="136">
        <f t="shared" si="294"/>
        <v>11</v>
      </c>
      <c r="X358" s="136">
        <f t="shared" si="294"/>
        <v>-411</v>
      </c>
      <c r="Y358" s="136">
        <f t="shared" si="294"/>
        <v>-1187</v>
      </c>
      <c r="Z358" s="136">
        <f t="shared" si="294"/>
        <v>-554</v>
      </c>
      <c r="AA358" s="136">
        <f t="shared" si="294"/>
        <v>-585</v>
      </c>
      <c r="AB358" s="136">
        <f t="shared" si="294"/>
        <v>-1804.3843999999999</v>
      </c>
      <c r="AC358" s="136">
        <f t="shared" si="294"/>
        <v>-1482</v>
      </c>
      <c r="AD358" s="136">
        <f t="shared" si="294"/>
        <v>5327</v>
      </c>
      <c r="AE358" s="136">
        <f t="shared" si="294"/>
        <v>-1587</v>
      </c>
      <c r="AF358" s="136">
        <f t="shared" si="294"/>
        <v>-2943.3843999999999</v>
      </c>
      <c r="AG358" s="136">
        <f t="shared" si="294"/>
        <v>3845</v>
      </c>
      <c r="AH358" s="136">
        <f t="shared" si="294"/>
        <v>-4530.384399999999</v>
      </c>
      <c r="AI358" s="136">
        <f t="shared" si="294"/>
        <v>-685.384399999999</v>
      </c>
    </row>
    <row r="359" spans="1:36" ht="14.5">
      <c r="A359" s="990">
        <v>343</v>
      </c>
      <c r="B359" s="990">
        <v>304</v>
      </c>
      <c r="C359" s="990">
        <v>359</v>
      </c>
      <c r="D359" s="1121" t="s">
        <v>999</v>
      </c>
      <c r="E359" s="1243">
        <v>1</v>
      </c>
      <c r="F359" s="5"/>
      <c r="G359" s="5"/>
      <c r="H359" s="5"/>
      <c r="I359" s="30"/>
      <c r="J359" s="618" t="s">
        <v>135</v>
      </c>
      <c r="K359" s="5"/>
      <c r="L359" s="5"/>
      <c r="M359" s="4"/>
      <c r="N359" s="4"/>
      <c r="O359" s="4"/>
      <c r="P359" s="29"/>
      <c r="Q359" s="621">
        <f t="shared" ref="Q359:AI359" si="295">IFERROR(Q358/Q326,0)</f>
        <v>0.29492798998121478</v>
      </c>
      <c r="R359" s="621">
        <f t="shared" si="295"/>
        <v>-1.6759075907590759</v>
      </c>
      <c r="S359" s="621">
        <f t="shared" si="295"/>
        <v>0.46434231378763868</v>
      </c>
      <c r="T359" s="621">
        <f t="shared" si="295"/>
        <v>0.38251748251748252</v>
      </c>
      <c r="U359" s="621">
        <f t="shared" si="295"/>
        <v>0.27557755775577558</v>
      </c>
      <c r="V359" s="621">
        <f t="shared" si="295"/>
        <v>2.484320557491289</v>
      </c>
      <c r="W359" s="621">
        <f t="shared" si="295"/>
        <v>7.5862068965517242E-3</v>
      </c>
      <c r="X359" s="621">
        <f t="shared" si="295"/>
        <v>-0.20166830225711482</v>
      </c>
      <c r="Y359" s="621">
        <f t="shared" si="295"/>
        <v>-0.38488975356679639</v>
      </c>
      <c r="Z359" s="621">
        <f t="shared" si="295"/>
        <v>-0.31211267605633802</v>
      </c>
      <c r="AA359" s="621">
        <f t="shared" si="295"/>
        <v>-0.36654135338345867</v>
      </c>
      <c r="AB359" s="621">
        <f t="shared" si="295"/>
        <v>-1.3306669616519173</v>
      </c>
      <c r="AC359" s="621">
        <f t="shared" si="295"/>
        <v>-0.33882030178326472</v>
      </c>
      <c r="AD359" s="621">
        <f t="shared" si="295"/>
        <v>0.79282631343949994</v>
      </c>
      <c r="AE359" s="621">
        <f t="shared" si="295"/>
        <v>-0.24147900182592819</v>
      </c>
      <c r="AF359" s="621">
        <f t="shared" si="295"/>
        <v>-0.62267493124603346</v>
      </c>
      <c r="AG359" s="621">
        <f t="shared" si="295"/>
        <v>0.34661498242134681</v>
      </c>
      <c r="AH359" s="621">
        <f t="shared" si="295"/>
        <v>-0.40095445614656156</v>
      </c>
      <c r="AI359" s="621">
        <f t="shared" si="295"/>
        <v>-3.0608449446230753E-2</v>
      </c>
      <c r="AJ359" s="619"/>
    </row>
    <row r="360" spans="1:36">
      <c r="A360" s="990">
        <v>348</v>
      </c>
      <c r="B360" s="990">
        <v>307</v>
      </c>
      <c r="C360" s="990">
        <v>360</v>
      </c>
      <c r="D360" s="1121" t="s">
        <v>999</v>
      </c>
      <c r="E360" s="1243">
        <v>1</v>
      </c>
      <c r="F360" s="5"/>
      <c r="G360" s="5"/>
      <c r="H360" s="5"/>
      <c r="I360" s="258" t="s">
        <v>504</v>
      </c>
      <c r="J360" s="555"/>
      <c r="K360" s="636"/>
      <c r="L360" s="636"/>
      <c r="M360" s="555"/>
      <c r="N360" s="555"/>
      <c r="O360" s="555"/>
      <c r="P360" s="1152"/>
      <c r="Q360" s="2618">
        <v>0</v>
      </c>
      <c r="R360" s="2618">
        <v>0</v>
      </c>
      <c r="S360" s="2618">
        <v>0</v>
      </c>
      <c r="T360" s="2618">
        <v>0</v>
      </c>
      <c r="U360" s="2618">
        <v>0</v>
      </c>
      <c r="V360" s="2618">
        <v>0</v>
      </c>
      <c r="W360" s="2618">
        <v>0</v>
      </c>
      <c r="X360" s="2618">
        <v>0</v>
      </c>
      <c r="Y360" s="2618">
        <v>0</v>
      </c>
      <c r="Z360" s="2618">
        <v>0</v>
      </c>
      <c r="AA360" s="2618"/>
      <c r="AB360" s="2618"/>
      <c r="AC360" s="122">
        <f>SUM(Q360,R360,S360)</f>
        <v>0</v>
      </c>
      <c r="AD360" s="122">
        <f>SUM(T360,U360,V360)</f>
        <v>0</v>
      </c>
      <c r="AE360" s="122">
        <f>SUM(W360,X360,Y360)</f>
        <v>0</v>
      </c>
      <c r="AF360" s="122">
        <f>SUM(Z360,AA360,AB360)</f>
        <v>0</v>
      </c>
      <c r="AG360" s="122">
        <f>AC360+AD360</f>
        <v>0</v>
      </c>
      <c r="AH360" s="122">
        <f>AF360+AE360</f>
        <v>0</v>
      </c>
      <c r="AI360" s="122">
        <f>AG360+AH360</f>
        <v>0</v>
      </c>
    </row>
    <row r="361" spans="1:36">
      <c r="A361" s="990">
        <v>349</v>
      </c>
      <c r="B361" s="990">
        <v>308</v>
      </c>
      <c r="C361" s="990">
        <v>361</v>
      </c>
      <c r="D361" s="1121" t="s">
        <v>999</v>
      </c>
      <c r="E361" s="1243">
        <v>1</v>
      </c>
      <c r="F361" s="5"/>
      <c r="G361" s="5"/>
      <c r="H361" s="5"/>
      <c r="I361" s="121" t="s">
        <v>1002</v>
      </c>
      <c r="J361" s="119"/>
      <c r="K361" s="120"/>
      <c r="L361" s="120"/>
      <c r="M361" s="119"/>
      <c r="N361" s="119"/>
      <c r="O361" s="119"/>
      <c r="P361" s="118"/>
      <c r="Q361" s="2035">
        <v>0</v>
      </c>
      <c r="R361" s="2035">
        <v>0</v>
      </c>
      <c r="S361" s="2035">
        <v>0</v>
      </c>
      <c r="T361" s="2035">
        <v>0</v>
      </c>
      <c r="U361" s="2035">
        <v>0</v>
      </c>
      <c r="V361" s="2035">
        <v>0</v>
      </c>
      <c r="W361" s="2035">
        <v>0</v>
      </c>
      <c r="X361" s="2035">
        <v>0</v>
      </c>
      <c r="Y361" s="2035">
        <v>0</v>
      </c>
      <c r="Z361" s="2035">
        <v>0</v>
      </c>
      <c r="AA361" s="2035"/>
      <c r="AB361" s="2035"/>
      <c r="AC361" s="92">
        <f>SUM(Q361,R361,S361)</f>
        <v>0</v>
      </c>
      <c r="AD361" s="92">
        <f>SUM(T361,U361,V361)</f>
        <v>0</v>
      </c>
      <c r="AE361" s="92">
        <f>SUM(W361,X361,Y361)</f>
        <v>0</v>
      </c>
      <c r="AF361" s="92">
        <f>SUM(Z361,AA361,AB361)</f>
        <v>0</v>
      </c>
      <c r="AG361" s="92">
        <f>AC361+AD361</f>
        <v>0</v>
      </c>
      <c r="AH361" s="92">
        <f>AF361+AE361</f>
        <v>0</v>
      </c>
      <c r="AI361" s="92">
        <f>AG361+AH361</f>
        <v>0</v>
      </c>
    </row>
    <row r="362" spans="1:36">
      <c r="A362" s="990">
        <v>350</v>
      </c>
      <c r="B362" s="990">
        <v>309</v>
      </c>
      <c r="C362" s="990">
        <v>362</v>
      </c>
      <c r="D362" s="1121" t="s">
        <v>999</v>
      </c>
      <c r="E362" s="1243">
        <v>1</v>
      </c>
      <c r="F362" s="5"/>
      <c r="G362" s="5"/>
      <c r="H362" s="5"/>
      <c r="I362" s="420" t="s">
        <v>10</v>
      </c>
      <c r="J362" s="1195"/>
      <c r="K362" s="1196"/>
      <c r="L362" s="1196"/>
      <c r="M362" s="1196"/>
      <c r="N362" s="1196"/>
      <c r="O362" s="1196"/>
      <c r="P362" s="1197"/>
      <c r="Q362" s="136">
        <f t="shared" ref="Q362:AI362" si="296">Q358+Q360-Q361</f>
        <v>471</v>
      </c>
      <c r="R362" s="136">
        <f t="shared" si="296"/>
        <v>-2539</v>
      </c>
      <c r="S362" s="136">
        <f t="shared" si="296"/>
        <v>586</v>
      </c>
      <c r="T362" s="136">
        <f t="shared" si="296"/>
        <v>1094</v>
      </c>
      <c r="U362" s="136">
        <f t="shared" si="296"/>
        <v>668</v>
      </c>
      <c r="V362" s="136">
        <f t="shared" si="296"/>
        <v>3565</v>
      </c>
      <c r="W362" s="136">
        <f t="shared" si="296"/>
        <v>11</v>
      </c>
      <c r="X362" s="136">
        <f t="shared" si="296"/>
        <v>-411</v>
      </c>
      <c r="Y362" s="136">
        <f t="shared" si="296"/>
        <v>-1187</v>
      </c>
      <c r="Z362" s="136">
        <f t="shared" si="296"/>
        <v>-554</v>
      </c>
      <c r="AA362" s="136">
        <f t="shared" si="296"/>
        <v>-585</v>
      </c>
      <c r="AB362" s="136">
        <f t="shared" si="296"/>
        <v>-1804.3843999999999</v>
      </c>
      <c r="AC362" s="136">
        <f t="shared" si="296"/>
        <v>-1482</v>
      </c>
      <c r="AD362" s="136">
        <f t="shared" si="296"/>
        <v>5327</v>
      </c>
      <c r="AE362" s="136">
        <f t="shared" si="296"/>
        <v>-1587</v>
      </c>
      <c r="AF362" s="136">
        <f t="shared" si="296"/>
        <v>-2943.3843999999999</v>
      </c>
      <c r="AG362" s="136">
        <f t="shared" si="296"/>
        <v>3845</v>
      </c>
      <c r="AH362" s="136">
        <f t="shared" si="296"/>
        <v>-4530.384399999999</v>
      </c>
      <c r="AI362" s="136">
        <f t="shared" si="296"/>
        <v>-685.384399999999</v>
      </c>
    </row>
    <row r="363" spans="1:36" ht="14.15" customHeight="1">
      <c r="A363" s="990">
        <v>351</v>
      </c>
      <c r="B363" s="990">
        <v>310</v>
      </c>
      <c r="C363" s="990">
        <v>363</v>
      </c>
      <c r="D363" s="1121" t="s">
        <v>999</v>
      </c>
      <c r="E363" s="1243">
        <v>1</v>
      </c>
      <c r="F363" s="5"/>
      <c r="G363" s="5"/>
      <c r="H363" s="5"/>
      <c r="I363" s="28"/>
      <c r="J363" s="629" t="s">
        <v>135</v>
      </c>
      <c r="K363" s="3"/>
      <c r="L363" s="3"/>
      <c r="M363" s="2"/>
      <c r="N363" s="2"/>
      <c r="O363" s="2"/>
      <c r="P363" s="27"/>
      <c r="Q363" s="866">
        <f t="shared" ref="Q363:AI363" si="297">IFERROR(Q362/Q326,0)</f>
        <v>0.29492798998121478</v>
      </c>
      <c r="R363" s="866">
        <f t="shared" si="297"/>
        <v>-1.6759075907590759</v>
      </c>
      <c r="S363" s="866">
        <f t="shared" si="297"/>
        <v>0.46434231378763868</v>
      </c>
      <c r="T363" s="866">
        <f t="shared" si="297"/>
        <v>0.38251748251748252</v>
      </c>
      <c r="U363" s="866">
        <f t="shared" si="297"/>
        <v>0.27557755775577558</v>
      </c>
      <c r="V363" s="866">
        <f t="shared" si="297"/>
        <v>2.484320557491289</v>
      </c>
      <c r="W363" s="866">
        <f t="shared" si="297"/>
        <v>7.5862068965517242E-3</v>
      </c>
      <c r="X363" s="866">
        <f t="shared" si="297"/>
        <v>-0.20166830225711482</v>
      </c>
      <c r="Y363" s="866">
        <f t="shared" si="297"/>
        <v>-0.38488975356679639</v>
      </c>
      <c r="Z363" s="866">
        <f t="shared" si="297"/>
        <v>-0.31211267605633802</v>
      </c>
      <c r="AA363" s="866">
        <f t="shared" si="297"/>
        <v>-0.36654135338345867</v>
      </c>
      <c r="AB363" s="866">
        <f t="shared" si="297"/>
        <v>-1.3306669616519173</v>
      </c>
      <c r="AC363" s="866">
        <f t="shared" si="297"/>
        <v>-0.33882030178326472</v>
      </c>
      <c r="AD363" s="866">
        <f t="shared" si="297"/>
        <v>0.79282631343949994</v>
      </c>
      <c r="AE363" s="866">
        <f t="shared" si="297"/>
        <v>-0.24147900182592819</v>
      </c>
      <c r="AF363" s="866">
        <f t="shared" si="297"/>
        <v>-0.62267493124603346</v>
      </c>
      <c r="AG363" s="866">
        <f t="shared" si="297"/>
        <v>0.34661498242134681</v>
      </c>
      <c r="AH363" s="866">
        <f t="shared" si="297"/>
        <v>-0.40095445614656156</v>
      </c>
      <c r="AI363" s="866">
        <f t="shared" si="297"/>
        <v>-3.0608449446230753E-2</v>
      </c>
      <c r="AJ363" s="619"/>
    </row>
    <row r="364" spans="1:36">
      <c r="A364" s="990">
        <v>1</v>
      </c>
      <c r="B364" s="990">
        <v>1</v>
      </c>
      <c r="C364" s="990">
        <v>364</v>
      </c>
      <c r="D364" s="1121" t="s">
        <v>999</v>
      </c>
      <c r="E364" s="1292" t="s">
        <v>1013</v>
      </c>
      <c r="F364" s="1293"/>
      <c r="G364" s="1241"/>
      <c r="H364" s="5"/>
      <c r="I364" s="5"/>
      <c r="J364" s="4"/>
      <c r="K364" s="1256" t="s">
        <v>1069</v>
      </c>
      <c r="L364" s="1116"/>
      <c r="M364" s="798"/>
      <c r="N364" s="798"/>
      <c r="O364" s="798"/>
      <c r="P364" s="798"/>
      <c r="Q364" s="2186">
        <f>Q398</f>
        <v>0</v>
      </c>
      <c r="R364" s="2186">
        <f t="shared" ref="R364:AI364" si="298">R398</f>
        <v>-1.5942606616181746E-5</v>
      </c>
      <c r="S364" s="2186">
        <f t="shared" si="298"/>
        <v>0</v>
      </c>
      <c r="T364" s="2186">
        <f t="shared" si="298"/>
        <v>0</v>
      </c>
      <c r="U364" s="2186">
        <f t="shared" si="298"/>
        <v>0</v>
      </c>
      <c r="V364" s="2186">
        <f t="shared" si="298"/>
        <v>0</v>
      </c>
      <c r="W364" s="2186">
        <f t="shared" si="298"/>
        <v>0</v>
      </c>
      <c r="X364" s="2186">
        <f t="shared" si="298"/>
        <v>5.6691229945586936E-3</v>
      </c>
      <c r="Y364" s="2186">
        <f t="shared" si="298"/>
        <v>0</v>
      </c>
      <c r="Z364" s="2186">
        <f t="shared" si="298"/>
        <v>0</v>
      </c>
      <c r="AA364" s="2186">
        <f t="shared" si="298"/>
        <v>0</v>
      </c>
      <c r="AB364" s="2186">
        <f t="shared" si="298"/>
        <v>-3.687175231181269E-4</v>
      </c>
      <c r="AC364" s="2186">
        <f t="shared" si="298"/>
        <v>-4.240990016709501E-6</v>
      </c>
      <c r="AD364" s="2186">
        <f t="shared" si="298"/>
        <v>0</v>
      </c>
      <c r="AE364" s="2186">
        <f t="shared" si="298"/>
        <v>2.0828705626325938E-3</v>
      </c>
      <c r="AF364" s="2186">
        <f t="shared" si="298"/>
        <v>-2.0654184630356862E-4</v>
      </c>
      <c r="AG364" s="2186">
        <f t="shared" si="298"/>
        <v>-2.0119752768477983E-6</v>
      </c>
      <c r="AH364" s="2186">
        <f t="shared" si="298"/>
        <v>1.0621757730248165E-3</v>
      </c>
      <c r="AI364" s="2186">
        <f t="shared" si="298"/>
        <v>5.6203541872331601E-4</v>
      </c>
    </row>
    <row r="365" spans="1:36">
      <c r="A365" s="990">
        <v>1</v>
      </c>
      <c r="B365" s="990">
        <v>1</v>
      </c>
      <c r="C365" s="990">
        <v>365</v>
      </c>
      <c r="D365" s="1121" t="s">
        <v>999</v>
      </c>
      <c r="E365" s="1294" t="s">
        <v>1032</v>
      </c>
      <c r="F365" s="1295"/>
      <c r="G365" s="1241"/>
      <c r="H365" s="5"/>
      <c r="I365" s="5"/>
      <c r="J365" s="4"/>
      <c r="K365" s="30"/>
      <c r="L365" s="764" t="s">
        <v>884</v>
      </c>
      <c r="M365" s="323"/>
      <c r="N365" s="323"/>
      <c r="O365" s="323"/>
      <c r="P365" s="323"/>
      <c r="Q365" s="325">
        <f>SUM(Q366:Q368)</f>
        <v>624</v>
      </c>
      <c r="R365" s="325">
        <f t="shared" ref="R365:AI365" si="299">SUM(R366:R368)</f>
        <v>598</v>
      </c>
      <c r="S365" s="325">
        <f t="shared" si="299"/>
        <v>437</v>
      </c>
      <c r="T365" s="325">
        <f t="shared" si="299"/>
        <v>696</v>
      </c>
      <c r="U365" s="325">
        <f t="shared" si="299"/>
        <v>852</v>
      </c>
      <c r="V365" s="325">
        <f t="shared" si="299"/>
        <v>377</v>
      </c>
      <c r="W365" s="361">
        <f t="shared" si="299"/>
        <v>697</v>
      </c>
      <c r="X365" s="361">
        <f t="shared" si="299"/>
        <v>965</v>
      </c>
      <c r="Y365" s="361">
        <f t="shared" si="299"/>
        <v>2312</v>
      </c>
      <c r="Z365" s="1117">
        <f t="shared" si="299"/>
        <v>1379</v>
      </c>
      <c r="AA365" s="1117">
        <f t="shared" si="299"/>
        <v>1688</v>
      </c>
      <c r="AB365" s="1117">
        <f t="shared" si="299"/>
        <v>2720</v>
      </c>
      <c r="AC365" s="1117">
        <f t="shared" si="299"/>
        <v>1659</v>
      </c>
      <c r="AD365" s="1117">
        <f t="shared" si="299"/>
        <v>1925</v>
      </c>
      <c r="AE365" s="1117">
        <f t="shared" si="299"/>
        <v>3974</v>
      </c>
      <c r="AF365" s="1117">
        <f t="shared" si="299"/>
        <v>5787</v>
      </c>
      <c r="AG365" s="1117">
        <f t="shared" si="299"/>
        <v>3584</v>
      </c>
      <c r="AH365" s="1117">
        <f t="shared" si="299"/>
        <v>9761</v>
      </c>
      <c r="AI365" s="1117">
        <f t="shared" si="299"/>
        <v>13345</v>
      </c>
    </row>
    <row r="366" spans="1:36">
      <c r="A366" s="990">
        <v>1</v>
      </c>
      <c r="B366" s="990">
        <v>1</v>
      </c>
      <c r="C366" s="990">
        <v>366</v>
      </c>
      <c r="D366" s="1121" t="s">
        <v>999</v>
      </c>
      <c r="E366" s="1294" t="s">
        <v>1032</v>
      </c>
      <c r="F366" s="1295"/>
      <c r="G366" s="1241"/>
      <c r="H366" s="5"/>
      <c r="I366" s="5"/>
      <c r="J366" s="4"/>
      <c r="K366" s="30"/>
      <c r="L366" s="30"/>
      <c r="M366" s="40" t="s">
        <v>143</v>
      </c>
      <c r="N366" s="4"/>
      <c r="O366" s="4"/>
      <c r="P366" s="4"/>
      <c r="Q366" s="2159">
        <v>0</v>
      </c>
      <c r="R366" s="2159">
        <v>0</v>
      </c>
      <c r="S366" s="2159">
        <v>0</v>
      </c>
      <c r="T366" s="2159">
        <v>0</v>
      </c>
      <c r="U366" s="2159">
        <v>247</v>
      </c>
      <c r="V366" s="2159">
        <v>0</v>
      </c>
      <c r="W366" s="2091">
        <v>136</v>
      </c>
      <c r="X366" s="2091">
        <v>415</v>
      </c>
      <c r="Y366" s="2091">
        <v>1126</v>
      </c>
      <c r="Z366" s="2160">
        <v>93</v>
      </c>
      <c r="AA366" s="2160">
        <v>140</v>
      </c>
      <c r="AB366" s="2160">
        <v>1193</v>
      </c>
      <c r="AC366" s="145">
        <f>SUM(Q366,R366,S366)</f>
        <v>0</v>
      </c>
      <c r="AD366" s="145">
        <f>SUM(T366,U366,V366)</f>
        <v>247</v>
      </c>
      <c r="AE366" s="145">
        <f>SUM(W366,X366,Y366)</f>
        <v>1677</v>
      </c>
      <c r="AF366" s="145">
        <f>SUM(Z366,AA366,AB366)</f>
        <v>1426</v>
      </c>
      <c r="AG366" s="145">
        <f>AC366+AD366</f>
        <v>247</v>
      </c>
      <c r="AH366" s="145">
        <f>AF366+AE366</f>
        <v>3103</v>
      </c>
      <c r="AI366" s="145">
        <f>AG366+AH366</f>
        <v>3350</v>
      </c>
    </row>
    <row r="367" spans="1:36">
      <c r="A367" s="990">
        <v>1</v>
      </c>
      <c r="B367" s="990">
        <v>1</v>
      </c>
      <c r="C367" s="990">
        <v>367</v>
      </c>
      <c r="D367" s="1121" t="s">
        <v>999</v>
      </c>
      <c r="E367" s="1294" t="s">
        <v>1032</v>
      </c>
      <c r="F367" s="1295"/>
      <c r="G367" s="1241"/>
      <c r="H367" s="5"/>
      <c r="I367" s="5"/>
      <c r="J367" s="4"/>
      <c r="K367" s="30"/>
      <c r="L367" s="30"/>
      <c r="M367" s="40" t="s">
        <v>96</v>
      </c>
      <c r="N367" s="4"/>
      <c r="O367" s="4"/>
      <c r="P367" s="4"/>
      <c r="Q367" s="2159">
        <v>548</v>
      </c>
      <c r="R367" s="2159">
        <v>524</v>
      </c>
      <c r="S367" s="2159">
        <v>538</v>
      </c>
      <c r="T367" s="2159">
        <v>621</v>
      </c>
      <c r="U367" s="2159">
        <v>530</v>
      </c>
      <c r="V367" s="2159">
        <v>455</v>
      </c>
      <c r="W367" s="2091">
        <v>479</v>
      </c>
      <c r="X367" s="2091">
        <v>468</v>
      </c>
      <c r="Y367" s="2091">
        <v>1218</v>
      </c>
      <c r="Z367" s="2160">
        <v>1219</v>
      </c>
      <c r="AA367" s="2160">
        <v>1424</v>
      </c>
      <c r="AB367" s="2160">
        <v>1416</v>
      </c>
      <c r="AC367" s="145">
        <f>SUM(Q367,R367,S367)</f>
        <v>1610</v>
      </c>
      <c r="AD367" s="145">
        <f>SUM(T367,U367,V367)</f>
        <v>1606</v>
      </c>
      <c r="AE367" s="145">
        <f>SUM(W367,X367,Y367)</f>
        <v>2165</v>
      </c>
      <c r="AF367" s="145">
        <f>SUM(Z367,AA367,AB367)</f>
        <v>4059</v>
      </c>
      <c r="AG367" s="145">
        <f>AC367+AD367</f>
        <v>3216</v>
      </c>
      <c r="AH367" s="145">
        <f>AF367+AE367</f>
        <v>6224</v>
      </c>
      <c r="AI367" s="145">
        <f>AG367+AH367</f>
        <v>9440</v>
      </c>
    </row>
    <row r="368" spans="1:36">
      <c r="A368" s="990">
        <v>1</v>
      </c>
      <c r="B368" s="990">
        <v>1</v>
      </c>
      <c r="C368" s="990">
        <v>368</v>
      </c>
      <c r="D368" s="1121" t="s">
        <v>999</v>
      </c>
      <c r="E368" s="1294" t="s">
        <v>1032</v>
      </c>
      <c r="F368" s="1295"/>
      <c r="G368" s="1241"/>
      <c r="H368" s="5"/>
      <c r="I368" s="5"/>
      <c r="J368" s="4"/>
      <c r="K368" s="30"/>
      <c r="L368" s="28"/>
      <c r="M368" s="119" t="s">
        <v>142</v>
      </c>
      <c r="N368" s="2"/>
      <c r="O368" s="2"/>
      <c r="P368" s="2"/>
      <c r="Q368" s="2161">
        <v>76</v>
      </c>
      <c r="R368" s="2161">
        <v>74</v>
      </c>
      <c r="S368" s="2161">
        <v>-101</v>
      </c>
      <c r="T368" s="2161">
        <v>75</v>
      </c>
      <c r="U368" s="2161">
        <v>75</v>
      </c>
      <c r="V368" s="2161">
        <v>-78</v>
      </c>
      <c r="W368" s="2092">
        <v>82</v>
      </c>
      <c r="X368" s="2092">
        <v>82</v>
      </c>
      <c r="Y368" s="2092">
        <v>-32</v>
      </c>
      <c r="Z368" s="2162">
        <v>67</v>
      </c>
      <c r="AA368" s="2162">
        <v>124</v>
      </c>
      <c r="AB368" s="2162">
        <v>111</v>
      </c>
      <c r="AC368" s="142">
        <f>SUM(Q368,R368,S368)</f>
        <v>49</v>
      </c>
      <c r="AD368" s="142">
        <f>SUM(T368,U368,V368)</f>
        <v>72</v>
      </c>
      <c r="AE368" s="142">
        <f>SUM(W368,X368,Y368)</f>
        <v>132</v>
      </c>
      <c r="AF368" s="142">
        <f>SUM(Z368,AA368,AB368)</f>
        <v>302</v>
      </c>
      <c r="AG368" s="142">
        <f>AC368+AD368</f>
        <v>121</v>
      </c>
      <c r="AH368" s="142">
        <f>AF368+AE368</f>
        <v>434</v>
      </c>
      <c r="AI368" s="142">
        <f>AG368+AH368</f>
        <v>555</v>
      </c>
    </row>
    <row r="369" spans="1:35">
      <c r="A369" s="990">
        <v>1</v>
      </c>
      <c r="B369" s="990">
        <v>1</v>
      </c>
      <c r="C369" s="990">
        <v>369</v>
      </c>
      <c r="D369" s="1121" t="s">
        <v>999</v>
      </c>
      <c r="E369" s="1294" t="s">
        <v>1032</v>
      </c>
      <c r="F369" s="1295"/>
      <c r="G369" s="1241"/>
      <c r="H369" s="5"/>
      <c r="I369" s="5"/>
      <c r="J369" s="4"/>
      <c r="K369" s="30"/>
      <c r="L369" s="764" t="s">
        <v>1033</v>
      </c>
      <c r="M369" s="798"/>
      <c r="N369" s="798"/>
      <c r="O369" s="798"/>
      <c r="P369" s="798"/>
      <c r="Q369" s="2120">
        <f>SUM(Q371:Q373)</f>
        <v>0</v>
      </c>
      <c r="R369" s="2120">
        <f t="shared" ref="R369:AI369" si="300">SUM(R371:R373)</f>
        <v>-1</v>
      </c>
      <c r="S369" s="2120">
        <f t="shared" si="300"/>
        <v>0</v>
      </c>
      <c r="T369" s="2120">
        <f t="shared" si="300"/>
        <v>0</v>
      </c>
      <c r="U369" s="2120">
        <f t="shared" si="300"/>
        <v>0</v>
      </c>
      <c r="V369" s="2120">
        <f t="shared" si="300"/>
        <v>0</v>
      </c>
      <c r="W369" s="2081">
        <f t="shared" si="300"/>
        <v>0</v>
      </c>
      <c r="X369" s="2081">
        <f t="shared" si="300"/>
        <v>647</v>
      </c>
      <c r="Y369" s="2081">
        <f t="shared" si="300"/>
        <v>0</v>
      </c>
      <c r="Z369" s="2158">
        <f t="shared" si="300"/>
        <v>0</v>
      </c>
      <c r="AA369" s="2158">
        <f t="shared" si="300"/>
        <v>0</v>
      </c>
      <c r="AB369" s="2158">
        <f t="shared" si="300"/>
        <v>-51.615600000000086</v>
      </c>
      <c r="AC369" s="2158">
        <f t="shared" si="300"/>
        <v>-1</v>
      </c>
      <c r="AD369" s="2158">
        <f t="shared" si="300"/>
        <v>0</v>
      </c>
      <c r="AE369" s="2158">
        <f t="shared" si="300"/>
        <v>647</v>
      </c>
      <c r="AF369" s="2158">
        <f t="shared" si="300"/>
        <v>-51.615600000000086</v>
      </c>
      <c r="AG369" s="2158">
        <f t="shared" si="300"/>
        <v>-1</v>
      </c>
      <c r="AH369" s="2158">
        <f t="shared" si="300"/>
        <v>595.38439999999991</v>
      </c>
      <c r="AI369" s="2158">
        <f t="shared" si="300"/>
        <v>594.38439999999991</v>
      </c>
    </row>
    <row r="370" spans="1:35">
      <c r="A370" s="990">
        <v>1</v>
      </c>
      <c r="B370" s="990">
        <v>1</v>
      </c>
      <c r="C370" s="990">
        <v>370</v>
      </c>
      <c r="D370" s="1121" t="s">
        <v>999</v>
      </c>
      <c r="E370" s="1294" t="s">
        <v>1032</v>
      </c>
      <c r="F370" s="1295"/>
      <c r="G370" s="1241"/>
      <c r="H370" s="5"/>
      <c r="I370" s="5"/>
      <c r="J370" s="4"/>
      <c r="K370" s="30"/>
      <c r="L370" s="613"/>
      <c r="M370" s="676" t="s">
        <v>1034</v>
      </c>
      <c r="N370" s="51"/>
      <c r="O370" s="51"/>
      <c r="P370" s="51"/>
      <c r="Q370" s="1119">
        <f t="shared" ref="Q370:AI370" si="301">IFERROR(Q369/Q350,0)</f>
        <v>0</v>
      </c>
      <c r="R370" s="1119">
        <f t="shared" si="301"/>
        <v>-1.6750418760469012E-3</v>
      </c>
      <c r="S370" s="1119">
        <f t="shared" si="301"/>
        <v>0</v>
      </c>
      <c r="T370" s="1119">
        <f t="shared" si="301"/>
        <v>0</v>
      </c>
      <c r="U370" s="1119">
        <f t="shared" si="301"/>
        <v>0</v>
      </c>
      <c r="V370" s="1119">
        <f t="shared" si="301"/>
        <v>0</v>
      </c>
      <c r="W370" s="1119">
        <f t="shared" si="301"/>
        <v>0</v>
      </c>
      <c r="X370" s="1119">
        <f t="shared" si="301"/>
        <v>0.40136476426799006</v>
      </c>
      <c r="Y370" s="1119">
        <f t="shared" si="301"/>
        <v>0</v>
      </c>
      <c r="Z370" s="1119">
        <f t="shared" si="301"/>
        <v>0</v>
      </c>
      <c r="AA370" s="1119">
        <f t="shared" si="301"/>
        <v>0</v>
      </c>
      <c r="AB370" s="1119">
        <f t="shared" si="301"/>
        <v>-1.9343389955360286E-2</v>
      </c>
      <c r="AC370" s="1119">
        <f t="shared" si="301"/>
        <v>-6.0313630880579007E-4</v>
      </c>
      <c r="AD370" s="1119">
        <f t="shared" si="301"/>
        <v>0</v>
      </c>
      <c r="AE370" s="1119">
        <f t="shared" si="301"/>
        <v>0.14001298420255356</v>
      </c>
      <c r="AF370" s="1119">
        <f t="shared" si="301"/>
        <v>-8.9995014109254968E-3</v>
      </c>
      <c r="AG370" s="1119">
        <f t="shared" si="301"/>
        <v>-2.7909572983533354E-4</v>
      </c>
      <c r="AH370" s="1119">
        <f t="shared" si="301"/>
        <v>5.7489600328083611E-2</v>
      </c>
      <c r="AI370" s="1119">
        <f t="shared" si="301"/>
        <v>4.2640649181035564E-2</v>
      </c>
    </row>
    <row r="371" spans="1:35">
      <c r="A371" s="990">
        <v>1</v>
      </c>
      <c r="B371" s="990">
        <v>1</v>
      </c>
      <c r="C371" s="990">
        <v>371</v>
      </c>
      <c r="D371" s="1121" t="s">
        <v>999</v>
      </c>
      <c r="E371" s="1294" t="s">
        <v>1032</v>
      </c>
      <c r="F371" s="1295"/>
      <c r="G371" s="1241"/>
      <c r="H371" s="5"/>
      <c r="I371" s="5"/>
      <c r="J371" s="4"/>
      <c r="K371" s="30"/>
      <c r="L371" s="30"/>
      <c r="M371" s="40" t="s">
        <v>143</v>
      </c>
      <c r="N371" s="4"/>
      <c r="O371" s="4"/>
      <c r="P371" s="4"/>
      <c r="Q371" s="145">
        <f t="shared" ref="Q371:AB372" si="302">Q351-Q366</f>
        <v>0</v>
      </c>
      <c r="R371" s="145">
        <f t="shared" si="302"/>
        <v>0</v>
      </c>
      <c r="S371" s="145">
        <f t="shared" si="302"/>
        <v>0</v>
      </c>
      <c r="T371" s="145">
        <f t="shared" si="302"/>
        <v>0</v>
      </c>
      <c r="U371" s="145">
        <f t="shared" si="302"/>
        <v>0</v>
      </c>
      <c r="V371" s="145">
        <f t="shared" si="302"/>
        <v>0</v>
      </c>
      <c r="W371" s="145">
        <f t="shared" si="302"/>
        <v>0</v>
      </c>
      <c r="X371" s="145">
        <f t="shared" si="302"/>
        <v>0</v>
      </c>
      <c r="Y371" s="145">
        <f t="shared" si="302"/>
        <v>0</v>
      </c>
      <c r="Z371" s="145">
        <f t="shared" si="302"/>
        <v>0</v>
      </c>
      <c r="AA371" s="145">
        <f t="shared" si="302"/>
        <v>0</v>
      </c>
      <c r="AB371" s="145">
        <f t="shared" si="302"/>
        <v>0</v>
      </c>
      <c r="AC371" s="145">
        <f>SUM(Q371,R371,S371)</f>
        <v>0</v>
      </c>
      <c r="AD371" s="145">
        <f>SUM(T371,U371,V371)</f>
        <v>0</v>
      </c>
      <c r="AE371" s="145">
        <f>SUM(W371,X371,Y371)</f>
        <v>0</v>
      </c>
      <c r="AF371" s="145">
        <f>SUM(Z371,AA371,AB371)</f>
        <v>0</v>
      </c>
      <c r="AG371" s="145">
        <f>AC371+AD371</f>
        <v>0</v>
      </c>
      <c r="AH371" s="145">
        <f>AF371+AE371</f>
        <v>0</v>
      </c>
      <c r="AI371" s="145">
        <f>AG371+AH371</f>
        <v>0</v>
      </c>
    </row>
    <row r="372" spans="1:35">
      <c r="A372" s="990">
        <v>1</v>
      </c>
      <c r="B372" s="990">
        <v>1</v>
      </c>
      <c r="C372" s="990">
        <v>372</v>
      </c>
      <c r="D372" s="1121" t="s">
        <v>999</v>
      </c>
      <c r="E372" s="1294" t="s">
        <v>1032</v>
      </c>
      <c r="F372" s="1295"/>
      <c r="G372" s="1241"/>
      <c r="H372" s="5"/>
      <c r="I372" s="5"/>
      <c r="J372" s="4"/>
      <c r="K372" s="30"/>
      <c r="L372" s="30"/>
      <c r="M372" s="40" t="s">
        <v>96</v>
      </c>
      <c r="N372" s="4"/>
      <c r="O372" s="4"/>
      <c r="P372" s="4"/>
      <c r="Q372" s="145">
        <f t="shared" si="302"/>
        <v>0</v>
      </c>
      <c r="R372" s="145">
        <f t="shared" si="302"/>
        <v>-1</v>
      </c>
      <c r="S372" s="145">
        <f t="shared" si="302"/>
        <v>0</v>
      </c>
      <c r="T372" s="145">
        <f t="shared" si="302"/>
        <v>0</v>
      </c>
      <c r="U372" s="145">
        <f t="shared" si="302"/>
        <v>0</v>
      </c>
      <c r="V372" s="145">
        <f t="shared" si="302"/>
        <v>0</v>
      </c>
      <c r="W372" s="145">
        <f t="shared" si="302"/>
        <v>0</v>
      </c>
      <c r="X372" s="145">
        <f t="shared" si="302"/>
        <v>647</v>
      </c>
      <c r="Y372" s="145">
        <f t="shared" si="302"/>
        <v>0</v>
      </c>
      <c r="Z372" s="145">
        <f t="shared" si="302"/>
        <v>0</v>
      </c>
      <c r="AA372" s="145">
        <f t="shared" si="302"/>
        <v>0</v>
      </c>
      <c r="AB372" s="145">
        <f t="shared" si="302"/>
        <v>0.38439999999991414</v>
      </c>
      <c r="AC372" s="145">
        <f>SUM(Q372,R372,S372)</f>
        <v>-1</v>
      </c>
      <c r="AD372" s="145">
        <f>SUM(T372,U372,V372)</f>
        <v>0</v>
      </c>
      <c r="AE372" s="145">
        <f>SUM(W372,X372,Y372)</f>
        <v>647</v>
      </c>
      <c r="AF372" s="145">
        <f>SUM(Z372,AA372,AB372)</f>
        <v>0.38439999999991414</v>
      </c>
      <c r="AG372" s="145">
        <f>AC372+AD372</f>
        <v>-1</v>
      </c>
      <c r="AH372" s="145">
        <f>AF372+AE372</f>
        <v>647.38439999999991</v>
      </c>
      <c r="AI372" s="145">
        <f>AG372+AH372</f>
        <v>646.38439999999991</v>
      </c>
    </row>
    <row r="373" spans="1:35">
      <c r="A373" s="990">
        <v>1</v>
      </c>
      <c r="B373" s="990">
        <v>1</v>
      </c>
      <c r="C373" s="990">
        <v>373</v>
      </c>
      <c r="D373" s="1121" t="s">
        <v>999</v>
      </c>
      <c r="E373" s="1294" t="s">
        <v>1032</v>
      </c>
      <c r="F373" s="1295"/>
      <c r="G373" s="1241"/>
      <c r="H373" s="5"/>
      <c r="I373" s="5"/>
      <c r="J373" s="4"/>
      <c r="K373" s="28"/>
      <c r="L373" s="28"/>
      <c r="M373" s="119" t="s">
        <v>142</v>
      </c>
      <c r="N373" s="2"/>
      <c r="O373" s="2"/>
      <c r="P373" s="2"/>
      <c r="Q373" s="142">
        <f t="shared" ref="Q373:AB373" si="303">Q357-Q368</f>
        <v>0</v>
      </c>
      <c r="R373" s="142">
        <f t="shared" si="303"/>
        <v>0</v>
      </c>
      <c r="S373" s="142">
        <f t="shared" si="303"/>
        <v>0</v>
      </c>
      <c r="T373" s="142">
        <f t="shared" si="303"/>
        <v>0</v>
      </c>
      <c r="U373" s="142">
        <f t="shared" si="303"/>
        <v>0</v>
      </c>
      <c r="V373" s="142">
        <f t="shared" si="303"/>
        <v>0</v>
      </c>
      <c r="W373" s="142">
        <f t="shared" si="303"/>
        <v>0</v>
      </c>
      <c r="X373" s="142">
        <f t="shared" si="303"/>
        <v>0</v>
      </c>
      <c r="Y373" s="142">
        <f t="shared" si="303"/>
        <v>0</v>
      </c>
      <c r="Z373" s="142">
        <f t="shared" si="303"/>
        <v>0</v>
      </c>
      <c r="AA373" s="142">
        <f t="shared" si="303"/>
        <v>0</v>
      </c>
      <c r="AB373" s="142">
        <f t="shared" si="303"/>
        <v>-52</v>
      </c>
      <c r="AC373" s="142">
        <f>SUM(Q373,R373,S373)</f>
        <v>0</v>
      </c>
      <c r="AD373" s="142">
        <f>SUM(T373,U373,V373)</f>
        <v>0</v>
      </c>
      <c r="AE373" s="142">
        <f>SUM(W373,X373,Y373)</f>
        <v>0</v>
      </c>
      <c r="AF373" s="142">
        <f>SUM(Z373,AA373,AB373)</f>
        <v>-52</v>
      </c>
      <c r="AG373" s="142">
        <f>AC373+AD373</f>
        <v>0</v>
      </c>
      <c r="AH373" s="142">
        <f>AF373+AE373</f>
        <v>-52</v>
      </c>
      <c r="AI373" s="142">
        <f>AG373+AH373</f>
        <v>-52</v>
      </c>
    </row>
    <row r="374" spans="1:35">
      <c r="A374" s="990">
        <v>1</v>
      </c>
      <c r="B374" s="990">
        <v>1</v>
      </c>
      <c r="C374" s="990">
        <v>374</v>
      </c>
      <c r="D374" s="1121" t="s">
        <v>999</v>
      </c>
      <c r="E374" s="1243">
        <v>1</v>
      </c>
      <c r="Z374" s="163"/>
    </row>
    <row r="375" spans="1:35" ht="15.5">
      <c r="A375" s="990">
        <v>1</v>
      </c>
      <c r="B375" s="990">
        <v>1</v>
      </c>
      <c r="C375" s="990">
        <v>375</v>
      </c>
      <c r="D375" s="1121" t="s">
        <v>999</v>
      </c>
      <c r="E375" s="1294" t="s">
        <v>1032</v>
      </c>
      <c r="F375" s="1295"/>
      <c r="G375" s="1242" t="s">
        <v>1070</v>
      </c>
      <c r="Z375" s="163"/>
    </row>
    <row r="376" spans="1:35">
      <c r="A376" s="990">
        <v>1</v>
      </c>
      <c r="B376" s="990">
        <v>1</v>
      </c>
      <c r="C376" s="990">
        <v>376</v>
      </c>
      <c r="D376" s="1121" t="s">
        <v>999</v>
      </c>
      <c r="E376" s="1294" t="s">
        <v>1032</v>
      </c>
      <c r="F376" s="1295"/>
      <c r="G376" s="1241"/>
      <c r="K376" s="835" t="s">
        <v>99</v>
      </c>
      <c r="L376" s="836"/>
      <c r="M376" s="836"/>
      <c r="N376" s="836"/>
      <c r="O376" s="836"/>
      <c r="P376" s="1300"/>
      <c r="Q376" s="2777">
        <f t="shared" ref="Q376:AI376" si="304">SUM(Q377:Q378)</f>
        <v>141775</v>
      </c>
      <c r="R376" s="2171">
        <f t="shared" si="304"/>
        <v>111625</v>
      </c>
      <c r="S376" s="2171">
        <f t="shared" si="304"/>
        <v>115986</v>
      </c>
      <c r="T376" s="2171">
        <f t="shared" si="304"/>
        <v>122634</v>
      </c>
      <c r="U376" s="2171">
        <f t="shared" si="304"/>
        <v>137947</v>
      </c>
      <c r="V376" s="2171">
        <f t="shared" si="304"/>
        <v>141326</v>
      </c>
      <c r="W376" s="2172">
        <f t="shared" si="304"/>
        <v>164361</v>
      </c>
      <c r="X376" s="2172">
        <f t="shared" si="304"/>
        <v>168833</v>
      </c>
      <c r="Y376" s="2172">
        <f t="shared" si="304"/>
        <v>141448</v>
      </c>
      <c r="Z376" s="2173">
        <f t="shared" si="304"/>
        <v>126998</v>
      </c>
      <c r="AA376" s="2173">
        <f t="shared" si="304"/>
        <v>99915.000000000058</v>
      </c>
      <c r="AB376" s="2173">
        <f t="shared" si="304"/>
        <v>200181.89318999997</v>
      </c>
      <c r="AC376" s="2173">
        <f t="shared" si="304"/>
        <v>369386</v>
      </c>
      <c r="AD376" s="2173">
        <f t="shared" si="304"/>
        <v>401907</v>
      </c>
      <c r="AE376" s="2173">
        <f t="shared" si="304"/>
        <v>474642</v>
      </c>
      <c r="AF376" s="2173">
        <f t="shared" si="304"/>
        <v>427094.89319000003</v>
      </c>
      <c r="AG376" s="2173">
        <f t="shared" si="304"/>
        <v>771293</v>
      </c>
      <c r="AH376" s="2173">
        <f t="shared" si="304"/>
        <v>901736.89318999997</v>
      </c>
      <c r="AI376" s="2173">
        <f t="shared" si="304"/>
        <v>1673029.89319</v>
      </c>
    </row>
    <row r="377" spans="1:35">
      <c r="A377" s="990">
        <v>1</v>
      </c>
      <c r="B377" s="990">
        <v>1</v>
      </c>
      <c r="C377" s="990">
        <v>377</v>
      </c>
      <c r="D377" s="1121" t="s">
        <v>999</v>
      </c>
      <c r="E377" s="1294" t="s">
        <v>1032</v>
      </c>
      <c r="F377" s="1295"/>
      <c r="G377" s="1241"/>
      <c r="K377" s="293"/>
      <c r="L377" s="40" t="s">
        <v>894</v>
      </c>
      <c r="M377" s="75"/>
      <c r="N377" s="75"/>
      <c r="O377" s="75"/>
      <c r="P377" s="1202"/>
      <c r="Q377" s="135">
        <f>SUM(Q380,Q384,Q388,Q392,Q396)</f>
        <v>52571</v>
      </c>
      <c r="R377" s="135">
        <f t="shared" ref="R377:AA377" si="305">SUM(R380,R384,R388,R392,R396)</f>
        <v>48900</v>
      </c>
      <c r="S377" s="135">
        <f t="shared" si="305"/>
        <v>32121</v>
      </c>
      <c r="T377" s="135">
        <f t="shared" si="305"/>
        <v>48953</v>
      </c>
      <c r="U377" s="135">
        <f t="shared" si="305"/>
        <v>56880</v>
      </c>
      <c r="V377" s="135">
        <f t="shared" si="305"/>
        <v>34844</v>
      </c>
      <c r="W377" s="135">
        <f t="shared" si="305"/>
        <v>61331</v>
      </c>
      <c r="X377" s="135">
        <f t="shared" si="305"/>
        <v>54706</v>
      </c>
      <c r="Y377" s="135">
        <f t="shared" si="305"/>
        <v>47976</v>
      </c>
      <c r="Z377" s="135">
        <f t="shared" si="305"/>
        <v>54577</v>
      </c>
      <c r="AA377" s="135">
        <f t="shared" si="305"/>
        <v>62419</v>
      </c>
      <c r="AB377" s="135">
        <f>SUM(AB380,AB384,AB388,AB392,AB396)</f>
        <v>60195.055668681853</v>
      </c>
      <c r="AC377" s="145">
        <f>SUM(Q377,R377,S377)</f>
        <v>133592</v>
      </c>
      <c r="AD377" s="145">
        <f>SUM(T377,U377,V377)</f>
        <v>140677</v>
      </c>
      <c r="AE377" s="145">
        <f>SUM(W377,X377,Y377)</f>
        <v>164013</v>
      </c>
      <c r="AF377" s="145">
        <f>SUM(Z377,AA377,AB377)</f>
        <v>177191.05566868186</v>
      </c>
      <c r="AG377" s="145">
        <f>AC377+AD377</f>
        <v>274269</v>
      </c>
      <c r="AH377" s="145">
        <f>AF377+AE377</f>
        <v>341204.05566868186</v>
      </c>
      <c r="AI377" s="145">
        <f>AG377+AH377</f>
        <v>615473.05566868186</v>
      </c>
    </row>
    <row r="378" spans="1:35">
      <c r="A378" s="990">
        <v>1</v>
      </c>
      <c r="B378" s="990">
        <v>1</v>
      </c>
      <c r="C378" s="990">
        <v>378</v>
      </c>
      <c r="D378" s="1121" t="s">
        <v>999</v>
      </c>
      <c r="E378" s="1294" t="s">
        <v>1032</v>
      </c>
      <c r="F378" s="1295"/>
      <c r="G378" s="1241"/>
      <c r="K378" s="293"/>
      <c r="L378" s="40" t="s">
        <v>1071</v>
      </c>
      <c r="M378" s="75"/>
      <c r="N378" s="75"/>
      <c r="O378" s="75"/>
      <c r="P378" s="1202"/>
      <c r="Q378" s="135">
        <f t="shared" ref="Q378:AB378" si="306">SUM(Q381,Q385,Q389,Q393,Q397)</f>
        <v>89204</v>
      </c>
      <c r="R378" s="135">
        <f t="shared" si="306"/>
        <v>62725</v>
      </c>
      <c r="S378" s="135">
        <f t="shared" si="306"/>
        <v>83865</v>
      </c>
      <c r="T378" s="135">
        <f t="shared" si="306"/>
        <v>73681</v>
      </c>
      <c r="U378" s="135">
        <f t="shared" si="306"/>
        <v>81067</v>
      </c>
      <c r="V378" s="135">
        <f t="shared" si="306"/>
        <v>106482</v>
      </c>
      <c r="W378" s="135">
        <f t="shared" si="306"/>
        <v>103030</v>
      </c>
      <c r="X378" s="135">
        <f t="shared" si="306"/>
        <v>114127</v>
      </c>
      <c r="Y378" s="135">
        <f t="shared" si="306"/>
        <v>93472</v>
      </c>
      <c r="Z378" s="135">
        <f t="shared" si="306"/>
        <v>72421</v>
      </c>
      <c r="AA378" s="135">
        <f t="shared" si="306"/>
        <v>37496.000000000051</v>
      </c>
      <c r="AB378" s="135">
        <f t="shared" si="306"/>
        <v>139986.83752131811</v>
      </c>
      <c r="AC378" s="145">
        <f>SUM(Q378,R378,S378)</f>
        <v>235794</v>
      </c>
      <c r="AD378" s="145">
        <f>SUM(T378,U378,V378)</f>
        <v>261230</v>
      </c>
      <c r="AE378" s="145">
        <f>SUM(W378,X378,Y378)</f>
        <v>310629</v>
      </c>
      <c r="AF378" s="145">
        <f>SUM(Z378,AA378,AB378)</f>
        <v>249903.83752131817</v>
      </c>
      <c r="AG378" s="145">
        <f>AC378+AD378</f>
        <v>497024</v>
      </c>
      <c r="AH378" s="145">
        <f>AF378+AE378</f>
        <v>560532.83752131811</v>
      </c>
      <c r="AI378" s="145">
        <f>AG378+AH378</f>
        <v>1057556.8375213181</v>
      </c>
    </row>
    <row r="379" spans="1:35">
      <c r="A379" s="990">
        <v>1</v>
      </c>
      <c r="B379" s="990">
        <v>1</v>
      </c>
      <c r="C379" s="990">
        <v>379</v>
      </c>
      <c r="D379" s="1121" t="s">
        <v>999</v>
      </c>
      <c r="E379" s="1294" t="s">
        <v>1032</v>
      </c>
      <c r="F379" s="1295"/>
      <c r="G379" s="1241"/>
      <c r="K379" s="1122" t="s">
        <v>98</v>
      </c>
      <c r="L379" s="792"/>
      <c r="M379" s="792"/>
      <c r="N379" s="792"/>
      <c r="O379" s="792"/>
      <c r="P379" s="1055"/>
      <c r="Q379" s="2669">
        <f t="shared" ref="Q379:AI379" si="307">SUM(Q380:Q381)</f>
        <v>48483</v>
      </c>
      <c r="R379" s="2068">
        <f t="shared" si="307"/>
        <v>38047</v>
      </c>
      <c r="S379" s="2068">
        <f t="shared" si="307"/>
        <v>39470</v>
      </c>
      <c r="T379" s="2068">
        <f t="shared" si="307"/>
        <v>42225</v>
      </c>
      <c r="U379" s="2068">
        <f t="shared" si="307"/>
        <v>51052</v>
      </c>
      <c r="V379" s="2068">
        <f t="shared" si="307"/>
        <v>47758</v>
      </c>
      <c r="W379" s="2163">
        <f t="shared" si="307"/>
        <v>58030</v>
      </c>
      <c r="X379" s="2163">
        <f t="shared" si="307"/>
        <v>54473</v>
      </c>
      <c r="Y379" s="2163">
        <f t="shared" si="307"/>
        <v>46276</v>
      </c>
      <c r="Z379" s="2164">
        <f t="shared" si="307"/>
        <v>42350</v>
      </c>
      <c r="AA379" s="2164">
        <f t="shared" si="307"/>
        <v>36089.437518303414</v>
      </c>
      <c r="AB379" s="2164">
        <f t="shared" si="307"/>
        <v>65602.6662293564</v>
      </c>
      <c r="AC379" s="2164">
        <f t="shared" si="307"/>
        <v>126000</v>
      </c>
      <c r="AD379" s="2164">
        <f t="shared" si="307"/>
        <v>141035</v>
      </c>
      <c r="AE379" s="2164">
        <f t="shared" si="307"/>
        <v>158779</v>
      </c>
      <c r="AF379" s="2164">
        <f t="shared" si="307"/>
        <v>144042.10374765983</v>
      </c>
      <c r="AG379" s="2164">
        <f t="shared" si="307"/>
        <v>267035</v>
      </c>
      <c r="AH379" s="2164">
        <f t="shared" si="307"/>
        <v>302821.10374765983</v>
      </c>
      <c r="AI379" s="2164">
        <f t="shared" si="307"/>
        <v>569856.10374765983</v>
      </c>
    </row>
    <row r="380" spans="1:35">
      <c r="A380" s="990">
        <v>1</v>
      </c>
      <c r="B380" s="990">
        <v>1</v>
      </c>
      <c r="C380" s="990">
        <v>380</v>
      </c>
      <c r="D380" s="1121" t="s">
        <v>999</v>
      </c>
      <c r="E380" s="1294" t="s">
        <v>1032</v>
      </c>
      <c r="F380" s="1295"/>
      <c r="G380" s="1241"/>
      <c r="K380" s="293"/>
      <c r="L380" s="40" t="s">
        <v>894</v>
      </c>
      <c r="P380" s="86"/>
      <c r="Q380" s="135">
        <f t="shared" ref="Q380:AB380" si="308">Q116</f>
        <v>21015</v>
      </c>
      <c r="R380" s="135">
        <f t="shared" si="308"/>
        <v>18733</v>
      </c>
      <c r="S380" s="135">
        <f t="shared" si="308"/>
        <v>13647</v>
      </c>
      <c r="T380" s="135">
        <f t="shared" si="308"/>
        <v>19538</v>
      </c>
      <c r="U380" s="135">
        <f t="shared" si="308"/>
        <v>26090</v>
      </c>
      <c r="V380" s="135">
        <f t="shared" si="308"/>
        <v>14971</v>
      </c>
      <c r="W380" s="135">
        <f t="shared" si="308"/>
        <v>26305</v>
      </c>
      <c r="X380" s="135">
        <f t="shared" si="308"/>
        <v>19977</v>
      </c>
      <c r="Y380" s="135">
        <f t="shared" si="308"/>
        <v>17493</v>
      </c>
      <c r="Z380" s="135">
        <f t="shared" si="308"/>
        <v>20050</v>
      </c>
      <c r="AA380" s="135">
        <f t="shared" si="308"/>
        <v>24544</v>
      </c>
      <c r="AB380" s="135">
        <f t="shared" si="308"/>
        <v>21713</v>
      </c>
      <c r="AC380" s="145">
        <f>SUM(Q380,R380,S380)</f>
        <v>53395</v>
      </c>
      <c r="AD380" s="145">
        <f>SUM(T380,U380,V380)</f>
        <v>60599</v>
      </c>
      <c r="AE380" s="145">
        <f>SUM(W380,X380,Y380)</f>
        <v>63775</v>
      </c>
      <c r="AF380" s="145">
        <f>SUM(Z380,AA380,AB380)</f>
        <v>66307</v>
      </c>
      <c r="AG380" s="145">
        <f>AC380+AD380</f>
        <v>113994</v>
      </c>
      <c r="AH380" s="145">
        <f>AF380+AE380</f>
        <v>130082</v>
      </c>
      <c r="AI380" s="145">
        <f>AG380+AH380</f>
        <v>244076</v>
      </c>
    </row>
    <row r="381" spans="1:35">
      <c r="A381" s="990">
        <v>1</v>
      </c>
      <c r="B381" s="990">
        <v>1</v>
      </c>
      <c r="C381" s="990">
        <v>381</v>
      </c>
      <c r="D381" s="1121" t="s">
        <v>999</v>
      </c>
      <c r="E381" s="1294" t="s">
        <v>1032</v>
      </c>
      <c r="F381" s="1295"/>
      <c r="G381" s="1241"/>
      <c r="K381" s="293"/>
      <c r="L381" s="40" t="s">
        <v>1071</v>
      </c>
      <c r="P381" s="86"/>
      <c r="Q381" s="135">
        <f t="shared" ref="Q381:AB381" si="309">Q120</f>
        <v>27468</v>
      </c>
      <c r="R381" s="135">
        <f t="shared" si="309"/>
        <v>19314</v>
      </c>
      <c r="S381" s="135">
        <f t="shared" si="309"/>
        <v>25823</v>
      </c>
      <c r="T381" s="135">
        <f t="shared" si="309"/>
        <v>22687</v>
      </c>
      <c r="U381" s="135">
        <f t="shared" si="309"/>
        <v>24962</v>
      </c>
      <c r="V381" s="135">
        <f t="shared" si="309"/>
        <v>32787</v>
      </c>
      <c r="W381" s="135">
        <f t="shared" si="309"/>
        <v>31725</v>
      </c>
      <c r="X381" s="135">
        <f t="shared" si="309"/>
        <v>34496</v>
      </c>
      <c r="Y381" s="135">
        <f t="shared" si="309"/>
        <v>28783</v>
      </c>
      <c r="Z381" s="135">
        <f t="shared" si="309"/>
        <v>22300</v>
      </c>
      <c r="AA381" s="135">
        <f t="shared" si="309"/>
        <v>11545.437518303417</v>
      </c>
      <c r="AB381" s="135">
        <f t="shared" si="309"/>
        <v>43889.6662293564</v>
      </c>
      <c r="AC381" s="145">
        <f>SUM(Q381,R381,S381)</f>
        <v>72605</v>
      </c>
      <c r="AD381" s="145">
        <f>SUM(T381,U381,V381)</f>
        <v>80436</v>
      </c>
      <c r="AE381" s="145">
        <f>SUM(W381,X381,Y381)</f>
        <v>95004</v>
      </c>
      <c r="AF381" s="145">
        <f>SUM(Z381,AA381,AB381)</f>
        <v>77735.103747659814</v>
      </c>
      <c r="AG381" s="145">
        <f>AC381+AD381</f>
        <v>153041</v>
      </c>
      <c r="AH381" s="145">
        <f>AF381+AE381</f>
        <v>172739.10374765983</v>
      </c>
      <c r="AI381" s="145">
        <f>AG381+AH381</f>
        <v>325780.10374765983</v>
      </c>
    </row>
    <row r="382" spans="1:35">
      <c r="A382" s="990">
        <v>1</v>
      </c>
      <c r="B382" s="990">
        <v>1</v>
      </c>
      <c r="C382" s="990">
        <v>382</v>
      </c>
      <c r="D382" s="1121" t="s">
        <v>999</v>
      </c>
      <c r="E382" s="1294" t="s">
        <v>1032</v>
      </c>
      <c r="F382" s="1295"/>
      <c r="G382" s="1241"/>
      <c r="K382" s="1123"/>
      <c r="L382" s="1257" t="s">
        <v>1072</v>
      </c>
      <c r="M382" s="12"/>
      <c r="N382" s="12"/>
      <c r="O382" s="12"/>
      <c r="P382" s="85"/>
      <c r="Q382" s="1138">
        <f>IFERROR(Q381/Q$378,0)</f>
        <v>0.3079234115062105</v>
      </c>
      <c r="R382" s="1138">
        <f t="shared" ref="R382:AI382" si="310">IFERROR(R381/R$378,0)</f>
        <v>0.30791550418493424</v>
      </c>
      <c r="S382" s="1138">
        <f t="shared" si="310"/>
        <v>0.30791152447385678</v>
      </c>
      <c r="T382" s="1138">
        <f t="shared" si="310"/>
        <v>0.30790841600955471</v>
      </c>
      <c r="U382" s="1138">
        <f t="shared" si="310"/>
        <v>0.30791814178395649</v>
      </c>
      <c r="V382" s="1138">
        <f t="shared" si="310"/>
        <v>0.30791119625852259</v>
      </c>
      <c r="W382" s="1138">
        <f t="shared" si="310"/>
        <v>0.30792002329418616</v>
      </c>
      <c r="X382" s="1138">
        <f t="shared" si="310"/>
        <v>0.30225976324620818</v>
      </c>
      <c r="Y382" s="1138">
        <f t="shared" si="310"/>
        <v>0.3079317870592263</v>
      </c>
      <c r="Z382" s="1138">
        <f t="shared" si="310"/>
        <v>0.30792173540823792</v>
      </c>
      <c r="AA382" s="1138">
        <f t="shared" si="310"/>
        <v>0.30791117768037662</v>
      </c>
      <c r="AB382" s="1138">
        <f t="shared" si="310"/>
        <v>0.31352709302167492</v>
      </c>
      <c r="AC382" s="1138">
        <f t="shared" si="310"/>
        <v>0.3079170801631933</v>
      </c>
      <c r="AD382" s="1138">
        <f t="shared" si="310"/>
        <v>0.30791256746927992</v>
      </c>
      <c r="AE382" s="1138">
        <f t="shared" si="310"/>
        <v>0.30584394889079897</v>
      </c>
      <c r="AF382" s="1138">
        <f t="shared" si="310"/>
        <v>0.31106006421781573</v>
      </c>
      <c r="AG382" s="1138">
        <f t="shared" si="310"/>
        <v>0.30791470834406387</v>
      </c>
      <c r="AH382" s="1138">
        <f t="shared" si="310"/>
        <v>0.30816946338329421</v>
      </c>
      <c r="AI382" s="1138">
        <f t="shared" si="310"/>
        <v>0.30804973519079798</v>
      </c>
    </row>
    <row r="383" spans="1:35">
      <c r="A383" s="990">
        <v>1</v>
      </c>
      <c r="B383" s="990">
        <v>1</v>
      </c>
      <c r="C383" s="990">
        <v>383</v>
      </c>
      <c r="D383" s="1121" t="s">
        <v>999</v>
      </c>
      <c r="E383" s="1294" t="s">
        <v>1032</v>
      </c>
      <c r="F383" s="1295"/>
      <c r="G383" s="1241"/>
      <c r="K383" s="1131" t="s">
        <v>1035</v>
      </c>
      <c r="L383" s="804"/>
      <c r="M383" s="805"/>
      <c r="N383" s="805"/>
      <c r="O383" s="805"/>
      <c r="P383" s="1132"/>
      <c r="Q383" s="2670">
        <f t="shared" ref="Q383:AI383" si="311">SUM(Q384:Q385)</f>
        <v>90279</v>
      </c>
      <c r="R383" s="2067">
        <f t="shared" si="311"/>
        <v>70610</v>
      </c>
      <c r="S383" s="2067">
        <f t="shared" si="311"/>
        <v>74754</v>
      </c>
      <c r="T383" s="2067">
        <f t="shared" si="311"/>
        <v>77591</v>
      </c>
      <c r="U383" s="2067">
        <f t="shared" si="311"/>
        <v>83764</v>
      </c>
      <c r="V383" s="2067">
        <f t="shared" si="311"/>
        <v>92262</v>
      </c>
      <c r="W383" s="2051">
        <f t="shared" si="311"/>
        <v>103345</v>
      </c>
      <c r="X383" s="2051">
        <f t="shared" si="311"/>
        <v>110480</v>
      </c>
      <c r="Y383" s="2051">
        <f t="shared" si="311"/>
        <v>91083</v>
      </c>
      <c r="Z383" s="2165">
        <f t="shared" si="311"/>
        <v>81163</v>
      </c>
      <c r="AA383" s="2165">
        <f t="shared" si="311"/>
        <v>59010.221186422212</v>
      </c>
      <c r="AB383" s="2165">
        <f t="shared" si="311"/>
        <v>130704.58800697146</v>
      </c>
      <c r="AC383" s="2165">
        <f t="shared" si="311"/>
        <v>235643</v>
      </c>
      <c r="AD383" s="2165">
        <f t="shared" si="311"/>
        <v>253617</v>
      </c>
      <c r="AE383" s="2165">
        <f t="shared" si="311"/>
        <v>304908</v>
      </c>
      <c r="AF383" s="2165">
        <f t="shared" si="311"/>
        <v>270877.80919339368</v>
      </c>
      <c r="AG383" s="2165">
        <f t="shared" si="311"/>
        <v>489260</v>
      </c>
      <c r="AH383" s="2165">
        <f t="shared" si="311"/>
        <v>575785.80919339368</v>
      </c>
      <c r="AI383" s="2165">
        <f t="shared" si="311"/>
        <v>1065045.8091933937</v>
      </c>
    </row>
    <row r="384" spans="1:35">
      <c r="A384" s="990">
        <v>1</v>
      </c>
      <c r="B384" s="990">
        <v>1</v>
      </c>
      <c r="C384" s="990">
        <v>384</v>
      </c>
      <c r="D384" s="1121" t="s">
        <v>999</v>
      </c>
      <c r="E384" s="1294" t="s">
        <v>1032</v>
      </c>
      <c r="F384" s="1295"/>
      <c r="G384" s="1241"/>
      <c r="K384" s="293"/>
      <c r="L384" s="40" t="s">
        <v>894</v>
      </c>
      <c r="P384" s="86"/>
      <c r="Q384" s="135">
        <f t="shared" ref="Q384:AB384" si="312">Q170</f>
        <v>28543</v>
      </c>
      <c r="R384" s="135">
        <f t="shared" si="312"/>
        <v>27198</v>
      </c>
      <c r="S384" s="135">
        <f t="shared" si="312"/>
        <v>16712</v>
      </c>
      <c r="T384" s="135">
        <f t="shared" si="312"/>
        <v>26597</v>
      </c>
      <c r="U384" s="135">
        <f t="shared" si="312"/>
        <v>27659</v>
      </c>
      <c r="V384" s="135">
        <f t="shared" si="312"/>
        <v>18567</v>
      </c>
      <c r="W384" s="135">
        <f t="shared" si="312"/>
        <v>32040</v>
      </c>
      <c r="X384" s="135">
        <f t="shared" si="312"/>
        <v>31496</v>
      </c>
      <c r="Y384" s="135">
        <f t="shared" si="312"/>
        <v>26394</v>
      </c>
      <c r="Z384" s="135">
        <f t="shared" si="312"/>
        <v>31042</v>
      </c>
      <c r="AA384" s="135">
        <f t="shared" si="312"/>
        <v>33060</v>
      </c>
      <c r="AB384" s="135">
        <f t="shared" si="312"/>
        <v>34029</v>
      </c>
      <c r="AC384" s="145">
        <f>SUM(Q384,R384,S384)</f>
        <v>72453</v>
      </c>
      <c r="AD384" s="145">
        <f>SUM(T384,U384,V384)</f>
        <v>72823</v>
      </c>
      <c r="AE384" s="145">
        <f>SUM(W384,X384,Y384)</f>
        <v>89930</v>
      </c>
      <c r="AF384" s="145">
        <f>SUM(Z384,AA384,AB384)</f>
        <v>98131</v>
      </c>
      <c r="AG384" s="145">
        <f>AC384+AD384</f>
        <v>145276</v>
      </c>
      <c r="AH384" s="145">
        <f>AF384+AE384</f>
        <v>188061</v>
      </c>
      <c r="AI384" s="145">
        <f>AG384+AH384</f>
        <v>333337</v>
      </c>
    </row>
    <row r="385" spans="1:35">
      <c r="A385" s="990">
        <v>1</v>
      </c>
      <c r="B385" s="990">
        <v>1</v>
      </c>
      <c r="C385" s="990">
        <v>385</v>
      </c>
      <c r="D385" s="1121" t="s">
        <v>999</v>
      </c>
      <c r="E385" s="1294" t="s">
        <v>1032</v>
      </c>
      <c r="F385" s="1295"/>
      <c r="G385" s="1241"/>
      <c r="K385" s="293"/>
      <c r="L385" s="40" t="s">
        <v>1071</v>
      </c>
      <c r="P385" s="86"/>
      <c r="Q385" s="135">
        <f t="shared" ref="Q385:AB385" si="313">Q174</f>
        <v>61736</v>
      </c>
      <c r="R385" s="135">
        <f t="shared" si="313"/>
        <v>43412</v>
      </c>
      <c r="S385" s="135">
        <f t="shared" si="313"/>
        <v>58042</v>
      </c>
      <c r="T385" s="135">
        <f t="shared" si="313"/>
        <v>50994</v>
      </c>
      <c r="U385" s="135">
        <f t="shared" si="313"/>
        <v>56105</v>
      </c>
      <c r="V385" s="135">
        <f t="shared" si="313"/>
        <v>73695</v>
      </c>
      <c r="W385" s="135">
        <f t="shared" si="313"/>
        <v>71305</v>
      </c>
      <c r="X385" s="135">
        <f t="shared" si="313"/>
        <v>78984</v>
      </c>
      <c r="Y385" s="135">
        <f t="shared" si="313"/>
        <v>64689</v>
      </c>
      <c r="Z385" s="135">
        <f t="shared" si="313"/>
        <v>50121</v>
      </c>
      <c r="AA385" s="135">
        <f t="shared" si="313"/>
        <v>25950.221186422212</v>
      </c>
      <c r="AB385" s="135">
        <f t="shared" si="313"/>
        <v>96675.588006971462</v>
      </c>
      <c r="AC385" s="145">
        <f>SUM(Q385,R385,S385)</f>
        <v>163190</v>
      </c>
      <c r="AD385" s="145">
        <f>SUM(T385,U385,V385)</f>
        <v>180794</v>
      </c>
      <c r="AE385" s="145">
        <f>SUM(W385,X385,Y385)</f>
        <v>214978</v>
      </c>
      <c r="AF385" s="145">
        <f>SUM(Z385,AA385,AB385)</f>
        <v>172746.80919339368</v>
      </c>
      <c r="AG385" s="145">
        <f>AC385+AD385</f>
        <v>343984</v>
      </c>
      <c r="AH385" s="145">
        <f>AF385+AE385</f>
        <v>387724.80919339368</v>
      </c>
      <c r="AI385" s="145">
        <f>AG385+AH385</f>
        <v>731708.80919339368</v>
      </c>
    </row>
    <row r="386" spans="1:35">
      <c r="A386" s="990">
        <v>1</v>
      </c>
      <c r="B386" s="990">
        <v>1</v>
      </c>
      <c r="C386" s="990">
        <v>386</v>
      </c>
      <c r="D386" s="1121" t="s">
        <v>999</v>
      </c>
      <c r="E386" s="1294" t="s">
        <v>1032</v>
      </c>
      <c r="F386" s="1295"/>
      <c r="G386" s="1241"/>
      <c r="K386" s="1123"/>
      <c r="L386" s="1257" t="s">
        <v>1073</v>
      </c>
      <c r="M386" s="12"/>
      <c r="N386" s="12"/>
      <c r="O386" s="12"/>
      <c r="P386" s="85"/>
      <c r="Q386" s="1138">
        <f>IFERROR(Q385/Q$378,0)</f>
        <v>0.6920765884937895</v>
      </c>
      <c r="R386" s="1138">
        <f t="shared" ref="R386:AI386" si="314">IFERROR(R385/R$378,0)</f>
        <v>0.6921004384216819</v>
      </c>
      <c r="S386" s="1138">
        <f t="shared" si="314"/>
        <v>0.69208847552614317</v>
      </c>
      <c r="T386" s="1138">
        <f t="shared" si="314"/>
        <v>0.69209158399044535</v>
      </c>
      <c r="U386" s="1138">
        <f t="shared" si="314"/>
        <v>0.69208185821604351</v>
      </c>
      <c r="V386" s="1138">
        <f t="shared" si="314"/>
        <v>0.69208880374147741</v>
      </c>
      <c r="W386" s="1138">
        <f t="shared" si="314"/>
        <v>0.69207997670581389</v>
      </c>
      <c r="X386" s="1138">
        <f t="shared" si="314"/>
        <v>0.69207111375923314</v>
      </c>
      <c r="Y386" s="1138">
        <f t="shared" si="314"/>
        <v>0.6920682129407737</v>
      </c>
      <c r="Z386" s="1138">
        <f t="shared" si="314"/>
        <v>0.69207826459176203</v>
      </c>
      <c r="AA386" s="1138">
        <f t="shared" si="314"/>
        <v>0.69207972014140651</v>
      </c>
      <c r="AB386" s="1138">
        <f t="shared" si="314"/>
        <v>0.6906048434178611</v>
      </c>
      <c r="AC386" s="1138">
        <f t="shared" si="314"/>
        <v>0.69208716082682342</v>
      </c>
      <c r="AD386" s="1138">
        <f t="shared" si="314"/>
        <v>0.69208743253072003</v>
      </c>
      <c r="AE386" s="1138">
        <f t="shared" si="314"/>
        <v>0.69207318054656841</v>
      </c>
      <c r="AF386" s="1138">
        <f t="shared" si="314"/>
        <v>0.69125312723001875</v>
      </c>
      <c r="AG386" s="1138">
        <f t="shared" si="314"/>
        <v>0.69208730363121296</v>
      </c>
      <c r="AH386" s="1138">
        <f t="shared" si="314"/>
        <v>0.69170757400746885</v>
      </c>
      <c r="AI386" s="1138">
        <f t="shared" si="314"/>
        <v>0.6918860369796852</v>
      </c>
    </row>
    <row r="387" spans="1:35">
      <c r="A387" s="990">
        <v>1</v>
      </c>
      <c r="B387" s="990">
        <v>1</v>
      </c>
      <c r="C387" s="990">
        <v>387</v>
      </c>
      <c r="D387" s="1121" t="s">
        <v>999</v>
      </c>
      <c r="E387" s="1294" t="s">
        <v>1032</v>
      </c>
      <c r="F387" s="1295"/>
      <c r="G387" s="1241"/>
      <c r="I387" s="9"/>
      <c r="K387" s="1133" t="s">
        <v>1038</v>
      </c>
      <c r="L387" s="807"/>
      <c r="M387" s="808"/>
      <c r="N387" s="808"/>
      <c r="O387" s="808"/>
      <c r="P387" s="1134"/>
      <c r="Q387" s="2778">
        <f t="shared" ref="Q387:AI387" si="315">SUM(Q388:Q389)</f>
        <v>2389</v>
      </c>
      <c r="R387" s="2166">
        <f t="shared" si="315"/>
        <v>2371</v>
      </c>
      <c r="S387" s="2166">
        <f t="shared" si="315"/>
        <v>1325</v>
      </c>
      <c r="T387" s="2166">
        <f t="shared" si="315"/>
        <v>2122</v>
      </c>
      <c r="U387" s="2166">
        <f t="shared" si="315"/>
        <v>2279</v>
      </c>
      <c r="V387" s="2166">
        <f t="shared" si="315"/>
        <v>929</v>
      </c>
      <c r="W387" s="2167">
        <f t="shared" si="315"/>
        <v>2289</v>
      </c>
      <c r="X387" s="2167">
        <f t="shared" si="315"/>
        <v>2268</v>
      </c>
      <c r="Y387" s="2167">
        <f t="shared" si="315"/>
        <v>1777</v>
      </c>
      <c r="Z387" s="2168">
        <f t="shared" si="315"/>
        <v>2106</v>
      </c>
      <c r="AA387" s="2168">
        <f t="shared" si="315"/>
        <v>3127.3412952744152</v>
      </c>
      <c r="AB387" s="2168">
        <f t="shared" si="315"/>
        <v>1206.2545536721029</v>
      </c>
      <c r="AC387" s="2168">
        <f t="shared" si="315"/>
        <v>6085</v>
      </c>
      <c r="AD387" s="2168">
        <f t="shared" si="315"/>
        <v>5330</v>
      </c>
      <c r="AE387" s="2168">
        <f t="shared" si="315"/>
        <v>6334</v>
      </c>
      <c r="AF387" s="2168">
        <f t="shared" si="315"/>
        <v>6439.5958489465174</v>
      </c>
      <c r="AG387" s="2168">
        <f t="shared" si="315"/>
        <v>11415</v>
      </c>
      <c r="AH387" s="2168">
        <f t="shared" si="315"/>
        <v>12773.595848946519</v>
      </c>
      <c r="AI387" s="2168">
        <f t="shared" si="315"/>
        <v>24188.595848946519</v>
      </c>
    </row>
    <row r="388" spans="1:35">
      <c r="A388" s="990">
        <v>1</v>
      </c>
      <c r="B388" s="990">
        <v>1</v>
      </c>
      <c r="C388" s="990">
        <v>388</v>
      </c>
      <c r="D388" s="1121" t="s">
        <v>999</v>
      </c>
      <c r="E388" s="1294" t="s">
        <v>1032</v>
      </c>
      <c r="F388" s="1295"/>
      <c r="G388" s="1241"/>
      <c r="I388" s="9"/>
      <c r="K388" s="293"/>
      <c r="L388" s="40" t="s">
        <v>894</v>
      </c>
      <c r="P388" s="86"/>
      <c r="Q388" s="135">
        <f t="shared" ref="Q388:AB388" si="316">Q252</f>
        <v>2389</v>
      </c>
      <c r="R388" s="135">
        <f t="shared" si="316"/>
        <v>2371</v>
      </c>
      <c r="S388" s="135">
        <f t="shared" si="316"/>
        <v>1325</v>
      </c>
      <c r="T388" s="135">
        <f t="shared" si="316"/>
        <v>2122</v>
      </c>
      <c r="U388" s="135">
        <f t="shared" si="316"/>
        <v>2279</v>
      </c>
      <c r="V388" s="135">
        <f t="shared" si="316"/>
        <v>929</v>
      </c>
      <c r="W388" s="135">
        <f t="shared" si="316"/>
        <v>2289</v>
      </c>
      <c r="X388" s="135">
        <f t="shared" si="316"/>
        <v>2268</v>
      </c>
      <c r="Y388" s="135">
        <f t="shared" si="316"/>
        <v>1777</v>
      </c>
      <c r="Z388" s="135">
        <f t="shared" si="316"/>
        <v>2106</v>
      </c>
      <c r="AA388" s="135">
        <f t="shared" si="316"/>
        <v>3127</v>
      </c>
      <c r="AB388" s="135">
        <f t="shared" si="316"/>
        <v>1733.0556686818518</v>
      </c>
      <c r="AC388" s="145">
        <f>SUM(Q388,R388,S388)</f>
        <v>6085</v>
      </c>
      <c r="AD388" s="145">
        <f>SUM(T388,U388,V388)</f>
        <v>5330</v>
      </c>
      <c r="AE388" s="145">
        <f>SUM(W388,X388,Y388)</f>
        <v>6334</v>
      </c>
      <c r="AF388" s="145">
        <f>SUM(Z388,AA388,AB388)</f>
        <v>6966.0556686818518</v>
      </c>
      <c r="AG388" s="145">
        <f>AC388+AD388</f>
        <v>11415</v>
      </c>
      <c r="AH388" s="145">
        <f>AF388+AE388</f>
        <v>13300.055668681853</v>
      </c>
      <c r="AI388" s="145">
        <f>AG388+AH388</f>
        <v>24715.055668681853</v>
      </c>
    </row>
    <row r="389" spans="1:35">
      <c r="A389" s="990">
        <v>1</v>
      </c>
      <c r="B389" s="990">
        <v>1</v>
      </c>
      <c r="C389" s="990">
        <v>389</v>
      </c>
      <c r="D389" s="1121" t="s">
        <v>999</v>
      </c>
      <c r="E389" s="1294" t="s">
        <v>1032</v>
      </c>
      <c r="F389" s="1295"/>
      <c r="G389" s="1241"/>
      <c r="I389" s="9"/>
      <c r="K389" s="293"/>
      <c r="L389" s="40" t="s">
        <v>1071</v>
      </c>
      <c r="P389" s="86"/>
      <c r="Q389" s="135">
        <f t="shared" ref="Q389:AB389" si="317">Q256</f>
        <v>0</v>
      </c>
      <c r="R389" s="135">
        <f t="shared" si="317"/>
        <v>0</v>
      </c>
      <c r="S389" s="135">
        <f t="shared" si="317"/>
        <v>0</v>
      </c>
      <c r="T389" s="135">
        <f t="shared" si="317"/>
        <v>0</v>
      </c>
      <c r="U389" s="135">
        <f t="shared" si="317"/>
        <v>0</v>
      </c>
      <c r="V389" s="135">
        <f t="shared" si="317"/>
        <v>0</v>
      </c>
      <c r="W389" s="135">
        <f t="shared" si="317"/>
        <v>0</v>
      </c>
      <c r="X389" s="135">
        <f t="shared" si="317"/>
        <v>0</v>
      </c>
      <c r="Y389" s="135">
        <f t="shared" si="317"/>
        <v>0</v>
      </c>
      <c r="Z389" s="135">
        <f t="shared" si="317"/>
        <v>0</v>
      </c>
      <c r="AA389" s="135">
        <f t="shared" si="317"/>
        <v>0.34129527441497487</v>
      </c>
      <c r="AB389" s="135">
        <f t="shared" si="317"/>
        <v>-526.80111500974886</v>
      </c>
      <c r="AC389" s="145">
        <f>SUM(Q389,R389,S389)</f>
        <v>0</v>
      </c>
      <c r="AD389" s="145">
        <f>SUM(T389,U389,V389)</f>
        <v>0</v>
      </c>
      <c r="AE389" s="145">
        <f>SUM(W389,X389,Y389)</f>
        <v>0</v>
      </c>
      <c r="AF389" s="145">
        <f>SUM(Z389,AA389,AB389)</f>
        <v>-526.45981973533389</v>
      </c>
      <c r="AG389" s="145">
        <f>AC389+AD389</f>
        <v>0</v>
      </c>
      <c r="AH389" s="145">
        <f>AF389+AE389</f>
        <v>-526.45981973533389</v>
      </c>
      <c r="AI389" s="145">
        <f>AG389+AH389</f>
        <v>-526.45981973533389</v>
      </c>
    </row>
    <row r="390" spans="1:35">
      <c r="A390" s="990">
        <v>1</v>
      </c>
      <c r="B390" s="990">
        <v>1</v>
      </c>
      <c r="C390" s="990">
        <v>390</v>
      </c>
      <c r="D390" s="1121" t="s">
        <v>999</v>
      </c>
      <c r="E390" s="1294" t="s">
        <v>1032</v>
      </c>
      <c r="F390" s="1295"/>
      <c r="G390" s="1241"/>
      <c r="I390" s="9"/>
      <c r="K390" s="195"/>
      <c r="L390" s="1257" t="s">
        <v>1074</v>
      </c>
      <c r="M390" s="10"/>
      <c r="N390" s="10"/>
      <c r="O390" s="10"/>
      <c r="P390" s="86"/>
      <c r="Q390" s="1138">
        <f>IFERROR(Q389/Q$378,0)</f>
        <v>0</v>
      </c>
      <c r="R390" s="1138">
        <f t="shared" ref="R390:AI390" si="318">IFERROR(R389/R$378,0)</f>
        <v>0</v>
      </c>
      <c r="S390" s="1138">
        <f t="shared" si="318"/>
        <v>0</v>
      </c>
      <c r="T390" s="1138">
        <f t="shared" si="318"/>
        <v>0</v>
      </c>
      <c r="U390" s="1138">
        <f t="shared" si="318"/>
        <v>0</v>
      </c>
      <c r="V390" s="1138">
        <f t="shared" si="318"/>
        <v>0</v>
      </c>
      <c r="W390" s="1138">
        <f t="shared" si="318"/>
        <v>0</v>
      </c>
      <c r="X390" s="1138">
        <f t="shared" si="318"/>
        <v>0</v>
      </c>
      <c r="Y390" s="1138">
        <f t="shared" si="318"/>
        <v>0</v>
      </c>
      <c r="Z390" s="1138">
        <f t="shared" si="318"/>
        <v>0</v>
      </c>
      <c r="AA390" s="1138">
        <f t="shared" si="318"/>
        <v>9.1021782167424367E-6</v>
      </c>
      <c r="AB390" s="1138">
        <f t="shared" si="318"/>
        <v>-3.763218916417939E-3</v>
      </c>
      <c r="AC390" s="1138">
        <f t="shared" si="318"/>
        <v>0</v>
      </c>
      <c r="AD390" s="1138">
        <f t="shared" si="318"/>
        <v>0</v>
      </c>
      <c r="AE390" s="1138">
        <f t="shared" si="318"/>
        <v>0</v>
      </c>
      <c r="AF390" s="1138">
        <f t="shared" si="318"/>
        <v>-2.1066496015309248E-3</v>
      </c>
      <c r="AG390" s="1138">
        <f t="shared" si="318"/>
        <v>0</v>
      </c>
      <c r="AH390" s="1138">
        <f t="shared" si="318"/>
        <v>-9.3921316378777115E-4</v>
      </c>
      <c r="AI390" s="1138">
        <f t="shared" si="318"/>
        <v>-4.9780758920649649E-4</v>
      </c>
    </row>
    <row r="391" spans="1:35">
      <c r="A391" s="990">
        <v>1</v>
      </c>
      <c r="B391" s="990">
        <v>1</v>
      </c>
      <c r="C391" s="990">
        <v>391</v>
      </c>
      <c r="D391" s="1121" t="s">
        <v>999</v>
      </c>
      <c r="E391" s="1294" t="s">
        <v>1032</v>
      </c>
      <c r="F391" s="1295"/>
      <c r="G391" s="1241"/>
      <c r="I391" s="9"/>
      <c r="K391" s="1135" t="s">
        <v>1075</v>
      </c>
      <c r="L391" s="810"/>
      <c r="M391" s="810"/>
      <c r="N391" s="810"/>
      <c r="O391" s="810"/>
      <c r="P391" s="1136"/>
      <c r="Q391" s="2671">
        <f t="shared" ref="Q391:AI391" si="319">SUM(Q392:Q393)</f>
        <v>0</v>
      </c>
      <c r="R391" s="2066">
        <f t="shared" si="319"/>
        <v>0</v>
      </c>
      <c r="S391" s="2066">
        <f t="shared" si="319"/>
        <v>0</v>
      </c>
      <c r="T391" s="2066">
        <f t="shared" si="319"/>
        <v>0</v>
      </c>
      <c r="U391" s="2066">
        <f t="shared" si="319"/>
        <v>0</v>
      </c>
      <c r="V391" s="2066">
        <f t="shared" si="319"/>
        <v>0</v>
      </c>
      <c r="W391" s="2169">
        <f t="shared" si="319"/>
        <v>0</v>
      </c>
      <c r="X391" s="2169">
        <f t="shared" si="319"/>
        <v>0</v>
      </c>
      <c r="Y391" s="2169">
        <f t="shared" si="319"/>
        <v>0</v>
      </c>
      <c r="Z391" s="2170">
        <f t="shared" si="319"/>
        <v>0</v>
      </c>
      <c r="AA391" s="2170">
        <f t="shared" si="319"/>
        <v>0</v>
      </c>
      <c r="AB391" s="2170">
        <f t="shared" si="319"/>
        <v>0</v>
      </c>
      <c r="AC391" s="2170">
        <f t="shared" si="319"/>
        <v>0</v>
      </c>
      <c r="AD391" s="2170">
        <f t="shared" si="319"/>
        <v>0</v>
      </c>
      <c r="AE391" s="2170">
        <f t="shared" si="319"/>
        <v>0</v>
      </c>
      <c r="AF391" s="2170">
        <f t="shared" si="319"/>
        <v>0</v>
      </c>
      <c r="AG391" s="2170">
        <f t="shared" si="319"/>
        <v>0</v>
      </c>
      <c r="AH391" s="2170">
        <f t="shared" si="319"/>
        <v>0</v>
      </c>
      <c r="AI391" s="2170">
        <f t="shared" si="319"/>
        <v>0</v>
      </c>
    </row>
    <row r="392" spans="1:35">
      <c r="A392" s="990">
        <v>1</v>
      </c>
      <c r="B392" s="990">
        <v>1</v>
      </c>
      <c r="C392" s="990">
        <v>392</v>
      </c>
      <c r="D392" s="1121" t="s">
        <v>999</v>
      </c>
      <c r="E392" s="1294" t="s">
        <v>1032</v>
      </c>
      <c r="F392" s="1295"/>
      <c r="G392" s="1241"/>
      <c r="I392" s="9"/>
      <c r="K392" s="293"/>
      <c r="L392" s="40" t="s">
        <v>894</v>
      </c>
      <c r="P392" s="86"/>
      <c r="Q392" s="135">
        <f t="shared" ref="Q392:AB392" si="320">Q315</f>
        <v>0</v>
      </c>
      <c r="R392" s="135">
        <f t="shared" si="320"/>
        <v>0</v>
      </c>
      <c r="S392" s="135">
        <f t="shared" si="320"/>
        <v>0</v>
      </c>
      <c r="T392" s="135">
        <f t="shared" si="320"/>
        <v>0</v>
      </c>
      <c r="U392" s="135">
        <f t="shared" si="320"/>
        <v>0</v>
      </c>
      <c r="V392" s="135">
        <f t="shared" si="320"/>
        <v>0</v>
      </c>
      <c r="W392" s="135">
        <f t="shared" si="320"/>
        <v>0</v>
      </c>
      <c r="X392" s="135">
        <f t="shared" si="320"/>
        <v>0</v>
      </c>
      <c r="Y392" s="135">
        <f t="shared" si="320"/>
        <v>0</v>
      </c>
      <c r="Z392" s="135">
        <f t="shared" si="320"/>
        <v>0</v>
      </c>
      <c r="AA392" s="135">
        <f t="shared" si="320"/>
        <v>0</v>
      </c>
      <c r="AB392" s="135">
        <f t="shared" si="320"/>
        <v>0</v>
      </c>
      <c r="AC392" s="145">
        <f>SUM(Q392,R392,S392)</f>
        <v>0</v>
      </c>
      <c r="AD392" s="145">
        <f>SUM(T392,U392,V392)</f>
        <v>0</v>
      </c>
      <c r="AE392" s="145">
        <f>SUM(W392,X392,Y392)</f>
        <v>0</v>
      </c>
      <c r="AF392" s="145">
        <f>SUM(Z392,AA392,AB392)</f>
        <v>0</v>
      </c>
      <c r="AG392" s="145">
        <f>AC392+AD392</f>
        <v>0</v>
      </c>
      <c r="AH392" s="145">
        <f>AF392+AE392</f>
        <v>0</v>
      </c>
      <c r="AI392" s="145">
        <f>AG392+AH392</f>
        <v>0</v>
      </c>
    </row>
    <row r="393" spans="1:35">
      <c r="A393" s="990">
        <v>1</v>
      </c>
      <c r="B393" s="990">
        <v>1</v>
      </c>
      <c r="C393" s="990">
        <v>393</v>
      </c>
      <c r="D393" s="1121" t="s">
        <v>999</v>
      </c>
      <c r="E393" s="1294" t="s">
        <v>1032</v>
      </c>
      <c r="F393" s="1295"/>
      <c r="G393" s="1241"/>
      <c r="I393" s="9"/>
      <c r="K393" s="293"/>
      <c r="L393" s="40" t="s">
        <v>1071</v>
      </c>
      <c r="P393" s="86"/>
      <c r="Q393" s="135">
        <f t="shared" ref="Q393:AB393" si="321">Q319</f>
        <v>0</v>
      </c>
      <c r="R393" s="135">
        <f t="shared" si="321"/>
        <v>0</v>
      </c>
      <c r="S393" s="135">
        <f t="shared" si="321"/>
        <v>0</v>
      </c>
      <c r="T393" s="135">
        <f t="shared" si="321"/>
        <v>0</v>
      </c>
      <c r="U393" s="135">
        <f t="shared" si="321"/>
        <v>0</v>
      </c>
      <c r="V393" s="135">
        <f t="shared" si="321"/>
        <v>0</v>
      </c>
      <c r="W393" s="135">
        <f t="shared" si="321"/>
        <v>0</v>
      </c>
      <c r="X393" s="135">
        <f t="shared" si="321"/>
        <v>0</v>
      </c>
      <c r="Y393" s="135">
        <f t="shared" si="321"/>
        <v>0</v>
      </c>
      <c r="Z393" s="135">
        <f t="shared" si="321"/>
        <v>0</v>
      </c>
      <c r="AA393" s="135">
        <f t="shared" si="321"/>
        <v>0</v>
      </c>
      <c r="AB393" s="135">
        <f t="shared" si="321"/>
        <v>0</v>
      </c>
      <c r="AC393" s="145">
        <f>SUM(Q393,R393,S393)</f>
        <v>0</v>
      </c>
      <c r="AD393" s="145">
        <f>SUM(T393,U393,V393)</f>
        <v>0</v>
      </c>
      <c r="AE393" s="145">
        <f>SUM(W393,X393,Y393)</f>
        <v>0</v>
      </c>
      <c r="AF393" s="145">
        <f>SUM(Z393,AA393,AB393)</f>
        <v>0</v>
      </c>
      <c r="AG393" s="145">
        <f>AC393+AD393</f>
        <v>0</v>
      </c>
      <c r="AH393" s="145">
        <f>AF393+AE393</f>
        <v>0</v>
      </c>
      <c r="AI393" s="145">
        <f>AG393+AH393</f>
        <v>0</v>
      </c>
    </row>
    <row r="394" spans="1:35">
      <c r="A394" s="990">
        <v>1</v>
      </c>
      <c r="B394" s="990">
        <v>1</v>
      </c>
      <c r="C394" s="990">
        <v>394</v>
      </c>
      <c r="D394" s="1121" t="s">
        <v>999</v>
      </c>
      <c r="E394" s="1294" t="s">
        <v>1032</v>
      </c>
      <c r="F394" s="1295"/>
      <c r="G394" s="1241"/>
      <c r="I394" s="9"/>
      <c r="K394" s="195"/>
      <c r="L394" s="1257" t="s">
        <v>1076</v>
      </c>
      <c r="M394" s="10"/>
      <c r="N394" s="10"/>
      <c r="O394" s="10"/>
      <c r="P394" s="86"/>
      <c r="Q394" s="1138">
        <f>IFERROR(Q393/Q$378,0)</f>
        <v>0</v>
      </c>
      <c r="R394" s="1138">
        <f t="shared" ref="R394:AI394" si="322">IFERROR(R393/R$378,0)</f>
        <v>0</v>
      </c>
      <c r="S394" s="1138">
        <f t="shared" si="322"/>
        <v>0</v>
      </c>
      <c r="T394" s="1138">
        <f t="shared" si="322"/>
        <v>0</v>
      </c>
      <c r="U394" s="1138">
        <f t="shared" si="322"/>
        <v>0</v>
      </c>
      <c r="V394" s="1138">
        <f t="shared" si="322"/>
        <v>0</v>
      </c>
      <c r="W394" s="1138">
        <f t="shared" si="322"/>
        <v>0</v>
      </c>
      <c r="X394" s="1138">
        <f t="shared" si="322"/>
        <v>0</v>
      </c>
      <c r="Y394" s="1138">
        <f t="shared" si="322"/>
        <v>0</v>
      </c>
      <c r="Z394" s="1138">
        <f t="shared" si="322"/>
        <v>0</v>
      </c>
      <c r="AA394" s="1138">
        <f t="shared" si="322"/>
        <v>0</v>
      </c>
      <c r="AB394" s="1138">
        <f t="shared" si="322"/>
        <v>0</v>
      </c>
      <c r="AC394" s="1138">
        <f t="shared" si="322"/>
        <v>0</v>
      </c>
      <c r="AD394" s="1138">
        <f t="shared" si="322"/>
        <v>0</v>
      </c>
      <c r="AE394" s="1138">
        <f t="shared" si="322"/>
        <v>0</v>
      </c>
      <c r="AF394" s="1138">
        <f t="shared" si="322"/>
        <v>0</v>
      </c>
      <c r="AG394" s="1138">
        <f t="shared" si="322"/>
        <v>0</v>
      </c>
      <c r="AH394" s="1138">
        <f t="shared" si="322"/>
        <v>0</v>
      </c>
      <c r="AI394" s="1138">
        <f t="shared" si="322"/>
        <v>0</v>
      </c>
    </row>
    <row r="395" spans="1:35">
      <c r="A395" s="990">
        <v>1</v>
      </c>
      <c r="B395" s="990">
        <v>1</v>
      </c>
      <c r="C395" s="990">
        <v>395</v>
      </c>
      <c r="D395" s="1121" t="s">
        <v>999</v>
      </c>
      <c r="E395" s="1294" t="s">
        <v>1032</v>
      </c>
      <c r="F395" s="1295"/>
      <c r="G395" s="1241"/>
      <c r="I395" s="9"/>
      <c r="K395" s="1234" t="s">
        <v>1063</v>
      </c>
      <c r="L395" s="812"/>
      <c r="M395" s="813"/>
      <c r="N395" s="813"/>
      <c r="O395" s="813"/>
      <c r="P395" s="1124"/>
      <c r="Q395" s="2635">
        <f>SUM(Q396:Q397)</f>
        <v>624</v>
      </c>
      <c r="R395" s="2635">
        <f t="shared" ref="R395:AI395" si="323">SUM(R396:R397)</f>
        <v>597</v>
      </c>
      <c r="S395" s="2635">
        <f t="shared" si="323"/>
        <v>437</v>
      </c>
      <c r="T395" s="2635">
        <f t="shared" si="323"/>
        <v>696</v>
      </c>
      <c r="U395" s="2635">
        <f t="shared" si="323"/>
        <v>852</v>
      </c>
      <c r="V395" s="2635">
        <f t="shared" si="323"/>
        <v>377</v>
      </c>
      <c r="W395" s="2635">
        <f t="shared" si="323"/>
        <v>697</v>
      </c>
      <c r="X395" s="2635">
        <f t="shared" si="323"/>
        <v>1612</v>
      </c>
      <c r="Y395" s="2635">
        <f t="shared" si="323"/>
        <v>2312</v>
      </c>
      <c r="Z395" s="2635">
        <f t="shared" si="323"/>
        <v>1379</v>
      </c>
      <c r="AA395" s="2635">
        <f t="shared" si="323"/>
        <v>1688</v>
      </c>
      <c r="AB395" s="2635">
        <f t="shared" si="323"/>
        <v>2668.3843999999999</v>
      </c>
      <c r="AC395" s="2635">
        <f t="shared" si="323"/>
        <v>1658</v>
      </c>
      <c r="AD395" s="2635">
        <f t="shared" si="323"/>
        <v>1925</v>
      </c>
      <c r="AE395" s="2635">
        <f t="shared" si="323"/>
        <v>4621</v>
      </c>
      <c r="AF395" s="2635">
        <f t="shared" si="323"/>
        <v>5735.3843999999999</v>
      </c>
      <c r="AG395" s="2635">
        <f t="shared" si="323"/>
        <v>3583</v>
      </c>
      <c r="AH395" s="2635">
        <f t="shared" si="323"/>
        <v>10356.384399999999</v>
      </c>
      <c r="AI395" s="2635">
        <f t="shared" si="323"/>
        <v>13939.384399999999</v>
      </c>
    </row>
    <row r="396" spans="1:35">
      <c r="A396" s="990">
        <v>1</v>
      </c>
      <c r="B396" s="990">
        <v>1</v>
      </c>
      <c r="C396" s="990">
        <v>396</v>
      </c>
      <c r="D396" s="1121" t="s">
        <v>999</v>
      </c>
      <c r="E396" s="1294" t="s">
        <v>1032</v>
      </c>
      <c r="F396" s="1295"/>
      <c r="G396" s="1241"/>
      <c r="I396" s="9"/>
      <c r="K396" s="293"/>
      <c r="L396" s="40" t="s">
        <v>894</v>
      </c>
      <c r="P396" s="86"/>
      <c r="Q396" s="135">
        <f t="shared" ref="Q396:AB396" si="324">Q365</f>
        <v>624</v>
      </c>
      <c r="R396" s="135">
        <f t="shared" si="324"/>
        <v>598</v>
      </c>
      <c r="S396" s="135">
        <f t="shared" si="324"/>
        <v>437</v>
      </c>
      <c r="T396" s="135">
        <f t="shared" si="324"/>
        <v>696</v>
      </c>
      <c r="U396" s="135">
        <f t="shared" si="324"/>
        <v>852</v>
      </c>
      <c r="V396" s="135">
        <f t="shared" si="324"/>
        <v>377</v>
      </c>
      <c r="W396" s="135">
        <f t="shared" si="324"/>
        <v>697</v>
      </c>
      <c r="X396" s="135">
        <f t="shared" si="324"/>
        <v>965</v>
      </c>
      <c r="Y396" s="135">
        <f t="shared" si="324"/>
        <v>2312</v>
      </c>
      <c r="Z396" s="135">
        <f t="shared" si="324"/>
        <v>1379</v>
      </c>
      <c r="AA396" s="135">
        <f t="shared" si="324"/>
        <v>1688</v>
      </c>
      <c r="AB396" s="135">
        <f t="shared" si="324"/>
        <v>2720</v>
      </c>
      <c r="AC396" s="145">
        <f>SUM(Q396,R396,S396)</f>
        <v>1659</v>
      </c>
      <c r="AD396" s="145">
        <f>SUM(T396,U396,V396)</f>
        <v>1925</v>
      </c>
      <c r="AE396" s="145">
        <f>SUM(W396,X396,Y396)</f>
        <v>3974</v>
      </c>
      <c r="AF396" s="145">
        <f>SUM(Z396,AA396,AB396)</f>
        <v>5787</v>
      </c>
      <c r="AG396" s="145">
        <f>AC396+AD396</f>
        <v>3584</v>
      </c>
      <c r="AH396" s="145">
        <f>AF396+AE396</f>
        <v>9761</v>
      </c>
      <c r="AI396" s="145">
        <f>AG396+AH396</f>
        <v>13345</v>
      </c>
    </row>
    <row r="397" spans="1:35">
      <c r="A397" s="990">
        <v>1</v>
      </c>
      <c r="B397" s="990">
        <v>1</v>
      </c>
      <c r="C397" s="990">
        <v>397</v>
      </c>
      <c r="D397" s="1121" t="s">
        <v>999</v>
      </c>
      <c r="E397" s="1294" t="s">
        <v>1032</v>
      </c>
      <c r="F397" s="1295"/>
      <c r="G397" s="1241"/>
      <c r="I397" s="9"/>
      <c r="K397" s="293"/>
      <c r="L397" s="40" t="s">
        <v>1071</v>
      </c>
      <c r="P397" s="86"/>
      <c r="Q397" s="135">
        <f t="shared" ref="Q397:AB397" si="325">Q369</f>
        <v>0</v>
      </c>
      <c r="R397" s="135">
        <f t="shared" si="325"/>
        <v>-1</v>
      </c>
      <c r="S397" s="135">
        <f t="shared" si="325"/>
        <v>0</v>
      </c>
      <c r="T397" s="135">
        <f t="shared" si="325"/>
        <v>0</v>
      </c>
      <c r="U397" s="135">
        <f t="shared" si="325"/>
        <v>0</v>
      </c>
      <c r="V397" s="135">
        <f t="shared" si="325"/>
        <v>0</v>
      </c>
      <c r="W397" s="135">
        <f t="shared" si="325"/>
        <v>0</v>
      </c>
      <c r="X397" s="135">
        <f t="shared" si="325"/>
        <v>647</v>
      </c>
      <c r="Y397" s="135">
        <f t="shared" si="325"/>
        <v>0</v>
      </c>
      <c r="Z397" s="135">
        <f t="shared" si="325"/>
        <v>0</v>
      </c>
      <c r="AA397" s="135">
        <f t="shared" si="325"/>
        <v>0</v>
      </c>
      <c r="AB397" s="135">
        <f t="shared" si="325"/>
        <v>-51.615600000000086</v>
      </c>
      <c r="AC397" s="145">
        <f>SUM(Q397,R397,S397)</f>
        <v>-1</v>
      </c>
      <c r="AD397" s="145">
        <f>SUM(T397,U397,V397)</f>
        <v>0</v>
      </c>
      <c r="AE397" s="145">
        <f>SUM(W397,X397,Y397)</f>
        <v>647</v>
      </c>
      <c r="AF397" s="145">
        <f>SUM(Z397,AA397,AB397)</f>
        <v>-51.615600000000086</v>
      </c>
      <c r="AG397" s="145">
        <f>AC397+AD397</f>
        <v>-1</v>
      </c>
      <c r="AH397" s="145">
        <f>AF397+AE397</f>
        <v>595.38439999999991</v>
      </c>
      <c r="AI397" s="145">
        <f>AG397+AH397</f>
        <v>594.38439999999991</v>
      </c>
    </row>
    <row r="398" spans="1:35">
      <c r="A398" s="990">
        <v>1</v>
      </c>
      <c r="B398" s="990">
        <v>1</v>
      </c>
      <c r="C398" s="990">
        <v>398</v>
      </c>
      <c r="D398" s="1121" t="s">
        <v>999</v>
      </c>
      <c r="E398" s="1294" t="s">
        <v>1032</v>
      </c>
      <c r="F398" s="1295"/>
      <c r="G398" s="1241"/>
      <c r="I398" s="9"/>
      <c r="K398" s="194"/>
      <c r="L398" s="1257" t="s">
        <v>1077</v>
      </c>
      <c r="M398" s="18"/>
      <c r="N398" s="18"/>
      <c r="O398" s="18"/>
      <c r="P398" s="85"/>
      <c r="Q398" s="1138">
        <f>IFERROR(Q397/Q$378,0)</f>
        <v>0</v>
      </c>
      <c r="R398" s="1138">
        <f t="shared" ref="R398:AI398" si="326">IFERROR(R397/R$378,0)</f>
        <v>-1.5942606616181746E-5</v>
      </c>
      <c r="S398" s="1138">
        <f t="shared" si="326"/>
        <v>0</v>
      </c>
      <c r="T398" s="1138">
        <f t="shared" si="326"/>
        <v>0</v>
      </c>
      <c r="U398" s="1138">
        <f t="shared" si="326"/>
        <v>0</v>
      </c>
      <c r="V398" s="1138">
        <f t="shared" si="326"/>
        <v>0</v>
      </c>
      <c r="W398" s="1138">
        <f t="shared" si="326"/>
        <v>0</v>
      </c>
      <c r="X398" s="1138">
        <f t="shared" si="326"/>
        <v>5.6691229945586936E-3</v>
      </c>
      <c r="Y398" s="1138">
        <f t="shared" si="326"/>
        <v>0</v>
      </c>
      <c r="Z398" s="1138">
        <f t="shared" si="326"/>
        <v>0</v>
      </c>
      <c r="AA398" s="1138">
        <f t="shared" si="326"/>
        <v>0</v>
      </c>
      <c r="AB398" s="1138">
        <f t="shared" si="326"/>
        <v>-3.687175231181269E-4</v>
      </c>
      <c r="AC398" s="1138">
        <f t="shared" si="326"/>
        <v>-4.240990016709501E-6</v>
      </c>
      <c r="AD398" s="1138">
        <f t="shared" si="326"/>
        <v>0</v>
      </c>
      <c r="AE398" s="1138">
        <f t="shared" si="326"/>
        <v>2.0828705626325938E-3</v>
      </c>
      <c r="AF398" s="1138">
        <f t="shared" si="326"/>
        <v>-2.0654184630356862E-4</v>
      </c>
      <c r="AG398" s="1138">
        <f t="shared" si="326"/>
        <v>-2.0119752768477983E-6</v>
      </c>
      <c r="AH398" s="1138">
        <f t="shared" si="326"/>
        <v>1.0621757730248165E-3</v>
      </c>
      <c r="AI398" s="1138">
        <f t="shared" si="326"/>
        <v>5.6203541872331601E-4</v>
      </c>
    </row>
    <row r="399" spans="1:35">
      <c r="A399" s="990">
        <v>1</v>
      </c>
      <c r="B399" s="990">
        <v>1</v>
      </c>
      <c r="C399" s="990">
        <v>399</v>
      </c>
      <c r="E399" s="1243">
        <v>1</v>
      </c>
      <c r="Z399" s="163"/>
    </row>
    <row r="400" spans="1:35" ht="15.5">
      <c r="A400" s="990">
        <v>353</v>
      </c>
      <c r="B400" s="990">
        <v>1</v>
      </c>
      <c r="C400" s="990">
        <v>400</v>
      </c>
      <c r="E400" s="1243">
        <v>1</v>
      </c>
      <c r="F400" s="9"/>
      <c r="G400" s="461" t="s">
        <v>1078</v>
      </c>
    </row>
    <row r="401" spans="1:35">
      <c r="A401" s="990">
        <v>354</v>
      </c>
      <c r="B401" s="990">
        <v>1</v>
      </c>
      <c r="C401" s="990">
        <v>401</v>
      </c>
      <c r="E401" s="1243">
        <v>1</v>
      </c>
      <c r="H401" s="24" t="s">
        <v>98</v>
      </c>
      <c r="L401" s="4"/>
    </row>
    <row r="402" spans="1:35">
      <c r="A402" s="990">
        <v>355</v>
      </c>
      <c r="B402" s="990">
        <v>1</v>
      </c>
      <c r="C402" s="990">
        <v>402</v>
      </c>
      <c r="E402" s="1243">
        <v>1</v>
      </c>
      <c r="F402" s="93"/>
      <c r="G402" s="93"/>
      <c r="H402" s="14"/>
      <c r="I402" s="258"/>
      <c r="J402" s="555"/>
      <c r="K402" s="636"/>
      <c r="L402" s="636"/>
      <c r="M402" s="555"/>
      <c r="N402" s="555"/>
      <c r="O402" s="555"/>
      <c r="P402" s="1152"/>
      <c r="Q402" s="2175">
        <f>Q$10</f>
        <v>43922</v>
      </c>
      <c r="R402" s="2175">
        <f t="shared" ref="R402:AI402" si="327">R$10</f>
        <v>43952</v>
      </c>
      <c r="S402" s="2175">
        <f t="shared" si="327"/>
        <v>43983</v>
      </c>
      <c r="T402" s="2175">
        <f t="shared" si="327"/>
        <v>44013</v>
      </c>
      <c r="U402" s="2175">
        <f t="shared" si="327"/>
        <v>44044</v>
      </c>
      <c r="V402" s="2175">
        <f t="shared" si="327"/>
        <v>44075</v>
      </c>
      <c r="W402" s="2175">
        <f t="shared" si="327"/>
        <v>44105</v>
      </c>
      <c r="X402" s="2175">
        <f t="shared" si="327"/>
        <v>44136</v>
      </c>
      <c r="Y402" s="2175">
        <f t="shared" si="327"/>
        <v>44166</v>
      </c>
      <c r="Z402" s="2175">
        <f t="shared" si="327"/>
        <v>44197</v>
      </c>
      <c r="AA402" s="2175">
        <f t="shared" si="327"/>
        <v>44228</v>
      </c>
      <c r="AB402" s="2175">
        <f t="shared" si="327"/>
        <v>44256</v>
      </c>
      <c r="AC402" s="2591" t="str">
        <f t="shared" si="327"/>
        <v>Q1</v>
      </c>
      <c r="AD402" s="2591" t="str">
        <f t="shared" si="327"/>
        <v>Q2</v>
      </c>
      <c r="AE402" s="2591" t="str">
        <f t="shared" si="327"/>
        <v>Q3</v>
      </c>
      <c r="AF402" s="2591" t="str">
        <f t="shared" si="327"/>
        <v>Q4</v>
      </c>
      <c r="AG402" s="2591" t="str">
        <f t="shared" si="327"/>
        <v>1st H</v>
      </c>
      <c r="AH402" s="2591" t="str">
        <f t="shared" si="327"/>
        <v>2nd H</v>
      </c>
      <c r="AI402" s="2591" t="str">
        <f t="shared" si="327"/>
        <v>Yr.</v>
      </c>
    </row>
    <row r="403" spans="1:35">
      <c r="A403" s="990">
        <v>356</v>
      </c>
      <c r="B403" s="990">
        <v>1</v>
      </c>
      <c r="C403" s="990">
        <v>403</v>
      </c>
      <c r="E403" s="1243">
        <v>1</v>
      </c>
      <c r="I403" s="791" t="s">
        <v>9</v>
      </c>
      <c r="J403" s="792"/>
      <c r="K403" s="793"/>
      <c r="L403" s="793"/>
      <c r="M403" s="792"/>
      <c r="N403" s="792"/>
      <c r="O403" s="792"/>
      <c r="P403" s="1055"/>
      <c r="Q403" s="116">
        <f>Q404+Q420</f>
        <v>149052</v>
      </c>
      <c r="R403" s="116">
        <f t="shared" ref="R403:AI403" si="328">R404+R420</f>
        <v>75043</v>
      </c>
      <c r="S403" s="116">
        <f t="shared" si="328"/>
        <v>125222</v>
      </c>
      <c r="T403" s="116">
        <f t="shared" si="328"/>
        <v>161075</v>
      </c>
      <c r="U403" s="116">
        <f t="shared" si="328"/>
        <v>186018</v>
      </c>
      <c r="V403" s="116">
        <f t="shared" si="328"/>
        <v>262197</v>
      </c>
      <c r="W403" s="116">
        <f t="shared" si="328"/>
        <v>162787</v>
      </c>
      <c r="X403" s="116">
        <f t="shared" si="328"/>
        <v>203003</v>
      </c>
      <c r="Y403" s="116">
        <f t="shared" si="328"/>
        <v>247797</v>
      </c>
      <c r="Z403" s="116">
        <f t="shared" si="328"/>
        <v>167946</v>
      </c>
      <c r="AA403" s="116">
        <f t="shared" si="328"/>
        <v>170946</v>
      </c>
      <c r="AB403" s="116">
        <f t="shared" si="328"/>
        <v>241345</v>
      </c>
      <c r="AC403" s="116">
        <f t="shared" si="328"/>
        <v>349317</v>
      </c>
      <c r="AD403" s="116">
        <f t="shared" si="328"/>
        <v>609290</v>
      </c>
      <c r="AE403" s="116">
        <f t="shared" si="328"/>
        <v>613587</v>
      </c>
      <c r="AF403" s="116">
        <f t="shared" si="328"/>
        <v>580237</v>
      </c>
      <c r="AG403" s="116">
        <f t="shared" si="328"/>
        <v>958607</v>
      </c>
      <c r="AH403" s="116">
        <f t="shared" si="328"/>
        <v>1193824</v>
      </c>
      <c r="AI403" s="116">
        <f t="shared" si="328"/>
        <v>2152431</v>
      </c>
    </row>
    <row r="404" spans="1:35">
      <c r="A404" s="990">
        <v>357</v>
      </c>
      <c r="B404" s="990">
        <v>1</v>
      </c>
      <c r="C404" s="990">
        <v>404</v>
      </c>
      <c r="E404" s="1243">
        <v>1</v>
      </c>
      <c r="I404" s="106"/>
      <c r="J404" s="105"/>
      <c r="K404" s="74" t="s">
        <v>1022</v>
      </c>
      <c r="L404" s="74"/>
      <c r="M404" s="357"/>
      <c r="N404" s="357"/>
      <c r="O404" s="357"/>
      <c r="P404" s="358"/>
      <c r="Q404" s="403">
        <f>Q405+Q410+Q419</f>
        <v>39133</v>
      </c>
      <c r="R404" s="403">
        <f t="shared" ref="R404:AI404" si="329">R405+R410+R419</f>
        <v>33393</v>
      </c>
      <c r="S404" s="403">
        <f t="shared" si="329"/>
        <v>44124</v>
      </c>
      <c r="T404" s="403">
        <f t="shared" si="329"/>
        <v>50402</v>
      </c>
      <c r="U404" s="403">
        <f t="shared" si="329"/>
        <v>46355</v>
      </c>
      <c r="V404" s="403">
        <f t="shared" si="329"/>
        <v>55617</v>
      </c>
      <c r="W404" s="403">
        <f t="shared" si="329"/>
        <v>41299</v>
      </c>
      <c r="X404" s="403">
        <f t="shared" si="329"/>
        <v>46456</v>
      </c>
      <c r="Y404" s="403">
        <f t="shared" si="329"/>
        <v>46066</v>
      </c>
      <c r="Z404" s="403">
        <f t="shared" si="329"/>
        <v>46172</v>
      </c>
      <c r="AA404" s="403">
        <f t="shared" si="329"/>
        <v>45685</v>
      </c>
      <c r="AB404" s="403">
        <f t="shared" si="329"/>
        <v>53284</v>
      </c>
      <c r="AC404" s="403">
        <f t="shared" si="329"/>
        <v>116650</v>
      </c>
      <c r="AD404" s="403">
        <f t="shared" si="329"/>
        <v>152374</v>
      </c>
      <c r="AE404" s="403">
        <f t="shared" si="329"/>
        <v>133821</v>
      </c>
      <c r="AF404" s="403">
        <f t="shared" si="329"/>
        <v>145141</v>
      </c>
      <c r="AG404" s="403">
        <f t="shared" si="329"/>
        <v>269024</v>
      </c>
      <c r="AH404" s="403">
        <f t="shared" si="329"/>
        <v>278962</v>
      </c>
      <c r="AI404" s="403">
        <f t="shared" si="329"/>
        <v>547986</v>
      </c>
    </row>
    <row r="405" spans="1:35">
      <c r="A405" s="990">
        <v>358</v>
      </c>
      <c r="B405" s="990">
        <v>1</v>
      </c>
      <c r="C405" s="990">
        <v>405</v>
      </c>
      <c r="E405" s="1243">
        <v>1</v>
      </c>
      <c r="I405" s="106"/>
      <c r="J405" s="105"/>
      <c r="K405" s="74"/>
      <c r="L405" s="74"/>
      <c r="M405" s="9" t="s">
        <v>137</v>
      </c>
      <c r="N405" s="363"/>
      <c r="O405" s="363"/>
      <c r="P405" s="364"/>
      <c r="Q405" s="365">
        <f>Q406+Q409</f>
        <v>25481</v>
      </c>
      <c r="R405" s="365">
        <f t="shared" ref="R405:AI405" si="330">R406+R409</f>
        <v>22408</v>
      </c>
      <c r="S405" s="365">
        <f t="shared" si="330"/>
        <v>26270</v>
      </c>
      <c r="T405" s="365">
        <f t="shared" si="330"/>
        <v>32272</v>
      </c>
      <c r="U405" s="365">
        <f t="shared" si="330"/>
        <v>27376</v>
      </c>
      <c r="V405" s="365">
        <f t="shared" si="330"/>
        <v>31704</v>
      </c>
      <c r="W405" s="365">
        <f t="shared" si="330"/>
        <v>22551</v>
      </c>
      <c r="X405" s="365">
        <f t="shared" si="330"/>
        <v>24322</v>
      </c>
      <c r="Y405" s="365">
        <f t="shared" si="330"/>
        <v>26197</v>
      </c>
      <c r="Z405" s="365">
        <f t="shared" si="330"/>
        <v>26111</v>
      </c>
      <c r="AA405" s="365">
        <f t="shared" si="330"/>
        <v>22440</v>
      </c>
      <c r="AB405" s="365">
        <f t="shared" si="330"/>
        <v>31039</v>
      </c>
      <c r="AC405" s="378">
        <f t="shared" si="330"/>
        <v>74159</v>
      </c>
      <c r="AD405" s="365">
        <f t="shared" si="330"/>
        <v>91352</v>
      </c>
      <c r="AE405" s="365">
        <f t="shared" si="330"/>
        <v>73070</v>
      </c>
      <c r="AF405" s="365">
        <f t="shared" si="330"/>
        <v>79590</v>
      </c>
      <c r="AG405" s="365">
        <f t="shared" si="330"/>
        <v>165511</v>
      </c>
      <c r="AH405" s="365">
        <f t="shared" si="330"/>
        <v>152660</v>
      </c>
      <c r="AI405" s="365">
        <f t="shared" si="330"/>
        <v>318171</v>
      </c>
    </row>
    <row r="406" spans="1:35">
      <c r="A406" s="990">
        <v>359</v>
      </c>
      <c r="B406" s="990">
        <v>1</v>
      </c>
      <c r="C406" s="990">
        <v>406</v>
      </c>
      <c r="E406" s="1243">
        <v>1</v>
      </c>
      <c r="I406" s="106"/>
      <c r="J406" s="105"/>
      <c r="K406" s="74"/>
      <c r="L406" s="74"/>
      <c r="N406" s="111" t="s">
        <v>1021</v>
      </c>
      <c r="O406" s="111"/>
      <c r="P406" s="110"/>
      <c r="Q406" s="109">
        <f>SUM(Q407:Q408)</f>
        <v>25481</v>
      </c>
      <c r="R406" s="109">
        <f t="shared" ref="R406:AI406" si="331">SUM(R407:R408)</f>
        <v>22408</v>
      </c>
      <c r="S406" s="109">
        <f t="shared" si="331"/>
        <v>26270</v>
      </c>
      <c r="T406" s="109">
        <f t="shared" si="331"/>
        <v>32272</v>
      </c>
      <c r="U406" s="109">
        <f t="shared" si="331"/>
        <v>27376</v>
      </c>
      <c r="V406" s="109">
        <f t="shared" si="331"/>
        <v>31704</v>
      </c>
      <c r="W406" s="109">
        <f t="shared" si="331"/>
        <v>22551</v>
      </c>
      <c r="X406" s="109">
        <f t="shared" si="331"/>
        <v>24322</v>
      </c>
      <c r="Y406" s="109">
        <f t="shared" si="331"/>
        <v>26197</v>
      </c>
      <c r="Z406" s="109">
        <f t="shared" si="331"/>
        <v>26111</v>
      </c>
      <c r="AA406" s="109">
        <f t="shared" si="331"/>
        <v>22440</v>
      </c>
      <c r="AB406" s="109">
        <f t="shared" si="331"/>
        <v>31039</v>
      </c>
      <c r="AC406" s="108">
        <f t="shared" si="331"/>
        <v>74159</v>
      </c>
      <c r="AD406" s="109">
        <f t="shared" si="331"/>
        <v>91352</v>
      </c>
      <c r="AE406" s="109">
        <f t="shared" si="331"/>
        <v>73070</v>
      </c>
      <c r="AF406" s="109">
        <f t="shared" si="331"/>
        <v>79590</v>
      </c>
      <c r="AG406" s="109">
        <f t="shared" si="331"/>
        <v>165511</v>
      </c>
      <c r="AH406" s="109">
        <f t="shared" si="331"/>
        <v>152660</v>
      </c>
      <c r="AI406" s="109">
        <f t="shared" si="331"/>
        <v>318171</v>
      </c>
    </row>
    <row r="407" spans="1:35">
      <c r="A407" s="990">
        <v>360</v>
      </c>
      <c r="B407" s="990">
        <v>1</v>
      </c>
      <c r="C407" s="990">
        <v>407</v>
      </c>
      <c r="E407" s="1243">
        <v>1</v>
      </c>
      <c r="I407" s="106"/>
      <c r="J407" s="105"/>
      <c r="K407" s="74"/>
      <c r="L407" s="74"/>
      <c r="O407" s="111" t="s">
        <v>1079</v>
      </c>
      <c r="P407" s="110"/>
      <c r="Q407" s="2042">
        <v>24762</v>
      </c>
      <c r="R407" s="2042">
        <v>21927</v>
      </c>
      <c r="S407" s="2042">
        <v>24695</v>
      </c>
      <c r="T407" s="2042">
        <v>31811</v>
      </c>
      <c r="U407" s="2042">
        <v>26400</v>
      </c>
      <c r="V407" s="2042">
        <v>31121</v>
      </c>
      <c r="W407" s="2042">
        <v>21870</v>
      </c>
      <c r="X407" s="2042">
        <v>23861</v>
      </c>
      <c r="Y407" s="2042">
        <v>25675</v>
      </c>
      <c r="Z407" s="2042">
        <v>25561</v>
      </c>
      <c r="AA407" s="2042">
        <v>21918</v>
      </c>
      <c r="AB407" s="2042">
        <v>30570</v>
      </c>
      <c r="AC407" s="108">
        <f>SUM(Q407,R407,S407)</f>
        <v>71384</v>
      </c>
      <c r="AD407" s="108">
        <f>SUM(T407,U407,V407)</f>
        <v>89332</v>
      </c>
      <c r="AE407" s="108">
        <f>SUM(W407,X407,Y407)</f>
        <v>71406</v>
      </c>
      <c r="AF407" s="108">
        <f>SUM(Z407,AA407,AB407)</f>
        <v>78049</v>
      </c>
      <c r="AG407" s="108">
        <f>AC407+AD407</f>
        <v>160716</v>
      </c>
      <c r="AH407" s="108">
        <f>AF407+AE407</f>
        <v>149455</v>
      </c>
      <c r="AI407" s="108">
        <f>AG407+AH407</f>
        <v>310171</v>
      </c>
    </row>
    <row r="408" spans="1:35">
      <c r="A408" s="990">
        <v>361</v>
      </c>
      <c r="B408" s="990">
        <v>1</v>
      </c>
      <c r="C408" s="990">
        <v>408</v>
      </c>
      <c r="E408" s="1243">
        <v>1</v>
      </c>
      <c r="I408" s="106"/>
      <c r="J408" s="105"/>
      <c r="K408" s="74"/>
      <c r="L408" s="74"/>
      <c r="N408" s="363"/>
      <c r="O408" s="363" t="s">
        <v>1080</v>
      </c>
      <c r="P408" s="364"/>
      <c r="Q408" s="2052">
        <v>719</v>
      </c>
      <c r="R408" s="2052">
        <v>481</v>
      </c>
      <c r="S408" s="2052">
        <v>1575</v>
      </c>
      <c r="T408" s="2052">
        <v>461</v>
      </c>
      <c r="U408" s="2052">
        <v>976</v>
      </c>
      <c r="V408" s="2052">
        <v>583</v>
      </c>
      <c r="W408" s="2052">
        <v>681</v>
      </c>
      <c r="X408" s="2052">
        <v>461</v>
      </c>
      <c r="Y408" s="2052">
        <v>522</v>
      </c>
      <c r="Z408" s="2052">
        <v>550</v>
      </c>
      <c r="AA408" s="2052">
        <v>522</v>
      </c>
      <c r="AB408" s="2052">
        <v>469</v>
      </c>
      <c r="AC408" s="378">
        <f>SUM(Q408,R408,S408)</f>
        <v>2775</v>
      </c>
      <c r="AD408" s="378">
        <f>SUM(T408,U408,V408)</f>
        <v>2020</v>
      </c>
      <c r="AE408" s="378">
        <f>SUM(W408,X408,Y408)</f>
        <v>1664</v>
      </c>
      <c r="AF408" s="378">
        <f>SUM(Z408,AA408,AB408)</f>
        <v>1541</v>
      </c>
      <c r="AG408" s="378">
        <f>AC408+AD408</f>
        <v>4795</v>
      </c>
      <c r="AH408" s="378">
        <f>AF408+AE408</f>
        <v>3205</v>
      </c>
      <c r="AI408" s="378">
        <f>AG408+AH408</f>
        <v>8000</v>
      </c>
    </row>
    <row r="409" spans="1:35" collapsed="1">
      <c r="A409" s="990">
        <v>362</v>
      </c>
      <c r="B409" s="990">
        <v>1</v>
      </c>
      <c r="C409" s="990">
        <v>409</v>
      </c>
      <c r="E409" s="1243">
        <v>1</v>
      </c>
      <c r="I409" s="106"/>
      <c r="J409" s="105"/>
      <c r="K409" s="74"/>
      <c r="L409" s="74"/>
      <c r="M409" s="12"/>
      <c r="N409" s="366" t="s">
        <v>146</v>
      </c>
      <c r="O409" s="366"/>
      <c r="P409" s="367"/>
      <c r="Q409" s="2053"/>
      <c r="R409" s="2053"/>
      <c r="S409" s="2053"/>
      <c r="T409" s="2053"/>
      <c r="U409" s="2053"/>
      <c r="V409" s="2053"/>
      <c r="W409" s="2053"/>
      <c r="X409" s="2053"/>
      <c r="Y409" s="2053"/>
      <c r="Z409" s="2053"/>
      <c r="AA409" s="2053"/>
      <c r="AB409" s="2053"/>
      <c r="AC409" s="379">
        <f>SUM(Q409,R409,S409)</f>
        <v>0</v>
      </c>
      <c r="AD409" s="379">
        <f>SUM(T409,U409,V409)</f>
        <v>0</v>
      </c>
      <c r="AE409" s="379">
        <f>SUM(W409,X409,Y409)</f>
        <v>0</v>
      </c>
      <c r="AF409" s="379">
        <f>SUM(Z409,AA409,AB409)</f>
        <v>0</v>
      </c>
      <c r="AG409" s="379">
        <f>AC409+AD409</f>
        <v>0</v>
      </c>
      <c r="AH409" s="379">
        <f>AF409+AE409</f>
        <v>0</v>
      </c>
      <c r="AI409" s="379">
        <f>AG409+AH409</f>
        <v>0</v>
      </c>
    </row>
    <row r="410" spans="1:35">
      <c r="A410" s="990">
        <v>363</v>
      </c>
      <c r="B410" s="990">
        <v>1</v>
      </c>
      <c r="C410" s="990">
        <v>410</v>
      </c>
      <c r="E410" s="1243">
        <v>1</v>
      </c>
      <c r="I410" s="106"/>
      <c r="J410" s="105"/>
      <c r="K410" s="74"/>
      <c r="L410" s="74"/>
      <c r="M410" s="9" t="s">
        <v>95</v>
      </c>
      <c r="N410" s="362"/>
      <c r="O410" s="362"/>
      <c r="P410" s="360"/>
      <c r="Q410" s="361">
        <f>Q411+Q418</f>
        <v>13652</v>
      </c>
      <c r="R410" s="361">
        <f t="shared" ref="R410:AI410" si="332">R411+R418</f>
        <v>10985</v>
      </c>
      <c r="S410" s="361">
        <f t="shared" si="332"/>
        <v>17854</v>
      </c>
      <c r="T410" s="361">
        <f t="shared" si="332"/>
        <v>18130</v>
      </c>
      <c r="U410" s="361">
        <f t="shared" si="332"/>
        <v>18979</v>
      </c>
      <c r="V410" s="361">
        <f t="shared" si="332"/>
        <v>23913</v>
      </c>
      <c r="W410" s="361">
        <f t="shared" si="332"/>
        <v>18748</v>
      </c>
      <c r="X410" s="361">
        <f t="shared" si="332"/>
        <v>22134</v>
      </c>
      <c r="Y410" s="361">
        <f t="shared" si="332"/>
        <v>19869</v>
      </c>
      <c r="Z410" s="361">
        <f t="shared" si="332"/>
        <v>20061</v>
      </c>
      <c r="AA410" s="361">
        <f t="shared" si="332"/>
        <v>23245</v>
      </c>
      <c r="AB410" s="361">
        <f t="shared" si="332"/>
        <v>22245</v>
      </c>
      <c r="AC410" s="381">
        <f t="shared" si="332"/>
        <v>42491</v>
      </c>
      <c r="AD410" s="381">
        <f t="shared" si="332"/>
        <v>61022</v>
      </c>
      <c r="AE410" s="381">
        <f t="shared" si="332"/>
        <v>60751</v>
      </c>
      <c r="AF410" s="381">
        <f t="shared" si="332"/>
        <v>65551</v>
      </c>
      <c r="AG410" s="381">
        <f t="shared" si="332"/>
        <v>103513</v>
      </c>
      <c r="AH410" s="381">
        <f t="shared" si="332"/>
        <v>126302</v>
      </c>
      <c r="AI410" s="381">
        <f t="shared" si="332"/>
        <v>229815</v>
      </c>
    </row>
    <row r="411" spans="1:35">
      <c r="A411" s="990">
        <v>364</v>
      </c>
      <c r="B411" s="990">
        <v>1</v>
      </c>
      <c r="C411" s="990">
        <v>411</v>
      </c>
      <c r="E411" s="1243">
        <v>1</v>
      </c>
      <c r="I411" s="106"/>
      <c r="J411" s="105"/>
      <c r="K411" s="74"/>
      <c r="L411" s="74"/>
      <c r="N411" s="111" t="s">
        <v>1021</v>
      </c>
      <c r="O411" s="111"/>
      <c r="P411" s="110"/>
      <c r="Q411" s="109">
        <f>Q412+Q415</f>
        <v>13652</v>
      </c>
      <c r="R411" s="109">
        <f t="shared" ref="R411:AI411" si="333">R412+R415</f>
        <v>10985</v>
      </c>
      <c r="S411" s="109">
        <f t="shared" si="333"/>
        <v>17854</v>
      </c>
      <c r="T411" s="109">
        <f t="shared" si="333"/>
        <v>18130</v>
      </c>
      <c r="U411" s="109">
        <f t="shared" si="333"/>
        <v>18979</v>
      </c>
      <c r="V411" s="109">
        <f t="shared" si="333"/>
        <v>23913</v>
      </c>
      <c r="W411" s="109">
        <f t="shared" si="333"/>
        <v>18748</v>
      </c>
      <c r="X411" s="109">
        <f t="shared" si="333"/>
        <v>22134</v>
      </c>
      <c r="Y411" s="109">
        <f t="shared" si="333"/>
        <v>19869</v>
      </c>
      <c r="Z411" s="109">
        <f t="shared" si="333"/>
        <v>20061</v>
      </c>
      <c r="AA411" s="109">
        <f t="shared" si="333"/>
        <v>23245</v>
      </c>
      <c r="AB411" s="109">
        <f t="shared" si="333"/>
        <v>22245</v>
      </c>
      <c r="AC411" s="108">
        <f t="shared" si="333"/>
        <v>42491</v>
      </c>
      <c r="AD411" s="108">
        <f t="shared" si="333"/>
        <v>61022</v>
      </c>
      <c r="AE411" s="108">
        <f t="shared" si="333"/>
        <v>60751</v>
      </c>
      <c r="AF411" s="108">
        <f t="shared" si="333"/>
        <v>65551</v>
      </c>
      <c r="AG411" s="108">
        <f t="shared" si="333"/>
        <v>103513</v>
      </c>
      <c r="AH411" s="108">
        <f t="shared" si="333"/>
        <v>126302</v>
      </c>
      <c r="AI411" s="108">
        <f t="shared" si="333"/>
        <v>229815</v>
      </c>
    </row>
    <row r="412" spans="1:35">
      <c r="A412" s="990">
        <v>365</v>
      </c>
      <c r="B412" s="990">
        <v>1</v>
      </c>
      <c r="C412" s="990">
        <v>412</v>
      </c>
      <c r="E412" s="1243">
        <v>1</v>
      </c>
      <c r="I412" s="106"/>
      <c r="J412" s="105"/>
      <c r="K412" s="74"/>
      <c r="L412" s="74"/>
      <c r="O412" s="111" t="s">
        <v>1079</v>
      </c>
      <c r="P412" s="369"/>
      <c r="Q412" s="64">
        <f>SUM(Q413:Q414)</f>
        <v>13224</v>
      </c>
      <c r="R412" s="64">
        <f t="shared" ref="R412:AI412" si="334">SUM(R413:R414)</f>
        <v>10743</v>
      </c>
      <c r="S412" s="64">
        <f t="shared" si="334"/>
        <v>17400</v>
      </c>
      <c r="T412" s="64">
        <f t="shared" si="334"/>
        <v>16993</v>
      </c>
      <c r="U412" s="64">
        <f t="shared" si="334"/>
        <v>18546</v>
      </c>
      <c r="V412" s="64">
        <f t="shared" si="334"/>
        <v>23498</v>
      </c>
      <c r="W412" s="64">
        <f t="shared" si="334"/>
        <v>18415</v>
      </c>
      <c r="X412" s="64">
        <f t="shared" si="334"/>
        <v>21576</v>
      </c>
      <c r="Y412" s="64">
        <f t="shared" si="334"/>
        <v>19449</v>
      </c>
      <c r="Z412" s="64">
        <f t="shared" si="334"/>
        <v>19566</v>
      </c>
      <c r="AA412" s="64">
        <f t="shared" si="334"/>
        <v>22655</v>
      </c>
      <c r="AB412" s="64">
        <f t="shared" si="334"/>
        <v>21752</v>
      </c>
      <c r="AC412" s="385">
        <f t="shared" si="334"/>
        <v>41367</v>
      </c>
      <c r="AD412" s="385">
        <f t="shared" si="334"/>
        <v>59037</v>
      </c>
      <c r="AE412" s="385">
        <f t="shared" si="334"/>
        <v>59440</v>
      </c>
      <c r="AF412" s="385">
        <f t="shared" si="334"/>
        <v>63973</v>
      </c>
      <c r="AG412" s="385">
        <f t="shared" si="334"/>
        <v>100404</v>
      </c>
      <c r="AH412" s="385">
        <f t="shared" si="334"/>
        <v>123413</v>
      </c>
      <c r="AI412" s="385">
        <f t="shared" si="334"/>
        <v>223817</v>
      </c>
    </row>
    <row r="413" spans="1:35">
      <c r="A413" s="990">
        <v>366</v>
      </c>
      <c r="B413" s="990">
        <v>1</v>
      </c>
      <c r="C413" s="990">
        <v>413</v>
      </c>
      <c r="E413" s="1243">
        <v>1</v>
      </c>
      <c r="I413" s="106"/>
      <c r="J413" s="105"/>
      <c r="K413" s="74"/>
      <c r="L413" s="74"/>
      <c r="P413" s="86" t="s">
        <v>1081</v>
      </c>
      <c r="Q413" s="2036">
        <v>13224</v>
      </c>
      <c r="R413" s="2036">
        <v>10743</v>
      </c>
      <c r="S413" s="2036">
        <v>17400</v>
      </c>
      <c r="T413" s="2036">
        <v>16993</v>
      </c>
      <c r="U413" s="2036">
        <v>18546</v>
      </c>
      <c r="V413" s="2036">
        <v>23498</v>
      </c>
      <c r="W413" s="2036">
        <v>18415</v>
      </c>
      <c r="X413" s="2036">
        <v>21576</v>
      </c>
      <c r="Y413" s="2036">
        <v>19449</v>
      </c>
      <c r="Z413" s="2036">
        <v>19566</v>
      </c>
      <c r="AA413" s="2036">
        <v>22655</v>
      </c>
      <c r="AB413" s="2036">
        <v>21752</v>
      </c>
      <c r="AC413" s="107">
        <f>SUM(Q413,R413,S413)</f>
        <v>41367</v>
      </c>
      <c r="AD413" s="107">
        <f>SUM(T413,U413,V413)</f>
        <v>59037</v>
      </c>
      <c r="AE413" s="107">
        <f>SUM(W413,X413,Y413)</f>
        <v>59440</v>
      </c>
      <c r="AF413" s="107">
        <f>SUM(Z413,AA413,AB413)</f>
        <v>63973</v>
      </c>
      <c r="AG413" s="107">
        <f>AC413+AD413</f>
        <v>100404</v>
      </c>
      <c r="AH413" s="107">
        <f>AF413+AE413</f>
        <v>123413</v>
      </c>
      <c r="AI413" s="107">
        <f>AG413+AH413</f>
        <v>223817</v>
      </c>
    </row>
    <row r="414" spans="1:35">
      <c r="A414" s="990">
        <v>367</v>
      </c>
      <c r="B414" s="990">
        <v>1</v>
      </c>
      <c r="C414" s="990">
        <v>414</v>
      </c>
      <c r="E414" s="1243">
        <v>1</v>
      </c>
      <c r="I414" s="106"/>
      <c r="J414" s="105"/>
      <c r="K414" s="74"/>
      <c r="L414" s="74"/>
      <c r="P414" s="86" t="s">
        <v>1082</v>
      </c>
      <c r="Q414" s="2036"/>
      <c r="R414" s="2036"/>
      <c r="S414" s="2036"/>
      <c r="T414" s="2036"/>
      <c r="U414" s="2036"/>
      <c r="V414" s="2036"/>
      <c r="W414" s="2036"/>
      <c r="X414" s="2036"/>
      <c r="Y414" s="2036"/>
      <c r="Z414" s="2036"/>
      <c r="AA414" s="2036"/>
      <c r="AB414" s="2036"/>
      <c r="AC414" s="107">
        <f>SUM(Q414,R414,S414)</f>
        <v>0</v>
      </c>
      <c r="AD414" s="107">
        <f>SUM(T414,U414,V414)</f>
        <v>0</v>
      </c>
      <c r="AE414" s="107">
        <f>SUM(W414,X414,Y414)</f>
        <v>0</v>
      </c>
      <c r="AF414" s="107">
        <f>SUM(Z414,AA414,AB414)</f>
        <v>0</v>
      </c>
      <c r="AG414" s="107">
        <f>AC414+AD414</f>
        <v>0</v>
      </c>
      <c r="AH414" s="107">
        <f>AF414+AE414</f>
        <v>0</v>
      </c>
      <c r="AI414" s="107">
        <f>AG414+AH414</f>
        <v>0</v>
      </c>
    </row>
    <row r="415" spans="1:35">
      <c r="A415" s="990">
        <v>368</v>
      </c>
      <c r="B415" s="990">
        <v>1</v>
      </c>
      <c r="C415" s="990">
        <v>415</v>
      </c>
      <c r="E415" s="1243">
        <v>1</v>
      </c>
      <c r="I415" s="106"/>
      <c r="J415" s="105"/>
      <c r="K415" s="74"/>
      <c r="L415" s="74"/>
      <c r="O415" s="111" t="s">
        <v>1080</v>
      </c>
      <c r="P415" s="369"/>
      <c r="Q415" s="64">
        <f>SUM(Q416:Q417)</f>
        <v>428</v>
      </c>
      <c r="R415" s="64">
        <f t="shared" ref="R415:AI415" si="335">SUM(R416:R417)</f>
        <v>242</v>
      </c>
      <c r="S415" s="64">
        <f t="shared" si="335"/>
        <v>454</v>
      </c>
      <c r="T415" s="64">
        <f t="shared" si="335"/>
        <v>1137</v>
      </c>
      <c r="U415" s="64">
        <f t="shared" si="335"/>
        <v>433</v>
      </c>
      <c r="V415" s="64">
        <f t="shared" si="335"/>
        <v>415</v>
      </c>
      <c r="W415" s="64">
        <f t="shared" si="335"/>
        <v>333</v>
      </c>
      <c r="X415" s="64">
        <f t="shared" si="335"/>
        <v>558</v>
      </c>
      <c r="Y415" s="64">
        <f t="shared" si="335"/>
        <v>420</v>
      </c>
      <c r="Z415" s="64">
        <f t="shared" si="335"/>
        <v>495</v>
      </c>
      <c r="AA415" s="64">
        <f t="shared" si="335"/>
        <v>590</v>
      </c>
      <c r="AB415" s="64">
        <f t="shared" si="335"/>
        <v>493</v>
      </c>
      <c r="AC415" s="385">
        <f t="shared" si="335"/>
        <v>1124</v>
      </c>
      <c r="AD415" s="385">
        <f t="shared" si="335"/>
        <v>1985</v>
      </c>
      <c r="AE415" s="385">
        <f t="shared" si="335"/>
        <v>1311</v>
      </c>
      <c r="AF415" s="385">
        <f t="shared" si="335"/>
        <v>1578</v>
      </c>
      <c r="AG415" s="385">
        <f t="shared" si="335"/>
        <v>3109</v>
      </c>
      <c r="AH415" s="385">
        <f t="shared" si="335"/>
        <v>2889</v>
      </c>
      <c r="AI415" s="385">
        <f t="shared" si="335"/>
        <v>5998</v>
      </c>
    </row>
    <row r="416" spans="1:35">
      <c r="A416" s="990">
        <v>369</v>
      </c>
      <c r="B416" s="990">
        <v>1</v>
      </c>
      <c r="C416" s="990">
        <v>416</v>
      </c>
      <c r="E416" s="1243">
        <v>1</v>
      </c>
      <c r="I416" s="106"/>
      <c r="J416" s="105"/>
      <c r="K416" s="74"/>
      <c r="L416" s="74"/>
      <c r="P416" s="86" t="s">
        <v>1081</v>
      </c>
      <c r="Q416" s="2036">
        <v>428</v>
      </c>
      <c r="R416" s="2036">
        <v>242</v>
      </c>
      <c r="S416" s="2036">
        <v>454</v>
      </c>
      <c r="T416" s="2036">
        <v>1137</v>
      </c>
      <c r="U416" s="2036">
        <v>433</v>
      </c>
      <c r="V416" s="2036">
        <v>415</v>
      </c>
      <c r="W416" s="2036">
        <v>333</v>
      </c>
      <c r="X416" s="2036">
        <v>558</v>
      </c>
      <c r="Y416" s="2036">
        <v>420</v>
      </c>
      <c r="Z416" s="2036">
        <v>495</v>
      </c>
      <c r="AA416" s="2036">
        <v>590</v>
      </c>
      <c r="AB416" s="2036">
        <v>493</v>
      </c>
      <c r="AC416" s="107">
        <f>SUM(Q416,R416,S416)</f>
        <v>1124</v>
      </c>
      <c r="AD416" s="107">
        <f>SUM(T416,U416,V416)</f>
        <v>1985</v>
      </c>
      <c r="AE416" s="107">
        <f>SUM(W416,X416,Y416)</f>
        <v>1311</v>
      </c>
      <c r="AF416" s="107">
        <f>SUM(Z416,AA416,AB416)</f>
        <v>1578</v>
      </c>
      <c r="AG416" s="107">
        <f>AC416+AD416</f>
        <v>3109</v>
      </c>
      <c r="AH416" s="107">
        <f>AF416+AE416</f>
        <v>2889</v>
      </c>
      <c r="AI416" s="107">
        <f>AG416+AH416</f>
        <v>5998</v>
      </c>
    </row>
    <row r="417" spans="1:35">
      <c r="A417" s="990">
        <v>370</v>
      </c>
      <c r="B417" s="990">
        <v>1</v>
      </c>
      <c r="C417" s="990">
        <v>417</v>
      </c>
      <c r="E417" s="1243">
        <v>1</v>
      </c>
      <c r="I417" s="106"/>
      <c r="J417" s="105"/>
      <c r="K417" s="74"/>
      <c r="L417" s="74"/>
      <c r="N417" s="363"/>
      <c r="O417" s="363"/>
      <c r="P417" s="364" t="s">
        <v>1082</v>
      </c>
      <c r="Q417" s="2052"/>
      <c r="R417" s="2052"/>
      <c r="S417" s="2052"/>
      <c r="T417" s="2052"/>
      <c r="U417" s="2052"/>
      <c r="V417" s="2052"/>
      <c r="W417" s="2052"/>
      <c r="X417" s="2052"/>
      <c r="Y417" s="2052"/>
      <c r="Z417" s="2052"/>
      <c r="AA417" s="2052"/>
      <c r="AB417" s="2052"/>
      <c r="AC417" s="378">
        <f>SUM(Q417,R417,S417)</f>
        <v>0</v>
      </c>
      <c r="AD417" s="378">
        <f>SUM(T417,U417,V417)</f>
        <v>0</v>
      </c>
      <c r="AE417" s="378">
        <f>SUM(W417,X417,Y417)</f>
        <v>0</v>
      </c>
      <c r="AF417" s="378">
        <f>SUM(Z417,AA417,AB417)</f>
        <v>0</v>
      </c>
      <c r="AG417" s="378">
        <f>AC417+AD417</f>
        <v>0</v>
      </c>
      <c r="AH417" s="378">
        <f>AF417+AE417</f>
        <v>0</v>
      </c>
      <c r="AI417" s="378">
        <f>AG417+AH417</f>
        <v>0</v>
      </c>
    </row>
    <row r="418" spans="1:35" collapsed="1">
      <c r="A418" s="990">
        <v>371</v>
      </c>
      <c r="B418" s="990">
        <v>1</v>
      </c>
      <c r="C418" s="990">
        <v>418</v>
      </c>
      <c r="E418" s="1243">
        <v>1</v>
      </c>
      <c r="I418" s="106"/>
      <c r="J418" s="105"/>
      <c r="K418" s="74"/>
      <c r="L418" s="74"/>
      <c r="N418" s="366" t="s">
        <v>146</v>
      </c>
      <c r="O418" s="366"/>
      <c r="P418" s="367"/>
      <c r="Q418" s="2053"/>
      <c r="R418" s="2053"/>
      <c r="S418" s="2053"/>
      <c r="T418" s="2053"/>
      <c r="U418" s="2053"/>
      <c r="V418" s="2053"/>
      <c r="W418" s="2053"/>
      <c r="X418" s="2053"/>
      <c r="Y418" s="2053"/>
      <c r="Z418" s="2053"/>
      <c r="AA418" s="2053"/>
      <c r="AB418" s="2053"/>
      <c r="AC418" s="379">
        <f>SUM(Q418,R418,S418)</f>
        <v>0</v>
      </c>
      <c r="AD418" s="379">
        <f>SUM(T418,U418,V418)</f>
        <v>0</v>
      </c>
      <c r="AE418" s="379">
        <f>SUM(W418,X418,Y418)</f>
        <v>0</v>
      </c>
      <c r="AF418" s="379">
        <f>SUM(Z418,AA418,AB418)</f>
        <v>0</v>
      </c>
      <c r="AG418" s="379">
        <f>AC418+AD418</f>
        <v>0</v>
      </c>
      <c r="AH418" s="379">
        <f>AF418+AE418</f>
        <v>0</v>
      </c>
      <c r="AI418" s="379">
        <f>AG418+AH418</f>
        <v>0</v>
      </c>
    </row>
    <row r="419" spans="1:35">
      <c r="A419" s="990">
        <v>372</v>
      </c>
      <c r="B419" s="990">
        <v>1</v>
      </c>
      <c r="C419" s="990">
        <v>419</v>
      </c>
      <c r="E419" s="1243">
        <v>1</v>
      </c>
      <c r="I419" s="106"/>
      <c r="J419" s="105"/>
      <c r="K419" s="73"/>
      <c r="L419" s="73"/>
      <c r="M419" s="303" t="s">
        <v>11</v>
      </c>
      <c r="N419" s="303"/>
      <c r="O419" s="303"/>
      <c r="P419" s="304"/>
      <c r="Q419" s="2088"/>
      <c r="R419" s="2088"/>
      <c r="S419" s="2088"/>
      <c r="T419" s="2088"/>
      <c r="U419" s="2088"/>
      <c r="V419" s="2088"/>
      <c r="W419" s="2088"/>
      <c r="X419" s="2088"/>
      <c r="Y419" s="2088"/>
      <c r="Z419" s="2088"/>
      <c r="AA419" s="2088"/>
      <c r="AB419" s="2088"/>
      <c r="AC419" s="2534">
        <f>SUM(Q419,R419,S419)</f>
        <v>0</v>
      </c>
      <c r="AD419" s="2534">
        <f>SUM(T419,U419,V419)</f>
        <v>0</v>
      </c>
      <c r="AE419" s="2534">
        <f>SUM(W419,X419,Y419)</f>
        <v>0</v>
      </c>
      <c r="AF419" s="2534">
        <f>SUM(Z419,AA419,AB419)</f>
        <v>0</v>
      </c>
      <c r="AG419" s="2534">
        <f>AC419+AD419</f>
        <v>0</v>
      </c>
      <c r="AH419" s="2534">
        <f>AF419+AE419</f>
        <v>0</v>
      </c>
      <c r="AI419" s="2534">
        <f>AG419+AH419</f>
        <v>0</v>
      </c>
    </row>
    <row r="420" spans="1:35">
      <c r="A420" s="990">
        <v>373</v>
      </c>
      <c r="B420" s="990">
        <v>1</v>
      </c>
      <c r="C420" s="990">
        <v>420</v>
      </c>
      <c r="E420" s="1243">
        <v>1</v>
      </c>
      <c r="I420" s="106"/>
      <c r="J420" s="105"/>
      <c r="K420" s="794" t="s">
        <v>1023</v>
      </c>
      <c r="L420" s="794"/>
      <c r="M420" s="794"/>
      <c r="N420" s="794"/>
      <c r="O420" s="794"/>
      <c r="P420" s="1056"/>
      <c r="Q420" s="112">
        <f>+Q421+Q426+Q435</f>
        <v>109919</v>
      </c>
      <c r="R420" s="112">
        <f t="shared" ref="R420:AI420" si="336">+R421+R426+R435</f>
        <v>41650</v>
      </c>
      <c r="S420" s="112">
        <f t="shared" si="336"/>
        <v>81098</v>
      </c>
      <c r="T420" s="112">
        <f t="shared" si="336"/>
        <v>110673</v>
      </c>
      <c r="U420" s="112">
        <f t="shared" si="336"/>
        <v>139663</v>
      </c>
      <c r="V420" s="112">
        <f t="shared" si="336"/>
        <v>206580</v>
      </c>
      <c r="W420" s="112">
        <f t="shared" si="336"/>
        <v>121488</v>
      </c>
      <c r="X420" s="112">
        <f t="shared" si="336"/>
        <v>156547</v>
      </c>
      <c r="Y420" s="112">
        <f t="shared" si="336"/>
        <v>201731</v>
      </c>
      <c r="Z420" s="112">
        <f t="shared" si="336"/>
        <v>121774</v>
      </c>
      <c r="AA420" s="112">
        <f t="shared" si="336"/>
        <v>125261</v>
      </c>
      <c r="AB420" s="112">
        <f t="shared" si="336"/>
        <v>188061</v>
      </c>
      <c r="AC420" s="112">
        <f t="shared" si="336"/>
        <v>232667</v>
      </c>
      <c r="AD420" s="112">
        <f t="shared" si="336"/>
        <v>456916</v>
      </c>
      <c r="AE420" s="112">
        <f t="shared" si="336"/>
        <v>479766</v>
      </c>
      <c r="AF420" s="112">
        <f t="shared" si="336"/>
        <v>435096</v>
      </c>
      <c r="AG420" s="112">
        <f t="shared" si="336"/>
        <v>689583</v>
      </c>
      <c r="AH420" s="112">
        <f t="shared" si="336"/>
        <v>914862</v>
      </c>
      <c r="AI420" s="112">
        <f t="shared" si="336"/>
        <v>1604445</v>
      </c>
    </row>
    <row r="421" spans="1:35">
      <c r="A421" s="990">
        <v>374</v>
      </c>
      <c r="B421" s="990">
        <v>1</v>
      </c>
      <c r="C421" s="990">
        <v>421</v>
      </c>
      <c r="E421" s="1243">
        <v>1</v>
      </c>
      <c r="I421" s="106"/>
      <c r="J421" s="105"/>
      <c r="K421" s="69"/>
      <c r="L421" s="69"/>
      <c r="M421" s="9" t="s">
        <v>137</v>
      </c>
      <c r="N421" s="363"/>
      <c r="O421" s="363"/>
      <c r="P421" s="364"/>
      <c r="Q421" s="365">
        <f>Q422+Q425</f>
        <v>69633</v>
      </c>
      <c r="R421" s="365">
        <f t="shared" ref="R421:AI421" si="337">R422+R425</f>
        <v>26499</v>
      </c>
      <c r="S421" s="365">
        <f t="shared" si="337"/>
        <v>55006</v>
      </c>
      <c r="T421" s="365">
        <f t="shared" si="337"/>
        <v>69604</v>
      </c>
      <c r="U421" s="365">
        <f t="shared" si="337"/>
        <v>95765</v>
      </c>
      <c r="V421" s="365">
        <f t="shared" si="337"/>
        <v>149186</v>
      </c>
      <c r="W421" s="365">
        <f t="shared" si="337"/>
        <v>72733</v>
      </c>
      <c r="X421" s="365">
        <f t="shared" si="337"/>
        <v>116962</v>
      </c>
      <c r="Y421" s="365">
        <f t="shared" si="337"/>
        <v>133643</v>
      </c>
      <c r="Z421" s="365">
        <f t="shared" si="337"/>
        <v>82831</v>
      </c>
      <c r="AA421" s="365">
        <f t="shared" si="337"/>
        <v>80731</v>
      </c>
      <c r="AB421" s="365">
        <f t="shared" si="337"/>
        <v>152142</v>
      </c>
      <c r="AC421" s="378">
        <f t="shared" si="337"/>
        <v>151138</v>
      </c>
      <c r="AD421" s="365">
        <f t="shared" si="337"/>
        <v>314555</v>
      </c>
      <c r="AE421" s="365">
        <f t="shared" si="337"/>
        <v>323338</v>
      </c>
      <c r="AF421" s="365">
        <f t="shared" si="337"/>
        <v>315704</v>
      </c>
      <c r="AG421" s="365">
        <f t="shared" si="337"/>
        <v>465693</v>
      </c>
      <c r="AH421" s="365">
        <f t="shared" si="337"/>
        <v>639042</v>
      </c>
      <c r="AI421" s="365">
        <f t="shared" si="337"/>
        <v>1104735</v>
      </c>
    </row>
    <row r="422" spans="1:35">
      <c r="A422" s="990">
        <v>375</v>
      </c>
      <c r="B422" s="990">
        <v>1</v>
      </c>
      <c r="C422" s="990">
        <v>422</v>
      </c>
      <c r="E422" s="1243">
        <v>1</v>
      </c>
      <c r="I422" s="106"/>
      <c r="J422" s="105"/>
      <c r="K422" s="69"/>
      <c r="L422" s="69"/>
      <c r="N422" s="111" t="s">
        <v>1021</v>
      </c>
      <c r="O422" s="111"/>
      <c r="P422" s="110"/>
      <c r="Q422" s="109">
        <f>SUM(Q423:Q424)</f>
        <v>69633</v>
      </c>
      <c r="R422" s="109">
        <f t="shared" ref="R422:AI422" si="338">SUM(R423:R424)</f>
        <v>26499</v>
      </c>
      <c r="S422" s="109">
        <f t="shared" si="338"/>
        <v>55006</v>
      </c>
      <c r="T422" s="109">
        <f t="shared" si="338"/>
        <v>69604</v>
      </c>
      <c r="U422" s="109">
        <f t="shared" si="338"/>
        <v>95765</v>
      </c>
      <c r="V422" s="109">
        <f t="shared" si="338"/>
        <v>149186</v>
      </c>
      <c r="W422" s="109">
        <f t="shared" si="338"/>
        <v>72733</v>
      </c>
      <c r="X422" s="109">
        <f t="shared" si="338"/>
        <v>116962</v>
      </c>
      <c r="Y422" s="109">
        <f t="shared" si="338"/>
        <v>133643</v>
      </c>
      <c r="Z422" s="109">
        <f t="shared" si="338"/>
        <v>82831</v>
      </c>
      <c r="AA422" s="109">
        <f t="shared" si="338"/>
        <v>80731</v>
      </c>
      <c r="AB422" s="109">
        <f t="shared" si="338"/>
        <v>152142</v>
      </c>
      <c r="AC422" s="108">
        <f t="shared" si="338"/>
        <v>151138</v>
      </c>
      <c r="AD422" s="109">
        <f t="shared" si="338"/>
        <v>314555</v>
      </c>
      <c r="AE422" s="109">
        <f t="shared" si="338"/>
        <v>323338</v>
      </c>
      <c r="AF422" s="109">
        <f t="shared" si="338"/>
        <v>315704</v>
      </c>
      <c r="AG422" s="109">
        <f t="shared" si="338"/>
        <v>465693</v>
      </c>
      <c r="AH422" s="109">
        <f t="shared" si="338"/>
        <v>639042</v>
      </c>
      <c r="AI422" s="109">
        <f t="shared" si="338"/>
        <v>1104735</v>
      </c>
    </row>
    <row r="423" spans="1:35">
      <c r="A423" s="990">
        <v>376</v>
      </c>
      <c r="B423" s="990">
        <v>1</v>
      </c>
      <c r="C423" s="990">
        <v>423</v>
      </c>
      <c r="E423" s="1243">
        <v>1</v>
      </c>
      <c r="I423" s="106"/>
      <c r="J423" s="105"/>
      <c r="K423" s="69"/>
      <c r="L423" s="69"/>
      <c r="O423" s="111" t="s">
        <v>1079</v>
      </c>
      <c r="P423" s="110"/>
      <c r="Q423" s="2042">
        <v>69633</v>
      </c>
      <c r="R423" s="2042">
        <v>26499</v>
      </c>
      <c r="S423" s="2042">
        <v>55006</v>
      </c>
      <c r="T423" s="2042">
        <v>69604</v>
      </c>
      <c r="U423" s="2042">
        <v>95765</v>
      </c>
      <c r="V423" s="2042">
        <v>149186</v>
      </c>
      <c r="W423" s="2042">
        <v>72733</v>
      </c>
      <c r="X423" s="2042">
        <v>116962</v>
      </c>
      <c r="Y423" s="2042">
        <v>133643</v>
      </c>
      <c r="Z423" s="2042">
        <v>82831</v>
      </c>
      <c r="AA423" s="2042">
        <v>80731</v>
      </c>
      <c r="AB423" s="2042">
        <v>152142</v>
      </c>
      <c r="AC423" s="108">
        <f>SUM(Q423,R423,S423)</f>
        <v>151138</v>
      </c>
      <c r="AD423" s="108">
        <f>SUM(T423,U423,V423)</f>
        <v>314555</v>
      </c>
      <c r="AE423" s="108">
        <f>SUM(W423,X423,Y423)</f>
        <v>323338</v>
      </c>
      <c r="AF423" s="108">
        <f>SUM(Z423,AA423,AB423)</f>
        <v>315704</v>
      </c>
      <c r="AG423" s="108">
        <f>AC423+AD423</f>
        <v>465693</v>
      </c>
      <c r="AH423" s="108">
        <f>AF423+AE423</f>
        <v>639042</v>
      </c>
      <c r="AI423" s="108">
        <f>AG423+AH423</f>
        <v>1104735</v>
      </c>
    </row>
    <row r="424" spans="1:35" ht="15" customHeight="1">
      <c r="A424" s="990">
        <v>377</v>
      </c>
      <c r="B424" s="990">
        <v>1</v>
      </c>
      <c r="C424" s="990">
        <v>424</v>
      </c>
      <c r="E424" s="1243">
        <v>1</v>
      </c>
      <c r="I424" s="106"/>
      <c r="J424" s="105"/>
      <c r="K424" s="69"/>
      <c r="L424" s="69"/>
      <c r="N424" s="363"/>
      <c r="O424" s="363" t="s">
        <v>1080</v>
      </c>
      <c r="P424" s="364"/>
      <c r="Q424" s="2052"/>
      <c r="R424" s="2052"/>
      <c r="S424" s="2052"/>
      <c r="T424" s="2052"/>
      <c r="U424" s="2052"/>
      <c r="V424" s="2052"/>
      <c r="W424" s="2052"/>
      <c r="X424" s="2052"/>
      <c r="Y424" s="2052"/>
      <c r="Z424" s="2052"/>
      <c r="AA424" s="2052"/>
      <c r="AB424" s="2052"/>
      <c r="AC424" s="378">
        <f>SUM(Q424,R424,S424)</f>
        <v>0</v>
      </c>
      <c r="AD424" s="378">
        <f>SUM(T424,U424,V424)</f>
        <v>0</v>
      </c>
      <c r="AE424" s="378">
        <f>SUM(W424,X424,Y424)</f>
        <v>0</v>
      </c>
      <c r="AF424" s="378">
        <f>SUM(Z424,AA424,AB424)</f>
        <v>0</v>
      </c>
      <c r="AG424" s="378">
        <f>AC424+AD424</f>
        <v>0</v>
      </c>
      <c r="AH424" s="378">
        <f>AF424+AE424</f>
        <v>0</v>
      </c>
      <c r="AI424" s="378">
        <f>AG424+AH424</f>
        <v>0</v>
      </c>
    </row>
    <row r="425" spans="1:35" collapsed="1">
      <c r="A425" s="990">
        <v>378</v>
      </c>
      <c r="B425" s="990">
        <v>1</v>
      </c>
      <c r="C425" s="990">
        <v>425</v>
      </c>
      <c r="E425" s="1243">
        <v>1</v>
      </c>
      <c r="I425" s="106"/>
      <c r="J425" s="105"/>
      <c r="K425" s="69"/>
      <c r="L425" s="69"/>
      <c r="M425" s="12"/>
      <c r="N425" s="366" t="s">
        <v>146</v>
      </c>
      <c r="O425" s="366"/>
      <c r="P425" s="367"/>
      <c r="Q425" s="2053"/>
      <c r="R425" s="2053"/>
      <c r="S425" s="2053"/>
      <c r="T425" s="2053"/>
      <c r="U425" s="2053"/>
      <c r="V425" s="2053"/>
      <c r="W425" s="2053"/>
      <c r="X425" s="2053"/>
      <c r="Y425" s="2053"/>
      <c r="Z425" s="2053"/>
      <c r="AA425" s="2053"/>
      <c r="AB425" s="2053"/>
      <c r="AC425" s="379">
        <f>SUM(Q425,R425,S425)</f>
        <v>0</v>
      </c>
      <c r="AD425" s="379">
        <f>SUM(T425,U425,V425)</f>
        <v>0</v>
      </c>
      <c r="AE425" s="379">
        <f>SUM(W425,X425,Y425)</f>
        <v>0</v>
      </c>
      <c r="AF425" s="379">
        <f>SUM(Z425,AA425,AB425)</f>
        <v>0</v>
      </c>
      <c r="AG425" s="379">
        <f>AC425+AD425</f>
        <v>0</v>
      </c>
      <c r="AH425" s="379">
        <f>AF425+AE425</f>
        <v>0</v>
      </c>
      <c r="AI425" s="379">
        <f>AG425+AH425</f>
        <v>0</v>
      </c>
    </row>
    <row r="426" spans="1:35">
      <c r="A426" s="990">
        <v>379</v>
      </c>
      <c r="B426" s="990">
        <v>1</v>
      </c>
      <c r="C426" s="990">
        <v>426</v>
      </c>
      <c r="E426" s="1243">
        <v>1</v>
      </c>
      <c r="I426" s="106"/>
      <c r="J426" s="105"/>
      <c r="K426" s="69"/>
      <c r="L426" s="69"/>
      <c r="M426" s="9" t="s">
        <v>95</v>
      </c>
      <c r="N426" s="362"/>
      <c r="O426" s="362"/>
      <c r="P426" s="360"/>
      <c r="Q426" s="361">
        <f>Q427+Q434</f>
        <v>40286</v>
      </c>
      <c r="R426" s="361">
        <f t="shared" ref="R426:AI426" si="339">R427+R434</f>
        <v>15151</v>
      </c>
      <c r="S426" s="361">
        <f t="shared" si="339"/>
        <v>26092</v>
      </c>
      <c r="T426" s="361">
        <f t="shared" si="339"/>
        <v>41069</v>
      </c>
      <c r="U426" s="361">
        <f t="shared" si="339"/>
        <v>43898</v>
      </c>
      <c r="V426" s="361">
        <f t="shared" si="339"/>
        <v>57394</v>
      </c>
      <c r="W426" s="361">
        <f t="shared" si="339"/>
        <v>48755</v>
      </c>
      <c r="X426" s="361">
        <f t="shared" si="339"/>
        <v>39585</v>
      </c>
      <c r="Y426" s="361">
        <f t="shared" si="339"/>
        <v>68088</v>
      </c>
      <c r="Z426" s="361">
        <f t="shared" si="339"/>
        <v>38943</v>
      </c>
      <c r="AA426" s="361">
        <f t="shared" si="339"/>
        <v>44530</v>
      </c>
      <c r="AB426" s="361">
        <f t="shared" si="339"/>
        <v>35919</v>
      </c>
      <c r="AC426" s="381">
        <f t="shared" si="339"/>
        <v>81529</v>
      </c>
      <c r="AD426" s="381">
        <f t="shared" si="339"/>
        <v>142361</v>
      </c>
      <c r="AE426" s="381">
        <f t="shared" si="339"/>
        <v>156428</v>
      </c>
      <c r="AF426" s="381">
        <f t="shared" si="339"/>
        <v>119392</v>
      </c>
      <c r="AG426" s="381">
        <f t="shared" si="339"/>
        <v>223890</v>
      </c>
      <c r="AH426" s="381">
        <f t="shared" si="339"/>
        <v>275820</v>
      </c>
      <c r="AI426" s="381">
        <f t="shared" si="339"/>
        <v>499710</v>
      </c>
    </row>
    <row r="427" spans="1:35">
      <c r="A427" s="990">
        <v>380</v>
      </c>
      <c r="B427" s="990">
        <v>1</v>
      </c>
      <c r="C427" s="990">
        <v>427</v>
      </c>
      <c r="E427" s="1243">
        <v>1</v>
      </c>
      <c r="I427" s="106"/>
      <c r="J427" s="105"/>
      <c r="K427" s="69"/>
      <c r="L427" s="69"/>
      <c r="N427" s="111" t="s">
        <v>1021</v>
      </c>
      <c r="O427" s="111"/>
      <c r="P427" s="110"/>
      <c r="Q427" s="109">
        <f>Q428+Q431</f>
        <v>40286</v>
      </c>
      <c r="R427" s="109">
        <f t="shared" ref="R427:AI427" si="340">R428+R431</f>
        <v>15151</v>
      </c>
      <c r="S427" s="109">
        <f t="shared" si="340"/>
        <v>26092</v>
      </c>
      <c r="T427" s="109">
        <f t="shared" si="340"/>
        <v>41069</v>
      </c>
      <c r="U427" s="109">
        <f t="shared" si="340"/>
        <v>43898</v>
      </c>
      <c r="V427" s="109">
        <f t="shared" si="340"/>
        <v>57394</v>
      </c>
      <c r="W427" s="109">
        <f t="shared" si="340"/>
        <v>48755</v>
      </c>
      <c r="X427" s="109">
        <f t="shared" si="340"/>
        <v>39585</v>
      </c>
      <c r="Y427" s="109">
        <f t="shared" si="340"/>
        <v>68088</v>
      </c>
      <c r="Z427" s="109">
        <f t="shared" si="340"/>
        <v>38943</v>
      </c>
      <c r="AA427" s="109">
        <f t="shared" si="340"/>
        <v>44530</v>
      </c>
      <c r="AB427" s="109">
        <f t="shared" si="340"/>
        <v>35919</v>
      </c>
      <c r="AC427" s="108">
        <f t="shared" si="340"/>
        <v>81529</v>
      </c>
      <c r="AD427" s="108">
        <f t="shared" si="340"/>
        <v>142361</v>
      </c>
      <c r="AE427" s="108">
        <f t="shared" si="340"/>
        <v>156428</v>
      </c>
      <c r="AF427" s="108">
        <f t="shared" si="340"/>
        <v>119392</v>
      </c>
      <c r="AG427" s="108">
        <f t="shared" si="340"/>
        <v>223890</v>
      </c>
      <c r="AH427" s="108">
        <f t="shared" si="340"/>
        <v>275820</v>
      </c>
      <c r="AI427" s="108">
        <f t="shared" si="340"/>
        <v>499710</v>
      </c>
    </row>
    <row r="428" spans="1:35">
      <c r="A428" s="990">
        <v>381</v>
      </c>
      <c r="B428" s="990">
        <v>1</v>
      </c>
      <c r="C428" s="990">
        <v>428</v>
      </c>
      <c r="E428" s="1243">
        <v>1</v>
      </c>
      <c r="I428" s="106"/>
      <c r="J428" s="105"/>
      <c r="K428" s="69"/>
      <c r="L428" s="69"/>
      <c r="O428" s="111" t="s">
        <v>1079</v>
      </c>
      <c r="P428" s="369"/>
      <c r="Q428" s="64">
        <f>SUM(Q429:Q430)</f>
        <v>40257</v>
      </c>
      <c r="R428" s="64">
        <f t="shared" ref="R428:AI428" si="341">SUM(R429:R430)</f>
        <v>15076</v>
      </c>
      <c r="S428" s="64">
        <f t="shared" si="341"/>
        <v>25956</v>
      </c>
      <c r="T428" s="64">
        <f t="shared" si="341"/>
        <v>40878</v>
      </c>
      <c r="U428" s="64">
        <f t="shared" si="341"/>
        <v>43620</v>
      </c>
      <c r="V428" s="64">
        <f t="shared" si="341"/>
        <v>57163</v>
      </c>
      <c r="W428" s="64">
        <f t="shared" si="341"/>
        <v>48571</v>
      </c>
      <c r="X428" s="64">
        <f t="shared" si="341"/>
        <v>39552</v>
      </c>
      <c r="Y428" s="64">
        <f t="shared" si="341"/>
        <v>68040</v>
      </c>
      <c r="Z428" s="64">
        <f t="shared" si="341"/>
        <v>38917</v>
      </c>
      <c r="AA428" s="64">
        <f t="shared" si="341"/>
        <v>44255</v>
      </c>
      <c r="AB428" s="64">
        <f t="shared" si="341"/>
        <v>35757</v>
      </c>
      <c r="AC428" s="385">
        <f t="shared" si="341"/>
        <v>81289</v>
      </c>
      <c r="AD428" s="385">
        <f t="shared" si="341"/>
        <v>141661</v>
      </c>
      <c r="AE428" s="385">
        <f t="shared" si="341"/>
        <v>156163</v>
      </c>
      <c r="AF428" s="385">
        <f t="shared" si="341"/>
        <v>118929</v>
      </c>
      <c r="AG428" s="385">
        <f t="shared" si="341"/>
        <v>222950</v>
      </c>
      <c r="AH428" s="385">
        <f t="shared" si="341"/>
        <v>275092</v>
      </c>
      <c r="AI428" s="385">
        <f t="shared" si="341"/>
        <v>498042</v>
      </c>
    </row>
    <row r="429" spans="1:35" ht="15" customHeight="1">
      <c r="A429" s="990">
        <v>382</v>
      </c>
      <c r="B429" s="990">
        <v>1</v>
      </c>
      <c r="C429" s="990">
        <v>429</v>
      </c>
      <c r="E429" s="1243">
        <v>1</v>
      </c>
      <c r="I429" s="106"/>
      <c r="J429" s="105"/>
      <c r="K429" s="69"/>
      <c r="L429" s="69"/>
      <c r="P429" s="86" t="s">
        <v>1083</v>
      </c>
      <c r="Q429" s="2036">
        <v>40257</v>
      </c>
      <c r="R429" s="2036">
        <v>15076</v>
      </c>
      <c r="S429" s="2036">
        <v>25956</v>
      </c>
      <c r="T429" s="2036">
        <v>40878</v>
      </c>
      <c r="U429" s="2036">
        <v>43620</v>
      </c>
      <c r="V429" s="2036">
        <v>57163</v>
      </c>
      <c r="W429" s="2036">
        <v>48571</v>
      </c>
      <c r="X429" s="2036">
        <v>39552</v>
      </c>
      <c r="Y429" s="2036">
        <v>68040</v>
      </c>
      <c r="Z429" s="2036">
        <v>38917</v>
      </c>
      <c r="AA429" s="2036">
        <v>44255</v>
      </c>
      <c r="AB429" s="2036">
        <v>35757</v>
      </c>
      <c r="AC429" s="107">
        <f>SUM(Q429,R429,S429)</f>
        <v>81289</v>
      </c>
      <c r="AD429" s="107">
        <f>SUM(T429,U429,V429)</f>
        <v>141661</v>
      </c>
      <c r="AE429" s="107">
        <f>SUM(W429,X429,Y429)</f>
        <v>156163</v>
      </c>
      <c r="AF429" s="107">
        <f>SUM(Z429,AA429,AB429)</f>
        <v>118929</v>
      </c>
      <c r="AG429" s="107">
        <f>AC429+AD429</f>
        <v>222950</v>
      </c>
      <c r="AH429" s="107">
        <f>AF429+AE429</f>
        <v>275092</v>
      </c>
      <c r="AI429" s="107">
        <f>AG429+AH429</f>
        <v>498042</v>
      </c>
    </row>
    <row r="430" spans="1:35">
      <c r="A430" s="990">
        <v>383</v>
      </c>
      <c r="B430" s="990">
        <v>1</v>
      </c>
      <c r="C430" s="990">
        <v>430</v>
      </c>
      <c r="E430" s="1243">
        <v>1</v>
      </c>
      <c r="I430" s="106"/>
      <c r="J430" s="105"/>
      <c r="K430" s="69"/>
      <c r="L430" s="69"/>
      <c r="P430" s="86" t="s">
        <v>1084</v>
      </c>
      <c r="Q430" s="2036"/>
      <c r="R430" s="2036"/>
      <c r="S430" s="2036"/>
      <c r="T430" s="2036"/>
      <c r="U430" s="2036"/>
      <c r="V430" s="2036"/>
      <c r="W430" s="2036"/>
      <c r="X430" s="2036"/>
      <c r="Y430" s="2036"/>
      <c r="Z430" s="2036"/>
      <c r="AA430" s="2036"/>
      <c r="AB430" s="2036"/>
      <c r="AC430" s="107">
        <f>SUM(Q430,R430,S430)</f>
        <v>0</v>
      </c>
      <c r="AD430" s="107">
        <f>SUM(T430,U430,V430)</f>
        <v>0</v>
      </c>
      <c r="AE430" s="107">
        <f>SUM(W430,X430,Y430)</f>
        <v>0</v>
      </c>
      <c r="AF430" s="107">
        <f>SUM(Z430,AA430,AB430)</f>
        <v>0</v>
      </c>
      <c r="AG430" s="107">
        <f>AC430+AD430</f>
        <v>0</v>
      </c>
      <c r="AH430" s="107">
        <f>AF430+AE430</f>
        <v>0</v>
      </c>
      <c r="AI430" s="107">
        <f>AG430+AH430</f>
        <v>0</v>
      </c>
    </row>
    <row r="431" spans="1:35">
      <c r="A431" s="990">
        <v>384</v>
      </c>
      <c r="B431" s="990">
        <v>1</v>
      </c>
      <c r="C431" s="990">
        <v>431</v>
      </c>
      <c r="E431" s="1243">
        <v>1</v>
      </c>
      <c r="I431" s="106"/>
      <c r="J431" s="105"/>
      <c r="K431" s="69"/>
      <c r="L431" s="69"/>
      <c r="O431" s="111" t="s">
        <v>1080</v>
      </c>
      <c r="P431" s="369"/>
      <c r="Q431" s="64">
        <f>SUM(Q432:Q433)</f>
        <v>29</v>
      </c>
      <c r="R431" s="64">
        <f t="shared" ref="R431:AI431" si="342">SUM(R432:R433)</f>
        <v>75</v>
      </c>
      <c r="S431" s="64">
        <f t="shared" si="342"/>
        <v>136</v>
      </c>
      <c r="T431" s="64">
        <f t="shared" si="342"/>
        <v>191</v>
      </c>
      <c r="U431" s="64">
        <f t="shared" si="342"/>
        <v>278</v>
      </c>
      <c r="V431" s="64">
        <f t="shared" si="342"/>
        <v>231</v>
      </c>
      <c r="W431" s="64">
        <f t="shared" si="342"/>
        <v>184</v>
      </c>
      <c r="X431" s="64">
        <f t="shared" si="342"/>
        <v>33</v>
      </c>
      <c r="Y431" s="64">
        <f t="shared" si="342"/>
        <v>48</v>
      </c>
      <c r="Z431" s="64">
        <f t="shared" si="342"/>
        <v>26</v>
      </c>
      <c r="AA431" s="64">
        <f t="shared" si="342"/>
        <v>275</v>
      </c>
      <c r="AB431" s="64">
        <f t="shared" si="342"/>
        <v>162</v>
      </c>
      <c r="AC431" s="385">
        <f t="shared" si="342"/>
        <v>240</v>
      </c>
      <c r="AD431" s="385">
        <f t="shared" si="342"/>
        <v>700</v>
      </c>
      <c r="AE431" s="385">
        <f t="shared" si="342"/>
        <v>265</v>
      </c>
      <c r="AF431" s="385">
        <f t="shared" si="342"/>
        <v>463</v>
      </c>
      <c r="AG431" s="385">
        <f t="shared" si="342"/>
        <v>940</v>
      </c>
      <c r="AH431" s="385">
        <f t="shared" si="342"/>
        <v>728</v>
      </c>
      <c r="AI431" s="385">
        <f t="shared" si="342"/>
        <v>1668</v>
      </c>
    </row>
    <row r="432" spans="1:35">
      <c r="A432" s="990">
        <v>385</v>
      </c>
      <c r="B432" s="990">
        <v>1</v>
      </c>
      <c r="C432" s="990">
        <v>432</v>
      </c>
      <c r="E432" s="1243">
        <v>1</v>
      </c>
      <c r="I432" s="106"/>
      <c r="J432" s="105"/>
      <c r="K432" s="69"/>
      <c r="L432" s="69"/>
      <c r="P432" s="86" t="s">
        <v>1083</v>
      </c>
      <c r="Q432" s="2036">
        <v>29</v>
      </c>
      <c r="R432" s="2036">
        <v>75</v>
      </c>
      <c r="S432" s="2036">
        <v>136</v>
      </c>
      <c r="T432" s="2036">
        <v>191</v>
      </c>
      <c r="U432" s="2036">
        <v>278</v>
      </c>
      <c r="V432" s="2036">
        <v>231</v>
      </c>
      <c r="W432" s="2036">
        <v>184</v>
      </c>
      <c r="X432" s="2036">
        <v>33</v>
      </c>
      <c r="Y432" s="2036">
        <v>48</v>
      </c>
      <c r="Z432" s="2036">
        <v>26</v>
      </c>
      <c r="AA432" s="2036">
        <v>275</v>
      </c>
      <c r="AB432" s="2036">
        <v>162</v>
      </c>
      <c r="AC432" s="107">
        <f>SUM(Q432,R432,S432)</f>
        <v>240</v>
      </c>
      <c r="AD432" s="107">
        <f>SUM(T432,U432,V432)</f>
        <v>700</v>
      </c>
      <c r="AE432" s="107">
        <f>SUM(W432,X432,Y432)</f>
        <v>265</v>
      </c>
      <c r="AF432" s="107">
        <f>SUM(Z432,AA432,AB432)</f>
        <v>463</v>
      </c>
      <c r="AG432" s="107">
        <f>AC432+AD432</f>
        <v>940</v>
      </c>
      <c r="AH432" s="107">
        <f>AF432+AE432</f>
        <v>728</v>
      </c>
      <c r="AI432" s="107">
        <f>AG432+AH432</f>
        <v>1668</v>
      </c>
    </row>
    <row r="433" spans="1:35">
      <c r="A433" s="990">
        <v>386</v>
      </c>
      <c r="B433" s="990">
        <v>1</v>
      </c>
      <c r="C433" s="990">
        <v>433</v>
      </c>
      <c r="E433" s="1243">
        <v>1</v>
      </c>
      <c r="I433" s="106"/>
      <c r="J433" s="105"/>
      <c r="K433" s="69"/>
      <c r="L433" s="69"/>
      <c r="N433" s="363"/>
      <c r="O433" s="363"/>
      <c r="P433" s="364" t="s">
        <v>1084</v>
      </c>
      <c r="Q433" s="2052"/>
      <c r="R433" s="2052"/>
      <c r="S433" s="2052"/>
      <c r="T433" s="2052"/>
      <c r="U433" s="2052"/>
      <c r="V433" s="2052"/>
      <c r="W433" s="2052"/>
      <c r="X433" s="2052"/>
      <c r="Y433" s="2052"/>
      <c r="Z433" s="2052"/>
      <c r="AA433" s="2052"/>
      <c r="AB433" s="2052"/>
      <c r="AC433" s="378">
        <f>SUM(Q433,R433,S433)</f>
        <v>0</v>
      </c>
      <c r="AD433" s="378">
        <f>SUM(T433,U433,V433)</f>
        <v>0</v>
      </c>
      <c r="AE433" s="378">
        <f>SUM(W433,X433,Y433)</f>
        <v>0</v>
      </c>
      <c r="AF433" s="378">
        <f>SUM(Z433,AA433,AB433)</f>
        <v>0</v>
      </c>
      <c r="AG433" s="378">
        <f>AC433+AD433</f>
        <v>0</v>
      </c>
      <c r="AH433" s="378">
        <f>AF433+AE433</f>
        <v>0</v>
      </c>
      <c r="AI433" s="378">
        <f>AG433+AH433</f>
        <v>0</v>
      </c>
    </row>
    <row r="434" spans="1:35" collapsed="1">
      <c r="A434" s="990">
        <v>387</v>
      </c>
      <c r="B434" s="990">
        <v>1</v>
      </c>
      <c r="C434" s="990">
        <v>434</v>
      </c>
      <c r="E434" s="1243">
        <v>1</v>
      </c>
      <c r="I434" s="106"/>
      <c r="J434" s="105"/>
      <c r="K434" s="69"/>
      <c r="L434" s="69"/>
      <c r="N434" s="366" t="s">
        <v>146</v>
      </c>
      <c r="O434" s="366"/>
      <c r="P434" s="367"/>
      <c r="Q434" s="2053"/>
      <c r="R434" s="2053"/>
      <c r="S434" s="2053"/>
      <c r="T434" s="2053"/>
      <c r="U434" s="2053"/>
      <c r="V434" s="2053"/>
      <c r="W434" s="2053"/>
      <c r="X434" s="2053"/>
      <c r="Y434" s="2053"/>
      <c r="Z434" s="2053"/>
      <c r="AA434" s="2053"/>
      <c r="AB434" s="2053"/>
      <c r="AC434" s="379">
        <f>SUM(Q434,R434,S434)</f>
        <v>0</v>
      </c>
      <c r="AD434" s="379">
        <f>SUM(T434,U434,V434)</f>
        <v>0</v>
      </c>
      <c r="AE434" s="379">
        <f>SUM(W434,X434,Y434)</f>
        <v>0</v>
      </c>
      <c r="AF434" s="379">
        <f>SUM(Z434,AA434,AB434)</f>
        <v>0</v>
      </c>
      <c r="AG434" s="379">
        <f>AC434+AD434</f>
        <v>0</v>
      </c>
      <c r="AH434" s="379">
        <f>AF434+AE434</f>
        <v>0</v>
      </c>
      <c r="AI434" s="379">
        <f>AG434+AH434</f>
        <v>0</v>
      </c>
    </row>
    <row r="435" spans="1:35">
      <c r="A435" s="990">
        <v>388</v>
      </c>
      <c r="B435" s="990">
        <v>1</v>
      </c>
      <c r="C435" s="990">
        <v>435</v>
      </c>
      <c r="E435" s="1243">
        <v>1</v>
      </c>
      <c r="I435" s="104"/>
      <c r="J435" s="103"/>
      <c r="K435" s="68"/>
      <c r="L435" s="68"/>
      <c r="M435" s="303" t="s">
        <v>11</v>
      </c>
      <c r="N435" s="303"/>
      <c r="O435" s="303"/>
      <c r="P435" s="304"/>
      <c r="Q435" s="2088"/>
      <c r="R435" s="2088"/>
      <c r="S435" s="2088"/>
      <c r="T435" s="2088"/>
      <c r="U435" s="2088"/>
      <c r="V435" s="2088"/>
      <c r="W435" s="2088"/>
      <c r="X435" s="2088"/>
      <c r="Y435" s="2088"/>
      <c r="Z435" s="2088"/>
      <c r="AA435" s="2088"/>
      <c r="AB435" s="2088"/>
      <c r="AC435" s="2534">
        <f>SUM(Q435,R435,S435)</f>
        <v>0</v>
      </c>
      <c r="AD435" s="2534">
        <f>SUM(T435,U435,V435)</f>
        <v>0</v>
      </c>
      <c r="AE435" s="2534">
        <f>SUM(W435,X435,Y435)</f>
        <v>0</v>
      </c>
      <c r="AF435" s="2534">
        <f>SUM(Z435,AA435,AB435)</f>
        <v>0</v>
      </c>
      <c r="AG435" s="2534">
        <f>AC435+AD435</f>
        <v>0</v>
      </c>
      <c r="AH435" s="2534">
        <f>AF435+AE435</f>
        <v>0</v>
      </c>
      <c r="AI435" s="2534">
        <f>AG435+AH435</f>
        <v>0</v>
      </c>
    </row>
    <row r="436" spans="1:35">
      <c r="A436" s="990">
        <v>389</v>
      </c>
      <c r="B436" s="990">
        <v>1</v>
      </c>
      <c r="C436" s="990">
        <v>436</v>
      </c>
      <c r="E436" s="1243">
        <v>1</v>
      </c>
      <c r="I436" s="791" t="s">
        <v>134</v>
      </c>
      <c r="J436" s="792"/>
      <c r="K436" s="793"/>
      <c r="L436" s="793"/>
      <c r="M436" s="792"/>
      <c r="N436" s="792"/>
      <c r="O436" s="792"/>
      <c r="P436" s="1055"/>
      <c r="Q436" s="404">
        <f t="shared" ref="Q436:AI436" si="343">Q437+Q461</f>
        <v>50124</v>
      </c>
      <c r="R436" s="404">
        <f t="shared" si="343"/>
        <v>28437</v>
      </c>
      <c r="S436" s="404">
        <f t="shared" si="343"/>
        <v>44025</v>
      </c>
      <c r="T436" s="404">
        <f t="shared" si="343"/>
        <v>59085</v>
      </c>
      <c r="U436" s="404">
        <f t="shared" si="343"/>
        <v>64306</v>
      </c>
      <c r="V436" s="404">
        <f t="shared" si="343"/>
        <v>94255</v>
      </c>
      <c r="W436" s="404">
        <f t="shared" si="343"/>
        <v>58518</v>
      </c>
      <c r="X436" s="404">
        <f t="shared" si="343"/>
        <v>74102</v>
      </c>
      <c r="Y436" s="404">
        <f t="shared" si="343"/>
        <v>88556</v>
      </c>
      <c r="Z436" s="404">
        <f t="shared" si="343"/>
        <v>48915</v>
      </c>
      <c r="AA436" s="404">
        <f t="shared" si="343"/>
        <v>47905</v>
      </c>
      <c r="AB436" s="404">
        <f t="shared" si="343"/>
        <v>52195</v>
      </c>
      <c r="AC436" s="404">
        <f t="shared" si="343"/>
        <v>122586</v>
      </c>
      <c r="AD436" s="404">
        <f t="shared" si="343"/>
        <v>217646</v>
      </c>
      <c r="AE436" s="404">
        <f t="shared" si="343"/>
        <v>221176</v>
      </c>
      <c r="AF436" s="404">
        <f t="shared" si="343"/>
        <v>149015</v>
      </c>
      <c r="AG436" s="404">
        <f t="shared" si="343"/>
        <v>340232</v>
      </c>
      <c r="AH436" s="404">
        <f t="shared" si="343"/>
        <v>370191</v>
      </c>
      <c r="AI436" s="404">
        <f t="shared" si="343"/>
        <v>710423</v>
      </c>
    </row>
    <row r="437" spans="1:35">
      <c r="A437" s="990">
        <v>390</v>
      </c>
      <c r="B437" s="990">
        <v>1</v>
      </c>
      <c r="C437" s="990">
        <v>437</v>
      </c>
      <c r="E437" s="1243">
        <v>1</v>
      </c>
      <c r="I437" s="106"/>
      <c r="J437" s="105"/>
      <c r="K437" s="74" t="s">
        <v>1022</v>
      </c>
      <c r="L437" s="74"/>
      <c r="M437" s="357"/>
      <c r="N437" s="357"/>
      <c r="O437" s="357"/>
      <c r="P437" s="358"/>
      <c r="Q437" s="403">
        <f>Q438+Q443+Q460</f>
        <v>18199</v>
      </c>
      <c r="R437" s="403">
        <f t="shared" ref="R437:AI437" si="344">R438+R443+R460</f>
        <v>14611</v>
      </c>
      <c r="S437" s="403">
        <f t="shared" si="344"/>
        <v>20145</v>
      </c>
      <c r="T437" s="403">
        <f t="shared" si="344"/>
        <v>23134</v>
      </c>
      <c r="U437" s="403">
        <f t="shared" si="344"/>
        <v>18128</v>
      </c>
      <c r="V437" s="403">
        <f t="shared" si="344"/>
        <v>32532</v>
      </c>
      <c r="W437" s="403">
        <f t="shared" si="344"/>
        <v>18599</v>
      </c>
      <c r="X437" s="403">
        <f t="shared" si="344"/>
        <v>22866</v>
      </c>
      <c r="Y437" s="403">
        <f t="shared" si="344"/>
        <v>21281</v>
      </c>
      <c r="Z437" s="403">
        <f t="shared" si="344"/>
        <v>22125</v>
      </c>
      <c r="AA437" s="403">
        <f t="shared" si="344"/>
        <v>20921</v>
      </c>
      <c r="AB437" s="403">
        <f t="shared" si="344"/>
        <v>7730</v>
      </c>
      <c r="AC437" s="403">
        <f t="shared" si="344"/>
        <v>52955</v>
      </c>
      <c r="AD437" s="403">
        <f t="shared" si="344"/>
        <v>73794</v>
      </c>
      <c r="AE437" s="403">
        <f t="shared" si="344"/>
        <v>62746</v>
      </c>
      <c r="AF437" s="403">
        <f t="shared" si="344"/>
        <v>50776</v>
      </c>
      <c r="AG437" s="403">
        <f t="shared" si="344"/>
        <v>126749</v>
      </c>
      <c r="AH437" s="403">
        <f t="shared" si="344"/>
        <v>113522</v>
      </c>
      <c r="AI437" s="403">
        <f t="shared" si="344"/>
        <v>240271</v>
      </c>
    </row>
    <row r="438" spans="1:35" s="10" customFormat="1">
      <c r="A438" s="990">
        <v>391</v>
      </c>
      <c r="B438" s="990">
        <v>1</v>
      </c>
      <c r="C438" s="990">
        <v>438</v>
      </c>
      <c r="E438" s="1243">
        <v>1</v>
      </c>
      <c r="H438" s="24"/>
      <c r="I438" s="106"/>
      <c r="J438" s="280"/>
      <c r="K438" s="74"/>
      <c r="L438" s="74"/>
      <c r="M438" s="9" t="s">
        <v>137</v>
      </c>
      <c r="N438" s="363"/>
      <c r="O438" s="363"/>
      <c r="P438" s="364"/>
      <c r="Q438" s="365">
        <f>Q439+Q442</f>
        <v>12256</v>
      </c>
      <c r="R438" s="365">
        <f t="shared" ref="R438:AI438" si="345">R439+R442</f>
        <v>11333</v>
      </c>
      <c r="S438" s="365">
        <f t="shared" si="345"/>
        <v>12938</v>
      </c>
      <c r="T438" s="365">
        <f t="shared" si="345"/>
        <v>16009</v>
      </c>
      <c r="U438" s="365">
        <f t="shared" si="345"/>
        <v>9738</v>
      </c>
      <c r="V438" s="365">
        <f t="shared" si="345"/>
        <v>20352</v>
      </c>
      <c r="W438" s="365">
        <f t="shared" si="345"/>
        <v>11722</v>
      </c>
      <c r="X438" s="365">
        <f t="shared" si="345"/>
        <v>13989</v>
      </c>
      <c r="Y438" s="365">
        <f t="shared" si="345"/>
        <v>12499</v>
      </c>
      <c r="Z438" s="365">
        <f t="shared" si="345"/>
        <v>13292</v>
      </c>
      <c r="AA438" s="365">
        <f t="shared" si="345"/>
        <v>10917</v>
      </c>
      <c r="AB438" s="365">
        <f t="shared" si="345"/>
        <v>1704</v>
      </c>
      <c r="AC438" s="378">
        <f t="shared" si="345"/>
        <v>36527</v>
      </c>
      <c r="AD438" s="365">
        <f t="shared" si="345"/>
        <v>46099</v>
      </c>
      <c r="AE438" s="365">
        <f t="shared" si="345"/>
        <v>38210</v>
      </c>
      <c r="AF438" s="365">
        <f t="shared" si="345"/>
        <v>25913</v>
      </c>
      <c r="AG438" s="365">
        <f t="shared" si="345"/>
        <v>82626</v>
      </c>
      <c r="AH438" s="365">
        <f t="shared" si="345"/>
        <v>64123</v>
      </c>
      <c r="AI438" s="365">
        <f t="shared" si="345"/>
        <v>146749</v>
      </c>
    </row>
    <row r="439" spans="1:35">
      <c r="A439" s="990">
        <v>392</v>
      </c>
      <c r="B439" s="990">
        <v>1</v>
      </c>
      <c r="C439" s="990">
        <v>439</v>
      </c>
      <c r="E439" s="1243">
        <v>1</v>
      </c>
      <c r="I439" s="106"/>
      <c r="J439" s="105"/>
      <c r="K439" s="74"/>
      <c r="L439" s="74"/>
      <c r="N439" s="111" t="s">
        <v>1021</v>
      </c>
      <c r="O439" s="111"/>
      <c r="P439" s="110"/>
      <c r="Q439" s="109">
        <f>SUM(Q440:Q441)</f>
        <v>12256</v>
      </c>
      <c r="R439" s="109">
        <f t="shared" ref="R439:AI439" si="346">SUM(R440:R441)</f>
        <v>11333</v>
      </c>
      <c r="S439" s="109">
        <f t="shared" si="346"/>
        <v>12938</v>
      </c>
      <c r="T439" s="109">
        <f t="shared" si="346"/>
        <v>16009</v>
      </c>
      <c r="U439" s="109">
        <f t="shared" si="346"/>
        <v>9738</v>
      </c>
      <c r="V439" s="109">
        <f t="shared" si="346"/>
        <v>20352</v>
      </c>
      <c r="W439" s="109">
        <f t="shared" si="346"/>
        <v>11722</v>
      </c>
      <c r="X439" s="109">
        <f t="shared" si="346"/>
        <v>13989</v>
      </c>
      <c r="Y439" s="109">
        <f t="shared" si="346"/>
        <v>12499</v>
      </c>
      <c r="Z439" s="109">
        <f t="shared" si="346"/>
        <v>13292</v>
      </c>
      <c r="AA439" s="109">
        <f t="shared" si="346"/>
        <v>10917</v>
      </c>
      <c r="AB439" s="109">
        <f t="shared" si="346"/>
        <v>1704</v>
      </c>
      <c r="AC439" s="108">
        <f t="shared" si="346"/>
        <v>36527</v>
      </c>
      <c r="AD439" s="109">
        <f t="shared" si="346"/>
        <v>46099</v>
      </c>
      <c r="AE439" s="109">
        <f t="shared" si="346"/>
        <v>38210</v>
      </c>
      <c r="AF439" s="109">
        <f t="shared" si="346"/>
        <v>25913</v>
      </c>
      <c r="AG439" s="109">
        <f t="shared" si="346"/>
        <v>82626</v>
      </c>
      <c r="AH439" s="109">
        <f t="shared" si="346"/>
        <v>64123</v>
      </c>
      <c r="AI439" s="109">
        <f t="shared" si="346"/>
        <v>146749</v>
      </c>
    </row>
    <row r="440" spans="1:35">
      <c r="A440" s="990">
        <v>393</v>
      </c>
      <c r="B440" s="990">
        <v>1</v>
      </c>
      <c r="C440" s="990">
        <v>440</v>
      </c>
      <c r="E440" s="1243">
        <v>1</v>
      </c>
      <c r="I440" s="106"/>
      <c r="J440" s="105"/>
      <c r="K440" s="74"/>
      <c r="L440" s="74"/>
      <c r="O440" s="111" t="s">
        <v>1079</v>
      </c>
      <c r="P440" s="110"/>
      <c r="Q440" s="2042">
        <v>11654</v>
      </c>
      <c r="R440" s="2042">
        <v>10852</v>
      </c>
      <c r="S440" s="2042">
        <v>12175</v>
      </c>
      <c r="T440" s="2042">
        <v>15548</v>
      </c>
      <c r="U440" s="2042">
        <v>9163</v>
      </c>
      <c r="V440" s="2042">
        <v>19974</v>
      </c>
      <c r="W440" s="2042">
        <v>11142</v>
      </c>
      <c r="X440" s="2042">
        <v>13527</v>
      </c>
      <c r="Y440" s="2042">
        <v>11980</v>
      </c>
      <c r="Z440" s="2042">
        <v>12798</v>
      </c>
      <c r="AA440" s="2042">
        <v>10428</v>
      </c>
      <c r="AB440" s="2042">
        <v>1235</v>
      </c>
      <c r="AC440" s="108">
        <f>SUM(Q440,R440,S440)</f>
        <v>34681</v>
      </c>
      <c r="AD440" s="108">
        <f>SUM(T440,U440,V440)</f>
        <v>44685</v>
      </c>
      <c r="AE440" s="108">
        <f>SUM(W440,X440,Y440)</f>
        <v>36649</v>
      </c>
      <c r="AF440" s="108">
        <f>SUM(Z440,AA440,AB440)</f>
        <v>24461</v>
      </c>
      <c r="AG440" s="108">
        <f>AC440+AD440</f>
        <v>79366</v>
      </c>
      <c r="AH440" s="108">
        <f>AF440+AE440</f>
        <v>61110</v>
      </c>
      <c r="AI440" s="108">
        <f>AG440+AH440</f>
        <v>140476</v>
      </c>
    </row>
    <row r="441" spans="1:35">
      <c r="A441" s="990">
        <v>394</v>
      </c>
      <c r="B441" s="990">
        <v>1</v>
      </c>
      <c r="C441" s="990">
        <v>441</v>
      </c>
      <c r="E441" s="1243">
        <v>1</v>
      </c>
      <c r="I441" s="106"/>
      <c r="J441" s="105"/>
      <c r="K441" s="74"/>
      <c r="L441" s="74"/>
      <c r="N441" s="363"/>
      <c r="O441" s="363" t="s">
        <v>1080</v>
      </c>
      <c r="P441" s="364"/>
      <c r="Q441" s="2052">
        <v>602</v>
      </c>
      <c r="R441" s="2052">
        <v>481</v>
      </c>
      <c r="S441" s="2052">
        <v>763</v>
      </c>
      <c r="T441" s="2052">
        <v>461</v>
      </c>
      <c r="U441" s="2052">
        <v>575</v>
      </c>
      <c r="V441" s="2052">
        <v>378</v>
      </c>
      <c r="W441" s="2052">
        <v>580</v>
      </c>
      <c r="X441" s="2052">
        <v>462</v>
      </c>
      <c r="Y441" s="2052">
        <v>519</v>
      </c>
      <c r="Z441" s="2052">
        <v>494</v>
      </c>
      <c r="AA441" s="2052">
        <v>489</v>
      </c>
      <c r="AB441" s="2052">
        <v>469</v>
      </c>
      <c r="AC441" s="378">
        <f>SUM(Q441,R441,S441)</f>
        <v>1846</v>
      </c>
      <c r="AD441" s="378">
        <f>SUM(T441,U441,V441)</f>
        <v>1414</v>
      </c>
      <c r="AE441" s="378">
        <f>SUM(W441,X441,Y441)</f>
        <v>1561</v>
      </c>
      <c r="AF441" s="378">
        <f>SUM(Z441,AA441,AB441)</f>
        <v>1452</v>
      </c>
      <c r="AG441" s="378">
        <f>AC441+AD441</f>
        <v>3260</v>
      </c>
      <c r="AH441" s="378">
        <f>AF441+AE441</f>
        <v>3013</v>
      </c>
      <c r="AI441" s="378">
        <f>AG441+AH441</f>
        <v>6273</v>
      </c>
    </row>
    <row r="442" spans="1:35" collapsed="1">
      <c r="A442" s="990">
        <v>395</v>
      </c>
      <c r="B442" s="990">
        <v>1</v>
      </c>
      <c r="C442" s="990">
        <v>442</v>
      </c>
      <c r="E442" s="1243">
        <v>1</v>
      </c>
      <c r="I442" s="106"/>
      <c r="J442" s="105"/>
      <c r="K442" s="74"/>
      <c r="L442" s="74"/>
      <c r="M442" s="12"/>
      <c r="N442" s="366" t="s">
        <v>146</v>
      </c>
      <c r="O442" s="366"/>
      <c r="P442" s="367"/>
      <c r="Q442" s="2053"/>
      <c r="R442" s="2053"/>
      <c r="S442" s="2053"/>
      <c r="T442" s="2053"/>
      <c r="U442" s="2053"/>
      <c r="V442" s="2053"/>
      <c r="W442" s="2053"/>
      <c r="X442" s="2053"/>
      <c r="Y442" s="2053"/>
      <c r="Z442" s="2053"/>
      <c r="AA442" s="2053"/>
      <c r="AB442" s="2053"/>
      <c r="AC442" s="379">
        <f>SUM(Q442,R442,S442)</f>
        <v>0</v>
      </c>
      <c r="AD442" s="379">
        <f>SUM(T442,U442,V442)</f>
        <v>0</v>
      </c>
      <c r="AE442" s="379">
        <f>SUM(W442,X442,Y442)</f>
        <v>0</v>
      </c>
      <c r="AF442" s="379">
        <f>SUM(Z442,AA442,AB442)</f>
        <v>0</v>
      </c>
      <c r="AG442" s="379">
        <f>AC442+AD442</f>
        <v>0</v>
      </c>
      <c r="AH442" s="379">
        <f>AF442+AE442</f>
        <v>0</v>
      </c>
      <c r="AI442" s="379">
        <f>AG442+AH442</f>
        <v>0</v>
      </c>
    </row>
    <row r="443" spans="1:35" s="10" customFormat="1">
      <c r="A443" s="990">
        <v>396</v>
      </c>
      <c r="B443" s="990">
        <v>1</v>
      </c>
      <c r="C443" s="990">
        <v>443</v>
      </c>
      <c r="E443" s="1243">
        <v>1</v>
      </c>
      <c r="H443" s="24"/>
      <c r="I443" s="106"/>
      <c r="J443" s="280"/>
      <c r="K443" s="74"/>
      <c r="L443" s="74"/>
      <c r="M443" s="9" t="s">
        <v>95</v>
      </c>
      <c r="N443" s="362"/>
      <c r="O443" s="362"/>
      <c r="P443" s="360"/>
      <c r="Q443" s="361">
        <f>Q444+Q451+Q452+Q456+Q459</f>
        <v>5943</v>
      </c>
      <c r="R443" s="361">
        <f t="shared" ref="R443:AI443" si="347">R444+R451+R452+R456+R459</f>
        <v>3278</v>
      </c>
      <c r="S443" s="361">
        <f t="shared" si="347"/>
        <v>7207</v>
      </c>
      <c r="T443" s="361">
        <f t="shared" si="347"/>
        <v>7125</v>
      </c>
      <c r="U443" s="361">
        <f t="shared" si="347"/>
        <v>8390</v>
      </c>
      <c r="V443" s="361">
        <f t="shared" si="347"/>
        <v>12180</v>
      </c>
      <c r="W443" s="361">
        <f t="shared" si="347"/>
        <v>6877</v>
      </c>
      <c r="X443" s="361">
        <f t="shared" si="347"/>
        <v>8877</v>
      </c>
      <c r="Y443" s="361">
        <f t="shared" si="347"/>
        <v>8782</v>
      </c>
      <c r="Z443" s="361">
        <f t="shared" si="347"/>
        <v>8833</v>
      </c>
      <c r="AA443" s="361">
        <f t="shared" si="347"/>
        <v>10004</v>
      </c>
      <c r="AB443" s="361">
        <f t="shared" si="347"/>
        <v>6026</v>
      </c>
      <c r="AC443" s="381">
        <f t="shared" si="347"/>
        <v>16428</v>
      </c>
      <c r="AD443" s="381">
        <f t="shared" si="347"/>
        <v>27695</v>
      </c>
      <c r="AE443" s="381">
        <f t="shared" si="347"/>
        <v>24536</v>
      </c>
      <c r="AF443" s="381">
        <f t="shared" si="347"/>
        <v>24863</v>
      </c>
      <c r="AG443" s="381">
        <f t="shared" si="347"/>
        <v>44123</v>
      </c>
      <c r="AH443" s="381">
        <f t="shared" si="347"/>
        <v>49399</v>
      </c>
      <c r="AI443" s="381">
        <f t="shared" si="347"/>
        <v>93522</v>
      </c>
    </row>
    <row r="444" spans="1:35">
      <c r="A444" s="990">
        <v>397</v>
      </c>
      <c r="B444" s="990">
        <v>1</v>
      </c>
      <c r="C444" s="990">
        <v>444</v>
      </c>
      <c r="E444" s="1243">
        <v>1</v>
      </c>
      <c r="I444" s="106"/>
      <c r="J444" s="105"/>
      <c r="K444" s="74"/>
      <c r="L444" s="74"/>
      <c r="N444" s="111" t="s">
        <v>1021</v>
      </c>
      <c r="O444" s="111"/>
      <c r="P444" s="110"/>
      <c r="Q444" s="109">
        <f>Q445+Q448</f>
        <v>10860</v>
      </c>
      <c r="R444" s="109">
        <f t="shared" ref="R444:AB444" si="348">R445+R448</f>
        <v>8945</v>
      </c>
      <c r="S444" s="109">
        <f t="shared" si="348"/>
        <v>13597</v>
      </c>
      <c r="T444" s="109">
        <f t="shared" si="348"/>
        <v>13917</v>
      </c>
      <c r="U444" s="109">
        <f t="shared" si="348"/>
        <v>14389</v>
      </c>
      <c r="V444" s="109">
        <f t="shared" si="348"/>
        <v>18696</v>
      </c>
      <c r="W444" s="109">
        <f t="shared" si="348"/>
        <v>13671</v>
      </c>
      <c r="X444" s="109">
        <f t="shared" si="348"/>
        <v>15723</v>
      </c>
      <c r="Y444" s="109">
        <f t="shared" si="348"/>
        <v>15795</v>
      </c>
      <c r="Z444" s="109">
        <f t="shared" si="348"/>
        <v>15498</v>
      </c>
      <c r="AA444" s="109">
        <f t="shared" si="348"/>
        <v>16980</v>
      </c>
      <c r="AB444" s="109">
        <f t="shared" si="348"/>
        <v>16751</v>
      </c>
      <c r="AC444" s="108">
        <f>AC445+AC448</f>
        <v>33402</v>
      </c>
      <c r="AD444" s="108">
        <f t="shared" ref="AD444:AI444" si="349">AD445+AD448</f>
        <v>47002</v>
      </c>
      <c r="AE444" s="108">
        <f t="shared" si="349"/>
        <v>45189</v>
      </c>
      <c r="AF444" s="108">
        <f t="shared" si="349"/>
        <v>49229</v>
      </c>
      <c r="AG444" s="108">
        <f t="shared" si="349"/>
        <v>80404</v>
      </c>
      <c r="AH444" s="108">
        <f t="shared" si="349"/>
        <v>94418</v>
      </c>
      <c r="AI444" s="108">
        <f t="shared" si="349"/>
        <v>174822</v>
      </c>
    </row>
    <row r="445" spans="1:35">
      <c r="A445" s="990">
        <v>398</v>
      </c>
      <c r="B445" s="990">
        <v>1</v>
      </c>
      <c r="C445" s="990">
        <v>445</v>
      </c>
      <c r="E445" s="1243">
        <v>1</v>
      </c>
      <c r="I445" s="106"/>
      <c r="J445" s="105"/>
      <c r="K445" s="74"/>
      <c r="L445" s="74"/>
      <c r="O445" s="111" t="s">
        <v>1079</v>
      </c>
      <c r="P445" s="369"/>
      <c r="Q445" s="64">
        <f>SUM(Q446:Q447)</f>
        <v>10564</v>
      </c>
      <c r="R445" s="64">
        <f t="shared" ref="R445:AB445" si="350">SUM(R446:R447)</f>
        <v>8859</v>
      </c>
      <c r="S445" s="64">
        <f t="shared" si="350"/>
        <v>13251</v>
      </c>
      <c r="T445" s="64">
        <f t="shared" si="350"/>
        <v>13021</v>
      </c>
      <c r="U445" s="64">
        <f t="shared" si="350"/>
        <v>14223</v>
      </c>
      <c r="V445" s="64">
        <f t="shared" si="350"/>
        <v>18405</v>
      </c>
      <c r="W445" s="64">
        <f t="shared" si="350"/>
        <v>13642</v>
      </c>
      <c r="X445" s="64">
        <f t="shared" si="350"/>
        <v>15426</v>
      </c>
      <c r="Y445" s="64">
        <f t="shared" si="350"/>
        <v>15795</v>
      </c>
      <c r="Z445" s="64">
        <f t="shared" si="350"/>
        <v>15233</v>
      </c>
      <c r="AA445" s="64">
        <f t="shared" si="350"/>
        <v>16635</v>
      </c>
      <c r="AB445" s="64">
        <f t="shared" si="350"/>
        <v>16627</v>
      </c>
      <c r="AC445" s="385">
        <f>SUM(AC446:AC447)</f>
        <v>32674</v>
      </c>
      <c r="AD445" s="385">
        <f t="shared" ref="AD445:AI445" si="351">SUM(AD446:AD447)</f>
        <v>45649</v>
      </c>
      <c r="AE445" s="385">
        <f t="shared" si="351"/>
        <v>44863</v>
      </c>
      <c r="AF445" s="385">
        <f t="shared" si="351"/>
        <v>48495</v>
      </c>
      <c r="AG445" s="385">
        <f t="shared" si="351"/>
        <v>78323</v>
      </c>
      <c r="AH445" s="385">
        <f t="shared" si="351"/>
        <v>93358</v>
      </c>
      <c r="AI445" s="385">
        <f t="shared" si="351"/>
        <v>171681</v>
      </c>
    </row>
    <row r="446" spans="1:35">
      <c r="A446" s="990">
        <v>399</v>
      </c>
      <c r="B446" s="990">
        <v>1</v>
      </c>
      <c r="C446" s="990">
        <v>446</v>
      </c>
      <c r="E446" s="1243">
        <v>1</v>
      </c>
      <c r="I446" s="106"/>
      <c r="J446" s="105"/>
      <c r="K446" s="74"/>
      <c r="L446" s="74"/>
      <c r="P446" s="86" t="s">
        <v>1081</v>
      </c>
      <c r="Q446" s="2036">
        <f>5647+4917</f>
        <v>10564</v>
      </c>
      <c r="R446" s="2036">
        <f>3192+5667</f>
        <v>8859</v>
      </c>
      <c r="S446" s="2036">
        <f>6861+6390</f>
        <v>13251</v>
      </c>
      <c r="T446" s="2036">
        <f>6229+6792</f>
        <v>13021</v>
      </c>
      <c r="U446" s="2036">
        <f>8224+5999</f>
        <v>14223</v>
      </c>
      <c r="V446" s="2036">
        <f>12180+6516-291</f>
        <v>18405</v>
      </c>
      <c r="W446" s="2036">
        <f>6848+6794</f>
        <v>13642</v>
      </c>
      <c r="X446" s="2036">
        <f>8877-297+6846</f>
        <v>15426</v>
      </c>
      <c r="Y446" s="2036">
        <f>8782+7013</f>
        <v>15795</v>
      </c>
      <c r="Z446" s="2036">
        <f>8568+6665</f>
        <v>15233</v>
      </c>
      <c r="AA446" s="2036">
        <f>9659+6976</f>
        <v>16635</v>
      </c>
      <c r="AB446" s="2036">
        <f>5902+10725</f>
        <v>16627</v>
      </c>
      <c r="AC446" s="107">
        <f>SUM(Q446,R446,S446)</f>
        <v>32674</v>
      </c>
      <c r="AD446" s="107">
        <f>SUM(T446,U446,V446)</f>
        <v>45649</v>
      </c>
      <c r="AE446" s="107">
        <f>SUM(W446,X446,Y446)</f>
        <v>44863</v>
      </c>
      <c r="AF446" s="107">
        <f>SUM(Z446,AA446,AB446)</f>
        <v>48495</v>
      </c>
      <c r="AG446" s="107">
        <f>AC446+AD446</f>
        <v>78323</v>
      </c>
      <c r="AH446" s="107">
        <f>AF446+AE446</f>
        <v>93358</v>
      </c>
      <c r="AI446" s="107">
        <f>AG446+AH446</f>
        <v>171681</v>
      </c>
    </row>
    <row r="447" spans="1:35">
      <c r="A447" s="990">
        <v>400</v>
      </c>
      <c r="B447" s="990">
        <v>1</v>
      </c>
      <c r="C447" s="990">
        <v>447</v>
      </c>
      <c r="E447" s="1243">
        <v>1</v>
      </c>
      <c r="I447" s="106"/>
      <c r="J447" s="105"/>
      <c r="K447" s="74"/>
      <c r="L447" s="74"/>
      <c r="P447" s="86" t="s">
        <v>1082</v>
      </c>
      <c r="Q447" s="2036"/>
      <c r="R447" s="2036"/>
      <c r="S447" s="2036"/>
      <c r="T447" s="2036"/>
      <c r="U447" s="2036"/>
      <c r="V447" s="2036"/>
      <c r="W447" s="2036"/>
      <c r="X447" s="2036"/>
      <c r="Y447" s="2036"/>
      <c r="Z447" s="2036"/>
      <c r="AA447" s="2036"/>
      <c r="AB447" s="2036"/>
      <c r="AC447" s="107">
        <f>SUM(Q447,R447,S447)</f>
        <v>0</v>
      </c>
      <c r="AD447" s="107">
        <f>SUM(T447,U447,V447)</f>
        <v>0</v>
      </c>
      <c r="AE447" s="107">
        <f>SUM(W447,X447,Y447)</f>
        <v>0</v>
      </c>
      <c r="AF447" s="107">
        <f>SUM(Z447,AA447,AB447)</f>
        <v>0</v>
      </c>
      <c r="AG447" s="107">
        <f>AC447+AD447</f>
        <v>0</v>
      </c>
      <c r="AH447" s="107">
        <f>AF447+AE447</f>
        <v>0</v>
      </c>
      <c r="AI447" s="107">
        <f>AG447+AH447</f>
        <v>0</v>
      </c>
    </row>
    <row r="448" spans="1:35">
      <c r="A448" s="990">
        <v>401</v>
      </c>
      <c r="B448" s="990">
        <v>1</v>
      </c>
      <c r="C448" s="990">
        <v>448</v>
      </c>
      <c r="E448" s="1243">
        <v>1</v>
      </c>
      <c r="I448" s="106"/>
      <c r="J448" s="105"/>
      <c r="K448" s="74"/>
      <c r="L448" s="74"/>
      <c r="O448" s="111" t="s">
        <v>1080</v>
      </c>
      <c r="P448" s="369"/>
      <c r="Q448" s="64">
        <f>SUM(Q449:Q450)</f>
        <v>296</v>
      </c>
      <c r="R448" s="64">
        <f t="shared" ref="R448:AB448" si="352">SUM(R449:R450)</f>
        <v>86</v>
      </c>
      <c r="S448" s="64">
        <f t="shared" si="352"/>
        <v>346</v>
      </c>
      <c r="T448" s="64">
        <f t="shared" si="352"/>
        <v>896</v>
      </c>
      <c r="U448" s="64">
        <f t="shared" si="352"/>
        <v>166</v>
      </c>
      <c r="V448" s="64">
        <f t="shared" si="352"/>
        <v>291</v>
      </c>
      <c r="W448" s="64">
        <f t="shared" si="352"/>
        <v>29</v>
      </c>
      <c r="X448" s="64">
        <f t="shared" si="352"/>
        <v>297</v>
      </c>
      <c r="Y448" s="64">
        <f t="shared" si="352"/>
        <v>0</v>
      </c>
      <c r="Z448" s="64">
        <f t="shared" si="352"/>
        <v>265</v>
      </c>
      <c r="AA448" s="64">
        <f t="shared" si="352"/>
        <v>345</v>
      </c>
      <c r="AB448" s="64">
        <f t="shared" si="352"/>
        <v>124</v>
      </c>
      <c r="AC448" s="385">
        <f>SUM(AC449:AC450)</f>
        <v>728</v>
      </c>
      <c r="AD448" s="385">
        <f t="shared" ref="AD448:AI448" si="353">SUM(AD449:AD450)</f>
        <v>1353</v>
      </c>
      <c r="AE448" s="385">
        <f t="shared" si="353"/>
        <v>326</v>
      </c>
      <c r="AF448" s="385">
        <f t="shared" si="353"/>
        <v>734</v>
      </c>
      <c r="AG448" s="385">
        <f t="shared" si="353"/>
        <v>2081</v>
      </c>
      <c r="AH448" s="385">
        <f t="shared" si="353"/>
        <v>1060</v>
      </c>
      <c r="AI448" s="385">
        <f t="shared" si="353"/>
        <v>3141</v>
      </c>
    </row>
    <row r="449" spans="1:35">
      <c r="A449" s="990">
        <v>402</v>
      </c>
      <c r="B449" s="990">
        <v>1</v>
      </c>
      <c r="C449" s="990">
        <v>449</v>
      </c>
      <c r="E449" s="1243">
        <v>1</v>
      </c>
      <c r="I449" s="106"/>
      <c r="J449" s="105"/>
      <c r="K449" s="74"/>
      <c r="L449" s="74"/>
      <c r="P449" s="86" t="s">
        <v>1081</v>
      </c>
      <c r="Q449" s="2036">
        <v>296</v>
      </c>
      <c r="R449" s="2036">
        <v>86</v>
      </c>
      <c r="S449" s="2036">
        <v>346</v>
      </c>
      <c r="T449" s="2036">
        <v>896</v>
      </c>
      <c r="U449" s="2036">
        <v>166</v>
      </c>
      <c r="V449" s="2036">
        <v>291</v>
      </c>
      <c r="W449" s="2036">
        <v>29</v>
      </c>
      <c r="X449" s="2036">
        <v>297</v>
      </c>
      <c r="Y449" s="2036"/>
      <c r="Z449" s="2036">
        <v>265</v>
      </c>
      <c r="AA449" s="2036">
        <v>345</v>
      </c>
      <c r="AB449" s="2036">
        <v>124</v>
      </c>
      <c r="AC449" s="107">
        <f>SUM(Q449,R449,S449)</f>
        <v>728</v>
      </c>
      <c r="AD449" s="107">
        <f>SUM(T449,U449,V449)</f>
        <v>1353</v>
      </c>
      <c r="AE449" s="107">
        <f>SUM(W449,X449,Y449)</f>
        <v>326</v>
      </c>
      <c r="AF449" s="107">
        <f>SUM(Z449,AA449,AB449)</f>
        <v>734</v>
      </c>
      <c r="AG449" s="107">
        <f>AC449+AD449</f>
        <v>2081</v>
      </c>
      <c r="AH449" s="107">
        <f>AF449+AE449</f>
        <v>1060</v>
      </c>
      <c r="AI449" s="107">
        <f>AG449+AH449</f>
        <v>3141</v>
      </c>
    </row>
    <row r="450" spans="1:35">
      <c r="A450" s="990">
        <v>403</v>
      </c>
      <c r="B450" s="990">
        <v>1</v>
      </c>
      <c r="C450" s="990">
        <v>450</v>
      </c>
      <c r="E450" s="1243">
        <v>1</v>
      </c>
      <c r="I450" s="106"/>
      <c r="J450" s="105"/>
      <c r="K450" s="74"/>
      <c r="L450" s="74"/>
      <c r="N450" s="363"/>
      <c r="O450" s="363"/>
      <c r="P450" s="364" t="s">
        <v>1082</v>
      </c>
      <c r="Q450" s="2052"/>
      <c r="R450" s="2052"/>
      <c r="S450" s="2052"/>
      <c r="T450" s="2052"/>
      <c r="U450" s="2052"/>
      <c r="V450" s="2052"/>
      <c r="W450" s="2052"/>
      <c r="X450" s="2052"/>
      <c r="Y450" s="2052"/>
      <c r="Z450" s="2052"/>
      <c r="AA450" s="2052"/>
      <c r="AB450" s="2052"/>
      <c r="AC450" s="378">
        <f>SUM(Q450,R450,S450)</f>
        <v>0</v>
      </c>
      <c r="AD450" s="378">
        <f>SUM(T450,U450,V450)</f>
        <v>0</v>
      </c>
      <c r="AE450" s="378">
        <f>SUM(W450,X450,Y450)</f>
        <v>0</v>
      </c>
      <c r="AF450" s="378">
        <f>SUM(Z450,AA450,AB450)</f>
        <v>0</v>
      </c>
      <c r="AG450" s="378">
        <f>AC450+AD450</f>
        <v>0</v>
      </c>
      <c r="AH450" s="378">
        <f>AF450+AE450</f>
        <v>0</v>
      </c>
      <c r="AI450" s="378">
        <f>AG450+AH450</f>
        <v>0</v>
      </c>
    </row>
    <row r="451" spans="1:35" collapsed="1">
      <c r="A451" s="990">
        <v>404</v>
      </c>
      <c r="B451" s="990">
        <v>1</v>
      </c>
      <c r="C451" s="990">
        <v>451</v>
      </c>
      <c r="E451" s="1243">
        <v>1</v>
      </c>
      <c r="I451" s="106"/>
      <c r="J451" s="105"/>
      <c r="K451" s="74"/>
      <c r="L451" s="74"/>
      <c r="N451" s="366" t="s">
        <v>146</v>
      </c>
      <c r="O451" s="366"/>
      <c r="P451" s="367"/>
      <c r="Q451" s="2053"/>
      <c r="R451" s="2053"/>
      <c r="S451" s="2053"/>
      <c r="T451" s="2053"/>
      <c r="U451" s="2053"/>
      <c r="V451" s="2053"/>
      <c r="W451" s="2053"/>
      <c r="X451" s="2053"/>
      <c r="Y451" s="2053"/>
      <c r="Z451" s="2053"/>
      <c r="AA451" s="2053"/>
      <c r="AB451" s="2053"/>
      <c r="AC451" s="379">
        <f>SUM(Q451,R451,S451)</f>
        <v>0</v>
      </c>
      <c r="AD451" s="379">
        <f>SUM(T451,U451,V451)</f>
        <v>0</v>
      </c>
      <c r="AE451" s="379">
        <f>SUM(W451,X451,Y451)</f>
        <v>0</v>
      </c>
      <c r="AF451" s="379">
        <f>SUM(Z451,AA451,AB451)</f>
        <v>0</v>
      </c>
      <c r="AG451" s="379">
        <f>AC451+AD451</f>
        <v>0</v>
      </c>
      <c r="AH451" s="379">
        <f>AF451+AE451</f>
        <v>0</v>
      </c>
      <c r="AI451" s="379">
        <f>AG451+AH451</f>
        <v>0</v>
      </c>
    </row>
    <row r="452" spans="1:35">
      <c r="A452" s="990">
        <v>405</v>
      </c>
      <c r="B452" s="990">
        <v>1</v>
      </c>
      <c r="C452" s="990">
        <v>452</v>
      </c>
      <c r="E452" s="1243">
        <v>1</v>
      </c>
      <c r="I452" s="106"/>
      <c r="J452" s="105"/>
      <c r="K452" s="74"/>
      <c r="L452" s="74"/>
      <c r="N452" s="383" t="s">
        <v>1085</v>
      </c>
      <c r="O452" s="383"/>
      <c r="P452" s="384"/>
      <c r="Q452" s="365">
        <f>SUM(Q453:Q455)</f>
        <v>-4884</v>
      </c>
      <c r="R452" s="365">
        <f t="shared" ref="R452:AI452" si="354">SUM(R453:R455)</f>
        <v>-5634</v>
      </c>
      <c r="S452" s="365">
        <f t="shared" si="354"/>
        <v>-6357</v>
      </c>
      <c r="T452" s="365">
        <f t="shared" si="354"/>
        <v>-6765</v>
      </c>
      <c r="U452" s="365">
        <f t="shared" si="354"/>
        <v>-5972</v>
      </c>
      <c r="V452" s="365">
        <f t="shared" si="354"/>
        <v>-6483</v>
      </c>
      <c r="W452" s="365">
        <f t="shared" si="354"/>
        <v>-6761</v>
      </c>
      <c r="X452" s="365">
        <f t="shared" si="354"/>
        <v>-6813</v>
      </c>
      <c r="Y452" s="365">
        <f t="shared" si="354"/>
        <v>-6958</v>
      </c>
      <c r="Z452" s="365">
        <f t="shared" si="354"/>
        <v>-6632</v>
      </c>
      <c r="AA452" s="365">
        <f t="shared" si="354"/>
        <v>-6946</v>
      </c>
      <c r="AB452" s="365">
        <f t="shared" si="354"/>
        <v>-10718</v>
      </c>
      <c r="AC452" s="378">
        <f t="shared" si="354"/>
        <v>-16875</v>
      </c>
      <c r="AD452" s="378">
        <f t="shared" si="354"/>
        <v>-19220</v>
      </c>
      <c r="AE452" s="378">
        <f t="shared" si="354"/>
        <v>-20532</v>
      </c>
      <c r="AF452" s="378">
        <f t="shared" si="354"/>
        <v>-24296</v>
      </c>
      <c r="AG452" s="378">
        <f t="shared" si="354"/>
        <v>-36095</v>
      </c>
      <c r="AH452" s="378">
        <f t="shared" si="354"/>
        <v>-44828</v>
      </c>
      <c r="AI452" s="378">
        <f t="shared" si="354"/>
        <v>-80923</v>
      </c>
    </row>
    <row r="453" spans="1:35">
      <c r="A453" s="990">
        <v>406</v>
      </c>
      <c r="B453" s="990">
        <v>1</v>
      </c>
      <c r="C453" s="990">
        <v>453</v>
      </c>
      <c r="E453" s="1243">
        <v>1</v>
      </c>
      <c r="I453" s="106"/>
      <c r="J453" s="105"/>
      <c r="K453" s="74"/>
      <c r="L453" s="74"/>
      <c r="N453" s="371"/>
      <c r="O453" s="371"/>
      <c r="P453" s="382" t="s">
        <v>391</v>
      </c>
      <c r="Q453" s="2042">
        <v>-2284</v>
      </c>
      <c r="R453" s="2042">
        <v>-2409</v>
      </c>
      <c r="S453" s="2042">
        <v>-2318</v>
      </c>
      <c r="T453" s="2042">
        <v>-2384</v>
      </c>
      <c r="U453" s="2042">
        <v>-2399</v>
      </c>
      <c r="V453" s="2042">
        <v>-2083</v>
      </c>
      <c r="W453" s="2042">
        <v>-2010</v>
      </c>
      <c r="X453" s="2042">
        <v>-2270</v>
      </c>
      <c r="Y453" s="2042">
        <v>-2103</v>
      </c>
      <c r="Z453" s="2042">
        <v>-2146</v>
      </c>
      <c r="AA453" s="2042">
        <v>-2209</v>
      </c>
      <c r="AB453" s="2042">
        <v>-2288</v>
      </c>
      <c r="AC453" s="108">
        <f>SUM(Q453,R453,S453)</f>
        <v>-7011</v>
      </c>
      <c r="AD453" s="108">
        <f>SUM(T453,U453,V453)</f>
        <v>-6866</v>
      </c>
      <c r="AE453" s="108">
        <f>SUM(W453,X453,Y453)</f>
        <v>-6383</v>
      </c>
      <c r="AF453" s="108">
        <f>SUM(Z453,AA453,AB453)</f>
        <v>-6643</v>
      </c>
      <c r="AG453" s="108">
        <f>AC453+AD453</f>
        <v>-13877</v>
      </c>
      <c r="AH453" s="108">
        <f>AF453+AE453</f>
        <v>-13026</v>
      </c>
      <c r="AI453" s="108">
        <f>AG453+AH453</f>
        <v>-26903</v>
      </c>
    </row>
    <row r="454" spans="1:35">
      <c r="A454" s="990">
        <v>407</v>
      </c>
      <c r="B454" s="990">
        <v>1</v>
      </c>
      <c r="C454" s="990">
        <v>454</v>
      </c>
      <c r="E454" s="1243">
        <v>1</v>
      </c>
      <c r="F454" s="9"/>
      <c r="G454" s="9"/>
      <c r="I454" s="106"/>
      <c r="J454" s="105"/>
      <c r="K454" s="74"/>
      <c r="L454" s="74"/>
      <c r="N454" s="299"/>
      <c r="O454" s="299"/>
      <c r="P454" s="400" t="s">
        <v>1086</v>
      </c>
      <c r="Q454" s="2036"/>
      <c r="R454" s="2036">
        <v>-25</v>
      </c>
      <c r="S454" s="2036">
        <v>-32</v>
      </c>
      <c r="T454" s="2036">
        <v>-711</v>
      </c>
      <c r="U454" s="2036">
        <v>297</v>
      </c>
      <c r="V454" s="2036">
        <v>-301</v>
      </c>
      <c r="W454" s="2036">
        <v>-252</v>
      </c>
      <c r="X454" s="2036">
        <v>-342</v>
      </c>
      <c r="Y454" s="2036">
        <v>-230</v>
      </c>
      <c r="Z454" s="2036">
        <v>-286</v>
      </c>
      <c r="AA454" s="2036">
        <v>-307</v>
      </c>
      <c r="AB454" s="2036">
        <v>-911</v>
      </c>
      <c r="AC454" s="107">
        <f>SUM(Q454,R454,S454)</f>
        <v>-57</v>
      </c>
      <c r="AD454" s="107">
        <f>SUM(T454,U454,V454)</f>
        <v>-715</v>
      </c>
      <c r="AE454" s="107">
        <f>SUM(W454,X454,Y454)</f>
        <v>-824</v>
      </c>
      <c r="AF454" s="107">
        <f>SUM(Z454,AA454,AB454)</f>
        <v>-1504</v>
      </c>
      <c r="AG454" s="107">
        <f>AC454+AD454</f>
        <v>-772</v>
      </c>
      <c r="AH454" s="107">
        <f>AF454+AE454</f>
        <v>-2328</v>
      </c>
      <c r="AI454" s="107">
        <f>AG454+AH454</f>
        <v>-3100</v>
      </c>
    </row>
    <row r="455" spans="1:35">
      <c r="A455" s="990">
        <v>408</v>
      </c>
      <c r="B455" s="990">
        <v>1</v>
      </c>
      <c r="C455" s="990">
        <v>455</v>
      </c>
      <c r="E455" s="1243">
        <v>1</v>
      </c>
      <c r="I455" s="106"/>
      <c r="J455" s="105"/>
      <c r="K455" s="74"/>
      <c r="L455" s="74"/>
      <c r="N455" s="298"/>
      <c r="O455" s="298"/>
      <c r="P455" s="88" t="s">
        <v>393</v>
      </c>
      <c r="Q455" s="2037">
        <v>-2600</v>
      </c>
      <c r="R455" s="2037">
        <v>-3200</v>
      </c>
      <c r="S455" s="2037">
        <v>-4007</v>
      </c>
      <c r="T455" s="2037">
        <v>-3670</v>
      </c>
      <c r="U455" s="2037">
        <v>-3870</v>
      </c>
      <c r="V455" s="2037">
        <v>-4099</v>
      </c>
      <c r="W455" s="2037">
        <v>-4499</v>
      </c>
      <c r="X455" s="2037">
        <v>-4201</v>
      </c>
      <c r="Y455" s="2037">
        <v>-4625</v>
      </c>
      <c r="Z455" s="2037">
        <v>-4200</v>
      </c>
      <c r="AA455" s="2037">
        <v>-4430</v>
      </c>
      <c r="AB455" s="2037">
        <v>-7519</v>
      </c>
      <c r="AC455" s="113">
        <f>SUM(Q455,R455,S455)</f>
        <v>-9807</v>
      </c>
      <c r="AD455" s="113">
        <f>SUM(T455,U455,V455)</f>
        <v>-11639</v>
      </c>
      <c r="AE455" s="113">
        <f>SUM(W455,X455,Y455)</f>
        <v>-13325</v>
      </c>
      <c r="AF455" s="113">
        <f>SUM(Z455,AA455,AB455)</f>
        <v>-16149</v>
      </c>
      <c r="AG455" s="113">
        <f>AC455+AD455</f>
        <v>-21446</v>
      </c>
      <c r="AH455" s="113">
        <f>AF455+AE455</f>
        <v>-29474</v>
      </c>
      <c r="AI455" s="113">
        <f>AG455+AH455</f>
        <v>-50920</v>
      </c>
    </row>
    <row r="456" spans="1:35">
      <c r="A456" s="990">
        <v>409</v>
      </c>
      <c r="B456" s="990">
        <v>1</v>
      </c>
      <c r="C456" s="990">
        <v>456</v>
      </c>
      <c r="E456" s="1243">
        <v>1</v>
      </c>
      <c r="I456" s="106"/>
      <c r="J456" s="105"/>
      <c r="K456" s="74"/>
      <c r="L456" s="74"/>
      <c r="N456" s="370" t="s">
        <v>1087</v>
      </c>
      <c r="O456" s="370"/>
      <c r="P456" s="380"/>
      <c r="Q456" s="361">
        <f>SUM(Q457:Q458)</f>
        <v>-33</v>
      </c>
      <c r="R456" s="361">
        <f t="shared" ref="R456:AB456" si="355">SUM(R457:R458)</f>
        <v>-33</v>
      </c>
      <c r="S456" s="361">
        <f t="shared" si="355"/>
        <v>-33</v>
      </c>
      <c r="T456" s="361">
        <f t="shared" si="355"/>
        <v>-27</v>
      </c>
      <c r="U456" s="361">
        <f t="shared" si="355"/>
        <v>-27</v>
      </c>
      <c r="V456" s="361">
        <f t="shared" si="355"/>
        <v>-33</v>
      </c>
      <c r="W456" s="361">
        <f t="shared" si="355"/>
        <v>-33</v>
      </c>
      <c r="X456" s="361">
        <f t="shared" si="355"/>
        <v>-33</v>
      </c>
      <c r="Y456" s="361">
        <f t="shared" si="355"/>
        <v>-55</v>
      </c>
      <c r="Z456" s="361">
        <f t="shared" si="355"/>
        <v>-33</v>
      </c>
      <c r="AA456" s="361">
        <f t="shared" si="355"/>
        <v>-30</v>
      </c>
      <c r="AB456" s="361">
        <f t="shared" si="355"/>
        <v>-7</v>
      </c>
      <c r="AC456" s="381">
        <f>SUM(AC457:AC458)</f>
        <v>-99</v>
      </c>
      <c r="AD456" s="381">
        <f t="shared" ref="AD456:AI456" si="356">SUM(AD457:AD458)</f>
        <v>-87</v>
      </c>
      <c r="AE456" s="381">
        <f>SUM(AE457:AE458)</f>
        <v>-121</v>
      </c>
      <c r="AF456" s="381">
        <f t="shared" si="356"/>
        <v>-70</v>
      </c>
      <c r="AG456" s="381">
        <f t="shared" si="356"/>
        <v>-186</v>
      </c>
      <c r="AH456" s="381">
        <f t="shared" si="356"/>
        <v>-191</v>
      </c>
      <c r="AI456" s="381">
        <f t="shared" si="356"/>
        <v>-377</v>
      </c>
    </row>
    <row r="457" spans="1:35">
      <c r="A457" s="990">
        <v>410</v>
      </c>
      <c r="B457" s="990">
        <v>1</v>
      </c>
      <c r="C457" s="990">
        <v>457</v>
      </c>
      <c r="E457" s="1243">
        <v>1</v>
      </c>
      <c r="I457" s="106"/>
      <c r="J457" s="105"/>
      <c r="K457" s="74"/>
      <c r="L457" s="74"/>
      <c r="N457" s="371"/>
      <c r="O457" s="371"/>
      <c r="P457" s="382" t="s">
        <v>391</v>
      </c>
      <c r="Q457" s="2042">
        <v>-33</v>
      </c>
      <c r="R457" s="2042">
        <v>-33</v>
      </c>
      <c r="S457" s="2042">
        <v>-33</v>
      </c>
      <c r="T457" s="2042">
        <v>-27</v>
      </c>
      <c r="U457" s="2042">
        <v>-27</v>
      </c>
      <c r="V457" s="2042">
        <v>-33</v>
      </c>
      <c r="W457" s="2042">
        <v>-33</v>
      </c>
      <c r="X457" s="2042">
        <v>-33</v>
      </c>
      <c r="Y457" s="2042">
        <v>-55</v>
      </c>
      <c r="Z457" s="2042">
        <v>-33</v>
      </c>
      <c r="AA457" s="2042">
        <v>-30</v>
      </c>
      <c r="AB457" s="2042">
        <v>-7</v>
      </c>
      <c r="AC457" s="108">
        <f>SUM(Q457,R457,S457)</f>
        <v>-99</v>
      </c>
      <c r="AD457" s="108">
        <f>SUM(T457,U457,V457)</f>
        <v>-87</v>
      </c>
      <c r="AE457" s="108">
        <f>SUM(W457,X457,Y457)</f>
        <v>-121</v>
      </c>
      <c r="AF457" s="108">
        <f>SUM(Z457,AA457,AB457)</f>
        <v>-70</v>
      </c>
      <c r="AG457" s="108">
        <f>AC457+AD457</f>
        <v>-186</v>
      </c>
      <c r="AH457" s="108">
        <f>AF457+AE457</f>
        <v>-191</v>
      </c>
      <c r="AI457" s="108">
        <f>AG457+AH457</f>
        <v>-377</v>
      </c>
    </row>
    <row r="458" spans="1:35">
      <c r="A458" s="990">
        <v>411</v>
      </c>
      <c r="B458" s="990">
        <v>1</v>
      </c>
      <c r="C458" s="990">
        <v>458</v>
      </c>
      <c r="E458" s="1243">
        <v>1</v>
      </c>
      <c r="I458" s="106"/>
      <c r="J458" s="105"/>
      <c r="K458" s="74"/>
      <c r="L458" s="74"/>
      <c r="N458" s="298"/>
      <c r="O458" s="298"/>
      <c r="P458" s="88" t="s">
        <v>393</v>
      </c>
      <c r="Q458" s="2037"/>
      <c r="R458" s="2037"/>
      <c r="S458" s="2037"/>
      <c r="T458" s="2037"/>
      <c r="U458" s="2037"/>
      <c r="V458" s="2037"/>
      <c r="W458" s="2037"/>
      <c r="X458" s="2037"/>
      <c r="Y458" s="2037"/>
      <c r="Z458" s="2037"/>
      <c r="AA458" s="2037"/>
      <c r="AB458" s="2037"/>
      <c r="AC458" s="113">
        <f>SUM(Q458,R458,S458)</f>
        <v>0</v>
      </c>
      <c r="AD458" s="113">
        <f>SUM(T458,U458,V458)</f>
        <v>0</v>
      </c>
      <c r="AE458" s="113">
        <f>SUM(W458,X458,Y458)</f>
        <v>0</v>
      </c>
      <c r="AF458" s="113">
        <f>SUM(Z458,AA458,AB458)</f>
        <v>0</v>
      </c>
      <c r="AG458" s="113">
        <f>AC458+AD458</f>
        <v>0</v>
      </c>
      <c r="AH458" s="113">
        <f>AF458+AE458</f>
        <v>0</v>
      </c>
      <c r="AI458" s="113">
        <f>AG458+AH458</f>
        <v>0</v>
      </c>
    </row>
    <row r="459" spans="1:35">
      <c r="A459" s="990">
        <v>412</v>
      </c>
      <c r="B459" s="990">
        <v>1</v>
      </c>
      <c r="C459" s="990">
        <v>459</v>
      </c>
      <c r="E459" s="1243">
        <v>1</v>
      </c>
      <c r="I459" s="106"/>
      <c r="J459" s="105"/>
      <c r="K459" s="74"/>
      <c r="L459" s="74"/>
      <c r="N459" s="400" t="s">
        <v>1088</v>
      </c>
      <c r="O459" s="299"/>
      <c r="P459" s="400"/>
      <c r="Q459" s="2036"/>
      <c r="R459" s="2036"/>
      <c r="S459" s="2036"/>
      <c r="T459" s="2036"/>
      <c r="U459" s="2036"/>
      <c r="V459" s="2036"/>
      <c r="W459" s="2036"/>
      <c r="X459" s="2036"/>
      <c r="Y459" s="2036"/>
      <c r="Z459" s="2036"/>
      <c r="AA459" s="2036"/>
      <c r="AB459" s="2036"/>
      <c r="AC459" s="107">
        <f>SUM(Q459,R459,S459)</f>
        <v>0</v>
      </c>
      <c r="AD459" s="107">
        <f>SUM(T459,U459,V459)</f>
        <v>0</v>
      </c>
      <c r="AE459" s="107">
        <f>SUM(W459,X459,Y459)</f>
        <v>0</v>
      </c>
      <c r="AF459" s="107">
        <f>SUM(Z459,AA459,AB459)</f>
        <v>0</v>
      </c>
      <c r="AG459" s="107">
        <f>AC459+AD459</f>
        <v>0</v>
      </c>
      <c r="AH459" s="107">
        <f>AF459+AE459</f>
        <v>0</v>
      </c>
      <c r="AI459" s="107">
        <f>AG459+AH459</f>
        <v>0</v>
      </c>
    </row>
    <row r="460" spans="1:35" s="10" customFormat="1">
      <c r="A460" s="990">
        <v>413</v>
      </c>
      <c r="B460" s="990">
        <v>1</v>
      </c>
      <c r="C460" s="990">
        <v>460</v>
      </c>
      <c r="E460" s="1243">
        <v>1</v>
      </c>
      <c r="H460" s="24"/>
      <c r="I460" s="106"/>
      <c r="J460" s="280"/>
      <c r="K460" s="73"/>
      <c r="L460" s="73"/>
      <c r="M460" s="303" t="s">
        <v>11</v>
      </c>
      <c r="N460" s="303"/>
      <c r="O460" s="303"/>
      <c r="P460" s="304"/>
      <c r="Q460" s="2088"/>
      <c r="R460" s="2088"/>
      <c r="S460" s="2088"/>
      <c r="T460" s="2088"/>
      <c r="U460" s="2088"/>
      <c r="V460" s="2088"/>
      <c r="W460" s="2088"/>
      <c r="X460" s="2088"/>
      <c r="Y460" s="2088"/>
      <c r="Z460" s="2088"/>
      <c r="AA460" s="2088"/>
      <c r="AB460" s="2088"/>
      <c r="AC460" s="2534">
        <f>SUM(Q460,R460,S460)</f>
        <v>0</v>
      </c>
      <c r="AD460" s="2534">
        <f>SUM(T460,U460,V460)</f>
        <v>0</v>
      </c>
      <c r="AE460" s="2534">
        <f>SUM(W460,X460,Y460)</f>
        <v>0</v>
      </c>
      <c r="AF460" s="2534">
        <f>SUM(Z460,AA460,AB460)</f>
        <v>0</v>
      </c>
      <c r="AG460" s="2534">
        <f>AC460+AD460</f>
        <v>0</v>
      </c>
      <c r="AH460" s="2534">
        <f>AF460+AE460</f>
        <v>0</v>
      </c>
      <c r="AI460" s="2534">
        <f>AG460+AH460</f>
        <v>0</v>
      </c>
    </row>
    <row r="461" spans="1:35">
      <c r="A461" s="990">
        <v>414</v>
      </c>
      <c r="B461" s="990">
        <v>1</v>
      </c>
      <c r="C461" s="990">
        <v>461</v>
      </c>
      <c r="E461" s="1243">
        <v>1</v>
      </c>
      <c r="I461" s="106"/>
      <c r="J461" s="105"/>
      <c r="K461" s="794" t="s">
        <v>1023</v>
      </c>
      <c r="L461" s="794"/>
      <c r="M461" s="794"/>
      <c r="N461" s="794"/>
      <c r="O461" s="794"/>
      <c r="P461" s="1056"/>
      <c r="Q461" s="112">
        <f t="shared" ref="Q461:AI461" si="357">Q462+Q467+Q484</f>
        <v>31925</v>
      </c>
      <c r="R461" s="112">
        <f t="shared" si="357"/>
        <v>13826</v>
      </c>
      <c r="S461" s="112">
        <f t="shared" si="357"/>
        <v>23880</v>
      </c>
      <c r="T461" s="112">
        <f t="shared" si="357"/>
        <v>35951</v>
      </c>
      <c r="U461" s="112">
        <f t="shared" si="357"/>
        <v>46178</v>
      </c>
      <c r="V461" s="112">
        <f t="shared" si="357"/>
        <v>61723</v>
      </c>
      <c r="W461" s="112">
        <f t="shared" si="357"/>
        <v>39919</v>
      </c>
      <c r="X461" s="112">
        <f t="shared" si="357"/>
        <v>51236</v>
      </c>
      <c r="Y461" s="112">
        <f t="shared" si="357"/>
        <v>67275</v>
      </c>
      <c r="Z461" s="112">
        <f t="shared" si="357"/>
        <v>26790</v>
      </c>
      <c r="AA461" s="112">
        <f t="shared" si="357"/>
        <v>26984</v>
      </c>
      <c r="AB461" s="112">
        <f t="shared" si="357"/>
        <v>44465</v>
      </c>
      <c r="AC461" s="112">
        <f t="shared" si="357"/>
        <v>69631</v>
      </c>
      <c r="AD461" s="112">
        <f t="shared" si="357"/>
        <v>143852</v>
      </c>
      <c r="AE461" s="112">
        <f t="shared" si="357"/>
        <v>158430</v>
      </c>
      <c r="AF461" s="112">
        <f t="shared" si="357"/>
        <v>98239</v>
      </c>
      <c r="AG461" s="112">
        <f t="shared" si="357"/>
        <v>213483</v>
      </c>
      <c r="AH461" s="112">
        <f t="shared" si="357"/>
        <v>256669</v>
      </c>
      <c r="AI461" s="112">
        <f t="shared" si="357"/>
        <v>470152</v>
      </c>
    </row>
    <row r="462" spans="1:35" s="10" customFormat="1">
      <c r="A462" s="990">
        <v>415</v>
      </c>
      <c r="B462" s="990">
        <v>1</v>
      </c>
      <c r="C462" s="990">
        <v>462</v>
      </c>
      <c r="E462" s="1243">
        <v>1</v>
      </c>
      <c r="H462" s="24"/>
      <c r="I462" s="106"/>
      <c r="J462" s="280"/>
      <c r="K462" s="69"/>
      <c r="L462" s="69"/>
      <c r="M462" s="9" t="s">
        <v>137</v>
      </c>
      <c r="N462" s="363"/>
      <c r="O462" s="363"/>
      <c r="P462" s="364"/>
      <c r="Q462" s="365">
        <f>Q463+Q466</f>
        <v>15383</v>
      </c>
      <c r="R462" s="365">
        <f t="shared" ref="R462:AI462" si="358">R463+R466</f>
        <v>8210</v>
      </c>
      <c r="S462" s="365">
        <f t="shared" si="358"/>
        <v>13979</v>
      </c>
      <c r="T462" s="365">
        <f t="shared" si="358"/>
        <v>18680</v>
      </c>
      <c r="U462" s="365">
        <f t="shared" si="358"/>
        <v>27891</v>
      </c>
      <c r="V462" s="365">
        <f t="shared" si="358"/>
        <v>38706</v>
      </c>
      <c r="W462" s="365">
        <f t="shared" si="358"/>
        <v>18396</v>
      </c>
      <c r="X462" s="365">
        <f t="shared" si="358"/>
        <v>36040</v>
      </c>
      <c r="Y462" s="365">
        <f t="shared" si="358"/>
        <v>35424</v>
      </c>
      <c r="Z462" s="365">
        <f t="shared" si="358"/>
        <v>12379</v>
      </c>
      <c r="AA462" s="365">
        <f t="shared" si="358"/>
        <v>10702</v>
      </c>
      <c r="AB462" s="365">
        <f t="shared" si="358"/>
        <v>30367</v>
      </c>
      <c r="AC462" s="378">
        <f t="shared" si="358"/>
        <v>37572</v>
      </c>
      <c r="AD462" s="365">
        <f t="shared" si="358"/>
        <v>85277</v>
      </c>
      <c r="AE462" s="365">
        <f t="shared" si="358"/>
        <v>89860</v>
      </c>
      <c r="AF462" s="365">
        <f t="shared" si="358"/>
        <v>53448</v>
      </c>
      <c r="AG462" s="365">
        <f t="shared" si="358"/>
        <v>122849</v>
      </c>
      <c r="AH462" s="365">
        <f t="shared" si="358"/>
        <v>143308</v>
      </c>
      <c r="AI462" s="365">
        <f t="shared" si="358"/>
        <v>266157</v>
      </c>
    </row>
    <row r="463" spans="1:35">
      <c r="A463" s="990">
        <v>416</v>
      </c>
      <c r="B463" s="990">
        <v>1</v>
      </c>
      <c r="C463" s="990">
        <v>463</v>
      </c>
      <c r="E463" s="1243">
        <v>1</v>
      </c>
      <c r="I463" s="106"/>
      <c r="J463" s="105"/>
      <c r="K463" s="69"/>
      <c r="L463" s="69"/>
      <c r="N463" s="111" t="s">
        <v>1021</v>
      </c>
      <c r="O463" s="111"/>
      <c r="P463" s="110"/>
      <c r="Q463" s="109">
        <f>SUM(Q464:Q465)</f>
        <v>15383</v>
      </c>
      <c r="R463" s="109">
        <f t="shared" ref="R463:AI463" si="359">SUM(R464:R465)</f>
        <v>8210</v>
      </c>
      <c r="S463" s="109">
        <f t="shared" si="359"/>
        <v>13979</v>
      </c>
      <c r="T463" s="109">
        <f t="shared" si="359"/>
        <v>18680</v>
      </c>
      <c r="U463" s="109">
        <f t="shared" si="359"/>
        <v>27891</v>
      </c>
      <c r="V463" s="109">
        <f t="shared" si="359"/>
        <v>38706</v>
      </c>
      <c r="W463" s="109">
        <f t="shared" si="359"/>
        <v>18396</v>
      </c>
      <c r="X463" s="109">
        <f t="shared" si="359"/>
        <v>36040</v>
      </c>
      <c r="Y463" s="109">
        <f t="shared" si="359"/>
        <v>35424</v>
      </c>
      <c r="Z463" s="109">
        <f t="shared" si="359"/>
        <v>12379</v>
      </c>
      <c r="AA463" s="109">
        <f t="shared" si="359"/>
        <v>10702</v>
      </c>
      <c r="AB463" s="109">
        <f t="shared" si="359"/>
        <v>30367</v>
      </c>
      <c r="AC463" s="108">
        <f t="shared" si="359"/>
        <v>37572</v>
      </c>
      <c r="AD463" s="109">
        <f t="shared" si="359"/>
        <v>85277</v>
      </c>
      <c r="AE463" s="109">
        <f t="shared" si="359"/>
        <v>89860</v>
      </c>
      <c r="AF463" s="109">
        <f t="shared" si="359"/>
        <v>53448</v>
      </c>
      <c r="AG463" s="109">
        <f t="shared" si="359"/>
        <v>122849</v>
      </c>
      <c r="AH463" s="109">
        <f t="shared" si="359"/>
        <v>143308</v>
      </c>
      <c r="AI463" s="109">
        <f t="shared" si="359"/>
        <v>266157</v>
      </c>
    </row>
    <row r="464" spans="1:35">
      <c r="A464" s="990">
        <v>417</v>
      </c>
      <c r="B464" s="990">
        <v>1</v>
      </c>
      <c r="C464" s="990">
        <v>464</v>
      </c>
      <c r="E464" s="1243">
        <v>1</v>
      </c>
      <c r="I464" s="106"/>
      <c r="J464" s="105"/>
      <c r="K464" s="69"/>
      <c r="L464" s="69"/>
      <c r="O464" s="111" t="s">
        <v>1079</v>
      </c>
      <c r="P464" s="110"/>
      <c r="Q464" s="2042">
        <f>15383</f>
        <v>15383</v>
      </c>
      <c r="R464" s="2042">
        <v>8210</v>
      </c>
      <c r="S464" s="2042">
        <v>13979</v>
      </c>
      <c r="T464" s="2042">
        <v>18680</v>
      </c>
      <c r="U464" s="2042">
        <v>27891</v>
      </c>
      <c r="V464" s="2042">
        <v>38706</v>
      </c>
      <c r="W464" s="2036">
        <v>18396</v>
      </c>
      <c r="X464" s="2042">
        <v>36040</v>
      </c>
      <c r="Y464" s="2042">
        <v>35424</v>
      </c>
      <c r="Z464" s="2042">
        <v>12379</v>
      </c>
      <c r="AA464" s="2042">
        <v>10702</v>
      </c>
      <c r="AB464" s="2042">
        <v>30367</v>
      </c>
      <c r="AC464" s="108">
        <f>SUM(Q464,R464,S464)</f>
        <v>37572</v>
      </c>
      <c r="AD464" s="108">
        <f>SUM(T464,U464,V464)</f>
        <v>85277</v>
      </c>
      <c r="AE464" s="108">
        <f>SUM(W464,X464,Y464)</f>
        <v>89860</v>
      </c>
      <c r="AF464" s="108">
        <f>SUM(Z464,AA464,AB464)</f>
        <v>53448</v>
      </c>
      <c r="AG464" s="108">
        <f>AC464+AD464</f>
        <v>122849</v>
      </c>
      <c r="AH464" s="108">
        <f>AF464+AE464</f>
        <v>143308</v>
      </c>
      <c r="AI464" s="108">
        <f>AG464+AH464</f>
        <v>266157</v>
      </c>
    </row>
    <row r="465" spans="1:35">
      <c r="A465" s="990">
        <v>418</v>
      </c>
      <c r="B465" s="990">
        <v>1</v>
      </c>
      <c r="C465" s="990">
        <v>465</v>
      </c>
      <c r="E465" s="1243">
        <v>1</v>
      </c>
      <c r="I465" s="106"/>
      <c r="J465" s="105"/>
      <c r="K465" s="69"/>
      <c r="L465" s="69"/>
      <c r="N465" s="363"/>
      <c r="O465" s="363" t="s">
        <v>1080</v>
      </c>
      <c r="P465" s="364"/>
      <c r="Q465" s="2052"/>
      <c r="R465" s="2052"/>
      <c r="S465" s="2052"/>
      <c r="T465" s="2052"/>
      <c r="U465" s="2052"/>
      <c r="V465" s="2052"/>
      <c r="W465" s="2052"/>
      <c r="X465" s="2052"/>
      <c r="Y465" s="2052"/>
      <c r="Z465" s="2052"/>
      <c r="AA465" s="2052"/>
      <c r="AB465" s="2052"/>
      <c r="AC465" s="378">
        <f>SUM(Q465,R465,S465)</f>
        <v>0</v>
      </c>
      <c r="AD465" s="378">
        <f>SUM(T465,U465,V465)</f>
        <v>0</v>
      </c>
      <c r="AE465" s="378">
        <f>SUM(W465,X465,Y465)</f>
        <v>0</v>
      </c>
      <c r="AF465" s="378">
        <f>SUM(Z465,AA465,AB465)</f>
        <v>0</v>
      </c>
      <c r="AG465" s="378">
        <f>AC465+AD465</f>
        <v>0</v>
      </c>
      <c r="AH465" s="378">
        <f>AF465+AE465</f>
        <v>0</v>
      </c>
      <c r="AI465" s="378">
        <f>AG465+AH465</f>
        <v>0</v>
      </c>
    </row>
    <row r="466" spans="1:35" collapsed="1">
      <c r="A466" s="990">
        <v>419</v>
      </c>
      <c r="B466" s="990">
        <v>1</v>
      </c>
      <c r="C466" s="990">
        <v>466</v>
      </c>
      <c r="E466" s="1243">
        <v>1</v>
      </c>
      <c r="I466" s="106"/>
      <c r="J466" s="105"/>
      <c r="K466" s="69"/>
      <c r="L466" s="69"/>
      <c r="M466" s="12"/>
      <c r="N466" s="366" t="s">
        <v>146</v>
      </c>
      <c r="O466" s="366"/>
      <c r="P466" s="367"/>
      <c r="Q466" s="2053"/>
      <c r="R466" s="2053"/>
      <c r="S466" s="2053"/>
      <c r="T466" s="2053"/>
      <c r="U466" s="2053"/>
      <c r="V466" s="2053"/>
      <c r="W466" s="2053"/>
      <c r="X466" s="2053"/>
      <c r="Y466" s="2053"/>
      <c r="Z466" s="2053"/>
      <c r="AA466" s="2053"/>
      <c r="AB466" s="2053"/>
      <c r="AC466" s="379">
        <f>SUM(Q466,R466,S466)</f>
        <v>0</v>
      </c>
      <c r="AD466" s="379">
        <f>SUM(T466,U466,V466)</f>
        <v>0</v>
      </c>
      <c r="AE466" s="379">
        <f>SUM(W466,X466,Y466)</f>
        <v>0</v>
      </c>
      <c r="AF466" s="379">
        <f>SUM(Z466,AA466,AB466)</f>
        <v>0</v>
      </c>
      <c r="AG466" s="379">
        <f>AC466+AD466</f>
        <v>0</v>
      </c>
      <c r="AH466" s="379">
        <f>AF466+AE466</f>
        <v>0</v>
      </c>
      <c r="AI466" s="379">
        <f>AG466+AH466</f>
        <v>0</v>
      </c>
    </row>
    <row r="467" spans="1:35" s="10" customFormat="1">
      <c r="A467" s="990">
        <v>420</v>
      </c>
      <c r="B467" s="990">
        <v>1</v>
      </c>
      <c r="C467" s="990">
        <v>467</v>
      </c>
      <c r="E467" s="1243">
        <v>1</v>
      </c>
      <c r="H467" s="24"/>
      <c r="I467" s="106"/>
      <c r="J467" s="280"/>
      <c r="K467" s="69"/>
      <c r="L467" s="69"/>
      <c r="M467" s="9" t="s">
        <v>95</v>
      </c>
      <c r="N467" s="363"/>
      <c r="O467" s="363"/>
      <c r="P467" s="364"/>
      <c r="Q467" s="365">
        <f t="shared" ref="Q467:AI467" si="360">Q468+Q476+Q480+Q483+Q475</f>
        <v>16542</v>
      </c>
      <c r="R467" s="365">
        <f t="shared" si="360"/>
        <v>5616</v>
      </c>
      <c r="S467" s="365">
        <f t="shared" si="360"/>
        <v>9901</v>
      </c>
      <c r="T467" s="365">
        <f t="shared" si="360"/>
        <v>17271</v>
      </c>
      <c r="U467" s="365">
        <f t="shared" si="360"/>
        <v>18287</v>
      </c>
      <c r="V467" s="365">
        <f t="shared" si="360"/>
        <v>23017</v>
      </c>
      <c r="W467" s="365">
        <f t="shared" si="360"/>
        <v>21523</v>
      </c>
      <c r="X467" s="365">
        <f t="shared" si="360"/>
        <v>15196</v>
      </c>
      <c r="Y467" s="365">
        <f t="shared" si="360"/>
        <v>31851</v>
      </c>
      <c r="Z467" s="365">
        <f t="shared" si="360"/>
        <v>14411</v>
      </c>
      <c r="AA467" s="365">
        <f t="shared" si="360"/>
        <v>16282</v>
      </c>
      <c r="AB467" s="365">
        <f t="shared" si="360"/>
        <v>14098</v>
      </c>
      <c r="AC467" s="365">
        <f t="shared" si="360"/>
        <v>32059</v>
      </c>
      <c r="AD467" s="365">
        <f t="shared" si="360"/>
        <v>58575</v>
      </c>
      <c r="AE467" s="365">
        <f t="shared" si="360"/>
        <v>68570</v>
      </c>
      <c r="AF467" s="365">
        <f t="shared" si="360"/>
        <v>44791</v>
      </c>
      <c r="AG467" s="365">
        <f t="shared" si="360"/>
        <v>90634</v>
      </c>
      <c r="AH467" s="365">
        <f t="shared" si="360"/>
        <v>113361</v>
      </c>
      <c r="AI467" s="365">
        <f t="shared" si="360"/>
        <v>203995</v>
      </c>
    </row>
    <row r="468" spans="1:35">
      <c r="A468" s="990">
        <v>421</v>
      </c>
      <c r="B468" s="990">
        <v>1</v>
      </c>
      <c r="C468" s="990">
        <v>468</v>
      </c>
      <c r="E468" s="1243">
        <v>1</v>
      </c>
      <c r="I468" s="106"/>
      <c r="J468" s="105"/>
      <c r="K468" s="69"/>
      <c r="L468" s="69"/>
      <c r="N468" s="111" t="s">
        <v>1021</v>
      </c>
      <c r="O468" s="111"/>
      <c r="P468" s="110"/>
      <c r="Q468" s="109">
        <f>Q469+Q472</f>
        <v>16542</v>
      </c>
      <c r="R468" s="109">
        <f t="shared" ref="R468:AB468" si="361">R469+R472</f>
        <v>5616</v>
      </c>
      <c r="S468" s="109">
        <f t="shared" si="361"/>
        <v>9901</v>
      </c>
      <c r="T468" s="109">
        <f t="shared" si="361"/>
        <v>17271</v>
      </c>
      <c r="U468" s="109">
        <f t="shared" si="361"/>
        <v>18287</v>
      </c>
      <c r="V468" s="109">
        <f t="shared" si="361"/>
        <v>23017</v>
      </c>
      <c r="W468" s="109">
        <f t="shared" si="361"/>
        <v>21523</v>
      </c>
      <c r="X468" s="109">
        <f t="shared" si="361"/>
        <v>15196</v>
      </c>
      <c r="Y468" s="109">
        <f t="shared" si="361"/>
        <v>31851</v>
      </c>
      <c r="Z468" s="109">
        <f t="shared" si="361"/>
        <v>14411</v>
      </c>
      <c r="AA468" s="109">
        <f t="shared" si="361"/>
        <v>16282</v>
      </c>
      <c r="AB468" s="109">
        <f t="shared" si="361"/>
        <v>14098</v>
      </c>
      <c r="AC468" s="108">
        <f>AC469+AC472</f>
        <v>32059</v>
      </c>
      <c r="AD468" s="108">
        <f t="shared" ref="AD468:AI468" si="362">AD469+AD472</f>
        <v>58575</v>
      </c>
      <c r="AE468" s="108">
        <f t="shared" si="362"/>
        <v>68570</v>
      </c>
      <c r="AF468" s="108">
        <f t="shared" si="362"/>
        <v>44791</v>
      </c>
      <c r="AG468" s="108">
        <f t="shared" si="362"/>
        <v>90634</v>
      </c>
      <c r="AH468" s="108">
        <f t="shared" si="362"/>
        <v>113361</v>
      </c>
      <c r="AI468" s="108">
        <f t="shared" si="362"/>
        <v>203995</v>
      </c>
    </row>
    <row r="469" spans="1:35">
      <c r="A469" s="990">
        <v>422</v>
      </c>
      <c r="B469" s="990">
        <v>1</v>
      </c>
      <c r="C469" s="990">
        <v>469</v>
      </c>
      <c r="E469" s="1243">
        <v>1</v>
      </c>
      <c r="I469" s="106"/>
      <c r="J469" s="105"/>
      <c r="K469" s="69"/>
      <c r="L469" s="69"/>
      <c r="O469" s="111" t="s">
        <v>1079</v>
      </c>
      <c r="P469" s="110"/>
      <c r="Q469" s="109">
        <f>SUM(Q470:Q471)</f>
        <v>16529</v>
      </c>
      <c r="R469" s="109">
        <f t="shared" ref="R469:AI469" si="363">SUM(R470:R471)</f>
        <v>5608</v>
      </c>
      <c r="S469" s="109">
        <f t="shared" si="363"/>
        <v>9812</v>
      </c>
      <c r="T469" s="109">
        <f t="shared" si="363"/>
        <v>17271</v>
      </c>
      <c r="U469" s="109">
        <f t="shared" si="363"/>
        <v>18191</v>
      </c>
      <c r="V469" s="109">
        <f t="shared" si="363"/>
        <v>23017</v>
      </c>
      <c r="W469" s="109">
        <f t="shared" si="363"/>
        <v>21435</v>
      </c>
      <c r="X469" s="109">
        <f t="shared" si="363"/>
        <v>15178</v>
      </c>
      <c r="Y469" s="109">
        <f t="shared" si="363"/>
        <v>31826</v>
      </c>
      <c r="Z469" s="109">
        <f t="shared" si="363"/>
        <v>14411</v>
      </c>
      <c r="AA469" s="109">
        <f t="shared" si="363"/>
        <v>16134</v>
      </c>
      <c r="AB469" s="109">
        <f t="shared" si="363"/>
        <v>14022</v>
      </c>
      <c r="AC469" s="108">
        <f t="shared" si="363"/>
        <v>31949</v>
      </c>
      <c r="AD469" s="108">
        <f t="shared" si="363"/>
        <v>58479</v>
      </c>
      <c r="AE469" s="108">
        <f t="shared" si="363"/>
        <v>68439</v>
      </c>
      <c r="AF469" s="108">
        <f t="shared" si="363"/>
        <v>44567</v>
      </c>
      <c r="AG469" s="108">
        <f t="shared" si="363"/>
        <v>90428</v>
      </c>
      <c r="AH469" s="108">
        <f t="shared" si="363"/>
        <v>113006</v>
      </c>
      <c r="AI469" s="108">
        <f t="shared" si="363"/>
        <v>203434</v>
      </c>
    </row>
    <row r="470" spans="1:35">
      <c r="A470" s="990">
        <v>423</v>
      </c>
      <c r="B470" s="990">
        <v>1</v>
      </c>
      <c r="C470" s="990">
        <v>470</v>
      </c>
      <c r="E470" s="1243">
        <v>1</v>
      </c>
      <c r="I470" s="106"/>
      <c r="J470" s="105"/>
      <c r="K470" s="69"/>
      <c r="L470" s="69"/>
      <c r="P470" s="86" t="s">
        <v>1083</v>
      </c>
      <c r="Q470" s="2036">
        <f>16600-13-58</f>
        <v>16529</v>
      </c>
      <c r="R470" s="2036">
        <v>5608</v>
      </c>
      <c r="S470" s="2036">
        <v>9812</v>
      </c>
      <c r="T470" s="2036">
        <v>17271</v>
      </c>
      <c r="U470" s="2036">
        <v>18191</v>
      </c>
      <c r="V470" s="2036">
        <v>23017</v>
      </c>
      <c r="W470" s="2036">
        <v>21435</v>
      </c>
      <c r="X470" s="2036">
        <v>15178</v>
      </c>
      <c r="Y470" s="2036">
        <v>31826</v>
      </c>
      <c r="Z470" s="2036">
        <v>14411</v>
      </c>
      <c r="AA470" s="2036">
        <v>16134</v>
      </c>
      <c r="AB470" s="2036">
        <v>14022</v>
      </c>
      <c r="AC470" s="107">
        <f>SUM(Q470,R470,S470)</f>
        <v>31949</v>
      </c>
      <c r="AD470" s="107">
        <f>SUM(T470,U470,V470)</f>
        <v>58479</v>
      </c>
      <c r="AE470" s="107">
        <f>SUM(W470,X470,Y470)</f>
        <v>68439</v>
      </c>
      <c r="AF470" s="107">
        <f>SUM(Z470,AA470,AB470)</f>
        <v>44567</v>
      </c>
      <c r="AG470" s="107">
        <f>AC470+AD470</f>
        <v>90428</v>
      </c>
      <c r="AH470" s="107">
        <f>AF470+AE470</f>
        <v>113006</v>
      </c>
      <c r="AI470" s="107">
        <f>AG470+AH470</f>
        <v>203434</v>
      </c>
    </row>
    <row r="471" spans="1:35">
      <c r="A471" s="990">
        <v>424</v>
      </c>
      <c r="B471" s="990">
        <v>1</v>
      </c>
      <c r="C471" s="990">
        <v>471</v>
      </c>
      <c r="E471" s="1243">
        <v>1</v>
      </c>
      <c r="I471" s="106"/>
      <c r="J471" s="105"/>
      <c r="K471" s="69"/>
      <c r="L471" s="69"/>
      <c r="P471" s="86" t="s">
        <v>1084</v>
      </c>
      <c r="Q471" s="2036"/>
      <c r="R471" s="2036"/>
      <c r="S471" s="2036"/>
      <c r="T471" s="2036"/>
      <c r="U471" s="2036"/>
      <c r="V471" s="2036"/>
      <c r="W471" s="2036"/>
      <c r="X471" s="2036"/>
      <c r="Y471" s="2036"/>
      <c r="Z471" s="2036"/>
      <c r="AA471" s="2036"/>
      <c r="AB471" s="2036"/>
      <c r="AC471" s="107">
        <f>SUM(Q471,R471,S471)</f>
        <v>0</v>
      </c>
      <c r="AD471" s="107">
        <f>SUM(T471,U471,V471)</f>
        <v>0</v>
      </c>
      <c r="AE471" s="107">
        <f>SUM(W471,X471,Y471)</f>
        <v>0</v>
      </c>
      <c r="AF471" s="107">
        <f>SUM(Z471,AA471,AB471)</f>
        <v>0</v>
      </c>
      <c r="AG471" s="107">
        <f>AC471+AD471</f>
        <v>0</v>
      </c>
      <c r="AH471" s="107">
        <f>AF471+AE471</f>
        <v>0</v>
      </c>
      <c r="AI471" s="107">
        <f>AG471+AH471</f>
        <v>0</v>
      </c>
    </row>
    <row r="472" spans="1:35">
      <c r="A472" s="990">
        <v>425</v>
      </c>
      <c r="B472" s="990">
        <v>1</v>
      </c>
      <c r="C472" s="990">
        <v>472</v>
      </c>
      <c r="E472" s="1243">
        <v>1</v>
      </c>
      <c r="I472" s="106"/>
      <c r="J472" s="105"/>
      <c r="K472" s="69"/>
      <c r="L472" s="69"/>
      <c r="O472" s="111" t="s">
        <v>1080</v>
      </c>
      <c r="P472" s="110"/>
      <c r="Q472" s="109">
        <f>SUM(Q473:Q474)</f>
        <v>13</v>
      </c>
      <c r="R472" s="109">
        <f t="shared" ref="R472:AI472" si="364">SUM(R473:R474)</f>
        <v>8</v>
      </c>
      <c r="S472" s="109">
        <f t="shared" si="364"/>
        <v>89</v>
      </c>
      <c r="T472" s="109">
        <f t="shared" si="364"/>
        <v>0</v>
      </c>
      <c r="U472" s="109">
        <f t="shared" si="364"/>
        <v>96</v>
      </c>
      <c r="V472" s="109">
        <f t="shared" si="364"/>
        <v>0</v>
      </c>
      <c r="W472" s="109">
        <f t="shared" si="364"/>
        <v>88</v>
      </c>
      <c r="X472" s="109">
        <f t="shared" si="364"/>
        <v>18</v>
      </c>
      <c r="Y472" s="109">
        <f t="shared" si="364"/>
        <v>25</v>
      </c>
      <c r="Z472" s="109">
        <f t="shared" si="364"/>
        <v>0</v>
      </c>
      <c r="AA472" s="109">
        <f t="shared" si="364"/>
        <v>148</v>
      </c>
      <c r="AB472" s="109">
        <f t="shared" si="364"/>
        <v>76</v>
      </c>
      <c r="AC472" s="108">
        <f t="shared" si="364"/>
        <v>110</v>
      </c>
      <c r="AD472" s="108">
        <f t="shared" si="364"/>
        <v>96</v>
      </c>
      <c r="AE472" s="108">
        <f t="shared" si="364"/>
        <v>131</v>
      </c>
      <c r="AF472" s="108">
        <f t="shared" si="364"/>
        <v>224</v>
      </c>
      <c r="AG472" s="108">
        <f t="shared" si="364"/>
        <v>206</v>
      </c>
      <c r="AH472" s="108">
        <f t="shared" si="364"/>
        <v>355</v>
      </c>
      <c r="AI472" s="108">
        <f t="shared" si="364"/>
        <v>561</v>
      </c>
    </row>
    <row r="473" spans="1:35">
      <c r="A473" s="990">
        <v>426</v>
      </c>
      <c r="B473" s="990">
        <v>1</v>
      </c>
      <c r="C473" s="990">
        <v>473</v>
      </c>
      <c r="E473" s="1243">
        <v>1</v>
      </c>
      <c r="I473" s="106"/>
      <c r="J473" s="105"/>
      <c r="K473" s="69"/>
      <c r="L473" s="69"/>
      <c r="P473" s="86" t="s">
        <v>1083</v>
      </c>
      <c r="Q473" s="2036">
        <v>13</v>
      </c>
      <c r="R473" s="2036">
        <v>8</v>
      </c>
      <c r="S473" s="2036">
        <v>89</v>
      </c>
      <c r="T473" s="2036"/>
      <c r="U473" s="2036">
        <v>96</v>
      </c>
      <c r="V473" s="2036"/>
      <c r="W473" s="2036">
        <v>88</v>
      </c>
      <c r="X473" s="2036">
        <v>18</v>
      </c>
      <c r="Y473" s="2036">
        <v>25</v>
      </c>
      <c r="Z473" s="2036"/>
      <c r="AA473" s="2036">
        <v>148</v>
      </c>
      <c r="AB473" s="2036">
        <v>76</v>
      </c>
      <c r="AC473" s="107">
        <f>SUM(Q473,R473,S473)</f>
        <v>110</v>
      </c>
      <c r="AD473" s="107">
        <f>SUM(T473,U473,V473)</f>
        <v>96</v>
      </c>
      <c r="AE473" s="107">
        <f>SUM(W473,X473,Y473)</f>
        <v>131</v>
      </c>
      <c r="AF473" s="107">
        <f>SUM(Z473,AA473,AB473)</f>
        <v>224</v>
      </c>
      <c r="AG473" s="107">
        <f>AC473+AD473</f>
        <v>206</v>
      </c>
      <c r="AH473" s="107">
        <f>AF473+AE473</f>
        <v>355</v>
      </c>
      <c r="AI473" s="107">
        <f>AG473+AH473</f>
        <v>561</v>
      </c>
    </row>
    <row r="474" spans="1:35">
      <c r="A474" s="990">
        <v>427</v>
      </c>
      <c r="B474" s="990">
        <v>1</v>
      </c>
      <c r="C474" s="990">
        <v>474</v>
      </c>
      <c r="E474" s="1243">
        <v>1</v>
      </c>
      <c r="I474" s="106"/>
      <c r="J474" s="105"/>
      <c r="K474" s="69"/>
      <c r="L474" s="69"/>
      <c r="N474" s="363"/>
      <c r="O474" s="363"/>
      <c r="P474" s="364" t="s">
        <v>1084</v>
      </c>
      <c r="Q474" s="2052"/>
      <c r="R474" s="2052"/>
      <c r="S474" s="2052"/>
      <c r="T474" s="2052"/>
      <c r="U474" s="2052"/>
      <c r="V474" s="2052"/>
      <c r="W474" s="2052"/>
      <c r="X474" s="2052"/>
      <c r="Y474" s="2052"/>
      <c r="Z474" s="2052"/>
      <c r="AA474" s="2052"/>
      <c r="AB474" s="2052"/>
      <c r="AC474" s="378">
        <f>SUM(Q474,R474,S474)</f>
        <v>0</v>
      </c>
      <c r="AD474" s="378">
        <f>SUM(T474,U474,V474)</f>
        <v>0</v>
      </c>
      <c r="AE474" s="378">
        <f>SUM(W474,X474,Y474)</f>
        <v>0</v>
      </c>
      <c r="AF474" s="378">
        <f>SUM(Z474,AA474,AB474)</f>
        <v>0</v>
      </c>
      <c r="AG474" s="378">
        <f>AC474+AD474</f>
        <v>0</v>
      </c>
      <c r="AH474" s="378">
        <f>AF474+AE474</f>
        <v>0</v>
      </c>
      <c r="AI474" s="378">
        <f>AG474+AH474</f>
        <v>0</v>
      </c>
    </row>
    <row r="475" spans="1:35" collapsed="1">
      <c r="A475" s="990">
        <v>428</v>
      </c>
      <c r="B475" s="990">
        <v>1</v>
      </c>
      <c r="C475" s="990">
        <v>475</v>
      </c>
      <c r="E475" s="1243">
        <v>1</v>
      </c>
      <c r="I475" s="106"/>
      <c r="J475" s="105"/>
      <c r="K475" s="69"/>
      <c r="L475" s="69"/>
      <c r="N475" s="12" t="s">
        <v>146</v>
      </c>
      <c r="O475" s="12"/>
      <c r="P475" s="85"/>
      <c r="Q475" s="2037"/>
      <c r="R475" s="2037"/>
      <c r="S475" s="2037"/>
      <c r="T475" s="2037"/>
      <c r="U475" s="2037"/>
      <c r="V475" s="2037"/>
      <c r="W475" s="2037"/>
      <c r="X475" s="2037"/>
      <c r="Y475" s="2037"/>
      <c r="Z475" s="2037"/>
      <c r="AA475" s="2037"/>
      <c r="AB475" s="2037"/>
      <c r="AC475" s="113">
        <f>SUM(Q475,R475,S475)</f>
        <v>0</v>
      </c>
      <c r="AD475" s="113">
        <f>SUM(T475,U475,V475)</f>
        <v>0</v>
      </c>
      <c r="AE475" s="113">
        <f>SUM(W475,X475,Y475)</f>
        <v>0</v>
      </c>
      <c r="AF475" s="113">
        <f>SUM(Z475,AA475,AB475)</f>
        <v>0</v>
      </c>
      <c r="AG475" s="113">
        <f>AC475+AD475</f>
        <v>0</v>
      </c>
      <c r="AH475" s="113">
        <f>AF475+AE475</f>
        <v>0</v>
      </c>
      <c r="AI475" s="113">
        <f>AG475+AH475</f>
        <v>0</v>
      </c>
    </row>
    <row r="476" spans="1:35">
      <c r="A476" s="990">
        <v>429</v>
      </c>
      <c r="B476" s="990">
        <v>1</v>
      </c>
      <c r="C476" s="990">
        <v>476</v>
      </c>
      <c r="E476" s="1243">
        <v>1</v>
      </c>
      <c r="I476" s="106"/>
      <c r="J476" s="105"/>
      <c r="K476" s="69"/>
      <c r="L476" s="69"/>
      <c r="N476" s="383" t="s">
        <v>1089</v>
      </c>
      <c r="O476" s="383"/>
      <c r="P476" s="384"/>
      <c r="Q476" s="365">
        <f>SUM(Q477:Q479)</f>
        <v>0</v>
      </c>
      <c r="R476" s="365">
        <f t="shared" ref="R476:AI476" si="365">SUM(R477:R479)</f>
        <v>0</v>
      </c>
      <c r="S476" s="365">
        <f t="shared" si="365"/>
        <v>0</v>
      </c>
      <c r="T476" s="365">
        <f t="shared" si="365"/>
        <v>0</v>
      </c>
      <c r="U476" s="365">
        <f t="shared" si="365"/>
        <v>0</v>
      </c>
      <c r="V476" s="365">
        <f t="shared" si="365"/>
        <v>0</v>
      </c>
      <c r="W476" s="365">
        <f t="shared" si="365"/>
        <v>0</v>
      </c>
      <c r="X476" s="365">
        <f t="shared" si="365"/>
        <v>0</v>
      </c>
      <c r="Y476" s="365">
        <f t="shared" si="365"/>
        <v>0</v>
      </c>
      <c r="Z476" s="365">
        <f t="shared" si="365"/>
        <v>0</v>
      </c>
      <c r="AA476" s="365">
        <f t="shared" si="365"/>
        <v>0</v>
      </c>
      <c r="AB476" s="365">
        <f t="shared" si="365"/>
        <v>0</v>
      </c>
      <c r="AC476" s="378">
        <f t="shared" si="365"/>
        <v>0</v>
      </c>
      <c r="AD476" s="378">
        <f t="shared" si="365"/>
        <v>0</v>
      </c>
      <c r="AE476" s="378">
        <f t="shared" si="365"/>
        <v>0</v>
      </c>
      <c r="AF476" s="378">
        <f t="shared" si="365"/>
        <v>0</v>
      </c>
      <c r="AG476" s="378">
        <f t="shared" si="365"/>
        <v>0</v>
      </c>
      <c r="AH476" s="378">
        <f t="shared" si="365"/>
        <v>0</v>
      </c>
      <c r="AI476" s="378">
        <f t="shared" si="365"/>
        <v>0</v>
      </c>
    </row>
    <row r="477" spans="1:35">
      <c r="A477" s="990">
        <v>430</v>
      </c>
      <c r="B477" s="990">
        <v>1</v>
      </c>
      <c r="C477" s="990">
        <v>477</v>
      </c>
      <c r="E477" s="1243">
        <v>1</v>
      </c>
      <c r="I477" s="106"/>
      <c r="J477" s="105"/>
      <c r="K477" s="69"/>
      <c r="L477" s="69"/>
      <c r="N477" s="371"/>
      <c r="O477" s="371"/>
      <c r="P477" s="382" t="s">
        <v>391</v>
      </c>
      <c r="Q477" s="2042"/>
      <c r="R477" s="2042"/>
      <c r="S477" s="2042"/>
      <c r="T477" s="2042"/>
      <c r="U477" s="2042"/>
      <c r="V477" s="2042"/>
      <c r="W477" s="2042"/>
      <c r="X477" s="2042"/>
      <c r="Y477" s="2042"/>
      <c r="Z477" s="2042"/>
      <c r="AA477" s="2042"/>
      <c r="AB477" s="2042"/>
      <c r="AC477" s="108">
        <f>SUM(Q477,R477,S477)</f>
        <v>0</v>
      </c>
      <c r="AD477" s="108">
        <f>SUM(T477,U477,V477)</f>
        <v>0</v>
      </c>
      <c r="AE477" s="108">
        <f>SUM(W477,X477,Y477)</f>
        <v>0</v>
      </c>
      <c r="AF477" s="108">
        <f>SUM(Z477,AA477,AB477)</f>
        <v>0</v>
      </c>
      <c r="AG477" s="108">
        <f>AC477+AD477</f>
        <v>0</v>
      </c>
      <c r="AH477" s="108">
        <f>AF477+AE477</f>
        <v>0</v>
      </c>
      <c r="AI477" s="108">
        <f>AG477+AH477</f>
        <v>0</v>
      </c>
    </row>
    <row r="478" spans="1:35">
      <c r="A478" s="990">
        <v>431</v>
      </c>
      <c r="B478" s="990">
        <v>1</v>
      </c>
      <c r="C478" s="990">
        <v>478</v>
      </c>
      <c r="E478" s="1243">
        <v>1</v>
      </c>
      <c r="I478" s="106"/>
      <c r="J478" s="105"/>
      <c r="K478" s="69"/>
      <c r="L478" s="69"/>
      <c r="N478" s="299"/>
      <c r="O478" s="299"/>
      <c r="P478" s="400" t="s">
        <v>1086</v>
      </c>
      <c r="Q478" s="2036"/>
      <c r="R478" s="2036"/>
      <c r="S478" s="2036"/>
      <c r="T478" s="2036"/>
      <c r="U478" s="2036"/>
      <c r="V478" s="2036"/>
      <c r="W478" s="2036"/>
      <c r="X478" s="2036"/>
      <c r="Y478" s="2036"/>
      <c r="Z478" s="2036"/>
      <c r="AA478" s="2036"/>
      <c r="AB478" s="2036"/>
      <c r="AC478" s="107">
        <f>SUM(Q478,R478,S478)</f>
        <v>0</v>
      </c>
      <c r="AD478" s="107">
        <f>SUM(T478,U478,V478)</f>
        <v>0</v>
      </c>
      <c r="AE478" s="107">
        <f>SUM(W478,X478,Y478)</f>
        <v>0</v>
      </c>
      <c r="AF478" s="107">
        <f>SUM(Z478,AA478,AB478)</f>
        <v>0</v>
      </c>
      <c r="AG478" s="107">
        <f>AC478+AD478</f>
        <v>0</v>
      </c>
      <c r="AH478" s="107">
        <f>AF478+AE478</f>
        <v>0</v>
      </c>
      <c r="AI478" s="107">
        <f>AG478+AH478</f>
        <v>0</v>
      </c>
    </row>
    <row r="479" spans="1:35">
      <c r="A479" s="990">
        <v>432</v>
      </c>
      <c r="B479" s="990">
        <v>1</v>
      </c>
      <c r="C479" s="990">
        <v>479</v>
      </c>
      <c r="E479" s="1243">
        <v>1</v>
      </c>
      <c r="I479" s="106"/>
      <c r="J479" s="105"/>
      <c r="K479" s="69"/>
      <c r="L479" s="69"/>
      <c r="N479" s="298"/>
      <c r="O479" s="298"/>
      <c r="P479" s="88" t="s">
        <v>393</v>
      </c>
      <c r="Q479" s="2037"/>
      <c r="R479" s="2037"/>
      <c r="S479" s="2037"/>
      <c r="T479" s="2037"/>
      <c r="U479" s="2037"/>
      <c r="V479" s="2037"/>
      <c r="W479" s="2037"/>
      <c r="X479" s="2037"/>
      <c r="Y479" s="2037"/>
      <c r="Z479" s="2037"/>
      <c r="AA479" s="2037"/>
      <c r="AB479" s="2037"/>
      <c r="AC479" s="113">
        <f>SUM(Q479,R479,S479)</f>
        <v>0</v>
      </c>
      <c r="AD479" s="113">
        <f>SUM(T479,U479,V479)</f>
        <v>0</v>
      </c>
      <c r="AE479" s="113">
        <f>SUM(W479,X479,Y479)</f>
        <v>0</v>
      </c>
      <c r="AF479" s="113">
        <f>SUM(Z479,AA479,AB479)</f>
        <v>0</v>
      </c>
      <c r="AG479" s="113">
        <f>AC479+AD479</f>
        <v>0</v>
      </c>
      <c r="AH479" s="113">
        <f>AF479+AE479</f>
        <v>0</v>
      </c>
      <c r="AI479" s="113">
        <f>AG479+AH479</f>
        <v>0</v>
      </c>
    </row>
    <row r="480" spans="1:35">
      <c r="A480" s="990">
        <v>433</v>
      </c>
      <c r="B480" s="990">
        <v>1</v>
      </c>
      <c r="C480" s="990">
        <v>480</v>
      </c>
      <c r="E480" s="1243">
        <v>1</v>
      </c>
      <c r="I480" s="106"/>
      <c r="J480" s="105"/>
      <c r="K480" s="69"/>
      <c r="L480" s="69"/>
      <c r="N480" s="370" t="s">
        <v>1090</v>
      </c>
      <c r="O480" s="370"/>
      <c r="P480" s="380"/>
      <c r="Q480" s="361">
        <f>SUM(Q481:Q482)</f>
        <v>0</v>
      </c>
      <c r="R480" s="361">
        <f t="shared" ref="R480:AI480" si="366">SUM(R481:R482)</f>
        <v>0</v>
      </c>
      <c r="S480" s="361">
        <f t="shared" si="366"/>
        <v>0</v>
      </c>
      <c r="T480" s="361">
        <f t="shared" si="366"/>
        <v>0</v>
      </c>
      <c r="U480" s="361">
        <f t="shared" si="366"/>
        <v>0</v>
      </c>
      <c r="V480" s="361">
        <f t="shared" si="366"/>
        <v>0</v>
      </c>
      <c r="W480" s="361">
        <f t="shared" si="366"/>
        <v>0</v>
      </c>
      <c r="X480" s="361">
        <f t="shared" si="366"/>
        <v>0</v>
      </c>
      <c r="Y480" s="361">
        <f t="shared" si="366"/>
        <v>0</v>
      </c>
      <c r="Z480" s="361">
        <f t="shared" si="366"/>
        <v>0</v>
      </c>
      <c r="AA480" s="361">
        <f t="shared" si="366"/>
        <v>0</v>
      </c>
      <c r="AB480" s="361">
        <f t="shared" si="366"/>
        <v>0</v>
      </c>
      <c r="AC480" s="381">
        <f t="shared" si="366"/>
        <v>0</v>
      </c>
      <c r="AD480" s="381">
        <f t="shared" si="366"/>
        <v>0</v>
      </c>
      <c r="AE480" s="381">
        <f t="shared" si="366"/>
        <v>0</v>
      </c>
      <c r="AF480" s="381">
        <f t="shared" si="366"/>
        <v>0</v>
      </c>
      <c r="AG480" s="381">
        <f t="shared" si="366"/>
        <v>0</v>
      </c>
      <c r="AH480" s="381">
        <f t="shared" si="366"/>
        <v>0</v>
      </c>
      <c r="AI480" s="381">
        <f t="shared" si="366"/>
        <v>0</v>
      </c>
    </row>
    <row r="481" spans="1:35">
      <c r="A481" s="990">
        <v>434</v>
      </c>
      <c r="B481" s="990">
        <v>1</v>
      </c>
      <c r="C481" s="990">
        <v>481</v>
      </c>
      <c r="E481" s="1243">
        <v>1</v>
      </c>
      <c r="I481" s="106"/>
      <c r="J481" s="105"/>
      <c r="K481" s="69"/>
      <c r="L481" s="69"/>
      <c r="N481" s="371"/>
      <c r="O481" s="371"/>
      <c r="P481" s="382" t="s">
        <v>391</v>
      </c>
      <c r="Q481" s="2042"/>
      <c r="R481" s="2042"/>
      <c r="S481" s="2042"/>
      <c r="T481" s="2042"/>
      <c r="U481" s="2042"/>
      <c r="V481" s="2042"/>
      <c r="W481" s="2042"/>
      <c r="X481" s="2042"/>
      <c r="Y481" s="2042"/>
      <c r="Z481" s="2042"/>
      <c r="AA481" s="2042"/>
      <c r="AB481" s="2042"/>
      <c r="AC481" s="108">
        <f>SUM(Q481,R481,S481)</f>
        <v>0</v>
      </c>
      <c r="AD481" s="108">
        <f>SUM(T481,U481,V481)</f>
        <v>0</v>
      </c>
      <c r="AE481" s="108">
        <f>SUM(W481,X481,Y481)</f>
        <v>0</v>
      </c>
      <c r="AF481" s="108">
        <f>SUM(Z481,AA481,AB481)</f>
        <v>0</v>
      </c>
      <c r="AG481" s="108">
        <f>AC481+AD481</f>
        <v>0</v>
      </c>
      <c r="AH481" s="108">
        <f>AF481+AE481</f>
        <v>0</v>
      </c>
      <c r="AI481" s="108">
        <f>AG481+AH481</f>
        <v>0</v>
      </c>
    </row>
    <row r="482" spans="1:35">
      <c r="A482" s="990">
        <v>435</v>
      </c>
      <c r="B482" s="990">
        <v>1</v>
      </c>
      <c r="C482" s="990">
        <v>482</v>
      </c>
      <c r="E482" s="1243">
        <v>1</v>
      </c>
      <c r="I482" s="106"/>
      <c r="J482" s="105"/>
      <c r="K482" s="69"/>
      <c r="L482" s="69"/>
      <c r="N482" s="298"/>
      <c r="O482" s="298"/>
      <c r="P482" s="88" t="s">
        <v>393</v>
      </c>
      <c r="Q482" s="2037"/>
      <c r="R482" s="2037"/>
      <c r="S482" s="2037"/>
      <c r="T482" s="2037"/>
      <c r="U482" s="2037"/>
      <c r="V482" s="2037"/>
      <c r="W482" s="2037"/>
      <c r="X482" s="2037"/>
      <c r="Y482" s="2037"/>
      <c r="Z482" s="2037"/>
      <c r="AA482" s="2037"/>
      <c r="AB482" s="2037"/>
      <c r="AC482" s="113">
        <f>SUM(Q482,R482,S482)</f>
        <v>0</v>
      </c>
      <c r="AD482" s="113">
        <f>SUM(T482,U482,V482)</f>
        <v>0</v>
      </c>
      <c r="AE482" s="113">
        <f>SUM(W482,X482,Y482)</f>
        <v>0</v>
      </c>
      <c r="AF482" s="113">
        <f>SUM(Z482,AA482,AB482)</f>
        <v>0</v>
      </c>
      <c r="AG482" s="113">
        <f>AC482+AD482</f>
        <v>0</v>
      </c>
      <c r="AH482" s="113">
        <f>AF482+AE482</f>
        <v>0</v>
      </c>
      <c r="AI482" s="113">
        <f>AG482+AH482</f>
        <v>0</v>
      </c>
    </row>
    <row r="483" spans="1:35">
      <c r="A483" s="990">
        <v>436</v>
      </c>
      <c r="B483" s="990">
        <v>1</v>
      </c>
      <c r="C483" s="990">
        <v>483</v>
      </c>
      <c r="E483" s="1243">
        <v>1</v>
      </c>
      <c r="I483" s="106"/>
      <c r="J483" s="105"/>
      <c r="K483" s="69"/>
      <c r="L483" s="69"/>
      <c r="N483" s="582" t="s">
        <v>1091</v>
      </c>
      <c r="O483" s="583"/>
      <c r="P483" s="582"/>
      <c r="Q483" s="2088"/>
      <c r="R483" s="2088"/>
      <c r="S483" s="2088"/>
      <c r="T483" s="2088"/>
      <c r="U483" s="2088"/>
      <c r="V483" s="2088"/>
      <c r="W483" s="2088"/>
      <c r="X483" s="2088"/>
      <c r="Y483" s="2088"/>
      <c r="Z483" s="2088"/>
      <c r="AA483" s="2088"/>
      <c r="AB483" s="2088"/>
      <c r="AC483" s="2534">
        <f>SUM(Q483,R483,S483)</f>
        <v>0</v>
      </c>
      <c r="AD483" s="2534">
        <f>SUM(T483,U483,V483)</f>
        <v>0</v>
      </c>
      <c r="AE483" s="2534">
        <f>SUM(W483,X483,Y483)</f>
        <v>0</v>
      </c>
      <c r="AF483" s="2534">
        <f>SUM(Z483,AA483,AB483)</f>
        <v>0</v>
      </c>
      <c r="AG483" s="2534">
        <f>AC483+AD483</f>
        <v>0</v>
      </c>
      <c r="AH483" s="2534">
        <f>AF483+AE483</f>
        <v>0</v>
      </c>
      <c r="AI483" s="2534">
        <f>AG483+AH483</f>
        <v>0</v>
      </c>
    </row>
    <row r="484" spans="1:35" s="10" customFormat="1">
      <c r="A484" s="990">
        <v>437</v>
      </c>
      <c r="B484" s="990">
        <v>1</v>
      </c>
      <c r="C484" s="990">
        <v>484</v>
      </c>
      <c r="E484" s="1243">
        <v>1</v>
      </c>
      <c r="H484" s="24"/>
      <c r="I484" s="104"/>
      <c r="J484" s="281"/>
      <c r="K484" s="68"/>
      <c r="L484" s="68"/>
      <c r="M484" s="303" t="s">
        <v>11</v>
      </c>
      <c r="N484" s="303"/>
      <c r="O484" s="303"/>
      <c r="P484" s="304"/>
      <c r="Q484" s="2088"/>
      <c r="R484" s="2088"/>
      <c r="S484" s="2088"/>
      <c r="T484" s="2088"/>
      <c r="U484" s="2088"/>
      <c r="V484" s="2088"/>
      <c r="W484" s="2088"/>
      <c r="X484" s="2088"/>
      <c r="Y484" s="2088"/>
      <c r="Z484" s="2088"/>
      <c r="AA484" s="2088"/>
      <c r="AB484" s="2088"/>
      <c r="AC484" s="2534">
        <f>SUM(Q484,R484,S484)</f>
        <v>0</v>
      </c>
      <c r="AD484" s="2534">
        <f>SUM(T484,U484,V484)</f>
        <v>0</v>
      </c>
      <c r="AE484" s="2534">
        <f>SUM(W484,X484,Y484)</f>
        <v>0</v>
      </c>
      <c r="AF484" s="2534">
        <f>SUM(Z484,AA484,AB484)</f>
        <v>0</v>
      </c>
      <c r="AG484" s="2534">
        <f>AC484+AD484</f>
        <v>0</v>
      </c>
      <c r="AH484" s="2534">
        <f>AF484+AE484</f>
        <v>0</v>
      </c>
      <c r="AI484" s="2534">
        <f>AG484+AH484</f>
        <v>0</v>
      </c>
    </row>
    <row r="485" spans="1:35">
      <c r="A485" s="990">
        <v>438</v>
      </c>
      <c r="B485" s="990">
        <v>1</v>
      </c>
      <c r="C485" s="990">
        <v>485</v>
      </c>
      <c r="E485" s="1243">
        <v>1</v>
      </c>
      <c r="I485" s="24"/>
      <c r="J485" s="75"/>
      <c r="K485" s="24"/>
      <c r="L485" s="24"/>
      <c r="M485" s="75"/>
      <c r="N485" s="75"/>
      <c r="O485" s="75"/>
      <c r="P485" s="75"/>
      <c r="Z485" s="163"/>
      <c r="AA485" s="163"/>
      <c r="AB485" s="163"/>
      <c r="AC485" s="163"/>
      <c r="AD485" s="163"/>
      <c r="AE485" s="163"/>
      <c r="AF485" s="163"/>
      <c r="AG485" s="163"/>
      <c r="AH485" s="163"/>
      <c r="AI485" s="868"/>
    </row>
    <row r="486" spans="1:35">
      <c r="A486" s="990">
        <v>439</v>
      </c>
      <c r="B486" s="990">
        <v>1</v>
      </c>
      <c r="C486" s="990">
        <v>486</v>
      </c>
      <c r="E486" s="1243">
        <v>1</v>
      </c>
      <c r="H486" s="24" t="s">
        <v>1035</v>
      </c>
      <c r="P486" s="291"/>
      <c r="Q486" s="2038"/>
      <c r="R486" s="2038"/>
      <c r="S486" s="2038"/>
      <c r="T486" s="2038"/>
      <c r="U486" s="2038"/>
      <c r="V486" s="2038"/>
      <c r="AA486" s="1"/>
      <c r="AB486" s="1"/>
      <c r="AC486" s="1"/>
      <c r="AD486" s="1"/>
      <c r="AE486" s="1"/>
      <c r="AF486" s="1"/>
      <c r="AG486" s="1"/>
      <c r="AH486" s="1"/>
      <c r="AI486" s="1"/>
    </row>
    <row r="487" spans="1:35">
      <c r="A487" s="990">
        <v>440</v>
      </c>
      <c r="B487" s="990">
        <v>1</v>
      </c>
      <c r="C487" s="990">
        <v>487</v>
      </c>
      <c r="E487" s="1243">
        <v>1</v>
      </c>
      <c r="I487" s="795" t="s">
        <v>9</v>
      </c>
      <c r="J487" s="612"/>
      <c r="K487" s="796"/>
      <c r="L487" s="796"/>
      <c r="M487" s="612"/>
      <c r="N487" s="612"/>
      <c r="O487" s="612"/>
      <c r="P487" s="1057"/>
      <c r="Q487" s="2779">
        <f>Q488+Q503</f>
        <v>373203</v>
      </c>
      <c r="R487" s="2051">
        <f t="shared" ref="R487:AI487" si="367">R488+R503</f>
        <v>136247</v>
      </c>
      <c r="S487" s="2051">
        <f t="shared" si="367"/>
        <v>313709</v>
      </c>
      <c r="T487" s="2051">
        <f t="shared" si="367"/>
        <v>335477</v>
      </c>
      <c r="U487" s="2051">
        <f t="shared" si="367"/>
        <v>394674</v>
      </c>
      <c r="V487" s="2051">
        <f t="shared" si="367"/>
        <v>462501</v>
      </c>
      <c r="W487" s="2051">
        <f t="shared" si="367"/>
        <v>451315</v>
      </c>
      <c r="X487" s="2051">
        <f t="shared" si="367"/>
        <v>374910</v>
      </c>
      <c r="Y487" s="2051">
        <f t="shared" si="367"/>
        <v>460271</v>
      </c>
      <c r="Z487" s="2051">
        <f t="shared" si="367"/>
        <v>406277</v>
      </c>
      <c r="AA487" s="2051">
        <f t="shared" si="367"/>
        <v>346858</v>
      </c>
      <c r="AB487" s="2051">
        <f t="shared" si="367"/>
        <v>510228</v>
      </c>
      <c r="AC487" s="2051">
        <f t="shared" si="367"/>
        <v>823159</v>
      </c>
      <c r="AD487" s="2051">
        <f t="shared" si="367"/>
        <v>1192652</v>
      </c>
      <c r="AE487" s="2051">
        <f t="shared" si="367"/>
        <v>1286496</v>
      </c>
      <c r="AF487" s="2051">
        <f t="shared" si="367"/>
        <v>1263363</v>
      </c>
      <c r="AG487" s="2051">
        <f t="shared" si="367"/>
        <v>2015811</v>
      </c>
      <c r="AH487" s="2051">
        <f t="shared" si="367"/>
        <v>2549859</v>
      </c>
      <c r="AI487" s="2051">
        <f t="shared" si="367"/>
        <v>4565670</v>
      </c>
    </row>
    <row r="488" spans="1:35">
      <c r="A488" s="990">
        <v>441</v>
      </c>
      <c r="B488" s="990">
        <v>1</v>
      </c>
      <c r="C488" s="990">
        <v>488</v>
      </c>
      <c r="E488" s="1243">
        <v>1</v>
      </c>
      <c r="I488" s="79"/>
      <c r="J488" s="78"/>
      <c r="K488" s="74" t="s">
        <v>1022</v>
      </c>
      <c r="L488" s="74"/>
      <c r="M488" s="357"/>
      <c r="N488" s="357"/>
      <c r="O488" s="357"/>
      <c r="P488" s="358"/>
      <c r="Q488" s="2780">
        <f>Q489+Q492+Q497+Q502</f>
        <v>326638</v>
      </c>
      <c r="R488" s="359">
        <f t="shared" ref="R488:AI488" si="368">R489+R492+R497+R502</f>
        <v>123809</v>
      </c>
      <c r="S488" s="359">
        <f t="shared" si="368"/>
        <v>257963</v>
      </c>
      <c r="T488" s="359">
        <f t="shared" si="368"/>
        <v>312665</v>
      </c>
      <c r="U488" s="359">
        <f t="shared" si="368"/>
        <v>353218</v>
      </c>
      <c r="V488" s="359">
        <f t="shared" si="368"/>
        <v>404500</v>
      </c>
      <c r="W488" s="359">
        <f t="shared" si="368"/>
        <v>403962</v>
      </c>
      <c r="X488" s="359">
        <f t="shared" si="368"/>
        <v>324280</v>
      </c>
      <c r="Y488" s="359">
        <f t="shared" si="368"/>
        <v>398346</v>
      </c>
      <c r="Z488" s="359">
        <f t="shared" si="368"/>
        <v>360550</v>
      </c>
      <c r="AA488" s="359">
        <f t="shared" si="368"/>
        <v>307908</v>
      </c>
      <c r="AB488" s="359">
        <f t="shared" si="368"/>
        <v>452843</v>
      </c>
      <c r="AC488" s="359">
        <f t="shared" si="368"/>
        <v>708410</v>
      </c>
      <c r="AD488" s="359">
        <f t="shared" si="368"/>
        <v>1070383</v>
      </c>
      <c r="AE488" s="359">
        <f t="shared" si="368"/>
        <v>1126588</v>
      </c>
      <c r="AF488" s="359">
        <f t="shared" si="368"/>
        <v>1121301</v>
      </c>
      <c r="AG488" s="359">
        <f t="shared" si="368"/>
        <v>1778793</v>
      </c>
      <c r="AH488" s="359">
        <f t="shared" si="368"/>
        <v>2247889</v>
      </c>
      <c r="AI488" s="359">
        <f t="shared" si="368"/>
        <v>4026682</v>
      </c>
    </row>
    <row r="489" spans="1:35">
      <c r="A489" s="990">
        <v>442</v>
      </c>
      <c r="B489" s="990">
        <v>1</v>
      </c>
      <c r="C489" s="990">
        <v>489</v>
      </c>
      <c r="E489" s="1243">
        <v>1</v>
      </c>
      <c r="I489" s="79"/>
      <c r="J489" s="78"/>
      <c r="K489" s="74"/>
      <c r="L489" s="74"/>
      <c r="M489" s="9" t="s">
        <v>137</v>
      </c>
      <c r="N489" s="363"/>
      <c r="O489" s="363"/>
      <c r="P489" s="364"/>
      <c r="Q489" s="2781">
        <f>SUM(Q490:Q491)</f>
        <v>82152</v>
      </c>
      <c r="R489" s="365">
        <f t="shared" ref="R489:AI489" si="369">SUM(R490:R491)</f>
        <v>15051</v>
      </c>
      <c r="S489" s="365">
        <f t="shared" si="369"/>
        <v>60752</v>
      </c>
      <c r="T489" s="365">
        <f t="shared" si="369"/>
        <v>71409</v>
      </c>
      <c r="U489" s="365">
        <f t="shared" si="369"/>
        <v>91291</v>
      </c>
      <c r="V489" s="365">
        <f t="shared" si="369"/>
        <v>131084</v>
      </c>
      <c r="W489" s="365">
        <f t="shared" si="369"/>
        <v>97647</v>
      </c>
      <c r="X489" s="365">
        <f t="shared" si="369"/>
        <v>80063</v>
      </c>
      <c r="Y489" s="365">
        <f t="shared" si="369"/>
        <v>104289</v>
      </c>
      <c r="Z489" s="365">
        <f t="shared" si="369"/>
        <v>81191</v>
      </c>
      <c r="AA489" s="365">
        <f t="shared" si="369"/>
        <v>47183</v>
      </c>
      <c r="AB489" s="365">
        <f t="shared" si="369"/>
        <v>86383</v>
      </c>
      <c r="AC489" s="365">
        <f t="shared" si="369"/>
        <v>157955</v>
      </c>
      <c r="AD489" s="365">
        <f t="shared" si="369"/>
        <v>293784</v>
      </c>
      <c r="AE489" s="365">
        <f t="shared" si="369"/>
        <v>281999</v>
      </c>
      <c r="AF489" s="365">
        <f t="shared" si="369"/>
        <v>214757</v>
      </c>
      <c r="AG489" s="365">
        <f t="shared" si="369"/>
        <v>451739</v>
      </c>
      <c r="AH489" s="365">
        <f t="shared" si="369"/>
        <v>496756</v>
      </c>
      <c r="AI489" s="365">
        <f t="shared" si="369"/>
        <v>948495</v>
      </c>
    </row>
    <row r="490" spans="1:35">
      <c r="A490" s="990">
        <v>443</v>
      </c>
      <c r="B490" s="990">
        <v>1</v>
      </c>
      <c r="C490" s="990">
        <v>490</v>
      </c>
      <c r="E490" s="1243">
        <v>1</v>
      </c>
      <c r="I490" s="79"/>
      <c r="J490" s="78"/>
      <c r="K490" s="74"/>
      <c r="L490" s="74"/>
      <c r="N490" s="111" t="s">
        <v>1021</v>
      </c>
      <c r="O490" s="111"/>
      <c r="P490" s="110"/>
      <c r="Q490" s="2782">
        <v>82152</v>
      </c>
      <c r="R490" s="2042">
        <v>15051</v>
      </c>
      <c r="S490" s="2042">
        <v>60752</v>
      </c>
      <c r="T490" s="2042">
        <v>71409</v>
      </c>
      <c r="U490" s="2042">
        <v>91291</v>
      </c>
      <c r="V490" s="2042">
        <v>131084</v>
      </c>
      <c r="W490" s="2042">
        <v>97647</v>
      </c>
      <c r="X490" s="2042">
        <v>80063</v>
      </c>
      <c r="Y490" s="2042">
        <v>104289</v>
      </c>
      <c r="Z490" s="2042">
        <v>81191</v>
      </c>
      <c r="AA490" s="2042">
        <v>47183</v>
      </c>
      <c r="AB490" s="2042">
        <v>86383</v>
      </c>
      <c r="AC490" s="109">
        <f>SUM(Q490,R490,S490)</f>
        <v>157955</v>
      </c>
      <c r="AD490" s="109">
        <f>SUM(T490,U490,V490)</f>
        <v>293784</v>
      </c>
      <c r="AE490" s="109">
        <f>SUM(W490,X490,Y490)</f>
        <v>281999</v>
      </c>
      <c r="AF490" s="109">
        <f>SUM(Z490,AA490,AB490)</f>
        <v>214757</v>
      </c>
      <c r="AG490" s="109">
        <f>AC490+AD490</f>
        <v>451739</v>
      </c>
      <c r="AH490" s="109">
        <f>AF490+AE490</f>
        <v>496756</v>
      </c>
      <c r="AI490" s="109">
        <f>AG490+AH490</f>
        <v>948495</v>
      </c>
    </row>
    <row r="491" spans="1:35">
      <c r="A491" s="990">
        <v>444</v>
      </c>
      <c r="B491" s="990">
        <v>1</v>
      </c>
      <c r="C491" s="990">
        <v>491</v>
      </c>
      <c r="E491" s="1243">
        <v>1</v>
      </c>
      <c r="I491" s="79"/>
      <c r="J491" s="78"/>
      <c r="K491" s="74"/>
      <c r="L491" s="74"/>
      <c r="N491" s="12" t="s">
        <v>146</v>
      </c>
      <c r="O491" s="12"/>
      <c r="P491" s="85"/>
      <c r="Q491" s="2783"/>
      <c r="R491" s="2037"/>
      <c r="S491" s="2037"/>
      <c r="T491" s="2037"/>
      <c r="U491" s="2037"/>
      <c r="V491" s="2037"/>
      <c r="W491" s="2037"/>
      <c r="X491" s="2037"/>
      <c r="Y491" s="2037"/>
      <c r="Z491" s="2037"/>
      <c r="AA491" s="2037"/>
      <c r="AB491" s="2037"/>
      <c r="AC491" s="17">
        <f>SUM(Q491,R491,S491)</f>
        <v>0</v>
      </c>
      <c r="AD491" s="17">
        <f>SUM(T491,U491,V491)</f>
        <v>0</v>
      </c>
      <c r="AE491" s="17">
        <f>SUM(W491,X491,Y491)</f>
        <v>0</v>
      </c>
      <c r="AF491" s="17">
        <f>SUM(Z491,AA491,AB491)</f>
        <v>0</v>
      </c>
      <c r="AG491" s="17">
        <f>AC491+AD491</f>
        <v>0</v>
      </c>
      <c r="AH491" s="17">
        <f>AF491+AE491</f>
        <v>0</v>
      </c>
      <c r="AI491" s="17">
        <f>AG491+AH491</f>
        <v>0</v>
      </c>
    </row>
    <row r="492" spans="1:35">
      <c r="A492" s="990">
        <v>445</v>
      </c>
      <c r="B492" s="990">
        <v>1</v>
      </c>
      <c r="C492" s="990">
        <v>492</v>
      </c>
      <c r="E492" s="1243">
        <v>1</v>
      </c>
      <c r="I492" s="79"/>
      <c r="J492" s="78"/>
      <c r="K492" s="74"/>
      <c r="L492" s="74"/>
      <c r="M492" s="596" t="s">
        <v>95</v>
      </c>
      <c r="N492" s="362"/>
      <c r="O492" s="362"/>
      <c r="P492" s="360"/>
      <c r="Q492" s="2784">
        <f>Q493+Q496</f>
        <v>244486</v>
      </c>
      <c r="R492" s="361">
        <f t="shared" ref="R492:AI492" si="370">R493+R496</f>
        <v>108758</v>
      </c>
      <c r="S492" s="361">
        <f t="shared" si="370"/>
        <v>197211</v>
      </c>
      <c r="T492" s="361">
        <f t="shared" si="370"/>
        <v>241256</v>
      </c>
      <c r="U492" s="361">
        <f t="shared" si="370"/>
        <v>261927</v>
      </c>
      <c r="V492" s="361">
        <f t="shared" si="370"/>
        <v>273416</v>
      </c>
      <c r="W492" s="361">
        <f t="shared" si="370"/>
        <v>306315</v>
      </c>
      <c r="X492" s="361">
        <f t="shared" si="370"/>
        <v>244217</v>
      </c>
      <c r="Y492" s="361">
        <f t="shared" si="370"/>
        <v>294057</v>
      </c>
      <c r="Z492" s="361">
        <f t="shared" si="370"/>
        <v>279359</v>
      </c>
      <c r="AA492" s="361">
        <f t="shared" si="370"/>
        <v>260725</v>
      </c>
      <c r="AB492" s="361">
        <f t="shared" si="370"/>
        <v>366460</v>
      </c>
      <c r="AC492" s="361">
        <f t="shared" si="370"/>
        <v>550455</v>
      </c>
      <c r="AD492" s="361">
        <f t="shared" si="370"/>
        <v>776599</v>
      </c>
      <c r="AE492" s="361">
        <f t="shared" si="370"/>
        <v>844589</v>
      </c>
      <c r="AF492" s="361">
        <f t="shared" si="370"/>
        <v>906544</v>
      </c>
      <c r="AG492" s="361">
        <f t="shared" si="370"/>
        <v>1327054</v>
      </c>
      <c r="AH492" s="361">
        <f t="shared" si="370"/>
        <v>1751133</v>
      </c>
      <c r="AI492" s="361">
        <f t="shared" si="370"/>
        <v>3078187</v>
      </c>
    </row>
    <row r="493" spans="1:35">
      <c r="A493" s="990">
        <v>446</v>
      </c>
      <c r="B493" s="990">
        <v>1</v>
      </c>
      <c r="C493" s="990">
        <v>493</v>
      </c>
      <c r="E493" s="1243">
        <v>1</v>
      </c>
      <c r="I493" s="79"/>
      <c r="J493" s="78"/>
      <c r="K493" s="74"/>
      <c r="L493" s="74"/>
      <c r="N493" s="111" t="s">
        <v>1021</v>
      </c>
      <c r="O493" s="111"/>
      <c r="P493" s="369"/>
      <c r="Q493" s="2785">
        <f>SUM(Q494:Q495)</f>
        <v>244486</v>
      </c>
      <c r="R493" s="64">
        <f t="shared" ref="R493:AI493" si="371">SUM(R494:R495)</f>
        <v>108758</v>
      </c>
      <c r="S493" s="64">
        <f t="shared" si="371"/>
        <v>197211</v>
      </c>
      <c r="T493" s="64">
        <f t="shared" si="371"/>
        <v>241256</v>
      </c>
      <c r="U493" s="64">
        <f t="shared" si="371"/>
        <v>261927</v>
      </c>
      <c r="V493" s="64">
        <f t="shared" si="371"/>
        <v>273416</v>
      </c>
      <c r="W493" s="64">
        <f t="shared" si="371"/>
        <v>306315</v>
      </c>
      <c r="X493" s="64">
        <f t="shared" si="371"/>
        <v>244217</v>
      </c>
      <c r="Y493" s="64">
        <f t="shared" si="371"/>
        <v>294057</v>
      </c>
      <c r="Z493" s="64">
        <f t="shared" si="371"/>
        <v>279359</v>
      </c>
      <c r="AA493" s="64">
        <f t="shared" si="371"/>
        <v>260725</v>
      </c>
      <c r="AB493" s="64">
        <f t="shared" si="371"/>
        <v>366460</v>
      </c>
      <c r="AC493" s="64">
        <f t="shared" si="371"/>
        <v>550455</v>
      </c>
      <c r="AD493" s="64">
        <f t="shared" si="371"/>
        <v>776599</v>
      </c>
      <c r="AE493" s="64">
        <f t="shared" si="371"/>
        <v>844589</v>
      </c>
      <c r="AF493" s="64">
        <f t="shared" si="371"/>
        <v>906544</v>
      </c>
      <c r="AG493" s="64">
        <f t="shared" si="371"/>
        <v>1327054</v>
      </c>
      <c r="AH493" s="64">
        <f t="shared" si="371"/>
        <v>1751133</v>
      </c>
      <c r="AI493" s="64">
        <f t="shared" si="371"/>
        <v>3078187</v>
      </c>
    </row>
    <row r="494" spans="1:35">
      <c r="A494" s="990">
        <v>447</v>
      </c>
      <c r="B494" s="990">
        <v>1</v>
      </c>
      <c r="C494" s="990">
        <v>494</v>
      </c>
      <c r="E494" s="1243">
        <v>1</v>
      </c>
      <c r="I494" s="79"/>
      <c r="J494" s="78"/>
      <c r="K494" s="74"/>
      <c r="L494" s="74"/>
      <c r="P494" s="110" t="s">
        <v>1081</v>
      </c>
      <c r="Q494" s="2782">
        <v>244486</v>
      </c>
      <c r="R494" s="2042">
        <v>108758</v>
      </c>
      <c r="S494" s="2042">
        <v>197211</v>
      </c>
      <c r="T494" s="2042">
        <v>241256</v>
      </c>
      <c r="U494" s="2042">
        <v>261927</v>
      </c>
      <c r="V494" s="2042">
        <v>273416</v>
      </c>
      <c r="W494" s="2042">
        <v>306315</v>
      </c>
      <c r="X494" s="2042">
        <v>244217</v>
      </c>
      <c r="Y494" s="2042">
        <f>317157-23100</f>
        <v>294057</v>
      </c>
      <c r="Z494" s="2042">
        <v>279359</v>
      </c>
      <c r="AA494" s="2042">
        <v>260725</v>
      </c>
      <c r="AB494" s="2042">
        <v>366460</v>
      </c>
      <c r="AC494" s="109">
        <f>SUM(Q494,R494,S494)</f>
        <v>550455</v>
      </c>
      <c r="AD494" s="109">
        <f>SUM(T494,U494,V494)</f>
        <v>776599</v>
      </c>
      <c r="AE494" s="109">
        <f>SUM(W494,X494,Y494)</f>
        <v>844589</v>
      </c>
      <c r="AF494" s="109">
        <f>SUM(Z494,AA494,AB494)</f>
        <v>906544</v>
      </c>
      <c r="AG494" s="109">
        <f>AC494+AD494</f>
        <v>1327054</v>
      </c>
      <c r="AH494" s="109">
        <f>AF494+AE494</f>
        <v>1751133</v>
      </c>
      <c r="AI494" s="109">
        <f>AG494+AH494</f>
        <v>3078187</v>
      </c>
    </row>
    <row r="495" spans="1:35">
      <c r="A495" s="990">
        <v>448</v>
      </c>
      <c r="B495" s="990">
        <v>1</v>
      </c>
      <c r="C495" s="990">
        <v>495</v>
      </c>
      <c r="E495" s="1243">
        <v>1</v>
      </c>
      <c r="I495" s="79"/>
      <c r="J495" s="78"/>
      <c r="K495" s="74"/>
      <c r="L495" s="74"/>
      <c r="N495" s="363"/>
      <c r="O495" s="363"/>
      <c r="P495" s="364" t="s">
        <v>1082</v>
      </c>
      <c r="Q495" s="2786"/>
      <c r="R495" s="2052"/>
      <c r="S495" s="2052"/>
      <c r="T495" s="2052"/>
      <c r="U495" s="2052"/>
      <c r="V495" s="2052"/>
      <c r="W495" s="2052"/>
      <c r="X495" s="2052"/>
      <c r="Y495" s="2052"/>
      <c r="Z495" s="2052"/>
      <c r="AA495" s="2052"/>
      <c r="AB495" s="2052"/>
      <c r="AC495" s="365">
        <f>SUM(Q495,R495,S495)</f>
        <v>0</v>
      </c>
      <c r="AD495" s="365">
        <f>SUM(T495,U495,V495)</f>
        <v>0</v>
      </c>
      <c r="AE495" s="365">
        <f>SUM(W495,X495,Y495)</f>
        <v>0</v>
      </c>
      <c r="AF495" s="365">
        <f>SUM(Z495,AA495,AB495)</f>
        <v>0</v>
      </c>
      <c r="AG495" s="365">
        <f>AC495+AD495</f>
        <v>0</v>
      </c>
      <c r="AH495" s="365">
        <f>AF495+AE495</f>
        <v>0</v>
      </c>
      <c r="AI495" s="365">
        <f>AG495+AH495</f>
        <v>0</v>
      </c>
    </row>
    <row r="496" spans="1:35">
      <c r="A496" s="990">
        <v>449</v>
      </c>
      <c r="B496" s="990">
        <v>1</v>
      </c>
      <c r="C496" s="990">
        <v>496</v>
      </c>
      <c r="E496" s="1243">
        <v>1</v>
      </c>
      <c r="I496" s="79"/>
      <c r="J496" s="78"/>
      <c r="K496" s="74"/>
      <c r="L496" s="74"/>
      <c r="N496" s="366" t="s">
        <v>146</v>
      </c>
      <c r="O496" s="366"/>
      <c r="P496" s="367"/>
      <c r="Q496" s="2787"/>
      <c r="R496" s="2053"/>
      <c r="S496" s="2053"/>
      <c r="T496" s="2053"/>
      <c r="U496" s="2053"/>
      <c r="V496" s="2053"/>
      <c r="W496" s="2053"/>
      <c r="X496" s="2053"/>
      <c r="Y496" s="2053"/>
      <c r="Z496" s="2053"/>
      <c r="AA496" s="2053"/>
      <c r="AB496" s="2053"/>
      <c r="AC496" s="368">
        <f>SUM(Q496,R496,S496)</f>
        <v>0</v>
      </c>
      <c r="AD496" s="368">
        <f>SUM(T496,U496,V496)</f>
        <v>0</v>
      </c>
      <c r="AE496" s="368">
        <f>SUM(W496,X496,Y496)</f>
        <v>0</v>
      </c>
      <c r="AF496" s="368">
        <f>SUM(Z496,AA496,AB496)</f>
        <v>0</v>
      </c>
      <c r="AG496" s="368">
        <f>AC496+AD496</f>
        <v>0</v>
      </c>
      <c r="AH496" s="368">
        <f>AF496+AE496</f>
        <v>0</v>
      </c>
      <c r="AI496" s="368">
        <f>AG496+AH496</f>
        <v>0</v>
      </c>
    </row>
    <row r="497" spans="1:35">
      <c r="A497" s="990">
        <v>450</v>
      </c>
      <c r="B497" s="990">
        <v>1</v>
      </c>
      <c r="C497" s="990">
        <v>497</v>
      </c>
      <c r="E497" s="1243">
        <v>1</v>
      </c>
      <c r="I497" s="79"/>
      <c r="J497" s="78"/>
      <c r="K497" s="74"/>
      <c r="L497" s="74"/>
      <c r="M497" s="596" t="s">
        <v>85</v>
      </c>
      <c r="N497" s="362"/>
      <c r="O497" s="362"/>
      <c r="P497" s="360"/>
      <c r="Q497" s="2784">
        <f>SUM(Q498:Q501)</f>
        <v>0</v>
      </c>
      <c r="R497" s="361">
        <f t="shared" ref="R497:AI497" si="372">SUM(R498:R501)</f>
        <v>0</v>
      </c>
      <c r="S497" s="361">
        <f t="shared" si="372"/>
        <v>0</v>
      </c>
      <c r="T497" s="361">
        <f t="shared" si="372"/>
        <v>0</v>
      </c>
      <c r="U497" s="361">
        <f t="shared" si="372"/>
        <v>0</v>
      </c>
      <c r="V497" s="361">
        <f t="shared" si="372"/>
        <v>0</v>
      </c>
      <c r="W497" s="361">
        <f t="shared" si="372"/>
        <v>0</v>
      </c>
      <c r="X497" s="361">
        <f t="shared" si="372"/>
        <v>0</v>
      </c>
      <c r="Y497" s="361">
        <f t="shared" si="372"/>
        <v>0</v>
      </c>
      <c r="Z497" s="361">
        <f t="shared" si="372"/>
        <v>0</v>
      </c>
      <c r="AA497" s="361">
        <f t="shared" si="372"/>
        <v>0</v>
      </c>
      <c r="AB497" s="361">
        <f t="shared" si="372"/>
        <v>0</v>
      </c>
      <c r="AC497" s="361">
        <f t="shared" si="372"/>
        <v>0</v>
      </c>
      <c r="AD497" s="361">
        <f t="shared" si="372"/>
        <v>0</v>
      </c>
      <c r="AE497" s="361">
        <f t="shared" si="372"/>
        <v>0</v>
      </c>
      <c r="AF497" s="361">
        <f t="shared" si="372"/>
        <v>0</v>
      </c>
      <c r="AG497" s="361">
        <f t="shared" si="372"/>
        <v>0</v>
      </c>
      <c r="AH497" s="361">
        <f t="shared" si="372"/>
        <v>0</v>
      </c>
      <c r="AI497" s="361">
        <f t="shared" si="372"/>
        <v>0</v>
      </c>
    </row>
    <row r="498" spans="1:35">
      <c r="A498" s="990">
        <v>451</v>
      </c>
      <c r="B498" s="990">
        <v>1</v>
      </c>
      <c r="C498" s="990">
        <v>498</v>
      </c>
      <c r="E498" s="1243">
        <v>1</v>
      </c>
      <c r="I498" s="79"/>
      <c r="J498" s="78"/>
      <c r="K498" s="74"/>
      <c r="L498" s="74"/>
      <c r="N498" s="111"/>
      <c r="O498" s="111"/>
      <c r="P498" s="110" t="s">
        <v>30</v>
      </c>
      <c r="Q498" s="2782"/>
      <c r="R498" s="2042"/>
      <c r="S498" s="2042"/>
      <c r="T498" s="2042"/>
      <c r="U498" s="2042"/>
      <c r="V498" s="2042"/>
      <c r="W498" s="2042"/>
      <c r="X498" s="2042"/>
      <c r="Y498" s="2042"/>
      <c r="Z498" s="2042"/>
      <c r="AA498" s="2042"/>
      <c r="AB498" s="2042"/>
      <c r="AC498" s="109">
        <f>SUM(Q498,R498,S498)</f>
        <v>0</v>
      </c>
      <c r="AD498" s="109">
        <f>SUM(T498,U498,V498)</f>
        <v>0</v>
      </c>
      <c r="AE498" s="109">
        <f>SUM(W498,X498,Y498)</f>
        <v>0</v>
      </c>
      <c r="AF498" s="109">
        <f>SUM(Z498,AA498,AB498)</f>
        <v>0</v>
      </c>
      <c r="AG498" s="109">
        <f>AC498+AD498</f>
        <v>0</v>
      </c>
      <c r="AH498" s="109">
        <f>AF498+AE498</f>
        <v>0</v>
      </c>
      <c r="AI498" s="109">
        <f>AG498+AH498</f>
        <v>0</v>
      </c>
    </row>
    <row r="499" spans="1:35">
      <c r="A499" s="990">
        <v>452</v>
      </c>
      <c r="B499" s="990">
        <v>1</v>
      </c>
      <c r="C499" s="990">
        <v>499</v>
      </c>
      <c r="E499" s="1243">
        <v>1</v>
      </c>
      <c r="I499" s="79"/>
      <c r="J499" s="78"/>
      <c r="K499" s="74"/>
      <c r="L499" s="74"/>
      <c r="P499" s="86" t="s">
        <v>1092</v>
      </c>
      <c r="Q499" s="2788"/>
      <c r="R499" s="2036"/>
      <c r="S499" s="2036"/>
      <c r="T499" s="2036"/>
      <c r="U499" s="2036"/>
      <c r="V499" s="2036"/>
      <c r="W499" s="2036"/>
      <c r="X499" s="2036"/>
      <c r="Y499" s="2036"/>
      <c r="Z499" s="2036"/>
      <c r="AA499" s="2036"/>
      <c r="AB499" s="2036"/>
      <c r="AC499" s="19">
        <f>SUM(Q499,R499,S499)</f>
        <v>0</v>
      </c>
      <c r="AD499" s="19">
        <f>SUM(T499,U499,V499)</f>
        <v>0</v>
      </c>
      <c r="AE499" s="19">
        <f>SUM(W499,X499,Y499)</f>
        <v>0</v>
      </c>
      <c r="AF499" s="19">
        <f>SUM(Z499,AA499,AB499)</f>
        <v>0</v>
      </c>
      <c r="AG499" s="19">
        <f>AC499+AD499</f>
        <v>0</v>
      </c>
      <c r="AH499" s="19">
        <f>AF499+AE499</f>
        <v>0</v>
      </c>
      <c r="AI499" s="19">
        <f>AG499+AH499</f>
        <v>0</v>
      </c>
    </row>
    <row r="500" spans="1:35">
      <c r="A500" s="990">
        <v>453</v>
      </c>
      <c r="B500" s="990">
        <v>1</v>
      </c>
      <c r="C500" s="990">
        <v>500</v>
      </c>
      <c r="E500" s="1243">
        <v>1</v>
      </c>
      <c r="I500" s="79"/>
      <c r="J500" s="78"/>
      <c r="K500" s="74"/>
      <c r="L500" s="74"/>
      <c r="P500" s="86" t="s">
        <v>1093</v>
      </c>
      <c r="Q500" s="2788"/>
      <c r="R500" s="2036"/>
      <c r="S500" s="2036"/>
      <c r="T500" s="2036"/>
      <c r="U500" s="2036"/>
      <c r="V500" s="2036"/>
      <c r="W500" s="2036"/>
      <c r="X500" s="2036"/>
      <c r="Y500" s="2036"/>
      <c r="Z500" s="2036"/>
      <c r="AA500" s="2036"/>
      <c r="AB500" s="2036"/>
      <c r="AC500" s="19">
        <f>SUM(Q500,R500,S500)</f>
        <v>0</v>
      </c>
      <c r="AD500" s="19">
        <f>SUM(T500,U500,V500)</f>
        <v>0</v>
      </c>
      <c r="AE500" s="19">
        <f>SUM(W500,X500,Y500)</f>
        <v>0</v>
      </c>
      <c r="AF500" s="19">
        <f>SUM(Z500,AA500,AB500)</f>
        <v>0</v>
      </c>
      <c r="AG500" s="19">
        <f>AC500+AD500</f>
        <v>0</v>
      </c>
      <c r="AH500" s="19">
        <f>AF500+AE500</f>
        <v>0</v>
      </c>
      <c r="AI500" s="19">
        <f>AG500+AH500</f>
        <v>0</v>
      </c>
    </row>
    <row r="501" spans="1:35">
      <c r="A501" s="990">
        <v>454</v>
      </c>
      <c r="B501" s="990">
        <v>1</v>
      </c>
      <c r="C501" s="990">
        <v>501</v>
      </c>
      <c r="E501" s="1243">
        <v>1</v>
      </c>
      <c r="I501" s="79"/>
      <c r="J501" s="78"/>
      <c r="K501" s="74"/>
      <c r="L501" s="74"/>
      <c r="N501" s="12"/>
      <c r="O501" s="12"/>
      <c r="P501" s="85" t="s">
        <v>11</v>
      </c>
      <c r="Q501" s="2783"/>
      <c r="R501" s="2037"/>
      <c r="S501" s="2037"/>
      <c r="T501" s="2037"/>
      <c r="U501" s="2037"/>
      <c r="V501" s="2037"/>
      <c r="W501" s="2037"/>
      <c r="X501" s="2037"/>
      <c r="Y501" s="2037"/>
      <c r="Z501" s="2037"/>
      <c r="AA501" s="2037"/>
      <c r="AB501" s="2037"/>
      <c r="AC501" s="17">
        <f>SUM(Q501,R501,S501)</f>
        <v>0</v>
      </c>
      <c r="AD501" s="17">
        <f>SUM(T501,U501,V501)</f>
        <v>0</v>
      </c>
      <c r="AE501" s="17">
        <f>SUM(W501,X501,Y501)</f>
        <v>0</v>
      </c>
      <c r="AF501" s="17">
        <f>SUM(Z501,AA501,AB501)</f>
        <v>0</v>
      </c>
      <c r="AG501" s="17">
        <f>AC501+AD501</f>
        <v>0</v>
      </c>
      <c r="AH501" s="17">
        <f>AF501+AE501</f>
        <v>0</v>
      </c>
      <c r="AI501" s="17">
        <f>AG501+AH501</f>
        <v>0</v>
      </c>
    </row>
    <row r="502" spans="1:35">
      <c r="A502" s="990">
        <v>455</v>
      </c>
      <c r="B502" s="990">
        <v>1</v>
      </c>
      <c r="C502" s="990">
        <v>502</v>
      </c>
      <c r="E502" s="1243">
        <v>1</v>
      </c>
      <c r="I502" s="79"/>
      <c r="J502" s="78"/>
      <c r="K502" s="74"/>
      <c r="L502" s="74"/>
      <c r="M502" s="303" t="s">
        <v>11</v>
      </c>
      <c r="N502" s="12"/>
      <c r="O502" s="12"/>
      <c r="P502" s="12"/>
      <c r="Q502" s="2088"/>
      <c r="R502" s="2037"/>
      <c r="S502" s="2037"/>
      <c r="T502" s="2037"/>
      <c r="U502" s="2037"/>
      <c r="V502" s="2037"/>
      <c r="W502" s="2037"/>
      <c r="X502" s="2037"/>
      <c r="Y502" s="2037"/>
      <c r="Z502" s="2037"/>
      <c r="AA502" s="2037"/>
      <c r="AB502" s="2037"/>
      <c r="AC502" s="17">
        <f>SUM(Q502,R502,S502)</f>
        <v>0</v>
      </c>
      <c r="AD502" s="17">
        <f>SUM(T502,U502,V502)</f>
        <v>0</v>
      </c>
      <c r="AE502" s="17">
        <f>SUM(W502,X502,Y502)</f>
        <v>0</v>
      </c>
      <c r="AF502" s="17">
        <f>SUM(Z502,AA502,AB502)</f>
        <v>0</v>
      </c>
      <c r="AG502" s="17">
        <f>AC502+AD502</f>
        <v>0</v>
      </c>
      <c r="AH502" s="17">
        <f>AF502+AE502</f>
        <v>0</v>
      </c>
      <c r="AI502" s="17">
        <f>AG502+AH502</f>
        <v>0</v>
      </c>
    </row>
    <row r="503" spans="1:35">
      <c r="A503" s="990">
        <v>456</v>
      </c>
      <c r="B503" s="990">
        <v>1</v>
      </c>
      <c r="C503" s="990">
        <v>503</v>
      </c>
      <c r="E503" s="1243">
        <v>1</v>
      </c>
      <c r="I503" s="79"/>
      <c r="J503" s="78"/>
      <c r="K503" s="794" t="s">
        <v>1023</v>
      </c>
      <c r="L503" s="794"/>
      <c r="M503" s="610"/>
      <c r="N503" s="610"/>
      <c r="O503" s="610"/>
      <c r="P503" s="610"/>
      <c r="Q503" s="2056">
        <f>Q504+Q507+Q512+Q517</f>
        <v>46565</v>
      </c>
      <c r="R503" s="2056">
        <f t="shared" ref="R503:AI503" si="373">R504+R507+R512+R517</f>
        <v>12438</v>
      </c>
      <c r="S503" s="2056">
        <f t="shared" si="373"/>
        <v>55746</v>
      </c>
      <c r="T503" s="2056">
        <f t="shared" si="373"/>
        <v>22812</v>
      </c>
      <c r="U503" s="2056">
        <f t="shared" si="373"/>
        <v>41456</v>
      </c>
      <c r="V503" s="2056">
        <f t="shared" si="373"/>
        <v>58001</v>
      </c>
      <c r="W503" s="2056">
        <f t="shared" si="373"/>
        <v>47353</v>
      </c>
      <c r="X503" s="2056">
        <f t="shared" si="373"/>
        <v>50630</v>
      </c>
      <c r="Y503" s="2056">
        <f t="shared" si="373"/>
        <v>61925</v>
      </c>
      <c r="Z503" s="2056">
        <f t="shared" si="373"/>
        <v>45727</v>
      </c>
      <c r="AA503" s="2056">
        <f t="shared" si="373"/>
        <v>38950</v>
      </c>
      <c r="AB503" s="2056">
        <f t="shared" si="373"/>
        <v>57385</v>
      </c>
      <c r="AC503" s="2056">
        <f t="shared" si="373"/>
        <v>114749</v>
      </c>
      <c r="AD503" s="2056">
        <f t="shared" si="373"/>
        <v>122269</v>
      </c>
      <c r="AE503" s="2056">
        <f t="shared" si="373"/>
        <v>159908</v>
      </c>
      <c r="AF503" s="2056">
        <f t="shared" si="373"/>
        <v>142062</v>
      </c>
      <c r="AG503" s="2056">
        <f t="shared" si="373"/>
        <v>237018</v>
      </c>
      <c r="AH503" s="2056">
        <f t="shared" si="373"/>
        <v>301970</v>
      </c>
      <c r="AI503" s="2056">
        <f t="shared" si="373"/>
        <v>538988</v>
      </c>
    </row>
    <row r="504" spans="1:35">
      <c r="A504" s="990">
        <v>457</v>
      </c>
      <c r="B504" s="990">
        <v>1</v>
      </c>
      <c r="C504" s="990">
        <v>504</v>
      </c>
      <c r="E504" s="1243">
        <v>1</v>
      </c>
      <c r="I504" s="79"/>
      <c r="J504" s="78"/>
      <c r="K504" s="69"/>
      <c r="L504" s="69"/>
      <c r="M504" s="9" t="s">
        <v>137</v>
      </c>
      <c r="N504" s="363"/>
      <c r="O504" s="363"/>
      <c r="P504" s="364"/>
      <c r="Q504" s="2781">
        <f>SUM(Q505:Q506)</f>
        <v>4265</v>
      </c>
      <c r="R504" s="365">
        <f t="shared" ref="R504:AI504" si="374">SUM(R505:R506)</f>
        <v>1086</v>
      </c>
      <c r="S504" s="365">
        <f t="shared" si="374"/>
        <v>16929</v>
      </c>
      <c r="T504" s="365">
        <f t="shared" si="374"/>
        <v>8409</v>
      </c>
      <c r="U504" s="365">
        <f t="shared" si="374"/>
        <v>6578</v>
      </c>
      <c r="V504" s="365">
        <f t="shared" si="374"/>
        <v>28348</v>
      </c>
      <c r="W504" s="365">
        <f t="shared" si="374"/>
        <v>7131</v>
      </c>
      <c r="X504" s="365">
        <f t="shared" si="374"/>
        <v>15930</v>
      </c>
      <c r="Y504" s="365">
        <f t="shared" si="374"/>
        <v>22002</v>
      </c>
      <c r="Z504" s="365">
        <f t="shared" si="374"/>
        <v>7368</v>
      </c>
      <c r="AA504" s="365">
        <f t="shared" si="374"/>
        <v>1923</v>
      </c>
      <c r="AB504" s="365">
        <f t="shared" si="374"/>
        <v>15922</v>
      </c>
      <c r="AC504" s="365">
        <f t="shared" si="374"/>
        <v>22280</v>
      </c>
      <c r="AD504" s="365">
        <f t="shared" si="374"/>
        <v>43335</v>
      </c>
      <c r="AE504" s="365">
        <f t="shared" si="374"/>
        <v>45063</v>
      </c>
      <c r="AF504" s="365">
        <f t="shared" si="374"/>
        <v>25213</v>
      </c>
      <c r="AG504" s="365">
        <f t="shared" si="374"/>
        <v>65615</v>
      </c>
      <c r="AH504" s="365">
        <f t="shared" si="374"/>
        <v>70276</v>
      </c>
      <c r="AI504" s="365">
        <f t="shared" si="374"/>
        <v>135891</v>
      </c>
    </row>
    <row r="505" spans="1:35">
      <c r="A505" s="990">
        <v>458</v>
      </c>
      <c r="B505" s="990">
        <v>1</v>
      </c>
      <c r="C505" s="990">
        <v>505</v>
      </c>
      <c r="E505" s="1243">
        <v>1</v>
      </c>
      <c r="I505" s="79"/>
      <c r="J505" s="78"/>
      <c r="K505" s="69"/>
      <c r="L505" s="69"/>
      <c r="N505" s="111" t="s">
        <v>1021</v>
      </c>
      <c r="O505" s="111"/>
      <c r="P505" s="110"/>
      <c r="Q505" s="2782">
        <v>4265</v>
      </c>
      <c r="R505" s="2042">
        <v>1086</v>
      </c>
      <c r="S505" s="2042">
        <v>16929</v>
      </c>
      <c r="T505" s="2042">
        <v>8409</v>
      </c>
      <c r="U505" s="2042">
        <v>6578</v>
      </c>
      <c r="V505" s="2042">
        <v>28348</v>
      </c>
      <c r="W505" s="2042">
        <v>7131</v>
      </c>
      <c r="X505" s="2042">
        <v>15930</v>
      </c>
      <c r="Y505" s="2042">
        <v>22002</v>
      </c>
      <c r="Z505" s="2042">
        <v>7368</v>
      </c>
      <c r="AA505" s="2042">
        <v>1923</v>
      </c>
      <c r="AB505" s="2042">
        <v>15922</v>
      </c>
      <c r="AC505" s="109">
        <f>SUM(Q505,R505,S505)</f>
        <v>22280</v>
      </c>
      <c r="AD505" s="109">
        <f>SUM(T505,U505,V505)</f>
        <v>43335</v>
      </c>
      <c r="AE505" s="109">
        <f>SUM(W505,X505,Y505)</f>
        <v>45063</v>
      </c>
      <c r="AF505" s="109">
        <f>SUM(Z505,AA505,AB505)</f>
        <v>25213</v>
      </c>
      <c r="AG505" s="109">
        <f>AC505+AD505</f>
        <v>65615</v>
      </c>
      <c r="AH505" s="109">
        <f>AF505+AE505</f>
        <v>70276</v>
      </c>
      <c r="AI505" s="109">
        <f>AG505+AH505</f>
        <v>135891</v>
      </c>
    </row>
    <row r="506" spans="1:35">
      <c r="A506" s="990">
        <v>459</v>
      </c>
      <c r="B506" s="990">
        <v>1</v>
      </c>
      <c r="C506" s="990">
        <v>506</v>
      </c>
      <c r="E506" s="1243">
        <v>1</v>
      </c>
      <c r="I506" s="79"/>
      <c r="J506" s="78"/>
      <c r="K506" s="69"/>
      <c r="L506" s="69"/>
      <c r="N506" s="12" t="s">
        <v>146</v>
      </c>
      <c r="O506" s="12"/>
      <c r="P506" s="85"/>
      <c r="Q506" s="2783"/>
      <c r="R506" s="2037"/>
      <c r="S506" s="2037"/>
      <c r="T506" s="2037"/>
      <c r="U506" s="2037"/>
      <c r="V506" s="2037"/>
      <c r="W506" s="2037"/>
      <c r="X506" s="2037"/>
      <c r="Y506" s="2037"/>
      <c r="Z506" s="2037"/>
      <c r="AA506" s="2037"/>
      <c r="AB506" s="2037"/>
      <c r="AC506" s="17">
        <f>SUM(Q506,R506,S506)</f>
        <v>0</v>
      </c>
      <c r="AD506" s="17">
        <f>SUM(T506,U506,V506)</f>
        <v>0</v>
      </c>
      <c r="AE506" s="17">
        <f>SUM(W506,X506,Y506)</f>
        <v>0</v>
      </c>
      <c r="AF506" s="17">
        <f>SUM(Z506,AA506,AB506)</f>
        <v>0</v>
      </c>
      <c r="AG506" s="17">
        <f>AC506+AD506</f>
        <v>0</v>
      </c>
      <c r="AH506" s="17">
        <f>AF506+AE506</f>
        <v>0</v>
      </c>
      <c r="AI506" s="17">
        <f>AG506+AH506</f>
        <v>0</v>
      </c>
    </row>
    <row r="507" spans="1:35">
      <c r="A507" s="990">
        <v>460</v>
      </c>
      <c r="B507" s="990">
        <v>1</v>
      </c>
      <c r="C507" s="990">
        <v>507</v>
      </c>
      <c r="E507" s="1243">
        <v>1</v>
      </c>
      <c r="I507" s="79"/>
      <c r="J507" s="78"/>
      <c r="K507" s="69"/>
      <c r="L507" s="69"/>
      <c r="M507" s="596" t="s">
        <v>95</v>
      </c>
      <c r="N507" s="362"/>
      <c r="O507" s="362"/>
      <c r="P507" s="360"/>
      <c r="Q507" s="2784">
        <f>Q508+Q511</f>
        <v>42300</v>
      </c>
      <c r="R507" s="361">
        <f t="shared" ref="R507:AI507" si="375">R508+R511</f>
        <v>11352</v>
      </c>
      <c r="S507" s="361">
        <f t="shared" si="375"/>
        <v>38817</v>
      </c>
      <c r="T507" s="361">
        <f t="shared" si="375"/>
        <v>14403</v>
      </c>
      <c r="U507" s="361">
        <f t="shared" si="375"/>
        <v>34878</v>
      </c>
      <c r="V507" s="361">
        <f t="shared" si="375"/>
        <v>29653</v>
      </c>
      <c r="W507" s="361">
        <f t="shared" si="375"/>
        <v>40222</v>
      </c>
      <c r="X507" s="361">
        <f t="shared" si="375"/>
        <v>34700</v>
      </c>
      <c r="Y507" s="361">
        <f t="shared" si="375"/>
        <v>39923</v>
      </c>
      <c r="Z507" s="361">
        <f t="shared" si="375"/>
        <v>38359</v>
      </c>
      <c r="AA507" s="361">
        <f t="shared" si="375"/>
        <v>37027</v>
      </c>
      <c r="AB507" s="361">
        <f t="shared" si="375"/>
        <v>41463</v>
      </c>
      <c r="AC507" s="361">
        <f t="shared" si="375"/>
        <v>92469</v>
      </c>
      <c r="AD507" s="361">
        <f t="shared" si="375"/>
        <v>78934</v>
      </c>
      <c r="AE507" s="361">
        <f t="shared" si="375"/>
        <v>114845</v>
      </c>
      <c r="AF507" s="361">
        <f t="shared" si="375"/>
        <v>116849</v>
      </c>
      <c r="AG507" s="361">
        <f t="shared" si="375"/>
        <v>171403</v>
      </c>
      <c r="AH507" s="361">
        <f t="shared" si="375"/>
        <v>231694</v>
      </c>
      <c r="AI507" s="361">
        <f t="shared" si="375"/>
        <v>403097</v>
      </c>
    </row>
    <row r="508" spans="1:35">
      <c r="A508" s="990">
        <v>461</v>
      </c>
      <c r="B508" s="990">
        <v>1</v>
      </c>
      <c r="C508" s="990">
        <v>508</v>
      </c>
      <c r="E508" s="1243">
        <v>1</v>
      </c>
      <c r="I508" s="79"/>
      <c r="J508" s="78"/>
      <c r="K508" s="69"/>
      <c r="L508" s="69"/>
      <c r="N508" s="111" t="s">
        <v>1021</v>
      </c>
      <c r="O508" s="111"/>
      <c r="P508" s="369"/>
      <c r="Q508" s="2785">
        <f>SUM(Q509:Q510)</f>
        <v>42300</v>
      </c>
      <c r="R508" s="64">
        <f t="shared" ref="R508:AI508" si="376">SUM(R509:R510)</f>
        <v>11352</v>
      </c>
      <c r="S508" s="64">
        <f t="shared" si="376"/>
        <v>38817</v>
      </c>
      <c r="T508" s="64">
        <f t="shared" si="376"/>
        <v>14403</v>
      </c>
      <c r="U508" s="64">
        <f t="shared" si="376"/>
        <v>34878</v>
      </c>
      <c r="V508" s="64">
        <f t="shared" si="376"/>
        <v>29653</v>
      </c>
      <c r="W508" s="64">
        <f t="shared" si="376"/>
        <v>40222</v>
      </c>
      <c r="X508" s="64">
        <f t="shared" si="376"/>
        <v>34700</v>
      </c>
      <c r="Y508" s="64">
        <f t="shared" si="376"/>
        <v>39923</v>
      </c>
      <c r="Z508" s="64">
        <f t="shared" si="376"/>
        <v>38359</v>
      </c>
      <c r="AA508" s="64">
        <f t="shared" si="376"/>
        <v>37027</v>
      </c>
      <c r="AB508" s="64">
        <f t="shared" si="376"/>
        <v>41463</v>
      </c>
      <c r="AC508" s="64">
        <f t="shared" si="376"/>
        <v>92469</v>
      </c>
      <c r="AD508" s="64">
        <f t="shared" si="376"/>
        <v>78934</v>
      </c>
      <c r="AE508" s="64">
        <f t="shared" si="376"/>
        <v>114845</v>
      </c>
      <c r="AF508" s="64">
        <f t="shared" si="376"/>
        <v>116849</v>
      </c>
      <c r="AG508" s="64">
        <f t="shared" si="376"/>
        <v>171403</v>
      </c>
      <c r="AH508" s="64">
        <f t="shared" si="376"/>
        <v>231694</v>
      </c>
      <c r="AI508" s="64">
        <f t="shared" si="376"/>
        <v>403097</v>
      </c>
    </row>
    <row r="509" spans="1:35">
      <c r="A509" s="990">
        <v>462</v>
      </c>
      <c r="B509" s="990">
        <v>1</v>
      </c>
      <c r="C509" s="990">
        <v>509</v>
      </c>
      <c r="E509" s="1243">
        <v>1</v>
      </c>
      <c r="I509" s="79"/>
      <c r="J509" s="78"/>
      <c r="K509" s="69"/>
      <c r="L509" s="69"/>
      <c r="P509" s="110" t="s">
        <v>1083</v>
      </c>
      <c r="Q509" s="2782">
        <v>42300</v>
      </c>
      <c r="R509" s="2042">
        <v>11352</v>
      </c>
      <c r="S509" s="2042">
        <v>38817</v>
      </c>
      <c r="T509" s="2042">
        <v>14403</v>
      </c>
      <c r="U509" s="2042">
        <v>34878</v>
      </c>
      <c r="V509" s="2042">
        <v>29653</v>
      </c>
      <c r="W509" s="2042">
        <v>40222</v>
      </c>
      <c r="X509" s="2042">
        <v>34700</v>
      </c>
      <c r="Y509" s="2042">
        <v>39923</v>
      </c>
      <c r="Z509" s="2042">
        <v>38359</v>
      </c>
      <c r="AA509" s="2042">
        <v>37027</v>
      </c>
      <c r="AB509" s="2042">
        <v>41463</v>
      </c>
      <c r="AC509" s="109">
        <f>SUM(Q509,R509,S509)</f>
        <v>92469</v>
      </c>
      <c r="AD509" s="109">
        <f>SUM(T509,U509,V509)</f>
        <v>78934</v>
      </c>
      <c r="AE509" s="109">
        <f>SUM(W509,X509,Y509)</f>
        <v>114845</v>
      </c>
      <c r="AF509" s="109">
        <f>SUM(Z509,AA509,AB509)</f>
        <v>116849</v>
      </c>
      <c r="AG509" s="109">
        <f>AC509+AD509</f>
        <v>171403</v>
      </c>
      <c r="AH509" s="109">
        <f>AF509+AE509</f>
        <v>231694</v>
      </c>
      <c r="AI509" s="109">
        <f>AG509+AH509</f>
        <v>403097</v>
      </c>
    </row>
    <row r="510" spans="1:35">
      <c r="A510" s="990">
        <v>463</v>
      </c>
      <c r="B510" s="990">
        <v>1</v>
      </c>
      <c r="C510" s="990">
        <v>510</v>
      </c>
      <c r="E510" s="1243">
        <v>1</v>
      </c>
      <c r="I510" s="79"/>
      <c r="J510" s="78"/>
      <c r="K510" s="69"/>
      <c r="L510" s="69"/>
      <c r="N510" s="363"/>
      <c r="O510" s="363"/>
      <c r="P510" s="364" t="s">
        <v>1084</v>
      </c>
      <c r="Q510" s="2786"/>
      <c r="R510" s="2052"/>
      <c r="S510" s="2052"/>
      <c r="T510" s="2052"/>
      <c r="U510" s="2052"/>
      <c r="V510" s="2052"/>
      <c r="W510" s="2052"/>
      <c r="X510" s="2052"/>
      <c r="Y510" s="2052"/>
      <c r="Z510" s="2052"/>
      <c r="AA510" s="2052"/>
      <c r="AB510" s="2052"/>
      <c r="AC510" s="365">
        <f>SUM(Q510,R510,S510)</f>
        <v>0</v>
      </c>
      <c r="AD510" s="365">
        <f>SUM(T510,U510,V510)</f>
        <v>0</v>
      </c>
      <c r="AE510" s="365">
        <f>SUM(W510,X510,Y510)</f>
        <v>0</v>
      </c>
      <c r="AF510" s="365">
        <f>SUM(Z510,AA510,AB510)</f>
        <v>0</v>
      </c>
      <c r="AG510" s="365">
        <f>AC510+AD510</f>
        <v>0</v>
      </c>
      <c r="AH510" s="365">
        <f>AF510+AE510</f>
        <v>0</v>
      </c>
      <c r="AI510" s="365">
        <f>AG510+AH510</f>
        <v>0</v>
      </c>
    </row>
    <row r="511" spans="1:35">
      <c r="A511" s="990">
        <v>464</v>
      </c>
      <c r="B511" s="990">
        <v>1</v>
      </c>
      <c r="C511" s="990">
        <v>511</v>
      </c>
      <c r="E511" s="1243">
        <v>1</v>
      </c>
      <c r="I511" s="79"/>
      <c r="J511" s="78"/>
      <c r="K511" s="69"/>
      <c r="L511" s="69"/>
      <c r="N511" s="366" t="s">
        <v>146</v>
      </c>
      <c r="O511" s="366"/>
      <c r="P511" s="367"/>
      <c r="Q511" s="2787"/>
      <c r="R511" s="2053"/>
      <c r="S511" s="2053"/>
      <c r="T511" s="2053"/>
      <c r="U511" s="2053"/>
      <c r="V511" s="2053"/>
      <c r="W511" s="2053"/>
      <c r="X511" s="2053"/>
      <c r="Y511" s="2053"/>
      <c r="Z511" s="2053"/>
      <c r="AA511" s="2053"/>
      <c r="AB511" s="2053"/>
      <c r="AC511" s="368">
        <f>SUM(Q511,R511,S511)</f>
        <v>0</v>
      </c>
      <c r="AD511" s="368">
        <f>SUM(T511,U511,V511)</f>
        <v>0</v>
      </c>
      <c r="AE511" s="368">
        <f>SUM(W511,X511,Y511)</f>
        <v>0</v>
      </c>
      <c r="AF511" s="368">
        <f>SUM(Z511,AA511,AB511)</f>
        <v>0</v>
      </c>
      <c r="AG511" s="368">
        <f>AC511+AD511</f>
        <v>0</v>
      </c>
      <c r="AH511" s="368">
        <f>AF511+AE511</f>
        <v>0</v>
      </c>
      <c r="AI511" s="368">
        <f>AG511+AH511</f>
        <v>0</v>
      </c>
    </row>
    <row r="512" spans="1:35">
      <c r="A512" s="990">
        <v>465</v>
      </c>
      <c r="B512" s="990">
        <v>1</v>
      </c>
      <c r="C512" s="990">
        <v>512</v>
      </c>
      <c r="E512" s="1243">
        <v>1</v>
      </c>
      <c r="I512" s="79"/>
      <c r="J512" s="78"/>
      <c r="K512" s="69"/>
      <c r="L512" s="69"/>
      <c r="M512" s="596" t="s">
        <v>85</v>
      </c>
      <c r="N512" s="362"/>
      <c r="O512" s="362"/>
      <c r="P512" s="360"/>
      <c r="Q512" s="2784">
        <f>SUM(Q513:Q516)</f>
        <v>0</v>
      </c>
      <c r="R512" s="361">
        <f t="shared" ref="R512:AI512" si="377">SUM(R513:R516)</f>
        <v>0</v>
      </c>
      <c r="S512" s="361">
        <f t="shared" si="377"/>
        <v>0</v>
      </c>
      <c r="T512" s="361">
        <f t="shared" si="377"/>
        <v>0</v>
      </c>
      <c r="U512" s="361">
        <f t="shared" si="377"/>
        <v>0</v>
      </c>
      <c r="V512" s="361">
        <f t="shared" si="377"/>
        <v>0</v>
      </c>
      <c r="W512" s="361">
        <f t="shared" si="377"/>
        <v>0</v>
      </c>
      <c r="X512" s="361">
        <f t="shared" si="377"/>
        <v>0</v>
      </c>
      <c r="Y512" s="361">
        <f t="shared" si="377"/>
        <v>0</v>
      </c>
      <c r="Z512" s="361">
        <f t="shared" si="377"/>
        <v>0</v>
      </c>
      <c r="AA512" s="361">
        <f t="shared" si="377"/>
        <v>0</v>
      </c>
      <c r="AB512" s="361">
        <f t="shared" si="377"/>
        <v>0</v>
      </c>
      <c r="AC512" s="361">
        <f t="shared" si="377"/>
        <v>0</v>
      </c>
      <c r="AD512" s="361">
        <f t="shared" si="377"/>
        <v>0</v>
      </c>
      <c r="AE512" s="361">
        <f t="shared" si="377"/>
        <v>0</v>
      </c>
      <c r="AF512" s="361">
        <f t="shared" si="377"/>
        <v>0</v>
      </c>
      <c r="AG512" s="361">
        <f t="shared" si="377"/>
        <v>0</v>
      </c>
      <c r="AH512" s="361">
        <f t="shared" si="377"/>
        <v>0</v>
      </c>
      <c r="AI512" s="361">
        <f t="shared" si="377"/>
        <v>0</v>
      </c>
    </row>
    <row r="513" spans="1:36">
      <c r="A513" s="990">
        <v>466</v>
      </c>
      <c r="B513" s="990">
        <v>1</v>
      </c>
      <c r="C513" s="990">
        <v>513</v>
      </c>
      <c r="E513" s="1243">
        <v>1</v>
      </c>
      <c r="I513" s="79"/>
      <c r="J513" s="78"/>
      <c r="K513" s="69"/>
      <c r="L513" s="69"/>
      <c r="N513" s="111"/>
      <c r="O513" s="111"/>
      <c r="P513" s="110" t="s">
        <v>30</v>
      </c>
      <c r="Q513" s="2782"/>
      <c r="R513" s="2042"/>
      <c r="S513" s="2042"/>
      <c r="T513" s="2042"/>
      <c r="U513" s="2042"/>
      <c r="V513" s="2042"/>
      <c r="W513" s="2042"/>
      <c r="X513" s="2042"/>
      <c r="Y513" s="2042"/>
      <c r="Z513" s="2042"/>
      <c r="AA513" s="2042"/>
      <c r="AB513" s="2042"/>
      <c r="AC513" s="109">
        <f>SUM(Q513,R513,S513)</f>
        <v>0</v>
      </c>
      <c r="AD513" s="109">
        <f>SUM(T513,U513,V513)</f>
        <v>0</v>
      </c>
      <c r="AE513" s="109">
        <f>SUM(W513,X513,Y513)</f>
        <v>0</v>
      </c>
      <c r="AF513" s="109">
        <f>SUM(Z513,AA513,AB513)</f>
        <v>0</v>
      </c>
      <c r="AG513" s="109">
        <f>AC513+AD513</f>
        <v>0</v>
      </c>
      <c r="AH513" s="109">
        <f>AF513+AE513</f>
        <v>0</v>
      </c>
      <c r="AI513" s="109">
        <f>AG513+AH513</f>
        <v>0</v>
      </c>
    </row>
    <row r="514" spans="1:36">
      <c r="A514" s="990">
        <v>467</v>
      </c>
      <c r="B514" s="990">
        <v>1</v>
      </c>
      <c r="C514" s="990">
        <v>514</v>
      </c>
      <c r="E514" s="1243">
        <v>1</v>
      </c>
      <c r="I514" s="79"/>
      <c r="J514" s="78"/>
      <c r="K514" s="69"/>
      <c r="L514" s="69"/>
      <c r="P514" s="86" t="s">
        <v>1092</v>
      </c>
      <c r="Q514" s="2788"/>
      <c r="R514" s="2036"/>
      <c r="S514" s="2036"/>
      <c r="T514" s="2036"/>
      <c r="U514" s="2036"/>
      <c r="V514" s="2036"/>
      <c r="W514" s="2036"/>
      <c r="X514" s="2036"/>
      <c r="Y514" s="2036"/>
      <c r="Z514" s="2036"/>
      <c r="AA514" s="2036"/>
      <c r="AB514" s="2036"/>
      <c r="AC514" s="19">
        <f>SUM(Q514,R514,S514)</f>
        <v>0</v>
      </c>
      <c r="AD514" s="19">
        <f>SUM(T514,U514,V514)</f>
        <v>0</v>
      </c>
      <c r="AE514" s="19">
        <f>SUM(W514,X514,Y514)</f>
        <v>0</v>
      </c>
      <c r="AF514" s="19">
        <f>SUM(Z514,AA514,AB514)</f>
        <v>0</v>
      </c>
      <c r="AG514" s="19">
        <f>AC514+AD514</f>
        <v>0</v>
      </c>
      <c r="AH514" s="19">
        <f>AF514+AE514</f>
        <v>0</v>
      </c>
      <c r="AI514" s="19">
        <f>AG514+AH514</f>
        <v>0</v>
      </c>
    </row>
    <row r="515" spans="1:36">
      <c r="A515" s="990">
        <v>468</v>
      </c>
      <c r="B515" s="990">
        <v>1</v>
      </c>
      <c r="C515" s="990">
        <v>515</v>
      </c>
      <c r="E515" s="1243">
        <v>1</v>
      </c>
      <c r="I515" s="79"/>
      <c r="J515" s="78"/>
      <c r="K515" s="69"/>
      <c r="L515" s="69"/>
      <c r="P515" s="86" t="s">
        <v>1093</v>
      </c>
      <c r="Q515" s="2788"/>
      <c r="R515" s="2036"/>
      <c r="S515" s="2036"/>
      <c r="T515" s="2036"/>
      <c r="U515" s="2036"/>
      <c r="V515" s="2036"/>
      <c r="W515" s="2036"/>
      <c r="X515" s="2036"/>
      <c r="Y515" s="2036"/>
      <c r="Z515" s="2036"/>
      <c r="AA515" s="2036"/>
      <c r="AB515" s="2036"/>
      <c r="AC515" s="19">
        <f>SUM(Q515,R515,S515)</f>
        <v>0</v>
      </c>
      <c r="AD515" s="19">
        <f>SUM(T515,U515,V515)</f>
        <v>0</v>
      </c>
      <c r="AE515" s="19">
        <f>SUM(W515,X515,Y515)</f>
        <v>0</v>
      </c>
      <c r="AF515" s="19">
        <f>SUM(Z515,AA515,AB515)</f>
        <v>0</v>
      </c>
      <c r="AG515" s="19">
        <f>AC515+AD515</f>
        <v>0</v>
      </c>
      <c r="AH515" s="19">
        <f>AF515+AE515</f>
        <v>0</v>
      </c>
      <c r="AI515" s="19">
        <f>AG515+AH515</f>
        <v>0</v>
      </c>
    </row>
    <row r="516" spans="1:36">
      <c r="A516" s="990">
        <v>469</v>
      </c>
      <c r="B516" s="990">
        <v>1</v>
      </c>
      <c r="C516" s="990">
        <v>516</v>
      </c>
      <c r="E516" s="1243">
        <v>1</v>
      </c>
      <c r="I516" s="79"/>
      <c r="J516" s="78"/>
      <c r="K516" s="69"/>
      <c r="L516" s="69"/>
      <c r="N516" s="12"/>
      <c r="O516" s="12"/>
      <c r="P516" s="85" t="s">
        <v>11</v>
      </c>
      <c r="Q516" s="2783"/>
      <c r="R516" s="2037"/>
      <c r="S516" s="2037"/>
      <c r="T516" s="2037"/>
      <c r="U516" s="2037"/>
      <c r="V516" s="2037"/>
      <c r="W516" s="2037"/>
      <c r="X516" s="2037"/>
      <c r="Y516" s="2037"/>
      <c r="Z516" s="2037"/>
      <c r="AA516" s="2037"/>
      <c r="AB516" s="2037"/>
      <c r="AC516" s="17">
        <f>SUM(Q516,R516,S516)</f>
        <v>0</v>
      </c>
      <c r="AD516" s="17">
        <f>SUM(T516,U516,V516)</f>
        <v>0</v>
      </c>
      <c r="AE516" s="17">
        <f>SUM(W516,X516,Y516)</f>
        <v>0</v>
      </c>
      <c r="AF516" s="17">
        <f>SUM(Z516,AA516,AB516)</f>
        <v>0</v>
      </c>
      <c r="AG516" s="17">
        <f>AC516+AD516</f>
        <v>0</v>
      </c>
      <c r="AH516" s="17">
        <f>AF516+AE516</f>
        <v>0</v>
      </c>
      <c r="AI516" s="17">
        <f>AG516+AH516</f>
        <v>0</v>
      </c>
    </row>
    <row r="517" spans="1:36">
      <c r="A517" s="990">
        <v>470</v>
      </c>
      <c r="B517" s="990">
        <v>1</v>
      </c>
      <c r="C517" s="990">
        <v>517</v>
      </c>
      <c r="E517" s="1243">
        <v>1</v>
      </c>
      <c r="I517" s="79"/>
      <c r="J517" s="78"/>
      <c r="K517" s="68"/>
      <c r="L517" s="68"/>
      <c r="M517" s="303" t="s">
        <v>11</v>
      </c>
      <c r="N517" s="12"/>
      <c r="O517" s="12"/>
      <c r="P517" s="12"/>
      <c r="Q517" s="2088"/>
      <c r="R517" s="2037"/>
      <c r="S517" s="2037"/>
      <c r="T517" s="2037"/>
      <c r="U517" s="2037"/>
      <c r="V517" s="2037"/>
      <c r="W517" s="2037"/>
      <c r="X517" s="2037"/>
      <c r="Y517" s="2037"/>
      <c r="Z517" s="2037"/>
      <c r="AA517" s="2037"/>
      <c r="AB517" s="2037"/>
      <c r="AC517" s="17">
        <f>SUM(Q517,R517,S517)</f>
        <v>0</v>
      </c>
      <c r="AD517" s="17">
        <f>SUM(T517,U517,V517)</f>
        <v>0</v>
      </c>
      <c r="AE517" s="17">
        <f>SUM(W517,X517,Y517)</f>
        <v>0</v>
      </c>
      <c r="AF517" s="17">
        <f>SUM(Z517,AA517,AB517)</f>
        <v>0</v>
      </c>
      <c r="AG517" s="17">
        <f>AC517+AD517</f>
        <v>0</v>
      </c>
      <c r="AH517" s="17">
        <f>AF517+AE517</f>
        <v>0</v>
      </c>
      <c r="AI517" s="17">
        <f>AG517+AH517</f>
        <v>0</v>
      </c>
    </row>
    <row r="518" spans="1:36">
      <c r="A518" s="990">
        <v>471</v>
      </c>
      <c r="B518" s="990">
        <v>1</v>
      </c>
      <c r="C518" s="990">
        <v>518</v>
      </c>
      <c r="E518" s="1243">
        <v>1</v>
      </c>
      <c r="I518" s="795" t="s">
        <v>134</v>
      </c>
      <c r="J518" s="612"/>
      <c r="K518" s="796"/>
      <c r="L518" s="796"/>
      <c r="M518" s="612"/>
      <c r="N518" s="612"/>
      <c r="O518" s="612"/>
      <c r="P518" s="612"/>
      <c r="Q518" s="2051">
        <f t="shared" ref="Q518:AI518" si="378">Q519+Q542</f>
        <v>130443</v>
      </c>
      <c r="R518" s="2051">
        <f t="shared" si="378"/>
        <v>50370</v>
      </c>
      <c r="S518" s="2051">
        <f t="shared" si="378"/>
        <v>109811</v>
      </c>
      <c r="T518" s="2051">
        <f t="shared" si="378"/>
        <v>127136</v>
      </c>
      <c r="U518" s="2051">
        <f t="shared" si="378"/>
        <v>153565</v>
      </c>
      <c r="V518" s="2051">
        <f t="shared" si="378"/>
        <v>178110</v>
      </c>
      <c r="W518" s="2051">
        <f t="shared" si="378"/>
        <v>153175</v>
      </c>
      <c r="X518" s="2051">
        <f t="shared" si="378"/>
        <v>149958</v>
      </c>
      <c r="Y518" s="2051">
        <f t="shared" si="378"/>
        <v>137947</v>
      </c>
      <c r="Z518" s="2051">
        <f t="shared" si="378"/>
        <v>159342</v>
      </c>
      <c r="AA518" s="2051">
        <f t="shared" si="378"/>
        <v>108873</v>
      </c>
      <c r="AB518" s="2051">
        <f t="shared" si="378"/>
        <v>204900</v>
      </c>
      <c r="AC518" s="2051">
        <f t="shared" si="378"/>
        <v>290624</v>
      </c>
      <c r="AD518" s="2051">
        <f t="shared" si="378"/>
        <v>458811</v>
      </c>
      <c r="AE518" s="2051">
        <f t="shared" si="378"/>
        <v>441080</v>
      </c>
      <c r="AF518" s="2051">
        <f t="shared" si="378"/>
        <v>473115</v>
      </c>
      <c r="AG518" s="2051">
        <f t="shared" si="378"/>
        <v>749435</v>
      </c>
      <c r="AH518" s="2051">
        <f t="shared" si="378"/>
        <v>914195</v>
      </c>
      <c r="AI518" s="2051">
        <f t="shared" si="378"/>
        <v>1663630</v>
      </c>
    </row>
    <row r="519" spans="1:36">
      <c r="A519" s="990">
        <v>472</v>
      </c>
      <c r="B519" s="990">
        <v>1</v>
      </c>
      <c r="C519" s="990">
        <v>519</v>
      </c>
      <c r="E519" s="1243">
        <v>1</v>
      </c>
      <c r="I519" s="79"/>
      <c r="J519" s="78"/>
      <c r="K519" s="74" t="s">
        <v>1022</v>
      </c>
      <c r="L519" s="74"/>
      <c r="M519" s="357"/>
      <c r="N519" s="357"/>
      <c r="O519" s="357"/>
      <c r="P519" s="357"/>
      <c r="Q519" s="359">
        <f>Q520+Q523+Q536+Q541</f>
        <v>114381</v>
      </c>
      <c r="R519" s="359">
        <f t="shared" ref="R519:AI519" si="379">R520+R523+R536+R541</f>
        <v>43487</v>
      </c>
      <c r="S519" s="359">
        <f t="shared" si="379"/>
        <v>96024</v>
      </c>
      <c r="T519" s="359">
        <f t="shared" si="379"/>
        <v>120276</v>
      </c>
      <c r="U519" s="359">
        <f t="shared" si="379"/>
        <v>140182</v>
      </c>
      <c r="V519" s="359">
        <f t="shared" si="379"/>
        <v>161083</v>
      </c>
      <c r="W519" s="359">
        <f t="shared" si="379"/>
        <v>134760</v>
      </c>
      <c r="X519" s="359">
        <f t="shared" si="379"/>
        <v>133389</v>
      </c>
      <c r="Y519" s="359">
        <f t="shared" si="379"/>
        <v>120811</v>
      </c>
      <c r="Z519" s="359">
        <f t="shared" si="379"/>
        <v>145925</v>
      </c>
      <c r="AA519" s="359">
        <f t="shared" si="379"/>
        <v>98903</v>
      </c>
      <c r="AB519" s="359">
        <f t="shared" si="379"/>
        <v>192945</v>
      </c>
      <c r="AC519" s="359">
        <f t="shared" si="379"/>
        <v>253892</v>
      </c>
      <c r="AD519" s="359">
        <f t="shared" si="379"/>
        <v>421541</v>
      </c>
      <c r="AE519" s="359">
        <f t="shared" si="379"/>
        <v>388960</v>
      </c>
      <c r="AF519" s="359">
        <f t="shared" si="379"/>
        <v>437773</v>
      </c>
      <c r="AG519" s="359">
        <f t="shared" si="379"/>
        <v>675433</v>
      </c>
      <c r="AH519" s="359">
        <f t="shared" si="379"/>
        <v>826733</v>
      </c>
      <c r="AI519" s="359">
        <f t="shared" si="379"/>
        <v>1502166</v>
      </c>
    </row>
    <row r="520" spans="1:36">
      <c r="A520" s="990">
        <v>473</v>
      </c>
      <c r="B520" s="990">
        <v>1</v>
      </c>
      <c r="C520" s="990">
        <v>520</v>
      </c>
      <c r="E520" s="1243">
        <v>1</v>
      </c>
      <c r="I520" s="79"/>
      <c r="J520" s="78"/>
      <c r="K520" s="74"/>
      <c r="L520" s="74"/>
      <c r="M520" s="9" t="s">
        <v>137</v>
      </c>
      <c r="N520" s="363"/>
      <c r="O520" s="363"/>
      <c r="P520" s="364"/>
      <c r="Q520" s="2781">
        <f>SUM(Q521:Q522)</f>
        <v>30283</v>
      </c>
      <c r="R520" s="365">
        <f t="shared" ref="R520:AB520" si="380">SUM(R521:R522)</f>
        <v>3185</v>
      </c>
      <c r="S520" s="365">
        <f t="shared" si="380"/>
        <v>15616</v>
      </c>
      <c r="T520" s="365">
        <f t="shared" si="380"/>
        <v>24432</v>
      </c>
      <c r="U520" s="365">
        <f t="shared" si="380"/>
        <v>35459</v>
      </c>
      <c r="V520" s="365">
        <f t="shared" si="380"/>
        <v>49283</v>
      </c>
      <c r="W520" s="365">
        <f t="shared" si="380"/>
        <v>11699</v>
      </c>
      <c r="X520" s="365">
        <f t="shared" si="380"/>
        <v>28905</v>
      </c>
      <c r="Y520" s="365">
        <f t="shared" si="380"/>
        <v>19847</v>
      </c>
      <c r="Z520" s="365">
        <f t="shared" si="380"/>
        <v>28824</v>
      </c>
      <c r="AA520" s="365">
        <f t="shared" si="380"/>
        <v>11857</v>
      </c>
      <c r="AB520" s="365">
        <f t="shared" si="380"/>
        <v>49793</v>
      </c>
      <c r="AC520" s="365">
        <f>SUM(AC521:AC522)</f>
        <v>49084</v>
      </c>
      <c r="AD520" s="365">
        <f t="shared" ref="AD520:AI520" si="381">SUM(AD521:AD522)</f>
        <v>109174</v>
      </c>
      <c r="AE520" s="365">
        <f t="shared" si="381"/>
        <v>60451</v>
      </c>
      <c r="AF520" s="365">
        <f t="shared" si="381"/>
        <v>90474</v>
      </c>
      <c r="AG520" s="365">
        <f t="shared" si="381"/>
        <v>158258</v>
      </c>
      <c r="AH520" s="365">
        <f t="shared" si="381"/>
        <v>150925</v>
      </c>
      <c r="AI520" s="365">
        <f t="shared" si="381"/>
        <v>309183</v>
      </c>
    </row>
    <row r="521" spans="1:36">
      <c r="A521" s="990">
        <v>474</v>
      </c>
      <c r="B521" s="990">
        <v>1</v>
      </c>
      <c r="C521" s="990">
        <v>521</v>
      </c>
      <c r="E521" s="1243">
        <v>1</v>
      </c>
      <c r="I521" s="79"/>
      <c r="J521" s="78"/>
      <c r="K521" s="74"/>
      <c r="L521" s="74"/>
      <c r="N521" s="111" t="s">
        <v>1021</v>
      </c>
      <c r="O521" s="111"/>
      <c r="P521" s="110"/>
      <c r="Q521" s="2782">
        <v>30283</v>
      </c>
      <c r="R521" s="2042">
        <v>3185</v>
      </c>
      <c r="S521" s="2042">
        <v>15616</v>
      </c>
      <c r="T521" s="2042">
        <v>24432</v>
      </c>
      <c r="U521" s="2042">
        <v>35459</v>
      </c>
      <c r="V521" s="2042">
        <v>49283</v>
      </c>
      <c r="W521" s="2042">
        <v>11699</v>
      </c>
      <c r="X521" s="2042">
        <v>28905</v>
      </c>
      <c r="Y521" s="2042">
        <v>19847</v>
      </c>
      <c r="Z521" s="2042">
        <v>28824</v>
      </c>
      <c r="AA521" s="2042">
        <v>11857</v>
      </c>
      <c r="AB521" s="2042">
        <v>49793</v>
      </c>
      <c r="AC521" s="109">
        <f>SUM(Q521,R521,S521)</f>
        <v>49084</v>
      </c>
      <c r="AD521" s="109">
        <f>SUM(T521,U521,V521)</f>
        <v>109174</v>
      </c>
      <c r="AE521" s="109">
        <f>SUM(W521,X521,Y521)</f>
        <v>60451</v>
      </c>
      <c r="AF521" s="109">
        <f>SUM(Z521,AA521,AB521)</f>
        <v>90474</v>
      </c>
      <c r="AG521" s="109">
        <f>AC521+AD521</f>
        <v>158258</v>
      </c>
      <c r="AH521" s="109">
        <f>AF521+AE521</f>
        <v>150925</v>
      </c>
      <c r="AI521" s="109">
        <f>AG521+AH521</f>
        <v>309183</v>
      </c>
    </row>
    <row r="522" spans="1:36">
      <c r="A522" s="990">
        <v>475</v>
      </c>
      <c r="B522" s="990">
        <v>1</v>
      </c>
      <c r="C522" s="990">
        <v>522</v>
      </c>
      <c r="E522" s="1243">
        <v>1</v>
      </c>
      <c r="I522" s="79"/>
      <c r="J522" s="78"/>
      <c r="K522" s="74"/>
      <c r="L522" s="74"/>
      <c r="N522" s="12" t="s">
        <v>146</v>
      </c>
      <c r="O522" s="12"/>
      <c r="P522" s="85"/>
      <c r="Q522" s="2783"/>
      <c r="R522" s="2037"/>
      <c r="S522" s="2037"/>
      <c r="T522" s="2037"/>
      <c r="U522" s="2037"/>
      <c r="V522" s="2037"/>
      <c r="W522" s="2037"/>
      <c r="X522" s="2037"/>
      <c r="Y522" s="2037"/>
      <c r="Z522" s="2037"/>
      <c r="AA522" s="2037"/>
      <c r="AB522" s="2037"/>
      <c r="AC522" s="17">
        <f>SUM(Q522,R522,S522)</f>
        <v>0</v>
      </c>
      <c r="AD522" s="17">
        <f>SUM(T522,U522,V522)</f>
        <v>0</v>
      </c>
      <c r="AE522" s="17">
        <f>SUM(W522,X522,Y522)</f>
        <v>0</v>
      </c>
      <c r="AF522" s="17">
        <f>SUM(Z522,AA522,AB522)</f>
        <v>0</v>
      </c>
      <c r="AG522" s="17">
        <f>AC522+AD522</f>
        <v>0</v>
      </c>
      <c r="AH522" s="17">
        <f>AF522+AE522</f>
        <v>0</v>
      </c>
      <c r="AI522" s="17">
        <f>AG522+AH522</f>
        <v>0</v>
      </c>
    </row>
    <row r="523" spans="1:36">
      <c r="A523" s="990">
        <v>476</v>
      </c>
      <c r="B523" s="990">
        <v>1</v>
      </c>
      <c r="C523" s="990">
        <v>523</v>
      </c>
      <c r="E523" s="1243">
        <v>1</v>
      </c>
      <c r="I523" s="79"/>
      <c r="J523" s="78"/>
      <c r="K523" s="74"/>
      <c r="L523" s="74"/>
      <c r="M523" s="596" t="s">
        <v>95</v>
      </c>
      <c r="N523" s="362"/>
      <c r="O523" s="362"/>
      <c r="P523" s="360"/>
      <c r="Q523" s="2784">
        <f>Q524+Q527+Q528+Q532+Q535</f>
        <v>84098</v>
      </c>
      <c r="R523" s="361">
        <f t="shared" ref="R523:AI523" si="382">R524+R527+R528+R532+R535</f>
        <v>40302</v>
      </c>
      <c r="S523" s="361">
        <f t="shared" si="382"/>
        <v>80408</v>
      </c>
      <c r="T523" s="361">
        <f t="shared" si="382"/>
        <v>95844</v>
      </c>
      <c r="U523" s="361">
        <f t="shared" si="382"/>
        <v>104723</v>
      </c>
      <c r="V523" s="361">
        <f t="shared" si="382"/>
        <v>111800</v>
      </c>
      <c r="W523" s="361">
        <f t="shared" si="382"/>
        <v>123061</v>
      </c>
      <c r="X523" s="361">
        <f t="shared" si="382"/>
        <v>104484</v>
      </c>
      <c r="Y523" s="361">
        <f t="shared" si="382"/>
        <v>100964</v>
      </c>
      <c r="Z523" s="361">
        <f t="shared" si="382"/>
        <v>117101</v>
      </c>
      <c r="AA523" s="361">
        <f t="shared" si="382"/>
        <v>87046</v>
      </c>
      <c r="AB523" s="361">
        <f t="shared" si="382"/>
        <v>143152</v>
      </c>
      <c r="AC523" s="361">
        <f t="shared" si="382"/>
        <v>204808</v>
      </c>
      <c r="AD523" s="361">
        <f t="shared" si="382"/>
        <v>312367</v>
      </c>
      <c r="AE523" s="361">
        <f t="shared" si="382"/>
        <v>328509</v>
      </c>
      <c r="AF523" s="361">
        <f t="shared" si="382"/>
        <v>347299</v>
      </c>
      <c r="AG523" s="361">
        <f t="shared" si="382"/>
        <v>517175</v>
      </c>
      <c r="AH523" s="361">
        <f t="shared" si="382"/>
        <v>675808</v>
      </c>
      <c r="AI523" s="361">
        <f t="shared" si="382"/>
        <v>1192983</v>
      </c>
      <c r="AJ523" s="290"/>
    </row>
    <row r="524" spans="1:36">
      <c r="A524" s="990">
        <v>477</v>
      </c>
      <c r="B524" s="990">
        <v>1</v>
      </c>
      <c r="C524" s="990">
        <v>524</v>
      </c>
      <c r="E524" s="1243">
        <v>1</v>
      </c>
      <c r="I524" s="79"/>
      <c r="J524" s="78"/>
      <c r="K524" s="74"/>
      <c r="L524" s="74"/>
      <c r="N524" s="111" t="s">
        <v>1021</v>
      </c>
      <c r="O524" s="111"/>
      <c r="P524" s="369"/>
      <c r="Q524" s="2785">
        <f>SUM(Q525:Q526)</f>
        <v>96678</v>
      </c>
      <c r="R524" s="64">
        <f t="shared" ref="R524:AI524" si="383">SUM(R525:R526)</f>
        <v>53829</v>
      </c>
      <c r="S524" s="64">
        <f t="shared" si="383"/>
        <v>93464</v>
      </c>
      <c r="T524" s="64">
        <f t="shared" si="383"/>
        <v>108916</v>
      </c>
      <c r="U524" s="64">
        <f t="shared" si="383"/>
        <v>119758</v>
      </c>
      <c r="V524" s="64">
        <f t="shared" si="383"/>
        <v>124059</v>
      </c>
      <c r="W524" s="64">
        <f t="shared" si="383"/>
        <v>137207</v>
      </c>
      <c r="X524" s="64">
        <f t="shared" si="383"/>
        <v>118363</v>
      </c>
      <c r="Y524" s="64">
        <f t="shared" si="383"/>
        <v>114960</v>
      </c>
      <c r="Z524" s="64">
        <f t="shared" si="383"/>
        <v>130656</v>
      </c>
      <c r="AA524" s="64">
        <f t="shared" si="383"/>
        <v>101794</v>
      </c>
      <c r="AB524" s="64">
        <f t="shared" si="383"/>
        <v>163520</v>
      </c>
      <c r="AC524" s="64">
        <f t="shared" si="383"/>
        <v>243971</v>
      </c>
      <c r="AD524" s="64">
        <f t="shared" si="383"/>
        <v>352733</v>
      </c>
      <c r="AE524" s="64">
        <f t="shared" si="383"/>
        <v>370530</v>
      </c>
      <c r="AF524" s="64">
        <f t="shared" si="383"/>
        <v>395970</v>
      </c>
      <c r="AG524" s="64">
        <f t="shared" si="383"/>
        <v>596704</v>
      </c>
      <c r="AH524" s="64">
        <f t="shared" si="383"/>
        <v>766500</v>
      </c>
      <c r="AI524" s="64">
        <f t="shared" si="383"/>
        <v>1363204</v>
      </c>
    </row>
    <row r="525" spans="1:36">
      <c r="A525" s="990">
        <v>478</v>
      </c>
      <c r="B525" s="990">
        <v>1</v>
      </c>
      <c r="C525" s="990">
        <v>525</v>
      </c>
      <c r="E525" s="1243">
        <v>1</v>
      </c>
      <c r="I525" s="79"/>
      <c r="J525" s="78"/>
      <c r="K525" s="74"/>
      <c r="L525" s="74"/>
      <c r="P525" s="110" t="s">
        <v>1081</v>
      </c>
      <c r="Q525" s="2782">
        <f>84098+12580</f>
        <v>96678</v>
      </c>
      <c r="R525" s="2042">
        <f>40302+13527</f>
        <v>53829</v>
      </c>
      <c r="S525" s="2042">
        <f>80408+13056</f>
        <v>93464</v>
      </c>
      <c r="T525" s="2042">
        <f>95844+13072</f>
        <v>108916</v>
      </c>
      <c r="U525" s="2042">
        <f>104723+15035</f>
        <v>119758</v>
      </c>
      <c r="V525" s="2042">
        <f>111800+12259</f>
        <v>124059</v>
      </c>
      <c r="W525" s="2042">
        <f>123061+14146</f>
        <v>137207</v>
      </c>
      <c r="X525" s="2042">
        <f>104484+13879</f>
        <v>118363</v>
      </c>
      <c r="Y525" s="2042">
        <f>124064+13996-23100</f>
        <v>114960</v>
      </c>
      <c r="Z525" s="2042">
        <f>117101+13555</f>
        <v>130656</v>
      </c>
      <c r="AA525" s="2042">
        <f>87046+14748</f>
        <v>101794</v>
      </c>
      <c r="AB525" s="2042">
        <f>143152+20368</f>
        <v>163520</v>
      </c>
      <c r="AC525" s="109">
        <f>SUM(Q525,R525,S525)</f>
        <v>243971</v>
      </c>
      <c r="AD525" s="109">
        <f>SUM(T525,U525,V525)</f>
        <v>352733</v>
      </c>
      <c r="AE525" s="109">
        <f>SUM(W525,X525,Y525)</f>
        <v>370530</v>
      </c>
      <c r="AF525" s="109">
        <f>SUM(Z525,AA525,AB525)</f>
        <v>395970</v>
      </c>
      <c r="AG525" s="109">
        <f>AC525+AD525</f>
        <v>596704</v>
      </c>
      <c r="AH525" s="109">
        <f>AF525+AE525</f>
        <v>766500</v>
      </c>
      <c r="AI525" s="109">
        <f>AG525+AH525</f>
        <v>1363204</v>
      </c>
    </row>
    <row r="526" spans="1:36">
      <c r="A526" s="990">
        <v>479</v>
      </c>
      <c r="B526" s="990">
        <v>1</v>
      </c>
      <c r="C526" s="990">
        <v>526</v>
      </c>
      <c r="E526" s="1243">
        <v>1</v>
      </c>
      <c r="I526" s="79"/>
      <c r="J526" s="78"/>
      <c r="K526" s="74"/>
      <c r="L526" s="74"/>
      <c r="N526" s="363"/>
      <c r="O526" s="363"/>
      <c r="P526" s="364" t="s">
        <v>1082</v>
      </c>
      <c r="Q526" s="2786"/>
      <c r="R526" s="2052"/>
      <c r="S526" s="2052"/>
      <c r="T526" s="2052"/>
      <c r="U526" s="2052"/>
      <c r="V526" s="2052"/>
      <c r="W526" s="2052"/>
      <c r="X526" s="2052"/>
      <c r="Y526" s="2052"/>
      <c r="Z526" s="2052"/>
      <c r="AA526" s="2052"/>
      <c r="AB526" s="2052"/>
      <c r="AC526" s="365">
        <f>SUM(Q526,R526,S526)</f>
        <v>0</v>
      </c>
      <c r="AD526" s="365">
        <f>SUM(T526,U526,V526)</f>
        <v>0</v>
      </c>
      <c r="AE526" s="365">
        <f>SUM(W526,X526,Y526)</f>
        <v>0</v>
      </c>
      <c r="AF526" s="365">
        <f>SUM(Z526,AA526,AB526)</f>
        <v>0</v>
      </c>
      <c r="AG526" s="365">
        <f>AC526+AD526</f>
        <v>0</v>
      </c>
      <c r="AH526" s="365">
        <f>AF526+AE526</f>
        <v>0</v>
      </c>
      <c r="AI526" s="365">
        <f>AG526+AH526</f>
        <v>0</v>
      </c>
    </row>
    <row r="527" spans="1:36">
      <c r="A527" s="990">
        <v>480</v>
      </c>
      <c r="B527" s="990">
        <v>1</v>
      </c>
      <c r="C527" s="990">
        <v>527</v>
      </c>
      <c r="E527" s="1243">
        <v>1</v>
      </c>
      <c r="I527" s="79"/>
      <c r="J527" s="78"/>
      <c r="K527" s="74"/>
      <c r="L527" s="74"/>
      <c r="N527" s="366" t="s">
        <v>146</v>
      </c>
      <c r="Q527" s="2036"/>
      <c r="R527" s="2036"/>
      <c r="S527" s="2036"/>
      <c r="T527" s="2036"/>
      <c r="U527" s="2036"/>
      <c r="V527" s="2036"/>
      <c r="W527" s="2036"/>
      <c r="X527" s="2036"/>
      <c r="Y527" s="2036"/>
      <c r="Z527" s="2036"/>
      <c r="AA527" s="2036"/>
      <c r="AB527" s="2036"/>
      <c r="AC527" s="19">
        <f>SUM(Q527,R527,S527)</f>
        <v>0</v>
      </c>
      <c r="AD527" s="19">
        <f>SUM(T527,U527,V527)</f>
        <v>0</v>
      </c>
      <c r="AE527" s="19">
        <f>SUM(W527,X527,Y527)</f>
        <v>0</v>
      </c>
      <c r="AF527" s="19">
        <f>SUM(Z527,AA527,AB527)</f>
        <v>0</v>
      </c>
      <c r="AG527" s="19">
        <f>AC527+AD527</f>
        <v>0</v>
      </c>
      <c r="AH527" s="19">
        <f>AF527+AE527</f>
        <v>0</v>
      </c>
      <c r="AI527" s="19">
        <f>AG527+AH527</f>
        <v>0</v>
      </c>
    </row>
    <row r="528" spans="1:36">
      <c r="A528" s="990">
        <v>481</v>
      </c>
      <c r="B528" s="990">
        <v>1</v>
      </c>
      <c r="C528" s="990">
        <v>528</v>
      </c>
      <c r="E528" s="1243">
        <v>1</v>
      </c>
      <c r="I528" s="79"/>
      <c r="J528" s="78"/>
      <c r="K528" s="74"/>
      <c r="L528" s="74"/>
      <c r="M528" s="273"/>
      <c r="N528" s="370" t="s">
        <v>1094</v>
      </c>
      <c r="O528" s="370"/>
      <c r="P528" s="370"/>
      <c r="Q528" s="361">
        <f t="shared" ref="Q528:AI528" si="384">SUM(Q529:Q531)</f>
        <v>-12279</v>
      </c>
      <c r="R528" s="361">
        <f t="shared" si="384"/>
        <v>-13226</v>
      </c>
      <c r="S528" s="361">
        <f t="shared" si="384"/>
        <v>-12755</v>
      </c>
      <c r="T528" s="361">
        <f t="shared" si="384"/>
        <v>-12826</v>
      </c>
      <c r="U528" s="361">
        <f t="shared" si="384"/>
        <v>-14789</v>
      </c>
      <c r="V528" s="361">
        <f t="shared" si="384"/>
        <v>-11963</v>
      </c>
      <c r="W528" s="361">
        <f t="shared" si="384"/>
        <v>-13845</v>
      </c>
      <c r="X528" s="361">
        <f t="shared" si="384"/>
        <v>-13578</v>
      </c>
      <c r="Y528" s="361">
        <f t="shared" si="384"/>
        <v>-13503</v>
      </c>
      <c r="Z528" s="361">
        <f t="shared" si="384"/>
        <v>-13254</v>
      </c>
      <c r="AA528" s="361">
        <f t="shared" si="384"/>
        <v>-14474</v>
      </c>
      <c r="AB528" s="361">
        <f t="shared" si="384"/>
        <v>-20308</v>
      </c>
      <c r="AC528" s="361">
        <f t="shared" si="384"/>
        <v>-38260</v>
      </c>
      <c r="AD528" s="361">
        <f t="shared" si="384"/>
        <v>-39578</v>
      </c>
      <c r="AE528" s="361">
        <f t="shared" si="384"/>
        <v>-40926</v>
      </c>
      <c r="AF528" s="361">
        <f t="shared" si="384"/>
        <v>-48036</v>
      </c>
      <c r="AG528" s="361">
        <f t="shared" si="384"/>
        <v>-77838</v>
      </c>
      <c r="AH528" s="361">
        <f t="shared" si="384"/>
        <v>-88962</v>
      </c>
      <c r="AI528" s="361">
        <f t="shared" si="384"/>
        <v>-166800</v>
      </c>
    </row>
    <row r="529" spans="1:35">
      <c r="A529" s="990">
        <v>482</v>
      </c>
      <c r="B529" s="990">
        <v>1</v>
      </c>
      <c r="C529" s="990">
        <v>529</v>
      </c>
      <c r="E529" s="1243">
        <v>1</v>
      </c>
      <c r="I529" s="79"/>
      <c r="J529" s="78"/>
      <c r="K529" s="74"/>
      <c r="L529" s="74"/>
      <c r="M529" s="273"/>
      <c r="N529" s="371"/>
      <c r="O529" s="371"/>
      <c r="P529" s="382" t="s">
        <v>391</v>
      </c>
      <c r="Q529" s="2042">
        <v>-12264</v>
      </c>
      <c r="R529" s="2042">
        <v>-12618</v>
      </c>
      <c r="S529" s="2042">
        <v>-12253</v>
      </c>
      <c r="T529" s="2042">
        <v>-12438</v>
      </c>
      <c r="U529" s="2042">
        <v>-12438</v>
      </c>
      <c r="V529" s="2042">
        <v>-10123</v>
      </c>
      <c r="W529" s="2042">
        <v>-11469</v>
      </c>
      <c r="X529" s="2042">
        <v>-11516</v>
      </c>
      <c r="Y529" s="2042">
        <v>-11400</v>
      </c>
      <c r="Z529" s="2042">
        <v>-11235</v>
      </c>
      <c r="AA529" s="2042">
        <v>-11453</v>
      </c>
      <c r="AB529" s="2042">
        <v>-11641</v>
      </c>
      <c r="AC529" s="109">
        <f>SUM(Q529,R529,S529)</f>
        <v>-37135</v>
      </c>
      <c r="AD529" s="109">
        <f>SUM(T529,U529,V529)</f>
        <v>-34999</v>
      </c>
      <c r="AE529" s="109">
        <f>SUM(W529,X529,Y529)</f>
        <v>-34385</v>
      </c>
      <c r="AF529" s="109">
        <f>SUM(Z529,AA529,AB529)</f>
        <v>-34329</v>
      </c>
      <c r="AG529" s="109">
        <f>AC529+AD529</f>
        <v>-72134</v>
      </c>
      <c r="AH529" s="109">
        <f>AF529+AE529</f>
        <v>-68714</v>
      </c>
      <c r="AI529" s="109">
        <f>AG529+AH529</f>
        <v>-140848</v>
      </c>
    </row>
    <row r="530" spans="1:35">
      <c r="A530" s="990">
        <v>483</v>
      </c>
      <c r="B530" s="990">
        <v>1</v>
      </c>
      <c r="C530" s="990">
        <v>530</v>
      </c>
      <c r="E530" s="1243">
        <v>1</v>
      </c>
      <c r="I530" s="79"/>
      <c r="J530" s="78"/>
      <c r="K530" s="74"/>
      <c r="L530" s="74"/>
      <c r="M530" s="273"/>
      <c r="N530" s="299"/>
      <c r="O530" s="299"/>
      <c r="P530" s="400" t="s">
        <v>1086</v>
      </c>
      <c r="Q530" s="2036">
        <v>-15</v>
      </c>
      <c r="R530" s="2036">
        <v>-608</v>
      </c>
      <c r="S530" s="2036">
        <v>-502</v>
      </c>
      <c r="T530" s="2036">
        <v>-388</v>
      </c>
      <c r="U530" s="2036">
        <v>-2351</v>
      </c>
      <c r="V530" s="2036">
        <v>-1840</v>
      </c>
      <c r="W530" s="2036">
        <v>-2376</v>
      </c>
      <c r="X530" s="2036">
        <v>-2062</v>
      </c>
      <c r="Y530" s="2036">
        <v>-2103</v>
      </c>
      <c r="Z530" s="2036">
        <v>-2019</v>
      </c>
      <c r="AA530" s="2036">
        <v>-3021</v>
      </c>
      <c r="AB530" s="2036">
        <v>-8667</v>
      </c>
      <c r="AC530" s="19">
        <f>SUM(Q530,R530,S530)</f>
        <v>-1125</v>
      </c>
      <c r="AD530" s="19">
        <f>SUM(T530,U530,V530)</f>
        <v>-4579</v>
      </c>
      <c r="AE530" s="19">
        <f>SUM(W530,X530,Y530)</f>
        <v>-6541</v>
      </c>
      <c r="AF530" s="19">
        <f>SUM(Z530,AA530,AB530)</f>
        <v>-13707</v>
      </c>
      <c r="AG530" s="19">
        <f>AC530+AD530</f>
        <v>-5704</v>
      </c>
      <c r="AH530" s="19">
        <f>AF530+AE530</f>
        <v>-20248</v>
      </c>
      <c r="AI530" s="19">
        <f>AG530+AH530</f>
        <v>-25952</v>
      </c>
    </row>
    <row r="531" spans="1:35">
      <c r="A531" s="990">
        <v>484</v>
      </c>
      <c r="B531" s="990">
        <v>1</v>
      </c>
      <c r="C531" s="990">
        <v>531</v>
      </c>
      <c r="E531" s="1243">
        <v>1</v>
      </c>
      <c r="I531" s="79"/>
      <c r="J531" s="78"/>
      <c r="K531" s="74"/>
      <c r="L531" s="74"/>
      <c r="M531" s="273"/>
      <c r="N531" s="299"/>
      <c r="O531" s="299"/>
      <c r="P531" s="88" t="s">
        <v>393</v>
      </c>
      <c r="Q531" s="2037"/>
      <c r="R531" s="2037"/>
      <c r="S531" s="2037"/>
      <c r="T531" s="2037"/>
      <c r="U531" s="2037"/>
      <c r="V531" s="2037"/>
      <c r="W531" s="2037"/>
      <c r="X531" s="2037"/>
      <c r="Y531" s="2037"/>
      <c r="Z531" s="2037"/>
      <c r="AA531" s="2037"/>
      <c r="AB531" s="2037"/>
      <c r="AC531" s="17">
        <f>SUM(Q531,R531,S531)</f>
        <v>0</v>
      </c>
      <c r="AD531" s="17">
        <f>SUM(T531,U531,V531)</f>
        <v>0</v>
      </c>
      <c r="AE531" s="17">
        <f>SUM(W531,X531,Y531)</f>
        <v>0</v>
      </c>
      <c r="AF531" s="17">
        <f>SUM(Z531,AA531,AB531)</f>
        <v>0</v>
      </c>
      <c r="AG531" s="17">
        <f>AC531+AD531</f>
        <v>0</v>
      </c>
      <c r="AH531" s="17">
        <f>AF531+AE531</f>
        <v>0</v>
      </c>
      <c r="AI531" s="17">
        <f>AG531+AH531</f>
        <v>0</v>
      </c>
    </row>
    <row r="532" spans="1:35">
      <c r="A532" s="990">
        <v>485</v>
      </c>
      <c r="B532" s="990">
        <v>1</v>
      </c>
      <c r="C532" s="990">
        <v>532</v>
      </c>
      <c r="E532" s="1243">
        <v>1</v>
      </c>
      <c r="I532" s="79"/>
      <c r="J532" s="78"/>
      <c r="K532" s="74"/>
      <c r="L532" s="74"/>
      <c r="M532" s="273"/>
      <c r="N532" s="370" t="s">
        <v>1095</v>
      </c>
      <c r="O532" s="370"/>
      <c r="P532" s="370"/>
      <c r="Q532" s="361">
        <f t="shared" ref="Q532:AI532" si="385">SUM(Q533:Q534)</f>
        <v>-301</v>
      </c>
      <c r="R532" s="361">
        <f t="shared" si="385"/>
        <v>-301</v>
      </c>
      <c r="S532" s="361">
        <f t="shared" si="385"/>
        <v>-301</v>
      </c>
      <c r="T532" s="361">
        <f t="shared" si="385"/>
        <v>-246</v>
      </c>
      <c r="U532" s="361">
        <f t="shared" si="385"/>
        <v>-246</v>
      </c>
      <c r="V532" s="361">
        <f t="shared" si="385"/>
        <v>-296</v>
      </c>
      <c r="W532" s="361">
        <f t="shared" si="385"/>
        <v>-301</v>
      </c>
      <c r="X532" s="361">
        <f t="shared" si="385"/>
        <v>-301</v>
      </c>
      <c r="Y532" s="361">
        <f t="shared" si="385"/>
        <v>-493</v>
      </c>
      <c r="Z532" s="361">
        <f t="shared" si="385"/>
        <v>-301</v>
      </c>
      <c r="AA532" s="361">
        <f t="shared" si="385"/>
        <v>-274</v>
      </c>
      <c r="AB532" s="361">
        <f t="shared" si="385"/>
        <v>-60</v>
      </c>
      <c r="AC532" s="361">
        <f t="shared" si="385"/>
        <v>-903</v>
      </c>
      <c r="AD532" s="361">
        <f t="shared" si="385"/>
        <v>-788</v>
      </c>
      <c r="AE532" s="361">
        <f t="shared" si="385"/>
        <v>-1095</v>
      </c>
      <c r="AF532" s="361">
        <f t="shared" si="385"/>
        <v>-635</v>
      </c>
      <c r="AG532" s="361">
        <f t="shared" si="385"/>
        <v>-1691</v>
      </c>
      <c r="AH532" s="361">
        <f t="shared" si="385"/>
        <v>-1730</v>
      </c>
      <c r="AI532" s="361">
        <f t="shared" si="385"/>
        <v>-3421</v>
      </c>
    </row>
    <row r="533" spans="1:35">
      <c r="A533" s="990">
        <v>486</v>
      </c>
      <c r="B533" s="990">
        <v>1</v>
      </c>
      <c r="C533" s="990">
        <v>533</v>
      </c>
      <c r="E533" s="1243">
        <v>1</v>
      </c>
      <c r="I533" s="79"/>
      <c r="J533" s="78"/>
      <c r="K533" s="74"/>
      <c r="L533" s="74"/>
      <c r="M533" s="273"/>
      <c r="N533" s="372"/>
      <c r="O533" s="371"/>
      <c r="P533" s="371" t="s">
        <v>391</v>
      </c>
      <c r="Q533" s="2042">
        <v>-301</v>
      </c>
      <c r="R533" s="2042">
        <v>-301</v>
      </c>
      <c r="S533" s="2042">
        <v>-301</v>
      </c>
      <c r="T533" s="2042">
        <v>-246</v>
      </c>
      <c r="U533" s="2042">
        <v>-246</v>
      </c>
      <c r="V533" s="2042">
        <v>-296</v>
      </c>
      <c r="W533" s="2042">
        <v>-301</v>
      </c>
      <c r="X533" s="2042">
        <v>-301</v>
      </c>
      <c r="Y533" s="2042">
        <v>-493</v>
      </c>
      <c r="Z533" s="2042">
        <v>-301</v>
      </c>
      <c r="AA533" s="2042">
        <v>-274</v>
      </c>
      <c r="AB533" s="2042">
        <v>-60</v>
      </c>
      <c r="AC533" s="109">
        <f>SUM(Q533,R533,S533)</f>
        <v>-903</v>
      </c>
      <c r="AD533" s="109">
        <f>SUM(T533,U533,V533)</f>
        <v>-788</v>
      </c>
      <c r="AE533" s="109">
        <f>SUM(W533,X533,Y533)</f>
        <v>-1095</v>
      </c>
      <c r="AF533" s="109">
        <f>SUM(Z533,AA533,AB533)</f>
        <v>-635</v>
      </c>
      <c r="AG533" s="109">
        <f>AC533+AD533</f>
        <v>-1691</v>
      </c>
      <c r="AH533" s="109">
        <f>AF533+AE533</f>
        <v>-1730</v>
      </c>
      <c r="AI533" s="109">
        <f>AG533+AH533</f>
        <v>-3421</v>
      </c>
    </row>
    <row r="534" spans="1:35">
      <c r="A534" s="990">
        <v>487</v>
      </c>
      <c r="B534" s="990">
        <v>1</v>
      </c>
      <c r="C534" s="990">
        <v>534</v>
      </c>
      <c r="E534" s="1243">
        <v>1</v>
      </c>
      <c r="I534" s="79"/>
      <c r="J534" s="78"/>
      <c r="K534" s="74"/>
      <c r="L534" s="74"/>
      <c r="M534" s="273"/>
      <c r="N534" s="300"/>
      <c r="O534" s="298"/>
      <c r="P534" s="298" t="s">
        <v>393</v>
      </c>
      <c r="Q534" s="2037"/>
      <c r="R534" s="2037"/>
      <c r="S534" s="2037"/>
      <c r="T534" s="2037"/>
      <c r="U534" s="2037"/>
      <c r="V534" s="2037"/>
      <c r="W534" s="2037"/>
      <c r="X534" s="2037"/>
      <c r="Y534" s="2037"/>
      <c r="Z534" s="2037"/>
      <c r="AA534" s="2037"/>
      <c r="AB534" s="2037"/>
      <c r="AC534" s="17">
        <f>SUM(Q534,R534,S534)</f>
        <v>0</v>
      </c>
      <c r="AD534" s="17">
        <f>SUM(T534,U534,V534)</f>
        <v>0</v>
      </c>
      <c r="AE534" s="17">
        <f>SUM(W534,X534,Y534)</f>
        <v>0</v>
      </c>
      <c r="AF534" s="17">
        <f>SUM(Z534,AA534,AB534)</f>
        <v>0</v>
      </c>
      <c r="AG534" s="17">
        <f>AC534+AD534</f>
        <v>0</v>
      </c>
      <c r="AH534" s="17">
        <f>AF534+AE534</f>
        <v>0</v>
      </c>
      <c r="AI534" s="17">
        <f>AG534+AH534</f>
        <v>0</v>
      </c>
    </row>
    <row r="535" spans="1:35">
      <c r="A535" s="990">
        <v>488</v>
      </c>
      <c r="B535" s="990">
        <v>1</v>
      </c>
      <c r="C535" s="990">
        <v>535</v>
      </c>
      <c r="E535" s="1243">
        <v>1</v>
      </c>
      <c r="I535" s="79"/>
      <c r="J535" s="78"/>
      <c r="K535" s="74"/>
      <c r="L535" s="74"/>
      <c r="M535" s="273"/>
      <c r="N535" s="400" t="s">
        <v>1088</v>
      </c>
      <c r="O535" s="299"/>
      <c r="P535" s="400"/>
      <c r="Q535" s="2036"/>
      <c r="R535" s="2036"/>
      <c r="S535" s="2036"/>
      <c r="T535" s="2036"/>
      <c r="U535" s="2036"/>
      <c r="V535" s="2036"/>
      <c r="W535" s="2036"/>
      <c r="X535" s="2036"/>
      <c r="Y535" s="2036"/>
      <c r="Z535" s="2036"/>
      <c r="AA535" s="2036"/>
      <c r="AB535" s="2036"/>
      <c r="AC535" s="19">
        <f>SUM(Q535,R535,S535)</f>
        <v>0</v>
      </c>
      <c r="AD535" s="19">
        <f>SUM(T535,U535,V535)</f>
        <v>0</v>
      </c>
      <c r="AE535" s="19">
        <f>SUM(W535,X535,Y535)</f>
        <v>0</v>
      </c>
      <c r="AF535" s="19">
        <f>SUM(Z535,AA535,AB535)</f>
        <v>0</v>
      </c>
      <c r="AG535" s="19">
        <f>AC535+AD535</f>
        <v>0</v>
      </c>
      <c r="AH535" s="19">
        <f>AF535+AE535</f>
        <v>0</v>
      </c>
      <c r="AI535" s="19">
        <f>AG535+AH535</f>
        <v>0</v>
      </c>
    </row>
    <row r="536" spans="1:35">
      <c r="A536" s="990">
        <v>489</v>
      </c>
      <c r="B536" s="990">
        <v>1</v>
      </c>
      <c r="C536" s="990">
        <v>536</v>
      </c>
      <c r="E536" s="1243">
        <v>1</v>
      </c>
      <c r="I536" s="79"/>
      <c r="J536" s="78"/>
      <c r="K536" s="74"/>
      <c r="L536" s="74"/>
      <c r="M536" s="596" t="s">
        <v>85</v>
      </c>
      <c r="N536" s="362"/>
      <c r="O536" s="362"/>
      <c r="P536" s="362"/>
      <c r="Q536" s="361">
        <f>SUM(Q537:Q540)</f>
        <v>0</v>
      </c>
      <c r="R536" s="361">
        <f t="shared" ref="R536:AI536" si="386">SUM(R537:R540)</f>
        <v>0</v>
      </c>
      <c r="S536" s="361">
        <f t="shared" si="386"/>
        <v>0</v>
      </c>
      <c r="T536" s="361">
        <f t="shared" si="386"/>
        <v>0</v>
      </c>
      <c r="U536" s="361">
        <f t="shared" si="386"/>
        <v>0</v>
      </c>
      <c r="V536" s="361">
        <f t="shared" si="386"/>
        <v>0</v>
      </c>
      <c r="W536" s="361">
        <f t="shared" si="386"/>
        <v>0</v>
      </c>
      <c r="X536" s="361">
        <f t="shared" si="386"/>
        <v>0</v>
      </c>
      <c r="Y536" s="361">
        <f t="shared" si="386"/>
        <v>0</v>
      </c>
      <c r="Z536" s="361">
        <f t="shared" si="386"/>
        <v>0</v>
      </c>
      <c r="AA536" s="361">
        <f t="shared" si="386"/>
        <v>0</v>
      </c>
      <c r="AB536" s="361">
        <f t="shared" si="386"/>
        <v>0</v>
      </c>
      <c r="AC536" s="361">
        <f t="shared" si="386"/>
        <v>0</v>
      </c>
      <c r="AD536" s="361">
        <f t="shared" si="386"/>
        <v>0</v>
      </c>
      <c r="AE536" s="361">
        <f t="shared" si="386"/>
        <v>0</v>
      </c>
      <c r="AF536" s="361">
        <f t="shared" si="386"/>
        <v>0</v>
      </c>
      <c r="AG536" s="361">
        <f t="shared" si="386"/>
        <v>0</v>
      </c>
      <c r="AH536" s="361">
        <f t="shared" si="386"/>
        <v>0</v>
      </c>
      <c r="AI536" s="361">
        <f t="shared" si="386"/>
        <v>0</v>
      </c>
    </row>
    <row r="537" spans="1:35">
      <c r="A537" s="990">
        <v>490</v>
      </c>
      <c r="B537" s="990">
        <v>1</v>
      </c>
      <c r="C537" s="990">
        <v>537</v>
      </c>
      <c r="E537" s="1243">
        <v>1</v>
      </c>
      <c r="I537" s="79"/>
      <c r="J537" s="78"/>
      <c r="K537" s="74"/>
      <c r="L537" s="74"/>
      <c r="N537" s="111"/>
      <c r="O537" s="111"/>
      <c r="P537" s="111" t="s">
        <v>30</v>
      </c>
      <c r="Q537" s="2042"/>
      <c r="R537" s="2042"/>
      <c r="S537" s="2042"/>
      <c r="T537" s="2042"/>
      <c r="U537" s="2042"/>
      <c r="V537" s="2042"/>
      <c r="W537" s="2042"/>
      <c r="X537" s="2042"/>
      <c r="Y537" s="2042"/>
      <c r="Z537" s="2042"/>
      <c r="AA537" s="2042"/>
      <c r="AB537" s="2042"/>
      <c r="AC537" s="109">
        <f>SUM(Q537,R537,S537)</f>
        <v>0</v>
      </c>
      <c r="AD537" s="109">
        <f>SUM(T537,U537,V537)</f>
        <v>0</v>
      </c>
      <c r="AE537" s="109">
        <f>SUM(W537,X537,Y537)</f>
        <v>0</v>
      </c>
      <c r="AF537" s="109">
        <f>SUM(Z537,AA537,AB537)</f>
        <v>0</v>
      </c>
      <c r="AG537" s="109">
        <f>AC537+AD537</f>
        <v>0</v>
      </c>
      <c r="AH537" s="109">
        <f>AF537+AE537</f>
        <v>0</v>
      </c>
      <c r="AI537" s="109">
        <f>AG537+AH537</f>
        <v>0</v>
      </c>
    </row>
    <row r="538" spans="1:35">
      <c r="A538" s="990">
        <v>491</v>
      </c>
      <c r="B538" s="990">
        <v>1</v>
      </c>
      <c r="C538" s="990">
        <v>538</v>
      </c>
      <c r="E538" s="1243">
        <v>1</v>
      </c>
      <c r="I538" s="79"/>
      <c r="J538" s="78"/>
      <c r="K538" s="74"/>
      <c r="L538" s="74"/>
      <c r="P538" s="9" t="s">
        <v>1092</v>
      </c>
      <c r="Q538" s="2036"/>
      <c r="R538" s="2036"/>
      <c r="S538" s="2036"/>
      <c r="T538" s="2036"/>
      <c r="U538" s="2036"/>
      <c r="V538" s="2036"/>
      <c r="W538" s="2036"/>
      <c r="X538" s="2036"/>
      <c r="Y538" s="2036"/>
      <c r="Z538" s="2036"/>
      <c r="AA538" s="2036"/>
      <c r="AB538" s="2036"/>
      <c r="AC538" s="19">
        <f>SUM(Q538,R538,S538)</f>
        <v>0</v>
      </c>
      <c r="AD538" s="19">
        <f>SUM(T538,U538,V538)</f>
        <v>0</v>
      </c>
      <c r="AE538" s="19">
        <f>SUM(W538,X538,Y538)</f>
        <v>0</v>
      </c>
      <c r="AF538" s="19">
        <f>SUM(Z538,AA538,AB538)</f>
        <v>0</v>
      </c>
      <c r="AG538" s="19">
        <f>AC538+AD538</f>
        <v>0</v>
      </c>
      <c r="AH538" s="19">
        <f>AF538+AE538</f>
        <v>0</v>
      </c>
      <c r="AI538" s="19">
        <f>AG538+AH538</f>
        <v>0</v>
      </c>
    </row>
    <row r="539" spans="1:35">
      <c r="A539" s="990">
        <v>492</v>
      </c>
      <c r="B539" s="990">
        <v>1</v>
      </c>
      <c r="C539" s="990">
        <v>539</v>
      </c>
      <c r="E539" s="1243">
        <v>1</v>
      </c>
      <c r="I539" s="79"/>
      <c r="J539" s="78"/>
      <c r="K539" s="74"/>
      <c r="L539" s="74"/>
      <c r="P539" s="9" t="s">
        <v>1093</v>
      </c>
      <c r="Q539" s="2036"/>
      <c r="R539" s="2036"/>
      <c r="S539" s="2036"/>
      <c r="T539" s="2036"/>
      <c r="U539" s="2036"/>
      <c r="V539" s="2036"/>
      <c r="W539" s="2036"/>
      <c r="X539" s="2036"/>
      <c r="Y539" s="2036"/>
      <c r="Z539" s="2036"/>
      <c r="AA539" s="2036"/>
      <c r="AB539" s="2036"/>
      <c r="AC539" s="19">
        <f>SUM(Q539,R539,S539)</f>
        <v>0</v>
      </c>
      <c r="AD539" s="19">
        <f>SUM(T539,U539,V539)</f>
        <v>0</v>
      </c>
      <c r="AE539" s="19">
        <f>SUM(W539,X539,Y539)</f>
        <v>0</v>
      </c>
      <c r="AF539" s="19">
        <f>SUM(Z539,AA539,AB539)</f>
        <v>0</v>
      </c>
      <c r="AG539" s="19">
        <f>AC539+AD539</f>
        <v>0</v>
      </c>
      <c r="AH539" s="19">
        <f>AF539+AE539</f>
        <v>0</v>
      </c>
      <c r="AI539" s="19">
        <f>AG539+AH539</f>
        <v>0</v>
      </c>
    </row>
    <row r="540" spans="1:35">
      <c r="A540" s="990">
        <v>493</v>
      </c>
      <c r="B540" s="990">
        <v>1</v>
      </c>
      <c r="C540" s="990">
        <v>540</v>
      </c>
      <c r="E540" s="1243">
        <v>1</v>
      </c>
      <c r="I540" s="79"/>
      <c r="J540" s="78"/>
      <c r="K540" s="74"/>
      <c r="L540" s="74"/>
      <c r="M540" s="12"/>
      <c r="N540" s="12"/>
      <c r="O540" s="12"/>
      <c r="P540" s="12" t="s">
        <v>11</v>
      </c>
      <c r="Q540" s="2037"/>
      <c r="R540" s="2037"/>
      <c r="S540" s="2037"/>
      <c r="T540" s="2037"/>
      <c r="U540" s="2037"/>
      <c r="V540" s="2037"/>
      <c r="W540" s="2037"/>
      <c r="X540" s="2037"/>
      <c r="Y540" s="2037"/>
      <c r="Z540" s="2037"/>
      <c r="AA540" s="2037"/>
      <c r="AB540" s="2037"/>
      <c r="AC540" s="17">
        <f>SUM(Q540,R540,S540)</f>
        <v>0</v>
      </c>
      <c r="AD540" s="17">
        <f>SUM(T540,U540,V540)</f>
        <v>0</v>
      </c>
      <c r="AE540" s="17">
        <f>SUM(W540,X540,Y540)</f>
        <v>0</v>
      </c>
      <c r="AF540" s="17">
        <f>SUM(Z540,AA540,AB540)</f>
        <v>0</v>
      </c>
      <c r="AG540" s="17">
        <f>AC540+AD540</f>
        <v>0</v>
      </c>
      <c r="AH540" s="17">
        <f>AF540+AE540</f>
        <v>0</v>
      </c>
      <c r="AI540" s="17">
        <f>AG540+AH540</f>
        <v>0</v>
      </c>
    </row>
    <row r="541" spans="1:35">
      <c r="A541" s="990">
        <v>494</v>
      </c>
      <c r="B541" s="990">
        <v>1</v>
      </c>
      <c r="C541" s="990">
        <v>541</v>
      </c>
      <c r="E541" s="1243">
        <v>1</v>
      </c>
      <c r="I541" s="79"/>
      <c r="J541" s="78"/>
      <c r="K541" s="74"/>
      <c r="L541" s="74"/>
      <c r="M541" s="9" t="s">
        <v>11</v>
      </c>
      <c r="Q541" s="2036"/>
      <c r="R541" s="2036"/>
      <c r="S541" s="2036"/>
      <c r="T541" s="2036"/>
      <c r="U541" s="2036"/>
      <c r="V541" s="2036"/>
      <c r="W541" s="2036"/>
      <c r="X541" s="2036"/>
      <c r="Y541" s="2036"/>
      <c r="Z541" s="2036"/>
      <c r="AA541" s="2036"/>
      <c r="AB541" s="2036"/>
      <c r="AC541" s="19">
        <f>SUM(Q541,R541,S541)</f>
        <v>0</v>
      </c>
      <c r="AD541" s="19">
        <f>SUM(T541,U541,V541)</f>
        <v>0</v>
      </c>
      <c r="AE541" s="19">
        <f>SUM(W541,X541,Y541)</f>
        <v>0</v>
      </c>
      <c r="AF541" s="19">
        <f>SUM(Z541,AA541,AB541)</f>
        <v>0</v>
      </c>
      <c r="AG541" s="19">
        <f>AC541+AD541</f>
        <v>0</v>
      </c>
      <c r="AH541" s="19">
        <f>AF541+AE541</f>
        <v>0</v>
      </c>
      <c r="AI541" s="19">
        <f>AG541+AH541</f>
        <v>0</v>
      </c>
    </row>
    <row r="542" spans="1:35">
      <c r="A542" s="990">
        <v>495</v>
      </c>
      <c r="B542" s="990">
        <v>1</v>
      </c>
      <c r="C542" s="990">
        <v>542</v>
      </c>
      <c r="E542" s="1243">
        <v>1</v>
      </c>
      <c r="I542" s="79"/>
      <c r="J542" s="78"/>
      <c r="K542" s="794" t="s">
        <v>1023</v>
      </c>
      <c r="L542" s="794"/>
      <c r="M542" s="610"/>
      <c r="N542" s="610"/>
      <c r="O542" s="610"/>
      <c r="P542" s="610"/>
      <c r="Q542" s="2056">
        <f t="shared" ref="Q542:AI542" si="387">+Q543+Q546+Q559+Q564</f>
        <v>16062</v>
      </c>
      <c r="R542" s="2056">
        <f t="shared" si="387"/>
        <v>6883</v>
      </c>
      <c r="S542" s="2056">
        <f t="shared" si="387"/>
        <v>13787</v>
      </c>
      <c r="T542" s="2056">
        <f t="shared" si="387"/>
        <v>6860</v>
      </c>
      <c r="U542" s="2056">
        <f t="shared" si="387"/>
        <v>13383</v>
      </c>
      <c r="V542" s="2056">
        <f t="shared" si="387"/>
        <v>17027</v>
      </c>
      <c r="W542" s="2056">
        <f t="shared" si="387"/>
        <v>18415</v>
      </c>
      <c r="X542" s="2056">
        <f t="shared" si="387"/>
        <v>16569</v>
      </c>
      <c r="Y542" s="2056">
        <f t="shared" si="387"/>
        <v>17136</v>
      </c>
      <c r="Z542" s="2056">
        <f t="shared" si="387"/>
        <v>13417</v>
      </c>
      <c r="AA542" s="2056">
        <f t="shared" si="387"/>
        <v>9970</v>
      </c>
      <c r="AB542" s="2056">
        <f t="shared" si="387"/>
        <v>11955</v>
      </c>
      <c r="AC542" s="2056">
        <f t="shared" si="387"/>
        <v>36732</v>
      </c>
      <c r="AD542" s="2056">
        <f t="shared" si="387"/>
        <v>37270</v>
      </c>
      <c r="AE542" s="2056">
        <f t="shared" si="387"/>
        <v>52120</v>
      </c>
      <c r="AF542" s="2056">
        <f t="shared" si="387"/>
        <v>35342</v>
      </c>
      <c r="AG542" s="2056">
        <f t="shared" si="387"/>
        <v>74002</v>
      </c>
      <c r="AH542" s="2056">
        <f t="shared" si="387"/>
        <v>87462</v>
      </c>
      <c r="AI542" s="2056">
        <f t="shared" si="387"/>
        <v>161464</v>
      </c>
    </row>
    <row r="543" spans="1:35">
      <c r="A543" s="990">
        <v>496</v>
      </c>
      <c r="B543" s="990">
        <v>1</v>
      </c>
      <c r="C543" s="990">
        <v>543</v>
      </c>
      <c r="E543" s="1243">
        <v>1</v>
      </c>
      <c r="I543" s="79"/>
      <c r="J543" s="78"/>
      <c r="K543" s="69"/>
      <c r="L543" s="69"/>
      <c r="M543" s="9" t="s">
        <v>137</v>
      </c>
      <c r="N543" s="363"/>
      <c r="O543" s="363"/>
      <c r="P543" s="364"/>
      <c r="Q543" s="2781">
        <f>SUM(Q544:Q545)</f>
        <v>610</v>
      </c>
      <c r="R543" s="365">
        <f t="shared" ref="R543:AI543" si="388">SUM(R544:R545)</f>
        <v>237</v>
      </c>
      <c r="S543" s="365">
        <f t="shared" si="388"/>
        <v>5393</v>
      </c>
      <c r="T543" s="365">
        <f t="shared" si="388"/>
        <v>2426</v>
      </c>
      <c r="U543" s="365">
        <f t="shared" si="388"/>
        <v>1855</v>
      </c>
      <c r="V543" s="365">
        <f t="shared" si="388"/>
        <v>8799</v>
      </c>
      <c r="W543" s="365">
        <f t="shared" si="388"/>
        <v>1693</v>
      </c>
      <c r="X543" s="365">
        <f t="shared" si="388"/>
        <v>5482</v>
      </c>
      <c r="Y543" s="365">
        <f t="shared" si="388"/>
        <v>6323</v>
      </c>
      <c r="Z543" s="365">
        <f t="shared" si="388"/>
        <v>2075</v>
      </c>
      <c r="AA543" s="365">
        <f t="shared" si="388"/>
        <v>290</v>
      </c>
      <c r="AB543" s="365">
        <f t="shared" si="388"/>
        <v>1366</v>
      </c>
      <c r="AC543" s="365">
        <f t="shared" si="388"/>
        <v>6240</v>
      </c>
      <c r="AD543" s="365">
        <f t="shared" si="388"/>
        <v>13080</v>
      </c>
      <c r="AE543" s="365">
        <f t="shared" si="388"/>
        <v>13498</v>
      </c>
      <c r="AF543" s="365">
        <f t="shared" si="388"/>
        <v>3731</v>
      </c>
      <c r="AG543" s="365">
        <f t="shared" si="388"/>
        <v>19320</v>
      </c>
      <c r="AH543" s="365">
        <f t="shared" si="388"/>
        <v>17229</v>
      </c>
      <c r="AI543" s="365">
        <f t="shared" si="388"/>
        <v>36549</v>
      </c>
    </row>
    <row r="544" spans="1:35">
      <c r="A544" s="990">
        <v>497</v>
      </c>
      <c r="B544" s="990">
        <v>1</v>
      </c>
      <c r="C544" s="990">
        <v>544</v>
      </c>
      <c r="E544" s="1243">
        <v>1</v>
      </c>
      <c r="I544" s="79"/>
      <c r="J544" s="78"/>
      <c r="K544" s="69"/>
      <c r="L544" s="69"/>
      <c r="N544" s="111" t="s">
        <v>1021</v>
      </c>
      <c r="O544" s="111"/>
      <c r="P544" s="110"/>
      <c r="Q544" s="2782">
        <v>610</v>
      </c>
      <c r="R544" s="2042">
        <v>237</v>
      </c>
      <c r="S544" s="2042">
        <v>5393</v>
      </c>
      <c r="T544" s="2042">
        <v>2426</v>
      </c>
      <c r="U544" s="2042">
        <v>1855</v>
      </c>
      <c r="V544" s="2042">
        <v>8799</v>
      </c>
      <c r="W544" s="2042">
        <v>1693</v>
      </c>
      <c r="X544" s="2042">
        <v>5482</v>
      </c>
      <c r="Y544" s="2042">
        <v>6323</v>
      </c>
      <c r="Z544" s="2042">
        <v>2075</v>
      </c>
      <c r="AA544" s="2042">
        <v>290</v>
      </c>
      <c r="AB544" s="2042">
        <v>1366</v>
      </c>
      <c r="AC544" s="109">
        <f>SUM(Q544,R544,S544)</f>
        <v>6240</v>
      </c>
      <c r="AD544" s="109">
        <f>SUM(T544,U544,V544)</f>
        <v>13080</v>
      </c>
      <c r="AE544" s="109">
        <f>SUM(W544,X544,Y544)</f>
        <v>13498</v>
      </c>
      <c r="AF544" s="109">
        <f>SUM(Z544,AA544,AB544)</f>
        <v>3731</v>
      </c>
      <c r="AG544" s="109">
        <f>AC544+AD544</f>
        <v>19320</v>
      </c>
      <c r="AH544" s="109">
        <f>AF544+AE544</f>
        <v>17229</v>
      </c>
      <c r="AI544" s="109">
        <f>AG544+AH544</f>
        <v>36549</v>
      </c>
    </row>
    <row r="545" spans="1:35">
      <c r="A545" s="990">
        <v>498</v>
      </c>
      <c r="B545" s="990">
        <v>1</v>
      </c>
      <c r="C545" s="990">
        <v>545</v>
      </c>
      <c r="E545" s="1243">
        <v>1</v>
      </c>
      <c r="I545" s="79"/>
      <c r="J545" s="78"/>
      <c r="K545" s="69"/>
      <c r="L545" s="69"/>
      <c r="N545" s="12" t="s">
        <v>146</v>
      </c>
      <c r="O545" s="12"/>
      <c r="P545" s="85"/>
      <c r="Q545" s="2783"/>
      <c r="R545" s="2037"/>
      <c r="S545" s="2037"/>
      <c r="T545" s="2037"/>
      <c r="U545" s="2037"/>
      <c r="V545" s="2037"/>
      <c r="W545" s="2037"/>
      <c r="X545" s="2037"/>
      <c r="Y545" s="2037"/>
      <c r="Z545" s="2037"/>
      <c r="AA545" s="2037"/>
      <c r="AB545" s="2037"/>
      <c r="AC545" s="17">
        <f>SUM(Q545,R545,S545)</f>
        <v>0</v>
      </c>
      <c r="AD545" s="17">
        <f>SUM(T545,U545,V545)</f>
        <v>0</v>
      </c>
      <c r="AE545" s="17">
        <f>SUM(W545,X545,Y545)</f>
        <v>0</v>
      </c>
      <c r="AF545" s="17">
        <f>SUM(Z545,AA545,AB545)</f>
        <v>0</v>
      </c>
      <c r="AG545" s="17">
        <f>AC545+AD545</f>
        <v>0</v>
      </c>
      <c r="AH545" s="17">
        <f>AF545+AE545</f>
        <v>0</v>
      </c>
      <c r="AI545" s="17">
        <f>AG545+AH545</f>
        <v>0</v>
      </c>
    </row>
    <row r="546" spans="1:35">
      <c r="A546" s="990">
        <v>499</v>
      </c>
      <c r="B546" s="990">
        <v>1</v>
      </c>
      <c r="C546" s="990">
        <v>546</v>
      </c>
      <c r="E546" s="1243">
        <v>1</v>
      </c>
      <c r="I546" s="79"/>
      <c r="J546" s="78"/>
      <c r="K546" s="69"/>
      <c r="L546" s="69"/>
      <c r="M546" s="596" t="s">
        <v>95</v>
      </c>
      <c r="N546" s="362"/>
      <c r="O546" s="362"/>
      <c r="P546" s="360"/>
      <c r="Q546" s="2784">
        <f>Q547+Q550+Q551+Q555+Q558</f>
        <v>15452</v>
      </c>
      <c r="R546" s="361">
        <f t="shared" ref="R546:AI546" si="389">R547+R550+R551+R555+R558</f>
        <v>6646</v>
      </c>
      <c r="S546" s="361">
        <f t="shared" si="389"/>
        <v>8394</v>
      </c>
      <c r="T546" s="361">
        <f t="shared" si="389"/>
        <v>4434</v>
      </c>
      <c r="U546" s="361">
        <f t="shared" si="389"/>
        <v>11528</v>
      </c>
      <c r="V546" s="361">
        <f t="shared" si="389"/>
        <v>8228</v>
      </c>
      <c r="W546" s="361">
        <f t="shared" si="389"/>
        <v>16722</v>
      </c>
      <c r="X546" s="361">
        <f t="shared" si="389"/>
        <v>11087</v>
      </c>
      <c r="Y546" s="361">
        <f t="shared" si="389"/>
        <v>10813</v>
      </c>
      <c r="Z546" s="361">
        <f t="shared" si="389"/>
        <v>11342</v>
      </c>
      <c r="AA546" s="361">
        <f t="shared" si="389"/>
        <v>9680</v>
      </c>
      <c r="AB546" s="361">
        <f t="shared" si="389"/>
        <v>10589</v>
      </c>
      <c r="AC546" s="361">
        <f t="shared" si="389"/>
        <v>30492</v>
      </c>
      <c r="AD546" s="361">
        <f t="shared" si="389"/>
        <v>24190</v>
      </c>
      <c r="AE546" s="361">
        <f t="shared" si="389"/>
        <v>38622</v>
      </c>
      <c r="AF546" s="361">
        <f t="shared" si="389"/>
        <v>31611</v>
      </c>
      <c r="AG546" s="361">
        <f t="shared" si="389"/>
        <v>54682</v>
      </c>
      <c r="AH546" s="361">
        <f t="shared" si="389"/>
        <v>70233</v>
      </c>
      <c r="AI546" s="361">
        <f t="shared" si="389"/>
        <v>124915</v>
      </c>
    </row>
    <row r="547" spans="1:35">
      <c r="A547" s="990">
        <v>500</v>
      </c>
      <c r="B547" s="990">
        <v>1</v>
      </c>
      <c r="C547" s="990">
        <v>547</v>
      </c>
      <c r="E547" s="1243">
        <v>1</v>
      </c>
      <c r="I547" s="79"/>
      <c r="J547" s="78"/>
      <c r="K547" s="69"/>
      <c r="L547" s="69"/>
      <c r="N547" s="111" t="s">
        <v>1021</v>
      </c>
      <c r="O547" s="111"/>
      <c r="P547" s="369"/>
      <c r="Q547" s="2785">
        <f>SUM(Q548:Q549)</f>
        <v>15452</v>
      </c>
      <c r="R547" s="64">
        <f t="shared" ref="R547:AI547" si="390">SUM(R548:R549)</f>
        <v>6646</v>
      </c>
      <c r="S547" s="64">
        <f t="shared" si="390"/>
        <v>8394</v>
      </c>
      <c r="T547" s="64">
        <f t="shared" si="390"/>
        <v>4434</v>
      </c>
      <c r="U547" s="64">
        <f t="shared" si="390"/>
        <v>11528</v>
      </c>
      <c r="V547" s="64">
        <f t="shared" si="390"/>
        <v>8228</v>
      </c>
      <c r="W547" s="64">
        <f t="shared" si="390"/>
        <v>16722</v>
      </c>
      <c r="X547" s="64">
        <f t="shared" si="390"/>
        <v>11087</v>
      </c>
      <c r="Y547" s="64">
        <f t="shared" si="390"/>
        <v>10813</v>
      </c>
      <c r="Z547" s="64">
        <f t="shared" si="390"/>
        <v>11342</v>
      </c>
      <c r="AA547" s="64">
        <f t="shared" si="390"/>
        <v>9680</v>
      </c>
      <c r="AB547" s="64">
        <f t="shared" si="390"/>
        <v>10589</v>
      </c>
      <c r="AC547" s="64">
        <f t="shared" si="390"/>
        <v>30492</v>
      </c>
      <c r="AD547" s="64">
        <f t="shared" si="390"/>
        <v>24190</v>
      </c>
      <c r="AE547" s="64">
        <f t="shared" si="390"/>
        <v>38622</v>
      </c>
      <c r="AF547" s="64">
        <f t="shared" si="390"/>
        <v>31611</v>
      </c>
      <c r="AG547" s="64">
        <f t="shared" si="390"/>
        <v>54682</v>
      </c>
      <c r="AH547" s="64">
        <f t="shared" si="390"/>
        <v>70233</v>
      </c>
      <c r="AI547" s="64">
        <f t="shared" si="390"/>
        <v>124915</v>
      </c>
    </row>
    <row r="548" spans="1:35">
      <c r="A548" s="990">
        <v>501</v>
      </c>
      <c r="B548" s="990">
        <v>1</v>
      </c>
      <c r="C548" s="990">
        <v>548</v>
      </c>
      <c r="E548" s="1243">
        <v>1</v>
      </c>
      <c r="I548" s="79"/>
      <c r="J548" s="78"/>
      <c r="K548" s="69"/>
      <c r="L548" s="69"/>
      <c r="P548" s="110" t="s">
        <v>1083</v>
      </c>
      <c r="Q548" s="2782">
        <v>15452</v>
      </c>
      <c r="R548" s="2042">
        <v>6646</v>
      </c>
      <c r="S548" s="2042">
        <v>8394</v>
      </c>
      <c r="T548" s="2042">
        <v>4434</v>
      </c>
      <c r="U548" s="2042">
        <v>11528</v>
      </c>
      <c r="V548" s="2042">
        <v>8228</v>
      </c>
      <c r="W548" s="2042">
        <v>16722</v>
      </c>
      <c r="X548" s="2042">
        <v>11087</v>
      </c>
      <c r="Y548" s="2042">
        <v>10813</v>
      </c>
      <c r="Z548" s="2042">
        <v>11342</v>
      </c>
      <c r="AA548" s="2042">
        <v>9680</v>
      </c>
      <c r="AB548" s="2042">
        <v>10589</v>
      </c>
      <c r="AC548" s="109">
        <f>SUM(Q548,R548,S548)</f>
        <v>30492</v>
      </c>
      <c r="AD548" s="109">
        <f>SUM(T548,U548,V548)</f>
        <v>24190</v>
      </c>
      <c r="AE548" s="109">
        <f>SUM(W548,X548,Y548)</f>
        <v>38622</v>
      </c>
      <c r="AF548" s="109">
        <f>SUM(Z548,AA548,AB548)</f>
        <v>31611</v>
      </c>
      <c r="AG548" s="109">
        <f>AC548+AD548</f>
        <v>54682</v>
      </c>
      <c r="AH548" s="109">
        <f>AF548+AE548</f>
        <v>70233</v>
      </c>
      <c r="AI548" s="109">
        <f>AG548+AH548</f>
        <v>124915</v>
      </c>
    </row>
    <row r="549" spans="1:35">
      <c r="A549" s="990">
        <v>502</v>
      </c>
      <c r="B549" s="990">
        <v>1</v>
      </c>
      <c r="C549" s="990">
        <v>549</v>
      </c>
      <c r="E549" s="1243">
        <v>1</v>
      </c>
      <c r="I549" s="79"/>
      <c r="J549" s="78"/>
      <c r="K549" s="69"/>
      <c r="L549" s="69"/>
      <c r="N549" s="363"/>
      <c r="O549" s="363"/>
      <c r="P549" s="364" t="s">
        <v>1084</v>
      </c>
      <c r="Q549" s="2786"/>
      <c r="R549" s="2052"/>
      <c r="S549" s="2052"/>
      <c r="T549" s="2052"/>
      <c r="U549" s="2052"/>
      <c r="V549" s="2052"/>
      <c r="W549" s="2052"/>
      <c r="X549" s="2052"/>
      <c r="Y549" s="2052"/>
      <c r="Z549" s="2052"/>
      <c r="AA549" s="2052"/>
      <c r="AB549" s="2052"/>
      <c r="AC549" s="365">
        <f>SUM(Q549,R549,S549)</f>
        <v>0</v>
      </c>
      <c r="AD549" s="365">
        <f>SUM(T549,U549,V549)</f>
        <v>0</v>
      </c>
      <c r="AE549" s="365">
        <f>SUM(W549,X549,Y549)</f>
        <v>0</v>
      </c>
      <c r="AF549" s="365">
        <f>SUM(Z549,AA549,AB549)</f>
        <v>0</v>
      </c>
      <c r="AG549" s="365">
        <f>AC549+AD549</f>
        <v>0</v>
      </c>
      <c r="AH549" s="365">
        <f>AF549+AE549</f>
        <v>0</v>
      </c>
      <c r="AI549" s="365">
        <f>AG549+AH549</f>
        <v>0</v>
      </c>
    </row>
    <row r="550" spans="1:35">
      <c r="A550" s="990">
        <v>503</v>
      </c>
      <c r="B550" s="990">
        <v>1</v>
      </c>
      <c r="C550" s="990">
        <v>550</v>
      </c>
      <c r="E550" s="1243">
        <v>1</v>
      </c>
      <c r="I550" s="79"/>
      <c r="J550" s="78"/>
      <c r="K550" s="69"/>
      <c r="L550" s="69"/>
      <c r="N550" s="366" t="s">
        <v>146</v>
      </c>
      <c r="Q550" s="2036"/>
      <c r="R550" s="2036"/>
      <c r="S550" s="2036"/>
      <c r="T550" s="2036"/>
      <c r="U550" s="2036"/>
      <c r="V550" s="2036"/>
      <c r="W550" s="2036"/>
      <c r="X550" s="2036"/>
      <c r="Y550" s="2036"/>
      <c r="Z550" s="2036"/>
      <c r="AA550" s="2036"/>
      <c r="AB550" s="2036"/>
      <c r="AC550" s="19">
        <f>SUM(Q550,R550,S550)</f>
        <v>0</v>
      </c>
      <c r="AD550" s="19">
        <f>SUM(T550,U550,V550)</f>
        <v>0</v>
      </c>
      <c r="AE550" s="19">
        <f>SUM(W550,X550,Y550)</f>
        <v>0</v>
      </c>
      <c r="AF550" s="19">
        <f>SUM(Z550,AA550,AB550)</f>
        <v>0</v>
      </c>
      <c r="AG550" s="19">
        <f>AC550+AD550</f>
        <v>0</v>
      </c>
      <c r="AH550" s="19">
        <f>AF550+AE550</f>
        <v>0</v>
      </c>
      <c r="AI550" s="19">
        <f>AG550+AH550</f>
        <v>0</v>
      </c>
    </row>
    <row r="551" spans="1:35">
      <c r="A551" s="990">
        <v>504</v>
      </c>
      <c r="B551" s="990">
        <v>1</v>
      </c>
      <c r="C551" s="990">
        <v>551</v>
      </c>
      <c r="E551" s="1243">
        <v>1</v>
      </c>
      <c r="I551" s="79"/>
      <c r="J551" s="78"/>
      <c r="K551" s="69"/>
      <c r="L551" s="69"/>
      <c r="M551" s="273"/>
      <c r="N551" s="370" t="s">
        <v>1096</v>
      </c>
      <c r="O551" s="370"/>
      <c r="P551" s="370"/>
      <c r="Q551" s="361">
        <f t="shared" ref="Q551:AI551" si="391">SUM(Q552:Q554)</f>
        <v>0</v>
      </c>
      <c r="R551" s="361">
        <f t="shared" si="391"/>
        <v>0</v>
      </c>
      <c r="S551" s="361">
        <f t="shared" si="391"/>
        <v>0</v>
      </c>
      <c r="T551" s="361">
        <f t="shared" si="391"/>
        <v>0</v>
      </c>
      <c r="U551" s="361">
        <f t="shared" si="391"/>
        <v>0</v>
      </c>
      <c r="V551" s="361">
        <f t="shared" si="391"/>
        <v>0</v>
      </c>
      <c r="W551" s="361">
        <f t="shared" si="391"/>
        <v>0</v>
      </c>
      <c r="X551" s="361">
        <f t="shared" si="391"/>
        <v>0</v>
      </c>
      <c r="Y551" s="361">
        <f t="shared" si="391"/>
        <v>0</v>
      </c>
      <c r="Z551" s="361">
        <f t="shared" si="391"/>
        <v>0</v>
      </c>
      <c r="AA551" s="361">
        <f t="shared" si="391"/>
        <v>0</v>
      </c>
      <c r="AB551" s="361">
        <f t="shared" si="391"/>
        <v>0</v>
      </c>
      <c r="AC551" s="361">
        <f t="shared" si="391"/>
        <v>0</v>
      </c>
      <c r="AD551" s="361">
        <f t="shared" si="391"/>
        <v>0</v>
      </c>
      <c r="AE551" s="361">
        <f t="shared" si="391"/>
        <v>0</v>
      </c>
      <c r="AF551" s="361">
        <f t="shared" si="391"/>
        <v>0</v>
      </c>
      <c r="AG551" s="361">
        <f t="shared" si="391"/>
        <v>0</v>
      </c>
      <c r="AH551" s="361">
        <f t="shared" si="391"/>
        <v>0</v>
      </c>
      <c r="AI551" s="361">
        <f t="shared" si="391"/>
        <v>0</v>
      </c>
    </row>
    <row r="552" spans="1:35">
      <c r="A552" s="990">
        <v>505</v>
      </c>
      <c r="B552" s="990">
        <v>1</v>
      </c>
      <c r="C552" s="990">
        <v>552</v>
      </c>
      <c r="E552" s="1243">
        <v>1</v>
      </c>
      <c r="I552" s="79"/>
      <c r="J552" s="78"/>
      <c r="K552" s="69"/>
      <c r="L552" s="69"/>
      <c r="M552" s="273"/>
      <c r="N552" s="371"/>
      <c r="O552" s="371"/>
      <c r="P552" s="382" t="s">
        <v>391</v>
      </c>
      <c r="Q552" s="2042"/>
      <c r="R552" s="2042"/>
      <c r="S552" s="2042"/>
      <c r="T552" s="2042"/>
      <c r="U552" s="2042"/>
      <c r="V552" s="2042"/>
      <c r="W552" s="2042"/>
      <c r="X552" s="2042"/>
      <c r="Y552" s="2042"/>
      <c r="Z552" s="2042"/>
      <c r="AA552" s="2042"/>
      <c r="AB552" s="2042"/>
      <c r="AC552" s="109">
        <f>SUM(Q552,R552,S552)</f>
        <v>0</v>
      </c>
      <c r="AD552" s="109">
        <f>SUM(T552,U552,V552)</f>
        <v>0</v>
      </c>
      <c r="AE552" s="109">
        <f>SUM(W552,X552,Y552)</f>
        <v>0</v>
      </c>
      <c r="AF552" s="109">
        <f>SUM(Z552,AA552,AB552)</f>
        <v>0</v>
      </c>
      <c r="AG552" s="109">
        <f>AC552+AD552</f>
        <v>0</v>
      </c>
      <c r="AH552" s="109">
        <f>AF552+AE552</f>
        <v>0</v>
      </c>
      <c r="AI552" s="109">
        <f>AG552+AH552</f>
        <v>0</v>
      </c>
    </row>
    <row r="553" spans="1:35">
      <c r="A553" s="990">
        <v>506</v>
      </c>
      <c r="B553" s="990">
        <v>1</v>
      </c>
      <c r="C553" s="990">
        <v>553</v>
      </c>
      <c r="E553" s="1243">
        <v>1</v>
      </c>
      <c r="I553" s="79"/>
      <c r="J553" s="78"/>
      <c r="K553" s="69"/>
      <c r="L553" s="69"/>
      <c r="M553" s="273"/>
      <c r="N553" s="299"/>
      <c r="O553" s="299"/>
      <c r="P553" s="400" t="s">
        <v>1086</v>
      </c>
      <c r="Q553" s="2036"/>
      <c r="R553" s="2036"/>
      <c r="S553" s="2036"/>
      <c r="T553" s="2036"/>
      <c r="U553" s="2036"/>
      <c r="V553" s="2036"/>
      <c r="W553" s="2036"/>
      <c r="X553" s="2036"/>
      <c r="Y553" s="2036"/>
      <c r="Z553" s="2036"/>
      <c r="AA553" s="2036"/>
      <c r="AB553" s="2036"/>
      <c r="AC553" s="19">
        <f>SUM(Q553,R553,S553)</f>
        <v>0</v>
      </c>
      <c r="AD553" s="19">
        <f>SUM(T553,U553,V553)</f>
        <v>0</v>
      </c>
      <c r="AE553" s="19">
        <f>SUM(W553,X553,Y553)</f>
        <v>0</v>
      </c>
      <c r="AF553" s="19">
        <f>SUM(Z553,AA553,AB553)</f>
        <v>0</v>
      </c>
      <c r="AG553" s="19">
        <f>AC553+AD553</f>
        <v>0</v>
      </c>
      <c r="AH553" s="19">
        <f>AF553+AE553</f>
        <v>0</v>
      </c>
      <c r="AI553" s="19">
        <f>AG553+AH553</f>
        <v>0</v>
      </c>
    </row>
    <row r="554" spans="1:35">
      <c r="A554" s="990">
        <v>507</v>
      </c>
      <c r="B554" s="990">
        <v>1</v>
      </c>
      <c r="C554" s="990">
        <v>554</v>
      </c>
      <c r="E554" s="1243">
        <v>1</v>
      </c>
      <c r="I554" s="79"/>
      <c r="J554" s="78"/>
      <c r="K554" s="69"/>
      <c r="L554" s="69"/>
      <c r="M554" s="273"/>
      <c r="N554" s="299"/>
      <c r="O554" s="299"/>
      <c r="P554" s="88" t="s">
        <v>393</v>
      </c>
      <c r="Q554" s="2037"/>
      <c r="R554" s="2037"/>
      <c r="S554" s="2037"/>
      <c r="T554" s="2037"/>
      <c r="U554" s="2037"/>
      <c r="V554" s="2037"/>
      <c r="W554" s="2037"/>
      <c r="X554" s="2037"/>
      <c r="Y554" s="2037"/>
      <c r="Z554" s="2037"/>
      <c r="AA554" s="2037"/>
      <c r="AB554" s="2037"/>
      <c r="AC554" s="17">
        <f>SUM(Q554,R554,S554)</f>
        <v>0</v>
      </c>
      <c r="AD554" s="17">
        <f>SUM(T554,U554,V554)</f>
        <v>0</v>
      </c>
      <c r="AE554" s="17">
        <f>SUM(W554,X554,Y554)</f>
        <v>0</v>
      </c>
      <c r="AF554" s="17">
        <f>SUM(Z554,AA554,AB554)</f>
        <v>0</v>
      </c>
      <c r="AG554" s="17">
        <f>AC554+AD554</f>
        <v>0</v>
      </c>
      <c r="AH554" s="17">
        <f>AF554+AE554</f>
        <v>0</v>
      </c>
      <c r="AI554" s="17">
        <f>AG554+AH554</f>
        <v>0</v>
      </c>
    </row>
    <row r="555" spans="1:35">
      <c r="A555" s="990">
        <v>508</v>
      </c>
      <c r="B555" s="990">
        <v>1</v>
      </c>
      <c r="C555" s="990">
        <v>555</v>
      </c>
      <c r="E555" s="1243">
        <v>1</v>
      </c>
      <c r="I555" s="79"/>
      <c r="J555" s="78"/>
      <c r="K555" s="69"/>
      <c r="L555" s="69"/>
      <c r="M555" s="273"/>
      <c r="N555" s="370" t="s">
        <v>1097</v>
      </c>
      <c r="O555" s="370"/>
      <c r="P555" s="370"/>
      <c r="Q555" s="361">
        <f>SUM(Q556:Q557)</f>
        <v>0</v>
      </c>
      <c r="R555" s="361">
        <f t="shared" ref="R555:AI555" si="392">SUM(R556:R557)</f>
        <v>0</v>
      </c>
      <c r="S555" s="361">
        <f t="shared" si="392"/>
        <v>0</v>
      </c>
      <c r="T555" s="361">
        <f t="shared" si="392"/>
        <v>0</v>
      </c>
      <c r="U555" s="361">
        <f t="shared" si="392"/>
        <v>0</v>
      </c>
      <c r="V555" s="361">
        <f t="shared" si="392"/>
        <v>0</v>
      </c>
      <c r="W555" s="361">
        <f t="shared" si="392"/>
        <v>0</v>
      </c>
      <c r="X555" s="361">
        <f t="shared" si="392"/>
        <v>0</v>
      </c>
      <c r="Y555" s="361">
        <f t="shared" si="392"/>
        <v>0</v>
      </c>
      <c r="Z555" s="361">
        <f t="shared" si="392"/>
        <v>0</v>
      </c>
      <c r="AA555" s="361">
        <f t="shared" si="392"/>
        <v>0</v>
      </c>
      <c r="AB555" s="361">
        <f t="shared" si="392"/>
        <v>0</v>
      </c>
      <c r="AC555" s="361">
        <f t="shared" si="392"/>
        <v>0</v>
      </c>
      <c r="AD555" s="361">
        <f t="shared" si="392"/>
        <v>0</v>
      </c>
      <c r="AE555" s="361">
        <f t="shared" si="392"/>
        <v>0</v>
      </c>
      <c r="AF555" s="361">
        <f t="shared" si="392"/>
        <v>0</v>
      </c>
      <c r="AG555" s="361">
        <f t="shared" si="392"/>
        <v>0</v>
      </c>
      <c r="AH555" s="361">
        <f t="shared" si="392"/>
        <v>0</v>
      </c>
      <c r="AI555" s="361">
        <f t="shared" si="392"/>
        <v>0</v>
      </c>
    </row>
    <row r="556" spans="1:35">
      <c r="A556" s="990">
        <v>509</v>
      </c>
      <c r="B556" s="990">
        <v>1</v>
      </c>
      <c r="C556" s="990">
        <v>556</v>
      </c>
      <c r="E556" s="1243">
        <v>1</v>
      </c>
      <c r="I556" s="79"/>
      <c r="J556" s="78"/>
      <c r="K556" s="69"/>
      <c r="L556" s="69"/>
      <c r="M556" s="273"/>
      <c r="N556" s="372"/>
      <c r="O556" s="371"/>
      <c r="P556" s="371" t="s">
        <v>391</v>
      </c>
      <c r="Q556" s="2042"/>
      <c r="R556" s="2042"/>
      <c r="S556" s="2042"/>
      <c r="T556" s="2042"/>
      <c r="U556" s="2042"/>
      <c r="V556" s="2042"/>
      <c r="W556" s="2042"/>
      <c r="X556" s="2042"/>
      <c r="Y556" s="2042"/>
      <c r="Z556" s="2042"/>
      <c r="AA556" s="2042"/>
      <c r="AB556" s="2042"/>
      <c r="AC556" s="109">
        <f>SUM(Q556,R556,S556)</f>
        <v>0</v>
      </c>
      <c r="AD556" s="109">
        <f>SUM(T556,U556,V556)</f>
        <v>0</v>
      </c>
      <c r="AE556" s="109">
        <f>SUM(W556,X556,Y556)</f>
        <v>0</v>
      </c>
      <c r="AF556" s="109">
        <f>SUM(Z556,AA556,AB556)</f>
        <v>0</v>
      </c>
      <c r="AG556" s="109">
        <f>AC556+AD556</f>
        <v>0</v>
      </c>
      <c r="AH556" s="109">
        <f>AF556+AE556</f>
        <v>0</v>
      </c>
      <c r="AI556" s="109">
        <f>AG556+AH556</f>
        <v>0</v>
      </c>
    </row>
    <row r="557" spans="1:35">
      <c r="A557" s="990">
        <v>510</v>
      </c>
      <c r="B557" s="990">
        <v>1</v>
      </c>
      <c r="C557" s="990">
        <v>557</v>
      </c>
      <c r="E557" s="1243">
        <v>1</v>
      </c>
      <c r="I557" s="79"/>
      <c r="J557" s="78"/>
      <c r="K557" s="69"/>
      <c r="L557" s="69"/>
      <c r="M557" s="273"/>
      <c r="N557" s="298"/>
      <c r="O557" s="298"/>
      <c r="P557" s="298" t="s">
        <v>393</v>
      </c>
      <c r="Q557" s="2037"/>
      <c r="R557" s="2037"/>
      <c r="S557" s="2037"/>
      <c r="T557" s="2037"/>
      <c r="U557" s="2037"/>
      <c r="V557" s="2037"/>
      <c r="W557" s="2037"/>
      <c r="X557" s="2037"/>
      <c r="Y557" s="2037"/>
      <c r="Z557" s="2037"/>
      <c r="AA557" s="2037"/>
      <c r="AB557" s="2037"/>
      <c r="AC557" s="17">
        <f>SUM(Q557,R557,S557)</f>
        <v>0</v>
      </c>
      <c r="AD557" s="17">
        <f>SUM(T557,U557,V557)</f>
        <v>0</v>
      </c>
      <c r="AE557" s="17">
        <f>SUM(W557,X557,Y557)</f>
        <v>0</v>
      </c>
      <c r="AF557" s="17">
        <f>SUM(Z557,AA557,AB557)</f>
        <v>0</v>
      </c>
      <c r="AG557" s="17">
        <f>AC557+AD557</f>
        <v>0</v>
      </c>
      <c r="AH557" s="17">
        <f>AF557+AE557</f>
        <v>0</v>
      </c>
      <c r="AI557" s="17">
        <f>AG557+AH557</f>
        <v>0</v>
      </c>
    </row>
    <row r="558" spans="1:35">
      <c r="A558" s="990">
        <v>511</v>
      </c>
      <c r="B558" s="990">
        <v>1</v>
      </c>
      <c r="C558" s="990">
        <v>558</v>
      </c>
      <c r="E558" s="1243">
        <v>1</v>
      </c>
      <c r="I558" s="79"/>
      <c r="J558" s="78"/>
      <c r="K558" s="69"/>
      <c r="L558" s="69"/>
      <c r="M558" s="273"/>
      <c r="N558" s="400" t="s">
        <v>1091</v>
      </c>
      <c r="O558" s="299"/>
      <c r="P558" s="400"/>
      <c r="Q558" s="2036"/>
      <c r="R558" s="2036"/>
      <c r="S558" s="2036"/>
      <c r="T558" s="2036"/>
      <c r="U558" s="2036"/>
      <c r="V558" s="2036"/>
      <c r="W558" s="2036"/>
      <c r="X558" s="2036"/>
      <c r="Y558" s="2036"/>
      <c r="Z558" s="2036"/>
      <c r="AA558" s="2036"/>
      <c r="AB558" s="2036"/>
      <c r="AC558" s="19">
        <f>SUM(Q558,R558,S558)</f>
        <v>0</v>
      </c>
      <c r="AD558" s="19">
        <f>SUM(T558,U558,V558)</f>
        <v>0</v>
      </c>
      <c r="AE558" s="19">
        <f>SUM(W558,X558,Y558)</f>
        <v>0</v>
      </c>
      <c r="AF558" s="19">
        <f>SUM(Z558,AA558,AB558)</f>
        <v>0</v>
      </c>
      <c r="AG558" s="19">
        <f>AC558+AD558</f>
        <v>0</v>
      </c>
      <c r="AH558" s="19">
        <f>AF558+AE558</f>
        <v>0</v>
      </c>
      <c r="AI558" s="19">
        <f>AG558+AH558</f>
        <v>0</v>
      </c>
    </row>
    <row r="559" spans="1:35">
      <c r="A559" s="990">
        <v>512</v>
      </c>
      <c r="B559" s="990">
        <v>1</v>
      </c>
      <c r="C559" s="990">
        <v>559</v>
      </c>
      <c r="E559" s="1243">
        <v>1</v>
      </c>
      <c r="I559" s="79"/>
      <c r="J559" s="78"/>
      <c r="K559" s="69"/>
      <c r="L559" s="69"/>
      <c r="M559" s="596" t="s">
        <v>85</v>
      </c>
      <c r="N559" s="362"/>
      <c r="O559" s="362"/>
      <c r="P559" s="362"/>
      <c r="Q559" s="361">
        <f>SUM(Q560:Q563)</f>
        <v>0</v>
      </c>
      <c r="R559" s="361">
        <f t="shared" ref="R559:AI559" si="393">SUM(R560:R563)</f>
        <v>0</v>
      </c>
      <c r="S559" s="361">
        <f t="shared" si="393"/>
        <v>0</v>
      </c>
      <c r="T559" s="361">
        <f t="shared" si="393"/>
        <v>0</v>
      </c>
      <c r="U559" s="361">
        <f t="shared" si="393"/>
        <v>0</v>
      </c>
      <c r="V559" s="361">
        <f t="shared" si="393"/>
        <v>0</v>
      </c>
      <c r="W559" s="361">
        <f t="shared" si="393"/>
        <v>0</v>
      </c>
      <c r="X559" s="361">
        <f t="shared" si="393"/>
        <v>0</v>
      </c>
      <c r="Y559" s="361">
        <f t="shared" si="393"/>
        <v>0</v>
      </c>
      <c r="Z559" s="361">
        <f t="shared" si="393"/>
        <v>0</v>
      </c>
      <c r="AA559" s="361">
        <f t="shared" si="393"/>
        <v>0</v>
      </c>
      <c r="AB559" s="361">
        <f t="shared" si="393"/>
        <v>0</v>
      </c>
      <c r="AC559" s="361">
        <f t="shared" si="393"/>
        <v>0</v>
      </c>
      <c r="AD559" s="361">
        <f t="shared" si="393"/>
        <v>0</v>
      </c>
      <c r="AE559" s="361">
        <f t="shared" si="393"/>
        <v>0</v>
      </c>
      <c r="AF559" s="361">
        <f t="shared" si="393"/>
        <v>0</v>
      </c>
      <c r="AG559" s="361">
        <f t="shared" si="393"/>
        <v>0</v>
      </c>
      <c r="AH559" s="361">
        <f t="shared" si="393"/>
        <v>0</v>
      </c>
      <c r="AI559" s="361">
        <f t="shared" si="393"/>
        <v>0</v>
      </c>
    </row>
    <row r="560" spans="1:35">
      <c r="A560" s="990">
        <v>513</v>
      </c>
      <c r="B560" s="990">
        <v>1</v>
      </c>
      <c r="C560" s="990">
        <v>560</v>
      </c>
      <c r="E560" s="1243">
        <v>1</v>
      </c>
      <c r="I560" s="79"/>
      <c r="J560" s="78"/>
      <c r="K560" s="69"/>
      <c r="L560" s="69"/>
      <c r="N560" s="111"/>
      <c r="O560" s="111"/>
      <c r="P560" s="111" t="s">
        <v>30</v>
      </c>
      <c r="Q560" s="2042"/>
      <c r="R560" s="2042"/>
      <c r="S560" s="2042"/>
      <c r="T560" s="2042"/>
      <c r="U560" s="2042"/>
      <c r="V560" s="2042"/>
      <c r="W560" s="2042"/>
      <c r="X560" s="2042"/>
      <c r="Y560" s="2042"/>
      <c r="Z560" s="2042"/>
      <c r="AA560" s="2042"/>
      <c r="AB560" s="2042"/>
      <c r="AC560" s="109">
        <f>SUM(Q560,R560,S560)</f>
        <v>0</v>
      </c>
      <c r="AD560" s="109">
        <f>SUM(T560,U560,V560)</f>
        <v>0</v>
      </c>
      <c r="AE560" s="109">
        <f>SUM(W560,X560,Y560)</f>
        <v>0</v>
      </c>
      <c r="AF560" s="109">
        <f>SUM(Z560,AA560,AB560)</f>
        <v>0</v>
      </c>
      <c r="AG560" s="109">
        <f>AC560+AD560</f>
        <v>0</v>
      </c>
      <c r="AH560" s="109">
        <f>AF560+AE560</f>
        <v>0</v>
      </c>
      <c r="AI560" s="109">
        <f>AG560+AH560</f>
        <v>0</v>
      </c>
    </row>
    <row r="561" spans="1:35">
      <c r="A561" s="990">
        <v>514</v>
      </c>
      <c r="B561" s="990">
        <v>1</v>
      </c>
      <c r="C561" s="990">
        <v>561</v>
      </c>
      <c r="E561" s="1243">
        <v>1</v>
      </c>
      <c r="I561" s="79"/>
      <c r="J561" s="78"/>
      <c r="K561" s="69"/>
      <c r="L561" s="69"/>
      <c r="P561" s="9" t="s">
        <v>1092</v>
      </c>
      <c r="Q561" s="2036"/>
      <c r="R561" s="2036"/>
      <c r="S561" s="2036"/>
      <c r="T561" s="2036"/>
      <c r="U561" s="2036"/>
      <c r="V561" s="2036"/>
      <c r="W561" s="2036"/>
      <c r="X561" s="2036"/>
      <c r="Y561" s="2036"/>
      <c r="Z561" s="2036"/>
      <c r="AA561" s="2036"/>
      <c r="AB561" s="2036"/>
      <c r="AC561" s="19">
        <f>SUM(Q561,R561,S561)</f>
        <v>0</v>
      </c>
      <c r="AD561" s="19">
        <f>SUM(T561,U561,V561)</f>
        <v>0</v>
      </c>
      <c r="AE561" s="19">
        <f>SUM(W561,X561,Y561)</f>
        <v>0</v>
      </c>
      <c r="AF561" s="19">
        <f>SUM(Z561,AA561,AB561)</f>
        <v>0</v>
      </c>
      <c r="AG561" s="19">
        <f>AC561+AD561</f>
        <v>0</v>
      </c>
      <c r="AH561" s="19">
        <f>AF561+AE561</f>
        <v>0</v>
      </c>
      <c r="AI561" s="19">
        <f>AG561+AH561</f>
        <v>0</v>
      </c>
    </row>
    <row r="562" spans="1:35">
      <c r="A562" s="990">
        <v>515</v>
      </c>
      <c r="B562" s="990">
        <v>1</v>
      </c>
      <c r="C562" s="990">
        <v>562</v>
      </c>
      <c r="E562" s="1243">
        <v>1</v>
      </c>
      <c r="I562" s="79"/>
      <c r="J562" s="78"/>
      <c r="K562" s="69"/>
      <c r="L562" s="69"/>
      <c r="P562" s="9" t="s">
        <v>1093</v>
      </c>
      <c r="Q562" s="2036"/>
      <c r="R562" s="2036"/>
      <c r="S562" s="2036"/>
      <c r="T562" s="2036"/>
      <c r="U562" s="2036"/>
      <c r="V562" s="2036"/>
      <c r="W562" s="2036"/>
      <c r="X562" s="2036"/>
      <c r="Y562" s="2036"/>
      <c r="Z562" s="2036"/>
      <c r="AA562" s="2036"/>
      <c r="AB562" s="2036"/>
      <c r="AC562" s="19">
        <f>SUM(Q562,R562,S562)</f>
        <v>0</v>
      </c>
      <c r="AD562" s="19">
        <f>SUM(T562,U562,V562)</f>
        <v>0</v>
      </c>
      <c r="AE562" s="19">
        <f>SUM(W562,X562,Y562)</f>
        <v>0</v>
      </c>
      <c r="AF562" s="19">
        <f>SUM(Z562,AA562,AB562)</f>
        <v>0</v>
      </c>
      <c r="AG562" s="19">
        <f>AC562+AD562</f>
        <v>0</v>
      </c>
      <c r="AH562" s="19">
        <f>AF562+AE562</f>
        <v>0</v>
      </c>
      <c r="AI562" s="19">
        <f>AG562+AH562</f>
        <v>0</v>
      </c>
    </row>
    <row r="563" spans="1:35">
      <c r="A563" s="990">
        <v>516</v>
      </c>
      <c r="B563" s="990">
        <v>1</v>
      </c>
      <c r="C563" s="990">
        <v>563</v>
      </c>
      <c r="E563" s="1243">
        <v>1</v>
      </c>
      <c r="I563" s="79"/>
      <c r="J563" s="78"/>
      <c r="K563" s="69"/>
      <c r="L563" s="69"/>
      <c r="N563" s="12"/>
      <c r="O563" s="12"/>
      <c r="P563" s="12" t="s">
        <v>11</v>
      </c>
      <c r="Q563" s="2037"/>
      <c r="R563" s="2037"/>
      <c r="S563" s="2037"/>
      <c r="T563" s="2037"/>
      <c r="U563" s="2037"/>
      <c r="V563" s="2037"/>
      <c r="W563" s="2037"/>
      <c r="X563" s="2037"/>
      <c r="Y563" s="2037"/>
      <c r="Z563" s="2037"/>
      <c r="AA563" s="2037"/>
      <c r="AB563" s="2037"/>
      <c r="AC563" s="17">
        <f>SUM(Q563,R563,S563)</f>
        <v>0</v>
      </c>
      <c r="AD563" s="17">
        <f>SUM(T563,U563,V563)</f>
        <v>0</v>
      </c>
      <c r="AE563" s="17">
        <f>SUM(W563,X563,Y563)</f>
        <v>0</v>
      </c>
      <c r="AF563" s="17">
        <f>SUM(Z563,AA563,AB563)</f>
        <v>0</v>
      </c>
      <c r="AG563" s="17">
        <f>AC563+AD563</f>
        <v>0</v>
      </c>
      <c r="AH563" s="17">
        <f>AF563+AE563</f>
        <v>0</v>
      </c>
      <c r="AI563" s="17">
        <f>AG563+AH563</f>
        <v>0</v>
      </c>
    </row>
    <row r="564" spans="1:35">
      <c r="A564" s="990">
        <v>517</v>
      </c>
      <c r="B564" s="990">
        <v>1</v>
      </c>
      <c r="C564" s="990">
        <v>564</v>
      </c>
      <c r="E564" s="1243">
        <v>1</v>
      </c>
      <c r="I564" s="77"/>
      <c r="J564" s="76"/>
      <c r="K564" s="68"/>
      <c r="L564" s="68"/>
      <c r="M564" s="303" t="s">
        <v>11</v>
      </c>
      <c r="N564" s="12"/>
      <c r="O564" s="12"/>
      <c r="P564" s="12"/>
      <c r="Q564" s="2037"/>
      <c r="R564" s="2037"/>
      <c r="S564" s="2037"/>
      <c r="T564" s="2037"/>
      <c r="U564" s="2037"/>
      <c r="V564" s="2037"/>
      <c r="W564" s="2037"/>
      <c r="X564" s="2037"/>
      <c r="Y564" s="2037"/>
      <c r="Z564" s="2037"/>
      <c r="AA564" s="2037"/>
      <c r="AB564" s="2037"/>
      <c r="AC564" s="17">
        <f>SUM(Q564,R564,S564)</f>
        <v>0</v>
      </c>
      <c r="AD564" s="17">
        <f>SUM(T564,U564,V564)</f>
        <v>0</v>
      </c>
      <c r="AE564" s="17">
        <f>SUM(W564,X564,Y564)</f>
        <v>0</v>
      </c>
      <c r="AF564" s="17">
        <f>SUM(Z564,AA564,AB564)</f>
        <v>0</v>
      </c>
      <c r="AG564" s="17">
        <f>AC564+AD564</f>
        <v>0</v>
      </c>
      <c r="AH564" s="17">
        <f>AF564+AE564</f>
        <v>0</v>
      </c>
      <c r="AI564" s="17">
        <f>AG564+AH564</f>
        <v>0</v>
      </c>
    </row>
    <row r="565" spans="1:35">
      <c r="A565" s="990">
        <v>518</v>
      </c>
      <c r="B565" s="990">
        <v>1</v>
      </c>
      <c r="C565" s="990">
        <v>565</v>
      </c>
      <c r="E565" s="1243">
        <v>1</v>
      </c>
      <c r="I565" s="24"/>
      <c r="J565" s="75"/>
      <c r="K565" s="24"/>
      <c r="L565" s="24"/>
      <c r="M565" s="75"/>
      <c r="N565" s="75"/>
      <c r="O565" s="75"/>
      <c r="P565" s="75"/>
      <c r="AA565" s="1"/>
      <c r="AB565" s="1"/>
      <c r="AC565" s="1"/>
      <c r="AD565" s="1"/>
      <c r="AE565" s="1"/>
      <c r="AF565" s="1"/>
      <c r="AG565" s="1"/>
      <c r="AH565" s="1"/>
      <c r="AI565" s="1"/>
    </row>
    <row r="566" spans="1:35">
      <c r="A566" s="990">
        <v>519</v>
      </c>
      <c r="B566" s="990">
        <v>1</v>
      </c>
      <c r="C566" s="990">
        <v>566</v>
      </c>
      <c r="E566" s="1243">
        <v>1</v>
      </c>
      <c r="H566" s="24" t="s">
        <v>1038</v>
      </c>
      <c r="I566" s="24"/>
      <c r="J566" s="75"/>
      <c r="K566" s="24"/>
      <c r="L566" s="24"/>
      <c r="M566" s="75"/>
      <c r="N566" s="75"/>
      <c r="O566" s="75"/>
      <c r="P566" s="291"/>
      <c r="AA566" s="1"/>
      <c r="AB566" s="1"/>
      <c r="AC566" s="1"/>
      <c r="AD566" s="1"/>
      <c r="AE566" s="1"/>
      <c r="AF566" s="1"/>
      <c r="AG566" s="1"/>
      <c r="AH566" s="1"/>
      <c r="AI566" s="1"/>
    </row>
    <row r="567" spans="1:35">
      <c r="A567" s="990">
        <v>520</v>
      </c>
      <c r="B567" s="990">
        <v>1</v>
      </c>
      <c r="C567" s="990">
        <v>567</v>
      </c>
      <c r="E567" s="1243">
        <v>1</v>
      </c>
      <c r="I567" s="458" t="s">
        <v>9</v>
      </c>
      <c r="J567" s="604"/>
      <c r="K567" s="788"/>
      <c r="L567" s="788"/>
      <c r="M567" s="604"/>
      <c r="N567" s="604"/>
      <c r="O567" s="604"/>
      <c r="P567" s="604"/>
      <c r="Q567" s="2074">
        <f>Q568+Q583</f>
        <v>12895</v>
      </c>
      <c r="R567" s="2074">
        <f t="shared" ref="R567:AI567" si="394">R568+R583</f>
        <v>26937</v>
      </c>
      <c r="S567" s="2074">
        <f t="shared" si="394"/>
        <v>51846</v>
      </c>
      <c r="T567" s="2074">
        <f t="shared" si="394"/>
        <v>13879</v>
      </c>
      <c r="U567" s="2074">
        <f t="shared" si="394"/>
        <v>3983</v>
      </c>
      <c r="V567" s="2074">
        <f t="shared" si="394"/>
        <v>13487</v>
      </c>
      <c r="W567" s="2074">
        <f t="shared" si="394"/>
        <v>4910</v>
      </c>
      <c r="X567" s="2074">
        <f t="shared" si="394"/>
        <v>4900</v>
      </c>
      <c r="Y567" s="2074">
        <f t="shared" si="394"/>
        <v>15594</v>
      </c>
      <c r="Z567" s="2074">
        <f t="shared" si="394"/>
        <v>32184</v>
      </c>
      <c r="AA567" s="2074">
        <f t="shared" si="394"/>
        <v>41979</v>
      </c>
      <c r="AB567" s="2074">
        <f t="shared" si="394"/>
        <v>17459</v>
      </c>
      <c r="AC567" s="2074">
        <f t="shared" si="394"/>
        <v>91678</v>
      </c>
      <c r="AD567" s="2074">
        <f t="shared" si="394"/>
        <v>31349</v>
      </c>
      <c r="AE567" s="2074">
        <f t="shared" si="394"/>
        <v>25404</v>
      </c>
      <c r="AF567" s="2074">
        <f t="shared" si="394"/>
        <v>91622</v>
      </c>
      <c r="AG567" s="2074">
        <f t="shared" si="394"/>
        <v>123027</v>
      </c>
      <c r="AH567" s="2074">
        <f t="shared" si="394"/>
        <v>117026</v>
      </c>
      <c r="AI567" s="2074">
        <f t="shared" si="394"/>
        <v>240053</v>
      </c>
    </row>
    <row r="568" spans="1:35">
      <c r="A568" s="990">
        <v>521</v>
      </c>
      <c r="B568" s="990">
        <v>1</v>
      </c>
      <c r="C568" s="990">
        <v>568</v>
      </c>
      <c r="E568" s="1243">
        <v>1</v>
      </c>
      <c r="I568" s="445"/>
      <c r="J568" s="446"/>
      <c r="K568" s="74" t="s">
        <v>1022</v>
      </c>
      <c r="L568" s="74"/>
      <c r="M568" s="357"/>
      <c r="N568" s="357"/>
      <c r="O568" s="357"/>
      <c r="P568" s="357"/>
      <c r="Q568" s="359">
        <f>Q569+Q576</f>
        <v>12895</v>
      </c>
      <c r="R568" s="359">
        <f t="shared" ref="R568:AI568" si="395">R569+R576</f>
        <v>26937</v>
      </c>
      <c r="S568" s="359">
        <f t="shared" si="395"/>
        <v>51846</v>
      </c>
      <c r="T568" s="359">
        <f t="shared" si="395"/>
        <v>13879</v>
      </c>
      <c r="U568" s="359">
        <f t="shared" si="395"/>
        <v>3983</v>
      </c>
      <c r="V568" s="359">
        <f t="shared" si="395"/>
        <v>13487</v>
      </c>
      <c r="W568" s="359">
        <f t="shared" si="395"/>
        <v>4910</v>
      </c>
      <c r="X568" s="359">
        <f t="shared" si="395"/>
        <v>4900</v>
      </c>
      <c r="Y568" s="359">
        <f t="shared" si="395"/>
        <v>15594</v>
      </c>
      <c r="Z568" s="359">
        <f t="shared" si="395"/>
        <v>32184</v>
      </c>
      <c r="AA568" s="359">
        <f t="shared" si="395"/>
        <v>41979</v>
      </c>
      <c r="AB568" s="359">
        <f t="shared" si="395"/>
        <v>17459</v>
      </c>
      <c r="AC568" s="359">
        <f t="shared" si="395"/>
        <v>91678</v>
      </c>
      <c r="AD568" s="359">
        <f t="shared" si="395"/>
        <v>31349</v>
      </c>
      <c r="AE568" s="359">
        <f t="shared" si="395"/>
        <v>25404</v>
      </c>
      <c r="AF568" s="359">
        <f t="shared" si="395"/>
        <v>91622</v>
      </c>
      <c r="AG568" s="359">
        <f t="shared" si="395"/>
        <v>123027</v>
      </c>
      <c r="AH568" s="359">
        <f t="shared" si="395"/>
        <v>117026</v>
      </c>
      <c r="AI568" s="359">
        <f t="shared" si="395"/>
        <v>240053</v>
      </c>
    </row>
    <row r="569" spans="1:35">
      <c r="A569" s="990">
        <v>522</v>
      </c>
      <c r="B569" s="990">
        <v>1</v>
      </c>
      <c r="C569" s="990">
        <v>569</v>
      </c>
      <c r="E569" s="1243">
        <v>1</v>
      </c>
      <c r="I569" s="445"/>
      <c r="J569" s="446"/>
      <c r="K569" s="74"/>
      <c r="L569" s="74"/>
      <c r="M569" s="75" t="s">
        <v>1039</v>
      </c>
      <c r="N569" s="391"/>
      <c r="O569" s="391"/>
      <c r="P569" s="391"/>
      <c r="Q569" s="365">
        <f>SUM(Q570:Q575)</f>
        <v>9500</v>
      </c>
      <c r="R569" s="365">
        <f t="shared" ref="R569:AI569" si="396">SUM(R570:R575)</f>
        <v>25300</v>
      </c>
      <c r="S569" s="365">
        <f t="shared" si="396"/>
        <v>49976</v>
      </c>
      <c r="T569" s="365">
        <f t="shared" si="396"/>
        <v>9252</v>
      </c>
      <c r="U569" s="365">
        <f t="shared" si="396"/>
        <v>0</v>
      </c>
      <c r="V569" s="365">
        <f t="shared" si="396"/>
        <v>9352</v>
      </c>
      <c r="W569" s="365">
        <f t="shared" si="396"/>
        <v>252</v>
      </c>
      <c r="X569" s="365">
        <f t="shared" si="396"/>
        <v>0</v>
      </c>
      <c r="Y569" s="365">
        <f t="shared" si="396"/>
        <v>9211</v>
      </c>
      <c r="Z569" s="365">
        <f t="shared" si="396"/>
        <v>26300</v>
      </c>
      <c r="AA569" s="365">
        <f t="shared" si="396"/>
        <v>35087</v>
      </c>
      <c r="AB569" s="365">
        <f t="shared" si="396"/>
        <v>12311</v>
      </c>
      <c r="AC569" s="365">
        <f t="shared" si="396"/>
        <v>84776</v>
      </c>
      <c r="AD569" s="365">
        <f t="shared" si="396"/>
        <v>18604</v>
      </c>
      <c r="AE569" s="365">
        <f t="shared" si="396"/>
        <v>9463</v>
      </c>
      <c r="AF569" s="365">
        <f t="shared" si="396"/>
        <v>73698</v>
      </c>
      <c r="AG569" s="365">
        <f t="shared" si="396"/>
        <v>103380</v>
      </c>
      <c r="AH569" s="365">
        <f t="shared" si="396"/>
        <v>83161</v>
      </c>
      <c r="AI569" s="365">
        <f t="shared" si="396"/>
        <v>186541</v>
      </c>
    </row>
    <row r="570" spans="1:35">
      <c r="A570" s="990">
        <v>523</v>
      </c>
      <c r="B570" s="990">
        <v>1</v>
      </c>
      <c r="C570" s="990">
        <v>570</v>
      </c>
      <c r="E570" s="1243">
        <v>1</v>
      </c>
      <c r="I570" s="445"/>
      <c r="J570" s="446"/>
      <c r="K570" s="74"/>
      <c r="L570" s="74"/>
      <c r="M570" s="75"/>
      <c r="N570" s="377" t="s">
        <v>1098</v>
      </c>
      <c r="O570" s="377"/>
      <c r="P570" s="377"/>
      <c r="Q570" s="2042"/>
      <c r="R570" s="2042"/>
      <c r="S570" s="2042"/>
      <c r="T570" s="2042"/>
      <c r="U570" s="2042"/>
      <c r="V570" s="2042"/>
      <c r="W570" s="2042"/>
      <c r="X570" s="2042"/>
      <c r="Y570" s="2042"/>
      <c r="Z570" s="2042"/>
      <c r="AA570" s="2042">
        <v>-1647</v>
      </c>
      <c r="AB570" s="2042"/>
      <c r="AC570" s="109">
        <f t="shared" ref="AC570:AC575" si="397">SUM(Q570,R570,S570)</f>
        <v>0</v>
      </c>
      <c r="AD570" s="109">
        <f t="shared" ref="AD570:AD575" si="398">SUM(T570,U570,V570)</f>
        <v>0</v>
      </c>
      <c r="AE570" s="109">
        <f t="shared" ref="AE570:AE575" si="399">SUM(W570,X570,Y570)</f>
        <v>0</v>
      </c>
      <c r="AF570" s="109">
        <f t="shared" ref="AF570:AF575" si="400">SUM(Z570,AA570,AB570)</f>
        <v>-1647</v>
      </c>
      <c r="AG570" s="109">
        <f t="shared" ref="AG570:AG575" si="401">AC570+AD570</f>
        <v>0</v>
      </c>
      <c r="AH570" s="109">
        <f t="shared" ref="AH570:AH575" si="402">AF570+AE570</f>
        <v>-1647</v>
      </c>
      <c r="AI570" s="109">
        <f t="shared" ref="AI570:AI575" si="403">AG570+AH570</f>
        <v>-1647</v>
      </c>
    </row>
    <row r="571" spans="1:35">
      <c r="A571" s="990">
        <v>524</v>
      </c>
      <c r="B571" s="990">
        <v>1</v>
      </c>
      <c r="C571" s="990">
        <v>571</v>
      </c>
      <c r="E571" s="1243">
        <v>1</v>
      </c>
      <c r="I571" s="445"/>
      <c r="J571" s="446"/>
      <c r="K571" s="74"/>
      <c r="L571" s="74"/>
      <c r="M571" s="75"/>
      <c r="N571" s="75" t="s">
        <v>1040</v>
      </c>
      <c r="O571" s="75"/>
      <c r="P571" s="75"/>
      <c r="Q571" s="2036"/>
      <c r="R571" s="2036">
        <v>9000</v>
      </c>
      <c r="S571" s="2036">
        <v>9250</v>
      </c>
      <c r="T571" s="2036"/>
      <c r="U571" s="2036"/>
      <c r="V571" s="2036"/>
      <c r="W571" s="2036"/>
      <c r="X571" s="2036"/>
      <c r="Y571" s="2036">
        <v>411</v>
      </c>
      <c r="Z571" s="2036"/>
      <c r="AA571" s="2036">
        <v>11812</v>
      </c>
      <c r="AB571" s="2036">
        <v>2709</v>
      </c>
      <c r="AC571" s="19">
        <f t="shared" si="397"/>
        <v>18250</v>
      </c>
      <c r="AD571" s="19">
        <f t="shared" si="398"/>
        <v>0</v>
      </c>
      <c r="AE571" s="19">
        <f t="shared" si="399"/>
        <v>411</v>
      </c>
      <c r="AF571" s="19">
        <f t="shared" si="400"/>
        <v>14521</v>
      </c>
      <c r="AG571" s="19">
        <f t="shared" si="401"/>
        <v>18250</v>
      </c>
      <c r="AH571" s="19">
        <f t="shared" si="402"/>
        <v>14932</v>
      </c>
      <c r="AI571" s="19">
        <f t="shared" si="403"/>
        <v>33182</v>
      </c>
    </row>
    <row r="572" spans="1:35">
      <c r="A572" s="990">
        <v>525</v>
      </c>
      <c r="B572" s="990">
        <v>1</v>
      </c>
      <c r="C572" s="990">
        <v>572</v>
      </c>
      <c r="E572" s="1243">
        <v>1</v>
      </c>
      <c r="I572" s="445"/>
      <c r="J572" s="446"/>
      <c r="K572" s="74"/>
      <c r="L572" s="74"/>
      <c r="M572" s="75"/>
      <c r="N572" s="75" t="s">
        <v>1041</v>
      </c>
      <c r="O572" s="75"/>
      <c r="P572" s="75"/>
      <c r="Q572" s="2036">
        <v>9500</v>
      </c>
      <c r="R572" s="2036">
        <v>16300</v>
      </c>
      <c r="S572" s="2036">
        <v>40726</v>
      </c>
      <c r="T572" s="2036">
        <v>9252</v>
      </c>
      <c r="U572" s="2036"/>
      <c r="V572" s="2036">
        <v>9352</v>
      </c>
      <c r="W572" s="2036">
        <v>252</v>
      </c>
      <c r="X572" s="2036"/>
      <c r="Y572" s="2036">
        <v>8800</v>
      </c>
      <c r="Z572" s="2036">
        <v>26300</v>
      </c>
      <c r="AA572" s="2036">
        <v>24922</v>
      </c>
      <c r="AB572" s="2036">
        <v>9602</v>
      </c>
      <c r="AC572" s="19">
        <f t="shared" si="397"/>
        <v>66526</v>
      </c>
      <c r="AD572" s="19">
        <f t="shared" si="398"/>
        <v>18604</v>
      </c>
      <c r="AE572" s="19">
        <f t="shared" si="399"/>
        <v>9052</v>
      </c>
      <c r="AF572" s="19">
        <f t="shared" si="400"/>
        <v>60824</v>
      </c>
      <c r="AG572" s="19">
        <f t="shared" si="401"/>
        <v>85130</v>
      </c>
      <c r="AH572" s="19">
        <f t="shared" si="402"/>
        <v>69876</v>
      </c>
      <c r="AI572" s="19">
        <f t="shared" si="403"/>
        <v>155006</v>
      </c>
    </row>
    <row r="573" spans="1:35">
      <c r="A573" s="990">
        <v>526</v>
      </c>
      <c r="B573" s="990">
        <v>1</v>
      </c>
      <c r="C573" s="990">
        <v>573</v>
      </c>
      <c r="E573" s="1243">
        <v>1</v>
      </c>
      <c r="I573" s="445"/>
      <c r="J573" s="446"/>
      <c r="K573" s="74"/>
      <c r="L573" s="74"/>
      <c r="M573" s="75"/>
      <c r="N573" s="75" t="s">
        <v>1042</v>
      </c>
      <c r="O573" s="75"/>
      <c r="P573" s="75"/>
      <c r="Q573" s="2036"/>
      <c r="R573" s="2036"/>
      <c r="S573" s="2036"/>
      <c r="T573" s="2036"/>
      <c r="U573" s="2036"/>
      <c r="V573" s="2036"/>
      <c r="W573" s="2036"/>
      <c r="X573" s="2036"/>
      <c r="Y573" s="2036"/>
      <c r="Z573" s="2036"/>
      <c r="AA573" s="2036"/>
      <c r="AB573" s="2036"/>
      <c r="AC573" s="19">
        <f t="shared" si="397"/>
        <v>0</v>
      </c>
      <c r="AD573" s="19">
        <f t="shared" si="398"/>
        <v>0</v>
      </c>
      <c r="AE573" s="19">
        <f t="shared" si="399"/>
        <v>0</v>
      </c>
      <c r="AF573" s="19">
        <f t="shared" si="400"/>
        <v>0</v>
      </c>
      <c r="AG573" s="19">
        <f t="shared" si="401"/>
        <v>0</v>
      </c>
      <c r="AH573" s="19">
        <f t="shared" si="402"/>
        <v>0</v>
      </c>
      <c r="AI573" s="19">
        <f t="shared" si="403"/>
        <v>0</v>
      </c>
    </row>
    <row r="574" spans="1:35">
      <c r="A574" s="990">
        <v>527</v>
      </c>
      <c r="B574" s="990">
        <v>1</v>
      </c>
      <c r="C574" s="990">
        <v>574</v>
      </c>
      <c r="E574" s="1243">
        <v>1</v>
      </c>
      <c r="I574" s="445"/>
      <c r="J574" s="446"/>
      <c r="K574" s="74"/>
      <c r="L574" s="74"/>
      <c r="M574" s="75"/>
      <c r="N574" s="75" t="s">
        <v>852</v>
      </c>
      <c r="O574" s="75"/>
      <c r="P574" s="75"/>
      <c r="Q574" s="2036"/>
      <c r="R574" s="2036"/>
      <c r="S574" s="2036"/>
      <c r="T574" s="2036"/>
      <c r="U574" s="2036"/>
      <c r="V574" s="2036"/>
      <c r="W574" s="2036"/>
      <c r="X574" s="2036"/>
      <c r="Y574" s="2036"/>
      <c r="Z574" s="2036"/>
      <c r="AA574" s="2036"/>
      <c r="AB574" s="2036"/>
      <c r="AC574" s="19">
        <f t="shared" si="397"/>
        <v>0</v>
      </c>
      <c r="AD574" s="19">
        <f t="shared" si="398"/>
        <v>0</v>
      </c>
      <c r="AE574" s="19">
        <f t="shared" si="399"/>
        <v>0</v>
      </c>
      <c r="AF574" s="19">
        <f t="shared" si="400"/>
        <v>0</v>
      </c>
      <c r="AG574" s="19">
        <f t="shared" si="401"/>
        <v>0</v>
      </c>
      <c r="AH574" s="19">
        <f t="shared" si="402"/>
        <v>0</v>
      </c>
      <c r="AI574" s="19">
        <f t="shared" si="403"/>
        <v>0</v>
      </c>
    </row>
    <row r="575" spans="1:35">
      <c r="A575" s="990">
        <v>528</v>
      </c>
      <c r="B575" s="990">
        <v>1</v>
      </c>
      <c r="C575" s="990">
        <v>575</v>
      </c>
      <c r="E575" s="1243">
        <v>1</v>
      </c>
      <c r="I575" s="445"/>
      <c r="J575" s="446"/>
      <c r="K575" s="74"/>
      <c r="L575" s="74"/>
      <c r="M575" s="276"/>
      <c r="N575" s="276" t="s">
        <v>11</v>
      </c>
      <c r="O575" s="276"/>
      <c r="P575" s="276"/>
      <c r="Q575" s="2037"/>
      <c r="R575" s="2037"/>
      <c r="S575" s="2037"/>
      <c r="T575" s="2037"/>
      <c r="U575" s="2037"/>
      <c r="V575" s="2037"/>
      <c r="W575" s="2037"/>
      <c r="X575" s="2037"/>
      <c r="Y575" s="2037"/>
      <c r="Z575" s="2037"/>
      <c r="AA575" s="2037"/>
      <c r="AB575" s="2037"/>
      <c r="AC575" s="17">
        <f t="shared" si="397"/>
        <v>0</v>
      </c>
      <c r="AD575" s="17">
        <f t="shared" si="398"/>
        <v>0</v>
      </c>
      <c r="AE575" s="17">
        <f t="shared" si="399"/>
        <v>0</v>
      </c>
      <c r="AF575" s="17">
        <f t="shared" si="400"/>
        <v>0</v>
      </c>
      <c r="AG575" s="17">
        <f t="shared" si="401"/>
        <v>0</v>
      </c>
      <c r="AH575" s="17">
        <f t="shared" si="402"/>
        <v>0</v>
      </c>
      <c r="AI575" s="17">
        <f t="shared" si="403"/>
        <v>0</v>
      </c>
    </row>
    <row r="576" spans="1:35">
      <c r="A576" s="990">
        <v>529</v>
      </c>
      <c r="B576" s="990">
        <v>1</v>
      </c>
      <c r="C576" s="990">
        <v>576</v>
      </c>
      <c r="E576" s="1243">
        <v>1</v>
      </c>
      <c r="I576" s="445"/>
      <c r="J576" s="446"/>
      <c r="K576" s="74"/>
      <c r="L576" s="74"/>
      <c r="M576" s="75" t="s">
        <v>95</v>
      </c>
      <c r="N576" s="391"/>
      <c r="O576" s="391"/>
      <c r="P576" s="391"/>
      <c r="Q576" s="365">
        <f t="shared" ref="Q576:AI576" si="404">SUM(Q577:Q582)</f>
        <v>3395</v>
      </c>
      <c r="R576" s="365">
        <f t="shared" si="404"/>
        <v>1637</v>
      </c>
      <c r="S576" s="365">
        <f t="shared" si="404"/>
        <v>1870</v>
      </c>
      <c r="T576" s="365">
        <f t="shared" si="404"/>
        <v>4627</v>
      </c>
      <c r="U576" s="365">
        <f t="shared" si="404"/>
        <v>3983</v>
      </c>
      <c r="V576" s="365">
        <f t="shared" si="404"/>
        <v>4135</v>
      </c>
      <c r="W576" s="365">
        <f t="shared" si="404"/>
        <v>4658</v>
      </c>
      <c r="X576" s="365">
        <f t="shared" si="404"/>
        <v>4900</v>
      </c>
      <c r="Y576" s="365">
        <f t="shared" si="404"/>
        <v>6383</v>
      </c>
      <c r="Z576" s="365">
        <f t="shared" si="404"/>
        <v>5884</v>
      </c>
      <c r="AA576" s="365">
        <f t="shared" si="404"/>
        <v>6892</v>
      </c>
      <c r="AB576" s="365">
        <f t="shared" si="404"/>
        <v>5148</v>
      </c>
      <c r="AC576" s="365">
        <f t="shared" si="404"/>
        <v>6902</v>
      </c>
      <c r="AD576" s="365">
        <f t="shared" si="404"/>
        <v>12745</v>
      </c>
      <c r="AE576" s="365">
        <f t="shared" si="404"/>
        <v>15941</v>
      </c>
      <c r="AF576" s="365">
        <f t="shared" si="404"/>
        <v>17924</v>
      </c>
      <c r="AG576" s="365">
        <f t="shared" si="404"/>
        <v>19647</v>
      </c>
      <c r="AH576" s="365">
        <f t="shared" si="404"/>
        <v>33865</v>
      </c>
      <c r="AI576" s="365">
        <f t="shared" si="404"/>
        <v>53512</v>
      </c>
    </row>
    <row r="577" spans="1:35">
      <c r="A577" s="990">
        <v>530</v>
      </c>
      <c r="B577" s="990">
        <v>1</v>
      </c>
      <c r="C577" s="990">
        <v>577</v>
      </c>
      <c r="E577" s="1243">
        <v>1</v>
      </c>
      <c r="I577" s="445"/>
      <c r="J577" s="446"/>
      <c r="K577" s="74"/>
      <c r="L577" s="74"/>
      <c r="M577" s="75"/>
      <c r="N577" s="377" t="s">
        <v>1098</v>
      </c>
      <c r="O577" s="377"/>
      <c r="P577" s="377"/>
      <c r="Q577" s="2042"/>
      <c r="R577" s="2042"/>
      <c r="S577" s="2042"/>
      <c r="T577" s="2042">
        <v>349</v>
      </c>
      <c r="U577" s="2042"/>
      <c r="V577" s="2042"/>
      <c r="W577" s="2042"/>
      <c r="X577" s="2042">
        <v>589</v>
      </c>
      <c r="Y577" s="2042">
        <v>847</v>
      </c>
      <c r="Z577" s="2042">
        <v>699</v>
      </c>
      <c r="AA577" s="2042">
        <v>1362</v>
      </c>
      <c r="AB577" s="2042">
        <v>522</v>
      </c>
      <c r="AC577" s="109">
        <f t="shared" ref="AC577:AC582" si="405">SUM(Q577,R577,S577)</f>
        <v>0</v>
      </c>
      <c r="AD577" s="109">
        <f t="shared" ref="AD577:AD582" si="406">SUM(T577,U577,V577)</f>
        <v>349</v>
      </c>
      <c r="AE577" s="109">
        <f t="shared" ref="AE577:AE582" si="407">SUM(W577,X577,Y577)</f>
        <v>1436</v>
      </c>
      <c r="AF577" s="109">
        <f t="shared" ref="AF577:AF582" si="408">SUM(Z577,AA577,AB577)</f>
        <v>2583</v>
      </c>
      <c r="AG577" s="109">
        <f t="shared" ref="AG577:AG582" si="409">AC577+AD577</f>
        <v>349</v>
      </c>
      <c r="AH577" s="109">
        <f t="shared" ref="AH577:AH582" si="410">AF577+AE577</f>
        <v>4019</v>
      </c>
      <c r="AI577" s="109">
        <f t="shared" ref="AI577:AI582" si="411">AG577+AH577</f>
        <v>4368</v>
      </c>
    </row>
    <row r="578" spans="1:35">
      <c r="A578" s="990">
        <v>531</v>
      </c>
      <c r="B578" s="990">
        <v>1</v>
      </c>
      <c r="C578" s="990">
        <v>578</v>
      </c>
      <c r="E578" s="1243">
        <v>1</v>
      </c>
      <c r="I578" s="445"/>
      <c r="J578" s="446"/>
      <c r="K578" s="74"/>
      <c r="L578" s="74"/>
      <c r="M578" s="75"/>
      <c r="N578" s="75" t="s">
        <v>1040</v>
      </c>
      <c r="O578" s="75"/>
      <c r="P578" s="75"/>
      <c r="Q578" s="2036">
        <v>1690</v>
      </c>
      <c r="R578" s="2036">
        <v>1186</v>
      </c>
      <c r="S578" s="2036">
        <v>1379</v>
      </c>
      <c r="T578" s="2036">
        <v>2130</v>
      </c>
      <c r="U578" s="2036">
        <v>1694</v>
      </c>
      <c r="V578" s="2036">
        <v>1851</v>
      </c>
      <c r="W578" s="2036">
        <v>1386</v>
      </c>
      <c r="X578" s="2036">
        <v>1779</v>
      </c>
      <c r="Y578" s="2036">
        <v>2570</v>
      </c>
      <c r="Z578" s="2036">
        <v>2859</v>
      </c>
      <c r="AA578" s="2036">
        <v>2396</v>
      </c>
      <c r="AB578" s="2036">
        <v>2293</v>
      </c>
      <c r="AC578" s="19">
        <f t="shared" si="405"/>
        <v>4255</v>
      </c>
      <c r="AD578" s="19">
        <f t="shared" si="406"/>
        <v>5675</v>
      </c>
      <c r="AE578" s="19">
        <f t="shared" si="407"/>
        <v>5735</v>
      </c>
      <c r="AF578" s="19">
        <f t="shared" si="408"/>
        <v>7548</v>
      </c>
      <c r="AG578" s="19">
        <f t="shared" si="409"/>
        <v>9930</v>
      </c>
      <c r="AH578" s="19">
        <f t="shared" si="410"/>
        <v>13283</v>
      </c>
      <c r="AI578" s="19">
        <f t="shared" si="411"/>
        <v>23213</v>
      </c>
    </row>
    <row r="579" spans="1:35">
      <c r="A579" s="990">
        <v>532</v>
      </c>
      <c r="B579" s="990">
        <v>1</v>
      </c>
      <c r="C579" s="990">
        <v>579</v>
      </c>
      <c r="E579" s="1243">
        <v>1</v>
      </c>
      <c r="I579" s="445"/>
      <c r="J579" s="446"/>
      <c r="K579" s="74"/>
      <c r="L579" s="74"/>
      <c r="M579" s="75"/>
      <c r="N579" s="75" t="s">
        <v>1041</v>
      </c>
      <c r="O579" s="75"/>
      <c r="P579" s="75"/>
      <c r="Q579" s="2036">
        <v>1705</v>
      </c>
      <c r="R579" s="2036">
        <v>451</v>
      </c>
      <c r="S579" s="2036">
        <v>491</v>
      </c>
      <c r="T579" s="2036">
        <v>2148</v>
      </c>
      <c r="U579" s="2036">
        <v>2289</v>
      </c>
      <c r="V579" s="2036">
        <v>2284</v>
      </c>
      <c r="W579" s="2036">
        <v>3272</v>
      </c>
      <c r="X579" s="2036">
        <v>2532</v>
      </c>
      <c r="Y579" s="2036">
        <v>2966</v>
      </c>
      <c r="Z579" s="2036">
        <v>2326</v>
      </c>
      <c r="AA579" s="2036">
        <v>3134</v>
      </c>
      <c r="AB579" s="2036">
        <v>2333</v>
      </c>
      <c r="AC579" s="19">
        <f t="shared" si="405"/>
        <v>2647</v>
      </c>
      <c r="AD579" s="19">
        <f t="shared" si="406"/>
        <v>6721</v>
      </c>
      <c r="AE579" s="19">
        <f t="shared" si="407"/>
        <v>8770</v>
      </c>
      <c r="AF579" s="19">
        <f t="shared" si="408"/>
        <v>7793</v>
      </c>
      <c r="AG579" s="19">
        <f t="shared" si="409"/>
        <v>9368</v>
      </c>
      <c r="AH579" s="19">
        <f t="shared" si="410"/>
        <v>16563</v>
      </c>
      <c r="AI579" s="19">
        <f t="shared" si="411"/>
        <v>25931</v>
      </c>
    </row>
    <row r="580" spans="1:35">
      <c r="A580" s="990">
        <v>533</v>
      </c>
      <c r="B580" s="990">
        <v>1</v>
      </c>
      <c r="C580" s="990">
        <v>580</v>
      </c>
      <c r="E580" s="1243">
        <v>1</v>
      </c>
      <c r="I580" s="445"/>
      <c r="J580" s="446"/>
      <c r="K580" s="74"/>
      <c r="L580" s="74"/>
      <c r="M580" s="75"/>
      <c r="N580" s="75" t="s">
        <v>1042</v>
      </c>
      <c r="O580" s="75"/>
      <c r="P580" s="75"/>
      <c r="Q580" s="2036"/>
      <c r="R580" s="2036"/>
      <c r="S580" s="2036"/>
      <c r="T580" s="2036"/>
      <c r="U580" s="2036"/>
      <c r="V580" s="2036"/>
      <c r="W580" s="2036"/>
      <c r="X580" s="2036"/>
      <c r="Y580" s="2036"/>
      <c r="Z580" s="2036"/>
      <c r="AA580" s="2036"/>
      <c r="AB580" s="2036"/>
      <c r="AC580" s="19">
        <f t="shared" si="405"/>
        <v>0</v>
      </c>
      <c r="AD580" s="19">
        <f t="shared" si="406"/>
        <v>0</v>
      </c>
      <c r="AE580" s="19">
        <f t="shared" si="407"/>
        <v>0</v>
      </c>
      <c r="AF580" s="19">
        <f t="shared" si="408"/>
        <v>0</v>
      </c>
      <c r="AG580" s="19">
        <f t="shared" si="409"/>
        <v>0</v>
      </c>
      <c r="AH580" s="19">
        <f t="shared" si="410"/>
        <v>0</v>
      </c>
      <c r="AI580" s="19">
        <f t="shared" si="411"/>
        <v>0</v>
      </c>
    </row>
    <row r="581" spans="1:35">
      <c r="A581" s="990">
        <v>534</v>
      </c>
      <c r="B581" s="990">
        <v>1</v>
      </c>
      <c r="C581" s="990">
        <v>581</v>
      </c>
      <c r="E581" s="1243">
        <v>1</v>
      </c>
      <c r="I581" s="445"/>
      <c r="J581" s="446"/>
      <c r="K581" s="74"/>
      <c r="L581" s="74"/>
      <c r="M581" s="75"/>
      <c r="N581" s="75" t="s">
        <v>852</v>
      </c>
      <c r="O581" s="75"/>
      <c r="P581" s="75"/>
      <c r="Q581" s="2036"/>
      <c r="R581" s="2036"/>
      <c r="S581" s="2036"/>
      <c r="T581" s="2036"/>
      <c r="U581" s="2036"/>
      <c r="V581" s="2036"/>
      <c r="W581" s="2036"/>
      <c r="X581" s="2036"/>
      <c r="Y581" s="2036"/>
      <c r="Z581" s="2036"/>
      <c r="AA581" s="2036"/>
      <c r="AB581" s="2036"/>
      <c r="AC581" s="19">
        <f t="shared" si="405"/>
        <v>0</v>
      </c>
      <c r="AD581" s="19">
        <f t="shared" si="406"/>
        <v>0</v>
      </c>
      <c r="AE581" s="19">
        <f t="shared" si="407"/>
        <v>0</v>
      </c>
      <c r="AF581" s="19">
        <f t="shared" si="408"/>
        <v>0</v>
      </c>
      <c r="AG581" s="19">
        <f t="shared" si="409"/>
        <v>0</v>
      </c>
      <c r="AH581" s="19">
        <f t="shared" si="410"/>
        <v>0</v>
      </c>
      <c r="AI581" s="19">
        <f t="shared" si="411"/>
        <v>0</v>
      </c>
    </row>
    <row r="582" spans="1:35">
      <c r="A582" s="990">
        <v>535</v>
      </c>
      <c r="B582" s="990">
        <v>1</v>
      </c>
      <c r="C582" s="990">
        <v>582</v>
      </c>
      <c r="E582" s="1243">
        <v>1</v>
      </c>
      <c r="I582" s="445"/>
      <c r="J582" s="446"/>
      <c r="K582" s="73"/>
      <c r="L582" s="73"/>
      <c r="M582" s="75"/>
      <c r="N582" s="276" t="s">
        <v>11</v>
      </c>
      <c r="O582" s="276"/>
      <c r="P582" s="276"/>
      <c r="Q582" s="2037"/>
      <c r="R582" s="2037"/>
      <c r="S582" s="2037"/>
      <c r="T582" s="2037"/>
      <c r="U582" s="2037"/>
      <c r="V582" s="2037"/>
      <c r="W582" s="2037"/>
      <c r="X582" s="2037"/>
      <c r="Y582" s="2037"/>
      <c r="Z582" s="2037"/>
      <c r="AA582" s="2037"/>
      <c r="AB582" s="2037"/>
      <c r="AC582" s="17">
        <f t="shared" si="405"/>
        <v>0</v>
      </c>
      <c r="AD582" s="17">
        <f t="shared" si="406"/>
        <v>0</v>
      </c>
      <c r="AE582" s="17">
        <f t="shared" si="407"/>
        <v>0</v>
      </c>
      <c r="AF582" s="17">
        <f t="shared" si="408"/>
        <v>0</v>
      </c>
      <c r="AG582" s="17">
        <f t="shared" si="409"/>
        <v>0</v>
      </c>
      <c r="AH582" s="17">
        <f t="shared" si="410"/>
        <v>0</v>
      </c>
      <c r="AI582" s="17">
        <f t="shared" si="411"/>
        <v>0</v>
      </c>
    </row>
    <row r="583" spans="1:35">
      <c r="A583" s="990">
        <v>536</v>
      </c>
      <c r="B583" s="990">
        <v>1</v>
      </c>
      <c r="C583" s="990">
        <v>583</v>
      </c>
      <c r="E583" s="1243">
        <v>1</v>
      </c>
      <c r="I583" s="445"/>
      <c r="J583" s="446"/>
      <c r="K583" s="69" t="s">
        <v>1023</v>
      </c>
      <c r="L583" s="69"/>
      <c r="M583" s="610"/>
      <c r="N583" s="610"/>
      <c r="O583" s="610"/>
      <c r="P583" s="610"/>
      <c r="Q583" s="2056">
        <f t="shared" ref="Q583:AI583" si="412">Q584+Q591</f>
        <v>0</v>
      </c>
      <c r="R583" s="2056">
        <f t="shared" si="412"/>
        <v>0</v>
      </c>
      <c r="S583" s="2056">
        <f t="shared" si="412"/>
        <v>0</v>
      </c>
      <c r="T583" s="2056">
        <f t="shared" si="412"/>
        <v>0</v>
      </c>
      <c r="U583" s="2056">
        <f t="shared" si="412"/>
        <v>0</v>
      </c>
      <c r="V583" s="2056">
        <f t="shared" si="412"/>
        <v>0</v>
      </c>
      <c r="W583" s="2056">
        <f t="shared" si="412"/>
        <v>0</v>
      </c>
      <c r="X583" s="2056">
        <f t="shared" si="412"/>
        <v>0</v>
      </c>
      <c r="Y583" s="2056">
        <f t="shared" si="412"/>
        <v>0</v>
      </c>
      <c r="Z583" s="2056">
        <f t="shared" si="412"/>
        <v>0</v>
      </c>
      <c r="AA583" s="2056">
        <f t="shared" si="412"/>
        <v>0</v>
      </c>
      <c r="AB583" s="2056">
        <f t="shared" si="412"/>
        <v>0</v>
      </c>
      <c r="AC583" s="2056">
        <f t="shared" si="412"/>
        <v>0</v>
      </c>
      <c r="AD583" s="2056">
        <f t="shared" si="412"/>
        <v>0</v>
      </c>
      <c r="AE583" s="2056">
        <f t="shared" si="412"/>
        <v>0</v>
      </c>
      <c r="AF583" s="2056">
        <f t="shared" si="412"/>
        <v>0</v>
      </c>
      <c r="AG583" s="2056">
        <f t="shared" si="412"/>
        <v>0</v>
      </c>
      <c r="AH583" s="2056">
        <f t="shared" si="412"/>
        <v>0</v>
      </c>
      <c r="AI583" s="2056">
        <f t="shared" si="412"/>
        <v>0</v>
      </c>
    </row>
    <row r="584" spans="1:35">
      <c r="A584" s="990">
        <v>537</v>
      </c>
      <c r="B584" s="990">
        <v>1</v>
      </c>
      <c r="C584" s="990">
        <v>584</v>
      </c>
      <c r="E584" s="1243">
        <v>1</v>
      </c>
      <c r="I584" s="445"/>
      <c r="J584" s="446"/>
      <c r="K584" s="69"/>
      <c r="L584" s="69"/>
      <c r="M584" s="75" t="s">
        <v>1039</v>
      </c>
      <c r="N584" s="391"/>
      <c r="O584" s="391"/>
      <c r="P584" s="391"/>
      <c r="Q584" s="365">
        <f t="shared" ref="Q584:AI584" si="413">SUM(Q585:Q590)</f>
        <v>0</v>
      </c>
      <c r="R584" s="365">
        <f t="shared" si="413"/>
        <v>0</v>
      </c>
      <c r="S584" s="365">
        <f t="shared" si="413"/>
        <v>0</v>
      </c>
      <c r="T584" s="365">
        <f t="shared" si="413"/>
        <v>0</v>
      </c>
      <c r="U584" s="365">
        <f t="shared" si="413"/>
        <v>0</v>
      </c>
      <c r="V584" s="365">
        <f t="shared" si="413"/>
        <v>0</v>
      </c>
      <c r="W584" s="365">
        <f t="shared" si="413"/>
        <v>0</v>
      </c>
      <c r="X584" s="365">
        <f t="shared" si="413"/>
        <v>0</v>
      </c>
      <c r="Y584" s="365">
        <f t="shared" si="413"/>
        <v>0</v>
      </c>
      <c r="Z584" s="365">
        <f t="shared" si="413"/>
        <v>0</v>
      </c>
      <c r="AA584" s="365">
        <f t="shared" si="413"/>
        <v>0</v>
      </c>
      <c r="AB584" s="365">
        <f t="shared" si="413"/>
        <v>0</v>
      </c>
      <c r="AC584" s="365">
        <f t="shared" si="413"/>
        <v>0</v>
      </c>
      <c r="AD584" s="365">
        <f t="shared" si="413"/>
        <v>0</v>
      </c>
      <c r="AE584" s="365">
        <f t="shared" si="413"/>
        <v>0</v>
      </c>
      <c r="AF584" s="365">
        <f t="shared" si="413"/>
        <v>0</v>
      </c>
      <c r="AG584" s="365">
        <f t="shared" si="413"/>
        <v>0</v>
      </c>
      <c r="AH584" s="365">
        <f t="shared" si="413"/>
        <v>0</v>
      </c>
      <c r="AI584" s="365">
        <f t="shared" si="413"/>
        <v>0</v>
      </c>
    </row>
    <row r="585" spans="1:35">
      <c r="A585" s="990">
        <v>538</v>
      </c>
      <c r="B585" s="990">
        <v>1</v>
      </c>
      <c r="C585" s="990">
        <v>585</v>
      </c>
      <c r="E585" s="1243">
        <v>1</v>
      </c>
      <c r="I585" s="445"/>
      <c r="J585" s="446"/>
      <c r="K585" s="69"/>
      <c r="L585" s="69"/>
      <c r="M585" s="75"/>
      <c r="N585" s="377" t="s">
        <v>1098</v>
      </c>
      <c r="O585" s="377"/>
      <c r="P585" s="377"/>
      <c r="Q585" s="2042"/>
      <c r="R585" s="2042"/>
      <c r="S585" s="2042"/>
      <c r="T585" s="2042"/>
      <c r="U585" s="2042"/>
      <c r="V585" s="2042"/>
      <c r="W585" s="2042"/>
      <c r="X585" s="2042"/>
      <c r="Y585" s="2042"/>
      <c r="Z585" s="2042"/>
      <c r="AA585" s="2042"/>
      <c r="AB585" s="2042"/>
      <c r="AC585" s="109">
        <f t="shared" ref="AC585:AC590" si="414">SUM(Q585,R585,S585)</f>
        <v>0</v>
      </c>
      <c r="AD585" s="109">
        <f t="shared" ref="AD585:AD590" si="415">SUM(T585,U585,V585)</f>
        <v>0</v>
      </c>
      <c r="AE585" s="109">
        <f t="shared" ref="AE585:AE590" si="416">SUM(W585,X585,Y585)</f>
        <v>0</v>
      </c>
      <c r="AF585" s="109">
        <f t="shared" ref="AF585:AF590" si="417">SUM(Z585,AA585,AB585)</f>
        <v>0</v>
      </c>
      <c r="AG585" s="109">
        <f t="shared" ref="AG585:AG590" si="418">AC585+AD585</f>
        <v>0</v>
      </c>
      <c r="AH585" s="109">
        <f t="shared" ref="AH585:AH590" si="419">AF585+AE585</f>
        <v>0</v>
      </c>
      <c r="AI585" s="109">
        <f t="shared" ref="AI585:AI590" si="420">AG585+AH585</f>
        <v>0</v>
      </c>
    </row>
    <row r="586" spans="1:35">
      <c r="A586" s="990">
        <v>539</v>
      </c>
      <c r="B586" s="990">
        <v>1</v>
      </c>
      <c r="C586" s="990">
        <v>586</v>
      </c>
      <c r="E586" s="1243">
        <v>1</v>
      </c>
      <c r="I586" s="445"/>
      <c r="J586" s="446"/>
      <c r="K586" s="69"/>
      <c r="L586" s="69"/>
      <c r="M586" s="75"/>
      <c r="N586" s="75" t="s">
        <v>1040</v>
      </c>
      <c r="O586" s="75"/>
      <c r="P586" s="75"/>
      <c r="Q586" s="2036"/>
      <c r="R586" s="2036"/>
      <c r="S586" s="2036"/>
      <c r="T586" s="2036"/>
      <c r="U586" s="2036"/>
      <c r="V586" s="2036"/>
      <c r="W586" s="2036"/>
      <c r="X586" s="2036"/>
      <c r="Y586" s="2036"/>
      <c r="Z586" s="2036"/>
      <c r="AA586" s="2036"/>
      <c r="AB586" s="2036"/>
      <c r="AC586" s="19">
        <f t="shared" si="414"/>
        <v>0</v>
      </c>
      <c r="AD586" s="19">
        <f t="shared" si="415"/>
        <v>0</v>
      </c>
      <c r="AE586" s="19">
        <f t="shared" si="416"/>
        <v>0</v>
      </c>
      <c r="AF586" s="19">
        <f t="shared" si="417"/>
        <v>0</v>
      </c>
      <c r="AG586" s="19">
        <f t="shared" si="418"/>
        <v>0</v>
      </c>
      <c r="AH586" s="19">
        <f t="shared" si="419"/>
        <v>0</v>
      </c>
      <c r="AI586" s="19">
        <f t="shared" si="420"/>
        <v>0</v>
      </c>
    </row>
    <row r="587" spans="1:35">
      <c r="A587" s="990">
        <v>540</v>
      </c>
      <c r="B587" s="990">
        <v>1</v>
      </c>
      <c r="C587" s="990">
        <v>587</v>
      </c>
      <c r="E587" s="1243">
        <v>1</v>
      </c>
      <c r="I587" s="445"/>
      <c r="J587" s="446"/>
      <c r="K587" s="69"/>
      <c r="L587" s="69"/>
      <c r="M587" s="75"/>
      <c r="N587" s="75" t="s">
        <v>1041</v>
      </c>
      <c r="O587" s="75"/>
      <c r="P587" s="75"/>
      <c r="Q587" s="2036"/>
      <c r="R587" s="2036"/>
      <c r="S587" s="2036"/>
      <c r="T587" s="2036"/>
      <c r="U587" s="2036"/>
      <c r="V587" s="2036"/>
      <c r="W587" s="2036"/>
      <c r="X587" s="2036"/>
      <c r="Y587" s="2036"/>
      <c r="Z587" s="2036"/>
      <c r="AA587" s="2036"/>
      <c r="AB587" s="2036"/>
      <c r="AC587" s="19">
        <f t="shared" si="414"/>
        <v>0</v>
      </c>
      <c r="AD587" s="19">
        <f t="shared" si="415"/>
        <v>0</v>
      </c>
      <c r="AE587" s="19">
        <f t="shared" si="416"/>
        <v>0</v>
      </c>
      <c r="AF587" s="19">
        <f t="shared" si="417"/>
        <v>0</v>
      </c>
      <c r="AG587" s="19">
        <f t="shared" si="418"/>
        <v>0</v>
      </c>
      <c r="AH587" s="19">
        <f t="shared" si="419"/>
        <v>0</v>
      </c>
      <c r="AI587" s="19">
        <f t="shared" si="420"/>
        <v>0</v>
      </c>
    </row>
    <row r="588" spans="1:35">
      <c r="A588" s="990">
        <v>541</v>
      </c>
      <c r="B588" s="990">
        <v>1</v>
      </c>
      <c r="C588" s="990">
        <v>588</v>
      </c>
      <c r="E588" s="1243">
        <v>1</v>
      </c>
      <c r="I588" s="445"/>
      <c r="J588" s="446"/>
      <c r="K588" s="69"/>
      <c r="L588" s="69"/>
      <c r="M588" s="75"/>
      <c r="N588" s="75" t="s">
        <v>1042</v>
      </c>
      <c r="O588" s="75"/>
      <c r="P588" s="75"/>
      <c r="Q588" s="2036"/>
      <c r="R588" s="2036"/>
      <c r="S588" s="2036"/>
      <c r="T588" s="2036"/>
      <c r="U588" s="2036"/>
      <c r="V588" s="2036"/>
      <c r="W588" s="2036"/>
      <c r="X588" s="2036"/>
      <c r="Y588" s="2036"/>
      <c r="Z588" s="2036"/>
      <c r="AA588" s="2036"/>
      <c r="AB588" s="2036"/>
      <c r="AC588" s="19">
        <f t="shared" si="414"/>
        <v>0</v>
      </c>
      <c r="AD588" s="19">
        <f t="shared" si="415"/>
        <v>0</v>
      </c>
      <c r="AE588" s="19">
        <f t="shared" si="416"/>
        <v>0</v>
      </c>
      <c r="AF588" s="19">
        <f t="shared" si="417"/>
        <v>0</v>
      </c>
      <c r="AG588" s="19">
        <f t="shared" si="418"/>
        <v>0</v>
      </c>
      <c r="AH588" s="19">
        <f t="shared" si="419"/>
        <v>0</v>
      </c>
      <c r="AI588" s="19">
        <f t="shared" si="420"/>
        <v>0</v>
      </c>
    </row>
    <row r="589" spans="1:35">
      <c r="A589" s="990">
        <v>542</v>
      </c>
      <c r="B589" s="990">
        <v>1</v>
      </c>
      <c r="C589" s="990">
        <v>589</v>
      </c>
      <c r="E589" s="1243">
        <v>1</v>
      </c>
      <c r="I589" s="445"/>
      <c r="J589" s="446"/>
      <c r="K589" s="69"/>
      <c r="L589" s="69"/>
      <c r="M589" s="75"/>
      <c r="N589" s="75" t="s">
        <v>852</v>
      </c>
      <c r="O589" s="75"/>
      <c r="P589" s="75"/>
      <c r="Q589" s="2036"/>
      <c r="R589" s="2036"/>
      <c r="S589" s="2036"/>
      <c r="T589" s="2036"/>
      <c r="U589" s="2036"/>
      <c r="V589" s="2036"/>
      <c r="W589" s="2036"/>
      <c r="X589" s="2036"/>
      <c r="Y589" s="2036"/>
      <c r="Z589" s="2036"/>
      <c r="AA589" s="2036"/>
      <c r="AB589" s="2036"/>
      <c r="AC589" s="19">
        <f t="shared" si="414"/>
        <v>0</v>
      </c>
      <c r="AD589" s="19">
        <f t="shared" si="415"/>
        <v>0</v>
      </c>
      <c r="AE589" s="19">
        <f t="shared" si="416"/>
        <v>0</v>
      </c>
      <c r="AF589" s="19">
        <f t="shared" si="417"/>
        <v>0</v>
      </c>
      <c r="AG589" s="19">
        <f t="shared" si="418"/>
        <v>0</v>
      </c>
      <c r="AH589" s="19">
        <f t="shared" si="419"/>
        <v>0</v>
      </c>
      <c r="AI589" s="19">
        <f t="shared" si="420"/>
        <v>0</v>
      </c>
    </row>
    <row r="590" spans="1:35">
      <c r="A590" s="990">
        <v>543</v>
      </c>
      <c r="B590" s="990">
        <v>1</v>
      </c>
      <c r="C590" s="990">
        <v>590</v>
      </c>
      <c r="E590" s="1243">
        <v>1</v>
      </c>
      <c r="I590" s="445"/>
      <c r="J590" s="446"/>
      <c r="K590" s="69"/>
      <c r="L590" s="69"/>
      <c r="M590" s="75"/>
      <c r="N590" s="276" t="s">
        <v>11</v>
      </c>
      <c r="O590" s="276"/>
      <c r="P590" s="276"/>
      <c r="Q590" s="2037"/>
      <c r="R590" s="2037"/>
      <c r="S590" s="2037"/>
      <c r="T590" s="2037"/>
      <c r="U590" s="2037"/>
      <c r="V590" s="2037"/>
      <c r="W590" s="2037"/>
      <c r="X590" s="2037"/>
      <c r="Y590" s="2037"/>
      <c r="Z590" s="2037"/>
      <c r="AA590" s="2037"/>
      <c r="AB590" s="2037"/>
      <c r="AC590" s="17">
        <f t="shared" si="414"/>
        <v>0</v>
      </c>
      <c r="AD590" s="17">
        <f t="shared" si="415"/>
        <v>0</v>
      </c>
      <c r="AE590" s="17">
        <f t="shared" si="416"/>
        <v>0</v>
      </c>
      <c r="AF590" s="17">
        <f t="shared" si="417"/>
        <v>0</v>
      </c>
      <c r="AG590" s="17">
        <f t="shared" si="418"/>
        <v>0</v>
      </c>
      <c r="AH590" s="17">
        <f t="shared" si="419"/>
        <v>0</v>
      </c>
      <c r="AI590" s="17">
        <f t="shared" si="420"/>
        <v>0</v>
      </c>
    </row>
    <row r="591" spans="1:35">
      <c r="A591" s="990">
        <v>544</v>
      </c>
      <c r="B591" s="990">
        <v>1</v>
      </c>
      <c r="C591" s="990">
        <v>591</v>
      </c>
      <c r="E591" s="1243">
        <v>1</v>
      </c>
      <c r="I591" s="445"/>
      <c r="J591" s="446"/>
      <c r="K591" s="69"/>
      <c r="L591" s="69"/>
      <c r="M591" s="1198" t="s">
        <v>95</v>
      </c>
      <c r="N591" s="391"/>
      <c r="O591" s="391"/>
      <c r="P591" s="391"/>
      <c r="Q591" s="365">
        <f t="shared" ref="Q591:AI591" si="421">SUM(Q592:Q597)</f>
        <v>0</v>
      </c>
      <c r="R591" s="365">
        <f t="shared" si="421"/>
        <v>0</v>
      </c>
      <c r="S591" s="365">
        <f t="shared" si="421"/>
        <v>0</v>
      </c>
      <c r="T591" s="365">
        <f t="shared" si="421"/>
        <v>0</v>
      </c>
      <c r="U591" s="365">
        <f t="shared" si="421"/>
        <v>0</v>
      </c>
      <c r="V591" s="365">
        <f t="shared" si="421"/>
        <v>0</v>
      </c>
      <c r="W591" s="365">
        <f t="shared" si="421"/>
        <v>0</v>
      </c>
      <c r="X591" s="365">
        <f t="shared" si="421"/>
        <v>0</v>
      </c>
      <c r="Y591" s="365">
        <f t="shared" si="421"/>
        <v>0</v>
      </c>
      <c r="Z591" s="365">
        <f t="shared" si="421"/>
        <v>0</v>
      </c>
      <c r="AA591" s="365">
        <f t="shared" si="421"/>
        <v>0</v>
      </c>
      <c r="AB591" s="365">
        <f t="shared" si="421"/>
        <v>0</v>
      </c>
      <c r="AC591" s="365">
        <f t="shared" si="421"/>
        <v>0</v>
      </c>
      <c r="AD591" s="365">
        <f t="shared" si="421"/>
        <v>0</v>
      </c>
      <c r="AE591" s="365">
        <f t="shared" si="421"/>
        <v>0</v>
      </c>
      <c r="AF591" s="365">
        <f t="shared" si="421"/>
        <v>0</v>
      </c>
      <c r="AG591" s="365">
        <f t="shared" si="421"/>
        <v>0</v>
      </c>
      <c r="AH591" s="365">
        <f t="shared" si="421"/>
        <v>0</v>
      </c>
      <c r="AI591" s="365">
        <f t="shared" si="421"/>
        <v>0</v>
      </c>
    </row>
    <row r="592" spans="1:35">
      <c r="A592" s="990">
        <v>545</v>
      </c>
      <c r="B592" s="990">
        <v>1</v>
      </c>
      <c r="C592" s="990">
        <v>592</v>
      </c>
      <c r="E592" s="1243">
        <v>1</v>
      </c>
      <c r="I592" s="445"/>
      <c r="J592" s="446"/>
      <c r="K592" s="69"/>
      <c r="L592" s="69"/>
      <c r="M592" s="75"/>
      <c r="N592" s="377" t="s">
        <v>1098</v>
      </c>
      <c r="O592" s="377"/>
      <c r="P592" s="377"/>
      <c r="Q592" s="2042"/>
      <c r="R592" s="2042"/>
      <c r="S592" s="2042"/>
      <c r="T592" s="2042"/>
      <c r="U592" s="2042"/>
      <c r="V592" s="2042"/>
      <c r="W592" s="2042"/>
      <c r="X592" s="2042"/>
      <c r="Y592" s="2042"/>
      <c r="Z592" s="2042"/>
      <c r="AA592" s="2042"/>
      <c r="AB592" s="2042"/>
      <c r="AC592" s="109">
        <f t="shared" ref="AC592:AC597" si="422">SUM(Q592,R592,S592)</f>
        <v>0</v>
      </c>
      <c r="AD592" s="109">
        <f t="shared" ref="AD592:AD597" si="423">SUM(T592,U592,V592)</f>
        <v>0</v>
      </c>
      <c r="AE592" s="109">
        <f t="shared" ref="AE592:AE597" si="424">SUM(W592,X592,Y592)</f>
        <v>0</v>
      </c>
      <c r="AF592" s="109">
        <f t="shared" ref="AF592:AF597" si="425">SUM(Z592,AA592,AB592)</f>
        <v>0</v>
      </c>
      <c r="AG592" s="109">
        <f t="shared" ref="AG592:AG597" si="426">AC592+AD592</f>
        <v>0</v>
      </c>
      <c r="AH592" s="109">
        <f t="shared" ref="AH592:AH597" si="427">AF592+AE592</f>
        <v>0</v>
      </c>
      <c r="AI592" s="109">
        <f t="shared" ref="AI592:AI597" si="428">AG592+AH592</f>
        <v>0</v>
      </c>
    </row>
    <row r="593" spans="1:35">
      <c r="A593" s="990">
        <v>546</v>
      </c>
      <c r="B593" s="990">
        <v>1</v>
      </c>
      <c r="C593" s="990">
        <v>593</v>
      </c>
      <c r="E593" s="1243">
        <v>1</v>
      </c>
      <c r="I593" s="445"/>
      <c r="J593" s="446"/>
      <c r="K593" s="69"/>
      <c r="L593" s="69"/>
      <c r="M593" s="75"/>
      <c r="N593" s="75" t="s">
        <v>1040</v>
      </c>
      <c r="O593" s="75"/>
      <c r="P593" s="75"/>
      <c r="Q593" s="2036"/>
      <c r="R593" s="2036"/>
      <c r="S593" s="2036"/>
      <c r="T593" s="2036"/>
      <c r="U593" s="2036"/>
      <c r="V593" s="2036"/>
      <c r="W593" s="2036"/>
      <c r="X593" s="2036"/>
      <c r="Y593" s="2036"/>
      <c r="Z593" s="2036"/>
      <c r="AA593" s="2036"/>
      <c r="AB593" s="2036"/>
      <c r="AC593" s="19">
        <f t="shared" si="422"/>
        <v>0</v>
      </c>
      <c r="AD593" s="19">
        <f t="shared" si="423"/>
        <v>0</v>
      </c>
      <c r="AE593" s="19">
        <f t="shared" si="424"/>
        <v>0</v>
      </c>
      <c r="AF593" s="19">
        <f t="shared" si="425"/>
        <v>0</v>
      </c>
      <c r="AG593" s="19">
        <f t="shared" si="426"/>
        <v>0</v>
      </c>
      <c r="AH593" s="19">
        <f t="shared" si="427"/>
        <v>0</v>
      </c>
      <c r="AI593" s="19">
        <f t="shared" si="428"/>
        <v>0</v>
      </c>
    </row>
    <row r="594" spans="1:35">
      <c r="A594" s="990">
        <v>547</v>
      </c>
      <c r="B594" s="990">
        <v>1</v>
      </c>
      <c r="C594" s="990">
        <v>594</v>
      </c>
      <c r="E594" s="1243">
        <v>1</v>
      </c>
      <c r="I594" s="445"/>
      <c r="J594" s="446"/>
      <c r="K594" s="69"/>
      <c r="L594" s="69"/>
      <c r="M594" s="75"/>
      <c r="N594" s="75" t="s">
        <v>1041</v>
      </c>
      <c r="O594" s="75"/>
      <c r="P594" s="75"/>
      <c r="Q594" s="2036"/>
      <c r="R594" s="2036"/>
      <c r="S594" s="2036"/>
      <c r="T594" s="2036"/>
      <c r="U594" s="2036"/>
      <c r="V594" s="2036"/>
      <c r="W594" s="2036"/>
      <c r="X594" s="2036"/>
      <c r="Y594" s="2036"/>
      <c r="Z594" s="2036"/>
      <c r="AA594" s="2036"/>
      <c r="AB594" s="2036"/>
      <c r="AC594" s="19">
        <f t="shared" si="422"/>
        <v>0</v>
      </c>
      <c r="AD594" s="19">
        <f t="shared" si="423"/>
        <v>0</v>
      </c>
      <c r="AE594" s="19">
        <f t="shared" si="424"/>
        <v>0</v>
      </c>
      <c r="AF594" s="19">
        <f t="shared" si="425"/>
        <v>0</v>
      </c>
      <c r="AG594" s="19">
        <f t="shared" si="426"/>
        <v>0</v>
      </c>
      <c r="AH594" s="19">
        <f t="shared" si="427"/>
        <v>0</v>
      </c>
      <c r="AI594" s="19">
        <f t="shared" si="428"/>
        <v>0</v>
      </c>
    </row>
    <row r="595" spans="1:35">
      <c r="A595" s="990">
        <v>548</v>
      </c>
      <c r="B595" s="990">
        <v>1</v>
      </c>
      <c r="C595" s="990">
        <v>595</v>
      </c>
      <c r="E595" s="1243">
        <v>1</v>
      </c>
      <c r="I595" s="445"/>
      <c r="J595" s="446"/>
      <c r="K595" s="69"/>
      <c r="L595" s="69"/>
      <c r="M595" s="75"/>
      <c r="N595" s="75" t="s">
        <v>1042</v>
      </c>
      <c r="O595" s="75"/>
      <c r="P595" s="75"/>
      <c r="Q595" s="2036"/>
      <c r="R595" s="2036"/>
      <c r="S595" s="2036"/>
      <c r="T595" s="2036"/>
      <c r="U595" s="2036"/>
      <c r="V595" s="2036"/>
      <c r="W595" s="2036"/>
      <c r="X595" s="2036"/>
      <c r="Y595" s="2036"/>
      <c r="Z595" s="2036"/>
      <c r="AA595" s="2036"/>
      <c r="AB595" s="2036"/>
      <c r="AC595" s="19">
        <f t="shared" si="422"/>
        <v>0</v>
      </c>
      <c r="AD595" s="19">
        <f t="shared" si="423"/>
        <v>0</v>
      </c>
      <c r="AE595" s="19">
        <f t="shared" si="424"/>
        <v>0</v>
      </c>
      <c r="AF595" s="19">
        <f t="shared" si="425"/>
        <v>0</v>
      </c>
      <c r="AG595" s="19">
        <f t="shared" si="426"/>
        <v>0</v>
      </c>
      <c r="AH595" s="19">
        <f t="shared" si="427"/>
        <v>0</v>
      </c>
      <c r="AI595" s="19">
        <f t="shared" si="428"/>
        <v>0</v>
      </c>
    </row>
    <row r="596" spans="1:35">
      <c r="A596" s="990">
        <v>549</v>
      </c>
      <c r="B596" s="990">
        <v>1</v>
      </c>
      <c r="C596" s="990">
        <v>596</v>
      </c>
      <c r="E596" s="1243">
        <v>1</v>
      </c>
      <c r="I596" s="445"/>
      <c r="J596" s="446"/>
      <c r="K596" s="69"/>
      <c r="L596" s="69"/>
      <c r="M596" s="75"/>
      <c r="N596" s="75" t="s">
        <v>852</v>
      </c>
      <c r="O596" s="75"/>
      <c r="P596" s="75"/>
      <c r="Q596" s="2036"/>
      <c r="R596" s="2036"/>
      <c r="S596" s="2036"/>
      <c r="T596" s="2036"/>
      <c r="U596" s="2036"/>
      <c r="V596" s="2036"/>
      <c r="W596" s="2036"/>
      <c r="X596" s="2036"/>
      <c r="Y596" s="2036"/>
      <c r="Z596" s="2036"/>
      <c r="AA596" s="2036"/>
      <c r="AB596" s="2036"/>
      <c r="AC596" s="19">
        <f t="shared" si="422"/>
        <v>0</v>
      </c>
      <c r="AD596" s="19">
        <f t="shared" si="423"/>
        <v>0</v>
      </c>
      <c r="AE596" s="19">
        <f t="shared" si="424"/>
        <v>0</v>
      </c>
      <c r="AF596" s="19">
        <f t="shared" si="425"/>
        <v>0</v>
      </c>
      <c r="AG596" s="19">
        <f t="shared" si="426"/>
        <v>0</v>
      </c>
      <c r="AH596" s="19">
        <f t="shared" si="427"/>
        <v>0</v>
      </c>
      <c r="AI596" s="19">
        <f t="shared" si="428"/>
        <v>0</v>
      </c>
    </row>
    <row r="597" spans="1:35">
      <c r="A597" s="990">
        <v>550</v>
      </c>
      <c r="B597" s="990">
        <v>1</v>
      </c>
      <c r="C597" s="990">
        <v>597</v>
      </c>
      <c r="E597" s="1243">
        <v>1</v>
      </c>
      <c r="I597" s="445"/>
      <c r="J597" s="446"/>
      <c r="K597" s="69"/>
      <c r="L597" s="69"/>
      <c r="M597" s="75"/>
      <c r="N597" s="276" t="s">
        <v>11</v>
      </c>
      <c r="O597" s="276"/>
      <c r="P597" s="276"/>
      <c r="Q597" s="2037"/>
      <c r="R597" s="2037"/>
      <c r="S597" s="2037"/>
      <c r="T597" s="2037"/>
      <c r="U597" s="2037"/>
      <c r="V597" s="2037"/>
      <c r="W597" s="2037"/>
      <c r="X597" s="2037"/>
      <c r="Y597" s="2037"/>
      <c r="Z597" s="2037"/>
      <c r="AA597" s="2037"/>
      <c r="AB597" s="2037"/>
      <c r="AC597" s="17">
        <f t="shared" si="422"/>
        <v>0</v>
      </c>
      <c r="AD597" s="17">
        <f t="shared" si="423"/>
        <v>0</v>
      </c>
      <c r="AE597" s="17">
        <f t="shared" si="424"/>
        <v>0</v>
      </c>
      <c r="AF597" s="17">
        <f t="shared" si="425"/>
        <v>0</v>
      </c>
      <c r="AG597" s="17">
        <f t="shared" si="426"/>
        <v>0</v>
      </c>
      <c r="AH597" s="17">
        <f t="shared" si="427"/>
        <v>0</v>
      </c>
      <c r="AI597" s="17">
        <f t="shared" si="428"/>
        <v>0</v>
      </c>
    </row>
    <row r="598" spans="1:35">
      <c r="A598" s="990">
        <v>551</v>
      </c>
      <c r="B598" s="990">
        <v>1</v>
      </c>
      <c r="C598" s="990">
        <v>598</v>
      </c>
      <c r="E598" s="1243">
        <v>1</v>
      </c>
      <c r="I598" s="458" t="s">
        <v>134</v>
      </c>
      <c r="J598" s="604"/>
      <c r="K598" s="788"/>
      <c r="L598" s="788"/>
      <c r="M598" s="604"/>
      <c r="N598" s="604"/>
      <c r="O598" s="604"/>
      <c r="P598" s="604"/>
      <c r="Q598" s="2074">
        <f t="shared" ref="Q598:AI598" si="429">Q599+Q643</f>
        <v>3475</v>
      </c>
      <c r="R598" s="2074">
        <f t="shared" si="429"/>
        <v>3894</v>
      </c>
      <c r="S598" s="2074">
        <f t="shared" si="429"/>
        <v>12475</v>
      </c>
      <c r="T598" s="2074">
        <f t="shared" si="429"/>
        <v>-584</v>
      </c>
      <c r="U598" s="2074">
        <f t="shared" si="429"/>
        <v>741</v>
      </c>
      <c r="V598" s="2074">
        <f t="shared" si="429"/>
        <v>-273</v>
      </c>
      <c r="W598" s="2074">
        <f t="shared" si="429"/>
        <v>-1099</v>
      </c>
      <c r="X598" s="2074">
        <f t="shared" si="429"/>
        <v>1503</v>
      </c>
      <c r="Y598" s="2074">
        <f t="shared" si="429"/>
        <v>-12979</v>
      </c>
      <c r="Z598" s="2074">
        <f t="shared" si="429"/>
        <v>14505</v>
      </c>
      <c r="AA598" s="2074">
        <f t="shared" si="429"/>
        <v>10381</v>
      </c>
      <c r="AB598" s="2074">
        <f t="shared" si="429"/>
        <v>1804</v>
      </c>
      <c r="AC598" s="2074">
        <f t="shared" si="429"/>
        <v>19844</v>
      </c>
      <c r="AD598" s="2074">
        <f t="shared" si="429"/>
        <v>-116</v>
      </c>
      <c r="AE598" s="2074">
        <f t="shared" si="429"/>
        <v>-12575</v>
      </c>
      <c r="AF598" s="2074">
        <f t="shared" si="429"/>
        <v>26690</v>
      </c>
      <c r="AG598" s="2074">
        <f t="shared" si="429"/>
        <v>19728</v>
      </c>
      <c r="AH598" s="2074">
        <f t="shared" si="429"/>
        <v>14115</v>
      </c>
      <c r="AI598" s="2074">
        <f t="shared" si="429"/>
        <v>33843</v>
      </c>
    </row>
    <row r="599" spans="1:35">
      <c r="A599" s="990">
        <v>552</v>
      </c>
      <c r="B599" s="990">
        <v>1</v>
      </c>
      <c r="C599" s="990">
        <v>599</v>
      </c>
      <c r="E599" s="1243">
        <v>1</v>
      </c>
      <c r="I599" s="445"/>
      <c r="J599" s="446"/>
      <c r="K599" s="74" t="s">
        <v>1022</v>
      </c>
      <c r="L599" s="74"/>
      <c r="M599" s="357"/>
      <c r="N599" s="357"/>
      <c r="O599" s="357"/>
      <c r="P599" s="357"/>
      <c r="Q599" s="359">
        <f>Q600+Q607</f>
        <v>3475</v>
      </c>
      <c r="R599" s="359">
        <f t="shared" ref="R599:AI599" si="430">R600+R607</f>
        <v>3894</v>
      </c>
      <c r="S599" s="359">
        <f t="shared" si="430"/>
        <v>12475</v>
      </c>
      <c r="T599" s="359">
        <f t="shared" si="430"/>
        <v>-584</v>
      </c>
      <c r="U599" s="359">
        <f t="shared" si="430"/>
        <v>741</v>
      </c>
      <c r="V599" s="359">
        <f t="shared" si="430"/>
        <v>-273</v>
      </c>
      <c r="W599" s="359">
        <f t="shared" si="430"/>
        <v>-1099</v>
      </c>
      <c r="X599" s="359">
        <f t="shared" si="430"/>
        <v>1503</v>
      </c>
      <c r="Y599" s="359">
        <f t="shared" si="430"/>
        <v>-12979</v>
      </c>
      <c r="Z599" s="359">
        <f t="shared" si="430"/>
        <v>14505</v>
      </c>
      <c r="AA599" s="359">
        <f t="shared" si="430"/>
        <v>10381</v>
      </c>
      <c r="AB599" s="359">
        <f t="shared" si="430"/>
        <v>1804</v>
      </c>
      <c r="AC599" s="359">
        <f t="shared" si="430"/>
        <v>19844</v>
      </c>
      <c r="AD599" s="359">
        <f t="shared" si="430"/>
        <v>-116</v>
      </c>
      <c r="AE599" s="359">
        <f t="shared" si="430"/>
        <v>-12575</v>
      </c>
      <c r="AF599" s="359">
        <f t="shared" si="430"/>
        <v>26690</v>
      </c>
      <c r="AG599" s="359">
        <f t="shared" si="430"/>
        <v>19728</v>
      </c>
      <c r="AH599" s="359">
        <f t="shared" si="430"/>
        <v>14115</v>
      </c>
      <c r="AI599" s="359">
        <f t="shared" si="430"/>
        <v>33843</v>
      </c>
    </row>
    <row r="600" spans="1:35">
      <c r="A600" s="990">
        <v>553</v>
      </c>
      <c r="B600" s="990">
        <v>1</v>
      </c>
      <c r="C600" s="990">
        <v>600</v>
      </c>
      <c r="E600" s="1243">
        <v>1</v>
      </c>
      <c r="I600" s="445"/>
      <c r="J600" s="446"/>
      <c r="K600" s="74"/>
      <c r="L600" s="74"/>
      <c r="M600" s="75" t="s">
        <v>1039</v>
      </c>
      <c r="N600" s="391"/>
      <c r="O600" s="391"/>
      <c r="P600" s="391"/>
      <c r="Q600" s="365">
        <f t="shared" ref="Q600:AI600" si="431">SUM(Q601:Q606)</f>
        <v>3610</v>
      </c>
      <c r="R600" s="365">
        <f t="shared" si="431"/>
        <v>4993</v>
      </c>
      <c r="S600" s="365">
        <f t="shared" si="431"/>
        <v>12424</v>
      </c>
      <c r="T600" s="365">
        <f t="shared" si="431"/>
        <v>23</v>
      </c>
      <c r="U600" s="365">
        <f t="shared" si="431"/>
        <v>-238</v>
      </c>
      <c r="V600" s="365">
        <f t="shared" si="431"/>
        <v>18</v>
      </c>
      <c r="W600" s="365">
        <f t="shared" si="431"/>
        <v>14</v>
      </c>
      <c r="X600" s="365">
        <f t="shared" si="431"/>
        <v>-237</v>
      </c>
      <c r="Y600" s="365">
        <f t="shared" si="431"/>
        <v>-14295</v>
      </c>
      <c r="Z600" s="365">
        <f t="shared" si="431"/>
        <v>12689</v>
      </c>
      <c r="AA600" s="365">
        <f t="shared" si="431"/>
        <v>9768</v>
      </c>
      <c r="AB600" s="365">
        <f t="shared" si="431"/>
        <v>1733</v>
      </c>
      <c r="AC600" s="365">
        <f t="shared" si="431"/>
        <v>21027</v>
      </c>
      <c r="AD600" s="365">
        <f t="shared" si="431"/>
        <v>-197</v>
      </c>
      <c r="AE600" s="365">
        <f t="shared" si="431"/>
        <v>-14518</v>
      </c>
      <c r="AF600" s="365">
        <f t="shared" si="431"/>
        <v>24190</v>
      </c>
      <c r="AG600" s="365">
        <f t="shared" si="431"/>
        <v>20830</v>
      </c>
      <c r="AH600" s="365">
        <f t="shared" si="431"/>
        <v>9672</v>
      </c>
      <c r="AI600" s="365">
        <f t="shared" si="431"/>
        <v>30502</v>
      </c>
    </row>
    <row r="601" spans="1:35">
      <c r="A601" s="990">
        <v>554</v>
      </c>
      <c r="B601" s="990">
        <v>1</v>
      </c>
      <c r="C601" s="990">
        <v>601</v>
      </c>
      <c r="E601" s="1243">
        <v>1</v>
      </c>
      <c r="I601" s="445"/>
      <c r="J601" s="446"/>
      <c r="K601" s="74"/>
      <c r="L601" s="74"/>
      <c r="M601" s="75"/>
      <c r="N601" s="377" t="s">
        <v>1098</v>
      </c>
      <c r="O601" s="377"/>
      <c r="P601" s="377"/>
      <c r="Q601" s="2042">
        <v>-129</v>
      </c>
      <c r="R601" s="2042"/>
      <c r="S601" s="2042"/>
      <c r="T601" s="2042"/>
      <c r="U601" s="2042"/>
      <c r="V601" s="2042"/>
      <c r="W601" s="2042"/>
      <c r="X601" s="2042"/>
      <c r="Y601" s="2042"/>
      <c r="Z601" s="2042"/>
      <c r="AA601" s="2042">
        <v>-1776</v>
      </c>
      <c r="AB601" s="2042">
        <v>267</v>
      </c>
      <c r="AC601" s="109">
        <f t="shared" ref="AC601:AC606" si="432">SUM(Q601,R601,S601)</f>
        <v>-129</v>
      </c>
      <c r="AD601" s="109">
        <f t="shared" ref="AD601:AD606" si="433">SUM(T601,U601,V601)</f>
        <v>0</v>
      </c>
      <c r="AE601" s="109">
        <f t="shared" ref="AE601:AE606" si="434">SUM(W601,X601,Y601)</f>
        <v>0</v>
      </c>
      <c r="AF601" s="109">
        <f t="shared" ref="AF601:AF606" si="435">SUM(Z601,AA601,AB601)</f>
        <v>-1509</v>
      </c>
      <c r="AG601" s="109">
        <f t="shared" ref="AG601:AG606" si="436">AC601+AD601</f>
        <v>-129</v>
      </c>
      <c r="AH601" s="109">
        <f t="shared" ref="AH601:AH606" si="437">AF601+AE601</f>
        <v>-1509</v>
      </c>
      <c r="AI601" s="109">
        <f t="shared" ref="AI601:AI606" si="438">AG601+AH601</f>
        <v>-1638</v>
      </c>
    </row>
    <row r="602" spans="1:35">
      <c r="A602" s="990">
        <v>555</v>
      </c>
      <c r="B602" s="990">
        <v>1</v>
      </c>
      <c r="C602" s="990">
        <v>602</v>
      </c>
      <c r="E602" s="1243">
        <v>1</v>
      </c>
      <c r="I602" s="445"/>
      <c r="J602" s="446"/>
      <c r="K602" s="74"/>
      <c r="L602" s="74"/>
      <c r="M602" s="75"/>
      <c r="N602" s="75" t="s">
        <v>1040</v>
      </c>
      <c r="O602" s="75"/>
      <c r="P602" s="75"/>
      <c r="Q602" s="2036"/>
      <c r="R602" s="2036">
        <v>4842</v>
      </c>
      <c r="S602" s="2036">
        <v>5352</v>
      </c>
      <c r="T602" s="2036"/>
      <c r="U602" s="2036"/>
      <c r="V602" s="2036"/>
      <c r="W602" s="2036"/>
      <c r="X602" s="2036"/>
      <c r="Y602" s="2036">
        <v>94</v>
      </c>
      <c r="Z602" s="2036"/>
      <c r="AA602" s="2036">
        <v>5564</v>
      </c>
      <c r="AB602" s="2036">
        <v>1057</v>
      </c>
      <c r="AC602" s="19">
        <f t="shared" si="432"/>
        <v>10194</v>
      </c>
      <c r="AD602" s="19">
        <f t="shared" si="433"/>
        <v>0</v>
      </c>
      <c r="AE602" s="19">
        <f t="shared" si="434"/>
        <v>94</v>
      </c>
      <c r="AF602" s="19">
        <f t="shared" si="435"/>
        <v>6621</v>
      </c>
      <c r="AG602" s="19">
        <f t="shared" si="436"/>
        <v>10194</v>
      </c>
      <c r="AH602" s="19">
        <f t="shared" si="437"/>
        <v>6715</v>
      </c>
      <c r="AI602" s="19">
        <f t="shared" si="438"/>
        <v>16909</v>
      </c>
    </row>
    <row r="603" spans="1:35">
      <c r="A603" s="990">
        <v>556</v>
      </c>
      <c r="B603" s="990">
        <v>1</v>
      </c>
      <c r="C603" s="990">
        <v>603</v>
      </c>
      <c r="E603" s="1243">
        <v>1</v>
      </c>
      <c r="I603" s="445"/>
      <c r="J603" s="446"/>
      <c r="K603" s="74"/>
      <c r="L603" s="74"/>
      <c r="M603" s="75"/>
      <c r="N603" s="75" t="s">
        <v>1041</v>
      </c>
      <c r="O603" s="75"/>
      <c r="P603" s="75"/>
      <c r="Q603" s="2036">
        <v>3739</v>
      </c>
      <c r="R603" s="2036">
        <v>151</v>
      </c>
      <c r="S603" s="2036">
        <v>7072</v>
      </c>
      <c r="T603" s="2036">
        <v>23</v>
      </c>
      <c r="U603" s="2036">
        <v>-238</v>
      </c>
      <c r="V603" s="2036">
        <v>18</v>
      </c>
      <c r="W603" s="2036">
        <v>14</v>
      </c>
      <c r="X603" s="2036">
        <v>-237</v>
      </c>
      <c r="Y603" s="2036">
        <v>-14389</v>
      </c>
      <c r="Z603" s="2036">
        <v>12689</v>
      </c>
      <c r="AA603" s="2036">
        <v>5980</v>
      </c>
      <c r="AB603" s="2036">
        <v>409</v>
      </c>
      <c r="AC603" s="19">
        <f t="shared" si="432"/>
        <v>10962</v>
      </c>
      <c r="AD603" s="19">
        <f t="shared" si="433"/>
        <v>-197</v>
      </c>
      <c r="AE603" s="19">
        <f t="shared" si="434"/>
        <v>-14612</v>
      </c>
      <c r="AF603" s="19">
        <f t="shared" si="435"/>
        <v>19078</v>
      </c>
      <c r="AG603" s="19">
        <f t="shared" si="436"/>
        <v>10765</v>
      </c>
      <c r="AH603" s="19">
        <f t="shared" si="437"/>
        <v>4466</v>
      </c>
      <c r="AI603" s="19">
        <f t="shared" si="438"/>
        <v>15231</v>
      </c>
    </row>
    <row r="604" spans="1:35">
      <c r="A604" s="990">
        <v>557</v>
      </c>
      <c r="B604" s="990">
        <v>1</v>
      </c>
      <c r="C604" s="990">
        <v>604</v>
      </c>
      <c r="E604" s="1243">
        <v>1</v>
      </c>
      <c r="I604" s="445"/>
      <c r="J604" s="446"/>
      <c r="K604" s="74"/>
      <c r="L604" s="74"/>
      <c r="M604" s="75"/>
      <c r="N604" s="75" t="s">
        <v>1042</v>
      </c>
      <c r="O604" s="75"/>
      <c r="P604" s="75"/>
      <c r="Q604" s="2036"/>
      <c r="R604" s="2036"/>
      <c r="S604" s="2036"/>
      <c r="T604" s="2036"/>
      <c r="U604" s="2036"/>
      <c r="V604" s="2036"/>
      <c r="W604" s="2036"/>
      <c r="X604" s="2036"/>
      <c r="Y604" s="2036"/>
      <c r="Z604" s="2036"/>
      <c r="AA604" s="2036"/>
      <c r="AB604" s="2036"/>
      <c r="AC604" s="19">
        <f t="shared" si="432"/>
        <v>0</v>
      </c>
      <c r="AD604" s="19">
        <f t="shared" si="433"/>
        <v>0</v>
      </c>
      <c r="AE604" s="19">
        <f t="shared" si="434"/>
        <v>0</v>
      </c>
      <c r="AF604" s="19">
        <f t="shared" si="435"/>
        <v>0</v>
      </c>
      <c r="AG604" s="19">
        <f t="shared" si="436"/>
        <v>0</v>
      </c>
      <c r="AH604" s="19">
        <f t="shared" si="437"/>
        <v>0</v>
      </c>
      <c r="AI604" s="19">
        <f t="shared" si="438"/>
        <v>0</v>
      </c>
    </row>
    <row r="605" spans="1:35">
      <c r="A605" s="990">
        <v>558</v>
      </c>
      <c r="B605" s="990">
        <v>1</v>
      </c>
      <c r="C605" s="990">
        <v>605</v>
      </c>
      <c r="E605" s="1243">
        <v>1</v>
      </c>
      <c r="I605" s="445"/>
      <c r="J605" s="446"/>
      <c r="K605" s="74"/>
      <c r="L605" s="74"/>
      <c r="M605" s="75"/>
      <c r="N605" s="75" t="s">
        <v>852</v>
      </c>
      <c r="O605" s="75"/>
      <c r="P605" s="75"/>
      <c r="Q605" s="2036"/>
      <c r="R605" s="2036"/>
      <c r="S605" s="2036"/>
      <c r="T605" s="2036"/>
      <c r="U605" s="2036"/>
      <c r="V605" s="2036"/>
      <c r="W605" s="2036"/>
      <c r="X605" s="2036"/>
      <c r="Y605" s="2036"/>
      <c r="Z605" s="2036"/>
      <c r="AA605" s="2036"/>
      <c r="AB605" s="2036"/>
      <c r="AC605" s="19">
        <f t="shared" si="432"/>
        <v>0</v>
      </c>
      <c r="AD605" s="19">
        <f t="shared" si="433"/>
        <v>0</v>
      </c>
      <c r="AE605" s="19">
        <f t="shared" si="434"/>
        <v>0</v>
      </c>
      <c r="AF605" s="19">
        <f t="shared" si="435"/>
        <v>0</v>
      </c>
      <c r="AG605" s="19">
        <f t="shared" si="436"/>
        <v>0</v>
      </c>
      <c r="AH605" s="19">
        <f t="shared" si="437"/>
        <v>0</v>
      </c>
      <c r="AI605" s="19">
        <f t="shared" si="438"/>
        <v>0</v>
      </c>
    </row>
    <row r="606" spans="1:35">
      <c r="A606" s="990">
        <v>559</v>
      </c>
      <c r="B606" s="990">
        <v>1</v>
      </c>
      <c r="C606" s="990">
        <v>606</v>
      </c>
      <c r="E606" s="1243">
        <v>1</v>
      </c>
      <c r="I606" s="445"/>
      <c r="J606" s="446"/>
      <c r="K606" s="74"/>
      <c r="L606" s="74"/>
      <c r="M606" s="75"/>
      <c r="N606" s="276" t="s">
        <v>11</v>
      </c>
      <c r="O606" s="276"/>
      <c r="P606" s="276"/>
      <c r="Q606" s="2037"/>
      <c r="R606" s="2037"/>
      <c r="S606" s="2037"/>
      <c r="T606" s="2037"/>
      <c r="U606" s="2037"/>
      <c r="V606" s="2037"/>
      <c r="W606" s="2037"/>
      <c r="X606" s="2037"/>
      <c r="Y606" s="2037"/>
      <c r="Z606" s="2037"/>
      <c r="AA606" s="2037"/>
      <c r="AB606" s="2037"/>
      <c r="AC606" s="17">
        <f t="shared" si="432"/>
        <v>0</v>
      </c>
      <c r="AD606" s="17">
        <f t="shared" si="433"/>
        <v>0</v>
      </c>
      <c r="AE606" s="17">
        <f t="shared" si="434"/>
        <v>0</v>
      </c>
      <c r="AF606" s="17">
        <f t="shared" si="435"/>
        <v>0</v>
      </c>
      <c r="AG606" s="17">
        <f t="shared" si="436"/>
        <v>0</v>
      </c>
      <c r="AH606" s="17">
        <f t="shared" si="437"/>
        <v>0</v>
      </c>
      <c r="AI606" s="17">
        <f t="shared" si="438"/>
        <v>0</v>
      </c>
    </row>
    <row r="607" spans="1:35">
      <c r="A607" s="990">
        <v>560</v>
      </c>
      <c r="B607" s="990">
        <v>1</v>
      </c>
      <c r="C607" s="990">
        <v>607</v>
      </c>
      <c r="E607" s="1243">
        <v>1</v>
      </c>
      <c r="I607" s="445"/>
      <c r="J607" s="446"/>
      <c r="K607" s="74"/>
      <c r="L607" s="74"/>
      <c r="M607" s="1198" t="s">
        <v>95</v>
      </c>
      <c r="N607" s="306"/>
      <c r="O607" s="306"/>
      <c r="P607" s="306"/>
      <c r="Q607" s="2058">
        <f>Q608+Q614+Q620+Q626+Q632+Q638+Q641+Q642</f>
        <v>-135</v>
      </c>
      <c r="R607" s="2058">
        <f t="shared" ref="R607:AI607" si="439">R608+R614+R620+R626+R632+R638+R641+R642</f>
        <v>-1099</v>
      </c>
      <c r="S607" s="2058">
        <f t="shared" si="439"/>
        <v>51</v>
      </c>
      <c r="T607" s="2058">
        <f t="shared" si="439"/>
        <v>-607</v>
      </c>
      <c r="U607" s="2058">
        <f t="shared" si="439"/>
        <v>979</v>
      </c>
      <c r="V607" s="2058">
        <f t="shared" si="439"/>
        <v>-291</v>
      </c>
      <c r="W607" s="2058">
        <f t="shared" si="439"/>
        <v>-1113</v>
      </c>
      <c r="X607" s="2058">
        <f t="shared" si="439"/>
        <v>1740</v>
      </c>
      <c r="Y607" s="2058">
        <f t="shared" si="439"/>
        <v>1316</v>
      </c>
      <c r="Z607" s="2058">
        <f t="shared" si="439"/>
        <v>1816</v>
      </c>
      <c r="AA607" s="2058">
        <f t="shared" si="439"/>
        <v>613</v>
      </c>
      <c r="AB607" s="2058">
        <f t="shared" si="439"/>
        <v>71</v>
      </c>
      <c r="AC607" s="2058">
        <f t="shared" si="439"/>
        <v>-1183</v>
      </c>
      <c r="AD607" s="2058">
        <f t="shared" si="439"/>
        <v>81</v>
      </c>
      <c r="AE607" s="2058">
        <f t="shared" si="439"/>
        <v>1943</v>
      </c>
      <c r="AF607" s="2058">
        <f t="shared" si="439"/>
        <v>2500</v>
      </c>
      <c r="AG607" s="2058">
        <f t="shared" si="439"/>
        <v>-1102</v>
      </c>
      <c r="AH607" s="2058">
        <f t="shared" si="439"/>
        <v>4443</v>
      </c>
      <c r="AI607" s="2058">
        <f t="shared" si="439"/>
        <v>3341</v>
      </c>
    </row>
    <row r="608" spans="1:35">
      <c r="A608" s="990">
        <v>561</v>
      </c>
      <c r="B608" s="990">
        <v>1</v>
      </c>
      <c r="C608" s="990">
        <v>608</v>
      </c>
      <c r="E608" s="1243">
        <v>1</v>
      </c>
      <c r="I608" s="445"/>
      <c r="J608" s="446"/>
      <c r="K608" s="74"/>
      <c r="L608" s="74"/>
      <c r="M608" s="75"/>
      <c r="N608" s="75" t="s">
        <v>55</v>
      </c>
      <c r="O608" s="391"/>
      <c r="P608" s="391"/>
      <c r="Q608" s="365">
        <f>Q609+Q610</f>
        <v>-1285</v>
      </c>
      <c r="R608" s="365">
        <f t="shared" ref="R608:AH608" si="440">R609+R610</f>
        <v>-1086</v>
      </c>
      <c r="S608" s="365">
        <f t="shared" si="440"/>
        <v>-116</v>
      </c>
      <c r="T608" s="365">
        <f t="shared" si="440"/>
        <v>-2446</v>
      </c>
      <c r="U608" s="365">
        <f t="shared" si="440"/>
        <v>-440</v>
      </c>
      <c r="V608" s="365">
        <f t="shared" si="440"/>
        <v>-1067</v>
      </c>
      <c r="W608" s="365">
        <f t="shared" si="440"/>
        <v>-1160</v>
      </c>
      <c r="X608" s="365">
        <f t="shared" si="440"/>
        <v>43</v>
      </c>
      <c r="Y608" s="365">
        <f t="shared" si="440"/>
        <v>-553</v>
      </c>
      <c r="Z608" s="365">
        <f t="shared" si="440"/>
        <v>-442</v>
      </c>
      <c r="AA608" s="365">
        <f t="shared" si="440"/>
        <v>42</v>
      </c>
      <c r="AB608" s="365">
        <f t="shared" si="440"/>
        <v>-510</v>
      </c>
      <c r="AC608" s="365">
        <f t="shared" si="440"/>
        <v>-2487</v>
      </c>
      <c r="AD608" s="365">
        <f t="shared" si="440"/>
        <v>-3953</v>
      </c>
      <c r="AE608" s="365">
        <f t="shared" si="440"/>
        <v>-1670</v>
      </c>
      <c r="AF608" s="365">
        <f t="shared" si="440"/>
        <v>-910</v>
      </c>
      <c r="AG608" s="365">
        <f t="shared" si="440"/>
        <v>-6440</v>
      </c>
      <c r="AH608" s="365">
        <f t="shared" si="440"/>
        <v>-2580</v>
      </c>
      <c r="AI608" s="365">
        <f>AI609+AI610</f>
        <v>-9020</v>
      </c>
    </row>
    <row r="609" spans="1:35">
      <c r="A609" s="990">
        <v>562</v>
      </c>
      <c r="B609" s="990">
        <v>1</v>
      </c>
      <c r="C609" s="990">
        <v>609</v>
      </c>
      <c r="E609" s="1243">
        <v>1</v>
      </c>
      <c r="I609" s="445"/>
      <c r="J609" s="446"/>
      <c r="K609" s="74"/>
      <c r="L609" s="74"/>
      <c r="M609" s="75"/>
      <c r="N609" s="75"/>
      <c r="O609" s="394" t="s">
        <v>55</v>
      </c>
      <c r="P609" s="394"/>
      <c r="Q609" s="2057">
        <f>-412-716</f>
        <v>-1128</v>
      </c>
      <c r="R609" s="2057">
        <f>-192-715</f>
        <v>-907</v>
      </c>
      <c r="S609" s="2057">
        <v>23</v>
      </c>
      <c r="T609" s="2057">
        <f>-2246-40</f>
        <v>-2286</v>
      </c>
      <c r="U609" s="2057">
        <v>-275</v>
      </c>
      <c r="V609" s="2057">
        <v>-921</v>
      </c>
      <c r="W609" s="2057">
        <v>-1025</v>
      </c>
      <c r="X609" s="2057">
        <v>274</v>
      </c>
      <c r="Y609" s="2057">
        <v>-399</v>
      </c>
      <c r="Z609" s="2057">
        <v>-304</v>
      </c>
      <c r="AA609" s="2057">
        <v>215</v>
      </c>
      <c r="AB609" s="2057">
        <v>-346</v>
      </c>
      <c r="AC609" s="64">
        <f>SUM(Q609,R609,S609)</f>
        <v>-2012</v>
      </c>
      <c r="AD609" s="64">
        <f>SUM(T609,U609,V609)</f>
        <v>-3482</v>
      </c>
      <c r="AE609" s="64">
        <f>SUM(W609,X609,Y609)</f>
        <v>-1150</v>
      </c>
      <c r="AF609" s="64">
        <f>SUM(Z609,AA609,AB609)</f>
        <v>-435</v>
      </c>
      <c r="AG609" s="64">
        <f>AC609+AD609</f>
        <v>-5494</v>
      </c>
      <c r="AH609" s="64">
        <f>AF609+AE609</f>
        <v>-1585</v>
      </c>
      <c r="AI609" s="64">
        <f>AG609+AH609</f>
        <v>-7079</v>
      </c>
    </row>
    <row r="610" spans="1:35" s="75" customFormat="1">
      <c r="A610" s="990">
        <v>563</v>
      </c>
      <c r="B610" s="990">
        <v>1</v>
      </c>
      <c r="C610" s="990">
        <v>610</v>
      </c>
      <c r="E610" s="1243">
        <v>1</v>
      </c>
      <c r="F610" s="10"/>
      <c r="G610" s="10"/>
      <c r="H610" s="24"/>
      <c r="I610" s="445"/>
      <c r="J610" s="446"/>
      <c r="K610" s="74"/>
      <c r="L610" s="74"/>
      <c r="O610" s="395" t="s">
        <v>1099</v>
      </c>
      <c r="P610" s="395"/>
      <c r="Q610" s="385">
        <f t="shared" ref="Q610:AB610" si="441">SUM(Q611:Q613)</f>
        <v>-157</v>
      </c>
      <c r="R610" s="385">
        <f t="shared" si="441"/>
        <v>-179</v>
      </c>
      <c r="S610" s="385">
        <f t="shared" si="441"/>
        <v>-139</v>
      </c>
      <c r="T610" s="385">
        <f t="shared" si="441"/>
        <v>-160</v>
      </c>
      <c r="U610" s="385">
        <f t="shared" si="441"/>
        <v>-165</v>
      </c>
      <c r="V610" s="385">
        <f t="shared" si="441"/>
        <v>-146</v>
      </c>
      <c r="W610" s="385">
        <f t="shared" si="441"/>
        <v>-135</v>
      </c>
      <c r="X610" s="385">
        <f t="shared" si="441"/>
        <v>-231</v>
      </c>
      <c r="Y610" s="385">
        <f t="shared" si="441"/>
        <v>-154</v>
      </c>
      <c r="Z610" s="385">
        <f t="shared" si="441"/>
        <v>-138</v>
      </c>
      <c r="AA610" s="385">
        <f t="shared" si="441"/>
        <v>-173</v>
      </c>
      <c r="AB610" s="385">
        <f t="shared" si="441"/>
        <v>-164</v>
      </c>
      <c r="AC610" s="385">
        <f>SUM(Q610:S610)</f>
        <v>-475</v>
      </c>
      <c r="AD610" s="385">
        <f>SUM(T610:V610)</f>
        <v>-471</v>
      </c>
      <c r="AE610" s="385">
        <f>SUM(W610:Y610)</f>
        <v>-520</v>
      </c>
      <c r="AF610" s="385">
        <f>SUM(Z610:AB610)</f>
        <v>-475</v>
      </c>
      <c r="AG610" s="385">
        <f>AC610+AD610</f>
        <v>-946</v>
      </c>
      <c r="AH610" s="385">
        <f>AF610+AE610</f>
        <v>-995</v>
      </c>
      <c r="AI610" s="385">
        <f>AG610+AH610</f>
        <v>-1941</v>
      </c>
    </row>
    <row r="611" spans="1:35" s="75" customFormat="1">
      <c r="A611" s="990">
        <v>564</v>
      </c>
      <c r="B611" s="990">
        <v>1</v>
      </c>
      <c r="C611" s="990">
        <v>611</v>
      </c>
      <c r="E611" s="1243">
        <v>1</v>
      </c>
      <c r="F611" s="10"/>
      <c r="G611" s="10"/>
      <c r="H611" s="24"/>
      <c r="I611" s="445"/>
      <c r="J611" s="446"/>
      <c r="K611" s="74"/>
      <c r="L611" s="74"/>
      <c r="O611" s="396"/>
      <c r="P611" s="382" t="s">
        <v>391</v>
      </c>
      <c r="Q611" s="2042">
        <v>-157</v>
      </c>
      <c r="R611" s="2042">
        <v>-179</v>
      </c>
      <c r="S611" s="2042">
        <v>-139</v>
      </c>
      <c r="T611" s="2042">
        <v>-160</v>
      </c>
      <c r="U611" s="2042">
        <v>-149</v>
      </c>
      <c r="V611" s="2042">
        <v>-129</v>
      </c>
      <c r="W611" s="2042">
        <v>-126</v>
      </c>
      <c r="X611" s="2042">
        <v>-205</v>
      </c>
      <c r="Y611" s="2042">
        <v>-138</v>
      </c>
      <c r="Z611" s="2042">
        <v>-138</v>
      </c>
      <c r="AA611" s="2042">
        <v>-138</v>
      </c>
      <c r="AB611" s="2042">
        <v>-138</v>
      </c>
      <c r="AC611" s="108">
        <f>SUM(Q611,R611,S611)</f>
        <v>-475</v>
      </c>
      <c r="AD611" s="108">
        <f>SUM(T611,U611,V611)</f>
        <v>-438</v>
      </c>
      <c r="AE611" s="108">
        <f>SUM(W611,X611,Y611)</f>
        <v>-469</v>
      </c>
      <c r="AF611" s="108">
        <f>SUM(Z611,AA611,AB611)</f>
        <v>-414</v>
      </c>
      <c r="AG611" s="108">
        <f>AC611+AD611</f>
        <v>-913</v>
      </c>
      <c r="AH611" s="108">
        <f>AF611+AE611</f>
        <v>-883</v>
      </c>
      <c r="AI611" s="108">
        <f>AG611+AH611</f>
        <v>-1796</v>
      </c>
    </row>
    <row r="612" spans="1:35" s="75" customFormat="1">
      <c r="A612" s="990">
        <v>565</v>
      </c>
      <c r="B612" s="990">
        <v>1</v>
      </c>
      <c r="C612" s="990">
        <v>612</v>
      </c>
      <c r="E612" s="1243">
        <v>1</v>
      </c>
      <c r="F612" s="10"/>
      <c r="G612" s="10"/>
      <c r="H612" s="24"/>
      <c r="I612" s="445"/>
      <c r="J612" s="446"/>
      <c r="K612" s="74"/>
      <c r="L612" s="74"/>
      <c r="O612" s="301"/>
      <c r="P612" s="400" t="s">
        <v>1086</v>
      </c>
      <c r="Q612" s="2036"/>
      <c r="R612" s="2036"/>
      <c r="S612" s="2036"/>
      <c r="T612" s="2036"/>
      <c r="U612" s="2036">
        <v>-16</v>
      </c>
      <c r="V612" s="2036">
        <v>-17</v>
      </c>
      <c r="W612" s="2036">
        <v>-9</v>
      </c>
      <c r="X612" s="2036">
        <v>-26</v>
      </c>
      <c r="Y612" s="2036">
        <v>-16</v>
      </c>
      <c r="Z612" s="2036"/>
      <c r="AA612" s="2036">
        <v>-35</v>
      </c>
      <c r="AB612" s="2036">
        <v>-26</v>
      </c>
      <c r="AC612" s="107">
        <f>SUM(Q612,R612,S612)</f>
        <v>0</v>
      </c>
      <c r="AD612" s="107">
        <f>SUM(T612,U612,V612)</f>
        <v>-33</v>
      </c>
      <c r="AE612" s="107">
        <f>SUM(W612,X612,Y612)</f>
        <v>-51</v>
      </c>
      <c r="AF612" s="107">
        <f>SUM(Z612,AA612,AB612)</f>
        <v>-61</v>
      </c>
      <c r="AG612" s="107">
        <f>AC612+AD612</f>
        <v>-33</v>
      </c>
      <c r="AH612" s="107">
        <f>AF612+AE612</f>
        <v>-112</v>
      </c>
      <c r="AI612" s="107">
        <f>AG612+AH612</f>
        <v>-145</v>
      </c>
    </row>
    <row r="613" spans="1:35" s="75" customFormat="1">
      <c r="A613" s="990">
        <v>566</v>
      </c>
      <c r="B613" s="990">
        <v>1</v>
      </c>
      <c r="C613" s="990">
        <v>613</v>
      </c>
      <c r="E613" s="1243">
        <v>1</v>
      </c>
      <c r="F613" s="10"/>
      <c r="G613" s="10"/>
      <c r="H613" s="24"/>
      <c r="I613" s="445"/>
      <c r="J613" s="446"/>
      <c r="K613" s="74"/>
      <c r="L613" s="74"/>
      <c r="N613" s="276"/>
      <c r="O613" s="302"/>
      <c r="P613" s="88" t="s">
        <v>393</v>
      </c>
      <c r="Q613" s="2037"/>
      <c r="R613" s="2037"/>
      <c r="S613" s="2037"/>
      <c r="T613" s="2037"/>
      <c r="U613" s="2037"/>
      <c r="V613" s="2037"/>
      <c r="W613" s="2037"/>
      <c r="X613" s="2037"/>
      <c r="Y613" s="2037"/>
      <c r="Z613" s="2037"/>
      <c r="AA613" s="2037"/>
      <c r="AB613" s="2037"/>
      <c r="AC613" s="107">
        <f>SUM(Q613,R613,S613)</f>
        <v>0</v>
      </c>
      <c r="AD613" s="107">
        <f>SUM(T613,U613,V613)</f>
        <v>0</v>
      </c>
      <c r="AE613" s="107">
        <f>SUM(W613,X613,Y613)</f>
        <v>0</v>
      </c>
      <c r="AF613" s="107">
        <f>SUM(Z613,AA613,AB613)</f>
        <v>0</v>
      </c>
      <c r="AG613" s="107">
        <f>AC613+AD613</f>
        <v>0</v>
      </c>
      <c r="AH613" s="107">
        <f>AF613+AE613</f>
        <v>0</v>
      </c>
      <c r="AI613" s="107">
        <f>AG613+AH613</f>
        <v>0</v>
      </c>
    </row>
    <row r="614" spans="1:35">
      <c r="A614" s="990">
        <v>567</v>
      </c>
      <c r="B614" s="990">
        <v>1</v>
      </c>
      <c r="C614" s="990">
        <v>614</v>
      </c>
      <c r="E614" s="1243">
        <v>1</v>
      </c>
      <c r="I614" s="445"/>
      <c r="J614" s="446"/>
      <c r="K614" s="74"/>
      <c r="L614" s="74"/>
      <c r="M614" s="75"/>
      <c r="N614" s="75" t="s">
        <v>1040</v>
      </c>
      <c r="O614" s="391"/>
      <c r="P614" s="391"/>
      <c r="Q614" s="64">
        <f t="shared" ref="Q614:AI614" si="442">Q615+Q616</f>
        <v>1280</v>
      </c>
      <c r="R614" s="64">
        <f t="shared" si="442"/>
        <v>880</v>
      </c>
      <c r="S614" s="64">
        <f t="shared" si="442"/>
        <v>948</v>
      </c>
      <c r="T614" s="64">
        <f t="shared" si="442"/>
        <v>1701</v>
      </c>
      <c r="U614" s="64">
        <f t="shared" si="442"/>
        <v>1332</v>
      </c>
      <c r="V614" s="64">
        <f t="shared" si="442"/>
        <v>1404</v>
      </c>
      <c r="W614" s="64">
        <f t="shared" si="442"/>
        <v>991</v>
      </c>
      <c r="X614" s="64">
        <f t="shared" si="442"/>
        <v>1421</v>
      </c>
      <c r="Y614" s="64">
        <f t="shared" si="442"/>
        <v>2091</v>
      </c>
      <c r="Z614" s="64">
        <f t="shared" si="442"/>
        <v>2105</v>
      </c>
      <c r="AA614" s="64">
        <f t="shared" si="442"/>
        <v>1901</v>
      </c>
      <c r="AB614" s="64">
        <f t="shared" si="442"/>
        <v>1614</v>
      </c>
      <c r="AC614" s="64">
        <f t="shared" si="442"/>
        <v>3108</v>
      </c>
      <c r="AD614" s="64">
        <f t="shared" si="442"/>
        <v>4437</v>
      </c>
      <c r="AE614" s="64">
        <f t="shared" si="442"/>
        <v>4503</v>
      </c>
      <c r="AF614" s="64">
        <f t="shared" si="442"/>
        <v>5620</v>
      </c>
      <c r="AG614" s="64">
        <f t="shared" si="442"/>
        <v>7545</v>
      </c>
      <c r="AH614" s="64">
        <f t="shared" si="442"/>
        <v>10123</v>
      </c>
      <c r="AI614" s="64">
        <f t="shared" si="442"/>
        <v>17668</v>
      </c>
    </row>
    <row r="615" spans="1:35">
      <c r="A615" s="990">
        <v>568</v>
      </c>
      <c r="B615" s="990">
        <v>1</v>
      </c>
      <c r="C615" s="990">
        <v>615</v>
      </c>
      <c r="E615" s="1243">
        <v>1</v>
      </c>
      <c r="I615" s="445"/>
      <c r="J615" s="446"/>
      <c r="K615" s="74"/>
      <c r="L615" s="74"/>
      <c r="M615" s="75"/>
      <c r="N615" s="75"/>
      <c r="O615" s="394" t="s">
        <v>1100</v>
      </c>
      <c r="P615" s="394"/>
      <c r="Q615" s="2057">
        <v>1324</v>
      </c>
      <c r="R615" s="2057">
        <v>923</v>
      </c>
      <c r="S615" s="2057">
        <v>991</v>
      </c>
      <c r="T615" s="2057">
        <v>1744</v>
      </c>
      <c r="U615" s="2057">
        <v>1384</v>
      </c>
      <c r="V615" s="2057">
        <v>1467</v>
      </c>
      <c r="W615" s="2057">
        <v>1047</v>
      </c>
      <c r="X615" s="2057">
        <v>1490</v>
      </c>
      <c r="Y615" s="2057">
        <v>2171</v>
      </c>
      <c r="Z615" s="2057">
        <v>2152</v>
      </c>
      <c r="AA615" s="2057">
        <v>1971</v>
      </c>
      <c r="AB615" s="2057">
        <v>1694</v>
      </c>
      <c r="AC615" s="64">
        <f>SUM(Q615,R615,S615)</f>
        <v>3238</v>
      </c>
      <c r="AD615" s="64">
        <f>SUM(T615,U615,V615)</f>
        <v>4595</v>
      </c>
      <c r="AE615" s="64">
        <f>SUM(W615,X615,Y615)</f>
        <v>4708</v>
      </c>
      <c r="AF615" s="64">
        <f>SUM(Z615,AA615,AB615)</f>
        <v>5817</v>
      </c>
      <c r="AG615" s="64">
        <f>AC615+AD615</f>
        <v>7833</v>
      </c>
      <c r="AH615" s="64">
        <f>AF615+AE615</f>
        <v>10525</v>
      </c>
      <c r="AI615" s="64">
        <f>AG615+AH615</f>
        <v>18358</v>
      </c>
    </row>
    <row r="616" spans="1:35" s="75" customFormat="1">
      <c r="A616" s="990">
        <v>569</v>
      </c>
      <c r="B616" s="990">
        <v>1</v>
      </c>
      <c r="C616" s="990">
        <v>616</v>
      </c>
      <c r="E616" s="1243">
        <v>1</v>
      </c>
      <c r="F616" s="10"/>
      <c r="G616" s="10"/>
      <c r="H616" s="24"/>
      <c r="I616" s="445"/>
      <c r="J616" s="446"/>
      <c r="K616" s="74"/>
      <c r="L616" s="74"/>
      <c r="O616" s="395" t="s">
        <v>1099</v>
      </c>
      <c r="P616" s="395"/>
      <c r="Q616" s="385">
        <f t="shared" ref="Q616:AB616" si="443">SUM(Q617:Q619)</f>
        <v>-44</v>
      </c>
      <c r="R616" s="385">
        <f t="shared" si="443"/>
        <v>-43</v>
      </c>
      <c r="S616" s="385">
        <f t="shared" si="443"/>
        <v>-43</v>
      </c>
      <c r="T616" s="385">
        <f t="shared" si="443"/>
        <v>-43</v>
      </c>
      <c r="U616" s="385">
        <f t="shared" si="443"/>
        <v>-52</v>
      </c>
      <c r="V616" s="385">
        <f t="shared" si="443"/>
        <v>-63</v>
      </c>
      <c r="W616" s="385">
        <f t="shared" si="443"/>
        <v>-56</v>
      </c>
      <c r="X616" s="385">
        <f t="shared" si="443"/>
        <v>-69</v>
      </c>
      <c r="Y616" s="385">
        <f t="shared" si="443"/>
        <v>-80</v>
      </c>
      <c r="Z616" s="385">
        <f t="shared" si="443"/>
        <v>-47</v>
      </c>
      <c r="AA616" s="385">
        <f t="shared" si="443"/>
        <v>-70</v>
      </c>
      <c r="AB616" s="385">
        <f t="shared" si="443"/>
        <v>-80</v>
      </c>
      <c r="AC616" s="385">
        <f>SUM(Q616:S616)</f>
        <v>-130</v>
      </c>
      <c r="AD616" s="385">
        <f>SUM(T616:V616)</f>
        <v>-158</v>
      </c>
      <c r="AE616" s="385">
        <f>SUM(W616:Y616)</f>
        <v>-205</v>
      </c>
      <c r="AF616" s="385">
        <f>SUM(Z616:AB616)</f>
        <v>-197</v>
      </c>
      <c r="AG616" s="385">
        <f>AC616+AD616</f>
        <v>-288</v>
      </c>
      <c r="AH616" s="385">
        <f>AF616+AE616</f>
        <v>-402</v>
      </c>
      <c r="AI616" s="385">
        <f>AG616+AH616</f>
        <v>-690</v>
      </c>
    </row>
    <row r="617" spans="1:35" s="75" customFormat="1">
      <c r="A617" s="990">
        <v>570</v>
      </c>
      <c r="B617" s="990">
        <v>1</v>
      </c>
      <c r="C617" s="990">
        <v>617</v>
      </c>
      <c r="E617" s="1243">
        <v>1</v>
      </c>
      <c r="F617" s="10"/>
      <c r="G617" s="10"/>
      <c r="H617" s="24"/>
      <c r="I617" s="445"/>
      <c r="J617" s="446"/>
      <c r="K617" s="74"/>
      <c r="L617" s="74"/>
      <c r="O617" s="396"/>
      <c r="P617" s="382" t="s">
        <v>391</v>
      </c>
      <c r="Q617" s="2042">
        <v>-44</v>
      </c>
      <c r="R617" s="2042">
        <v>-43</v>
      </c>
      <c r="S617" s="2042">
        <v>-43</v>
      </c>
      <c r="T617" s="2042">
        <v>-43</v>
      </c>
      <c r="U617" s="2042">
        <v>-43</v>
      </c>
      <c r="V617" s="2042">
        <v>-63</v>
      </c>
      <c r="W617" s="2042">
        <v>-47</v>
      </c>
      <c r="X617" s="2042">
        <v>-47</v>
      </c>
      <c r="Y617" s="2042">
        <v>-47</v>
      </c>
      <c r="Z617" s="2042">
        <v>-47</v>
      </c>
      <c r="AA617" s="2042">
        <v>-47</v>
      </c>
      <c r="AB617" s="2042">
        <v>-47</v>
      </c>
      <c r="AC617" s="108">
        <f>SUM(Q617,R617,S617)</f>
        <v>-130</v>
      </c>
      <c r="AD617" s="108">
        <f>SUM(T617,U617,V617)</f>
        <v>-149</v>
      </c>
      <c r="AE617" s="108">
        <f>SUM(W617,X617,Y617)</f>
        <v>-141</v>
      </c>
      <c r="AF617" s="108">
        <f>SUM(Z617,AA617,AB617)</f>
        <v>-141</v>
      </c>
      <c r="AG617" s="108">
        <f>AC617+AD617</f>
        <v>-279</v>
      </c>
      <c r="AH617" s="108">
        <f>AF617+AE617</f>
        <v>-282</v>
      </c>
      <c r="AI617" s="108">
        <f>AG617+AH617</f>
        <v>-561</v>
      </c>
    </row>
    <row r="618" spans="1:35" s="75" customFormat="1">
      <c r="A618" s="990">
        <v>571</v>
      </c>
      <c r="B618" s="990">
        <v>1</v>
      </c>
      <c r="C618" s="990">
        <v>618</v>
      </c>
      <c r="E618" s="1243">
        <v>1</v>
      </c>
      <c r="F618" s="10"/>
      <c r="G618" s="10"/>
      <c r="H618" s="24"/>
      <c r="I618" s="445"/>
      <c r="J618" s="446"/>
      <c r="K618" s="74"/>
      <c r="L618" s="74"/>
      <c r="O618" s="301"/>
      <c r="P618" s="400" t="s">
        <v>1086</v>
      </c>
      <c r="Q618" s="2036"/>
      <c r="R618" s="2036"/>
      <c r="S618" s="2036"/>
      <c r="T618" s="2036"/>
      <c r="U618" s="2036">
        <v>-9</v>
      </c>
      <c r="V618" s="2036"/>
      <c r="W618" s="2036">
        <v>-9</v>
      </c>
      <c r="X618" s="2036">
        <v>-22</v>
      </c>
      <c r="Y618" s="2036">
        <v>-33</v>
      </c>
      <c r="Z618" s="2036"/>
      <c r="AA618" s="2036">
        <v>-23</v>
      </c>
      <c r="AB618" s="2036">
        <v>-33</v>
      </c>
      <c r="AC618" s="107">
        <f>SUM(Q618,R618,S618)</f>
        <v>0</v>
      </c>
      <c r="AD618" s="107">
        <f>SUM(T618,U618,V618)</f>
        <v>-9</v>
      </c>
      <c r="AE618" s="107">
        <f>SUM(W618,X618,Y618)</f>
        <v>-64</v>
      </c>
      <c r="AF618" s="107">
        <f>SUM(Z618,AA618,AB618)</f>
        <v>-56</v>
      </c>
      <c r="AG618" s="107">
        <f>AC618+AD618</f>
        <v>-9</v>
      </c>
      <c r="AH618" s="107">
        <f>AF618+AE618</f>
        <v>-120</v>
      </c>
      <c r="AI618" s="107">
        <f>AG618+AH618</f>
        <v>-129</v>
      </c>
    </row>
    <row r="619" spans="1:35" s="75" customFormat="1">
      <c r="A619" s="990">
        <v>572</v>
      </c>
      <c r="B619" s="990">
        <v>1</v>
      </c>
      <c r="C619" s="990">
        <v>619</v>
      </c>
      <c r="E619" s="1243">
        <v>1</v>
      </c>
      <c r="F619" s="10"/>
      <c r="G619" s="10"/>
      <c r="H619" s="24"/>
      <c r="I619" s="445"/>
      <c r="J619" s="446"/>
      <c r="K619" s="74"/>
      <c r="L619" s="74"/>
      <c r="N619" s="276"/>
      <c r="O619" s="302"/>
      <c r="P619" s="88" t="s">
        <v>393</v>
      </c>
      <c r="Q619" s="2037"/>
      <c r="R619" s="2037"/>
      <c r="S619" s="2037"/>
      <c r="T619" s="2037"/>
      <c r="U619" s="2037"/>
      <c r="V619" s="2037"/>
      <c r="W619" s="2037"/>
      <c r="X619" s="2037"/>
      <c r="Y619" s="2037"/>
      <c r="Z619" s="2037"/>
      <c r="AA619" s="2037"/>
      <c r="AB619" s="2037"/>
      <c r="AC619" s="107">
        <f>SUM(Q619,R619,S619)</f>
        <v>0</v>
      </c>
      <c r="AD619" s="107">
        <f>SUM(T619,U619,V619)</f>
        <v>0</v>
      </c>
      <c r="AE619" s="107">
        <f>SUM(W619,X619,Y619)</f>
        <v>0</v>
      </c>
      <c r="AF619" s="107">
        <f>SUM(Z619,AA619,AB619)</f>
        <v>0</v>
      </c>
      <c r="AG619" s="107">
        <f>AC619+AD619</f>
        <v>0</v>
      </c>
      <c r="AH619" s="107">
        <f>AF619+AE619</f>
        <v>0</v>
      </c>
      <c r="AI619" s="107">
        <f>AG619+AH619</f>
        <v>0</v>
      </c>
    </row>
    <row r="620" spans="1:35">
      <c r="A620" s="990">
        <v>573</v>
      </c>
      <c r="B620" s="990">
        <v>1</v>
      </c>
      <c r="C620" s="990">
        <v>620</v>
      </c>
      <c r="E620" s="1243">
        <v>1</v>
      </c>
      <c r="I620" s="445"/>
      <c r="J620" s="446"/>
      <c r="K620" s="74"/>
      <c r="L620" s="74"/>
      <c r="M620" s="75"/>
      <c r="N620" s="75" t="s">
        <v>1041</v>
      </c>
      <c r="O620" s="391"/>
      <c r="P620" s="391"/>
      <c r="Q620" s="64">
        <f t="shared" ref="Q620:AI620" si="444">Q621+Q622</f>
        <v>-130</v>
      </c>
      <c r="R620" s="64">
        <f t="shared" si="444"/>
        <v>-893</v>
      </c>
      <c r="S620" s="64">
        <f t="shared" si="444"/>
        <v>-781</v>
      </c>
      <c r="T620" s="64">
        <f t="shared" si="444"/>
        <v>138</v>
      </c>
      <c r="U620" s="64">
        <f t="shared" si="444"/>
        <v>87</v>
      </c>
      <c r="V620" s="64">
        <f t="shared" si="444"/>
        <v>-628</v>
      </c>
      <c r="W620" s="64">
        <f t="shared" si="444"/>
        <v>-944</v>
      </c>
      <c r="X620" s="64">
        <f t="shared" si="444"/>
        <v>276</v>
      </c>
      <c r="Y620" s="64">
        <f t="shared" si="444"/>
        <v>-222</v>
      </c>
      <c r="Z620" s="64">
        <f t="shared" si="444"/>
        <v>153</v>
      </c>
      <c r="AA620" s="64">
        <f t="shared" si="444"/>
        <v>-1330</v>
      </c>
      <c r="AB620" s="64">
        <f t="shared" si="444"/>
        <v>-1033</v>
      </c>
      <c r="AC620" s="64">
        <f t="shared" si="444"/>
        <v>-1804</v>
      </c>
      <c r="AD620" s="64">
        <f t="shared" si="444"/>
        <v>-403</v>
      </c>
      <c r="AE620" s="64">
        <f t="shared" si="444"/>
        <v>-890</v>
      </c>
      <c r="AF620" s="64">
        <f t="shared" si="444"/>
        <v>-2210</v>
      </c>
      <c r="AG620" s="64">
        <f t="shared" si="444"/>
        <v>-2207</v>
      </c>
      <c r="AH620" s="64">
        <f t="shared" si="444"/>
        <v>-3100</v>
      </c>
      <c r="AI620" s="64">
        <f t="shared" si="444"/>
        <v>-5307</v>
      </c>
    </row>
    <row r="621" spans="1:35">
      <c r="A621" s="990">
        <v>574</v>
      </c>
      <c r="B621" s="990">
        <v>1</v>
      </c>
      <c r="C621" s="990">
        <v>621</v>
      </c>
      <c r="E621" s="1243">
        <v>1</v>
      </c>
      <c r="I621" s="445"/>
      <c r="J621" s="446"/>
      <c r="K621" s="74"/>
      <c r="L621" s="74"/>
      <c r="M621" s="75"/>
      <c r="N621" s="75"/>
      <c r="O621" s="394" t="s">
        <v>1041</v>
      </c>
      <c r="P621" s="394"/>
      <c r="Q621" s="2057">
        <f>483-4</f>
        <v>479</v>
      </c>
      <c r="R621" s="2057">
        <v>-164</v>
      </c>
      <c r="S621" s="2057">
        <v>-196</v>
      </c>
      <c r="T621" s="2057">
        <v>767</v>
      </c>
      <c r="U621" s="2057">
        <v>749</v>
      </c>
      <c r="V621" s="2057">
        <v>13</v>
      </c>
      <c r="W621" s="2057">
        <v>-338</v>
      </c>
      <c r="X621" s="2057">
        <v>859</v>
      </c>
      <c r="Y621" s="2057">
        <v>343</v>
      </c>
      <c r="Z621" s="2057">
        <v>681</v>
      </c>
      <c r="AA621" s="2057">
        <v>-671</v>
      </c>
      <c r="AB621" s="2057">
        <v>-348</v>
      </c>
      <c r="AC621" s="64">
        <f>SUM(Q621,R621,S621)</f>
        <v>119</v>
      </c>
      <c r="AD621" s="64">
        <f>SUM(T621,U621,V621)</f>
        <v>1529</v>
      </c>
      <c r="AE621" s="64">
        <f>SUM(W621,X621,Y621)</f>
        <v>864</v>
      </c>
      <c r="AF621" s="64">
        <f>SUM(Z621,AA621,AB621)</f>
        <v>-338</v>
      </c>
      <c r="AG621" s="64">
        <f>AC621+AD621</f>
        <v>1648</v>
      </c>
      <c r="AH621" s="64">
        <f>AF621+AE621</f>
        <v>526</v>
      </c>
      <c r="AI621" s="64">
        <f>AG621+AH621</f>
        <v>2174</v>
      </c>
    </row>
    <row r="622" spans="1:35" s="75" customFormat="1">
      <c r="A622" s="990">
        <v>575</v>
      </c>
      <c r="B622" s="990">
        <v>1</v>
      </c>
      <c r="C622" s="990">
        <v>622</v>
      </c>
      <c r="E622" s="1243">
        <v>1</v>
      </c>
      <c r="F622" s="10"/>
      <c r="G622" s="10"/>
      <c r="H622" s="24"/>
      <c r="I622" s="445"/>
      <c r="J622" s="446"/>
      <c r="K622" s="74"/>
      <c r="L622" s="74"/>
      <c r="O622" s="395" t="s">
        <v>1099</v>
      </c>
      <c r="P622" s="395"/>
      <c r="Q622" s="385">
        <f t="shared" ref="Q622:AB622" si="445">SUM(Q623:Q625)</f>
        <v>-609</v>
      </c>
      <c r="R622" s="385">
        <f t="shared" si="445"/>
        <v>-729</v>
      </c>
      <c r="S622" s="385">
        <f t="shared" si="445"/>
        <v>-585</v>
      </c>
      <c r="T622" s="385">
        <f t="shared" si="445"/>
        <v>-629</v>
      </c>
      <c r="U622" s="385">
        <f t="shared" si="445"/>
        <v>-662</v>
      </c>
      <c r="V622" s="385">
        <f t="shared" si="445"/>
        <v>-641</v>
      </c>
      <c r="W622" s="385">
        <f t="shared" si="445"/>
        <v>-606</v>
      </c>
      <c r="X622" s="385">
        <f t="shared" si="445"/>
        <v>-583</v>
      </c>
      <c r="Y622" s="385">
        <f t="shared" si="445"/>
        <v>-565</v>
      </c>
      <c r="Z622" s="385">
        <f t="shared" si="445"/>
        <v>-528</v>
      </c>
      <c r="AA622" s="385">
        <f t="shared" si="445"/>
        <v>-659</v>
      </c>
      <c r="AB622" s="385">
        <f t="shared" si="445"/>
        <v>-685</v>
      </c>
      <c r="AC622" s="385">
        <f>SUM(Q622:S622)</f>
        <v>-1923</v>
      </c>
      <c r="AD622" s="385">
        <f>SUM(T622:V622)</f>
        <v>-1932</v>
      </c>
      <c r="AE622" s="385">
        <f>SUM(W622:Y622)</f>
        <v>-1754</v>
      </c>
      <c r="AF622" s="385">
        <f>SUM(Z622:AB622)</f>
        <v>-1872</v>
      </c>
      <c r="AG622" s="385">
        <f>AC622+AD622</f>
        <v>-3855</v>
      </c>
      <c r="AH622" s="385">
        <f>AF622+AE622</f>
        <v>-3626</v>
      </c>
      <c r="AI622" s="385">
        <f>AG622+AH622</f>
        <v>-7481</v>
      </c>
    </row>
    <row r="623" spans="1:35" s="75" customFormat="1">
      <c r="A623" s="990">
        <v>576</v>
      </c>
      <c r="B623" s="990">
        <v>1</v>
      </c>
      <c r="C623" s="990">
        <v>623</v>
      </c>
      <c r="E623" s="1243">
        <v>1</v>
      </c>
      <c r="F623" s="10"/>
      <c r="G623" s="10"/>
      <c r="H623" s="24"/>
      <c r="I623" s="445"/>
      <c r="J623" s="446"/>
      <c r="K623" s="74"/>
      <c r="L623" s="74"/>
      <c r="O623" s="396"/>
      <c r="P623" s="382" t="s">
        <v>391</v>
      </c>
      <c r="Q623" s="2042">
        <v>-609</v>
      </c>
      <c r="R623" s="2042">
        <v>-729</v>
      </c>
      <c r="S623" s="2042">
        <v>-585</v>
      </c>
      <c r="T623" s="2042">
        <v>-629</v>
      </c>
      <c r="U623" s="2042">
        <v>-604</v>
      </c>
      <c r="V623" s="2042">
        <v>-546</v>
      </c>
      <c r="W623" s="2042">
        <v>-578</v>
      </c>
      <c r="X623" s="2042">
        <v>-529</v>
      </c>
      <c r="Y623" s="2042">
        <v>-524</v>
      </c>
      <c r="Z623" s="2042">
        <v>-516</v>
      </c>
      <c r="AA623" s="2042">
        <v>-529</v>
      </c>
      <c r="AB623" s="2042">
        <v>-523</v>
      </c>
      <c r="AC623" s="108">
        <f>SUM(Q623,R623,S623)</f>
        <v>-1923</v>
      </c>
      <c r="AD623" s="108">
        <f>SUM(T623,U623,V623)</f>
        <v>-1779</v>
      </c>
      <c r="AE623" s="108">
        <f>SUM(W623,X623,Y623)</f>
        <v>-1631</v>
      </c>
      <c r="AF623" s="108">
        <f>SUM(Z623,AA623,AB623)</f>
        <v>-1568</v>
      </c>
      <c r="AG623" s="108">
        <f>AC623+AD623</f>
        <v>-3702</v>
      </c>
      <c r="AH623" s="108">
        <f>AF623+AE623</f>
        <v>-3199</v>
      </c>
      <c r="AI623" s="108">
        <f>AG623+AH623</f>
        <v>-6901</v>
      </c>
    </row>
    <row r="624" spans="1:35" s="75" customFormat="1">
      <c r="A624" s="990">
        <v>577</v>
      </c>
      <c r="B624" s="990">
        <v>1</v>
      </c>
      <c r="C624" s="990">
        <v>624</v>
      </c>
      <c r="E624" s="1243">
        <v>1</v>
      </c>
      <c r="F624" s="10"/>
      <c r="G624" s="10"/>
      <c r="H624" s="24"/>
      <c r="I624" s="445"/>
      <c r="J624" s="446"/>
      <c r="K624" s="74"/>
      <c r="L624" s="74"/>
      <c r="O624" s="301"/>
      <c r="P624" s="400" t="s">
        <v>1086</v>
      </c>
      <c r="Q624" s="2036"/>
      <c r="R624" s="2036"/>
      <c r="S624" s="2036"/>
      <c r="T624" s="2036"/>
      <c r="U624" s="2036">
        <v>-58</v>
      </c>
      <c r="V624" s="2036">
        <v>-95</v>
      </c>
      <c r="W624" s="2036">
        <v>-28</v>
      </c>
      <c r="X624" s="2036">
        <v>-54</v>
      </c>
      <c r="Y624" s="2036">
        <v>-41</v>
      </c>
      <c r="Z624" s="2036">
        <v>-12</v>
      </c>
      <c r="AA624" s="2036">
        <v>-130</v>
      </c>
      <c r="AB624" s="2036">
        <v>-162</v>
      </c>
      <c r="AC624" s="107">
        <f>SUM(Q624,R624,S624)</f>
        <v>0</v>
      </c>
      <c r="AD624" s="107">
        <f>SUM(T624,U624,V624)</f>
        <v>-153</v>
      </c>
      <c r="AE624" s="107">
        <f>SUM(W624,X624,Y624)</f>
        <v>-123</v>
      </c>
      <c r="AF624" s="107">
        <f>SUM(Z624,AA624,AB624)</f>
        <v>-304</v>
      </c>
      <c r="AG624" s="107">
        <f>AC624+AD624</f>
        <v>-153</v>
      </c>
      <c r="AH624" s="107">
        <f>AF624+AE624</f>
        <v>-427</v>
      </c>
      <c r="AI624" s="107">
        <f>AG624+AH624</f>
        <v>-580</v>
      </c>
    </row>
    <row r="625" spans="1:35" s="75" customFormat="1">
      <c r="A625" s="990">
        <v>578</v>
      </c>
      <c r="B625" s="990">
        <v>1</v>
      </c>
      <c r="C625" s="990">
        <v>625</v>
      </c>
      <c r="E625" s="1243">
        <v>1</v>
      </c>
      <c r="F625" s="10"/>
      <c r="G625" s="10"/>
      <c r="H625" s="24"/>
      <c r="I625" s="445"/>
      <c r="J625" s="446"/>
      <c r="K625" s="74"/>
      <c r="L625" s="74"/>
      <c r="N625" s="276"/>
      <c r="O625" s="302"/>
      <c r="P625" s="88" t="s">
        <v>393</v>
      </c>
      <c r="Q625" s="2037"/>
      <c r="R625" s="2037"/>
      <c r="S625" s="2037"/>
      <c r="T625" s="2037"/>
      <c r="U625" s="2037"/>
      <c r="V625" s="2037"/>
      <c r="W625" s="2037"/>
      <c r="X625" s="2037"/>
      <c r="Y625" s="2037"/>
      <c r="Z625" s="2037"/>
      <c r="AA625" s="2037"/>
      <c r="AB625" s="2037"/>
      <c r="AC625" s="107">
        <f>SUM(Q625,R625,S625)</f>
        <v>0</v>
      </c>
      <c r="AD625" s="107">
        <f>SUM(T625,U625,V625)</f>
        <v>0</v>
      </c>
      <c r="AE625" s="107">
        <f>SUM(W625,X625,Y625)</f>
        <v>0</v>
      </c>
      <c r="AF625" s="107">
        <f>SUM(Z625,AA625,AB625)</f>
        <v>0</v>
      </c>
      <c r="AG625" s="107">
        <f>AC625+AD625</f>
        <v>0</v>
      </c>
      <c r="AH625" s="107">
        <f>AF625+AE625</f>
        <v>0</v>
      </c>
      <c r="AI625" s="107">
        <f>AG625+AH625</f>
        <v>0</v>
      </c>
    </row>
    <row r="626" spans="1:35">
      <c r="A626" s="990">
        <v>579</v>
      </c>
      <c r="B626" s="990">
        <v>1</v>
      </c>
      <c r="C626" s="990">
        <v>626</v>
      </c>
      <c r="E626" s="1243">
        <v>1</v>
      </c>
      <c r="I626" s="445"/>
      <c r="J626" s="446"/>
      <c r="K626" s="74"/>
      <c r="L626" s="74"/>
      <c r="M626" s="75"/>
      <c r="N626" s="75" t="s">
        <v>1042</v>
      </c>
      <c r="O626" s="391"/>
      <c r="P626" s="391"/>
      <c r="Q626" s="64">
        <f t="shared" ref="Q626:AI626" si="446">Q627+Q628</f>
        <v>0</v>
      </c>
      <c r="R626" s="64">
        <f t="shared" si="446"/>
        <v>0</v>
      </c>
      <c r="S626" s="64">
        <f t="shared" si="446"/>
        <v>0</v>
      </c>
      <c r="T626" s="64">
        <f t="shared" si="446"/>
        <v>0</v>
      </c>
      <c r="U626" s="64">
        <f t="shared" si="446"/>
        <v>0</v>
      </c>
      <c r="V626" s="64">
        <f t="shared" si="446"/>
        <v>0</v>
      </c>
      <c r="W626" s="64">
        <f t="shared" si="446"/>
        <v>0</v>
      </c>
      <c r="X626" s="64">
        <f t="shared" si="446"/>
        <v>0</v>
      </c>
      <c r="Y626" s="64">
        <f t="shared" si="446"/>
        <v>0</v>
      </c>
      <c r="Z626" s="64">
        <f t="shared" si="446"/>
        <v>0</v>
      </c>
      <c r="AA626" s="64">
        <f t="shared" si="446"/>
        <v>0</v>
      </c>
      <c r="AB626" s="64">
        <f t="shared" si="446"/>
        <v>0</v>
      </c>
      <c r="AC626" s="64">
        <f t="shared" si="446"/>
        <v>0</v>
      </c>
      <c r="AD626" s="64">
        <f t="shared" si="446"/>
        <v>0</v>
      </c>
      <c r="AE626" s="64">
        <f t="shared" si="446"/>
        <v>0</v>
      </c>
      <c r="AF626" s="64">
        <f t="shared" si="446"/>
        <v>0</v>
      </c>
      <c r="AG626" s="64">
        <f t="shared" si="446"/>
        <v>0</v>
      </c>
      <c r="AH626" s="64">
        <f t="shared" si="446"/>
        <v>0</v>
      </c>
      <c r="AI626" s="64">
        <f t="shared" si="446"/>
        <v>0</v>
      </c>
    </row>
    <row r="627" spans="1:35">
      <c r="A627" s="990">
        <v>580</v>
      </c>
      <c r="B627" s="990">
        <v>1</v>
      </c>
      <c r="C627" s="990">
        <v>627</v>
      </c>
      <c r="E627" s="1243">
        <v>1</v>
      </c>
      <c r="I627" s="445"/>
      <c r="J627" s="446"/>
      <c r="K627" s="74"/>
      <c r="L627" s="74"/>
      <c r="M627" s="75"/>
      <c r="N627" s="75"/>
      <c r="O627" s="394" t="s">
        <v>1042</v>
      </c>
      <c r="P627" s="394"/>
      <c r="Q627" s="2057"/>
      <c r="R627" s="2057"/>
      <c r="S627" s="2057"/>
      <c r="T627" s="2057"/>
      <c r="U627" s="2057"/>
      <c r="V627" s="2057"/>
      <c r="W627" s="2057"/>
      <c r="X627" s="2057"/>
      <c r="Y627" s="2057"/>
      <c r="Z627" s="2057"/>
      <c r="AA627" s="2057"/>
      <c r="AB627" s="2057"/>
      <c r="AC627" s="64">
        <f>SUM(Q627,R627,S627)</f>
        <v>0</v>
      </c>
      <c r="AD627" s="64">
        <f>SUM(T627,U627,V627)</f>
        <v>0</v>
      </c>
      <c r="AE627" s="64">
        <f>SUM(W627,X627,Y627)</f>
        <v>0</v>
      </c>
      <c r="AF627" s="64">
        <f>SUM(Z627,AA627,AB627)</f>
        <v>0</v>
      </c>
      <c r="AG627" s="64">
        <f>AC627+AD627</f>
        <v>0</v>
      </c>
      <c r="AH627" s="64">
        <f>AF627+AE627</f>
        <v>0</v>
      </c>
      <c r="AI627" s="64">
        <f>AG627+AH627</f>
        <v>0</v>
      </c>
    </row>
    <row r="628" spans="1:35" s="75" customFormat="1">
      <c r="A628" s="990">
        <v>581</v>
      </c>
      <c r="B628" s="990">
        <v>1</v>
      </c>
      <c r="C628" s="990">
        <v>628</v>
      </c>
      <c r="E628" s="1243">
        <v>1</v>
      </c>
      <c r="F628" s="10"/>
      <c r="G628" s="10"/>
      <c r="H628" s="24"/>
      <c r="I628" s="445"/>
      <c r="J628" s="446"/>
      <c r="K628" s="74"/>
      <c r="L628" s="74"/>
      <c r="O628" s="395" t="s">
        <v>1099</v>
      </c>
      <c r="P628" s="395"/>
      <c r="Q628" s="385">
        <f t="shared" ref="Q628:AB628" si="447">SUM(Q629:Q631)</f>
        <v>0</v>
      </c>
      <c r="R628" s="385">
        <f t="shared" si="447"/>
        <v>0</v>
      </c>
      <c r="S628" s="385">
        <f t="shared" si="447"/>
        <v>0</v>
      </c>
      <c r="T628" s="385">
        <f t="shared" si="447"/>
        <v>0</v>
      </c>
      <c r="U628" s="385">
        <f t="shared" si="447"/>
        <v>0</v>
      </c>
      <c r="V628" s="385">
        <f t="shared" si="447"/>
        <v>0</v>
      </c>
      <c r="W628" s="385">
        <f t="shared" si="447"/>
        <v>0</v>
      </c>
      <c r="X628" s="385">
        <f t="shared" si="447"/>
        <v>0</v>
      </c>
      <c r="Y628" s="385">
        <f t="shared" si="447"/>
        <v>0</v>
      </c>
      <c r="Z628" s="385">
        <f t="shared" si="447"/>
        <v>0</v>
      </c>
      <c r="AA628" s="385">
        <f t="shared" si="447"/>
        <v>0</v>
      </c>
      <c r="AB628" s="385">
        <f t="shared" si="447"/>
        <v>0</v>
      </c>
      <c r="AC628" s="385">
        <f>SUM(Q628:S628)</f>
        <v>0</v>
      </c>
      <c r="AD628" s="385">
        <f>SUM(T628:V628)</f>
        <v>0</v>
      </c>
      <c r="AE628" s="385">
        <f>SUM(W628:Y628)</f>
        <v>0</v>
      </c>
      <c r="AF628" s="385">
        <f>SUM(Z628:AB628)</f>
        <v>0</v>
      </c>
      <c r="AG628" s="385">
        <f>AC628+AD628</f>
        <v>0</v>
      </c>
      <c r="AH628" s="385">
        <f>AF628+AE628</f>
        <v>0</v>
      </c>
      <c r="AI628" s="385">
        <f>AG628+AH628</f>
        <v>0</v>
      </c>
    </row>
    <row r="629" spans="1:35" s="75" customFormat="1">
      <c r="A629" s="990">
        <v>582</v>
      </c>
      <c r="B629" s="990">
        <v>1</v>
      </c>
      <c r="C629" s="990">
        <v>629</v>
      </c>
      <c r="E629" s="1243">
        <v>1</v>
      </c>
      <c r="F629" s="10"/>
      <c r="G629" s="10"/>
      <c r="H629" s="24"/>
      <c r="I629" s="445"/>
      <c r="J629" s="446"/>
      <c r="K629" s="74"/>
      <c r="L629" s="74"/>
      <c r="O629" s="396"/>
      <c r="P629" s="382" t="s">
        <v>391</v>
      </c>
      <c r="Q629" s="2042"/>
      <c r="R629" s="2042"/>
      <c r="S629" s="2042"/>
      <c r="T629" s="2042"/>
      <c r="U629" s="2042"/>
      <c r="V629" s="2042"/>
      <c r="W629" s="2042"/>
      <c r="X629" s="2042"/>
      <c r="Y629" s="2042"/>
      <c r="Z629" s="2042"/>
      <c r="AA629" s="2042"/>
      <c r="AB629" s="2042"/>
      <c r="AC629" s="108">
        <f>SUM(Q629,R629,S629)</f>
        <v>0</v>
      </c>
      <c r="AD629" s="108">
        <f>SUM(T629,U629,V629)</f>
        <v>0</v>
      </c>
      <c r="AE629" s="108">
        <f>SUM(W629,X629,Y629)</f>
        <v>0</v>
      </c>
      <c r="AF629" s="108">
        <f>SUM(Z629,AA629,AB629)</f>
        <v>0</v>
      </c>
      <c r="AG629" s="108">
        <f>AC629+AD629</f>
        <v>0</v>
      </c>
      <c r="AH629" s="108">
        <f>AF629+AE629</f>
        <v>0</v>
      </c>
      <c r="AI629" s="108">
        <f>AG629+AH629</f>
        <v>0</v>
      </c>
    </row>
    <row r="630" spans="1:35" s="75" customFormat="1">
      <c r="A630" s="990">
        <v>583</v>
      </c>
      <c r="B630" s="990">
        <v>1</v>
      </c>
      <c r="C630" s="990">
        <v>630</v>
      </c>
      <c r="E630" s="1243">
        <v>1</v>
      </c>
      <c r="F630" s="10"/>
      <c r="G630" s="10"/>
      <c r="H630" s="24"/>
      <c r="I630" s="445"/>
      <c r="J630" s="446"/>
      <c r="K630" s="74"/>
      <c r="L630" s="74"/>
      <c r="O630" s="301"/>
      <c r="P630" s="400" t="s">
        <v>1086</v>
      </c>
      <c r="Q630" s="2036"/>
      <c r="R630" s="2036"/>
      <c r="S630" s="2036"/>
      <c r="T630" s="2036"/>
      <c r="U630" s="2036"/>
      <c r="V630" s="2036"/>
      <c r="W630" s="2036"/>
      <c r="X630" s="2036"/>
      <c r="Y630" s="2036"/>
      <c r="Z630" s="2036"/>
      <c r="AA630" s="2036"/>
      <c r="AB630" s="2036"/>
      <c r="AC630" s="107">
        <f>SUM(Q630,R630,S630)</f>
        <v>0</v>
      </c>
      <c r="AD630" s="107">
        <f>SUM(T630,U630,V630)</f>
        <v>0</v>
      </c>
      <c r="AE630" s="107">
        <f>SUM(W630,X630,Y630)</f>
        <v>0</v>
      </c>
      <c r="AF630" s="107">
        <f>SUM(Z630,AA630,AB630)</f>
        <v>0</v>
      </c>
      <c r="AG630" s="107">
        <f>AC630+AD630</f>
        <v>0</v>
      </c>
      <c r="AH630" s="107">
        <f>AF630+AE630</f>
        <v>0</v>
      </c>
      <c r="AI630" s="107">
        <f>AG630+AH630</f>
        <v>0</v>
      </c>
    </row>
    <row r="631" spans="1:35" s="75" customFormat="1">
      <c r="A631" s="990">
        <v>584</v>
      </c>
      <c r="B631" s="990">
        <v>1</v>
      </c>
      <c r="C631" s="990">
        <v>631</v>
      </c>
      <c r="E631" s="1243">
        <v>1</v>
      </c>
      <c r="F631" s="10"/>
      <c r="G631" s="10"/>
      <c r="H631" s="24"/>
      <c r="I631" s="445"/>
      <c r="J631" s="446"/>
      <c r="K631" s="74"/>
      <c r="L631" s="74"/>
      <c r="N631" s="276"/>
      <c r="O631" s="302"/>
      <c r="P631" s="88" t="s">
        <v>393</v>
      </c>
      <c r="Q631" s="2037"/>
      <c r="R631" s="2037"/>
      <c r="S631" s="2037"/>
      <c r="T631" s="2037"/>
      <c r="U631" s="2037"/>
      <c r="V631" s="2037"/>
      <c r="W631" s="2037"/>
      <c r="X631" s="2037"/>
      <c r="Y631" s="2037"/>
      <c r="Z631" s="2037"/>
      <c r="AA631" s="2037"/>
      <c r="AB631" s="2037"/>
      <c r="AC631" s="107">
        <f>SUM(Q631,R631,S631)</f>
        <v>0</v>
      </c>
      <c r="AD631" s="107">
        <f>SUM(T631,U631,V631)</f>
        <v>0</v>
      </c>
      <c r="AE631" s="107">
        <f>SUM(W631,X631,Y631)</f>
        <v>0</v>
      </c>
      <c r="AF631" s="107">
        <f>SUM(Z631,AA631,AB631)</f>
        <v>0</v>
      </c>
      <c r="AG631" s="107">
        <f>AC631+AD631</f>
        <v>0</v>
      </c>
      <c r="AH631" s="107">
        <f>AF631+AE631</f>
        <v>0</v>
      </c>
      <c r="AI631" s="107">
        <f>AG631+AH631</f>
        <v>0</v>
      </c>
    </row>
    <row r="632" spans="1:35">
      <c r="A632" s="990">
        <v>585</v>
      </c>
      <c r="B632" s="990">
        <v>1</v>
      </c>
      <c r="C632" s="990">
        <v>632</v>
      </c>
      <c r="E632" s="1243">
        <v>1</v>
      </c>
      <c r="I632" s="445"/>
      <c r="J632" s="446"/>
      <c r="K632" s="74"/>
      <c r="L632" s="74"/>
      <c r="M632" s="75"/>
      <c r="N632" s="75" t="s">
        <v>852</v>
      </c>
      <c r="O632" s="391"/>
      <c r="P632" s="391"/>
      <c r="Q632" s="64">
        <f t="shared" ref="Q632:AI632" si="448">Q633+Q634</f>
        <v>0</v>
      </c>
      <c r="R632" s="64">
        <f t="shared" si="448"/>
        <v>0</v>
      </c>
      <c r="S632" s="64">
        <f t="shared" si="448"/>
        <v>0</v>
      </c>
      <c r="T632" s="64">
        <f t="shared" si="448"/>
        <v>0</v>
      </c>
      <c r="U632" s="64">
        <f t="shared" si="448"/>
        <v>0</v>
      </c>
      <c r="V632" s="64">
        <f t="shared" si="448"/>
        <v>0</v>
      </c>
      <c r="W632" s="64">
        <f t="shared" si="448"/>
        <v>0</v>
      </c>
      <c r="X632" s="64">
        <f t="shared" si="448"/>
        <v>0</v>
      </c>
      <c r="Y632" s="64">
        <f t="shared" si="448"/>
        <v>0</v>
      </c>
      <c r="Z632" s="64">
        <f t="shared" si="448"/>
        <v>0</v>
      </c>
      <c r="AA632" s="64">
        <f t="shared" si="448"/>
        <v>0</v>
      </c>
      <c r="AB632" s="64">
        <f t="shared" si="448"/>
        <v>0</v>
      </c>
      <c r="AC632" s="64">
        <f t="shared" si="448"/>
        <v>0</v>
      </c>
      <c r="AD632" s="64">
        <f t="shared" si="448"/>
        <v>0</v>
      </c>
      <c r="AE632" s="64">
        <f t="shared" si="448"/>
        <v>0</v>
      </c>
      <c r="AF632" s="64">
        <f t="shared" si="448"/>
        <v>0</v>
      </c>
      <c r="AG632" s="64">
        <f t="shared" si="448"/>
        <v>0</v>
      </c>
      <c r="AH632" s="64">
        <f t="shared" si="448"/>
        <v>0</v>
      </c>
      <c r="AI632" s="64">
        <f t="shared" si="448"/>
        <v>0</v>
      </c>
    </row>
    <row r="633" spans="1:35">
      <c r="A633" s="990">
        <v>586</v>
      </c>
      <c r="B633" s="990">
        <v>1</v>
      </c>
      <c r="C633" s="990">
        <v>633</v>
      </c>
      <c r="E633" s="1243">
        <v>1</v>
      </c>
      <c r="I633" s="445"/>
      <c r="J633" s="446"/>
      <c r="K633" s="74"/>
      <c r="L633" s="74"/>
      <c r="M633" s="75"/>
      <c r="N633" s="75"/>
      <c r="O633" s="394" t="s">
        <v>852</v>
      </c>
      <c r="P633" s="394"/>
      <c r="Q633" s="2057"/>
      <c r="R633" s="2057"/>
      <c r="S633" s="2057"/>
      <c r="T633" s="2057"/>
      <c r="U633" s="2057"/>
      <c r="V633" s="2057"/>
      <c r="W633" s="2057"/>
      <c r="X633" s="2057"/>
      <c r="Y633" s="2057"/>
      <c r="Z633" s="2057"/>
      <c r="AA633" s="2057"/>
      <c r="AB633" s="2057"/>
      <c r="AC633" s="64">
        <f>SUM(Q633,R633,S633)</f>
        <v>0</v>
      </c>
      <c r="AD633" s="64">
        <f>SUM(T633,U633,V633)</f>
        <v>0</v>
      </c>
      <c r="AE633" s="64">
        <f>SUM(W633,X633,Y633)</f>
        <v>0</v>
      </c>
      <c r="AF633" s="64">
        <f>SUM(Z633,AA633,AB633)</f>
        <v>0</v>
      </c>
      <c r="AG633" s="64">
        <f t="shared" ref="AG633:AG642" si="449">AC633+AD633</f>
        <v>0</v>
      </c>
      <c r="AH633" s="64">
        <f t="shared" ref="AH633:AH642" si="450">AF633+AE633</f>
        <v>0</v>
      </c>
      <c r="AI633" s="64">
        <f t="shared" ref="AI633:AI642" si="451">AG633+AH633</f>
        <v>0</v>
      </c>
    </row>
    <row r="634" spans="1:35" s="75" customFormat="1">
      <c r="A634" s="990">
        <v>587</v>
      </c>
      <c r="B634" s="990">
        <v>1</v>
      </c>
      <c r="C634" s="990">
        <v>634</v>
      </c>
      <c r="E634" s="1243">
        <v>1</v>
      </c>
      <c r="F634" s="10"/>
      <c r="G634" s="10"/>
      <c r="H634" s="24"/>
      <c r="I634" s="445"/>
      <c r="J634" s="446"/>
      <c r="K634" s="74"/>
      <c r="L634" s="74"/>
      <c r="O634" s="395" t="s">
        <v>1099</v>
      </c>
      <c r="P634" s="395"/>
      <c r="Q634" s="385">
        <f t="shared" ref="Q634:AB634" si="452">SUM(Q635:Q637)</f>
        <v>0</v>
      </c>
      <c r="R634" s="385">
        <f t="shared" si="452"/>
        <v>0</v>
      </c>
      <c r="S634" s="385">
        <f t="shared" si="452"/>
        <v>0</v>
      </c>
      <c r="T634" s="385">
        <f t="shared" si="452"/>
        <v>0</v>
      </c>
      <c r="U634" s="385">
        <f t="shared" si="452"/>
        <v>0</v>
      </c>
      <c r="V634" s="385">
        <f t="shared" si="452"/>
        <v>0</v>
      </c>
      <c r="W634" s="385">
        <f t="shared" si="452"/>
        <v>0</v>
      </c>
      <c r="X634" s="385">
        <f t="shared" si="452"/>
        <v>0</v>
      </c>
      <c r="Y634" s="385">
        <f t="shared" si="452"/>
        <v>0</v>
      </c>
      <c r="Z634" s="385">
        <f t="shared" si="452"/>
        <v>0</v>
      </c>
      <c r="AA634" s="385">
        <f t="shared" si="452"/>
        <v>0</v>
      </c>
      <c r="AB634" s="385">
        <f t="shared" si="452"/>
        <v>0</v>
      </c>
      <c r="AC634" s="385">
        <f>SUM(Q634:S634)</f>
        <v>0</v>
      </c>
      <c r="AD634" s="385">
        <f>SUM(T634:V634)</f>
        <v>0</v>
      </c>
      <c r="AE634" s="385">
        <f>SUM(W634:Y634)</f>
        <v>0</v>
      </c>
      <c r="AF634" s="385">
        <f>SUM(Z634:AB634)</f>
        <v>0</v>
      </c>
      <c r="AG634" s="385">
        <f t="shared" si="449"/>
        <v>0</v>
      </c>
      <c r="AH634" s="385">
        <f t="shared" si="450"/>
        <v>0</v>
      </c>
      <c r="AI634" s="385">
        <f t="shared" si="451"/>
        <v>0</v>
      </c>
    </row>
    <row r="635" spans="1:35" s="75" customFormat="1">
      <c r="A635" s="990">
        <v>588</v>
      </c>
      <c r="B635" s="990">
        <v>1</v>
      </c>
      <c r="C635" s="990">
        <v>635</v>
      </c>
      <c r="E635" s="1243">
        <v>1</v>
      </c>
      <c r="F635" s="10"/>
      <c r="G635" s="10"/>
      <c r="H635" s="24"/>
      <c r="I635" s="445"/>
      <c r="J635" s="446"/>
      <c r="K635" s="74"/>
      <c r="L635" s="74"/>
      <c r="O635" s="396"/>
      <c r="P635" s="382" t="s">
        <v>391</v>
      </c>
      <c r="Q635" s="2042"/>
      <c r="R635" s="2042"/>
      <c r="S635" s="2042"/>
      <c r="T635" s="2042"/>
      <c r="U635" s="2042"/>
      <c r="V635" s="2042"/>
      <c r="W635" s="2042"/>
      <c r="X635" s="2042"/>
      <c r="Y635" s="2042"/>
      <c r="Z635" s="2042"/>
      <c r="AA635" s="2042"/>
      <c r="AB635" s="2042"/>
      <c r="AC635" s="108">
        <f>SUM(Q635,R635,S635)</f>
        <v>0</v>
      </c>
      <c r="AD635" s="108">
        <f>SUM(T635,U635,V635)</f>
        <v>0</v>
      </c>
      <c r="AE635" s="108">
        <f>SUM(W635,X635,Y635)</f>
        <v>0</v>
      </c>
      <c r="AF635" s="108">
        <f>SUM(Z635,AA635,AB635)</f>
        <v>0</v>
      </c>
      <c r="AG635" s="108">
        <f t="shared" si="449"/>
        <v>0</v>
      </c>
      <c r="AH635" s="108">
        <f t="shared" si="450"/>
        <v>0</v>
      </c>
      <c r="AI635" s="108">
        <f t="shared" si="451"/>
        <v>0</v>
      </c>
    </row>
    <row r="636" spans="1:35" s="75" customFormat="1">
      <c r="A636" s="990">
        <v>589</v>
      </c>
      <c r="B636" s="990">
        <v>1</v>
      </c>
      <c r="C636" s="990">
        <v>636</v>
      </c>
      <c r="E636" s="1243">
        <v>1</v>
      </c>
      <c r="F636" s="10"/>
      <c r="G636" s="10"/>
      <c r="H636" s="24"/>
      <c r="I636" s="445"/>
      <c r="J636" s="446"/>
      <c r="K636" s="74"/>
      <c r="L636" s="74"/>
      <c r="O636" s="301"/>
      <c r="P636" s="400" t="s">
        <v>1086</v>
      </c>
      <c r="Q636" s="2036"/>
      <c r="R636" s="2036"/>
      <c r="S636" s="2036"/>
      <c r="T636" s="2036"/>
      <c r="U636" s="2036"/>
      <c r="V636" s="2036"/>
      <c r="W636" s="2036"/>
      <c r="X636" s="2036"/>
      <c r="Y636" s="2036"/>
      <c r="Z636" s="2036"/>
      <c r="AA636" s="2036"/>
      <c r="AB636" s="2036"/>
      <c r="AC636" s="107">
        <f>SUM(Q636,R636,S636)</f>
        <v>0</v>
      </c>
      <c r="AD636" s="107">
        <f>SUM(T636,U636,V636)</f>
        <v>0</v>
      </c>
      <c r="AE636" s="107">
        <f>SUM(W636,X636,Y636)</f>
        <v>0</v>
      </c>
      <c r="AF636" s="107">
        <f>SUM(Z636,AA636,AB636)</f>
        <v>0</v>
      </c>
      <c r="AG636" s="107">
        <f t="shared" si="449"/>
        <v>0</v>
      </c>
      <c r="AH636" s="107">
        <f t="shared" si="450"/>
        <v>0</v>
      </c>
      <c r="AI636" s="107">
        <f t="shared" si="451"/>
        <v>0</v>
      </c>
    </row>
    <row r="637" spans="1:35" s="75" customFormat="1">
      <c r="A637" s="990">
        <v>590</v>
      </c>
      <c r="B637" s="990">
        <v>1</v>
      </c>
      <c r="C637" s="990">
        <v>637</v>
      </c>
      <c r="E637" s="1243">
        <v>1</v>
      </c>
      <c r="F637" s="10"/>
      <c r="G637" s="10"/>
      <c r="H637" s="24"/>
      <c r="I637" s="445"/>
      <c r="J637" s="446"/>
      <c r="K637" s="74"/>
      <c r="L637" s="74"/>
      <c r="N637" s="276"/>
      <c r="O637" s="302"/>
      <c r="P637" s="88" t="s">
        <v>393</v>
      </c>
      <c r="Q637" s="2037"/>
      <c r="R637" s="2037"/>
      <c r="S637" s="2037"/>
      <c r="T637" s="2037"/>
      <c r="U637" s="2037"/>
      <c r="V637" s="2037"/>
      <c r="W637" s="2037"/>
      <c r="X637" s="2037"/>
      <c r="Y637" s="2037"/>
      <c r="Z637" s="2037"/>
      <c r="AA637" s="2037"/>
      <c r="AB637" s="2037"/>
      <c r="AC637" s="107">
        <f>SUM(Q637,R637,S637)</f>
        <v>0</v>
      </c>
      <c r="AD637" s="107">
        <f>SUM(T637,U637,V637)</f>
        <v>0</v>
      </c>
      <c r="AE637" s="107">
        <f>SUM(W637,X637,Y637)</f>
        <v>0</v>
      </c>
      <c r="AF637" s="107">
        <f>SUM(Z637,AA637,AB637)</f>
        <v>0</v>
      </c>
      <c r="AG637" s="107">
        <f t="shared" si="449"/>
        <v>0</v>
      </c>
      <c r="AH637" s="107">
        <f t="shared" si="450"/>
        <v>0</v>
      </c>
      <c r="AI637" s="107">
        <f t="shared" si="451"/>
        <v>0</v>
      </c>
    </row>
    <row r="638" spans="1:35" s="75" customFormat="1">
      <c r="A638" s="990">
        <v>591</v>
      </c>
      <c r="B638" s="990">
        <v>1</v>
      </c>
      <c r="C638" s="990">
        <v>638</v>
      </c>
      <c r="E638" s="1243">
        <v>1</v>
      </c>
      <c r="F638" s="10"/>
      <c r="G638" s="10"/>
      <c r="H638" s="24"/>
      <c r="I638" s="445"/>
      <c r="J638" s="446"/>
      <c r="K638" s="74"/>
      <c r="L638" s="74"/>
      <c r="N638" s="1199" t="s">
        <v>1095</v>
      </c>
      <c r="O638" s="373"/>
      <c r="P638" s="373"/>
      <c r="Q638" s="381">
        <f>SUM(Q639:Q640)</f>
        <v>0</v>
      </c>
      <c r="R638" s="381">
        <f t="shared" ref="R638:AB638" si="453">SUM(R639:R640)</f>
        <v>0</v>
      </c>
      <c r="S638" s="381">
        <f t="shared" si="453"/>
        <v>0</v>
      </c>
      <c r="T638" s="381">
        <f t="shared" si="453"/>
        <v>0</v>
      </c>
      <c r="U638" s="381">
        <f t="shared" si="453"/>
        <v>0</v>
      </c>
      <c r="V638" s="381">
        <f t="shared" si="453"/>
        <v>0</v>
      </c>
      <c r="W638" s="381">
        <f t="shared" si="453"/>
        <v>0</v>
      </c>
      <c r="X638" s="381">
        <f t="shared" si="453"/>
        <v>0</v>
      </c>
      <c r="Y638" s="381">
        <f t="shared" si="453"/>
        <v>0</v>
      </c>
      <c r="Z638" s="381">
        <f t="shared" si="453"/>
        <v>0</v>
      </c>
      <c r="AA638" s="381">
        <f t="shared" si="453"/>
        <v>0</v>
      </c>
      <c r="AB638" s="381">
        <f t="shared" si="453"/>
        <v>0</v>
      </c>
      <c r="AC638" s="381">
        <f>SUM(Q638:S638)</f>
        <v>0</v>
      </c>
      <c r="AD638" s="381">
        <f>SUM(T638:V638)</f>
        <v>0</v>
      </c>
      <c r="AE638" s="381">
        <f>SUM(W638:Y638)</f>
        <v>0</v>
      </c>
      <c r="AF638" s="381">
        <f>SUM(Z638:AB638)</f>
        <v>0</v>
      </c>
      <c r="AG638" s="381">
        <f t="shared" si="449"/>
        <v>0</v>
      </c>
      <c r="AH638" s="381">
        <f t="shared" si="450"/>
        <v>0</v>
      </c>
      <c r="AI638" s="381">
        <f t="shared" si="451"/>
        <v>0</v>
      </c>
    </row>
    <row r="639" spans="1:35" s="75" customFormat="1">
      <c r="A639" s="990">
        <v>592</v>
      </c>
      <c r="B639" s="990">
        <v>1</v>
      </c>
      <c r="C639" s="990">
        <v>639</v>
      </c>
      <c r="E639" s="1243">
        <v>1</v>
      </c>
      <c r="F639" s="10"/>
      <c r="G639" s="10"/>
      <c r="H639" s="24"/>
      <c r="I639" s="445"/>
      <c r="J639" s="446"/>
      <c r="K639" s="74"/>
      <c r="L639" s="74"/>
      <c r="N639" s="301"/>
      <c r="O639" s="396"/>
      <c r="P639" s="396" t="s">
        <v>391</v>
      </c>
      <c r="Q639" s="2042"/>
      <c r="R639" s="2042"/>
      <c r="S639" s="2042"/>
      <c r="T639" s="2042"/>
      <c r="U639" s="2042"/>
      <c r="V639" s="2042"/>
      <c r="W639" s="2042"/>
      <c r="X639" s="2042"/>
      <c r="Y639" s="2042"/>
      <c r="Z639" s="2042"/>
      <c r="AA639" s="2042"/>
      <c r="AB639" s="2042"/>
      <c r="AC639" s="108">
        <f>SUM(Q639,R639,S639)</f>
        <v>0</v>
      </c>
      <c r="AD639" s="108">
        <f>SUM(T639,U639,V639)</f>
        <v>0</v>
      </c>
      <c r="AE639" s="108">
        <f>SUM(W639,X639,Y639)</f>
        <v>0</v>
      </c>
      <c r="AF639" s="108">
        <f>SUM(Z639,AA639,AB639)</f>
        <v>0</v>
      </c>
      <c r="AG639" s="108">
        <f t="shared" si="449"/>
        <v>0</v>
      </c>
      <c r="AH639" s="108">
        <f t="shared" si="450"/>
        <v>0</v>
      </c>
      <c r="AI639" s="108">
        <f t="shared" si="451"/>
        <v>0</v>
      </c>
    </row>
    <row r="640" spans="1:35" s="75" customFormat="1">
      <c r="A640" s="990">
        <v>593</v>
      </c>
      <c r="B640" s="990">
        <v>1</v>
      </c>
      <c r="C640" s="990">
        <v>640</v>
      </c>
      <c r="E640" s="1243">
        <v>1</v>
      </c>
      <c r="F640" s="10"/>
      <c r="G640" s="10"/>
      <c r="H640" s="24"/>
      <c r="I640" s="445"/>
      <c r="J640" s="446"/>
      <c r="K640" s="74"/>
      <c r="L640" s="74"/>
      <c r="N640" s="302"/>
      <c r="O640" s="302"/>
      <c r="P640" s="302" t="s">
        <v>393</v>
      </c>
      <c r="Q640" s="2037"/>
      <c r="R640" s="2037"/>
      <c r="S640" s="2037"/>
      <c r="T640" s="2037"/>
      <c r="U640" s="2037"/>
      <c r="V640" s="2037"/>
      <c r="W640" s="2037"/>
      <c r="X640" s="2037"/>
      <c r="Y640" s="2037"/>
      <c r="Z640" s="2037"/>
      <c r="AA640" s="2037"/>
      <c r="AB640" s="2037"/>
      <c r="AC640" s="107">
        <f>SUM(Q640,R640,S640)</f>
        <v>0</v>
      </c>
      <c r="AD640" s="107">
        <f>SUM(T640,U640,V640)</f>
        <v>0</v>
      </c>
      <c r="AE640" s="107">
        <f>SUM(W640,X640,Y640)</f>
        <v>0</v>
      </c>
      <c r="AF640" s="107">
        <f>SUM(Z640,AA640,AB640)</f>
        <v>0</v>
      </c>
      <c r="AG640" s="107">
        <f t="shared" si="449"/>
        <v>0</v>
      </c>
      <c r="AH640" s="107">
        <f t="shared" si="450"/>
        <v>0</v>
      </c>
      <c r="AI640" s="107">
        <f t="shared" si="451"/>
        <v>0</v>
      </c>
    </row>
    <row r="641" spans="1:35" s="75" customFormat="1">
      <c r="A641" s="990">
        <v>594</v>
      </c>
      <c r="B641" s="990">
        <v>1</v>
      </c>
      <c r="C641" s="990">
        <v>641</v>
      </c>
      <c r="E641" s="1243">
        <v>1</v>
      </c>
      <c r="F641" s="10"/>
      <c r="G641" s="10"/>
      <c r="H641" s="24"/>
      <c r="I641" s="445"/>
      <c r="J641" s="446"/>
      <c r="K641" s="74"/>
      <c r="L641" s="74"/>
      <c r="N641" s="301" t="s">
        <v>1101</v>
      </c>
      <c r="O641" s="301"/>
      <c r="P641" s="302"/>
      <c r="Q641" s="2037"/>
      <c r="R641" s="2037"/>
      <c r="S641" s="2037"/>
      <c r="T641" s="2037"/>
      <c r="U641" s="2037"/>
      <c r="V641" s="2037"/>
      <c r="W641" s="2037"/>
      <c r="X641" s="2037"/>
      <c r="Y641" s="2037"/>
      <c r="Z641" s="2037"/>
      <c r="AA641" s="2037"/>
      <c r="AB641" s="2037"/>
      <c r="AC641" s="107">
        <f>SUM(Q641,R641,S641)</f>
        <v>0</v>
      </c>
      <c r="AD641" s="107">
        <f>SUM(T641,U641,V641)</f>
        <v>0</v>
      </c>
      <c r="AE641" s="107">
        <f>SUM(W641,X641,Y641)</f>
        <v>0</v>
      </c>
      <c r="AF641" s="107">
        <f>SUM(Z641,AA641,AB641)</f>
        <v>0</v>
      </c>
      <c r="AG641" s="107">
        <f>AC641+AD641</f>
        <v>0</v>
      </c>
      <c r="AH641" s="107">
        <f>AF641+AE641</f>
        <v>0</v>
      </c>
      <c r="AI641" s="107">
        <f>AG641+AH641</f>
        <v>0</v>
      </c>
    </row>
    <row r="642" spans="1:35">
      <c r="A642" s="990">
        <v>595</v>
      </c>
      <c r="B642" s="990">
        <v>1</v>
      </c>
      <c r="C642" s="990">
        <v>642</v>
      </c>
      <c r="E642" s="1243">
        <v>1</v>
      </c>
      <c r="I642" s="445"/>
      <c r="J642" s="446"/>
      <c r="K642" s="73"/>
      <c r="L642" s="73"/>
      <c r="M642" s="276"/>
      <c r="N642" s="306" t="s">
        <v>11</v>
      </c>
      <c r="O642" s="306"/>
      <c r="P642" s="306"/>
      <c r="Q642" s="2088"/>
      <c r="R642" s="2088"/>
      <c r="S642" s="2088"/>
      <c r="T642" s="2088"/>
      <c r="U642" s="2088"/>
      <c r="V642" s="2088"/>
      <c r="W642" s="2088"/>
      <c r="X642" s="2088"/>
      <c r="Y642" s="2088"/>
      <c r="Z642" s="2088"/>
      <c r="AA642" s="2088"/>
      <c r="AB642" s="2088"/>
      <c r="AC642" s="2058">
        <f>SUM(Q642,R642,S642)</f>
        <v>0</v>
      </c>
      <c r="AD642" s="2058">
        <f>SUM(T642,U642,V642)</f>
        <v>0</v>
      </c>
      <c r="AE642" s="2058">
        <f>SUM(W642,X642,Y642)</f>
        <v>0</v>
      </c>
      <c r="AF642" s="2058">
        <f>SUM(Z642,AA642,AB642)</f>
        <v>0</v>
      </c>
      <c r="AG642" s="2058">
        <f t="shared" si="449"/>
        <v>0</v>
      </c>
      <c r="AH642" s="2058">
        <f t="shared" si="450"/>
        <v>0</v>
      </c>
      <c r="AI642" s="2058">
        <f t="shared" si="451"/>
        <v>0</v>
      </c>
    </row>
    <row r="643" spans="1:35">
      <c r="A643" s="990">
        <v>596</v>
      </c>
      <c r="B643" s="990">
        <v>1</v>
      </c>
      <c r="C643" s="990">
        <v>643</v>
      </c>
      <c r="E643" s="1243">
        <v>1</v>
      </c>
      <c r="I643" s="445"/>
      <c r="J643" s="446"/>
      <c r="K643" s="69" t="s">
        <v>1023</v>
      </c>
      <c r="L643" s="69"/>
      <c r="M643" s="610"/>
      <c r="N643" s="610"/>
      <c r="O643" s="610"/>
      <c r="P643" s="610"/>
      <c r="Q643" s="2056">
        <f t="shared" ref="Q643:AI643" si="454">Q644+Q651</f>
        <v>0</v>
      </c>
      <c r="R643" s="2056">
        <f t="shared" si="454"/>
        <v>0</v>
      </c>
      <c r="S643" s="2056">
        <f t="shared" si="454"/>
        <v>0</v>
      </c>
      <c r="T643" s="2056">
        <f t="shared" si="454"/>
        <v>0</v>
      </c>
      <c r="U643" s="2056">
        <f t="shared" si="454"/>
        <v>0</v>
      </c>
      <c r="V643" s="2056">
        <f t="shared" si="454"/>
        <v>0</v>
      </c>
      <c r="W643" s="2056">
        <f t="shared" si="454"/>
        <v>0</v>
      </c>
      <c r="X643" s="2056">
        <f t="shared" si="454"/>
        <v>0</v>
      </c>
      <c r="Y643" s="2056">
        <f t="shared" si="454"/>
        <v>0</v>
      </c>
      <c r="Z643" s="2056">
        <f t="shared" si="454"/>
        <v>0</v>
      </c>
      <c r="AA643" s="2056">
        <f t="shared" si="454"/>
        <v>0</v>
      </c>
      <c r="AB643" s="2056">
        <f t="shared" si="454"/>
        <v>0</v>
      </c>
      <c r="AC643" s="2056">
        <f t="shared" si="454"/>
        <v>0</v>
      </c>
      <c r="AD643" s="2056">
        <f t="shared" si="454"/>
        <v>0</v>
      </c>
      <c r="AE643" s="2056">
        <f t="shared" si="454"/>
        <v>0</v>
      </c>
      <c r="AF643" s="2056">
        <f t="shared" si="454"/>
        <v>0</v>
      </c>
      <c r="AG643" s="2056">
        <f t="shared" si="454"/>
        <v>0</v>
      </c>
      <c r="AH643" s="2056">
        <f t="shared" si="454"/>
        <v>0</v>
      </c>
      <c r="AI643" s="2056">
        <f t="shared" si="454"/>
        <v>0</v>
      </c>
    </row>
    <row r="644" spans="1:35">
      <c r="A644" s="990">
        <v>597</v>
      </c>
      <c r="B644" s="990">
        <v>1</v>
      </c>
      <c r="C644" s="990">
        <v>644</v>
      </c>
      <c r="E644" s="1243">
        <v>1</v>
      </c>
      <c r="I644" s="445"/>
      <c r="J644" s="446"/>
      <c r="K644" s="74"/>
      <c r="L644" s="74"/>
      <c r="M644" s="75" t="s">
        <v>1039</v>
      </c>
      <c r="N644" s="391"/>
      <c r="O644" s="391"/>
      <c r="P644" s="391"/>
      <c r="Q644" s="365">
        <f t="shared" ref="Q644:AI644" si="455">SUM(Q645:Q650)</f>
        <v>0</v>
      </c>
      <c r="R644" s="365">
        <f t="shared" si="455"/>
        <v>0</v>
      </c>
      <c r="S644" s="365">
        <f t="shared" si="455"/>
        <v>0</v>
      </c>
      <c r="T644" s="365">
        <f t="shared" si="455"/>
        <v>0</v>
      </c>
      <c r="U644" s="365">
        <f t="shared" si="455"/>
        <v>0</v>
      </c>
      <c r="V644" s="365">
        <f t="shared" si="455"/>
        <v>0</v>
      </c>
      <c r="W644" s="365">
        <f t="shared" si="455"/>
        <v>0</v>
      </c>
      <c r="X644" s="365">
        <f t="shared" si="455"/>
        <v>0</v>
      </c>
      <c r="Y644" s="365">
        <f t="shared" si="455"/>
        <v>0</v>
      </c>
      <c r="Z644" s="365">
        <f t="shared" si="455"/>
        <v>0</v>
      </c>
      <c r="AA644" s="365">
        <f t="shared" si="455"/>
        <v>0</v>
      </c>
      <c r="AB644" s="365">
        <f t="shared" si="455"/>
        <v>0</v>
      </c>
      <c r="AC644" s="365">
        <f t="shared" si="455"/>
        <v>0</v>
      </c>
      <c r="AD644" s="365">
        <f t="shared" si="455"/>
        <v>0</v>
      </c>
      <c r="AE644" s="365">
        <f t="shared" si="455"/>
        <v>0</v>
      </c>
      <c r="AF644" s="365">
        <f t="shared" si="455"/>
        <v>0</v>
      </c>
      <c r="AG644" s="365">
        <f t="shared" si="455"/>
        <v>0</v>
      </c>
      <c r="AH644" s="365">
        <f t="shared" si="455"/>
        <v>0</v>
      </c>
      <c r="AI644" s="365">
        <f t="shared" si="455"/>
        <v>0</v>
      </c>
    </row>
    <row r="645" spans="1:35">
      <c r="A645" s="990">
        <v>598</v>
      </c>
      <c r="B645" s="990">
        <v>1</v>
      </c>
      <c r="C645" s="990">
        <v>645</v>
      </c>
      <c r="E645" s="1243">
        <v>1</v>
      </c>
      <c r="I645" s="445"/>
      <c r="J645" s="446"/>
      <c r="K645" s="74"/>
      <c r="L645" s="74"/>
      <c r="M645" s="75"/>
      <c r="N645" s="377" t="s">
        <v>1098</v>
      </c>
      <c r="O645" s="377"/>
      <c r="P645" s="377"/>
      <c r="Q645" s="2042"/>
      <c r="R645" s="2042"/>
      <c r="S645" s="2042"/>
      <c r="T645" s="2042"/>
      <c r="U645" s="2042"/>
      <c r="V645" s="2042"/>
      <c r="W645" s="2042"/>
      <c r="X645" s="2042"/>
      <c r="Y645" s="2042"/>
      <c r="Z645" s="2042"/>
      <c r="AA645" s="2042"/>
      <c r="AB645" s="2042"/>
      <c r="AC645" s="109">
        <f t="shared" ref="AC645:AC650" si="456">SUM(Q645,R645,S645)</f>
        <v>0</v>
      </c>
      <c r="AD645" s="109">
        <f t="shared" ref="AD645:AD650" si="457">SUM(T645,U645,V645)</f>
        <v>0</v>
      </c>
      <c r="AE645" s="109">
        <f t="shared" ref="AE645:AE650" si="458">SUM(W645,X645,Y645)</f>
        <v>0</v>
      </c>
      <c r="AF645" s="109">
        <f t="shared" ref="AF645:AF650" si="459">SUM(Z645,AA645,AB645)</f>
        <v>0</v>
      </c>
      <c r="AG645" s="109">
        <f t="shared" ref="AG645:AG650" si="460">AC645+AD645</f>
        <v>0</v>
      </c>
      <c r="AH645" s="109">
        <f t="shared" ref="AH645:AH650" si="461">AF645+AE645</f>
        <v>0</v>
      </c>
      <c r="AI645" s="109">
        <f t="shared" ref="AI645:AI650" si="462">AG645+AH645</f>
        <v>0</v>
      </c>
    </row>
    <row r="646" spans="1:35">
      <c r="A646" s="990">
        <v>599</v>
      </c>
      <c r="B646" s="990">
        <v>1</v>
      </c>
      <c r="C646" s="990">
        <v>646</v>
      </c>
      <c r="E646" s="1243">
        <v>1</v>
      </c>
      <c r="I646" s="445"/>
      <c r="J646" s="446"/>
      <c r="K646" s="74"/>
      <c r="L646" s="74"/>
      <c r="M646" s="75"/>
      <c r="N646" s="75" t="s">
        <v>1040</v>
      </c>
      <c r="O646" s="75"/>
      <c r="P646" s="75"/>
      <c r="Q646" s="2036"/>
      <c r="R646" s="2036"/>
      <c r="S646" s="2036"/>
      <c r="T646" s="2036"/>
      <c r="U646" s="2036"/>
      <c r="V646" s="2036"/>
      <c r="W646" s="2036"/>
      <c r="X646" s="2036"/>
      <c r="Y646" s="2036"/>
      <c r="Z646" s="2036"/>
      <c r="AA646" s="2036"/>
      <c r="AB646" s="2036"/>
      <c r="AC646" s="19">
        <f t="shared" si="456"/>
        <v>0</v>
      </c>
      <c r="AD646" s="19">
        <f t="shared" si="457"/>
        <v>0</v>
      </c>
      <c r="AE646" s="19">
        <f t="shared" si="458"/>
        <v>0</v>
      </c>
      <c r="AF646" s="19">
        <f t="shared" si="459"/>
        <v>0</v>
      </c>
      <c r="AG646" s="19">
        <f t="shared" si="460"/>
        <v>0</v>
      </c>
      <c r="AH646" s="19">
        <f t="shared" si="461"/>
        <v>0</v>
      </c>
      <c r="AI646" s="19">
        <f t="shared" si="462"/>
        <v>0</v>
      </c>
    </row>
    <row r="647" spans="1:35">
      <c r="A647" s="990">
        <v>600</v>
      </c>
      <c r="B647" s="990">
        <v>1</v>
      </c>
      <c r="C647" s="990">
        <v>647</v>
      </c>
      <c r="E647" s="1243">
        <v>1</v>
      </c>
      <c r="I647" s="445"/>
      <c r="J647" s="446"/>
      <c r="K647" s="74"/>
      <c r="L647" s="74"/>
      <c r="M647" s="75"/>
      <c r="N647" s="75" t="s">
        <v>1041</v>
      </c>
      <c r="O647" s="75"/>
      <c r="P647" s="75"/>
      <c r="Q647" s="2036"/>
      <c r="R647" s="2036"/>
      <c r="S647" s="2036"/>
      <c r="T647" s="2036"/>
      <c r="U647" s="2036"/>
      <c r="V647" s="2036"/>
      <c r="W647" s="2036"/>
      <c r="X647" s="2036"/>
      <c r="Y647" s="2036"/>
      <c r="Z647" s="2036"/>
      <c r="AA647" s="2036"/>
      <c r="AB647" s="2036"/>
      <c r="AC647" s="19">
        <f t="shared" si="456"/>
        <v>0</v>
      </c>
      <c r="AD647" s="19">
        <f t="shared" si="457"/>
        <v>0</v>
      </c>
      <c r="AE647" s="19">
        <f t="shared" si="458"/>
        <v>0</v>
      </c>
      <c r="AF647" s="19">
        <f t="shared" si="459"/>
        <v>0</v>
      </c>
      <c r="AG647" s="19">
        <f t="shared" si="460"/>
        <v>0</v>
      </c>
      <c r="AH647" s="19">
        <f t="shared" si="461"/>
        <v>0</v>
      </c>
      <c r="AI647" s="19">
        <f t="shared" si="462"/>
        <v>0</v>
      </c>
    </row>
    <row r="648" spans="1:35">
      <c r="A648" s="990">
        <v>601</v>
      </c>
      <c r="B648" s="990">
        <v>1</v>
      </c>
      <c r="C648" s="990">
        <v>648</v>
      </c>
      <c r="E648" s="1243">
        <v>1</v>
      </c>
      <c r="I648" s="445"/>
      <c r="J648" s="446"/>
      <c r="K648" s="74"/>
      <c r="L648" s="74"/>
      <c r="M648" s="75"/>
      <c r="N648" s="75" t="s">
        <v>1042</v>
      </c>
      <c r="O648" s="75"/>
      <c r="P648" s="75"/>
      <c r="Q648" s="2036"/>
      <c r="R648" s="2036"/>
      <c r="S648" s="2036"/>
      <c r="T648" s="2036"/>
      <c r="U648" s="2036"/>
      <c r="V648" s="2036"/>
      <c r="W648" s="2036"/>
      <c r="X648" s="2036"/>
      <c r="Y648" s="2036"/>
      <c r="Z648" s="2036"/>
      <c r="AA648" s="2036"/>
      <c r="AB648" s="2036"/>
      <c r="AC648" s="19">
        <f t="shared" si="456"/>
        <v>0</v>
      </c>
      <c r="AD648" s="19">
        <f t="shared" si="457"/>
        <v>0</v>
      </c>
      <c r="AE648" s="19">
        <f t="shared" si="458"/>
        <v>0</v>
      </c>
      <c r="AF648" s="19">
        <f t="shared" si="459"/>
        <v>0</v>
      </c>
      <c r="AG648" s="19">
        <f t="shared" si="460"/>
        <v>0</v>
      </c>
      <c r="AH648" s="19">
        <f t="shared" si="461"/>
        <v>0</v>
      </c>
      <c r="AI648" s="19">
        <f t="shared" si="462"/>
        <v>0</v>
      </c>
    </row>
    <row r="649" spans="1:35">
      <c r="A649" s="990">
        <v>602</v>
      </c>
      <c r="B649" s="990">
        <v>1</v>
      </c>
      <c r="C649" s="990">
        <v>649</v>
      </c>
      <c r="E649" s="1243">
        <v>1</v>
      </c>
      <c r="I649" s="445"/>
      <c r="J649" s="446"/>
      <c r="K649" s="74"/>
      <c r="L649" s="74"/>
      <c r="M649" s="75"/>
      <c r="N649" s="75" t="s">
        <v>852</v>
      </c>
      <c r="O649" s="75"/>
      <c r="P649" s="75"/>
      <c r="Q649" s="2036"/>
      <c r="R649" s="2036"/>
      <c r="S649" s="2036"/>
      <c r="T649" s="2036"/>
      <c r="U649" s="2036"/>
      <c r="V649" s="2036"/>
      <c r="W649" s="2036"/>
      <c r="X649" s="2036"/>
      <c r="Y649" s="2036"/>
      <c r="Z649" s="2036"/>
      <c r="AA649" s="2036"/>
      <c r="AB649" s="2036"/>
      <c r="AC649" s="19">
        <f t="shared" si="456"/>
        <v>0</v>
      </c>
      <c r="AD649" s="19">
        <f t="shared" si="457"/>
        <v>0</v>
      </c>
      <c r="AE649" s="19">
        <f t="shared" si="458"/>
        <v>0</v>
      </c>
      <c r="AF649" s="19">
        <f t="shared" si="459"/>
        <v>0</v>
      </c>
      <c r="AG649" s="19">
        <f t="shared" si="460"/>
        <v>0</v>
      </c>
      <c r="AH649" s="19">
        <f t="shared" si="461"/>
        <v>0</v>
      </c>
      <c r="AI649" s="19">
        <f t="shared" si="462"/>
        <v>0</v>
      </c>
    </row>
    <row r="650" spans="1:35">
      <c r="A650" s="990">
        <v>603</v>
      </c>
      <c r="B650" s="990">
        <v>1</v>
      </c>
      <c r="C650" s="990">
        <v>650</v>
      </c>
      <c r="E650" s="1243">
        <v>1</v>
      </c>
      <c r="I650" s="445"/>
      <c r="J650" s="446"/>
      <c r="K650" s="74"/>
      <c r="L650" s="74"/>
      <c r="M650" s="75"/>
      <c r="N650" s="276" t="s">
        <v>11</v>
      </c>
      <c r="O650" s="276"/>
      <c r="P650" s="276"/>
      <c r="Q650" s="2037"/>
      <c r="R650" s="2037"/>
      <c r="S650" s="2037"/>
      <c r="T650" s="2037"/>
      <c r="U650" s="2037"/>
      <c r="V650" s="2037"/>
      <c r="W650" s="2037"/>
      <c r="X650" s="2037"/>
      <c r="Y650" s="2037"/>
      <c r="Z650" s="2037"/>
      <c r="AA650" s="2037"/>
      <c r="AB650" s="2037"/>
      <c r="AC650" s="17">
        <f t="shared" si="456"/>
        <v>0</v>
      </c>
      <c r="AD650" s="17">
        <f t="shared" si="457"/>
        <v>0</v>
      </c>
      <c r="AE650" s="17">
        <f t="shared" si="458"/>
        <v>0</v>
      </c>
      <c r="AF650" s="17">
        <f t="shared" si="459"/>
        <v>0</v>
      </c>
      <c r="AG650" s="17">
        <f t="shared" si="460"/>
        <v>0</v>
      </c>
      <c r="AH650" s="17">
        <f t="shared" si="461"/>
        <v>0</v>
      </c>
      <c r="AI650" s="17">
        <f t="shared" si="462"/>
        <v>0</v>
      </c>
    </row>
    <row r="651" spans="1:35">
      <c r="A651" s="990">
        <v>604</v>
      </c>
      <c r="B651" s="990">
        <v>1</v>
      </c>
      <c r="C651" s="990">
        <v>651</v>
      </c>
      <c r="E651" s="1243">
        <v>1</v>
      </c>
      <c r="I651" s="445"/>
      <c r="J651" s="446"/>
      <c r="K651" s="74"/>
      <c r="L651" s="74"/>
      <c r="M651" s="1198" t="s">
        <v>95</v>
      </c>
      <c r="N651" s="1198"/>
      <c r="O651" s="1198"/>
      <c r="P651" s="1198"/>
      <c r="Q651" s="2081">
        <f t="shared" ref="Q651:AI651" si="463">Q652+Q658+Q664+Q670+Q676+Q682+Q685+Q686</f>
        <v>0</v>
      </c>
      <c r="R651" s="2081">
        <f t="shared" si="463"/>
        <v>0</v>
      </c>
      <c r="S651" s="2081">
        <f t="shared" si="463"/>
        <v>0</v>
      </c>
      <c r="T651" s="2081">
        <f t="shared" si="463"/>
        <v>0</v>
      </c>
      <c r="U651" s="2081">
        <f t="shared" si="463"/>
        <v>0</v>
      </c>
      <c r="V651" s="2081">
        <f t="shared" si="463"/>
        <v>0</v>
      </c>
      <c r="W651" s="2081">
        <f t="shared" si="463"/>
        <v>0</v>
      </c>
      <c r="X651" s="2081">
        <f t="shared" si="463"/>
        <v>0</v>
      </c>
      <c r="Y651" s="2081">
        <f t="shared" si="463"/>
        <v>0</v>
      </c>
      <c r="Z651" s="2081">
        <f t="shared" si="463"/>
        <v>0</v>
      </c>
      <c r="AA651" s="2081">
        <f t="shared" si="463"/>
        <v>0</v>
      </c>
      <c r="AB651" s="2081">
        <f t="shared" si="463"/>
        <v>0</v>
      </c>
      <c r="AC651" s="2081">
        <f t="shared" si="463"/>
        <v>0</v>
      </c>
      <c r="AD651" s="2081">
        <f t="shared" si="463"/>
        <v>0</v>
      </c>
      <c r="AE651" s="2081">
        <f t="shared" si="463"/>
        <v>0</v>
      </c>
      <c r="AF651" s="2081">
        <f t="shared" si="463"/>
        <v>0</v>
      </c>
      <c r="AG651" s="2081">
        <f t="shared" si="463"/>
        <v>0</v>
      </c>
      <c r="AH651" s="2081">
        <f t="shared" si="463"/>
        <v>0</v>
      </c>
      <c r="AI651" s="2081">
        <f t="shared" si="463"/>
        <v>0</v>
      </c>
    </row>
    <row r="652" spans="1:35">
      <c r="A652" s="990">
        <v>605</v>
      </c>
      <c r="B652" s="990">
        <v>1</v>
      </c>
      <c r="C652" s="990">
        <v>652</v>
      </c>
      <c r="E652" s="1243">
        <v>1</v>
      </c>
      <c r="I652" s="445"/>
      <c r="J652" s="446"/>
      <c r="K652" s="74"/>
      <c r="L652" s="74"/>
      <c r="M652" s="75"/>
      <c r="N652" s="75" t="s">
        <v>55</v>
      </c>
      <c r="O652" s="391"/>
      <c r="P652" s="391"/>
      <c r="Q652" s="365">
        <f t="shared" ref="Q652:AI652" si="464">Q653+Q654</f>
        <v>0</v>
      </c>
      <c r="R652" s="365">
        <f t="shared" si="464"/>
        <v>0</v>
      </c>
      <c r="S652" s="365">
        <f t="shared" si="464"/>
        <v>0</v>
      </c>
      <c r="T652" s="365">
        <f t="shared" si="464"/>
        <v>0</v>
      </c>
      <c r="U652" s="365">
        <f t="shared" si="464"/>
        <v>0</v>
      </c>
      <c r="V652" s="365">
        <f t="shared" si="464"/>
        <v>0</v>
      </c>
      <c r="W652" s="365">
        <f t="shared" si="464"/>
        <v>0</v>
      </c>
      <c r="X652" s="365">
        <f t="shared" si="464"/>
        <v>0</v>
      </c>
      <c r="Y652" s="365">
        <f t="shared" si="464"/>
        <v>0</v>
      </c>
      <c r="Z652" s="365">
        <f t="shared" si="464"/>
        <v>0</v>
      </c>
      <c r="AA652" s="365">
        <f t="shared" si="464"/>
        <v>0</v>
      </c>
      <c r="AB652" s="365">
        <f t="shared" si="464"/>
        <v>0</v>
      </c>
      <c r="AC652" s="365">
        <f t="shared" si="464"/>
        <v>0</v>
      </c>
      <c r="AD652" s="365">
        <f t="shared" si="464"/>
        <v>0</v>
      </c>
      <c r="AE652" s="365">
        <f t="shared" si="464"/>
        <v>0</v>
      </c>
      <c r="AF652" s="365">
        <f t="shared" si="464"/>
        <v>0</v>
      </c>
      <c r="AG652" s="365">
        <f t="shared" si="464"/>
        <v>0</v>
      </c>
      <c r="AH652" s="365">
        <f t="shared" si="464"/>
        <v>0</v>
      </c>
      <c r="AI652" s="365">
        <f t="shared" si="464"/>
        <v>0</v>
      </c>
    </row>
    <row r="653" spans="1:35">
      <c r="A653" s="990">
        <v>606</v>
      </c>
      <c r="B653" s="990">
        <v>1</v>
      </c>
      <c r="C653" s="990">
        <v>653</v>
      </c>
      <c r="E653" s="1243">
        <v>1</v>
      </c>
      <c r="I653" s="445"/>
      <c r="J653" s="446"/>
      <c r="K653" s="74"/>
      <c r="L653" s="74"/>
      <c r="M653" s="75"/>
      <c r="N653" s="75"/>
      <c r="O653" s="394" t="s">
        <v>55</v>
      </c>
      <c r="P653" s="394"/>
      <c r="Q653" s="2057"/>
      <c r="R653" s="2057"/>
      <c r="S653" s="2057"/>
      <c r="T653" s="2057"/>
      <c r="U653" s="2057"/>
      <c r="V653" s="2057"/>
      <c r="W653" s="2057"/>
      <c r="X653" s="2057"/>
      <c r="Y653" s="2057"/>
      <c r="Z653" s="2057"/>
      <c r="AA653" s="2057"/>
      <c r="AB653" s="2057"/>
      <c r="AC653" s="64">
        <f>SUM(Q653,R653,S653)</f>
        <v>0</v>
      </c>
      <c r="AD653" s="64">
        <f>SUM(T653,U653,V653)</f>
        <v>0</v>
      </c>
      <c r="AE653" s="64">
        <f>SUM(W653,X653,Y653)</f>
        <v>0</v>
      </c>
      <c r="AF653" s="64">
        <f>SUM(Z653,AA653,AB653)</f>
        <v>0</v>
      </c>
      <c r="AG653" s="64">
        <f>AC653+AD653</f>
        <v>0</v>
      </c>
      <c r="AH653" s="64">
        <f>AF653+AE653</f>
        <v>0</v>
      </c>
      <c r="AI653" s="64">
        <f>AG653+AH653</f>
        <v>0</v>
      </c>
    </row>
    <row r="654" spans="1:35" s="75" customFormat="1">
      <c r="A654" s="990">
        <v>607</v>
      </c>
      <c r="B654" s="990">
        <v>1</v>
      </c>
      <c r="C654" s="990">
        <v>654</v>
      </c>
      <c r="E654" s="1243">
        <v>1</v>
      </c>
      <c r="F654" s="10"/>
      <c r="G654" s="10"/>
      <c r="H654" s="24"/>
      <c r="I654" s="445"/>
      <c r="J654" s="446"/>
      <c r="K654" s="74"/>
      <c r="L654" s="74"/>
      <c r="O654" s="395" t="s">
        <v>1099</v>
      </c>
      <c r="P654" s="395"/>
      <c r="Q654" s="385">
        <f t="shared" ref="Q654:AB654" si="465">SUM(Q655:Q657)</f>
        <v>0</v>
      </c>
      <c r="R654" s="385">
        <f t="shared" si="465"/>
        <v>0</v>
      </c>
      <c r="S654" s="385">
        <f t="shared" si="465"/>
        <v>0</v>
      </c>
      <c r="T654" s="385">
        <f t="shared" si="465"/>
        <v>0</v>
      </c>
      <c r="U654" s="385">
        <f t="shared" si="465"/>
        <v>0</v>
      </c>
      <c r="V654" s="385">
        <f t="shared" si="465"/>
        <v>0</v>
      </c>
      <c r="W654" s="385">
        <f t="shared" si="465"/>
        <v>0</v>
      </c>
      <c r="X654" s="385">
        <f t="shared" si="465"/>
        <v>0</v>
      </c>
      <c r="Y654" s="385">
        <f t="shared" si="465"/>
        <v>0</v>
      </c>
      <c r="Z654" s="385">
        <f t="shared" si="465"/>
        <v>0</v>
      </c>
      <c r="AA654" s="385">
        <f t="shared" si="465"/>
        <v>0</v>
      </c>
      <c r="AB654" s="385">
        <f t="shared" si="465"/>
        <v>0</v>
      </c>
      <c r="AC654" s="385">
        <f>SUM(Q654:S654)</f>
        <v>0</v>
      </c>
      <c r="AD654" s="385">
        <f>SUM(T654:V654)</f>
        <v>0</v>
      </c>
      <c r="AE654" s="385">
        <f>SUM(W654:Y654)</f>
        <v>0</v>
      </c>
      <c r="AF654" s="385">
        <f>SUM(Z654:AB654)</f>
        <v>0</v>
      </c>
      <c r="AG654" s="385">
        <f>AC654+AD654</f>
        <v>0</v>
      </c>
      <c r="AH654" s="385">
        <f>AF654+AE654</f>
        <v>0</v>
      </c>
      <c r="AI654" s="385">
        <f>AG654+AH654</f>
        <v>0</v>
      </c>
    </row>
    <row r="655" spans="1:35" s="75" customFormat="1">
      <c r="A655" s="990">
        <v>608</v>
      </c>
      <c r="B655" s="990">
        <v>1</v>
      </c>
      <c r="C655" s="990">
        <v>655</v>
      </c>
      <c r="E655" s="1243">
        <v>1</v>
      </c>
      <c r="F655" s="10"/>
      <c r="G655" s="10"/>
      <c r="H655" s="24"/>
      <c r="I655" s="445"/>
      <c r="J655" s="446"/>
      <c r="K655" s="74"/>
      <c r="L655" s="74"/>
      <c r="O655" s="396"/>
      <c r="P655" s="382" t="s">
        <v>391</v>
      </c>
      <c r="Q655" s="2042"/>
      <c r="R655" s="2042"/>
      <c r="S655" s="2042"/>
      <c r="T655" s="2042"/>
      <c r="U655" s="2042"/>
      <c r="V655" s="2042"/>
      <c r="W655" s="2042"/>
      <c r="X655" s="2042"/>
      <c r="Y655" s="2042"/>
      <c r="Z655" s="2042"/>
      <c r="AA655" s="2042"/>
      <c r="AB655" s="2042"/>
      <c r="AC655" s="108">
        <f>SUM(Q655,R655,S655)</f>
        <v>0</v>
      </c>
      <c r="AD655" s="108">
        <f>SUM(T655,U655,V655)</f>
        <v>0</v>
      </c>
      <c r="AE655" s="108">
        <f>SUM(W655,X655,Y655)</f>
        <v>0</v>
      </c>
      <c r="AF655" s="108">
        <f>SUM(Z655,AA655,AB655)</f>
        <v>0</v>
      </c>
      <c r="AG655" s="108">
        <f>AC655+AD655</f>
        <v>0</v>
      </c>
      <c r="AH655" s="108">
        <f>AF655+AE655</f>
        <v>0</v>
      </c>
      <c r="AI655" s="108">
        <f>AG655+AH655</f>
        <v>0</v>
      </c>
    </row>
    <row r="656" spans="1:35" s="75" customFormat="1">
      <c r="A656" s="990">
        <v>609</v>
      </c>
      <c r="B656" s="990">
        <v>1</v>
      </c>
      <c r="C656" s="990">
        <v>656</v>
      </c>
      <c r="E656" s="1243">
        <v>1</v>
      </c>
      <c r="F656" s="10"/>
      <c r="G656" s="10"/>
      <c r="H656" s="24"/>
      <c r="I656" s="445"/>
      <c r="J656" s="446"/>
      <c r="K656" s="74"/>
      <c r="L656" s="74"/>
      <c r="O656" s="301"/>
      <c r="P656" s="400" t="s">
        <v>1086</v>
      </c>
      <c r="Q656" s="2036"/>
      <c r="R656" s="2036"/>
      <c r="S656" s="2036"/>
      <c r="T656" s="2036"/>
      <c r="U656" s="2036"/>
      <c r="V656" s="2036"/>
      <c r="W656" s="2036"/>
      <c r="X656" s="2036"/>
      <c r="Y656" s="2036"/>
      <c r="Z656" s="2036"/>
      <c r="AA656" s="2036"/>
      <c r="AB656" s="2036"/>
      <c r="AC656" s="107">
        <f>SUM(Q656,R656,S656)</f>
        <v>0</v>
      </c>
      <c r="AD656" s="107">
        <f>SUM(T656,U656,V656)</f>
        <v>0</v>
      </c>
      <c r="AE656" s="107">
        <f>SUM(W656,X656,Y656)</f>
        <v>0</v>
      </c>
      <c r="AF656" s="107">
        <f>SUM(Z656,AA656,AB656)</f>
        <v>0</v>
      </c>
      <c r="AG656" s="107">
        <f>AC656+AD656</f>
        <v>0</v>
      </c>
      <c r="AH656" s="107">
        <f>AF656+AE656</f>
        <v>0</v>
      </c>
      <c r="AI656" s="107">
        <f>AG656+AH656</f>
        <v>0</v>
      </c>
    </row>
    <row r="657" spans="1:35" s="75" customFormat="1">
      <c r="A657" s="990">
        <v>610</v>
      </c>
      <c r="B657" s="990">
        <v>1</v>
      </c>
      <c r="C657" s="990">
        <v>657</v>
      </c>
      <c r="E657" s="1243">
        <v>1</v>
      </c>
      <c r="F657" s="10"/>
      <c r="G657" s="10"/>
      <c r="H657" s="24"/>
      <c r="I657" s="445"/>
      <c r="J657" s="446"/>
      <c r="K657" s="74"/>
      <c r="L657" s="74"/>
      <c r="N657" s="276"/>
      <c r="O657" s="302"/>
      <c r="P657" s="88" t="s">
        <v>393</v>
      </c>
      <c r="Q657" s="2037"/>
      <c r="R657" s="2037"/>
      <c r="S657" s="2037"/>
      <c r="T657" s="2037"/>
      <c r="U657" s="2037"/>
      <c r="V657" s="2037"/>
      <c r="W657" s="2037"/>
      <c r="X657" s="2037"/>
      <c r="Y657" s="2037"/>
      <c r="Z657" s="2037"/>
      <c r="AA657" s="2037"/>
      <c r="AB657" s="2037"/>
      <c r="AC657" s="107">
        <f>SUM(Q657,R657,S657)</f>
        <v>0</v>
      </c>
      <c r="AD657" s="107">
        <f>SUM(T657,U657,V657)</f>
        <v>0</v>
      </c>
      <c r="AE657" s="107">
        <f>SUM(W657,X657,Y657)</f>
        <v>0</v>
      </c>
      <c r="AF657" s="107">
        <f>SUM(Z657,AA657,AB657)</f>
        <v>0</v>
      </c>
      <c r="AG657" s="107">
        <f>AC657+AD657</f>
        <v>0</v>
      </c>
      <c r="AH657" s="107">
        <f>AF657+AE657</f>
        <v>0</v>
      </c>
      <c r="AI657" s="107">
        <f>AG657+AH657</f>
        <v>0</v>
      </c>
    </row>
    <row r="658" spans="1:35">
      <c r="A658" s="990">
        <v>611</v>
      </c>
      <c r="B658" s="990">
        <v>1</v>
      </c>
      <c r="C658" s="990">
        <v>658</v>
      </c>
      <c r="E658" s="1243">
        <v>1</v>
      </c>
      <c r="I658" s="445"/>
      <c r="J658" s="446"/>
      <c r="K658" s="74"/>
      <c r="L658" s="74"/>
      <c r="M658" s="75"/>
      <c r="N658" s="75" t="s">
        <v>1040</v>
      </c>
      <c r="O658" s="391"/>
      <c r="P658" s="391"/>
      <c r="Q658" s="64">
        <f t="shared" ref="Q658:AI658" si="466">Q659+Q660</f>
        <v>0</v>
      </c>
      <c r="R658" s="64">
        <f t="shared" si="466"/>
        <v>0</v>
      </c>
      <c r="S658" s="64">
        <f t="shared" si="466"/>
        <v>0</v>
      </c>
      <c r="T658" s="64">
        <f t="shared" si="466"/>
        <v>0</v>
      </c>
      <c r="U658" s="64">
        <f t="shared" si="466"/>
        <v>0</v>
      </c>
      <c r="V658" s="64">
        <f t="shared" si="466"/>
        <v>0</v>
      </c>
      <c r="W658" s="64">
        <f t="shared" si="466"/>
        <v>0</v>
      </c>
      <c r="X658" s="64">
        <f t="shared" si="466"/>
        <v>0</v>
      </c>
      <c r="Y658" s="64">
        <f t="shared" si="466"/>
        <v>0</v>
      </c>
      <c r="Z658" s="64">
        <f t="shared" si="466"/>
        <v>0</v>
      </c>
      <c r="AA658" s="64">
        <f t="shared" si="466"/>
        <v>0</v>
      </c>
      <c r="AB658" s="64">
        <f t="shared" si="466"/>
        <v>0</v>
      </c>
      <c r="AC658" s="64">
        <f t="shared" si="466"/>
        <v>0</v>
      </c>
      <c r="AD658" s="64">
        <f t="shared" si="466"/>
        <v>0</v>
      </c>
      <c r="AE658" s="64">
        <f t="shared" si="466"/>
        <v>0</v>
      </c>
      <c r="AF658" s="64">
        <f t="shared" si="466"/>
        <v>0</v>
      </c>
      <c r="AG658" s="64">
        <f t="shared" si="466"/>
        <v>0</v>
      </c>
      <c r="AH658" s="64">
        <f t="shared" si="466"/>
        <v>0</v>
      </c>
      <c r="AI658" s="64">
        <f t="shared" si="466"/>
        <v>0</v>
      </c>
    </row>
    <row r="659" spans="1:35">
      <c r="A659" s="990">
        <v>612</v>
      </c>
      <c r="B659" s="990">
        <v>1</v>
      </c>
      <c r="C659" s="990">
        <v>659</v>
      </c>
      <c r="E659" s="1243">
        <v>1</v>
      </c>
      <c r="I659" s="445"/>
      <c r="J659" s="446"/>
      <c r="K659" s="74"/>
      <c r="L659" s="74"/>
      <c r="M659" s="75"/>
      <c r="N659" s="75"/>
      <c r="O659" s="394" t="s">
        <v>1040</v>
      </c>
      <c r="P659" s="394"/>
      <c r="Q659" s="2057"/>
      <c r="R659" s="2057"/>
      <c r="S659" s="2057"/>
      <c r="T659" s="2057"/>
      <c r="U659" s="2057"/>
      <c r="V659" s="2057"/>
      <c r="W659" s="2057"/>
      <c r="X659" s="2057"/>
      <c r="Y659" s="2057"/>
      <c r="Z659" s="2057"/>
      <c r="AA659" s="2057"/>
      <c r="AB659" s="2057"/>
      <c r="AC659" s="64">
        <f>SUM(Q659,R659,S659)</f>
        <v>0</v>
      </c>
      <c r="AD659" s="64">
        <f>SUM(T659,U659,V659)</f>
        <v>0</v>
      </c>
      <c r="AE659" s="64">
        <f>SUM(W659,X659,Y659)</f>
        <v>0</v>
      </c>
      <c r="AF659" s="64">
        <f>SUM(Z659,AA659,AB659)</f>
        <v>0</v>
      </c>
      <c r="AG659" s="64">
        <f>AC659+AD659</f>
        <v>0</v>
      </c>
      <c r="AH659" s="64">
        <f>AF659+AE659</f>
        <v>0</v>
      </c>
      <c r="AI659" s="64">
        <f>AG659+AH659</f>
        <v>0</v>
      </c>
    </row>
    <row r="660" spans="1:35" s="75" customFormat="1">
      <c r="A660" s="990">
        <v>613</v>
      </c>
      <c r="B660" s="990">
        <v>1</v>
      </c>
      <c r="C660" s="990">
        <v>660</v>
      </c>
      <c r="E660" s="1243">
        <v>1</v>
      </c>
      <c r="F660" s="10"/>
      <c r="G660" s="10"/>
      <c r="H660" s="24"/>
      <c r="I660" s="445"/>
      <c r="J660" s="446"/>
      <c r="K660" s="74"/>
      <c r="L660" s="74"/>
      <c r="O660" s="395" t="s">
        <v>1099</v>
      </c>
      <c r="P660" s="395"/>
      <c r="Q660" s="385">
        <f t="shared" ref="Q660:AB660" si="467">SUM(Q661:Q663)</f>
        <v>0</v>
      </c>
      <c r="R660" s="385">
        <f t="shared" si="467"/>
        <v>0</v>
      </c>
      <c r="S660" s="385">
        <f t="shared" si="467"/>
        <v>0</v>
      </c>
      <c r="T660" s="385">
        <f t="shared" si="467"/>
        <v>0</v>
      </c>
      <c r="U660" s="385">
        <f t="shared" si="467"/>
        <v>0</v>
      </c>
      <c r="V660" s="385">
        <f t="shared" si="467"/>
        <v>0</v>
      </c>
      <c r="W660" s="385">
        <f t="shared" si="467"/>
        <v>0</v>
      </c>
      <c r="X660" s="385">
        <f t="shared" si="467"/>
        <v>0</v>
      </c>
      <c r="Y660" s="385">
        <f t="shared" si="467"/>
        <v>0</v>
      </c>
      <c r="Z660" s="385">
        <f t="shared" si="467"/>
        <v>0</v>
      </c>
      <c r="AA660" s="385">
        <f t="shared" si="467"/>
        <v>0</v>
      </c>
      <c r="AB660" s="385">
        <f t="shared" si="467"/>
        <v>0</v>
      </c>
      <c r="AC660" s="385">
        <f>SUM(Q660:S660)</f>
        <v>0</v>
      </c>
      <c r="AD660" s="385">
        <f>SUM(T660:V660)</f>
        <v>0</v>
      </c>
      <c r="AE660" s="385">
        <f>SUM(W660:Y660)</f>
        <v>0</v>
      </c>
      <c r="AF660" s="385">
        <f>SUM(Z660:AB660)</f>
        <v>0</v>
      </c>
      <c r="AG660" s="385">
        <f>AC660+AD660</f>
        <v>0</v>
      </c>
      <c r="AH660" s="385">
        <f>AF660+AE660</f>
        <v>0</v>
      </c>
      <c r="AI660" s="385">
        <f>AG660+AH660</f>
        <v>0</v>
      </c>
    </row>
    <row r="661" spans="1:35" s="75" customFormat="1">
      <c r="A661" s="990">
        <v>614</v>
      </c>
      <c r="B661" s="990">
        <v>1</v>
      </c>
      <c r="C661" s="990">
        <v>661</v>
      </c>
      <c r="E661" s="1243">
        <v>1</v>
      </c>
      <c r="F661" s="10"/>
      <c r="G661" s="10"/>
      <c r="H661" s="24"/>
      <c r="I661" s="445"/>
      <c r="J661" s="446"/>
      <c r="K661" s="74"/>
      <c r="L661" s="74"/>
      <c r="O661" s="396"/>
      <c r="P661" s="382" t="s">
        <v>391</v>
      </c>
      <c r="Q661" s="2042"/>
      <c r="R661" s="2042"/>
      <c r="S661" s="2042"/>
      <c r="T661" s="2042"/>
      <c r="U661" s="2042"/>
      <c r="V661" s="2042"/>
      <c r="W661" s="2042"/>
      <c r="X661" s="2042"/>
      <c r="Y661" s="2042"/>
      <c r="Z661" s="2042"/>
      <c r="AA661" s="2042"/>
      <c r="AB661" s="2042"/>
      <c r="AC661" s="108">
        <f>SUM(Q661,R661,S661)</f>
        <v>0</v>
      </c>
      <c r="AD661" s="108">
        <f>SUM(T661,U661,V661)</f>
        <v>0</v>
      </c>
      <c r="AE661" s="108">
        <f>SUM(W661,X661,Y661)</f>
        <v>0</v>
      </c>
      <c r="AF661" s="108">
        <f>SUM(Z661,AA661,AB661)</f>
        <v>0</v>
      </c>
      <c r="AG661" s="108">
        <f>AC661+AD661</f>
        <v>0</v>
      </c>
      <c r="AH661" s="108">
        <f>AF661+AE661</f>
        <v>0</v>
      </c>
      <c r="AI661" s="108">
        <f>AG661+AH661</f>
        <v>0</v>
      </c>
    </row>
    <row r="662" spans="1:35" s="75" customFormat="1">
      <c r="A662" s="990">
        <v>615</v>
      </c>
      <c r="B662" s="990">
        <v>1</v>
      </c>
      <c r="C662" s="990">
        <v>662</v>
      </c>
      <c r="E662" s="1243">
        <v>1</v>
      </c>
      <c r="F662" s="10"/>
      <c r="G662" s="10"/>
      <c r="H662" s="24"/>
      <c r="I662" s="445"/>
      <c r="J662" s="446"/>
      <c r="K662" s="74"/>
      <c r="L662" s="74"/>
      <c r="O662" s="301"/>
      <c r="P662" s="400" t="s">
        <v>1086</v>
      </c>
      <c r="Q662" s="2036"/>
      <c r="R662" s="2036"/>
      <c r="S662" s="2036"/>
      <c r="T662" s="2036"/>
      <c r="U662" s="2036"/>
      <c r="V662" s="2036"/>
      <c r="W662" s="2036"/>
      <c r="X662" s="2036"/>
      <c r="Y662" s="2036"/>
      <c r="Z662" s="2036"/>
      <c r="AA662" s="2036"/>
      <c r="AB662" s="2036"/>
      <c r="AC662" s="107">
        <f>SUM(Q662,R662,S662)</f>
        <v>0</v>
      </c>
      <c r="AD662" s="107">
        <f>SUM(T662,U662,V662)</f>
        <v>0</v>
      </c>
      <c r="AE662" s="107">
        <f>SUM(W662,X662,Y662)</f>
        <v>0</v>
      </c>
      <c r="AF662" s="107">
        <f>SUM(Z662,AA662,AB662)</f>
        <v>0</v>
      </c>
      <c r="AG662" s="107">
        <f>AC662+AD662</f>
        <v>0</v>
      </c>
      <c r="AH662" s="107">
        <f>AF662+AE662</f>
        <v>0</v>
      </c>
      <c r="AI662" s="107">
        <f>AG662+AH662</f>
        <v>0</v>
      </c>
    </row>
    <row r="663" spans="1:35" s="75" customFormat="1">
      <c r="A663" s="990">
        <v>616</v>
      </c>
      <c r="B663" s="990">
        <v>1</v>
      </c>
      <c r="C663" s="990">
        <v>663</v>
      </c>
      <c r="E663" s="1243">
        <v>1</v>
      </c>
      <c r="F663" s="10"/>
      <c r="G663" s="10"/>
      <c r="H663" s="24"/>
      <c r="I663" s="445"/>
      <c r="J663" s="446"/>
      <c r="K663" s="74"/>
      <c r="L663" s="74"/>
      <c r="N663" s="276"/>
      <c r="O663" s="302"/>
      <c r="P663" s="88" t="s">
        <v>393</v>
      </c>
      <c r="Q663" s="2037"/>
      <c r="R663" s="2037"/>
      <c r="S663" s="2037"/>
      <c r="T663" s="2037"/>
      <c r="U663" s="2037"/>
      <c r="V663" s="2037"/>
      <c r="W663" s="2037"/>
      <c r="X663" s="2037"/>
      <c r="Y663" s="2037"/>
      <c r="Z663" s="2037"/>
      <c r="AA663" s="2037"/>
      <c r="AB663" s="2037"/>
      <c r="AC663" s="107">
        <f>SUM(Q663,R663,S663)</f>
        <v>0</v>
      </c>
      <c r="AD663" s="107">
        <f>SUM(T663,U663,V663)</f>
        <v>0</v>
      </c>
      <c r="AE663" s="107">
        <f>SUM(W663,X663,Y663)</f>
        <v>0</v>
      </c>
      <c r="AF663" s="107">
        <f>SUM(Z663,AA663,AB663)</f>
        <v>0</v>
      </c>
      <c r="AG663" s="107">
        <f>AC663+AD663</f>
        <v>0</v>
      </c>
      <c r="AH663" s="107">
        <f>AF663+AE663</f>
        <v>0</v>
      </c>
      <c r="AI663" s="107">
        <f>AG663+AH663</f>
        <v>0</v>
      </c>
    </row>
    <row r="664" spans="1:35">
      <c r="A664" s="990">
        <v>617</v>
      </c>
      <c r="B664" s="990">
        <v>1</v>
      </c>
      <c r="C664" s="990">
        <v>664</v>
      </c>
      <c r="E664" s="1243">
        <v>1</v>
      </c>
      <c r="I664" s="445"/>
      <c r="J664" s="446"/>
      <c r="K664" s="74"/>
      <c r="L664" s="74"/>
      <c r="M664" s="75"/>
      <c r="N664" s="75" t="s">
        <v>1041</v>
      </c>
      <c r="O664" s="391"/>
      <c r="P664" s="391"/>
      <c r="Q664" s="64">
        <f t="shared" ref="Q664:AI664" si="468">Q665+Q666</f>
        <v>0</v>
      </c>
      <c r="R664" s="64">
        <f t="shared" si="468"/>
        <v>0</v>
      </c>
      <c r="S664" s="64">
        <f t="shared" si="468"/>
        <v>0</v>
      </c>
      <c r="T664" s="64">
        <f t="shared" si="468"/>
        <v>0</v>
      </c>
      <c r="U664" s="64">
        <f t="shared" si="468"/>
        <v>0</v>
      </c>
      <c r="V664" s="64">
        <f t="shared" si="468"/>
        <v>0</v>
      </c>
      <c r="W664" s="64">
        <f t="shared" si="468"/>
        <v>0</v>
      </c>
      <c r="X664" s="64">
        <f t="shared" si="468"/>
        <v>0</v>
      </c>
      <c r="Y664" s="64">
        <f t="shared" si="468"/>
        <v>0</v>
      </c>
      <c r="Z664" s="64">
        <f t="shared" si="468"/>
        <v>0</v>
      </c>
      <c r="AA664" s="64">
        <f t="shared" si="468"/>
        <v>0</v>
      </c>
      <c r="AB664" s="64">
        <f t="shared" si="468"/>
        <v>0</v>
      </c>
      <c r="AC664" s="64">
        <f t="shared" si="468"/>
        <v>0</v>
      </c>
      <c r="AD664" s="64">
        <f t="shared" si="468"/>
        <v>0</v>
      </c>
      <c r="AE664" s="64">
        <f t="shared" si="468"/>
        <v>0</v>
      </c>
      <c r="AF664" s="64">
        <f t="shared" si="468"/>
        <v>0</v>
      </c>
      <c r="AG664" s="64">
        <f t="shared" si="468"/>
        <v>0</v>
      </c>
      <c r="AH664" s="64">
        <f t="shared" si="468"/>
        <v>0</v>
      </c>
      <c r="AI664" s="64">
        <f t="shared" si="468"/>
        <v>0</v>
      </c>
    </row>
    <row r="665" spans="1:35">
      <c r="A665" s="990">
        <v>618</v>
      </c>
      <c r="B665" s="990">
        <v>1</v>
      </c>
      <c r="C665" s="990">
        <v>665</v>
      </c>
      <c r="E665" s="1243">
        <v>1</v>
      </c>
      <c r="I665" s="445"/>
      <c r="J665" s="446"/>
      <c r="K665" s="74"/>
      <c r="L665" s="74"/>
      <c r="M665" s="75"/>
      <c r="N665" s="75"/>
      <c r="O665" s="394" t="s">
        <v>1041</v>
      </c>
      <c r="P665" s="394"/>
      <c r="Q665" s="2057"/>
      <c r="R665" s="2057"/>
      <c r="S665" s="2057"/>
      <c r="T665" s="2057"/>
      <c r="U665" s="2057"/>
      <c r="V665" s="2057"/>
      <c r="W665" s="2057"/>
      <c r="X665" s="2057"/>
      <c r="Y665" s="2057"/>
      <c r="Z665" s="2057"/>
      <c r="AA665" s="2057"/>
      <c r="AB665" s="2057"/>
      <c r="AC665" s="64">
        <f>SUM(Q665,R665,S665)</f>
        <v>0</v>
      </c>
      <c r="AD665" s="64">
        <f>SUM(T665,U665,V665)</f>
        <v>0</v>
      </c>
      <c r="AE665" s="64">
        <f>SUM(W665,X665,Y665)</f>
        <v>0</v>
      </c>
      <c r="AF665" s="64">
        <f>SUM(Z665,AA665,AB665)</f>
        <v>0</v>
      </c>
      <c r="AG665" s="64">
        <f>AC665+AD665</f>
        <v>0</v>
      </c>
      <c r="AH665" s="64">
        <f>AF665+AE665</f>
        <v>0</v>
      </c>
      <c r="AI665" s="64">
        <f>AG665+AH665</f>
        <v>0</v>
      </c>
    </row>
    <row r="666" spans="1:35" s="75" customFormat="1">
      <c r="A666" s="990">
        <v>619</v>
      </c>
      <c r="B666" s="990">
        <v>1</v>
      </c>
      <c r="C666" s="990">
        <v>666</v>
      </c>
      <c r="E666" s="1243">
        <v>1</v>
      </c>
      <c r="F666" s="10"/>
      <c r="G666" s="10"/>
      <c r="H666" s="24"/>
      <c r="I666" s="445"/>
      <c r="J666" s="446"/>
      <c r="K666" s="74"/>
      <c r="L666" s="74"/>
      <c r="O666" s="395" t="s">
        <v>1099</v>
      </c>
      <c r="P666" s="395"/>
      <c r="Q666" s="385">
        <f t="shared" ref="Q666:AB666" si="469">SUM(Q667:Q669)</f>
        <v>0</v>
      </c>
      <c r="R666" s="385">
        <f t="shared" si="469"/>
        <v>0</v>
      </c>
      <c r="S666" s="385">
        <f t="shared" si="469"/>
        <v>0</v>
      </c>
      <c r="T666" s="385">
        <f t="shared" si="469"/>
        <v>0</v>
      </c>
      <c r="U666" s="385">
        <f t="shared" si="469"/>
        <v>0</v>
      </c>
      <c r="V666" s="385">
        <f t="shared" si="469"/>
        <v>0</v>
      </c>
      <c r="W666" s="385">
        <f t="shared" si="469"/>
        <v>0</v>
      </c>
      <c r="X666" s="385">
        <f t="shared" si="469"/>
        <v>0</v>
      </c>
      <c r="Y666" s="385">
        <f t="shared" si="469"/>
        <v>0</v>
      </c>
      <c r="Z666" s="385">
        <f t="shared" si="469"/>
        <v>0</v>
      </c>
      <c r="AA666" s="385">
        <f t="shared" si="469"/>
        <v>0</v>
      </c>
      <c r="AB666" s="385">
        <f t="shared" si="469"/>
        <v>0</v>
      </c>
      <c r="AC666" s="385">
        <f>SUM(Q666:S666)</f>
        <v>0</v>
      </c>
      <c r="AD666" s="385">
        <f>SUM(T666:V666)</f>
        <v>0</v>
      </c>
      <c r="AE666" s="385">
        <f>SUM(W666:Y666)</f>
        <v>0</v>
      </c>
      <c r="AF666" s="385">
        <f>SUM(Z666:AB666)</f>
        <v>0</v>
      </c>
      <c r="AG666" s="385">
        <f>AC666+AD666</f>
        <v>0</v>
      </c>
      <c r="AH666" s="385">
        <f>AF666+AE666</f>
        <v>0</v>
      </c>
      <c r="AI666" s="385">
        <f>AG666+AH666</f>
        <v>0</v>
      </c>
    </row>
    <row r="667" spans="1:35" s="75" customFormat="1">
      <c r="A667" s="990">
        <v>620</v>
      </c>
      <c r="B667" s="990">
        <v>1</v>
      </c>
      <c r="C667" s="990">
        <v>667</v>
      </c>
      <c r="E667" s="1243">
        <v>1</v>
      </c>
      <c r="F667" s="10"/>
      <c r="G667" s="10"/>
      <c r="H667" s="24"/>
      <c r="I667" s="445"/>
      <c r="J667" s="446"/>
      <c r="K667" s="74"/>
      <c r="L667" s="74"/>
      <c r="O667" s="396"/>
      <c r="P667" s="382" t="s">
        <v>391</v>
      </c>
      <c r="Q667" s="2042"/>
      <c r="R667" s="2042"/>
      <c r="S667" s="2042"/>
      <c r="T667" s="2042"/>
      <c r="U667" s="2042"/>
      <c r="V667" s="2042"/>
      <c r="W667" s="2042"/>
      <c r="X667" s="2042"/>
      <c r="Y667" s="2042"/>
      <c r="Z667" s="2042"/>
      <c r="AA667" s="2042"/>
      <c r="AB667" s="2042"/>
      <c r="AC667" s="108">
        <f>SUM(Q667,R667,S667)</f>
        <v>0</v>
      </c>
      <c r="AD667" s="108">
        <f>SUM(T667,U667,V667)</f>
        <v>0</v>
      </c>
      <c r="AE667" s="108">
        <f>SUM(W667,X667,Y667)</f>
        <v>0</v>
      </c>
      <c r="AF667" s="108">
        <f>SUM(Z667,AA667,AB667)</f>
        <v>0</v>
      </c>
      <c r="AG667" s="108">
        <f>AC667+AD667</f>
        <v>0</v>
      </c>
      <c r="AH667" s="108">
        <f>AF667+AE667</f>
        <v>0</v>
      </c>
      <c r="AI667" s="108">
        <f>AG667+AH667</f>
        <v>0</v>
      </c>
    </row>
    <row r="668" spans="1:35" s="75" customFormat="1">
      <c r="A668" s="990">
        <v>621</v>
      </c>
      <c r="B668" s="990">
        <v>1</v>
      </c>
      <c r="C668" s="990">
        <v>668</v>
      </c>
      <c r="E668" s="1243">
        <v>1</v>
      </c>
      <c r="F668" s="10"/>
      <c r="G668" s="10"/>
      <c r="H668" s="24"/>
      <c r="I668" s="445"/>
      <c r="J668" s="446"/>
      <c r="K668" s="74"/>
      <c r="L668" s="74"/>
      <c r="O668" s="301"/>
      <c r="P668" s="400" t="s">
        <v>1086</v>
      </c>
      <c r="Q668" s="2036"/>
      <c r="R668" s="2036"/>
      <c r="S668" s="2036"/>
      <c r="T668" s="2036"/>
      <c r="U668" s="2036"/>
      <c r="V668" s="2036"/>
      <c r="W668" s="2036"/>
      <c r="X668" s="2036"/>
      <c r="Y668" s="2036"/>
      <c r="Z668" s="2036"/>
      <c r="AA668" s="2036"/>
      <c r="AB668" s="2036"/>
      <c r="AC668" s="107">
        <f>SUM(Q668,R668,S668)</f>
        <v>0</v>
      </c>
      <c r="AD668" s="107">
        <f>SUM(T668,U668,V668)</f>
        <v>0</v>
      </c>
      <c r="AE668" s="107">
        <f>SUM(W668,X668,Y668)</f>
        <v>0</v>
      </c>
      <c r="AF668" s="107">
        <f>SUM(Z668,AA668,AB668)</f>
        <v>0</v>
      </c>
      <c r="AG668" s="107">
        <f>AC668+AD668</f>
        <v>0</v>
      </c>
      <c r="AH668" s="107">
        <f>AF668+AE668</f>
        <v>0</v>
      </c>
      <c r="AI668" s="107">
        <f>AG668+AH668</f>
        <v>0</v>
      </c>
    </row>
    <row r="669" spans="1:35" s="75" customFormat="1">
      <c r="A669" s="990">
        <v>622</v>
      </c>
      <c r="B669" s="990">
        <v>1</v>
      </c>
      <c r="C669" s="990">
        <v>669</v>
      </c>
      <c r="E669" s="1243">
        <v>1</v>
      </c>
      <c r="F669" s="10"/>
      <c r="G669" s="10"/>
      <c r="H669" s="24"/>
      <c r="I669" s="445"/>
      <c r="J669" s="446"/>
      <c r="K669" s="74"/>
      <c r="L669" s="74"/>
      <c r="N669" s="276"/>
      <c r="O669" s="302"/>
      <c r="P669" s="88" t="s">
        <v>393</v>
      </c>
      <c r="Q669" s="2037"/>
      <c r="R669" s="2037"/>
      <c r="S669" s="2037"/>
      <c r="T669" s="2037"/>
      <c r="U669" s="2037"/>
      <c r="V669" s="2037"/>
      <c r="W669" s="2037"/>
      <c r="X669" s="2037"/>
      <c r="Y669" s="2037"/>
      <c r="Z669" s="2037"/>
      <c r="AA669" s="2037"/>
      <c r="AB669" s="2037"/>
      <c r="AC669" s="107">
        <f>SUM(Q669,R669,S669)</f>
        <v>0</v>
      </c>
      <c r="AD669" s="107">
        <f>SUM(T669,U669,V669)</f>
        <v>0</v>
      </c>
      <c r="AE669" s="107">
        <f>SUM(W669,X669,Y669)</f>
        <v>0</v>
      </c>
      <c r="AF669" s="107">
        <f>SUM(Z669,AA669,AB669)</f>
        <v>0</v>
      </c>
      <c r="AG669" s="107">
        <f>AC669+AD669</f>
        <v>0</v>
      </c>
      <c r="AH669" s="107">
        <f>AF669+AE669</f>
        <v>0</v>
      </c>
      <c r="AI669" s="107">
        <f>AG669+AH669</f>
        <v>0</v>
      </c>
    </row>
    <row r="670" spans="1:35">
      <c r="A670" s="990">
        <v>623</v>
      </c>
      <c r="B670" s="990">
        <v>1</v>
      </c>
      <c r="C670" s="990">
        <v>670</v>
      </c>
      <c r="E670" s="1243">
        <v>1</v>
      </c>
      <c r="I670" s="445"/>
      <c r="J670" s="446"/>
      <c r="K670" s="74"/>
      <c r="L670" s="74"/>
      <c r="M670" s="75"/>
      <c r="N670" s="75" t="s">
        <v>1042</v>
      </c>
      <c r="O670" s="391"/>
      <c r="P670" s="391"/>
      <c r="Q670" s="64">
        <f t="shared" ref="Q670:AI670" si="470">Q671+Q672</f>
        <v>0</v>
      </c>
      <c r="R670" s="64">
        <f t="shared" si="470"/>
        <v>0</v>
      </c>
      <c r="S670" s="64">
        <f t="shared" si="470"/>
        <v>0</v>
      </c>
      <c r="T670" s="64">
        <f t="shared" si="470"/>
        <v>0</v>
      </c>
      <c r="U670" s="64">
        <f t="shared" si="470"/>
        <v>0</v>
      </c>
      <c r="V670" s="64">
        <f t="shared" si="470"/>
        <v>0</v>
      </c>
      <c r="W670" s="64">
        <f t="shared" si="470"/>
        <v>0</v>
      </c>
      <c r="X670" s="64">
        <f t="shared" si="470"/>
        <v>0</v>
      </c>
      <c r="Y670" s="64">
        <f t="shared" si="470"/>
        <v>0</v>
      </c>
      <c r="Z670" s="64">
        <f t="shared" si="470"/>
        <v>0</v>
      </c>
      <c r="AA670" s="64">
        <f t="shared" si="470"/>
        <v>0</v>
      </c>
      <c r="AB670" s="64">
        <f t="shared" si="470"/>
        <v>0</v>
      </c>
      <c r="AC670" s="64">
        <f t="shared" si="470"/>
        <v>0</v>
      </c>
      <c r="AD670" s="64">
        <f t="shared" si="470"/>
        <v>0</v>
      </c>
      <c r="AE670" s="64">
        <f t="shared" si="470"/>
        <v>0</v>
      </c>
      <c r="AF670" s="64">
        <f t="shared" si="470"/>
        <v>0</v>
      </c>
      <c r="AG670" s="64">
        <f t="shared" si="470"/>
        <v>0</v>
      </c>
      <c r="AH670" s="64">
        <f t="shared" si="470"/>
        <v>0</v>
      </c>
      <c r="AI670" s="64">
        <f t="shared" si="470"/>
        <v>0</v>
      </c>
    </row>
    <row r="671" spans="1:35">
      <c r="A671" s="990">
        <v>624</v>
      </c>
      <c r="B671" s="990">
        <v>1</v>
      </c>
      <c r="C671" s="990">
        <v>671</v>
      </c>
      <c r="E671" s="1243">
        <v>1</v>
      </c>
      <c r="I671" s="445"/>
      <c r="J671" s="446"/>
      <c r="K671" s="74"/>
      <c r="L671" s="74"/>
      <c r="M671" s="75"/>
      <c r="N671" s="75"/>
      <c r="O671" s="394" t="s">
        <v>1042</v>
      </c>
      <c r="P671" s="394"/>
      <c r="Q671" s="2057"/>
      <c r="R671" s="2057"/>
      <c r="S671" s="2057"/>
      <c r="T671" s="2057"/>
      <c r="U671" s="2057"/>
      <c r="V671" s="2057"/>
      <c r="W671" s="2057"/>
      <c r="X671" s="2057"/>
      <c r="Y671" s="2057"/>
      <c r="Z671" s="2057"/>
      <c r="AA671" s="2057"/>
      <c r="AB671" s="2057"/>
      <c r="AC671" s="64">
        <f>SUM(Q671,R671,S671)</f>
        <v>0</v>
      </c>
      <c r="AD671" s="64">
        <f>SUM(T671,U671,V671)</f>
        <v>0</v>
      </c>
      <c r="AE671" s="64">
        <f>SUM(W671,X671,Y671)</f>
        <v>0</v>
      </c>
      <c r="AF671" s="64">
        <f>SUM(Z671,AA671,AB671)</f>
        <v>0</v>
      </c>
      <c r="AG671" s="64">
        <f>AC671+AD671</f>
        <v>0</v>
      </c>
      <c r="AH671" s="64">
        <f>AF671+AE671</f>
        <v>0</v>
      </c>
      <c r="AI671" s="64">
        <f>AG671+AH671</f>
        <v>0</v>
      </c>
    </row>
    <row r="672" spans="1:35" s="75" customFormat="1">
      <c r="A672" s="990">
        <v>625</v>
      </c>
      <c r="B672" s="990">
        <v>1</v>
      </c>
      <c r="C672" s="990">
        <v>672</v>
      </c>
      <c r="E672" s="1243">
        <v>1</v>
      </c>
      <c r="F672" s="10"/>
      <c r="G672" s="10"/>
      <c r="H672" s="24"/>
      <c r="I672" s="445"/>
      <c r="J672" s="446"/>
      <c r="K672" s="74"/>
      <c r="L672" s="74"/>
      <c r="O672" s="395" t="s">
        <v>1099</v>
      </c>
      <c r="P672" s="395"/>
      <c r="Q672" s="385">
        <f t="shared" ref="Q672:AB672" si="471">SUM(Q673:Q675)</f>
        <v>0</v>
      </c>
      <c r="R672" s="385">
        <f t="shared" si="471"/>
        <v>0</v>
      </c>
      <c r="S672" s="385">
        <f t="shared" si="471"/>
        <v>0</v>
      </c>
      <c r="T672" s="385">
        <f t="shared" si="471"/>
        <v>0</v>
      </c>
      <c r="U672" s="385">
        <f t="shared" si="471"/>
        <v>0</v>
      </c>
      <c r="V672" s="385">
        <f t="shared" si="471"/>
        <v>0</v>
      </c>
      <c r="W672" s="385">
        <f t="shared" si="471"/>
        <v>0</v>
      </c>
      <c r="X672" s="385">
        <f t="shared" si="471"/>
        <v>0</v>
      </c>
      <c r="Y672" s="385">
        <f t="shared" si="471"/>
        <v>0</v>
      </c>
      <c r="Z672" s="385">
        <f t="shared" si="471"/>
        <v>0</v>
      </c>
      <c r="AA672" s="385">
        <f t="shared" si="471"/>
        <v>0</v>
      </c>
      <c r="AB672" s="385">
        <f t="shared" si="471"/>
        <v>0</v>
      </c>
      <c r="AC672" s="385">
        <f>SUM(Q672:S672)</f>
        <v>0</v>
      </c>
      <c r="AD672" s="385">
        <f>SUM(T672:V672)</f>
        <v>0</v>
      </c>
      <c r="AE672" s="385">
        <f>SUM(W672:Y672)</f>
        <v>0</v>
      </c>
      <c r="AF672" s="385">
        <f>SUM(Z672:AB672)</f>
        <v>0</v>
      </c>
      <c r="AG672" s="385">
        <f>AC672+AD672</f>
        <v>0</v>
      </c>
      <c r="AH672" s="385">
        <f>AF672+AE672</f>
        <v>0</v>
      </c>
      <c r="AI672" s="385">
        <f>AG672+AH672</f>
        <v>0</v>
      </c>
    </row>
    <row r="673" spans="1:35" s="75" customFormat="1">
      <c r="A673" s="990">
        <v>626</v>
      </c>
      <c r="B673" s="990">
        <v>1</v>
      </c>
      <c r="C673" s="990">
        <v>673</v>
      </c>
      <c r="E673" s="1243">
        <v>1</v>
      </c>
      <c r="F673" s="10"/>
      <c r="G673" s="10"/>
      <c r="H673" s="24"/>
      <c r="I673" s="445"/>
      <c r="J673" s="446"/>
      <c r="K673" s="74"/>
      <c r="L673" s="74"/>
      <c r="O673" s="396"/>
      <c r="P673" s="382" t="s">
        <v>391</v>
      </c>
      <c r="Q673" s="2042"/>
      <c r="R673" s="2042"/>
      <c r="S673" s="2042"/>
      <c r="T673" s="2042"/>
      <c r="U673" s="2042"/>
      <c r="V673" s="2042"/>
      <c r="W673" s="2042"/>
      <c r="X673" s="2042"/>
      <c r="Y673" s="2042"/>
      <c r="Z673" s="2042"/>
      <c r="AA673" s="2042"/>
      <c r="AB673" s="2042"/>
      <c r="AC673" s="108">
        <f>SUM(Q673,R673,S673)</f>
        <v>0</v>
      </c>
      <c r="AD673" s="108">
        <f>SUM(T673,U673,V673)</f>
        <v>0</v>
      </c>
      <c r="AE673" s="108">
        <f>SUM(W673,X673,Y673)</f>
        <v>0</v>
      </c>
      <c r="AF673" s="108">
        <f>SUM(Z673,AA673,AB673)</f>
        <v>0</v>
      </c>
      <c r="AG673" s="108">
        <f>AC673+AD673</f>
        <v>0</v>
      </c>
      <c r="AH673" s="108">
        <f>AF673+AE673</f>
        <v>0</v>
      </c>
      <c r="AI673" s="108">
        <f>AG673+AH673</f>
        <v>0</v>
      </c>
    </row>
    <row r="674" spans="1:35" s="75" customFormat="1">
      <c r="A674" s="990">
        <v>627</v>
      </c>
      <c r="B674" s="990">
        <v>1</v>
      </c>
      <c r="C674" s="990">
        <v>674</v>
      </c>
      <c r="E674" s="1243">
        <v>1</v>
      </c>
      <c r="F674" s="10"/>
      <c r="G674" s="10"/>
      <c r="H674" s="24"/>
      <c r="I674" s="445"/>
      <c r="J674" s="446"/>
      <c r="K674" s="74"/>
      <c r="L674" s="74"/>
      <c r="O674" s="301"/>
      <c r="P674" s="400" t="s">
        <v>1086</v>
      </c>
      <c r="Q674" s="2036"/>
      <c r="R674" s="2036"/>
      <c r="S674" s="2036"/>
      <c r="T674" s="2036"/>
      <c r="U674" s="2036"/>
      <c r="V674" s="2036"/>
      <c r="W674" s="2036"/>
      <c r="X674" s="2036"/>
      <c r="Y674" s="2036"/>
      <c r="Z674" s="2036"/>
      <c r="AA674" s="2036"/>
      <c r="AB674" s="2036"/>
      <c r="AC674" s="107">
        <f>SUM(Q674,R674,S674)</f>
        <v>0</v>
      </c>
      <c r="AD674" s="107">
        <f>SUM(T674,U674,V674)</f>
        <v>0</v>
      </c>
      <c r="AE674" s="107">
        <f>SUM(W674,X674,Y674)</f>
        <v>0</v>
      </c>
      <c r="AF674" s="107">
        <f>SUM(Z674,AA674,AB674)</f>
        <v>0</v>
      </c>
      <c r="AG674" s="107">
        <f>AC674+AD674</f>
        <v>0</v>
      </c>
      <c r="AH674" s="107">
        <f>AF674+AE674</f>
        <v>0</v>
      </c>
      <c r="AI674" s="107">
        <f>AG674+AH674</f>
        <v>0</v>
      </c>
    </row>
    <row r="675" spans="1:35" s="75" customFormat="1">
      <c r="A675" s="990">
        <v>628</v>
      </c>
      <c r="B675" s="990">
        <v>1</v>
      </c>
      <c r="C675" s="990">
        <v>675</v>
      </c>
      <c r="E675" s="1243">
        <v>1</v>
      </c>
      <c r="F675" s="10"/>
      <c r="G675" s="10"/>
      <c r="H675" s="24"/>
      <c r="I675" s="445"/>
      <c r="J675" s="446"/>
      <c r="K675" s="74"/>
      <c r="L675" s="74"/>
      <c r="N675" s="276"/>
      <c r="O675" s="302"/>
      <c r="P675" s="88" t="s">
        <v>393</v>
      </c>
      <c r="Q675" s="2037"/>
      <c r="R675" s="2037"/>
      <c r="S675" s="2037"/>
      <c r="T675" s="2037"/>
      <c r="U675" s="2037"/>
      <c r="V675" s="2037"/>
      <c r="W675" s="2037"/>
      <c r="X675" s="2037"/>
      <c r="Y675" s="2037"/>
      <c r="Z675" s="2037"/>
      <c r="AA675" s="2037"/>
      <c r="AB675" s="2037"/>
      <c r="AC675" s="107">
        <f>SUM(Q675,R675,S675)</f>
        <v>0</v>
      </c>
      <c r="AD675" s="107">
        <f>SUM(T675,U675,V675)</f>
        <v>0</v>
      </c>
      <c r="AE675" s="107">
        <f>SUM(W675,X675,Y675)</f>
        <v>0</v>
      </c>
      <c r="AF675" s="107">
        <f>SUM(Z675,AA675,AB675)</f>
        <v>0</v>
      </c>
      <c r="AG675" s="107">
        <f>AC675+AD675</f>
        <v>0</v>
      </c>
      <c r="AH675" s="107">
        <f>AF675+AE675</f>
        <v>0</v>
      </c>
      <c r="AI675" s="107">
        <f>AG675+AH675</f>
        <v>0</v>
      </c>
    </row>
    <row r="676" spans="1:35">
      <c r="A676" s="990">
        <v>629</v>
      </c>
      <c r="B676" s="990">
        <v>1</v>
      </c>
      <c r="C676" s="990">
        <v>676</v>
      </c>
      <c r="E676" s="1243">
        <v>1</v>
      </c>
      <c r="I676" s="445"/>
      <c r="J676" s="446"/>
      <c r="K676" s="74"/>
      <c r="L676" s="74"/>
      <c r="M676" s="75"/>
      <c r="N676" s="75" t="s">
        <v>852</v>
      </c>
      <c r="O676" s="391"/>
      <c r="P676" s="391"/>
      <c r="Q676" s="64">
        <f t="shared" ref="Q676:AI676" si="472">Q677+Q678</f>
        <v>0</v>
      </c>
      <c r="R676" s="64">
        <f t="shared" si="472"/>
        <v>0</v>
      </c>
      <c r="S676" s="64">
        <f t="shared" si="472"/>
        <v>0</v>
      </c>
      <c r="T676" s="64">
        <f t="shared" si="472"/>
        <v>0</v>
      </c>
      <c r="U676" s="64">
        <f t="shared" si="472"/>
        <v>0</v>
      </c>
      <c r="V676" s="64">
        <f t="shared" si="472"/>
        <v>0</v>
      </c>
      <c r="W676" s="64">
        <f t="shared" si="472"/>
        <v>0</v>
      </c>
      <c r="X676" s="64">
        <f t="shared" si="472"/>
        <v>0</v>
      </c>
      <c r="Y676" s="64">
        <f t="shared" si="472"/>
        <v>0</v>
      </c>
      <c r="Z676" s="64">
        <f t="shared" si="472"/>
        <v>0</v>
      </c>
      <c r="AA676" s="64">
        <f t="shared" si="472"/>
        <v>0</v>
      </c>
      <c r="AB676" s="64">
        <f t="shared" si="472"/>
        <v>0</v>
      </c>
      <c r="AC676" s="64">
        <f t="shared" si="472"/>
        <v>0</v>
      </c>
      <c r="AD676" s="64">
        <f t="shared" si="472"/>
        <v>0</v>
      </c>
      <c r="AE676" s="64">
        <f t="shared" si="472"/>
        <v>0</v>
      </c>
      <c r="AF676" s="64">
        <f t="shared" si="472"/>
        <v>0</v>
      </c>
      <c r="AG676" s="64">
        <f t="shared" si="472"/>
        <v>0</v>
      </c>
      <c r="AH676" s="64">
        <f t="shared" si="472"/>
        <v>0</v>
      </c>
      <c r="AI676" s="64">
        <f t="shared" si="472"/>
        <v>0</v>
      </c>
    </row>
    <row r="677" spans="1:35">
      <c r="A677" s="990">
        <v>630</v>
      </c>
      <c r="B677" s="990">
        <v>1</v>
      </c>
      <c r="C677" s="990">
        <v>677</v>
      </c>
      <c r="E677" s="1243">
        <v>1</v>
      </c>
      <c r="I677" s="445"/>
      <c r="J677" s="446"/>
      <c r="K677" s="74"/>
      <c r="L677" s="74"/>
      <c r="M677" s="75"/>
      <c r="N677" s="75"/>
      <c r="O677" s="394" t="s">
        <v>852</v>
      </c>
      <c r="P677" s="394"/>
      <c r="Q677" s="2057"/>
      <c r="R677" s="2057"/>
      <c r="S677" s="2057"/>
      <c r="T677" s="2057"/>
      <c r="U677" s="2057"/>
      <c r="V677" s="2057"/>
      <c r="W677" s="2057"/>
      <c r="X677" s="2057"/>
      <c r="Y677" s="2057"/>
      <c r="Z677" s="2057"/>
      <c r="AA677" s="2057"/>
      <c r="AB677" s="2057"/>
      <c r="AC677" s="64">
        <f>SUM(Q677,R677,S677)</f>
        <v>0</v>
      </c>
      <c r="AD677" s="64">
        <f>SUM(T677,U677,V677)</f>
        <v>0</v>
      </c>
      <c r="AE677" s="64">
        <f>SUM(W677,X677,Y677)</f>
        <v>0</v>
      </c>
      <c r="AF677" s="64">
        <f>SUM(Z677,AA677,AB677)</f>
        <v>0</v>
      </c>
      <c r="AG677" s="64">
        <f t="shared" ref="AG677:AG686" si="473">AC677+AD677</f>
        <v>0</v>
      </c>
      <c r="AH677" s="64">
        <f t="shared" ref="AH677:AH686" si="474">AF677+AE677</f>
        <v>0</v>
      </c>
      <c r="AI677" s="64">
        <f t="shared" ref="AI677:AI686" si="475">AG677+AH677</f>
        <v>0</v>
      </c>
    </row>
    <row r="678" spans="1:35" s="75" customFormat="1">
      <c r="A678" s="990">
        <v>631</v>
      </c>
      <c r="B678" s="990">
        <v>1</v>
      </c>
      <c r="C678" s="990">
        <v>678</v>
      </c>
      <c r="E678" s="1243">
        <v>1</v>
      </c>
      <c r="F678" s="10"/>
      <c r="G678" s="10"/>
      <c r="H678" s="24"/>
      <c r="I678" s="445"/>
      <c r="J678" s="446"/>
      <c r="K678" s="74"/>
      <c r="L678" s="74"/>
      <c r="O678" s="395" t="s">
        <v>1099</v>
      </c>
      <c r="P678" s="395"/>
      <c r="Q678" s="385">
        <f t="shared" ref="Q678:AB678" si="476">SUM(Q679:Q681)</f>
        <v>0</v>
      </c>
      <c r="R678" s="385">
        <f t="shared" si="476"/>
        <v>0</v>
      </c>
      <c r="S678" s="385">
        <f t="shared" si="476"/>
        <v>0</v>
      </c>
      <c r="T678" s="385">
        <f t="shared" si="476"/>
        <v>0</v>
      </c>
      <c r="U678" s="385">
        <f t="shared" si="476"/>
        <v>0</v>
      </c>
      <c r="V678" s="385">
        <f t="shared" si="476"/>
        <v>0</v>
      </c>
      <c r="W678" s="385">
        <f t="shared" si="476"/>
        <v>0</v>
      </c>
      <c r="X678" s="385">
        <f t="shared" si="476"/>
        <v>0</v>
      </c>
      <c r="Y678" s="385">
        <f t="shared" si="476"/>
        <v>0</v>
      </c>
      <c r="Z678" s="385">
        <f t="shared" si="476"/>
        <v>0</v>
      </c>
      <c r="AA678" s="385">
        <f t="shared" si="476"/>
        <v>0</v>
      </c>
      <c r="AB678" s="385">
        <f t="shared" si="476"/>
        <v>0</v>
      </c>
      <c r="AC678" s="385">
        <f>SUM(Q678:S678)</f>
        <v>0</v>
      </c>
      <c r="AD678" s="385">
        <f>SUM(T678:V678)</f>
        <v>0</v>
      </c>
      <c r="AE678" s="385">
        <f>SUM(W678:Y678)</f>
        <v>0</v>
      </c>
      <c r="AF678" s="385">
        <f>SUM(Z678:AB678)</f>
        <v>0</v>
      </c>
      <c r="AG678" s="385">
        <f t="shared" si="473"/>
        <v>0</v>
      </c>
      <c r="AH678" s="385">
        <f t="shared" si="474"/>
        <v>0</v>
      </c>
      <c r="AI678" s="385">
        <f t="shared" si="475"/>
        <v>0</v>
      </c>
    </row>
    <row r="679" spans="1:35" s="75" customFormat="1">
      <c r="A679" s="990">
        <v>632</v>
      </c>
      <c r="B679" s="990">
        <v>1</v>
      </c>
      <c r="C679" s="990">
        <v>679</v>
      </c>
      <c r="E679" s="1243">
        <v>1</v>
      </c>
      <c r="F679" s="10"/>
      <c r="G679" s="10"/>
      <c r="H679" s="24"/>
      <c r="I679" s="445"/>
      <c r="J679" s="446"/>
      <c r="K679" s="74"/>
      <c r="L679" s="74"/>
      <c r="O679" s="396"/>
      <c r="P679" s="382" t="s">
        <v>391</v>
      </c>
      <c r="Q679" s="2042"/>
      <c r="R679" s="2042"/>
      <c r="S679" s="2042"/>
      <c r="T679" s="2042"/>
      <c r="U679" s="2042"/>
      <c r="V679" s="2042"/>
      <c r="W679" s="2042"/>
      <c r="X679" s="2042"/>
      <c r="Y679" s="2042"/>
      <c r="Z679" s="2042"/>
      <c r="AA679" s="2042"/>
      <c r="AB679" s="2042"/>
      <c r="AC679" s="108">
        <f>SUM(Q679,R679,S679)</f>
        <v>0</v>
      </c>
      <c r="AD679" s="108">
        <f>SUM(T679,U679,V679)</f>
        <v>0</v>
      </c>
      <c r="AE679" s="108">
        <f>SUM(W679,X679,Y679)</f>
        <v>0</v>
      </c>
      <c r="AF679" s="108">
        <f>SUM(Z679,AA679,AB679)</f>
        <v>0</v>
      </c>
      <c r="AG679" s="108">
        <f t="shared" si="473"/>
        <v>0</v>
      </c>
      <c r="AH679" s="108">
        <f t="shared" si="474"/>
        <v>0</v>
      </c>
      <c r="AI679" s="108">
        <f t="shared" si="475"/>
        <v>0</v>
      </c>
    </row>
    <row r="680" spans="1:35" s="75" customFormat="1">
      <c r="A680" s="990">
        <v>633</v>
      </c>
      <c r="B680" s="990">
        <v>1</v>
      </c>
      <c r="C680" s="990">
        <v>680</v>
      </c>
      <c r="E680" s="1243">
        <v>1</v>
      </c>
      <c r="F680" s="10"/>
      <c r="G680" s="10"/>
      <c r="H680" s="24"/>
      <c r="I680" s="445"/>
      <c r="J680" s="446"/>
      <c r="K680" s="74"/>
      <c r="L680" s="74"/>
      <c r="O680" s="301"/>
      <c r="P680" s="400" t="s">
        <v>1086</v>
      </c>
      <c r="Q680" s="2036"/>
      <c r="R680" s="2036"/>
      <c r="S680" s="2036"/>
      <c r="T680" s="2036"/>
      <c r="U680" s="2036"/>
      <c r="V680" s="2036"/>
      <c r="W680" s="2036"/>
      <c r="X680" s="2036"/>
      <c r="Y680" s="2036"/>
      <c r="Z680" s="2036"/>
      <c r="AA680" s="2036"/>
      <c r="AB680" s="2036"/>
      <c r="AC680" s="107">
        <f>SUM(Q680,R680,S680)</f>
        <v>0</v>
      </c>
      <c r="AD680" s="107">
        <f>SUM(T680,U680,V680)</f>
        <v>0</v>
      </c>
      <c r="AE680" s="107">
        <f>SUM(W680,X680,Y680)</f>
        <v>0</v>
      </c>
      <c r="AF680" s="107">
        <f>SUM(Z680,AA680,AB680)</f>
        <v>0</v>
      </c>
      <c r="AG680" s="107">
        <f t="shared" si="473"/>
        <v>0</v>
      </c>
      <c r="AH680" s="107">
        <f t="shared" si="474"/>
        <v>0</v>
      </c>
      <c r="AI680" s="107">
        <f t="shared" si="475"/>
        <v>0</v>
      </c>
    </row>
    <row r="681" spans="1:35" s="75" customFormat="1">
      <c r="A681" s="990">
        <v>634</v>
      </c>
      <c r="B681" s="990">
        <v>1</v>
      </c>
      <c r="C681" s="990">
        <v>681</v>
      </c>
      <c r="E681" s="1243">
        <v>1</v>
      </c>
      <c r="F681" s="10"/>
      <c r="G681" s="10"/>
      <c r="H681" s="24"/>
      <c r="I681" s="445"/>
      <c r="J681" s="446"/>
      <c r="K681" s="74"/>
      <c r="L681" s="74"/>
      <c r="N681" s="276"/>
      <c r="O681" s="302"/>
      <c r="P681" s="88" t="s">
        <v>393</v>
      </c>
      <c r="Q681" s="2037"/>
      <c r="R681" s="2037"/>
      <c r="S681" s="2037"/>
      <c r="T681" s="2037"/>
      <c r="U681" s="2037"/>
      <c r="V681" s="2037"/>
      <c r="W681" s="2037"/>
      <c r="X681" s="2037"/>
      <c r="Y681" s="2037"/>
      <c r="Z681" s="2037"/>
      <c r="AA681" s="2037"/>
      <c r="AB681" s="2037"/>
      <c r="AC681" s="107">
        <f>SUM(Q681,R681,S681)</f>
        <v>0</v>
      </c>
      <c r="AD681" s="107">
        <f>SUM(T681,U681,V681)</f>
        <v>0</v>
      </c>
      <c r="AE681" s="107">
        <f>SUM(W681,X681,Y681)</f>
        <v>0</v>
      </c>
      <c r="AF681" s="107">
        <f>SUM(Z681,AA681,AB681)</f>
        <v>0</v>
      </c>
      <c r="AG681" s="107">
        <f t="shared" si="473"/>
        <v>0</v>
      </c>
      <c r="AH681" s="107">
        <f t="shared" si="474"/>
        <v>0</v>
      </c>
      <c r="AI681" s="107">
        <f t="shared" si="475"/>
        <v>0</v>
      </c>
    </row>
    <row r="682" spans="1:35" s="75" customFormat="1">
      <c r="A682" s="990">
        <v>635</v>
      </c>
      <c r="B682" s="990">
        <v>1</v>
      </c>
      <c r="C682" s="990">
        <v>682</v>
      </c>
      <c r="E682" s="1243">
        <v>1</v>
      </c>
      <c r="F682" s="10"/>
      <c r="G682" s="10"/>
      <c r="H682" s="24"/>
      <c r="I682" s="445"/>
      <c r="J682" s="446"/>
      <c r="K682" s="74"/>
      <c r="L682" s="74"/>
      <c r="N682" s="1199" t="s">
        <v>1097</v>
      </c>
      <c r="O682" s="373"/>
      <c r="P682" s="373"/>
      <c r="Q682" s="381">
        <f>SUM(Q683:Q684)</f>
        <v>0</v>
      </c>
      <c r="R682" s="381">
        <f t="shared" ref="R682:AB682" si="477">SUM(R683:R684)</f>
        <v>0</v>
      </c>
      <c r="S682" s="381">
        <f t="shared" si="477"/>
        <v>0</v>
      </c>
      <c r="T682" s="381">
        <f t="shared" si="477"/>
        <v>0</v>
      </c>
      <c r="U682" s="381">
        <f t="shared" si="477"/>
        <v>0</v>
      </c>
      <c r="V682" s="381">
        <f t="shared" si="477"/>
        <v>0</v>
      </c>
      <c r="W682" s="381">
        <f t="shared" si="477"/>
        <v>0</v>
      </c>
      <c r="X682" s="381">
        <f t="shared" si="477"/>
        <v>0</v>
      </c>
      <c r="Y682" s="381">
        <f t="shared" si="477"/>
        <v>0</v>
      </c>
      <c r="Z682" s="381">
        <f t="shared" si="477"/>
        <v>0</v>
      </c>
      <c r="AA682" s="381">
        <f t="shared" si="477"/>
        <v>0</v>
      </c>
      <c r="AB682" s="381">
        <f t="shared" si="477"/>
        <v>0</v>
      </c>
      <c r="AC682" s="381">
        <f>SUM(Q682:S682)</f>
        <v>0</v>
      </c>
      <c r="AD682" s="381">
        <f>SUM(T682:V682)</f>
        <v>0</v>
      </c>
      <c r="AE682" s="381">
        <f>SUM(W682:Y682)</f>
        <v>0</v>
      </c>
      <c r="AF682" s="381">
        <f>SUM(Z682:AB682)</f>
        <v>0</v>
      </c>
      <c r="AG682" s="381">
        <f t="shared" si="473"/>
        <v>0</v>
      </c>
      <c r="AH682" s="381">
        <f t="shared" si="474"/>
        <v>0</v>
      </c>
      <c r="AI682" s="381">
        <f t="shared" si="475"/>
        <v>0</v>
      </c>
    </row>
    <row r="683" spans="1:35" s="75" customFormat="1">
      <c r="A683" s="990">
        <v>636</v>
      </c>
      <c r="B683" s="990">
        <v>1</v>
      </c>
      <c r="C683" s="990">
        <v>683</v>
      </c>
      <c r="E683" s="1243">
        <v>1</v>
      </c>
      <c r="F683" s="10"/>
      <c r="G683" s="10"/>
      <c r="H683" s="24"/>
      <c r="I683" s="445"/>
      <c r="J683" s="446"/>
      <c r="K683" s="74"/>
      <c r="L683" s="74"/>
      <c r="N683" s="301"/>
      <c r="O683" s="396"/>
      <c r="P683" s="396" t="s">
        <v>391</v>
      </c>
      <c r="Q683" s="2042"/>
      <c r="R683" s="2042"/>
      <c r="S683" s="2042"/>
      <c r="T683" s="2042"/>
      <c r="U683" s="2042"/>
      <c r="V683" s="2042"/>
      <c r="W683" s="2042"/>
      <c r="X683" s="2042"/>
      <c r="Y683" s="2042"/>
      <c r="Z683" s="2042"/>
      <c r="AA683" s="2042"/>
      <c r="AB683" s="2042"/>
      <c r="AC683" s="108">
        <f>SUM(Q683,R683,S683)</f>
        <v>0</v>
      </c>
      <c r="AD683" s="108">
        <f>SUM(T683,U683,V683)</f>
        <v>0</v>
      </c>
      <c r="AE683" s="108">
        <f>SUM(W683,X683,Y683)</f>
        <v>0</v>
      </c>
      <c r="AF683" s="108">
        <f>SUM(Z683,AA683,AB683)</f>
        <v>0</v>
      </c>
      <c r="AG683" s="108">
        <f t="shared" si="473"/>
        <v>0</v>
      </c>
      <c r="AH683" s="108">
        <f t="shared" si="474"/>
        <v>0</v>
      </c>
      <c r="AI683" s="108">
        <f t="shared" si="475"/>
        <v>0</v>
      </c>
    </row>
    <row r="684" spans="1:35" s="75" customFormat="1">
      <c r="A684" s="990">
        <v>637</v>
      </c>
      <c r="B684" s="990">
        <v>1</v>
      </c>
      <c r="C684" s="990">
        <v>684</v>
      </c>
      <c r="E684" s="1243">
        <v>1</v>
      </c>
      <c r="F684" s="10"/>
      <c r="G684" s="10"/>
      <c r="H684" s="24"/>
      <c r="I684" s="445"/>
      <c r="J684" s="446"/>
      <c r="K684" s="74"/>
      <c r="L684" s="74"/>
      <c r="N684" s="302"/>
      <c r="O684" s="302"/>
      <c r="P684" s="302" t="s">
        <v>393</v>
      </c>
      <c r="Q684" s="2037"/>
      <c r="R684" s="2037"/>
      <c r="S684" s="2037"/>
      <c r="T684" s="2037"/>
      <c r="U684" s="2037"/>
      <c r="V684" s="2037"/>
      <c r="W684" s="2037"/>
      <c r="X684" s="2037"/>
      <c r="Y684" s="2037"/>
      <c r="Z684" s="2037"/>
      <c r="AA684" s="2037"/>
      <c r="AB684" s="2037"/>
      <c r="AC684" s="107">
        <f>SUM(Q684,R684,S684)</f>
        <v>0</v>
      </c>
      <c r="AD684" s="107">
        <f>SUM(T684,U684,V684)</f>
        <v>0</v>
      </c>
      <c r="AE684" s="107">
        <f>SUM(W684,X684,Y684)</f>
        <v>0</v>
      </c>
      <c r="AF684" s="107">
        <f>SUM(Z684,AA684,AB684)</f>
        <v>0</v>
      </c>
      <c r="AG684" s="107">
        <f t="shared" si="473"/>
        <v>0</v>
      </c>
      <c r="AH684" s="107">
        <f t="shared" si="474"/>
        <v>0</v>
      </c>
      <c r="AI684" s="107">
        <f t="shared" si="475"/>
        <v>0</v>
      </c>
    </row>
    <row r="685" spans="1:35" s="75" customFormat="1">
      <c r="A685" s="990">
        <v>638</v>
      </c>
      <c r="B685" s="990">
        <v>1</v>
      </c>
      <c r="C685" s="990">
        <v>685</v>
      </c>
      <c r="E685" s="1243">
        <v>1</v>
      </c>
      <c r="F685" s="10"/>
      <c r="G685" s="10"/>
      <c r="H685" s="24"/>
      <c r="I685" s="445"/>
      <c r="J685" s="446"/>
      <c r="K685" s="74"/>
      <c r="L685" s="74"/>
      <c r="N685" s="301" t="s">
        <v>1102</v>
      </c>
      <c r="O685" s="301"/>
      <c r="P685" s="396"/>
      <c r="Q685" s="2042"/>
      <c r="R685" s="2042"/>
      <c r="S685" s="2042"/>
      <c r="T685" s="2042"/>
      <c r="U685" s="2042"/>
      <c r="V685" s="2042"/>
      <c r="W685" s="2042"/>
      <c r="X685" s="2042"/>
      <c r="Y685" s="2042"/>
      <c r="Z685" s="2042"/>
      <c r="AA685" s="2042"/>
      <c r="AB685" s="2042"/>
      <c r="AC685" s="108">
        <f>SUM(Q685,R685,S685)</f>
        <v>0</v>
      </c>
      <c r="AD685" s="108">
        <f>SUM(T685,U685,V685)</f>
        <v>0</v>
      </c>
      <c r="AE685" s="108">
        <f>SUM(W685,X685,Y685)</f>
        <v>0</v>
      </c>
      <c r="AF685" s="108">
        <f>SUM(Z685,AA685,AB685)</f>
        <v>0</v>
      </c>
      <c r="AG685" s="108">
        <f>AC685+AD685</f>
        <v>0</v>
      </c>
      <c r="AH685" s="108">
        <f>AF685+AE685</f>
        <v>0</v>
      </c>
      <c r="AI685" s="108">
        <f>AG685+AH685</f>
        <v>0</v>
      </c>
    </row>
    <row r="686" spans="1:35">
      <c r="A686" s="990">
        <v>639</v>
      </c>
      <c r="B686" s="990">
        <v>1</v>
      </c>
      <c r="C686" s="990">
        <v>686</v>
      </c>
      <c r="E686" s="1243">
        <v>1</v>
      </c>
      <c r="I686" s="447"/>
      <c r="J686" s="448"/>
      <c r="K686" s="73"/>
      <c r="L686" s="73"/>
      <c r="M686" s="276"/>
      <c r="N686" s="306" t="s">
        <v>11</v>
      </c>
      <c r="O686" s="306"/>
      <c r="P686" s="1200"/>
      <c r="Q686" s="2088"/>
      <c r="R686" s="2088"/>
      <c r="S686" s="2088"/>
      <c r="T686" s="2088"/>
      <c r="U686" s="2088"/>
      <c r="V686" s="2088"/>
      <c r="W686" s="2088"/>
      <c r="X686" s="2088"/>
      <c r="Y686" s="2088"/>
      <c r="Z686" s="2088"/>
      <c r="AA686" s="2088"/>
      <c r="AB686" s="2088"/>
      <c r="AC686" s="2058">
        <f>SUM(Q686,R686,S686)</f>
        <v>0</v>
      </c>
      <c r="AD686" s="2058">
        <f>SUM(T686,U686,V686)</f>
        <v>0</v>
      </c>
      <c r="AE686" s="2058">
        <f>SUM(W686,X686,Y686)</f>
        <v>0</v>
      </c>
      <c r="AF686" s="2058">
        <f>SUM(Z686,AA686,AB686)</f>
        <v>0</v>
      </c>
      <c r="AG686" s="2058">
        <f t="shared" si="473"/>
        <v>0</v>
      </c>
      <c r="AH686" s="2058">
        <f t="shared" si="474"/>
        <v>0</v>
      </c>
      <c r="AI686" s="2058">
        <f t="shared" si="475"/>
        <v>0</v>
      </c>
    </row>
    <row r="687" spans="1:35" s="75" customFormat="1">
      <c r="A687" s="990">
        <v>640</v>
      </c>
      <c r="B687" s="990"/>
      <c r="C687" s="990">
        <v>687</v>
      </c>
      <c r="E687" s="1243">
        <v>1</v>
      </c>
      <c r="F687" s="5"/>
      <c r="G687" s="5"/>
      <c r="H687" s="5"/>
      <c r="I687" s="14"/>
      <c r="J687" s="31"/>
      <c r="K687" s="24"/>
      <c r="L687" s="24"/>
      <c r="M687" s="31"/>
      <c r="N687" s="4"/>
      <c r="O687" s="4"/>
      <c r="P687" s="4"/>
      <c r="Q687" s="87"/>
      <c r="R687" s="87"/>
      <c r="S687" s="87"/>
      <c r="T687" s="87"/>
      <c r="U687" s="87"/>
      <c r="V687" s="87"/>
      <c r="W687" s="87"/>
      <c r="X687" s="87"/>
      <c r="Y687" s="87"/>
      <c r="Z687" s="87"/>
      <c r="AA687" s="87"/>
      <c r="AB687" s="87"/>
      <c r="AC687" s="87"/>
      <c r="AD687" s="87"/>
      <c r="AE687" s="87"/>
      <c r="AF687" s="87"/>
      <c r="AG687" s="87"/>
      <c r="AH687" s="87"/>
      <c r="AI687" s="87"/>
    </row>
    <row r="688" spans="1:35">
      <c r="A688" s="990">
        <v>669</v>
      </c>
      <c r="B688" s="990">
        <v>641</v>
      </c>
      <c r="C688" s="990">
        <v>688</v>
      </c>
      <c r="E688" s="1296" t="s">
        <v>931</v>
      </c>
      <c r="F688" s="1301"/>
      <c r="G688" s="24"/>
      <c r="H688" s="1286" t="s">
        <v>1063</v>
      </c>
      <c r="P688" s="291"/>
      <c r="AA688" s="1"/>
      <c r="AB688" s="1"/>
      <c r="AC688" s="1"/>
      <c r="AD688" s="1"/>
      <c r="AE688" s="1"/>
      <c r="AF688" s="1"/>
      <c r="AG688" s="1"/>
      <c r="AH688" s="1"/>
      <c r="AI688" s="1"/>
    </row>
    <row r="689" spans="1:35">
      <c r="A689" s="990">
        <v>670</v>
      </c>
      <c r="B689" s="990">
        <v>642</v>
      </c>
      <c r="C689" s="990">
        <v>689</v>
      </c>
      <c r="E689" s="1243">
        <v>1</v>
      </c>
      <c r="I689" s="409" t="s">
        <v>9</v>
      </c>
      <c r="J689" s="789"/>
      <c r="K689" s="580"/>
      <c r="L689" s="580"/>
      <c r="M689" s="580"/>
      <c r="N689" s="580"/>
      <c r="O689" s="580"/>
      <c r="P689" s="580"/>
      <c r="Q689" s="2063">
        <f t="shared" ref="Q689:AI689" si="478">Q690+Q716</f>
        <v>1597</v>
      </c>
      <c r="R689" s="2643">
        <f t="shared" si="478"/>
        <v>1515</v>
      </c>
      <c r="S689" s="2063">
        <f t="shared" si="478"/>
        <v>1262</v>
      </c>
      <c r="T689" s="2063">
        <f t="shared" si="478"/>
        <v>2860</v>
      </c>
      <c r="U689" s="2063">
        <f t="shared" si="478"/>
        <v>2424</v>
      </c>
      <c r="V689" s="2063">
        <f t="shared" si="478"/>
        <v>1435</v>
      </c>
      <c r="W689" s="2063">
        <f t="shared" si="478"/>
        <v>1450</v>
      </c>
      <c r="X689" s="2063">
        <f t="shared" si="478"/>
        <v>2038</v>
      </c>
      <c r="Y689" s="2063">
        <f t="shared" si="478"/>
        <v>3084</v>
      </c>
      <c r="Z689" s="2063">
        <f t="shared" si="478"/>
        <v>1775</v>
      </c>
      <c r="AA689" s="2063">
        <f t="shared" si="478"/>
        <v>1596</v>
      </c>
      <c r="AB689" s="2063">
        <f t="shared" si="478"/>
        <v>1356</v>
      </c>
      <c r="AC689" s="2063">
        <f t="shared" si="478"/>
        <v>4374</v>
      </c>
      <c r="AD689" s="2063">
        <f t="shared" si="478"/>
        <v>6719</v>
      </c>
      <c r="AE689" s="2063">
        <f t="shared" si="478"/>
        <v>6572</v>
      </c>
      <c r="AF689" s="2063">
        <f t="shared" si="478"/>
        <v>4727</v>
      </c>
      <c r="AG689" s="2063">
        <f t="shared" si="478"/>
        <v>11093</v>
      </c>
      <c r="AH689" s="2063">
        <f t="shared" si="478"/>
        <v>11299</v>
      </c>
      <c r="AI689" s="101">
        <f t="shared" si="478"/>
        <v>22392</v>
      </c>
    </row>
    <row r="690" spans="1:35">
      <c r="A690" s="990">
        <v>671</v>
      </c>
      <c r="B690" s="990">
        <v>643</v>
      </c>
      <c r="C690" s="990">
        <v>690</v>
      </c>
      <c r="E690" s="1243">
        <v>1</v>
      </c>
      <c r="I690" s="98"/>
      <c r="J690" s="97"/>
      <c r="K690" s="74" t="s">
        <v>1022</v>
      </c>
      <c r="L690" s="74"/>
      <c r="M690" s="565"/>
      <c r="N690" s="357"/>
      <c r="O690" s="357"/>
      <c r="P690" s="357"/>
      <c r="Q690" s="359">
        <f t="shared" ref="Q690:AI690" si="479">Q696+Q691+Q701+Q706+Q711</f>
        <v>1455</v>
      </c>
      <c r="R690" s="2064">
        <f t="shared" si="479"/>
        <v>1478</v>
      </c>
      <c r="S690" s="359">
        <f t="shared" si="479"/>
        <v>1154</v>
      </c>
      <c r="T690" s="359">
        <f t="shared" si="479"/>
        <v>2264</v>
      </c>
      <c r="U690" s="359">
        <f t="shared" si="479"/>
        <v>2239</v>
      </c>
      <c r="V690" s="359">
        <f t="shared" si="479"/>
        <v>1172</v>
      </c>
      <c r="W690" s="359">
        <f t="shared" si="479"/>
        <v>1450</v>
      </c>
      <c r="X690" s="359">
        <f t="shared" si="479"/>
        <v>1416</v>
      </c>
      <c r="Y690" s="359">
        <f t="shared" si="479"/>
        <v>2508</v>
      </c>
      <c r="Z690" s="359">
        <f t="shared" si="479"/>
        <v>1489</v>
      </c>
      <c r="AA690" s="359">
        <f t="shared" si="479"/>
        <v>1495</v>
      </c>
      <c r="AB690" s="359">
        <f t="shared" si="479"/>
        <v>1223</v>
      </c>
      <c r="AC690" s="359">
        <f t="shared" si="479"/>
        <v>4087</v>
      </c>
      <c r="AD690" s="359">
        <f t="shared" si="479"/>
        <v>5675</v>
      </c>
      <c r="AE690" s="359">
        <f t="shared" si="479"/>
        <v>5374</v>
      </c>
      <c r="AF690" s="359">
        <f t="shared" si="479"/>
        <v>4207</v>
      </c>
      <c r="AG690" s="359">
        <f t="shared" si="479"/>
        <v>9762</v>
      </c>
      <c r="AH690" s="359">
        <f t="shared" si="479"/>
        <v>9581</v>
      </c>
      <c r="AI690" s="407">
        <f t="shared" si="479"/>
        <v>19343</v>
      </c>
    </row>
    <row r="691" spans="1:35">
      <c r="A691" s="990">
        <v>672</v>
      </c>
      <c r="B691" s="990">
        <v>1</v>
      </c>
      <c r="C691" s="990">
        <v>691</v>
      </c>
      <c r="E691" s="1243">
        <v>1</v>
      </c>
      <c r="G691" s="24"/>
      <c r="I691" s="98"/>
      <c r="J691" s="97"/>
      <c r="K691" s="74"/>
      <c r="L691" s="74"/>
      <c r="M691" s="9" t="s">
        <v>12</v>
      </c>
      <c r="N691" s="362"/>
      <c r="O691" s="362"/>
      <c r="P691" s="362"/>
      <c r="Q691" s="361">
        <f>SUM(Q692:Q695)</f>
        <v>0</v>
      </c>
      <c r="R691" s="2054">
        <f t="shared" ref="R691:AI691" si="480">SUM(R692:R695)</f>
        <v>0</v>
      </c>
      <c r="S691" s="361">
        <f t="shared" si="480"/>
        <v>0</v>
      </c>
      <c r="T691" s="361">
        <f t="shared" si="480"/>
        <v>60</v>
      </c>
      <c r="U691" s="361">
        <f t="shared" si="480"/>
        <v>0</v>
      </c>
      <c r="V691" s="361">
        <f t="shared" si="480"/>
        <v>0</v>
      </c>
      <c r="W691" s="361">
        <f t="shared" si="480"/>
        <v>0</v>
      </c>
      <c r="X691" s="361">
        <f t="shared" si="480"/>
        <v>0</v>
      </c>
      <c r="Y691" s="361">
        <f t="shared" si="480"/>
        <v>0</v>
      </c>
      <c r="Z691" s="361">
        <f t="shared" si="480"/>
        <v>0</v>
      </c>
      <c r="AA691" s="361">
        <f t="shared" si="480"/>
        <v>0</v>
      </c>
      <c r="AB691" s="361">
        <f t="shared" si="480"/>
        <v>0</v>
      </c>
      <c r="AC691" s="361">
        <f t="shared" si="480"/>
        <v>0</v>
      </c>
      <c r="AD691" s="361">
        <f t="shared" si="480"/>
        <v>60</v>
      </c>
      <c r="AE691" s="361">
        <f t="shared" si="480"/>
        <v>0</v>
      </c>
      <c r="AF691" s="361">
        <f t="shared" si="480"/>
        <v>0</v>
      </c>
      <c r="AG691" s="361">
        <f t="shared" si="480"/>
        <v>60</v>
      </c>
      <c r="AH691" s="361">
        <f t="shared" si="480"/>
        <v>0</v>
      </c>
      <c r="AI691" s="375">
        <f t="shared" si="480"/>
        <v>60</v>
      </c>
    </row>
    <row r="692" spans="1:35">
      <c r="A692" s="990">
        <v>673</v>
      </c>
      <c r="B692" s="990">
        <v>1</v>
      </c>
      <c r="C692" s="990">
        <v>692</v>
      </c>
      <c r="E692" s="1296" t="s">
        <v>931</v>
      </c>
      <c r="F692" s="1301"/>
      <c r="G692" s="24"/>
      <c r="I692" s="98"/>
      <c r="J692" s="97"/>
      <c r="K692" s="74"/>
      <c r="L692" s="74"/>
      <c r="N692" s="371" t="s">
        <v>903</v>
      </c>
      <c r="O692" s="111"/>
      <c r="P692" s="111"/>
      <c r="Q692" s="2042"/>
      <c r="R692" s="2055"/>
      <c r="S692" s="2042"/>
      <c r="T692" s="2042"/>
      <c r="U692" s="2042"/>
      <c r="V692" s="2042"/>
      <c r="W692" s="2042"/>
      <c r="X692" s="2042"/>
      <c r="Y692" s="2042"/>
      <c r="Z692" s="2042"/>
      <c r="AA692" s="2042"/>
      <c r="AB692" s="2042"/>
      <c r="AC692" s="109">
        <f>SUM(Q692,R692,S692)</f>
        <v>0</v>
      </c>
      <c r="AD692" s="109">
        <f>SUM(T692,U692,V692)</f>
        <v>0</v>
      </c>
      <c r="AE692" s="109">
        <f>SUM(W692,X692,Y692)</f>
        <v>0</v>
      </c>
      <c r="AF692" s="109">
        <f>SUM(Z692,AA692,AB692)</f>
        <v>0</v>
      </c>
      <c r="AG692" s="109">
        <f>AC692+AD692</f>
        <v>0</v>
      </c>
      <c r="AH692" s="109">
        <f>AF692+AE692</f>
        <v>0</v>
      </c>
      <c r="AI692" s="376">
        <f>AG692+AH692</f>
        <v>0</v>
      </c>
    </row>
    <row r="693" spans="1:35">
      <c r="A693" s="990">
        <v>674</v>
      </c>
      <c r="B693" s="990">
        <v>1</v>
      </c>
      <c r="C693" s="990">
        <v>693</v>
      </c>
      <c r="E693" s="1296" t="s">
        <v>931</v>
      </c>
      <c r="F693" s="1301"/>
      <c r="G693" s="24"/>
      <c r="I693" s="98"/>
      <c r="J693" s="97"/>
      <c r="K693" s="74"/>
      <c r="L693" s="74"/>
      <c r="N693" s="299" t="s">
        <v>904</v>
      </c>
      <c r="Q693" s="2036"/>
      <c r="R693" s="2040"/>
      <c r="S693" s="2036"/>
      <c r="T693" s="2036">
        <v>60</v>
      </c>
      <c r="U693" s="2036"/>
      <c r="V693" s="2036"/>
      <c r="W693" s="2036"/>
      <c r="X693" s="2036"/>
      <c r="Y693" s="2036"/>
      <c r="Z693" s="2036"/>
      <c r="AA693" s="2036"/>
      <c r="AB693" s="2036"/>
      <c r="AC693" s="19">
        <f>SUM(Q693,R693,S693)</f>
        <v>0</v>
      </c>
      <c r="AD693" s="19">
        <f>SUM(T693,U693,V693)</f>
        <v>60</v>
      </c>
      <c r="AE693" s="19">
        <f>SUM(W693,X693,Y693)</f>
        <v>0</v>
      </c>
      <c r="AF693" s="19">
        <f>SUM(Z693,AA693,AB693)</f>
        <v>0</v>
      </c>
      <c r="AG693" s="19">
        <f>AC693+AD693</f>
        <v>60</v>
      </c>
      <c r="AH693" s="19">
        <f>AF693+AE693</f>
        <v>0</v>
      </c>
      <c r="AI693" s="100">
        <f>AG693+AH693</f>
        <v>60</v>
      </c>
    </row>
    <row r="694" spans="1:35">
      <c r="A694" s="990">
        <v>675</v>
      </c>
      <c r="B694" s="990">
        <v>1</v>
      </c>
      <c r="C694" s="990">
        <v>694</v>
      </c>
      <c r="E694" s="1296" t="s">
        <v>931</v>
      </c>
      <c r="F694" s="1301"/>
      <c r="G694" s="24"/>
      <c r="I694" s="98"/>
      <c r="J694" s="97"/>
      <c r="K694" s="74"/>
      <c r="L694" s="74"/>
      <c r="N694" s="299" t="s">
        <v>905</v>
      </c>
      <c r="Q694" s="2036"/>
      <c r="R694" s="2040"/>
      <c r="S694" s="2036"/>
      <c r="T694" s="2036"/>
      <c r="U694" s="2036"/>
      <c r="V694" s="2036"/>
      <c r="W694" s="2036"/>
      <c r="X694" s="2036"/>
      <c r="Y694" s="2036"/>
      <c r="Z694" s="2036"/>
      <c r="AA694" s="2036"/>
      <c r="AB694" s="2036"/>
      <c r="AC694" s="19">
        <f>SUM(Q694,R694,S694)</f>
        <v>0</v>
      </c>
      <c r="AD694" s="19">
        <f>SUM(T694,U694,V694)</f>
        <v>0</v>
      </c>
      <c r="AE694" s="19">
        <f>SUM(W694,X694,Y694)</f>
        <v>0</v>
      </c>
      <c r="AF694" s="19">
        <f>SUM(Z694,AA694,AB694)</f>
        <v>0</v>
      </c>
      <c r="AG694" s="19">
        <f>AC694+AD694</f>
        <v>0</v>
      </c>
      <c r="AH694" s="19">
        <f>AF694+AE694</f>
        <v>0</v>
      </c>
      <c r="AI694" s="100">
        <f>AG694+AH694</f>
        <v>0</v>
      </c>
    </row>
    <row r="695" spans="1:35">
      <c r="A695" s="990">
        <v>676</v>
      </c>
      <c r="B695" s="990">
        <v>1</v>
      </c>
      <c r="C695" s="990">
        <v>695</v>
      </c>
      <c r="E695" s="1296" t="s">
        <v>931</v>
      </c>
      <c r="F695" s="1301"/>
      <c r="G695" s="24"/>
      <c r="I695" s="98"/>
      <c r="J695" s="97"/>
      <c r="K695" s="74"/>
      <c r="L695" s="74"/>
      <c r="N695" s="299" t="s">
        <v>906</v>
      </c>
      <c r="Q695" s="2036"/>
      <c r="R695" s="2040"/>
      <c r="S695" s="2036"/>
      <c r="T695" s="2036"/>
      <c r="U695" s="2036"/>
      <c r="V695" s="2036"/>
      <c r="W695" s="2036"/>
      <c r="X695" s="2036"/>
      <c r="Y695" s="2036"/>
      <c r="Z695" s="2036"/>
      <c r="AA695" s="2036"/>
      <c r="AB695" s="2036"/>
      <c r="AC695" s="19">
        <f>SUM(Q695,R695,S695)</f>
        <v>0</v>
      </c>
      <c r="AD695" s="19">
        <f>SUM(T695,U695,V695)</f>
        <v>0</v>
      </c>
      <c r="AE695" s="19">
        <f>SUM(W695,X695,Y695)</f>
        <v>0</v>
      </c>
      <c r="AF695" s="19">
        <f>SUM(Z695,AA695,AB695)</f>
        <v>0</v>
      </c>
      <c r="AG695" s="19">
        <f>AC695+AD695</f>
        <v>0</v>
      </c>
      <c r="AH695" s="19">
        <f>AF695+AE695</f>
        <v>0</v>
      </c>
      <c r="AI695" s="100">
        <f>AG695+AH695</f>
        <v>0</v>
      </c>
    </row>
    <row r="696" spans="1:35">
      <c r="A696" s="990">
        <v>1</v>
      </c>
      <c r="B696" s="990">
        <v>644</v>
      </c>
      <c r="C696" s="990">
        <v>696</v>
      </c>
      <c r="E696" s="1294" t="s">
        <v>931</v>
      </c>
      <c r="F696" s="1295"/>
      <c r="G696" s="1241"/>
      <c r="I696" s="98"/>
      <c r="J696" s="97"/>
      <c r="K696" s="74"/>
      <c r="L696" s="74"/>
      <c r="M696" s="1302" t="s">
        <v>693</v>
      </c>
      <c r="N696" s="362"/>
      <c r="O696" s="362"/>
      <c r="P696" s="362"/>
      <c r="Q696" s="361">
        <f>SUM(Q697:Q700)</f>
        <v>0</v>
      </c>
      <c r="R696" s="2054">
        <f t="shared" ref="R696:AI696" si="481">SUM(R697:R700)</f>
        <v>0</v>
      </c>
      <c r="S696" s="361">
        <f t="shared" si="481"/>
        <v>0</v>
      </c>
      <c r="T696" s="361">
        <f t="shared" si="481"/>
        <v>0</v>
      </c>
      <c r="U696" s="361">
        <f t="shared" si="481"/>
        <v>0</v>
      </c>
      <c r="V696" s="361">
        <f t="shared" si="481"/>
        <v>0</v>
      </c>
      <c r="W696" s="361">
        <f t="shared" si="481"/>
        <v>0</v>
      </c>
      <c r="X696" s="361">
        <f t="shared" si="481"/>
        <v>0</v>
      </c>
      <c r="Y696" s="361">
        <f t="shared" si="481"/>
        <v>0</v>
      </c>
      <c r="Z696" s="361">
        <f t="shared" si="481"/>
        <v>0</v>
      </c>
      <c r="AA696" s="361">
        <f t="shared" si="481"/>
        <v>0</v>
      </c>
      <c r="AB696" s="361">
        <f t="shared" si="481"/>
        <v>0</v>
      </c>
      <c r="AC696" s="361">
        <f t="shared" si="481"/>
        <v>0</v>
      </c>
      <c r="AD696" s="361">
        <f t="shared" si="481"/>
        <v>0</v>
      </c>
      <c r="AE696" s="361">
        <f t="shared" si="481"/>
        <v>0</v>
      </c>
      <c r="AF696" s="361">
        <f t="shared" si="481"/>
        <v>0</v>
      </c>
      <c r="AG696" s="361">
        <f t="shared" si="481"/>
        <v>0</v>
      </c>
      <c r="AH696" s="361">
        <f t="shared" si="481"/>
        <v>0</v>
      </c>
      <c r="AI696" s="375">
        <f t="shared" si="481"/>
        <v>0</v>
      </c>
    </row>
    <row r="697" spans="1:35">
      <c r="A697" s="990">
        <v>1</v>
      </c>
      <c r="B697" s="990">
        <v>645</v>
      </c>
      <c r="C697" s="990">
        <v>697</v>
      </c>
      <c r="E697" s="1294" t="s">
        <v>931</v>
      </c>
      <c r="F697" s="1295"/>
      <c r="G697" s="1241"/>
      <c r="I697" s="98"/>
      <c r="J697" s="97"/>
      <c r="K697" s="74"/>
      <c r="L697" s="74"/>
      <c r="N697" s="371" t="s">
        <v>903</v>
      </c>
      <c r="O697" s="111"/>
      <c r="P697" s="111"/>
      <c r="Q697" s="2042"/>
      <c r="R697" s="2055"/>
      <c r="S697" s="2042"/>
      <c r="T697" s="2042"/>
      <c r="U697" s="2042"/>
      <c r="V697" s="2042"/>
      <c r="W697" s="2042"/>
      <c r="X697" s="2042"/>
      <c r="Y697" s="2042"/>
      <c r="Z697" s="2042"/>
      <c r="AA697" s="2042"/>
      <c r="AB697" s="2042"/>
      <c r="AC697" s="109">
        <f>SUM(Q697,R697,S697)</f>
        <v>0</v>
      </c>
      <c r="AD697" s="109">
        <f>SUM(T697,U697,V697)</f>
        <v>0</v>
      </c>
      <c r="AE697" s="109">
        <f>SUM(W697,X697,Y697)</f>
        <v>0</v>
      </c>
      <c r="AF697" s="109">
        <f>SUM(Z697,AA697,AB697)</f>
        <v>0</v>
      </c>
      <c r="AG697" s="109">
        <f>AC697+AD697</f>
        <v>0</v>
      </c>
      <c r="AH697" s="109">
        <f>AF697+AE697</f>
        <v>0</v>
      </c>
      <c r="AI697" s="376">
        <f>AG697+AH697</f>
        <v>0</v>
      </c>
    </row>
    <row r="698" spans="1:35">
      <c r="A698" s="990">
        <v>1</v>
      </c>
      <c r="B698" s="990">
        <v>646</v>
      </c>
      <c r="C698" s="990">
        <v>698</v>
      </c>
      <c r="E698" s="1294" t="s">
        <v>931</v>
      </c>
      <c r="F698" s="1295"/>
      <c r="G698" s="1241"/>
      <c r="I698" s="98"/>
      <c r="J698" s="97"/>
      <c r="K698" s="74"/>
      <c r="L698" s="74"/>
      <c r="N698" s="299" t="s">
        <v>904</v>
      </c>
      <c r="Q698" s="2036"/>
      <c r="R698" s="2040"/>
      <c r="S698" s="2036"/>
      <c r="T698" s="2036"/>
      <c r="U698" s="2036"/>
      <c r="V698" s="2036"/>
      <c r="W698" s="2036"/>
      <c r="X698" s="2036"/>
      <c r="Y698" s="2036"/>
      <c r="Z698" s="2036"/>
      <c r="AA698" s="2036"/>
      <c r="AB698" s="2036"/>
      <c r="AC698" s="19">
        <f>SUM(Q698,R698,S698)</f>
        <v>0</v>
      </c>
      <c r="AD698" s="19">
        <f>SUM(T698,U698,V698)</f>
        <v>0</v>
      </c>
      <c r="AE698" s="19">
        <f>SUM(W698,X698,Y698)</f>
        <v>0</v>
      </c>
      <c r="AF698" s="19">
        <f>SUM(Z698,AA698,AB698)</f>
        <v>0</v>
      </c>
      <c r="AG698" s="19">
        <f>AC698+AD698</f>
        <v>0</v>
      </c>
      <c r="AH698" s="19">
        <f>AF698+AE698</f>
        <v>0</v>
      </c>
      <c r="AI698" s="100">
        <f>AG698+AH698</f>
        <v>0</v>
      </c>
    </row>
    <row r="699" spans="1:35">
      <c r="A699" s="990">
        <v>1</v>
      </c>
      <c r="B699" s="990">
        <v>1</v>
      </c>
      <c r="C699" s="990">
        <v>699</v>
      </c>
      <c r="E699" s="1294" t="s">
        <v>931</v>
      </c>
      <c r="F699" s="1295"/>
      <c r="G699" s="1241"/>
      <c r="I699" s="98"/>
      <c r="J699" s="97"/>
      <c r="K699" s="74"/>
      <c r="L699" s="74"/>
      <c r="N699" s="299" t="s">
        <v>905</v>
      </c>
      <c r="Q699" s="2036"/>
      <c r="R699" s="2040"/>
      <c r="S699" s="2036"/>
      <c r="T699" s="2036"/>
      <c r="U699" s="2036"/>
      <c r="V699" s="2036"/>
      <c r="W699" s="2036"/>
      <c r="X699" s="2036"/>
      <c r="Y699" s="2036"/>
      <c r="Z699" s="2036"/>
      <c r="AA699" s="2036"/>
      <c r="AB699" s="2036"/>
      <c r="AC699" s="19">
        <f>SUM(Q699,R699,S699)</f>
        <v>0</v>
      </c>
      <c r="AD699" s="19">
        <f>SUM(T699,U699,V699)</f>
        <v>0</v>
      </c>
      <c r="AE699" s="19">
        <f>SUM(W699,X699,Y699)</f>
        <v>0</v>
      </c>
      <c r="AF699" s="19">
        <f>SUM(Z699,AA699,AB699)</f>
        <v>0</v>
      </c>
      <c r="AG699" s="19">
        <f>AC699+AD699</f>
        <v>0</v>
      </c>
      <c r="AH699" s="19">
        <f>AF699+AE699</f>
        <v>0</v>
      </c>
      <c r="AI699" s="100">
        <f>AG699+AH699</f>
        <v>0</v>
      </c>
    </row>
    <row r="700" spans="1:35">
      <c r="A700" s="990">
        <v>1</v>
      </c>
      <c r="B700" s="990">
        <v>1</v>
      </c>
      <c r="C700" s="990">
        <v>700</v>
      </c>
      <c r="E700" s="1294" t="s">
        <v>931</v>
      </c>
      <c r="F700" s="1295"/>
      <c r="G700" s="1241"/>
      <c r="I700" s="98"/>
      <c r="J700" s="97"/>
      <c r="K700" s="74"/>
      <c r="L700" s="74"/>
      <c r="N700" s="299" t="s">
        <v>906</v>
      </c>
      <c r="Q700" s="2036"/>
      <c r="R700" s="2040"/>
      <c r="S700" s="2036"/>
      <c r="T700" s="2036"/>
      <c r="U700" s="2036"/>
      <c r="V700" s="2036"/>
      <c r="W700" s="2036"/>
      <c r="X700" s="2036"/>
      <c r="Y700" s="2036"/>
      <c r="Z700" s="2036"/>
      <c r="AA700" s="2036"/>
      <c r="AB700" s="2036"/>
      <c r="AC700" s="19">
        <f>SUM(Q700,R700,S700)</f>
        <v>0</v>
      </c>
      <c r="AD700" s="19">
        <f>SUM(T700,U700,V700)</f>
        <v>0</v>
      </c>
      <c r="AE700" s="19">
        <f>SUM(W700,X700,Y700)</f>
        <v>0</v>
      </c>
      <c r="AF700" s="19">
        <f>SUM(Z700,AA700,AB700)</f>
        <v>0</v>
      </c>
      <c r="AG700" s="19">
        <f>AC700+AD700</f>
        <v>0</v>
      </c>
      <c r="AH700" s="19">
        <f>AF700+AE700</f>
        <v>0</v>
      </c>
      <c r="AI700" s="100">
        <f>AG700+AH700</f>
        <v>0</v>
      </c>
    </row>
    <row r="701" spans="1:35">
      <c r="A701" s="990">
        <v>677</v>
      </c>
      <c r="B701" s="990">
        <v>1</v>
      </c>
      <c r="C701" s="990">
        <v>701</v>
      </c>
      <c r="E701" s="1243">
        <v>1</v>
      </c>
      <c r="G701" s="24"/>
      <c r="I701" s="98"/>
      <c r="J701" s="97"/>
      <c r="K701" s="74"/>
      <c r="L701" s="74"/>
      <c r="M701" s="596" t="s">
        <v>13</v>
      </c>
      <c r="N701" s="362"/>
      <c r="O701" s="362"/>
      <c r="P701" s="362"/>
      <c r="Q701" s="361">
        <f>SUM(Q702:Q705)</f>
        <v>0</v>
      </c>
      <c r="R701" s="2054">
        <f t="shared" ref="R701:AI701" si="482">SUM(R702:R705)</f>
        <v>384</v>
      </c>
      <c r="S701" s="361">
        <f t="shared" si="482"/>
        <v>0</v>
      </c>
      <c r="T701" s="361">
        <f t="shared" si="482"/>
        <v>1058</v>
      </c>
      <c r="U701" s="361">
        <f t="shared" si="482"/>
        <v>0</v>
      </c>
      <c r="V701" s="361">
        <f t="shared" si="482"/>
        <v>194</v>
      </c>
      <c r="W701" s="361">
        <f t="shared" si="482"/>
        <v>584</v>
      </c>
      <c r="X701" s="361">
        <f t="shared" si="482"/>
        <v>166</v>
      </c>
      <c r="Y701" s="361">
        <f t="shared" si="482"/>
        <v>353</v>
      </c>
      <c r="Z701" s="361">
        <f t="shared" si="482"/>
        <v>266</v>
      </c>
      <c r="AA701" s="361">
        <f t="shared" si="482"/>
        <v>72</v>
      </c>
      <c r="AB701" s="361">
        <f t="shared" si="482"/>
        <v>62</v>
      </c>
      <c r="AC701" s="361">
        <f t="shared" si="482"/>
        <v>384</v>
      </c>
      <c r="AD701" s="361">
        <f t="shared" si="482"/>
        <v>1252</v>
      </c>
      <c r="AE701" s="361">
        <f t="shared" si="482"/>
        <v>1103</v>
      </c>
      <c r="AF701" s="361">
        <f t="shared" si="482"/>
        <v>400</v>
      </c>
      <c r="AG701" s="361">
        <f t="shared" si="482"/>
        <v>1636</v>
      </c>
      <c r="AH701" s="361">
        <f t="shared" si="482"/>
        <v>1503</v>
      </c>
      <c r="AI701" s="375">
        <f t="shared" si="482"/>
        <v>3139</v>
      </c>
    </row>
    <row r="702" spans="1:35">
      <c r="A702" s="990">
        <v>678</v>
      </c>
      <c r="B702" s="990">
        <v>1</v>
      </c>
      <c r="C702" s="990">
        <v>702</v>
      </c>
      <c r="E702" s="1296" t="s">
        <v>931</v>
      </c>
      <c r="F702" s="1301"/>
      <c r="G702" s="24"/>
      <c r="I702" s="98"/>
      <c r="J702" s="97"/>
      <c r="K702" s="74"/>
      <c r="L702" s="74"/>
      <c r="N702" s="371" t="s">
        <v>903</v>
      </c>
      <c r="O702" s="111"/>
      <c r="P702" s="111"/>
      <c r="Q702" s="2042"/>
      <c r="R702" s="2055"/>
      <c r="S702" s="2042"/>
      <c r="T702" s="2042"/>
      <c r="U702" s="2042"/>
      <c r="V702" s="2042"/>
      <c r="W702" s="2042"/>
      <c r="X702" s="2042"/>
      <c r="Y702" s="2042"/>
      <c r="Z702" s="2042"/>
      <c r="AA702" s="2042"/>
      <c r="AB702" s="2042"/>
      <c r="AC702" s="109">
        <f>SUM(Q702,R702,S702)</f>
        <v>0</v>
      </c>
      <c r="AD702" s="109">
        <f>SUM(T702,U702,V702)</f>
        <v>0</v>
      </c>
      <c r="AE702" s="109">
        <f>SUM(W702,X702,Y702)</f>
        <v>0</v>
      </c>
      <c r="AF702" s="109">
        <f>SUM(Z702,AA702,AB702)</f>
        <v>0</v>
      </c>
      <c r="AG702" s="109">
        <f>AC702+AD702</f>
        <v>0</v>
      </c>
      <c r="AH702" s="109">
        <f>AF702+AE702</f>
        <v>0</v>
      </c>
      <c r="AI702" s="376">
        <f>AG702+AH702</f>
        <v>0</v>
      </c>
    </row>
    <row r="703" spans="1:35">
      <c r="A703" s="990">
        <v>679</v>
      </c>
      <c r="B703" s="990">
        <v>1</v>
      </c>
      <c r="C703" s="990">
        <v>703</v>
      </c>
      <c r="E703" s="1296" t="s">
        <v>931</v>
      </c>
      <c r="F703" s="1301"/>
      <c r="G703" s="24"/>
      <c r="I703" s="98"/>
      <c r="J703" s="97"/>
      <c r="K703" s="74"/>
      <c r="L703" s="74"/>
      <c r="N703" s="299" t="s">
        <v>904</v>
      </c>
      <c r="Q703" s="2036"/>
      <c r="R703" s="2040">
        <v>384</v>
      </c>
      <c r="S703" s="2036"/>
      <c r="T703" s="2036">
        <v>1058</v>
      </c>
      <c r="U703" s="2036"/>
      <c r="V703" s="2036">
        <v>194</v>
      </c>
      <c r="W703" s="2036">
        <v>584</v>
      </c>
      <c r="X703" s="2036">
        <v>166</v>
      </c>
      <c r="Y703" s="2036">
        <v>353</v>
      </c>
      <c r="Z703" s="2036">
        <v>266</v>
      </c>
      <c r="AA703" s="2036">
        <v>72</v>
      </c>
      <c r="AB703" s="2036">
        <v>62</v>
      </c>
      <c r="AC703" s="19">
        <f>SUM(Q703,R703,S703)</f>
        <v>384</v>
      </c>
      <c r="AD703" s="19">
        <f>SUM(T703,U703,V703)</f>
        <v>1252</v>
      </c>
      <c r="AE703" s="19">
        <f>SUM(W703,X703,Y703)</f>
        <v>1103</v>
      </c>
      <c r="AF703" s="19">
        <f>SUM(Z703,AA703,AB703)</f>
        <v>400</v>
      </c>
      <c r="AG703" s="19">
        <f>AC703+AD703</f>
        <v>1636</v>
      </c>
      <c r="AH703" s="19">
        <f>AF703+AE703</f>
        <v>1503</v>
      </c>
      <c r="AI703" s="100">
        <f>AG703+AH703</f>
        <v>3139</v>
      </c>
    </row>
    <row r="704" spans="1:35">
      <c r="A704" s="990">
        <v>680</v>
      </c>
      <c r="B704" s="990">
        <v>1</v>
      </c>
      <c r="C704" s="990">
        <v>704</v>
      </c>
      <c r="E704" s="1296" t="s">
        <v>931</v>
      </c>
      <c r="F704" s="1301"/>
      <c r="G704" s="24"/>
      <c r="I704" s="98"/>
      <c r="J704" s="97"/>
      <c r="K704" s="74"/>
      <c r="L704" s="74"/>
      <c r="N704" s="299" t="s">
        <v>905</v>
      </c>
      <c r="Q704" s="2036"/>
      <c r="R704" s="2040"/>
      <c r="S704" s="2036"/>
      <c r="T704" s="2036"/>
      <c r="U704" s="2036"/>
      <c r="V704" s="2036"/>
      <c r="W704" s="2036"/>
      <c r="X704" s="2036"/>
      <c r="Y704" s="2036"/>
      <c r="Z704" s="2036"/>
      <c r="AA704" s="2036"/>
      <c r="AB704" s="2036"/>
      <c r="AC704" s="19">
        <f>SUM(Q704,R704,S704)</f>
        <v>0</v>
      </c>
      <c r="AD704" s="19">
        <f>SUM(T704,U704,V704)</f>
        <v>0</v>
      </c>
      <c r="AE704" s="19">
        <f>SUM(W704,X704,Y704)</f>
        <v>0</v>
      </c>
      <c r="AF704" s="19">
        <f>SUM(Z704,AA704,AB704)</f>
        <v>0</v>
      </c>
      <c r="AG704" s="19">
        <f>AC704+AD704</f>
        <v>0</v>
      </c>
      <c r="AH704" s="19">
        <f>AF704+AE704</f>
        <v>0</v>
      </c>
      <c r="AI704" s="100">
        <f>AG704+AH704</f>
        <v>0</v>
      </c>
    </row>
    <row r="705" spans="1:35">
      <c r="A705" s="990">
        <v>681</v>
      </c>
      <c r="B705" s="990">
        <v>1</v>
      </c>
      <c r="C705" s="990">
        <v>705</v>
      </c>
      <c r="E705" s="1296" t="s">
        <v>931</v>
      </c>
      <c r="F705" s="1301"/>
      <c r="G705" s="24"/>
      <c r="I705" s="98"/>
      <c r="J705" s="97"/>
      <c r="K705" s="74"/>
      <c r="L705" s="74"/>
      <c r="N705" s="299" t="s">
        <v>906</v>
      </c>
      <c r="Q705" s="2036"/>
      <c r="R705" s="2040"/>
      <c r="S705" s="2036"/>
      <c r="T705" s="2036"/>
      <c r="U705" s="2036"/>
      <c r="V705" s="2036"/>
      <c r="W705" s="2036"/>
      <c r="X705" s="2036"/>
      <c r="Y705" s="2036"/>
      <c r="Z705" s="2036"/>
      <c r="AA705" s="2036"/>
      <c r="AB705" s="2036"/>
      <c r="AC705" s="19">
        <f>SUM(Q705,R705,S705)</f>
        <v>0</v>
      </c>
      <c r="AD705" s="19">
        <f>SUM(T705,U705,V705)</f>
        <v>0</v>
      </c>
      <c r="AE705" s="19">
        <f>SUM(W705,X705,Y705)</f>
        <v>0</v>
      </c>
      <c r="AF705" s="19">
        <f>SUM(Z705,AA705,AB705)</f>
        <v>0</v>
      </c>
      <c r="AG705" s="19">
        <f>AC705+AD705</f>
        <v>0</v>
      </c>
      <c r="AH705" s="19">
        <f>AF705+AE705</f>
        <v>0</v>
      </c>
      <c r="AI705" s="100">
        <f>AG705+AH705</f>
        <v>0</v>
      </c>
    </row>
    <row r="706" spans="1:35">
      <c r="A706" s="990">
        <v>682</v>
      </c>
      <c r="B706" s="990">
        <v>647</v>
      </c>
      <c r="C706" s="990">
        <v>706</v>
      </c>
      <c r="E706" s="1296" t="s">
        <v>931</v>
      </c>
      <c r="F706" s="1301"/>
      <c r="G706" s="24"/>
      <c r="I706" s="98"/>
      <c r="J706" s="97"/>
      <c r="K706" s="74"/>
      <c r="L706" s="74"/>
      <c r="M706" s="1199" t="s">
        <v>921</v>
      </c>
      <c r="N706" s="362"/>
      <c r="O706" s="362"/>
      <c r="P706" s="362"/>
      <c r="Q706" s="361">
        <f>SUM(Q707:Q710)</f>
        <v>0</v>
      </c>
      <c r="R706" s="2054">
        <f t="shared" ref="R706:AI706" si="483">SUM(R707:R710)</f>
        <v>0</v>
      </c>
      <c r="S706" s="361">
        <f t="shared" si="483"/>
        <v>0</v>
      </c>
      <c r="T706" s="361">
        <f t="shared" si="483"/>
        <v>0</v>
      </c>
      <c r="U706" s="361">
        <f t="shared" si="483"/>
        <v>0</v>
      </c>
      <c r="V706" s="361">
        <f t="shared" si="483"/>
        <v>0</v>
      </c>
      <c r="W706" s="361">
        <f t="shared" si="483"/>
        <v>0</v>
      </c>
      <c r="X706" s="361">
        <f t="shared" si="483"/>
        <v>0</v>
      </c>
      <c r="Y706" s="361">
        <f t="shared" si="483"/>
        <v>0</v>
      </c>
      <c r="Z706" s="361">
        <f t="shared" si="483"/>
        <v>0</v>
      </c>
      <c r="AA706" s="361">
        <f t="shared" si="483"/>
        <v>0</v>
      </c>
      <c r="AB706" s="361">
        <f t="shared" si="483"/>
        <v>0</v>
      </c>
      <c r="AC706" s="361">
        <f t="shared" si="483"/>
        <v>0</v>
      </c>
      <c r="AD706" s="361">
        <f t="shared" si="483"/>
        <v>0</v>
      </c>
      <c r="AE706" s="361">
        <f t="shared" si="483"/>
        <v>0</v>
      </c>
      <c r="AF706" s="361">
        <f t="shared" si="483"/>
        <v>0</v>
      </c>
      <c r="AG706" s="361">
        <f t="shared" si="483"/>
        <v>0</v>
      </c>
      <c r="AH706" s="361">
        <f t="shared" si="483"/>
        <v>0</v>
      </c>
      <c r="AI706" s="375">
        <f t="shared" si="483"/>
        <v>0</v>
      </c>
    </row>
    <row r="707" spans="1:35">
      <c r="A707" s="990">
        <v>683</v>
      </c>
      <c r="B707" s="990">
        <v>648</v>
      </c>
      <c r="C707" s="990">
        <v>707</v>
      </c>
      <c r="E707" s="1296" t="s">
        <v>931</v>
      </c>
      <c r="F707" s="1301"/>
      <c r="G707" s="24"/>
      <c r="I707" s="98"/>
      <c r="J707" s="97"/>
      <c r="K707" s="74"/>
      <c r="L707" s="74"/>
      <c r="N707" s="371" t="s">
        <v>903</v>
      </c>
      <c r="O707" s="111"/>
      <c r="P707" s="111"/>
      <c r="Q707" s="2042"/>
      <c r="R707" s="2055"/>
      <c r="S707" s="2042"/>
      <c r="T707" s="2042"/>
      <c r="U707" s="2042"/>
      <c r="V707" s="2042"/>
      <c r="W707" s="2042"/>
      <c r="X707" s="2042"/>
      <c r="Y707" s="2042"/>
      <c r="Z707" s="2042"/>
      <c r="AA707" s="2042"/>
      <c r="AB707" s="2042"/>
      <c r="AC707" s="109">
        <f>SUM(Q707,R707,S707)</f>
        <v>0</v>
      </c>
      <c r="AD707" s="109">
        <f>SUM(T707,U707,V707)</f>
        <v>0</v>
      </c>
      <c r="AE707" s="109">
        <f>SUM(W707,X707,Y707)</f>
        <v>0</v>
      </c>
      <c r="AF707" s="109">
        <f>SUM(Z707,AA707,AB707)</f>
        <v>0</v>
      </c>
      <c r="AG707" s="109">
        <f>AC707+AD707</f>
        <v>0</v>
      </c>
      <c r="AH707" s="109">
        <f>AF707+AE707</f>
        <v>0</v>
      </c>
      <c r="AI707" s="376">
        <f>AG707+AH707</f>
        <v>0</v>
      </c>
    </row>
    <row r="708" spans="1:35">
      <c r="A708" s="990">
        <v>684</v>
      </c>
      <c r="B708" s="990">
        <v>649</v>
      </c>
      <c r="C708" s="990">
        <v>708</v>
      </c>
      <c r="E708" s="1296" t="s">
        <v>931</v>
      </c>
      <c r="F708" s="1301"/>
      <c r="G708" s="24"/>
      <c r="I708" s="98"/>
      <c r="J708" s="97"/>
      <c r="K708" s="74"/>
      <c r="L708" s="74"/>
      <c r="N708" s="299" t="s">
        <v>904</v>
      </c>
      <c r="Q708" s="2036"/>
      <c r="R708" s="2040"/>
      <c r="S708" s="2036"/>
      <c r="T708" s="2036"/>
      <c r="U708" s="2036"/>
      <c r="V708" s="2036"/>
      <c r="W708" s="2036"/>
      <c r="X708" s="2036"/>
      <c r="Y708" s="2036"/>
      <c r="Z708" s="2036"/>
      <c r="AA708" s="2036"/>
      <c r="AB708" s="2036"/>
      <c r="AC708" s="19">
        <f>SUM(Q708,R708,S708)</f>
        <v>0</v>
      </c>
      <c r="AD708" s="19">
        <f>SUM(T708,U708,V708)</f>
        <v>0</v>
      </c>
      <c r="AE708" s="19">
        <f>SUM(W708,X708,Y708)</f>
        <v>0</v>
      </c>
      <c r="AF708" s="19">
        <f>SUM(Z708,AA708,AB708)</f>
        <v>0</v>
      </c>
      <c r="AG708" s="19">
        <f>AC708+AD708</f>
        <v>0</v>
      </c>
      <c r="AH708" s="19">
        <f>AF708+AE708</f>
        <v>0</v>
      </c>
      <c r="AI708" s="100">
        <f>AG708+AH708</f>
        <v>0</v>
      </c>
    </row>
    <row r="709" spans="1:35">
      <c r="A709" s="990">
        <v>685</v>
      </c>
      <c r="B709" s="990">
        <v>650</v>
      </c>
      <c r="C709" s="990">
        <v>709</v>
      </c>
      <c r="E709" s="1296" t="s">
        <v>931</v>
      </c>
      <c r="F709" s="1301"/>
      <c r="G709" s="24"/>
      <c r="I709" s="98"/>
      <c r="J709" s="97"/>
      <c r="K709" s="74"/>
      <c r="L709" s="74"/>
      <c r="N709" s="299" t="s">
        <v>905</v>
      </c>
      <c r="Q709" s="2036"/>
      <c r="R709" s="2040"/>
      <c r="S709" s="2036"/>
      <c r="T709" s="2036"/>
      <c r="U709" s="2036"/>
      <c r="V709" s="2036"/>
      <c r="W709" s="2036"/>
      <c r="X709" s="2036"/>
      <c r="Y709" s="2036"/>
      <c r="Z709" s="2036"/>
      <c r="AA709" s="2036"/>
      <c r="AB709" s="2036"/>
      <c r="AC709" s="19">
        <f>SUM(Q709,R709,S709)</f>
        <v>0</v>
      </c>
      <c r="AD709" s="19">
        <f>SUM(T709,U709,V709)</f>
        <v>0</v>
      </c>
      <c r="AE709" s="19">
        <f>SUM(W709,X709,Y709)</f>
        <v>0</v>
      </c>
      <c r="AF709" s="19">
        <f>SUM(Z709,AA709,AB709)</f>
        <v>0</v>
      </c>
      <c r="AG709" s="19">
        <f>AC709+AD709</f>
        <v>0</v>
      </c>
      <c r="AH709" s="19">
        <f>AF709+AE709</f>
        <v>0</v>
      </c>
      <c r="AI709" s="100">
        <f>AG709+AH709</f>
        <v>0</v>
      </c>
    </row>
    <row r="710" spans="1:35">
      <c r="A710" s="990">
        <v>686</v>
      </c>
      <c r="B710" s="990">
        <v>651</v>
      </c>
      <c r="C710" s="990">
        <v>710</v>
      </c>
      <c r="E710" s="1296" t="s">
        <v>931</v>
      </c>
      <c r="F710" s="1301"/>
      <c r="G710" s="24"/>
      <c r="I710" s="98"/>
      <c r="J710" s="97"/>
      <c r="K710" s="74"/>
      <c r="L710" s="74"/>
      <c r="N710" s="299" t="s">
        <v>906</v>
      </c>
      <c r="Q710" s="2036"/>
      <c r="R710" s="2040"/>
      <c r="S710" s="2036"/>
      <c r="T710" s="2036"/>
      <c r="U710" s="2036"/>
      <c r="V710" s="2036"/>
      <c r="W710" s="2036"/>
      <c r="X710" s="2036"/>
      <c r="Y710" s="2036"/>
      <c r="Z710" s="2036"/>
      <c r="AA710" s="2036"/>
      <c r="AB710" s="2036"/>
      <c r="AC710" s="19">
        <f>SUM(Q710,R710,S710)</f>
        <v>0</v>
      </c>
      <c r="AD710" s="19">
        <f>SUM(T710,U710,V710)</f>
        <v>0</v>
      </c>
      <c r="AE710" s="19">
        <f>SUM(W710,X710,Y710)</f>
        <v>0</v>
      </c>
      <c r="AF710" s="19">
        <f>SUM(Z710,AA710,AB710)</f>
        <v>0</v>
      </c>
      <c r="AG710" s="19">
        <f>AC710+AD710</f>
        <v>0</v>
      </c>
      <c r="AH710" s="19">
        <f>AF710+AE710</f>
        <v>0</v>
      </c>
      <c r="AI710" s="100">
        <f>AG710+AH710</f>
        <v>0</v>
      </c>
    </row>
    <row r="711" spans="1:35">
      <c r="A711" s="990">
        <v>687</v>
      </c>
      <c r="B711" s="990">
        <v>1</v>
      </c>
      <c r="C711" s="990">
        <v>711</v>
      </c>
      <c r="E711" s="1243">
        <v>1</v>
      </c>
      <c r="G711" s="24"/>
      <c r="I711" s="98"/>
      <c r="J711" s="97"/>
      <c r="K711" s="74"/>
      <c r="L711" s="74"/>
      <c r="M711" s="1198" t="s">
        <v>275</v>
      </c>
      <c r="N711" s="1201"/>
      <c r="O711" s="1201"/>
      <c r="P711" s="1201"/>
      <c r="Q711" s="361">
        <f t="shared" ref="Q711:AI711" si="484">SUM(Q712:Q715)</f>
        <v>1455</v>
      </c>
      <c r="R711" s="361">
        <f t="shared" si="484"/>
        <v>1094</v>
      </c>
      <c r="S711" s="361">
        <f t="shared" si="484"/>
        <v>1154</v>
      </c>
      <c r="T711" s="361">
        <f t="shared" si="484"/>
        <v>1146</v>
      </c>
      <c r="U711" s="361">
        <f t="shared" si="484"/>
        <v>2239</v>
      </c>
      <c r="V711" s="361">
        <f t="shared" si="484"/>
        <v>978</v>
      </c>
      <c r="W711" s="361">
        <f t="shared" si="484"/>
        <v>866</v>
      </c>
      <c r="X711" s="361">
        <f t="shared" si="484"/>
        <v>1250</v>
      </c>
      <c r="Y711" s="361">
        <f t="shared" si="484"/>
        <v>2155</v>
      </c>
      <c r="Z711" s="361">
        <f t="shared" si="484"/>
        <v>1223</v>
      </c>
      <c r="AA711" s="361">
        <f t="shared" si="484"/>
        <v>1423</v>
      </c>
      <c r="AB711" s="361">
        <f t="shared" si="484"/>
        <v>1161</v>
      </c>
      <c r="AC711" s="361">
        <f t="shared" si="484"/>
        <v>3703</v>
      </c>
      <c r="AD711" s="361">
        <f t="shared" si="484"/>
        <v>4363</v>
      </c>
      <c r="AE711" s="361">
        <f t="shared" si="484"/>
        <v>4271</v>
      </c>
      <c r="AF711" s="361">
        <f t="shared" si="484"/>
        <v>3807</v>
      </c>
      <c r="AG711" s="361">
        <f t="shared" si="484"/>
        <v>8066</v>
      </c>
      <c r="AH711" s="361">
        <f t="shared" si="484"/>
        <v>8078</v>
      </c>
      <c r="AI711" s="375">
        <f t="shared" si="484"/>
        <v>16144</v>
      </c>
    </row>
    <row r="712" spans="1:35">
      <c r="A712" s="990">
        <v>688</v>
      </c>
      <c r="B712" s="990">
        <v>1</v>
      </c>
      <c r="C712" s="990">
        <v>712</v>
      </c>
      <c r="E712" s="1296" t="s">
        <v>931</v>
      </c>
      <c r="F712" s="1301"/>
      <c r="G712" s="24"/>
      <c r="I712" s="98"/>
      <c r="J712" s="97"/>
      <c r="K712" s="74"/>
      <c r="L712" s="74"/>
      <c r="M712" s="75"/>
      <c r="N712" s="371" t="s">
        <v>903</v>
      </c>
      <c r="O712" s="377"/>
      <c r="P712" s="111"/>
      <c r="Q712" s="2042"/>
      <c r="R712" s="2042"/>
      <c r="S712" s="2042"/>
      <c r="T712" s="2042"/>
      <c r="U712" s="2042"/>
      <c r="V712" s="2042"/>
      <c r="W712" s="2042"/>
      <c r="X712" s="2042"/>
      <c r="Y712" s="2042"/>
      <c r="Z712" s="2042"/>
      <c r="AA712" s="2042"/>
      <c r="AB712" s="2042"/>
      <c r="AC712" s="109">
        <f>SUM(Q712,R712,S712)</f>
        <v>0</v>
      </c>
      <c r="AD712" s="109">
        <f>SUM(T712,U712,V712)</f>
        <v>0</v>
      </c>
      <c r="AE712" s="109">
        <f>SUM(W712,X712,Y712)</f>
        <v>0</v>
      </c>
      <c r="AF712" s="109">
        <f>SUM(Z712,AA712,AB712)</f>
        <v>0</v>
      </c>
      <c r="AG712" s="109">
        <f>AC712+AD712</f>
        <v>0</v>
      </c>
      <c r="AH712" s="109">
        <f>AF712+AE712</f>
        <v>0</v>
      </c>
      <c r="AI712" s="376">
        <f>AG712+AH712</f>
        <v>0</v>
      </c>
    </row>
    <row r="713" spans="1:35">
      <c r="A713" s="990">
        <v>689</v>
      </c>
      <c r="B713" s="990">
        <v>1</v>
      </c>
      <c r="C713" s="990">
        <v>713</v>
      </c>
      <c r="E713" s="1296" t="s">
        <v>931</v>
      </c>
      <c r="F713" s="1301"/>
      <c r="G713" s="24"/>
      <c r="I713" s="98"/>
      <c r="J713" s="97"/>
      <c r="K713" s="74"/>
      <c r="L713" s="74"/>
      <c r="M713" s="75"/>
      <c r="N713" s="299" t="s">
        <v>904</v>
      </c>
      <c r="O713" s="75"/>
      <c r="Q713" s="2036">
        <v>1455</v>
      </c>
      <c r="R713" s="2036">
        <v>1094</v>
      </c>
      <c r="S713" s="2036">
        <v>1154</v>
      </c>
      <c r="T713" s="2036">
        <f>922+224</f>
        <v>1146</v>
      </c>
      <c r="U713" s="2036">
        <v>2239</v>
      </c>
      <c r="V713" s="2036">
        <v>978</v>
      </c>
      <c r="W713" s="2036">
        <v>866</v>
      </c>
      <c r="X713" s="2036">
        <f>1026+224</f>
        <v>1250</v>
      </c>
      <c r="Y713" s="2036">
        <v>2155</v>
      </c>
      <c r="Z713" s="2036">
        <v>1223</v>
      </c>
      <c r="AA713" s="2036">
        <v>1423</v>
      </c>
      <c r="AB713" s="2036">
        <f>937+224</f>
        <v>1161</v>
      </c>
      <c r="AC713" s="19">
        <f>SUM(Q713,R713,S713)</f>
        <v>3703</v>
      </c>
      <c r="AD713" s="19">
        <f>SUM(T713,U713,V713)</f>
        <v>4363</v>
      </c>
      <c r="AE713" s="19">
        <f>SUM(W713,X713,Y713)</f>
        <v>4271</v>
      </c>
      <c r="AF713" s="19">
        <f>SUM(Z713,AA713,AB713)</f>
        <v>3807</v>
      </c>
      <c r="AG713" s="19">
        <f>AC713+AD713</f>
        <v>8066</v>
      </c>
      <c r="AH713" s="19">
        <f>AF713+AE713</f>
        <v>8078</v>
      </c>
      <c r="AI713" s="100">
        <f>AG713+AH713</f>
        <v>16144</v>
      </c>
    </row>
    <row r="714" spans="1:35">
      <c r="A714" s="990">
        <v>690</v>
      </c>
      <c r="B714" s="990">
        <v>1</v>
      </c>
      <c r="C714" s="990">
        <v>714</v>
      </c>
      <c r="E714" s="1296" t="s">
        <v>931</v>
      </c>
      <c r="F714" s="1301"/>
      <c r="G714" s="24"/>
      <c r="I714" s="98"/>
      <c r="J714" s="97"/>
      <c r="K714" s="74"/>
      <c r="L714" s="74"/>
      <c r="M714" s="75"/>
      <c r="N714" s="299" t="s">
        <v>905</v>
      </c>
      <c r="O714" s="75"/>
      <c r="Q714" s="2036"/>
      <c r="R714" s="2036"/>
      <c r="S714" s="2036"/>
      <c r="T714" s="2036"/>
      <c r="U714" s="2036"/>
      <c r="V714" s="2036"/>
      <c r="W714" s="2036"/>
      <c r="X714" s="2036"/>
      <c r="Y714" s="2036"/>
      <c r="Z714" s="2036"/>
      <c r="AA714" s="2036"/>
      <c r="AB714" s="2036"/>
      <c r="AC714" s="19">
        <f>SUM(Q714,R714,S714)</f>
        <v>0</v>
      </c>
      <c r="AD714" s="19">
        <f>SUM(T714,U714,V714)</f>
        <v>0</v>
      </c>
      <c r="AE714" s="19">
        <f>SUM(W714,X714,Y714)</f>
        <v>0</v>
      </c>
      <c r="AF714" s="19">
        <f>SUM(Z714,AA714,AB714)</f>
        <v>0</v>
      </c>
      <c r="AG714" s="19">
        <f>AC714+AD714</f>
        <v>0</v>
      </c>
      <c r="AH714" s="19">
        <f>AF714+AE714</f>
        <v>0</v>
      </c>
      <c r="AI714" s="100">
        <f>AG714+AH714</f>
        <v>0</v>
      </c>
    </row>
    <row r="715" spans="1:35">
      <c r="A715" s="990">
        <v>691</v>
      </c>
      <c r="B715" s="990">
        <v>1</v>
      </c>
      <c r="C715" s="990">
        <v>715</v>
      </c>
      <c r="E715" s="1296" t="s">
        <v>931</v>
      </c>
      <c r="F715" s="1301"/>
      <c r="G715" s="24"/>
      <c r="I715" s="98"/>
      <c r="J715" s="97"/>
      <c r="K715" s="73"/>
      <c r="L715" s="73"/>
      <c r="M715" s="276"/>
      <c r="N715" s="299" t="s">
        <v>906</v>
      </c>
      <c r="O715" s="75"/>
      <c r="Q715" s="2036"/>
      <c r="R715" s="2036"/>
      <c r="S715" s="2036"/>
      <c r="T715" s="2036"/>
      <c r="U715" s="2036"/>
      <c r="V715" s="2036"/>
      <c r="W715" s="2036"/>
      <c r="X715" s="2036"/>
      <c r="Y715" s="2036"/>
      <c r="Z715" s="2036"/>
      <c r="AA715" s="2036"/>
      <c r="AB715" s="2036"/>
      <c r="AC715" s="19">
        <f>SUM(Q715,R715,S715)</f>
        <v>0</v>
      </c>
      <c r="AD715" s="19">
        <f>SUM(T715,U715,V715)</f>
        <v>0</v>
      </c>
      <c r="AE715" s="19">
        <f>SUM(W715,X715,Y715)</f>
        <v>0</v>
      </c>
      <c r="AF715" s="19">
        <f>SUM(Z715,AA715,AB715)</f>
        <v>0</v>
      </c>
      <c r="AG715" s="19">
        <f>AC715+AD715</f>
        <v>0</v>
      </c>
      <c r="AH715" s="19">
        <f>AF715+AE715</f>
        <v>0</v>
      </c>
      <c r="AI715" s="100">
        <f>AG715+AH715</f>
        <v>0</v>
      </c>
    </row>
    <row r="716" spans="1:35">
      <c r="A716" s="990">
        <v>692</v>
      </c>
      <c r="B716" s="990">
        <v>652</v>
      </c>
      <c r="C716" s="990">
        <v>716</v>
      </c>
      <c r="E716" s="1243">
        <v>1</v>
      </c>
      <c r="I716" s="98"/>
      <c r="J716" s="97"/>
      <c r="K716" s="69" t="s">
        <v>1023</v>
      </c>
      <c r="L716" s="69"/>
      <c r="M716" s="610"/>
      <c r="N716" s="610"/>
      <c r="O716" s="610"/>
      <c r="P716" s="610"/>
      <c r="Q716" s="2056">
        <f t="shared" ref="Q716:AI716" si="485">SUM(Q717:Q721)</f>
        <v>142</v>
      </c>
      <c r="R716" s="2644">
        <f t="shared" si="485"/>
        <v>37</v>
      </c>
      <c r="S716" s="2056">
        <f t="shared" si="485"/>
        <v>108</v>
      </c>
      <c r="T716" s="2056">
        <f t="shared" si="485"/>
        <v>596</v>
      </c>
      <c r="U716" s="2056">
        <f t="shared" si="485"/>
        <v>185</v>
      </c>
      <c r="V716" s="2056">
        <f t="shared" si="485"/>
        <v>263</v>
      </c>
      <c r="W716" s="2056">
        <f t="shared" si="485"/>
        <v>0</v>
      </c>
      <c r="X716" s="2056">
        <f t="shared" si="485"/>
        <v>622</v>
      </c>
      <c r="Y716" s="2056">
        <f t="shared" si="485"/>
        <v>576</v>
      </c>
      <c r="Z716" s="2056">
        <f t="shared" si="485"/>
        <v>286</v>
      </c>
      <c r="AA716" s="2056">
        <f t="shared" si="485"/>
        <v>101</v>
      </c>
      <c r="AB716" s="2056">
        <f t="shared" si="485"/>
        <v>133</v>
      </c>
      <c r="AC716" s="2056">
        <f t="shared" si="485"/>
        <v>287</v>
      </c>
      <c r="AD716" s="2056">
        <f t="shared" si="485"/>
        <v>1044</v>
      </c>
      <c r="AE716" s="2056">
        <f t="shared" si="485"/>
        <v>1198</v>
      </c>
      <c r="AF716" s="2056">
        <f t="shared" si="485"/>
        <v>520</v>
      </c>
      <c r="AG716" s="2056">
        <f t="shared" si="485"/>
        <v>1331</v>
      </c>
      <c r="AH716" s="2056">
        <f t="shared" si="485"/>
        <v>1718</v>
      </c>
      <c r="AI716" s="2546">
        <f t="shared" si="485"/>
        <v>3049</v>
      </c>
    </row>
    <row r="717" spans="1:35">
      <c r="A717" s="990">
        <v>693</v>
      </c>
      <c r="B717" s="990">
        <v>1</v>
      </c>
      <c r="C717" s="990">
        <v>717</v>
      </c>
      <c r="E717" s="1243">
        <v>1</v>
      </c>
      <c r="G717" s="24"/>
      <c r="I717" s="98"/>
      <c r="J717" s="97"/>
      <c r="K717" s="69"/>
      <c r="L717" s="69"/>
      <c r="M717" s="9" t="s">
        <v>12</v>
      </c>
      <c r="Q717" s="2036"/>
      <c r="R717" s="2040"/>
      <c r="S717" s="2036"/>
      <c r="T717" s="2036"/>
      <c r="U717" s="2036"/>
      <c r="V717" s="2036"/>
      <c r="W717" s="2036"/>
      <c r="X717" s="2036"/>
      <c r="Y717" s="2036"/>
      <c r="Z717" s="2036"/>
      <c r="AA717" s="2036"/>
      <c r="AB717" s="2036"/>
      <c r="AC717" s="19">
        <f>SUM(Q717,R717,S717)</f>
        <v>0</v>
      </c>
      <c r="AD717" s="19">
        <f>SUM(T717,U717,V717)</f>
        <v>0</v>
      </c>
      <c r="AE717" s="19">
        <f>SUM(W717,X717,Y717)</f>
        <v>0</v>
      </c>
      <c r="AF717" s="19">
        <f>SUM(Z717,AA717,AB717)</f>
        <v>0</v>
      </c>
      <c r="AG717" s="19">
        <f>AC717+AD717</f>
        <v>0</v>
      </c>
      <c r="AH717" s="19">
        <f>AF717+AE717</f>
        <v>0</v>
      </c>
      <c r="AI717" s="100">
        <f>AG717+AH717</f>
        <v>0</v>
      </c>
    </row>
    <row r="718" spans="1:35">
      <c r="A718" s="990">
        <v>1</v>
      </c>
      <c r="B718" s="990">
        <v>653</v>
      </c>
      <c r="C718" s="990">
        <v>718</v>
      </c>
      <c r="E718" s="1294" t="s">
        <v>931</v>
      </c>
      <c r="F718" s="1295"/>
      <c r="G718" s="1241"/>
      <c r="I718" s="98"/>
      <c r="J718" s="97"/>
      <c r="K718" s="69"/>
      <c r="L718" s="69"/>
      <c r="M718" s="299" t="s">
        <v>693</v>
      </c>
      <c r="Q718" s="2036"/>
      <c r="R718" s="2040"/>
      <c r="S718" s="2036"/>
      <c r="T718" s="2036"/>
      <c r="U718" s="2036"/>
      <c r="V718" s="2036"/>
      <c r="W718" s="2036"/>
      <c r="X718" s="2036"/>
      <c r="Y718" s="2036"/>
      <c r="Z718" s="2036"/>
      <c r="AA718" s="2036"/>
      <c r="AB718" s="2036"/>
      <c r="AC718" s="19">
        <f>SUM(Q718,R718,S718)</f>
        <v>0</v>
      </c>
      <c r="AD718" s="19">
        <f>SUM(T718,U718,V718)</f>
        <v>0</v>
      </c>
      <c r="AE718" s="19">
        <f>SUM(W718,X718,Y718)</f>
        <v>0</v>
      </c>
      <c r="AF718" s="19">
        <f>SUM(Z718,AA718,AB718)</f>
        <v>0</v>
      </c>
      <c r="AG718" s="19">
        <f>AC718+AD718</f>
        <v>0</v>
      </c>
      <c r="AH718" s="19">
        <f>AF718+AE718</f>
        <v>0</v>
      </c>
      <c r="AI718" s="100">
        <f>AG718+AH718</f>
        <v>0</v>
      </c>
    </row>
    <row r="719" spans="1:35">
      <c r="A719" s="990">
        <v>694</v>
      </c>
      <c r="B719" s="990">
        <v>1</v>
      </c>
      <c r="C719" s="990">
        <v>719</v>
      </c>
      <c r="E719" s="1243">
        <v>1</v>
      </c>
      <c r="G719" s="24"/>
      <c r="I719" s="98"/>
      <c r="J719" s="97"/>
      <c r="K719" s="69"/>
      <c r="L719" s="69"/>
      <c r="M719" s="9" t="s">
        <v>13</v>
      </c>
      <c r="Q719" s="2036"/>
      <c r="R719" s="2040"/>
      <c r="S719" s="2036"/>
      <c r="T719" s="2036">
        <v>270</v>
      </c>
      <c r="U719" s="2036"/>
      <c r="V719" s="2036"/>
      <c r="W719" s="2036"/>
      <c r="X719" s="2036"/>
      <c r="Y719" s="2036"/>
      <c r="Z719" s="2036"/>
      <c r="AA719" s="2036"/>
      <c r="AB719" s="2036"/>
      <c r="AC719" s="19">
        <f>SUM(Q719,R719,S719)</f>
        <v>0</v>
      </c>
      <c r="AD719" s="19">
        <f>SUM(T719,U719,V719)</f>
        <v>270</v>
      </c>
      <c r="AE719" s="19">
        <f>SUM(W719,X719,Y719)</f>
        <v>0</v>
      </c>
      <c r="AF719" s="19">
        <f>SUM(Z719,AA719,AB719)</f>
        <v>0</v>
      </c>
      <c r="AG719" s="19">
        <f>AC719+AD719</f>
        <v>270</v>
      </c>
      <c r="AH719" s="19">
        <f>AF719+AE719</f>
        <v>0</v>
      </c>
      <c r="AI719" s="100">
        <f>AG719+AH719</f>
        <v>270</v>
      </c>
    </row>
    <row r="720" spans="1:35">
      <c r="A720" s="990">
        <v>695</v>
      </c>
      <c r="B720" s="990">
        <v>654</v>
      </c>
      <c r="C720" s="990">
        <v>720</v>
      </c>
      <c r="E720" s="1296" t="s">
        <v>931</v>
      </c>
      <c r="F720" s="1301"/>
      <c r="G720" s="24"/>
      <c r="I720" s="98"/>
      <c r="J720" s="97"/>
      <c r="K720" s="69"/>
      <c r="L720" s="69"/>
      <c r="M720" s="299" t="s">
        <v>921</v>
      </c>
      <c r="Q720" s="2036"/>
      <c r="R720" s="2040"/>
      <c r="S720" s="2036"/>
      <c r="T720" s="2036"/>
      <c r="U720" s="2036"/>
      <c r="V720" s="2036"/>
      <c r="W720" s="2036"/>
      <c r="X720" s="2036"/>
      <c r="Y720" s="2036"/>
      <c r="Z720" s="2036"/>
      <c r="AA720" s="2036"/>
      <c r="AB720" s="2036"/>
      <c r="AC720" s="19">
        <f>SUM(Q720,R720,S720)</f>
        <v>0</v>
      </c>
      <c r="AD720" s="19">
        <f>SUM(T720,U720,V720)</f>
        <v>0</v>
      </c>
      <c r="AE720" s="19">
        <f>SUM(W720,X720,Y720)</f>
        <v>0</v>
      </c>
      <c r="AF720" s="19">
        <f>SUM(Z720,AA720,AB720)</f>
        <v>0</v>
      </c>
      <c r="AG720" s="19">
        <f>AC720+AD720</f>
        <v>0</v>
      </c>
      <c r="AH720" s="19">
        <f>AF720+AE720</f>
        <v>0</v>
      </c>
      <c r="AI720" s="100">
        <f>AG720+AH720</f>
        <v>0</v>
      </c>
    </row>
    <row r="721" spans="1:35">
      <c r="A721" s="990">
        <v>696</v>
      </c>
      <c r="B721" s="990">
        <v>1</v>
      </c>
      <c r="C721" s="990">
        <v>721</v>
      </c>
      <c r="E721" s="1243">
        <v>1</v>
      </c>
      <c r="G721" s="24"/>
      <c r="I721" s="98"/>
      <c r="J721" s="97"/>
      <c r="K721" s="69"/>
      <c r="L721" s="69"/>
      <c r="M721" s="75" t="s">
        <v>275</v>
      </c>
      <c r="N721" s="75"/>
      <c r="O721" s="75"/>
      <c r="P721" s="1202"/>
      <c r="Q721" s="2036">
        <v>142</v>
      </c>
      <c r="R721" s="2040">
        <v>37</v>
      </c>
      <c r="S721" s="2036">
        <v>108</v>
      </c>
      <c r="T721" s="2036">
        <v>326</v>
      </c>
      <c r="U721" s="2036">
        <v>185</v>
      </c>
      <c r="V721" s="2036">
        <v>263</v>
      </c>
      <c r="W721" s="2036"/>
      <c r="X721" s="2036">
        <v>622</v>
      </c>
      <c r="Y721" s="2036">
        <v>576</v>
      </c>
      <c r="Z721" s="2036">
        <v>286</v>
      </c>
      <c r="AA721" s="2036">
        <v>101</v>
      </c>
      <c r="AB721" s="2036">
        <v>133</v>
      </c>
      <c r="AC721" s="19">
        <f>SUM(Q721,R721,S721)</f>
        <v>287</v>
      </c>
      <c r="AD721" s="19">
        <f>SUM(T721,U721,V721)</f>
        <v>774</v>
      </c>
      <c r="AE721" s="19">
        <f>SUM(W721,X721,Y721)</f>
        <v>1198</v>
      </c>
      <c r="AF721" s="19">
        <f>SUM(Z721,AA721,AB721)</f>
        <v>520</v>
      </c>
      <c r="AG721" s="19">
        <f>AC721+AD721</f>
        <v>1061</v>
      </c>
      <c r="AH721" s="19">
        <f>AF721+AE721</f>
        <v>1718</v>
      </c>
      <c r="AI721" s="100">
        <f>AG721+AH721</f>
        <v>2779</v>
      </c>
    </row>
    <row r="722" spans="1:35">
      <c r="A722" s="990">
        <v>697</v>
      </c>
      <c r="B722" s="990">
        <v>655</v>
      </c>
      <c r="C722" s="990">
        <v>722</v>
      </c>
      <c r="E722" s="1243">
        <v>1</v>
      </c>
      <c r="I722" s="409" t="s">
        <v>134</v>
      </c>
      <c r="J722" s="789"/>
      <c r="K722" s="580"/>
      <c r="L722" s="580"/>
      <c r="M722" s="580"/>
      <c r="N722" s="580"/>
      <c r="O722" s="580"/>
      <c r="P722" s="580"/>
      <c r="Q722" s="2063">
        <f t="shared" ref="Q722:AI722" si="486">+Q723+Q749</f>
        <v>1095</v>
      </c>
      <c r="R722" s="2643">
        <f t="shared" si="486"/>
        <v>-1942</v>
      </c>
      <c r="S722" s="2063">
        <f t="shared" si="486"/>
        <v>1023</v>
      </c>
      <c r="T722" s="2063">
        <f t="shared" si="486"/>
        <v>1790</v>
      </c>
      <c r="U722" s="2063">
        <f t="shared" si="486"/>
        <v>1520</v>
      </c>
      <c r="V722" s="2063">
        <f t="shared" si="486"/>
        <v>3942</v>
      </c>
      <c r="W722" s="2063">
        <f t="shared" si="486"/>
        <v>708</v>
      </c>
      <c r="X722" s="2063">
        <f t="shared" si="486"/>
        <v>1201</v>
      </c>
      <c r="Y722" s="2063">
        <f t="shared" si="486"/>
        <v>1125</v>
      </c>
      <c r="Z722" s="2063">
        <f t="shared" si="486"/>
        <v>825</v>
      </c>
      <c r="AA722" s="2063">
        <f t="shared" si="486"/>
        <v>1103</v>
      </c>
      <c r="AB722" s="2063">
        <f t="shared" si="486"/>
        <v>864</v>
      </c>
      <c r="AC722" s="2063">
        <f t="shared" si="486"/>
        <v>176</v>
      </c>
      <c r="AD722" s="2063">
        <f t="shared" si="486"/>
        <v>7252</v>
      </c>
      <c r="AE722" s="2063">
        <f t="shared" si="486"/>
        <v>3034</v>
      </c>
      <c r="AF722" s="2063">
        <f t="shared" si="486"/>
        <v>2792</v>
      </c>
      <c r="AG722" s="2063">
        <f t="shared" si="486"/>
        <v>7428</v>
      </c>
      <c r="AH722" s="2063">
        <f t="shared" si="486"/>
        <v>5826</v>
      </c>
      <c r="AI722" s="101">
        <f t="shared" si="486"/>
        <v>13254</v>
      </c>
    </row>
    <row r="723" spans="1:35">
      <c r="A723" s="990">
        <v>698</v>
      </c>
      <c r="B723" s="990">
        <v>656</v>
      </c>
      <c r="C723" s="990">
        <v>723</v>
      </c>
      <c r="E723" s="1243">
        <v>1</v>
      </c>
      <c r="I723" s="98"/>
      <c r="J723" s="97"/>
      <c r="K723" s="74" t="s">
        <v>1022</v>
      </c>
      <c r="L723" s="74"/>
      <c r="M723" s="357"/>
      <c r="N723" s="357"/>
      <c r="O723" s="357"/>
      <c r="P723" s="357"/>
      <c r="Q723" s="359">
        <f t="shared" ref="Q723:AI723" si="487">Q729+Q724+Q734+Q739+Q744</f>
        <v>992</v>
      </c>
      <c r="R723" s="2064">
        <f t="shared" si="487"/>
        <v>-1962</v>
      </c>
      <c r="S723" s="359">
        <f t="shared" si="487"/>
        <v>960</v>
      </c>
      <c r="T723" s="359">
        <f t="shared" si="487"/>
        <v>1404</v>
      </c>
      <c r="U723" s="359">
        <f t="shared" si="487"/>
        <v>1390</v>
      </c>
      <c r="V723" s="359">
        <f t="shared" si="487"/>
        <v>3708</v>
      </c>
      <c r="W723" s="359">
        <f t="shared" si="487"/>
        <v>708</v>
      </c>
      <c r="X723" s="359">
        <f t="shared" si="487"/>
        <v>827</v>
      </c>
      <c r="Y723" s="359">
        <f t="shared" si="487"/>
        <v>799</v>
      </c>
      <c r="Z723" s="359">
        <f t="shared" si="487"/>
        <v>612</v>
      </c>
      <c r="AA723" s="359">
        <f t="shared" si="487"/>
        <v>1027</v>
      </c>
      <c r="AB723" s="359">
        <f t="shared" si="487"/>
        <v>783</v>
      </c>
      <c r="AC723" s="359">
        <f t="shared" si="487"/>
        <v>-10</v>
      </c>
      <c r="AD723" s="359">
        <f t="shared" si="487"/>
        <v>6502</v>
      </c>
      <c r="AE723" s="359">
        <f t="shared" si="487"/>
        <v>2334</v>
      </c>
      <c r="AF723" s="359">
        <f t="shared" si="487"/>
        <v>2422</v>
      </c>
      <c r="AG723" s="359">
        <f t="shared" si="487"/>
        <v>6492</v>
      </c>
      <c r="AH723" s="359">
        <f t="shared" si="487"/>
        <v>4756</v>
      </c>
      <c r="AI723" s="407">
        <f t="shared" si="487"/>
        <v>11248</v>
      </c>
    </row>
    <row r="724" spans="1:35">
      <c r="A724" s="990">
        <v>699</v>
      </c>
      <c r="B724" s="990">
        <v>1</v>
      </c>
      <c r="C724" s="990">
        <v>724</v>
      </c>
      <c r="E724" s="1243">
        <v>1</v>
      </c>
      <c r="G724" s="24"/>
      <c r="I724" s="98"/>
      <c r="J724" s="97"/>
      <c r="K724" s="74"/>
      <c r="L724" s="74"/>
      <c r="M724" s="9" t="s">
        <v>12</v>
      </c>
      <c r="N724" s="363"/>
      <c r="O724" s="363"/>
      <c r="P724" s="363"/>
      <c r="Q724" s="365">
        <f>SUM(Q725:Q728)</f>
        <v>0</v>
      </c>
      <c r="R724" s="2065">
        <f t="shared" ref="R724:AI724" si="488">SUM(R725:R728)</f>
        <v>0</v>
      </c>
      <c r="S724" s="365">
        <f t="shared" si="488"/>
        <v>0</v>
      </c>
      <c r="T724" s="365">
        <f t="shared" si="488"/>
        <v>43</v>
      </c>
      <c r="U724" s="365">
        <f t="shared" si="488"/>
        <v>0</v>
      </c>
      <c r="V724" s="365">
        <f t="shared" si="488"/>
        <v>0</v>
      </c>
      <c r="W724" s="365">
        <f t="shared" si="488"/>
        <v>0</v>
      </c>
      <c r="X724" s="365">
        <f t="shared" si="488"/>
        <v>0</v>
      </c>
      <c r="Y724" s="365">
        <f t="shared" si="488"/>
        <v>0</v>
      </c>
      <c r="Z724" s="365">
        <f t="shared" si="488"/>
        <v>0</v>
      </c>
      <c r="AA724" s="365">
        <f t="shared" si="488"/>
        <v>0</v>
      </c>
      <c r="AB724" s="365">
        <f t="shared" si="488"/>
        <v>0</v>
      </c>
      <c r="AC724" s="365">
        <f t="shared" si="488"/>
        <v>0</v>
      </c>
      <c r="AD724" s="365">
        <f t="shared" si="488"/>
        <v>43</v>
      </c>
      <c r="AE724" s="365">
        <f t="shared" si="488"/>
        <v>0</v>
      </c>
      <c r="AF724" s="365">
        <f t="shared" si="488"/>
        <v>0</v>
      </c>
      <c r="AG724" s="365">
        <f t="shared" si="488"/>
        <v>43</v>
      </c>
      <c r="AH724" s="365">
        <f t="shared" si="488"/>
        <v>0</v>
      </c>
      <c r="AI724" s="408">
        <f t="shared" si="488"/>
        <v>43</v>
      </c>
    </row>
    <row r="725" spans="1:35">
      <c r="A725" s="990">
        <v>700</v>
      </c>
      <c r="B725" s="990">
        <v>1</v>
      </c>
      <c r="C725" s="990">
        <v>725</v>
      </c>
      <c r="E725" s="1296" t="s">
        <v>931</v>
      </c>
      <c r="F725" s="1301"/>
      <c r="G725" s="24"/>
      <c r="I725" s="98"/>
      <c r="J725" s="97"/>
      <c r="K725" s="74"/>
      <c r="L725" s="74"/>
      <c r="N725" s="371" t="s">
        <v>903</v>
      </c>
      <c r="O725" s="111"/>
      <c r="P725" s="111"/>
      <c r="Q725" s="2042"/>
      <c r="R725" s="2055"/>
      <c r="S725" s="2042"/>
      <c r="T725" s="2042"/>
      <c r="U725" s="2042"/>
      <c r="V725" s="2042"/>
      <c r="W725" s="2042"/>
      <c r="X725" s="2042"/>
      <c r="Y725" s="2042"/>
      <c r="Z725" s="2042"/>
      <c r="AA725" s="2042"/>
      <c r="AB725" s="2042"/>
      <c r="AC725" s="109">
        <f>SUM(Q725,R725,S725)</f>
        <v>0</v>
      </c>
      <c r="AD725" s="109">
        <f>SUM(T725,U725,V725)</f>
        <v>0</v>
      </c>
      <c r="AE725" s="109">
        <f>SUM(W725,X725,Y725)</f>
        <v>0</v>
      </c>
      <c r="AF725" s="109">
        <f>SUM(Z725,AA725,AB725)</f>
        <v>0</v>
      </c>
      <c r="AG725" s="109">
        <f>AC725+AD725</f>
        <v>0</v>
      </c>
      <c r="AH725" s="109">
        <f>AF725+AE725</f>
        <v>0</v>
      </c>
      <c r="AI725" s="376">
        <f>AG725+AH725</f>
        <v>0</v>
      </c>
    </row>
    <row r="726" spans="1:35">
      <c r="A726" s="990">
        <v>701</v>
      </c>
      <c r="B726" s="990">
        <v>1</v>
      </c>
      <c r="C726" s="990">
        <v>726</v>
      </c>
      <c r="E726" s="1296" t="s">
        <v>931</v>
      </c>
      <c r="F726" s="1301"/>
      <c r="G726" s="24"/>
      <c r="I726" s="98"/>
      <c r="J726" s="97"/>
      <c r="K726" s="74"/>
      <c r="L726" s="74"/>
      <c r="N726" s="299" t="s">
        <v>904</v>
      </c>
      <c r="Q726" s="2036"/>
      <c r="R726" s="2040"/>
      <c r="S726" s="2036"/>
      <c r="T726" s="2036">
        <v>43</v>
      </c>
      <c r="U726" s="2036"/>
      <c r="V726" s="2036"/>
      <c r="W726" s="2036"/>
      <c r="X726" s="2036"/>
      <c r="Y726" s="2036"/>
      <c r="Z726" s="2036"/>
      <c r="AA726" s="2036"/>
      <c r="AB726" s="2036"/>
      <c r="AC726" s="19">
        <f>SUM(Q726,R726,S726)</f>
        <v>0</v>
      </c>
      <c r="AD726" s="19">
        <f>SUM(T726,U726,V726)</f>
        <v>43</v>
      </c>
      <c r="AE726" s="19">
        <f>SUM(W726,X726,Y726)</f>
        <v>0</v>
      </c>
      <c r="AF726" s="19">
        <f>SUM(Z726,AA726,AB726)</f>
        <v>0</v>
      </c>
      <c r="AG726" s="19">
        <f>AC726+AD726</f>
        <v>43</v>
      </c>
      <c r="AH726" s="19">
        <f>AF726+AE726</f>
        <v>0</v>
      </c>
      <c r="AI726" s="100">
        <f>AG726+AH726</f>
        <v>43</v>
      </c>
    </row>
    <row r="727" spans="1:35">
      <c r="A727" s="990">
        <v>702</v>
      </c>
      <c r="B727" s="990">
        <v>1</v>
      </c>
      <c r="C727" s="990">
        <v>727</v>
      </c>
      <c r="E727" s="1296" t="s">
        <v>931</v>
      </c>
      <c r="F727" s="1301"/>
      <c r="G727" s="24"/>
      <c r="I727" s="98"/>
      <c r="J727" s="97"/>
      <c r="K727" s="74"/>
      <c r="L727" s="74"/>
      <c r="N727" s="299" t="s">
        <v>905</v>
      </c>
      <c r="O727" s="299"/>
      <c r="P727" s="299"/>
      <c r="Q727" s="2036"/>
      <c r="R727" s="2036"/>
      <c r="S727" s="2036"/>
      <c r="T727" s="2036"/>
      <c r="U727" s="2036"/>
      <c r="V727" s="2036"/>
      <c r="W727" s="2036"/>
      <c r="X727" s="2036"/>
      <c r="Y727" s="2036"/>
      <c r="Z727" s="2036"/>
      <c r="AA727" s="2036"/>
      <c r="AB727" s="2036"/>
      <c r="AC727" s="19">
        <f>SUM(Q727,R727,S727)</f>
        <v>0</v>
      </c>
      <c r="AD727" s="19">
        <f>SUM(T727,U727,V727)</f>
        <v>0</v>
      </c>
      <c r="AE727" s="19">
        <f>SUM(W727,X727,Y727)</f>
        <v>0</v>
      </c>
      <c r="AF727" s="19">
        <f>SUM(Z727,AA727,AB727)</f>
        <v>0</v>
      </c>
      <c r="AG727" s="19">
        <f>AC727+AD727</f>
        <v>0</v>
      </c>
      <c r="AH727" s="19">
        <f>AF727+AE727</f>
        <v>0</v>
      </c>
      <c r="AI727" s="100">
        <f>AG727+AH727</f>
        <v>0</v>
      </c>
    </row>
    <row r="728" spans="1:35">
      <c r="A728" s="990">
        <v>703</v>
      </c>
      <c r="B728" s="990">
        <v>1</v>
      </c>
      <c r="C728" s="990">
        <v>728</v>
      </c>
      <c r="E728" s="1296" t="s">
        <v>931</v>
      </c>
      <c r="F728" s="1301"/>
      <c r="G728" s="24"/>
      <c r="I728" s="98"/>
      <c r="J728" s="97"/>
      <c r="K728" s="74"/>
      <c r="L728" s="74"/>
      <c r="N728" s="299" t="s">
        <v>906</v>
      </c>
      <c r="O728" s="12"/>
      <c r="P728" s="12"/>
      <c r="Q728" s="2037"/>
      <c r="R728" s="2037"/>
      <c r="S728" s="2037"/>
      <c r="T728" s="2037"/>
      <c r="U728" s="2037"/>
      <c r="V728" s="2037"/>
      <c r="W728" s="2037"/>
      <c r="X728" s="2037"/>
      <c r="Y728" s="2037"/>
      <c r="Z728" s="2037"/>
      <c r="AA728" s="2037"/>
      <c r="AB728" s="2037"/>
      <c r="AC728" s="17">
        <f>SUM(Q728,R728,S728)</f>
        <v>0</v>
      </c>
      <c r="AD728" s="17">
        <f>SUM(T728,U728,V728)</f>
        <v>0</v>
      </c>
      <c r="AE728" s="17">
        <f>SUM(W728,X728,Y728)</f>
        <v>0</v>
      </c>
      <c r="AF728" s="17">
        <f>SUM(Z728,AA728,AB728)</f>
        <v>0</v>
      </c>
      <c r="AG728" s="17">
        <f>AC728+AD728</f>
        <v>0</v>
      </c>
      <c r="AH728" s="17">
        <f>AF728+AE728</f>
        <v>0</v>
      </c>
      <c r="AI728" s="99">
        <f>AG728+AH728</f>
        <v>0</v>
      </c>
    </row>
    <row r="729" spans="1:35">
      <c r="A729" s="990">
        <v>1</v>
      </c>
      <c r="B729" s="990">
        <v>657</v>
      </c>
      <c r="C729" s="990">
        <v>729</v>
      </c>
      <c r="E729" s="1294" t="s">
        <v>931</v>
      </c>
      <c r="F729" s="1295"/>
      <c r="G729" s="1241"/>
      <c r="I729" s="98"/>
      <c r="J729" s="97"/>
      <c r="K729" s="74"/>
      <c r="L729" s="74"/>
      <c r="M729" s="1302" t="s">
        <v>693</v>
      </c>
      <c r="N729" s="362"/>
      <c r="O729" s="362"/>
      <c r="P729" s="362"/>
      <c r="Q729" s="361">
        <f>SUM(Q730:Q733)</f>
        <v>0</v>
      </c>
      <c r="R729" s="2054">
        <f t="shared" ref="R729:AI729" si="489">SUM(R730:R733)</f>
        <v>0</v>
      </c>
      <c r="S729" s="361">
        <f t="shared" si="489"/>
        <v>0</v>
      </c>
      <c r="T729" s="361">
        <f t="shared" si="489"/>
        <v>0</v>
      </c>
      <c r="U729" s="361">
        <f t="shared" si="489"/>
        <v>0</v>
      </c>
      <c r="V729" s="361">
        <f t="shared" si="489"/>
        <v>0</v>
      </c>
      <c r="W729" s="361">
        <f t="shared" si="489"/>
        <v>0</v>
      </c>
      <c r="X729" s="361">
        <f t="shared" si="489"/>
        <v>0</v>
      </c>
      <c r="Y729" s="361">
        <f t="shared" si="489"/>
        <v>0</v>
      </c>
      <c r="Z729" s="361">
        <f t="shared" si="489"/>
        <v>0</v>
      </c>
      <c r="AA729" s="361">
        <f t="shared" si="489"/>
        <v>0</v>
      </c>
      <c r="AB729" s="361">
        <f t="shared" si="489"/>
        <v>0</v>
      </c>
      <c r="AC729" s="361">
        <f t="shared" si="489"/>
        <v>0</v>
      </c>
      <c r="AD729" s="361">
        <f t="shared" si="489"/>
        <v>0</v>
      </c>
      <c r="AE729" s="361">
        <f t="shared" si="489"/>
        <v>0</v>
      </c>
      <c r="AF729" s="361">
        <f t="shared" si="489"/>
        <v>0</v>
      </c>
      <c r="AG729" s="361">
        <f t="shared" si="489"/>
        <v>0</v>
      </c>
      <c r="AH729" s="361">
        <f t="shared" si="489"/>
        <v>0</v>
      </c>
      <c r="AI729" s="375">
        <f t="shared" si="489"/>
        <v>0</v>
      </c>
    </row>
    <row r="730" spans="1:35">
      <c r="A730" s="990">
        <v>1</v>
      </c>
      <c r="B730" s="990">
        <v>658</v>
      </c>
      <c r="C730" s="990">
        <v>730</v>
      </c>
      <c r="E730" s="1294" t="s">
        <v>931</v>
      </c>
      <c r="F730" s="1295"/>
      <c r="G730" s="1241"/>
      <c r="I730" s="98"/>
      <c r="J730" s="97"/>
      <c r="K730" s="74"/>
      <c r="L730" s="74"/>
      <c r="N730" s="371" t="s">
        <v>903</v>
      </c>
      <c r="O730" s="111"/>
      <c r="P730" s="111"/>
      <c r="Q730" s="2042"/>
      <c r="R730" s="2055"/>
      <c r="S730" s="2042"/>
      <c r="T730" s="2042"/>
      <c r="U730" s="2042"/>
      <c r="V730" s="2042"/>
      <c r="W730" s="2042"/>
      <c r="X730" s="2042"/>
      <c r="Y730" s="2042"/>
      <c r="Z730" s="2042"/>
      <c r="AA730" s="2042"/>
      <c r="AB730" s="2042"/>
      <c r="AC730" s="109">
        <f>SUM(Q730,R730,S730)</f>
        <v>0</v>
      </c>
      <c r="AD730" s="109">
        <f>SUM(T730,U730,V730)</f>
        <v>0</v>
      </c>
      <c r="AE730" s="109">
        <f>SUM(W730,X730,Y730)</f>
        <v>0</v>
      </c>
      <c r="AF730" s="109">
        <f>SUM(Z730,AA730,AB730)</f>
        <v>0</v>
      </c>
      <c r="AG730" s="109">
        <f>AC730+AD730</f>
        <v>0</v>
      </c>
      <c r="AH730" s="109">
        <f>AF730+AE730</f>
        <v>0</v>
      </c>
      <c r="AI730" s="376">
        <f>AG730+AH730</f>
        <v>0</v>
      </c>
    </row>
    <row r="731" spans="1:35">
      <c r="A731" s="990">
        <v>1</v>
      </c>
      <c r="B731" s="990">
        <v>659</v>
      </c>
      <c r="C731" s="990">
        <v>731</v>
      </c>
      <c r="E731" s="1294" t="s">
        <v>931</v>
      </c>
      <c r="F731" s="1295"/>
      <c r="G731" s="1241"/>
      <c r="I731" s="98"/>
      <c r="J731" s="97"/>
      <c r="K731" s="74"/>
      <c r="L731" s="74"/>
      <c r="N731" s="299" t="s">
        <v>904</v>
      </c>
      <c r="Q731" s="2036"/>
      <c r="R731" s="2040"/>
      <c r="S731" s="2036"/>
      <c r="T731" s="2036"/>
      <c r="U731" s="2036"/>
      <c r="V731" s="2036"/>
      <c r="W731" s="2036"/>
      <c r="X731" s="2036"/>
      <c r="Y731" s="2036"/>
      <c r="Z731" s="2036"/>
      <c r="AA731" s="2036"/>
      <c r="AB731" s="2036"/>
      <c r="AC731" s="19">
        <f>SUM(Q731,R731,S731)</f>
        <v>0</v>
      </c>
      <c r="AD731" s="19">
        <f>SUM(T731,U731,V731)</f>
        <v>0</v>
      </c>
      <c r="AE731" s="19">
        <f>SUM(W731,X731,Y731)</f>
        <v>0</v>
      </c>
      <c r="AF731" s="19">
        <f>SUM(Z731,AA731,AB731)</f>
        <v>0</v>
      </c>
      <c r="AG731" s="19">
        <f>AC731+AD731</f>
        <v>0</v>
      </c>
      <c r="AH731" s="19">
        <f>AF731+AE731</f>
        <v>0</v>
      </c>
      <c r="AI731" s="100">
        <f>AG731+AH731</f>
        <v>0</v>
      </c>
    </row>
    <row r="732" spans="1:35">
      <c r="A732" s="990">
        <v>1</v>
      </c>
      <c r="B732" s="990">
        <v>1</v>
      </c>
      <c r="C732" s="990">
        <v>732</v>
      </c>
      <c r="E732" s="1294" t="s">
        <v>931</v>
      </c>
      <c r="F732" s="1295"/>
      <c r="G732" s="1241"/>
      <c r="I732" s="98"/>
      <c r="J732" s="97"/>
      <c r="K732" s="74"/>
      <c r="L732" s="74"/>
      <c r="N732" s="299" t="s">
        <v>905</v>
      </c>
      <c r="Q732" s="2036"/>
      <c r="R732" s="2040"/>
      <c r="S732" s="2036"/>
      <c r="T732" s="2036"/>
      <c r="U732" s="2036"/>
      <c r="V732" s="2036"/>
      <c r="W732" s="2036"/>
      <c r="X732" s="2036"/>
      <c r="Y732" s="2036"/>
      <c r="Z732" s="2036"/>
      <c r="AA732" s="2036"/>
      <c r="AB732" s="2036"/>
      <c r="AC732" s="19">
        <f>SUM(Q732,R732,S732)</f>
        <v>0</v>
      </c>
      <c r="AD732" s="19">
        <f>SUM(T732,U732,V732)</f>
        <v>0</v>
      </c>
      <c r="AE732" s="19">
        <f>SUM(W732,X732,Y732)</f>
        <v>0</v>
      </c>
      <c r="AF732" s="19">
        <f>SUM(Z732,AA732,AB732)</f>
        <v>0</v>
      </c>
      <c r="AG732" s="19">
        <f>AC732+AD732</f>
        <v>0</v>
      </c>
      <c r="AH732" s="19">
        <f>AF732+AE732</f>
        <v>0</v>
      </c>
      <c r="AI732" s="100">
        <f>AG732+AH732</f>
        <v>0</v>
      </c>
    </row>
    <row r="733" spans="1:35">
      <c r="A733" s="990">
        <v>1</v>
      </c>
      <c r="B733" s="990">
        <v>1</v>
      </c>
      <c r="C733" s="990">
        <v>733</v>
      </c>
      <c r="E733" s="1294" t="s">
        <v>931</v>
      </c>
      <c r="F733" s="1295"/>
      <c r="G733" s="1241"/>
      <c r="I733" s="98"/>
      <c r="J733" s="97"/>
      <c r="K733" s="74"/>
      <c r="L733" s="74"/>
      <c r="N733" s="299" t="s">
        <v>906</v>
      </c>
      <c r="P733" s="12"/>
      <c r="Q733" s="2037"/>
      <c r="R733" s="2041"/>
      <c r="S733" s="2037"/>
      <c r="T733" s="2037"/>
      <c r="U733" s="2037"/>
      <c r="V733" s="2037"/>
      <c r="W733" s="2037"/>
      <c r="X733" s="2037"/>
      <c r="Y733" s="2037"/>
      <c r="Z733" s="2037"/>
      <c r="AA733" s="2037"/>
      <c r="AB733" s="2037"/>
      <c r="AC733" s="17">
        <f>SUM(Q733,R733,S733)</f>
        <v>0</v>
      </c>
      <c r="AD733" s="17">
        <f>SUM(T733,U733,V733)</f>
        <v>0</v>
      </c>
      <c r="AE733" s="17">
        <f>SUM(W733,X733,Y733)</f>
        <v>0</v>
      </c>
      <c r="AF733" s="17">
        <f>SUM(Z733,AA733,AB733)</f>
        <v>0</v>
      </c>
      <c r="AG733" s="17">
        <f>AC733+AD733</f>
        <v>0</v>
      </c>
      <c r="AH733" s="17">
        <f>AF733+AE733</f>
        <v>0</v>
      </c>
      <c r="AI733" s="99">
        <f>AG733+AH733</f>
        <v>0</v>
      </c>
    </row>
    <row r="734" spans="1:35">
      <c r="A734" s="990">
        <v>704</v>
      </c>
      <c r="B734" s="990">
        <v>1</v>
      </c>
      <c r="C734" s="990">
        <v>734</v>
      </c>
      <c r="E734" s="1243">
        <v>1</v>
      </c>
      <c r="G734" s="24"/>
      <c r="I734" s="98"/>
      <c r="J734" s="97"/>
      <c r="K734" s="74"/>
      <c r="L734" s="74"/>
      <c r="M734" s="596" t="s">
        <v>13</v>
      </c>
      <c r="N734" s="362"/>
      <c r="O734" s="362"/>
      <c r="P734" s="363"/>
      <c r="Q734" s="365">
        <f t="shared" ref="Q734:AI734" si="490">SUM(Q735:Q738)</f>
        <v>0</v>
      </c>
      <c r="R734" s="2065">
        <f t="shared" si="490"/>
        <v>242</v>
      </c>
      <c r="S734" s="365">
        <f t="shared" si="490"/>
        <v>0</v>
      </c>
      <c r="T734" s="365">
        <f t="shared" si="490"/>
        <v>650</v>
      </c>
      <c r="U734" s="365">
        <f t="shared" si="490"/>
        <v>0</v>
      </c>
      <c r="V734" s="365">
        <f t="shared" si="490"/>
        <v>186</v>
      </c>
      <c r="W734" s="365">
        <f t="shared" si="490"/>
        <v>559</v>
      </c>
      <c r="X734" s="365">
        <f t="shared" si="490"/>
        <v>167</v>
      </c>
      <c r="Y734" s="365">
        <f t="shared" si="490"/>
        <v>299</v>
      </c>
      <c r="Z734" s="365">
        <f t="shared" si="490"/>
        <v>227</v>
      </c>
      <c r="AA734" s="365">
        <f t="shared" si="490"/>
        <v>64</v>
      </c>
      <c r="AB734" s="365">
        <f t="shared" si="490"/>
        <v>59</v>
      </c>
      <c r="AC734" s="365">
        <f t="shared" si="490"/>
        <v>242</v>
      </c>
      <c r="AD734" s="365">
        <f t="shared" si="490"/>
        <v>836</v>
      </c>
      <c r="AE734" s="365">
        <f t="shared" si="490"/>
        <v>1025</v>
      </c>
      <c r="AF734" s="365">
        <f t="shared" si="490"/>
        <v>350</v>
      </c>
      <c r="AG734" s="365">
        <f t="shared" si="490"/>
        <v>1078</v>
      </c>
      <c r="AH734" s="365">
        <f t="shared" si="490"/>
        <v>1375</v>
      </c>
      <c r="AI734" s="408">
        <f t="shared" si="490"/>
        <v>2453</v>
      </c>
    </row>
    <row r="735" spans="1:35">
      <c r="A735" s="990">
        <v>705</v>
      </c>
      <c r="B735" s="990">
        <v>1</v>
      </c>
      <c r="C735" s="990">
        <v>735</v>
      </c>
      <c r="E735" s="1296" t="s">
        <v>931</v>
      </c>
      <c r="F735" s="1301"/>
      <c r="G735" s="24"/>
      <c r="I735" s="98"/>
      <c r="J735" s="97"/>
      <c r="K735" s="74"/>
      <c r="L735" s="74"/>
      <c r="N735" s="371" t="s">
        <v>903</v>
      </c>
      <c r="O735" s="111"/>
      <c r="P735" s="111"/>
      <c r="Q735" s="2042"/>
      <c r="R735" s="2055"/>
      <c r="S735" s="2042"/>
      <c r="T735" s="2042"/>
      <c r="U735" s="2042"/>
      <c r="V735" s="2042"/>
      <c r="W735" s="2042"/>
      <c r="X735" s="2042"/>
      <c r="Y735" s="2042"/>
      <c r="Z735" s="2042"/>
      <c r="AA735" s="2042"/>
      <c r="AB735" s="2042"/>
      <c r="AC735" s="109">
        <f>SUM(Q735,R735,S735)</f>
        <v>0</v>
      </c>
      <c r="AD735" s="109">
        <f>SUM(T735,U735,V735)</f>
        <v>0</v>
      </c>
      <c r="AE735" s="109">
        <f>SUM(W735,X735,Y735)</f>
        <v>0</v>
      </c>
      <c r="AF735" s="109">
        <f>SUM(Z735,AA735,AB735)</f>
        <v>0</v>
      </c>
      <c r="AG735" s="109">
        <f>AC735+AD735</f>
        <v>0</v>
      </c>
      <c r="AH735" s="109">
        <f>AF735+AE735</f>
        <v>0</v>
      </c>
      <c r="AI735" s="376">
        <f>AG735+AH735</f>
        <v>0</v>
      </c>
    </row>
    <row r="736" spans="1:35">
      <c r="A736" s="990">
        <v>706</v>
      </c>
      <c r="B736" s="990">
        <v>1</v>
      </c>
      <c r="C736" s="990">
        <v>736</v>
      </c>
      <c r="E736" s="1296" t="s">
        <v>931</v>
      </c>
      <c r="F736" s="1301"/>
      <c r="G736" s="24"/>
      <c r="I736" s="98"/>
      <c r="J736" s="97"/>
      <c r="K736" s="74"/>
      <c r="L736" s="74"/>
      <c r="N736" s="299" t="s">
        <v>904</v>
      </c>
      <c r="Q736" s="2036"/>
      <c r="R736" s="2040">
        <v>242</v>
      </c>
      <c r="S736" s="2036"/>
      <c r="T736" s="2036">
        <v>650</v>
      </c>
      <c r="U736" s="2036"/>
      <c r="V736" s="2036">
        <v>186</v>
      </c>
      <c r="W736" s="2036">
        <v>559</v>
      </c>
      <c r="X736" s="2036">
        <v>167</v>
      </c>
      <c r="Y736" s="2036">
        <v>299</v>
      </c>
      <c r="Z736" s="2036">
        <v>227</v>
      </c>
      <c r="AA736" s="2036">
        <v>64</v>
      </c>
      <c r="AB736" s="2036">
        <v>59</v>
      </c>
      <c r="AC736" s="19">
        <f>SUM(Q736,R736,S736)</f>
        <v>242</v>
      </c>
      <c r="AD736" s="19">
        <f>SUM(T736,U736,V736)</f>
        <v>836</v>
      </c>
      <c r="AE736" s="19">
        <f>SUM(W736,X736,Y736)</f>
        <v>1025</v>
      </c>
      <c r="AF736" s="19">
        <f>SUM(Z736,AA736,AB736)</f>
        <v>350</v>
      </c>
      <c r="AG736" s="19">
        <f>AC736+AD736</f>
        <v>1078</v>
      </c>
      <c r="AH736" s="19">
        <f>AF736+AE736</f>
        <v>1375</v>
      </c>
      <c r="AI736" s="100">
        <f>AG736+AH736</f>
        <v>2453</v>
      </c>
    </row>
    <row r="737" spans="1:35">
      <c r="A737" s="990">
        <v>707</v>
      </c>
      <c r="B737" s="990">
        <v>1</v>
      </c>
      <c r="C737" s="990">
        <v>737</v>
      </c>
      <c r="E737" s="1296" t="s">
        <v>931</v>
      </c>
      <c r="F737" s="1301"/>
      <c r="G737" s="24"/>
      <c r="I737" s="98"/>
      <c r="J737" s="97"/>
      <c r="K737" s="74"/>
      <c r="L737" s="74"/>
      <c r="N737" s="299" t="s">
        <v>905</v>
      </c>
      <c r="O737" s="299"/>
      <c r="P737" s="299"/>
      <c r="Q737" s="2036"/>
      <c r="R737" s="2036"/>
      <c r="S737" s="2036"/>
      <c r="T737" s="2036"/>
      <c r="U737" s="2036"/>
      <c r="V737" s="2036"/>
      <c r="W737" s="2036"/>
      <c r="X737" s="2036"/>
      <c r="Y737" s="2036"/>
      <c r="Z737" s="2036"/>
      <c r="AA737" s="2036"/>
      <c r="AB737" s="2036"/>
      <c r="AC737" s="19">
        <f>SUM(Q737,R737,S737)</f>
        <v>0</v>
      </c>
      <c r="AD737" s="19">
        <f>SUM(T737,U737,V737)</f>
        <v>0</v>
      </c>
      <c r="AE737" s="19">
        <f>SUM(W737,X737,Y737)</f>
        <v>0</v>
      </c>
      <c r="AF737" s="19">
        <f>SUM(Z737,AA737,AB737)</f>
        <v>0</v>
      </c>
      <c r="AG737" s="19">
        <f>AC737+AD737</f>
        <v>0</v>
      </c>
      <c r="AH737" s="19">
        <f>AF737+AE737</f>
        <v>0</v>
      </c>
      <c r="AI737" s="100">
        <f>AG737+AH737</f>
        <v>0</v>
      </c>
    </row>
    <row r="738" spans="1:35">
      <c r="A738" s="990">
        <v>708</v>
      </c>
      <c r="B738" s="990">
        <v>1</v>
      </c>
      <c r="C738" s="990">
        <v>738</v>
      </c>
      <c r="E738" s="1296" t="s">
        <v>931</v>
      </c>
      <c r="F738" s="1301"/>
      <c r="G738" s="24"/>
      <c r="I738" s="98"/>
      <c r="J738" s="97"/>
      <c r="K738" s="74"/>
      <c r="L738" s="74"/>
      <c r="N738" s="299" t="s">
        <v>906</v>
      </c>
      <c r="O738" s="12"/>
      <c r="P738" s="12"/>
      <c r="Q738" s="2037"/>
      <c r="R738" s="2037"/>
      <c r="S738" s="2037"/>
      <c r="T738" s="2037"/>
      <c r="U738" s="2037"/>
      <c r="V738" s="2037"/>
      <c r="W738" s="2037"/>
      <c r="X738" s="2037"/>
      <c r="Y738" s="2037"/>
      <c r="Z738" s="2037"/>
      <c r="AA738" s="2037"/>
      <c r="AB738" s="2037"/>
      <c r="AC738" s="17">
        <f>SUM(Q738,R738,S738)</f>
        <v>0</v>
      </c>
      <c r="AD738" s="17">
        <f>SUM(T738,U738,V738)</f>
        <v>0</v>
      </c>
      <c r="AE738" s="17">
        <f>SUM(W738,X738,Y738)</f>
        <v>0</v>
      </c>
      <c r="AF738" s="17">
        <f>SUM(Z738,AA738,AB738)</f>
        <v>0</v>
      </c>
      <c r="AG738" s="17">
        <f>AC738+AD738</f>
        <v>0</v>
      </c>
      <c r="AH738" s="17">
        <f>AF738+AE738</f>
        <v>0</v>
      </c>
      <c r="AI738" s="99">
        <f>AG738+AH738</f>
        <v>0</v>
      </c>
    </row>
    <row r="739" spans="1:35">
      <c r="A739" s="990">
        <v>709</v>
      </c>
      <c r="B739" s="990">
        <v>660</v>
      </c>
      <c r="C739" s="990">
        <v>739</v>
      </c>
      <c r="E739" s="1296" t="s">
        <v>931</v>
      </c>
      <c r="F739" s="1301"/>
      <c r="G739" s="24"/>
      <c r="I739" s="98"/>
      <c r="J739" s="97"/>
      <c r="K739" s="74"/>
      <c r="L739" s="74"/>
      <c r="M739" s="1199" t="s">
        <v>921</v>
      </c>
      <c r="N739" s="362"/>
      <c r="O739" s="362"/>
      <c r="P739" s="362"/>
      <c r="Q739" s="365">
        <f t="shared" ref="Q739:AI739" si="491">SUM(Q740:Q743)</f>
        <v>0</v>
      </c>
      <c r="R739" s="2065">
        <f t="shared" si="491"/>
        <v>0</v>
      </c>
      <c r="S739" s="365">
        <f t="shared" si="491"/>
        <v>0</v>
      </c>
      <c r="T739" s="365">
        <f t="shared" si="491"/>
        <v>0</v>
      </c>
      <c r="U739" s="365">
        <f t="shared" si="491"/>
        <v>0</v>
      </c>
      <c r="V739" s="365">
        <f t="shared" si="491"/>
        <v>0</v>
      </c>
      <c r="W739" s="365">
        <f t="shared" si="491"/>
        <v>0</v>
      </c>
      <c r="X739" s="365">
        <f t="shared" si="491"/>
        <v>0</v>
      </c>
      <c r="Y739" s="365">
        <f t="shared" si="491"/>
        <v>0</v>
      </c>
      <c r="Z739" s="365">
        <f t="shared" si="491"/>
        <v>0</v>
      </c>
      <c r="AA739" s="365">
        <f t="shared" si="491"/>
        <v>0</v>
      </c>
      <c r="AB739" s="365">
        <f t="shared" si="491"/>
        <v>0</v>
      </c>
      <c r="AC739" s="365">
        <f t="shared" si="491"/>
        <v>0</v>
      </c>
      <c r="AD739" s="365">
        <f t="shared" si="491"/>
        <v>0</v>
      </c>
      <c r="AE739" s="365">
        <f t="shared" si="491"/>
        <v>0</v>
      </c>
      <c r="AF739" s="365">
        <f t="shared" si="491"/>
        <v>0</v>
      </c>
      <c r="AG739" s="365">
        <f t="shared" si="491"/>
        <v>0</v>
      </c>
      <c r="AH739" s="365">
        <f t="shared" si="491"/>
        <v>0</v>
      </c>
      <c r="AI739" s="408">
        <f t="shared" si="491"/>
        <v>0</v>
      </c>
    </row>
    <row r="740" spans="1:35">
      <c r="A740" s="990">
        <v>710</v>
      </c>
      <c r="B740" s="990">
        <v>661</v>
      </c>
      <c r="C740" s="990">
        <v>740</v>
      </c>
      <c r="E740" s="1296" t="s">
        <v>931</v>
      </c>
      <c r="F740" s="1301"/>
      <c r="G740" s="24"/>
      <c r="I740" s="98"/>
      <c r="J740" s="97"/>
      <c r="K740" s="74"/>
      <c r="L740" s="74"/>
      <c r="N740" s="371" t="s">
        <v>903</v>
      </c>
      <c r="O740" s="111"/>
      <c r="P740" s="111"/>
      <c r="Q740" s="2042"/>
      <c r="R740" s="2055"/>
      <c r="S740" s="2042"/>
      <c r="T740" s="2042"/>
      <c r="U740" s="2042"/>
      <c r="V740" s="2042"/>
      <c r="W740" s="2042"/>
      <c r="X740" s="2042"/>
      <c r="Y740" s="2042"/>
      <c r="Z740" s="2042"/>
      <c r="AA740" s="2042"/>
      <c r="AB740" s="2042"/>
      <c r="AC740" s="109">
        <f>SUM(Q740,R740,S740)</f>
        <v>0</v>
      </c>
      <c r="AD740" s="109">
        <f>SUM(T740,U740,V740)</f>
        <v>0</v>
      </c>
      <c r="AE740" s="109">
        <f>SUM(W740,X740,Y740)</f>
        <v>0</v>
      </c>
      <c r="AF740" s="109">
        <f>SUM(Z740,AA740,AB740)</f>
        <v>0</v>
      </c>
      <c r="AG740" s="109">
        <f>AC740+AD740</f>
        <v>0</v>
      </c>
      <c r="AH740" s="109">
        <f>AF740+AE740</f>
        <v>0</v>
      </c>
      <c r="AI740" s="376">
        <f>AG740+AH740</f>
        <v>0</v>
      </c>
    </row>
    <row r="741" spans="1:35">
      <c r="A741" s="990">
        <v>711</v>
      </c>
      <c r="B741" s="990">
        <v>662</v>
      </c>
      <c r="C741" s="990">
        <v>741</v>
      </c>
      <c r="E741" s="1296" t="s">
        <v>931</v>
      </c>
      <c r="F741" s="1301"/>
      <c r="G741" s="24"/>
      <c r="I741" s="98"/>
      <c r="J741" s="97"/>
      <c r="K741" s="74"/>
      <c r="L741" s="74"/>
      <c r="N741" s="299" t="s">
        <v>904</v>
      </c>
      <c r="Q741" s="2036"/>
      <c r="R741" s="2040"/>
      <c r="S741" s="2036"/>
      <c r="T741" s="2036"/>
      <c r="U741" s="2036"/>
      <c r="V741" s="2036"/>
      <c r="W741" s="2036"/>
      <c r="X741" s="2036"/>
      <c r="Y741" s="2036"/>
      <c r="Z741" s="2036"/>
      <c r="AA741" s="2036"/>
      <c r="AB741" s="2036"/>
      <c r="AC741" s="19">
        <f>SUM(Q741,R741,S741)</f>
        <v>0</v>
      </c>
      <c r="AD741" s="19">
        <f>SUM(T741,U741,V741)</f>
        <v>0</v>
      </c>
      <c r="AE741" s="19">
        <f>SUM(W741,X741,Y741)</f>
        <v>0</v>
      </c>
      <c r="AF741" s="19">
        <f>SUM(Z741,AA741,AB741)</f>
        <v>0</v>
      </c>
      <c r="AG741" s="19">
        <f>AC741+AD741</f>
        <v>0</v>
      </c>
      <c r="AH741" s="19">
        <f>AF741+AE741</f>
        <v>0</v>
      </c>
      <c r="AI741" s="100">
        <f>AG741+AH741</f>
        <v>0</v>
      </c>
    </row>
    <row r="742" spans="1:35">
      <c r="A742" s="990">
        <v>712</v>
      </c>
      <c r="B742" s="990">
        <v>663</v>
      </c>
      <c r="C742" s="990">
        <v>742</v>
      </c>
      <c r="E742" s="1296" t="s">
        <v>931</v>
      </c>
      <c r="F742" s="1301"/>
      <c r="G742" s="24"/>
      <c r="I742" s="98"/>
      <c r="J742" s="97"/>
      <c r="K742" s="74"/>
      <c r="L742" s="74"/>
      <c r="N742" s="299" t="s">
        <v>905</v>
      </c>
      <c r="O742" s="299"/>
      <c r="P742" s="299"/>
      <c r="Q742" s="2036"/>
      <c r="R742" s="2036"/>
      <c r="S742" s="2036"/>
      <c r="T742" s="2036"/>
      <c r="U742" s="2036"/>
      <c r="V742" s="2036"/>
      <c r="W742" s="2036"/>
      <c r="X742" s="2036"/>
      <c r="Y742" s="2036"/>
      <c r="Z742" s="2036"/>
      <c r="AA742" s="2036"/>
      <c r="AB742" s="2036"/>
      <c r="AC742" s="19">
        <f>SUM(Q742,R742,S742)</f>
        <v>0</v>
      </c>
      <c r="AD742" s="19">
        <f>SUM(T742,U742,V742)</f>
        <v>0</v>
      </c>
      <c r="AE742" s="19">
        <f>SUM(W742,X742,Y742)</f>
        <v>0</v>
      </c>
      <c r="AF742" s="19">
        <f>SUM(Z742,AA742,AB742)</f>
        <v>0</v>
      </c>
      <c r="AG742" s="19">
        <f>AC742+AD742</f>
        <v>0</v>
      </c>
      <c r="AH742" s="19">
        <f>AF742+AE742</f>
        <v>0</v>
      </c>
      <c r="AI742" s="100">
        <f>AG742+AH742</f>
        <v>0</v>
      </c>
    </row>
    <row r="743" spans="1:35">
      <c r="A743" s="990">
        <v>713</v>
      </c>
      <c r="B743" s="990">
        <v>664</v>
      </c>
      <c r="C743" s="990">
        <v>743</v>
      </c>
      <c r="E743" s="1296" t="s">
        <v>931</v>
      </c>
      <c r="F743" s="1301"/>
      <c r="G743" s="24"/>
      <c r="I743" s="98"/>
      <c r="J743" s="97"/>
      <c r="K743" s="74"/>
      <c r="L743" s="74"/>
      <c r="N743" s="299" t="s">
        <v>906</v>
      </c>
      <c r="O743" s="12"/>
      <c r="P743" s="12"/>
      <c r="Q743" s="2037"/>
      <c r="R743" s="2037"/>
      <c r="S743" s="2037"/>
      <c r="T743" s="2037"/>
      <c r="U743" s="2037"/>
      <c r="V743" s="2037"/>
      <c r="W743" s="2037"/>
      <c r="X743" s="2037"/>
      <c r="Y743" s="2037"/>
      <c r="Z743" s="2037"/>
      <c r="AA743" s="2037"/>
      <c r="AB743" s="2037"/>
      <c r="AC743" s="17">
        <f>SUM(Q743,R743,S743)</f>
        <v>0</v>
      </c>
      <c r="AD743" s="17">
        <f>SUM(T743,U743,V743)</f>
        <v>0</v>
      </c>
      <c r="AE743" s="17">
        <f>SUM(W743,X743,Y743)</f>
        <v>0</v>
      </c>
      <c r="AF743" s="17">
        <f>SUM(Z743,AA743,AB743)</f>
        <v>0</v>
      </c>
      <c r="AG743" s="17">
        <f>AC743+AD743</f>
        <v>0</v>
      </c>
      <c r="AH743" s="17">
        <f>AF743+AE743</f>
        <v>0</v>
      </c>
      <c r="AI743" s="99">
        <f>AG743+AH743</f>
        <v>0</v>
      </c>
    </row>
    <row r="744" spans="1:35">
      <c r="A744" s="990">
        <v>714</v>
      </c>
      <c r="B744" s="990">
        <v>1</v>
      </c>
      <c r="C744" s="990">
        <v>744</v>
      </c>
      <c r="E744" s="1243">
        <v>1</v>
      </c>
      <c r="G744" s="24"/>
      <c r="I744" s="98"/>
      <c r="J744" s="97"/>
      <c r="K744" s="74"/>
      <c r="L744" s="74"/>
      <c r="M744" s="1198" t="s">
        <v>275</v>
      </c>
      <c r="N744" s="362"/>
      <c r="O744" s="362"/>
      <c r="P744" s="362"/>
      <c r="Q744" s="365">
        <f t="shared" ref="Q744:AI744" si="492">SUM(Q745:Q748)</f>
        <v>992</v>
      </c>
      <c r="R744" s="2065">
        <f t="shared" si="492"/>
        <v>-2204</v>
      </c>
      <c r="S744" s="365">
        <f t="shared" si="492"/>
        <v>960</v>
      </c>
      <c r="T744" s="365">
        <f t="shared" si="492"/>
        <v>711</v>
      </c>
      <c r="U744" s="365">
        <f t="shared" si="492"/>
        <v>1390</v>
      </c>
      <c r="V744" s="365">
        <f t="shared" si="492"/>
        <v>3522</v>
      </c>
      <c r="W744" s="365">
        <f t="shared" si="492"/>
        <v>149</v>
      </c>
      <c r="X744" s="365">
        <f t="shared" si="492"/>
        <v>660</v>
      </c>
      <c r="Y744" s="365">
        <f t="shared" si="492"/>
        <v>500</v>
      </c>
      <c r="Z744" s="365">
        <f t="shared" si="492"/>
        <v>385</v>
      </c>
      <c r="AA744" s="365">
        <f t="shared" si="492"/>
        <v>963</v>
      </c>
      <c r="AB744" s="365">
        <f t="shared" si="492"/>
        <v>724</v>
      </c>
      <c r="AC744" s="365">
        <f t="shared" si="492"/>
        <v>-252</v>
      </c>
      <c r="AD744" s="365">
        <f t="shared" si="492"/>
        <v>5623</v>
      </c>
      <c r="AE744" s="365">
        <f t="shared" si="492"/>
        <v>1309</v>
      </c>
      <c r="AF744" s="365">
        <f t="shared" si="492"/>
        <v>2072</v>
      </c>
      <c r="AG744" s="365">
        <f t="shared" si="492"/>
        <v>5371</v>
      </c>
      <c r="AH744" s="365">
        <f t="shared" si="492"/>
        <v>3381</v>
      </c>
      <c r="AI744" s="408">
        <f t="shared" si="492"/>
        <v>8752</v>
      </c>
    </row>
    <row r="745" spans="1:35">
      <c r="A745" s="990">
        <v>715</v>
      </c>
      <c r="B745" s="990">
        <v>1</v>
      </c>
      <c r="C745" s="990">
        <v>745</v>
      </c>
      <c r="E745" s="1296" t="s">
        <v>931</v>
      </c>
      <c r="F745" s="1301"/>
      <c r="G745" s="24"/>
      <c r="I745" s="98"/>
      <c r="J745" s="97"/>
      <c r="K745" s="74"/>
      <c r="L745" s="74"/>
      <c r="M745" s="75"/>
      <c r="N745" s="371" t="s">
        <v>903</v>
      </c>
      <c r="O745" s="111"/>
      <c r="P745" s="111"/>
      <c r="Q745" s="2042"/>
      <c r="R745" s="2055"/>
      <c r="S745" s="2042"/>
      <c r="T745" s="2042"/>
      <c r="U745" s="2042"/>
      <c r="V745" s="2042"/>
      <c r="W745" s="2042"/>
      <c r="X745" s="2042"/>
      <c r="Y745" s="2042"/>
      <c r="Z745" s="2042"/>
      <c r="AA745" s="2042"/>
      <c r="AB745" s="2042"/>
      <c r="AC745" s="109">
        <f>SUM(Q745,R745,S745)</f>
        <v>0</v>
      </c>
      <c r="AD745" s="109">
        <f>SUM(T745,U745,V745)</f>
        <v>0</v>
      </c>
      <c r="AE745" s="109">
        <f>SUM(W745,X745,Y745)</f>
        <v>0</v>
      </c>
      <c r="AF745" s="109">
        <f>SUM(Z745,AA745,AB745)</f>
        <v>0</v>
      </c>
      <c r="AG745" s="109">
        <f>AC745+AD745</f>
        <v>0</v>
      </c>
      <c r="AH745" s="109">
        <f>AF745+AE745</f>
        <v>0</v>
      </c>
      <c r="AI745" s="376">
        <f>AG745+AH745</f>
        <v>0</v>
      </c>
    </row>
    <row r="746" spans="1:35">
      <c r="A746" s="990">
        <v>716</v>
      </c>
      <c r="B746" s="990">
        <v>1</v>
      </c>
      <c r="C746" s="990">
        <v>746</v>
      </c>
      <c r="E746" s="1296" t="s">
        <v>931</v>
      </c>
      <c r="F746" s="1301"/>
      <c r="G746" s="24"/>
      <c r="I746" s="98"/>
      <c r="J746" s="97"/>
      <c r="K746" s="74"/>
      <c r="L746" s="74"/>
      <c r="M746" s="75"/>
      <c r="N746" s="299" t="s">
        <v>904</v>
      </c>
      <c r="Q746" s="2036">
        <v>992</v>
      </c>
      <c r="R746" s="2040">
        <f>401-2717+112</f>
        <v>-2204</v>
      </c>
      <c r="S746" s="2036">
        <v>960</v>
      </c>
      <c r="T746" s="2036">
        <v>711</v>
      </c>
      <c r="U746" s="2036">
        <v>1390</v>
      </c>
      <c r="V746" s="2036">
        <v>3522</v>
      </c>
      <c r="W746" s="2036">
        <v>149</v>
      </c>
      <c r="X746" s="2036">
        <f>754+112-206</f>
        <v>660</v>
      </c>
      <c r="Y746" s="2036">
        <v>500</v>
      </c>
      <c r="Z746" s="2036">
        <v>385</v>
      </c>
      <c r="AA746" s="2036">
        <v>963</v>
      </c>
      <c r="AB746" s="2036">
        <v>724</v>
      </c>
      <c r="AC746" s="19">
        <f>SUM(Q746,R746,S746)</f>
        <v>-252</v>
      </c>
      <c r="AD746" s="19">
        <f>SUM(T746,U746,V746)</f>
        <v>5623</v>
      </c>
      <c r="AE746" s="19">
        <f>SUM(W746,X746,Y746)</f>
        <v>1309</v>
      </c>
      <c r="AF746" s="19">
        <f>SUM(Z746,AA746,AB746)</f>
        <v>2072</v>
      </c>
      <c r="AG746" s="19">
        <f>AC746+AD746</f>
        <v>5371</v>
      </c>
      <c r="AH746" s="19">
        <f>AF746+AE746</f>
        <v>3381</v>
      </c>
      <c r="AI746" s="100">
        <f>AG746+AH746</f>
        <v>8752</v>
      </c>
    </row>
    <row r="747" spans="1:35">
      <c r="A747" s="990">
        <v>717</v>
      </c>
      <c r="B747" s="990">
        <v>1</v>
      </c>
      <c r="C747" s="990">
        <v>747</v>
      </c>
      <c r="E747" s="1296" t="s">
        <v>931</v>
      </c>
      <c r="F747" s="1301"/>
      <c r="G747" s="24"/>
      <c r="I747" s="98"/>
      <c r="J747" s="97"/>
      <c r="K747" s="74"/>
      <c r="L747" s="74"/>
      <c r="M747" s="75"/>
      <c r="N747" s="299" t="s">
        <v>905</v>
      </c>
      <c r="O747" s="299"/>
      <c r="P747" s="299"/>
      <c r="Q747" s="2036"/>
      <c r="R747" s="2036"/>
      <c r="S747" s="2036"/>
      <c r="T747" s="2036"/>
      <c r="U747" s="2036"/>
      <c r="V747" s="2036"/>
      <c r="W747" s="2036"/>
      <c r="X747" s="2036"/>
      <c r="Y747" s="2036"/>
      <c r="Z747" s="2036"/>
      <c r="AA747" s="2036"/>
      <c r="AB747" s="2036"/>
      <c r="AC747" s="19">
        <f>SUM(Q747,R747,S747)</f>
        <v>0</v>
      </c>
      <c r="AD747" s="19">
        <f>SUM(T747,U747,V747)</f>
        <v>0</v>
      </c>
      <c r="AE747" s="19">
        <f>SUM(W747,X747,Y747)</f>
        <v>0</v>
      </c>
      <c r="AF747" s="19">
        <f>SUM(Z747,AA747,AB747)</f>
        <v>0</v>
      </c>
      <c r="AG747" s="19">
        <f>AC747+AD747</f>
        <v>0</v>
      </c>
      <c r="AH747" s="19">
        <f>AF747+AE747</f>
        <v>0</v>
      </c>
      <c r="AI747" s="100">
        <f>AG747+AH747</f>
        <v>0</v>
      </c>
    </row>
    <row r="748" spans="1:35">
      <c r="A748" s="990">
        <v>718</v>
      </c>
      <c r="B748" s="990">
        <v>1</v>
      </c>
      <c r="C748" s="990">
        <v>748</v>
      </c>
      <c r="E748" s="1296" t="s">
        <v>931</v>
      </c>
      <c r="F748" s="1301"/>
      <c r="G748" s="24"/>
      <c r="I748" s="98"/>
      <c r="J748" s="97"/>
      <c r="K748" s="73"/>
      <c r="L748" s="73"/>
      <c r="M748" s="276"/>
      <c r="N748" s="298" t="s">
        <v>906</v>
      </c>
      <c r="O748" s="12"/>
      <c r="P748" s="12"/>
      <c r="Q748" s="2037"/>
      <c r="R748" s="2037"/>
      <c r="S748" s="2037"/>
      <c r="T748" s="2037"/>
      <c r="U748" s="2037"/>
      <c r="V748" s="2037"/>
      <c r="W748" s="2037"/>
      <c r="X748" s="2037"/>
      <c r="Y748" s="2037"/>
      <c r="Z748" s="2037"/>
      <c r="AA748" s="2037"/>
      <c r="AB748" s="2037"/>
      <c r="AC748" s="17">
        <f>SUM(Q748,R748,S748)</f>
        <v>0</v>
      </c>
      <c r="AD748" s="17">
        <f>SUM(T748,U748,V748)</f>
        <v>0</v>
      </c>
      <c r="AE748" s="17">
        <f>SUM(W748,X748,Y748)</f>
        <v>0</v>
      </c>
      <c r="AF748" s="17">
        <f>SUM(Z748,AA748,AB748)</f>
        <v>0</v>
      </c>
      <c r="AG748" s="17">
        <f>AC748+AD748</f>
        <v>0</v>
      </c>
      <c r="AH748" s="17">
        <f>AF748+AE748</f>
        <v>0</v>
      </c>
      <c r="AI748" s="99">
        <f>AG748+AH748</f>
        <v>0</v>
      </c>
    </row>
    <row r="749" spans="1:35">
      <c r="A749" s="990">
        <v>719</v>
      </c>
      <c r="B749" s="990">
        <v>665</v>
      </c>
      <c r="C749" s="990">
        <v>749</v>
      </c>
      <c r="E749" s="1243">
        <v>1</v>
      </c>
      <c r="I749" s="98"/>
      <c r="J749" s="97"/>
      <c r="K749" s="69" t="s">
        <v>1023</v>
      </c>
      <c r="L749" s="69"/>
      <c r="M749" s="72"/>
      <c r="N749" s="72"/>
      <c r="O749" s="72"/>
      <c r="P749" s="610"/>
      <c r="Q749" s="2056">
        <f t="shared" ref="Q749:AI749" si="493">SUM(Q750:Q754)</f>
        <v>103</v>
      </c>
      <c r="R749" s="2644">
        <f t="shared" si="493"/>
        <v>20</v>
      </c>
      <c r="S749" s="2056">
        <f t="shared" si="493"/>
        <v>63</v>
      </c>
      <c r="T749" s="2056">
        <f t="shared" si="493"/>
        <v>386</v>
      </c>
      <c r="U749" s="2056">
        <f t="shared" si="493"/>
        <v>130</v>
      </c>
      <c r="V749" s="2056">
        <f t="shared" si="493"/>
        <v>234</v>
      </c>
      <c r="W749" s="2056">
        <f t="shared" si="493"/>
        <v>0</v>
      </c>
      <c r="X749" s="2056">
        <f t="shared" si="493"/>
        <v>374</v>
      </c>
      <c r="Y749" s="2056">
        <f t="shared" si="493"/>
        <v>326</v>
      </c>
      <c r="Z749" s="2056">
        <f t="shared" si="493"/>
        <v>213</v>
      </c>
      <c r="AA749" s="2056">
        <f t="shared" si="493"/>
        <v>76</v>
      </c>
      <c r="AB749" s="2056">
        <f t="shared" si="493"/>
        <v>81</v>
      </c>
      <c r="AC749" s="2056">
        <f t="shared" si="493"/>
        <v>186</v>
      </c>
      <c r="AD749" s="2056">
        <f t="shared" si="493"/>
        <v>750</v>
      </c>
      <c r="AE749" s="2056">
        <f t="shared" si="493"/>
        <v>700</v>
      </c>
      <c r="AF749" s="2056">
        <f t="shared" si="493"/>
        <v>370</v>
      </c>
      <c r="AG749" s="2056">
        <f t="shared" si="493"/>
        <v>936</v>
      </c>
      <c r="AH749" s="2056">
        <f t="shared" si="493"/>
        <v>1070</v>
      </c>
      <c r="AI749" s="2546">
        <f t="shared" si="493"/>
        <v>2006</v>
      </c>
    </row>
    <row r="750" spans="1:35">
      <c r="A750" s="990">
        <v>720</v>
      </c>
      <c r="B750" s="990">
        <v>1</v>
      </c>
      <c r="C750" s="990">
        <v>750</v>
      </c>
      <c r="E750" s="1243">
        <v>1</v>
      </c>
      <c r="G750" s="24"/>
      <c r="I750" s="98"/>
      <c r="J750" s="97"/>
      <c r="K750" s="69"/>
      <c r="L750" s="69"/>
      <c r="M750" s="9" t="s">
        <v>12</v>
      </c>
      <c r="Q750" s="2036"/>
      <c r="R750" s="2040"/>
      <c r="S750" s="2036"/>
      <c r="T750" s="2036"/>
      <c r="U750" s="2036"/>
      <c r="V750" s="2036"/>
      <c r="W750" s="2036"/>
      <c r="X750" s="2036"/>
      <c r="Y750" s="2036"/>
      <c r="Z750" s="2036"/>
      <c r="AA750" s="2036"/>
      <c r="AB750" s="2036"/>
      <c r="AC750" s="19">
        <f>SUM(Q750,R750,S750)</f>
        <v>0</v>
      </c>
      <c r="AD750" s="19">
        <f>SUM(T750,U750,V750)</f>
        <v>0</v>
      </c>
      <c r="AE750" s="19">
        <f>SUM(W750,X750,Y750)</f>
        <v>0</v>
      </c>
      <c r="AF750" s="19">
        <f>SUM(Z750,AA750,AB750)</f>
        <v>0</v>
      </c>
      <c r="AG750" s="19">
        <f>AC750+AD750</f>
        <v>0</v>
      </c>
      <c r="AH750" s="19">
        <f>AF750+AE750</f>
        <v>0</v>
      </c>
      <c r="AI750" s="100">
        <f>AG750+AH750</f>
        <v>0</v>
      </c>
    </row>
    <row r="751" spans="1:35">
      <c r="A751" s="990">
        <v>1</v>
      </c>
      <c r="B751" s="990">
        <v>666</v>
      </c>
      <c r="C751" s="990">
        <v>751</v>
      </c>
      <c r="E751" s="1296" t="s">
        <v>931</v>
      </c>
      <c r="F751" s="1301"/>
      <c r="G751" s="24"/>
      <c r="I751" s="98"/>
      <c r="J751" s="97"/>
      <c r="K751" s="69"/>
      <c r="L751" s="69"/>
      <c r="M751" s="299" t="s">
        <v>693</v>
      </c>
      <c r="Q751" s="2036"/>
      <c r="R751" s="2040"/>
      <c r="S751" s="2036"/>
      <c r="T751" s="2036"/>
      <c r="U751" s="2036"/>
      <c r="V751" s="2036"/>
      <c r="W751" s="2036"/>
      <c r="X751" s="2036"/>
      <c r="Y751" s="2036"/>
      <c r="Z751" s="2036"/>
      <c r="AA751" s="2036"/>
      <c r="AB751" s="2036"/>
      <c r="AC751" s="19">
        <f>SUM(Q751,R751,S751)</f>
        <v>0</v>
      </c>
      <c r="AD751" s="19">
        <f>SUM(T751,U751,V751)</f>
        <v>0</v>
      </c>
      <c r="AE751" s="19">
        <f>SUM(W751,X751,Y751)</f>
        <v>0</v>
      </c>
      <c r="AF751" s="19">
        <f>SUM(Z751,AA751,AB751)</f>
        <v>0</v>
      </c>
      <c r="AG751" s="19">
        <f>AC751+AD751</f>
        <v>0</v>
      </c>
      <c r="AH751" s="19">
        <f>AF751+AE751</f>
        <v>0</v>
      </c>
      <c r="AI751" s="100">
        <f>AG751+AH751</f>
        <v>0</v>
      </c>
    </row>
    <row r="752" spans="1:35">
      <c r="A752" s="990">
        <v>721</v>
      </c>
      <c r="B752" s="990">
        <v>1</v>
      </c>
      <c r="C752" s="990">
        <v>752</v>
      </c>
      <c r="E752" s="1243">
        <v>1</v>
      </c>
      <c r="G752" s="24"/>
      <c r="I752" s="98"/>
      <c r="J752" s="97"/>
      <c r="K752" s="69"/>
      <c r="L752" s="69"/>
      <c r="M752" s="9" t="s">
        <v>13</v>
      </c>
      <c r="Q752" s="2036"/>
      <c r="R752" s="2040"/>
      <c r="S752" s="2036"/>
      <c r="T752" s="2036">
        <v>206</v>
      </c>
      <c r="U752" s="2036"/>
      <c r="V752" s="2036"/>
      <c r="W752" s="2036"/>
      <c r="X752" s="2036"/>
      <c r="Y752" s="2036"/>
      <c r="Z752" s="2036"/>
      <c r="AA752" s="2036"/>
      <c r="AB752" s="2036"/>
      <c r="AC752" s="19">
        <f>SUM(Q752,R752,S752)</f>
        <v>0</v>
      </c>
      <c r="AD752" s="19">
        <f>SUM(T752,U752,V752)</f>
        <v>206</v>
      </c>
      <c r="AE752" s="19">
        <f>SUM(W752,X752,Y752)</f>
        <v>0</v>
      </c>
      <c r="AF752" s="19">
        <f>SUM(Z752,AA752,AB752)</f>
        <v>0</v>
      </c>
      <c r="AG752" s="19">
        <f>AC752+AD752</f>
        <v>206</v>
      </c>
      <c r="AH752" s="19">
        <f>AF752+AE752</f>
        <v>0</v>
      </c>
      <c r="AI752" s="100">
        <f>AG752+AH752</f>
        <v>206</v>
      </c>
    </row>
    <row r="753" spans="1:35">
      <c r="A753" s="990">
        <v>722</v>
      </c>
      <c r="B753" s="990">
        <v>667</v>
      </c>
      <c r="C753" s="990">
        <v>753</v>
      </c>
      <c r="E753" s="1296" t="s">
        <v>931</v>
      </c>
      <c r="F753" s="1301"/>
      <c r="G753" s="24"/>
      <c r="I753" s="98"/>
      <c r="J753" s="97"/>
      <c r="K753" s="69"/>
      <c r="L753" s="69"/>
      <c r="M753" s="299" t="s">
        <v>921</v>
      </c>
      <c r="Q753" s="2036"/>
      <c r="R753" s="2040"/>
      <c r="S753" s="2036"/>
      <c r="T753" s="2036"/>
      <c r="U753" s="2036"/>
      <c r="V753" s="2036"/>
      <c r="W753" s="2036"/>
      <c r="X753" s="2036"/>
      <c r="Y753" s="2036"/>
      <c r="Z753" s="2036"/>
      <c r="AA753" s="2036"/>
      <c r="AB753" s="2036"/>
      <c r="AC753" s="19">
        <f>SUM(Q753,R753,S753)</f>
        <v>0</v>
      </c>
      <c r="AD753" s="19">
        <f>SUM(T753,U753,V753)</f>
        <v>0</v>
      </c>
      <c r="AE753" s="19">
        <f>SUM(W753,X753,Y753)</f>
        <v>0</v>
      </c>
      <c r="AF753" s="19">
        <f>SUM(Z753,AA753,AB753)</f>
        <v>0</v>
      </c>
      <c r="AG753" s="19">
        <f>AC753+AD753</f>
        <v>0</v>
      </c>
      <c r="AH753" s="19">
        <f>AF753+AE753</f>
        <v>0</v>
      </c>
      <c r="AI753" s="100">
        <f>AG753+AH753</f>
        <v>0</v>
      </c>
    </row>
    <row r="754" spans="1:35">
      <c r="A754" s="990">
        <v>723</v>
      </c>
      <c r="B754" s="990">
        <v>1</v>
      </c>
      <c r="C754" s="990">
        <v>754</v>
      </c>
      <c r="E754" s="1243">
        <v>1</v>
      </c>
      <c r="G754" s="24"/>
      <c r="I754" s="96"/>
      <c r="J754" s="95"/>
      <c r="K754" s="68"/>
      <c r="L754" s="68"/>
      <c r="M754" s="276" t="s">
        <v>275</v>
      </c>
      <c r="N754" s="276"/>
      <c r="O754" s="276"/>
      <c r="P754" s="276"/>
      <c r="Q754" s="2037">
        <v>103</v>
      </c>
      <c r="R754" s="2041">
        <v>20</v>
      </c>
      <c r="S754" s="2037">
        <v>63</v>
      </c>
      <c r="T754" s="2037">
        <v>180</v>
      </c>
      <c r="U754" s="2037">
        <v>130</v>
      </c>
      <c r="V754" s="2037">
        <v>234</v>
      </c>
      <c r="W754" s="2037"/>
      <c r="X754" s="2037">
        <v>374</v>
      </c>
      <c r="Y754" s="2037">
        <v>326</v>
      </c>
      <c r="Z754" s="2037">
        <v>213</v>
      </c>
      <c r="AA754" s="2037">
        <v>76</v>
      </c>
      <c r="AB754" s="2037">
        <v>81</v>
      </c>
      <c r="AC754" s="17">
        <f>SUM(Q754,R754,S754)</f>
        <v>186</v>
      </c>
      <c r="AD754" s="17">
        <f>SUM(T754,U754,V754)</f>
        <v>544</v>
      </c>
      <c r="AE754" s="17">
        <f>SUM(W754,X754,Y754)</f>
        <v>700</v>
      </c>
      <c r="AF754" s="17">
        <f>SUM(Z754,AA754,AB754)</f>
        <v>370</v>
      </c>
      <c r="AG754" s="17">
        <f>AC754+AD754</f>
        <v>730</v>
      </c>
      <c r="AH754" s="17">
        <f>AF754+AE754</f>
        <v>1070</v>
      </c>
      <c r="AI754" s="99">
        <f>AG754+AH754</f>
        <v>1800</v>
      </c>
    </row>
    <row r="755" spans="1:35">
      <c r="C755" s="990">
        <v>755</v>
      </c>
      <c r="E755" s="1243">
        <v>1</v>
      </c>
      <c r="Z755" s="292"/>
      <c r="AA755" s="292"/>
      <c r="AB755" s="292"/>
      <c r="AC755" s="292"/>
      <c r="AD755" s="292"/>
      <c r="AE755" s="292"/>
      <c r="AF755" s="292"/>
      <c r="AG755" s="292"/>
      <c r="AH755" s="292"/>
      <c r="AI755" s="870"/>
    </row>
    <row r="756" spans="1:35">
      <c r="A756" s="990">
        <v>725</v>
      </c>
      <c r="B756" s="990">
        <v>1</v>
      </c>
      <c r="C756" s="990">
        <v>756</v>
      </c>
      <c r="D756" s="1121" t="s">
        <v>999</v>
      </c>
      <c r="E756" s="1243">
        <v>1</v>
      </c>
      <c r="F756" s="9"/>
      <c r="G756" s="24" t="s">
        <v>1103</v>
      </c>
    </row>
    <row r="757" spans="1:35" s="75" customFormat="1">
      <c r="A757" s="990">
        <v>726</v>
      </c>
      <c r="B757" s="990">
        <v>1</v>
      </c>
      <c r="C757" s="990">
        <v>757</v>
      </c>
      <c r="D757" s="1121" t="s">
        <v>999</v>
      </c>
      <c r="E757" s="1243">
        <v>1</v>
      </c>
      <c r="F757" s="9"/>
      <c r="G757" s="9"/>
      <c r="H757" s="24"/>
      <c r="I757" s="435" t="s">
        <v>99</v>
      </c>
      <c r="J757" s="436"/>
      <c r="K757" s="437"/>
      <c r="L757" s="437"/>
      <c r="M757" s="437"/>
      <c r="N757" s="437"/>
      <c r="O757" s="437"/>
      <c r="P757" s="437"/>
      <c r="Q757" s="2072">
        <f t="shared" ref="Q757:AI757" si="494">SUM(Q758:Q761)</f>
        <v>18307</v>
      </c>
      <c r="R757" s="2072">
        <f t="shared" si="494"/>
        <v>20145</v>
      </c>
      <c r="S757" s="2072">
        <f t="shared" si="494"/>
        <v>20213</v>
      </c>
      <c r="T757" s="2072">
        <f t="shared" si="494"/>
        <v>20696</v>
      </c>
      <c r="U757" s="2072">
        <f t="shared" si="494"/>
        <v>21913</v>
      </c>
      <c r="V757" s="2072">
        <f t="shared" si="494"/>
        <v>19625</v>
      </c>
      <c r="W757" s="2072">
        <f t="shared" si="494"/>
        <v>21737</v>
      </c>
      <c r="X757" s="2072">
        <f t="shared" si="494"/>
        <v>21608</v>
      </c>
      <c r="Y757" s="2072">
        <f t="shared" si="494"/>
        <v>21808</v>
      </c>
      <c r="Z757" s="2072">
        <f t="shared" si="494"/>
        <v>20933</v>
      </c>
      <c r="AA757" s="2072">
        <f t="shared" si="494"/>
        <v>22626</v>
      </c>
      <c r="AB757" s="2072">
        <f t="shared" si="494"/>
        <v>32022</v>
      </c>
      <c r="AC757" s="2072">
        <f t="shared" si="494"/>
        <v>58665</v>
      </c>
      <c r="AD757" s="2072">
        <f t="shared" si="494"/>
        <v>62234</v>
      </c>
      <c r="AE757" s="2072">
        <f t="shared" si="494"/>
        <v>65153</v>
      </c>
      <c r="AF757" s="2072">
        <f t="shared" si="494"/>
        <v>75581</v>
      </c>
      <c r="AG757" s="2072">
        <f t="shared" si="494"/>
        <v>120899</v>
      </c>
      <c r="AH757" s="2072">
        <f t="shared" si="494"/>
        <v>140734</v>
      </c>
      <c r="AI757" s="2072">
        <f t="shared" si="494"/>
        <v>261633</v>
      </c>
    </row>
    <row r="758" spans="1:35">
      <c r="A758" s="990">
        <v>727</v>
      </c>
      <c r="B758" s="990">
        <v>1</v>
      </c>
      <c r="C758" s="990">
        <v>758</v>
      </c>
      <c r="D758" s="1121" t="s">
        <v>999</v>
      </c>
      <c r="E758" s="1243">
        <v>1</v>
      </c>
      <c r="F758" s="9"/>
      <c r="G758" s="9"/>
      <c r="I758" s="212"/>
      <c r="J758" s="9" t="s">
        <v>1104</v>
      </c>
      <c r="K758" s="9"/>
      <c r="L758" s="9"/>
      <c r="Q758" s="19">
        <f t="shared" ref="Q758:AB761" si="495">SUM(Q763,Q783,Q768,Q773,Q778)</f>
        <v>15692</v>
      </c>
      <c r="R758" s="19">
        <f t="shared" si="495"/>
        <v>16312</v>
      </c>
      <c r="S758" s="19">
        <f t="shared" si="495"/>
        <v>15672</v>
      </c>
      <c r="T758" s="19">
        <f t="shared" si="495"/>
        <v>15927</v>
      </c>
      <c r="U758" s="19">
        <f t="shared" si="495"/>
        <v>15906</v>
      </c>
      <c r="V758" s="19">
        <f t="shared" si="495"/>
        <v>13273</v>
      </c>
      <c r="W758" s="19">
        <f t="shared" si="495"/>
        <v>14564</v>
      </c>
      <c r="X758" s="19">
        <f t="shared" si="495"/>
        <v>14901</v>
      </c>
      <c r="Y758" s="19">
        <f t="shared" si="495"/>
        <v>14760</v>
      </c>
      <c r="Z758" s="19">
        <f t="shared" si="495"/>
        <v>14416</v>
      </c>
      <c r="AA758" s="19">
        <f t="shared" si="495"/>
        <v>14680</v>
      </c>
      <c r="AB758" s="19">
        <f t="shared" si="495"/>
        <v>14704</v>
      </c>
      <c r="AC758" s="145">
        <f>SUM(Q758:S758)</f>
        <v>47676</v>
      </c>
      <c r="AD758" s="145">
        <f>SUM(T758:V758)</f>
        <v>45106</v>
      </c>
      <c r="AE758" s="145">
        <f>SUM(W758:Y758)</f>
        <v>44225</v>
      </c>
      <c r="AF758" s="145">
        <f>SUM(Z758:AB758)</f>
        <v>43800</v>
      </c>
      <c r="AG758" s="145">
        <f>AC758+AD758</f>
        <v>92782</v>
      </c>
      <c r="AH758" s="145">
        <f>AF758+AE758</f>
        <v>88025</v>
      </c>
      <c r="AI758" s="145">
        <f>AG758+AH758</f>
        <v>180807</v>
      </c>
    </row>
    <row r="759" spans="1:35">
      <c r="A759" s="990">
        <v>728</v>
      </c>
      <c r="B759" s="990">
        <v>1</v>
      </c>
      <c r="C759" s="990">
        <v>759</v>
      </c>
      <c r="D759" s="1121" t="s">
        <v>999</v>
      </c>
      <c r="E759" s="1243">
        <v>1</v>
      </c>
      <c r="F759" s="9"/>
      <c r="G759" s="9"/>
      <c r="I759" s="212"/>
      <c r="J759" s="9" t="s">
        <v>1105</v>
      </c>
      <c r="K759" s="9"/>
      <c r="L759" s="9"/>
      <c r="Q759" s="19">
        <f t="shared" si="495"/>
        <v>15</v>
      </c>
      <c r="R759" s="19">
        <f t="shared" si="495"/>
        <v>633</v>
      </c>
      <c r="S759" s="19">
        <f t="shared" si="495"/>
        <v>534</v>
      </c>
      <c r="T759" s="19">
        <f t="shared" si="495"/>
        <v>1099</v>
      </c>
      <c r="U759" s="19">
        <f t="shared" si="495"/>
        <v>2137</v>
      </c>
      <c r="V759" s="19">
        <f t="shared" si="495"/>
        <v>2253</v>
      </c>
      <c r="W759" s="19">
        <f t="shared" si="495"/>
        <v>2674</v>
      </c>
      <c r="X759" s="19">
        <f t="shared" si="495"/>
        <v>2506</v>
      </c>
      <c r="Y759" s="19">
        <f t="shared" si="495"/>
        <v>2423</v>
      </c>
      <c r="Z759" s="19">
        <f t="shared" si="495"/>
        <v>2317</v>
      </c>
      <c r="AA759" s="19">
        <f t="shared" si="495"/>
        <v>3516</v>
      </c>
      <c r="AB759" s="19">
        <f t="shared" si="495"/>
        <v>9799</v>
      </c>
      <c r="AC759" s="145">
        <f>SUM(Q759:S759)</f>
        <v>1182</v>
      </c>
      <c r="AD759" s="145">
        <f>SUM(T759:V759)</f>
        <v>5489</v>
      </c>
      <c r="AE759" s="145">
        <f>SUM(W759:Y759)</f>
        <v>7603</v>
      </c>
      <c r="AF759" s="145">
        <f>SUM(Z759:AB759)</f>
        <v>15632</v>
      </c>
      <c r="AG759" s="145">
        <f>AC759+AD759</f>
        <v>6671</v>
      </c>
      <c r="AH759" s="145">
        <f>AF759+AE759</f>
        <v>23235</v>
      </c>
      <c r="AI759" s="145">
        <f>AG759+AH759</f>
        <v>29906</v>
      </c>
    </row>
    <row r="760" spans="1:35">
      <c r="A760" s="990">
        <v>729</v>
      </c>
      <c r="B760" s="990">
        <v>1</v>
      </c>
      <c r="C760" s="990">
        <v>760</v>
      </c>
      <c r="D760" s="1121" t="s">
        <v>999</v>
      </c>
      <c r="E760" s="1243">
        <v>1</v>
      </c>
      <c r="F760" s="9"/>
      <c r="G760" s="9"/>
      <c r="I760" s="195"/>
      <c r="J760" s="9" t="s">
        <v>1106</v>
      </c>
      <c r="Q760" s="107">
        <f t="shared" si="495"/>
        <v>2600</v>
      </c>
      <c r="R760" s="107">
        <f t="shared" si="495"/>
        <v>3200</v>
      </c>
      <c r="S760" s="107">
        <f t="shared" si="495"/>
        <v>4007</v>
      </c>
      <c r="T760" s="107">
        <f t="shared" si="495"/>
        <v>3670</v>
      </c>
      <c r="U760" s="107">
        <f t="shared" si="495"/>
        <v>3870</v>
      </c>
      <c r="V760" s="107">
        <f t="shared" si="495"/>
        <v>4099</v>
      </c>
      <c r="W760" s="107">
        <f t="shared" si="495"/>
        <v>4499</v>
      </c>
      <c r="X760" s="107">
        <f t="shared" si="495"/>
        <v>4201</v>
      </c>
      <c r="Y760" s="107">
        <f t="shared" si="495"/>
        <v>4625</v>
      </c>
      <c r="Z760" s="107">
        <f t="shared" si="495"/>
        <v>4200</v>
      </c>
      <c r="AA760" s="107">
        <f t="shared" si="495"/>
        <v>4430</v>
      </c>
      <c r="AB760" s="107">
        <f t="shared" si="495"/>
        <v>7519</v>
      </c>
      <c r="AC760" s="145">
        <f>SUM(Q760:S760)</f>
        <v>9807</v>
      </c>
      <c r="AD760" s="145">
        <f>SUM(T760:V760)</f>
        <v>11639</v>
      </c>
      <c r="AE760" s="145">
        <f>SUM(W760:Y760)</f>
        <v>13325</v>
      </c>
      <c r="AF760" s="145">
        <f>SUM(Z760:AB760)</f>
        <v>16149</v>
      </c>
      <c r="AG760" s="145">
        <f>AC760+AD760</f>
        <v>21446</v>
      </c>
      <c r="AH760" s="145">
        <f>AF760+AE760</f>
        <v>29474</v>
      </c>
      <c r="AI760" s="145">
        <f>AG760+AH760</f>
        <v>50920</v>
      </c>
    </row>
    <row r="761" spans="1:35">
      <c r="A761" s="990">
        <v>730</v>
      </c>
      <c r="B761" s="990">
        <v>1</v>
      </c>
      <c r="C761" s="990">
        <v>761</v>
      </c>
      <c r="D761" s="1121" t="s">
        <v>999</v>
      </c>
      <c r="E761" s="1243">
        <v>1</v>
      </c>
      <c r="F761" s="9"/>
      <c r="G761" s="9"/>
      <c r="I761" s="194"/>
      <c r="J761" s="12" t="s">
        <v>1107</v>
      </c>
      <c r="K761" s="18"/>
      <c r="L761" s="18"/>
      <c r="M761" s="12"/>
      <c r="N761" s="12"/>
      <c r="O761" s="12"/>
      <c r="P761" s="12"/>
      <c r="Q761" s="113">
        <f t="shared" si="495"/>
        <v>0</v>
      </c>
      <c r="R761" s="113">
        <f t="shared" si="495"/>
        <v>0</v>
      </c>
      <c r="S761" s="113">
        <f t="shared" si="495"/>
        <v>0</v>
      </c>
      <c r="T761" s="113">
        <f t="shared" si="495"/>
        <v>0</v>
      </c>
      <c r="U761" s="113">
        <f t="shared" si="495"/>
        <v>0</v>
      </c>
      <c r="V761" s="113">
        <f t="shared" si="495"/>
        <v>0</v>
      </c>
      <c r="W761" s="113">
        <f t="shared" si="495"/>
        <v>0</v>
      </c>
      <c r="X761" s="113">
        <f t="shared" si="495"/>
        <v>0</v>
      </c>
      <c r="Y761" s="113">
        <f t="shared" si="495"/>
        <v>0</v>
      </c>
      <c r="Z761" s="113">
        <f t="shared" si="495"/>
        <v>0</v>
      </c>
      <c r="AA761" s="113">
        <f t="shared" si="495"/>
        <v>0</v>
      </c>
      <c r="AB761" s="113">
        <f t="shared" si="495"/>
        <v>0</v>
      </c>
      <c r="AC761" s="142">
        <f>SUM(Q761:S761)</f>
        <v>0</v>
      </c>
      <c r="AD761" s="142">
        <f>SUM(T761:V761)</f>
        <v>0</v>
      </c>
      <c r="AE761" s="142">
        <f>SUM(W761:Y761)</f>
        <v>0</v>
      </c>
      <c r="AF761" s="142">
        <f>SUM(Z761:AB761)</f>
        <v>0</v>
      </c>
      <c r="AG761" s="142">
        <f>AC761+AD761</f>
        <v>0</v>
      </c>
      <c r="AH761" s="142">
        <f>AF761+AE761</f>
        <v>0</v>
      </c>
      <c r="AI761" s="142">
        <f>AG761+AH761</f>
        <v>0</v>
      </c>
    </row>
    <row r="762" spans="1:35" s="75" customFormat="1">
      <c r="A762" s="990">
        <v>731</v>
      </c>
      <c r="B762" s="990">
        <v>1</v>
      </c>
      <c r="C762" s="990">
        <v>762</v>
      </c>
      <c r="D762" s="1121" t="s">
        <v>999</v>
      </c>
      <c r="E762" s="1243">
        <v>1</v>
      </c>
      <c r="F762" s="9"/>
      <c r="G762" s="9"/>
      <c r="H762" s="24"/>
      <c r="I762" s="800" t="s">
        <v>98</v>
      </c>
      <c r="J762" s="801"/>
      <c r="K762" s="802"/>
      <c r="L762" s="802"/>
      <c r="M762" s="802"/>
      <c r="N762" s="802"/>
      <c r="O762" s="802"/>
      <c r="P762" s="802"/>
      <c r="Q762" s="2551">
        <f>SUM(Q763:Q766)</f>
        <v>4917</v>
      </c>
      <c r="R762" s="2551">
        <f t="shared" ref="R762:AI762" si="496">SUM(R763:R766)</f>
        <v>5667</v>
      </c>
      <c r="S762" s="2551">
        <f t="shared" si="496"/>
        <v>6390</v>
      </c>
      <c r="T762" s="2551">
        <f t="shared" si="496"/>
        <v>6792</v>
      </c>
      <c r="U762" s="2551">
        <f t="shared" si="496"/>
        <v>5999</v>
      </c>
      <c r="V762" s="2551">
        <f t="shared" si="496"/>
        <v>6516</v>
      </c>
      <c r="W762" s="2551">
        <f t="shared" si="496"/>
        <v>6794</v>
      </c>
      <c r="X762" s="2551">
        <f t="shared" si="496"/>
        <v>6846</v>
      </c>
      <c r="Y762" s="2551">
        <f t="shared" si="496"/>
        <v>7013</v>
      </c>
      <c r="Z762" s="2551">
        <f t="shared" si="496"/>
        <v>6665</v>
      </c>
      <c r="AA762" s="2551">
        <f t="shared" si="496"/>
        <v>6976</v>
      </c>
      <c r="AB762" s="2551">
        <f t="shared" si="496"/>
        <v>10725</v>
      </c>
      <c r="AC762" s="2551">
        <f t="shared" si="496"/>
        <v>16974</v>
      </c>
      <c r="AD762" s="2551">
        <f t="shared" si="496"/>
        <v>19307</v>
      </c>
      <c r="AE762" s="2551">
        <f t="shared" si="496"/>
        <v>20653</v>
      </c>
      <c r="AF762" s="2551">
        <f t="shared" si="496"/>
        <v>24366</v>
      </c>
      <c r="AG762" s="2551">
        <f t="shared" si="496"/>
        <v>36281</v>
      </c>
      <c r="AH762" s="2551">
        <f t="shared" si="496"/>
        <v>45019</v>
      </c>
      <c r="AI762" s="2551">
        <f t="shared" si="496"/>
        <v>81300</v>
      </c>
    </row>
    <row r="763" spans="1:35">
      <c r="A763" s="990">
        <v>732</v>
      </c>
      <c r="B763" s="990">
        <v>1</v>
      </c>
      <c r="C763" s="990">
        <v>763</v>
      </c>
      <c r="D763" s="1121" t="s">
        <v>999</v>
      </c>
      <c r="E763" s="1243">
        <v>1</v>
      </c>
      <c r="F763" s="9"/>
      <c r="G763" s="9"/>
      <c r="I763" s="293"/>
      <c r="J763" s="9" t="s">
        <v>1104</v>
      </c>
      <c r="K763" s="9"/>
      <c r="L763" s="9"/>
      <c r="Q763" s="19">
        <f t="shared" ref="Q763:AB763" si="497">(Q453+Q457+Q477+Q481)*-1</f>
        <v>2317</v>
      </c>
      <c r="R763" s="19">
        <f t="shared" si="497"/>
        <v>2442</v>
      </c>
      <c r="S763" s="19">
        <f t="shared" si="497"/>
        <v>2351</v>
      </c>
      <c r="T763" s="19">
        <f t="shared" si="497"/>
        <v>2411</v>
      </c>
      <c r="U763" s="19">
        <f t="shared" si="497"/>
        <v>2426</v>
      </c>
      <c r="V763" s="19">
        <f t="shared" si="497"/>
        <v>2116</v>
      </c>
      <c r="W763" s="19">
        <f t="shared" si="497"/>
        <v>2043</v>
      </c>
      <c r="X763" s="19">
        <f t="shared" si="497"/>
        <v>2303</v>
      </c>
      <c r="Y763" s="19">
        <f t="shared" si="497"/>
        <v>2158</v>
      </c>
      <c r="Z763" s="19">
        <f t="shared" si="497"/>
        <v>2179</v>
      </c>
      <c r="AA763" s="19">
        <f t="shared" si="497"/>
        <v>2239</v>
      </c>
      <c r="AB763" s="19">
        <f t="shared" si="497"/>
        <v>2295</v>
      </c>
      <c r="AC763" s="145">
        <f>SUM(Q763:S763)</f>
        <v>7110</v>
      </c>
      <c r="AD763" s="145">
        <f>SUM(T763:V763)</f>
        <v>6953</v>
      </c>
      <c r="AE763" s="145">
        <f>SUM(W763:Y763)</f>
        <v>6504</v>
      </c>
      <c r="AF763" s="145">
        <f>SUM(Z763:AB763)</f>
        <v>6713</v>
      </c>
      <c r="AG763" s="145">
        <f>AC763+AD763</f>
        <v>14063</v>
      </c>
      <c r="AH763" s="145">
        <f>AF763+AE763</f>
        <v>13217</v>
      </c>
      <c r="AI763" s="145">
        <f>AG763+AH763</f>
        <v>27280</v>
      </c>
    </row>
    <row r="764" spans="1:35">
      <c r="A764" s="990">
        <v>733</v>
      </c>
      <c r="B764" s="990">
        <v>1</v>
      </c>
      <c r="C764" s="990">
        <v>764</v>
      </c>
      <c r="D764" s="1121" t="s">
        <v>999</v>
      </c>
      <c r="E764" s="1243">
        <v>1</v>
      </c>
      <c r="F764" s="9"/>
      <c r="G764" s="9"/>
      <c r="I764" s="293"/>
      <c r="J764" s="9" t="s">
        <v>1105</v>
      </c>
      <c r="K764" s="9"/>
      <c r="L764" s="9"/>
      <c r="Q764" s="19">
        <f t="shared" ref="Q764:AB764" si="498">(Q454+Q478)*-1</f>
        <v>0</v>
      </c>
      <c r="R764" s="19">
        <f t="shared" si="498"/>
        <v>25</v>
      </c>
      <c r="S764" s="19">
        <f t="shared" si="498"/>
        <v>32</v>
      </c>
      <c r="T764" s="19">
        <f t="shared" si="498"/>
        <v>711</v>
      </c>
      <c r="U764" s="19">
        <f t="shared" si="498"/>
        <v>-297</v>
      </c>
      <c r="V764" s="19">
        <f t="shared" si="498"/>
        <v>301</v>
      </c>
      <c r="W764" s="19">
        <f t="shared" si="498"/>
        <v>252</v>
      </c>
      <c r="X764" s="19">
        <f t="shared" si="498"/>
        <v>342</v>
      </c>
      <c r="Y764" s="19">
        <f t="shared" si="498"/>
        <v>230</v>
      </c>
      <c r="Z764" s="19">
        <f t="shared" si="498"/>
        <v>286</v>
      </c>
      <c r="AA764" s="19">
        <f t="shared" si="498"/>
        <v>307</v>
      </c>
      <c r="AB764" s="19">
        <f t="shared" si="498"/>
        <v>911</v>
      </c>
      <c r="AC764" s="145">
        <f>SUM(Q764:S764)</f>
        <v>57</v>
      </c>
      <c r="AD764" s="145">
        <f>SUM(T764:V764)</f>
        <v>715</v>
      </c>
      <c r="AE764" s="145">
        <f>SUM(W764:Y764)</f>
        <v>824</v>
      </c>
      <c r="AF764" s="145">
        <f>SUM(Z764:AB764)</f>
        <v>1504</v>
      </c>
      <c r="AG764" s="145">
        <f>AC764+AD764</f>
        <v>772</v>
      </c>
      <c r="AH764" s="145">
        <f>AF764+AE764</f>
        <v>2328</v>
      </c>
      <c r="AI764" s="145">
        <f>AG764+AH764</f>
        <v>3100</v>
      </c>
    </row>
    <row r="765" spans="1:35">
      <c r="A765" s="990">
        <v>734</v>
      </c>
      <c r="B765" s="990">
        <v>1</v>
      </c>
      <c r="C765" s="990">
        <v>765</v>
      </c>
      <c r="D765" s="1121" t="s">
        <v>999</v>
      </c>
      <c r="E765" s="1243">
        <v>1</v>
      </c>
      <c r="F765" s="9"/>
      <c r="G765" s="9"/>
      <c r="I765" s="195"/>
      <c r="J765" s="9" t="s">
        <v>1106</v>
      </c>
      <c r="Q765" s="107">
        <f t="shared" ref="Q765:AB765" si="499">(Q455+Q458+Q479+Q482)*-1</f>
        <v>2600</v>
      </c>
      <c r="R765" s="107">
        <f t="shared" si="499"/>
        <v>3200</v>
      </c>
      <c r="S765" s="107">
        <f t="shared" si="499"/>
        <v>4007</v>
      </c>
      <c r="T765" s="107">
        <f t="shared" si="499"/>
        <v>3670</v>
      </c>
      <c r="U765" s="107">
        <f t="shared" si="499"/>
        <v>3870</v>
      </c>
      <c r="V765" s="107">
        <f t="shared" si="499"/>
        <v>4099</v>
      </c>
      <c r="W765" s="107">
        <f t="shared" si="499"/>
        <v>4499</v>
      </c>
      <c r="X765" s="107">
        <f t="shared" si="499"/>
        <v>4201</v>
      </c>
      <c r="Y765" s="107">
        <f t="shared" si="499"/>
        <v>4625</v>
      </c>
      <c r="Z765" s="107">
        <f t="shared" si="499"/>
        <v>4200</v>
      </c>
      <c r="AA765" s="107">
        <f t="shared" si="499"/>
        <v>4430</v>
      </c>
      <c r="AB765" s="107">
        <f t="shared" si="499"/>
        <v>7519</v>
      </c>
      <c r="AC765" s="145">
        <f>SUM(Q765:S765)</f>
        <v>9807</v>
      </c>
      <c r="AD765" s="145">
        <f>SUM(T765:V765)</f>
        <v>11639</v>
      </c>
      <c r="AE765" s="145">
        <f>SUM(W765:Y765)</f>
        <v>13325</v>
      </c>
      <c r="AF765" s="145">
        <f>SUM(Z765:AB765)</f>
        <v>16149</v>
      </c>
      <c r="AG765" s="145">
        <f>AC765+AD765</f>
        <v>21446</v>
      </c>
      <c r="AH765" s="145">
        <f>AF765+AE765</f>
        <v>29474</v>
      </c>
      <c r="AI765" s="145">
        <f>AG765+AH765</f>
        <v>50920</v>
      </c>
    </row>
    <row r="766" spans="1:35">
      <c r="A766" s="990">
        <v>735</v>
      </c>
      <c r="B766" s="990">
        <v>1</v>
      </c>
      <c r="C766" s="990">
        <v>766</v>
      </c>
      <c r="D766" s="1121" t="s">
        <v>999</v>
      </c>
      <c r="E766" s="1243">
        <v>1</v>
      </c>
      <c r="F766" s="9"/>
      <c r="G766" s="9"/>
      <c r="I766" s="194"/>
      <c r="J766" s="12" t="s">
        <v>1107</v>
      </c>
      <c r="K766" s="18"/>
      <c r="L766" s="18"/>
      <c r="M766" s="12"/>
      <c r="N766" s="12"/>
      <c r="O766" s="12"/>
      <c r="P766" s="12"/>
      <c r="Q766" s="113">
        <f t="shared" ref="Q766:AB766" si="500">(Q459+Q483)*-1</f>
        <v>0</v>
      </c>
      <c r="R766" s="113">
        <f t="shared" si="500"/>
        <v>0</v>
      </c>
      <c r="S766" s="113">
        <f t="shared" si="500"/>
        <v>0</v>
      </c>
      <c r="T766" s="113">
        <f t="shared" si="500"/>
        <v>0</v>
      </c>
      <c r="U766" s="113">
        <f t="shared" si="500"/>
        <v>0</v>
      </c>
      <c r="V766" s="113">
        <f t="shared" si="500"/>
        <v>0</v>
      </c>
      <c r="W766" s="113">
        <f t="shared" si="500"/>
        <v>0</v>
      </c>
      <c r="X766" s="113">
        <f t="shared" si="500"/>
        <v>0</v>
      </c>
      <c r="Y766" s="113">
        <f t="shared" si="500"/>
        <v>0</v>
      </c>
      <c r="Z766" s="113">
        <f t="shared" si="500"/>
        <v>0</v>
      </c>
      <c r="AA766" s="113">
        <f t="shared" si="500"/>
        <v>0</v>
      </c>
      <c r="AB766" s="113">
        <f t="shared" si="500"/>
        <v>0</v>
      </c>
      <c r="AC766" s="142">
        <f>SUM(Q766:S766)</f>
        <v>0</v>
      </c>
      <c r="AD766" s="142">
        <f>SUM(T766:V766)</f>
        <v>0</v>
      </c>
      <c r="AE766" s="142">
        <f>SUM(W766:Y766)</f>
        <v>0</v>
      </c>
      <c r="AF766" s="142">
        <f>SUM(Z766:AB766)</f>
        <v>0</v>
      </c>
      <c r="AG766" s="142">
        <f>AC766+AD766</f>
        <v>0</v>
      </c>
      <c r="AH766" s="142">
        <f>AF766+AE766</f>
        <v>0</v>
      </c>
      <c r="AI766" s="142">
        <f>AG766+AH766</f>
        <v>0</v>
      </c>
    </row>
    <row r="767" spans="1:35" s="75" customFormat="1">
      <c r="A767" s="990">
        <v>736</v>
      </c>
      <c r="B767" s="990">
        <v>1</v>
      </c>
      <c r="C767" s="990">
        <v>767</v>
      </c>
      <c r="D767" s="1121" t="s">
        <v>999</v>
      </c>
      <c r="E767" s="1243">
        <v>1</v>
      </c>
      <c r="F767" s="9"/>
      <c r="G767" s="9"/>
      <c r="H767" s="24"/>
      <c r="I767" s="803" t="s">
        <v>1035</v>
      </c>
      <c r="J767" s="804"/>
      <c r="K767" s="805"/>
      <c r="L767" s="805"/>
      <c r="M767" s="805"/>
      <c r="N767" s="805"/>
      <c r="O767" s="805"/>
      <c r="P767" s="805"/>
      <c r="Q767" s="2070">
        <f>SUM(Q768:Q771)</f>
        <v>12580</v>
      </c>
      <c r="R767" s="2070">
        <f t="shared" ref="R767:AI767" si="501">SUM(R768:R771)</f>
        <v>13527</v>
      </c>
      <c r="S767" s="2070">
        <f t="shared" si="501"/>
        <v>13056</v>
      </c>
      <c r="T767" s="2070">
        <f t="shared" si="501"/>
        <v>13072</v>
      </c>
      <c r="U767" s="2070">
        <f t="shared" si="501"/>
        <v>15035</v>
      </c>
      <c r="V767" s="2070">
        <f t="shared" si="501"/>
        <v>12259</v>
      </c>
      <c r="W767" s="2070">
        <f t="shared" si="501"/>
        <v>14146</v>
      </c>
      <c r="X767" s="2070">
        <f t="shared" si="501"/>
        <v>13879</v>
      </c>
      <c r="Y767" s="2070">
        <f t="shared" si="501"/>
        <v>13996</v>
      </c>
      <c r="Z767" s="2070">
        <f t="shared" si="501"/>
        <v>13555</v>
      </c>
      <c r="AA767" s="2070">
        <f t="shared" si="501"/>
        <v>14748</v>
      </c>
      <c r="AB767" s="2070">
        <f t="shared" si="501"/>
        <v>20368</v>
      </c>
      <c r="AC767" s="2070">
        <f>SUM(AC768:AC771)</f>
        <v>39163</v>
      </c>
      <c r="AD767" s="2070">
        <f t="shared" si="501"/>
        <v>40366</v>
      </c>
      <c r="AE767" s="2070">
        <f t="shared" si="501"/>
        <v>42021</v>
      </c>
      <c r="AF767" s="2070">
        <f t="shared" si="501"/>
        <v>48671</v>
      </c>
      <c r="AG767" s="2070">
        <f t="shared" si="501"/>
        <v>79529</v>
      </c>
      <c r="AH767" s="2070">
        <f t="shared" si="501"/>
        <v>90692</v>
      </c>
      <c r="AI767" s="2070">
        <f t="shared" si="501"/>
        <v>170221</v>
      </c>
    </row>
    <row r="768" spans="1:35">
      <c r="A768" s="990">
        <v>737</v>
      </c>
      <c r="B768" s="990">
        <v>1</v>
      </c>
      <c r="C768" s="990">
        <v>768</v>
      </c>
      <c r="D768" s="1121" t="s">
        <v>999</v>
      </c>
      <c r="E768" s="1243">
        <v>1</v>
      </c>
      <c r="F768" s="9"/>
      <c r="G768" s="9"/>
      <c r="I768" s="293"/>
      <c r="J768" s="9" t="s">
        <v>1104</v>
      </c>
      <c r="K768" s="9"/>
      <c r="L768" s="9"/>
      <c r="Q768" s="19">
        <f t="shared" ref="Q768:AB768" si="502">(Q529+Q533+Q552+Q556)*-1</f>
        <v>12565</v>
      </c>
      <c r="R768" s="19">
        <f t="shared" si="502"/>
        <v>12919</v>
      </c>
      <c r="S768" s="19">
        <f t="shared" si="502"/>
        <v>12554</v>
      </c>
      <c r="T768" s="19">
        <f t="shared" si="502"/>
        <v>12684</v>
      </c>
      <c r="U768" s="19">
        <f t="shared" si="502"/>
        <v>12684</v>
      </c>
      <c r="V768" s="19">
        <f t="shared" si="502"/>
        <v>10419</v>
      </c>
      <c r="W768" s="19">
        <f t="shared" si="502"/>
        <v>11770</v>
      </c>
      <c r="X768" s="19">
        <f t="shared" si="502"/>
        <v>11817</v>
      </c>
      <c r="Y768" s="19">
        <f t="shared" si="502"/>
        <v>11893</v>
      </c>
      <c r="Z768" s="19">
        <f t="shared" si="502"/>
        <v>11536</v>
      </c>
      <c r="AA768" s="19">
        <f t="shared" si="502"/>
        <v>11727</v>
      </c>
      <c r="AB768" s="19">
        <f t="shared" si="502"/>
        <v>11701</v>
      </c>
      <c r="AC768" s="145">
        <f>SUM(Q768:S768)</f>
        <v>38038</v>
      </c>
      <c r="AD768" s="145">
        <f>SUM(T768:V768)</f>
        <v>35787</v>
      </c>
      <c r="AE768" s="145">
        <f>SUM(W768:Y768)</f>
        <v>35480</v>
      </c>
      <c r="AF768" s="145">
        <f>SUM(Z768:AB768)</f>
        <v>34964</v>
      </c>
      <c r="AG768" s="145">
        <f>AC768+AD768</f>
        <v>73825</v>
      </c>
      <c r="AH768" s="145">
        <f>AF768+AE768</f>
        <v>70444</v>
      </c>
      <c r="AI768" s="145">
        <f>AG768+AH768</f>
        <v>144269</v>
      </c>
    </row>
    <row r="769" spans="1:35">
      <c r="A769" s="990">
        <v>738</v>
      </c>
      <c r="B769" s="990">
        <v>1</v>
      </c>
      <c r="C769" s="990">
        <v>769</v>
      </c>
      <c r="D769" s="1121" t="s">
        <v>999</v>
      </c>
      <c r="E769" s="1243">
        <v>1</v>
      </c>
      <c r="F769" s="9"/>
      <c r="G769" s="9"/>
      <c r="I769" s="293"/>
      <c r="J769" s="9" t="s">
        <v>1105</v>
      </c>
      <c r="K769" s="9"/>
      <c r="L769" s="9"/>
      <c r="Q769" s="19">
        <f t="shared" ref="Q769:AB769" si="503">(Q530+Q553)*-1</f>
        <v>15</v>
      </c>
      <c r="R769" s="19">
        <f t="shared" si="503"/>
        <v>608</v>
      </c>
      <c r="S769" s="19">
        <f t="shared" si="503"/>
        <v>502</v>
      </c>
      <c r="T769" s="19">
        <f t="shared" si="503"/>
        <v>388</v>
      </c>
      <c r="U769" s="19">
        <f t="shared" si="503"/>
        <v>2351</v>
      </c>
      <c r="V769" s="19">
        <f t="shared" si="503"/>
        <v>1840</v>
      </c>
      <c r="W769" s="19">
        <f t="shared" si="503"/>
        <v>2376</v>
      </c>
      <c r="X769" s="19">
        <f t="shared" si="503"/>
        <v>2062</v>
      </c>
      <c r="Y769" s="19">
        <f t="shared" si="503"/>
        <v>2103</v>
      </c>
      <c r="Z769" s="19">
        <f t="shared" si="503"/>
        <v>2019</v>
      </c>
      <c r="AA769" s="19">
        <f t="shared" si="503"/>
        <v>3021</v>
      </c>
      <c r="AB769" s="19">
        <f t="shared" si="503"/>
        <v>8667</v>
      </c>
      <c r="AC769" s="145">
        <f>SUM(Q769:S769)</f>
        <v>1125</v>
      </c>
      <c r="AD769" s="145">
        <f>SUM(T769:V769)</f>
        <v>4579</v>
      </c>
      <c r="AE769" s="145">
        <f>SUM(W769:Y769)</f>
        <v>6541</v>
      </c>
      <c r="AF769" s="145">
        <f>SUM(Z769:AB769)</f>
        <v>13707</v>
      </c>
      <c r="AG769" s="145">
        <f>AC769+AD769</f>
        <v>5704</v>
      </c>
      <c r="AH769" s="145">
        <f>AF769+AE769</f>
        <v>20248</v>
      </c>
      <c r="AI769" s="145">
        <f>AG769+AH769</f>
        <v>25952</v>
      </c>
    </row>
    <row r="770" spans="1:35">
      <c r="A770" s="990">
        <v>739</v>
      </c>
      <c r="B770" s="990">
        <v>1</v>
      </c>
      <c r="C770" s="990">
        <v>770</v>
      </c>
      <c r="D770" s="1121" t="s">
        <v>999</v>
      </c>
      <c r="E770" s="1243">
        <v>1</v>
      </c>
      <c r="F770" s="9"/>
      <c r="G770" s="9"/>
      <c r="I770" s="195"/>
      <c r="J770" s="9" t="s">
        <v>1106</v>
      </c>
      <c r="Q770" s="107">
        <f t="shared" ref="Q770:AB770" si="504">(Q531+Q534+Q554+Q557)*-1</f>
        <v>0</v>
      </c>
      <c r="R770" s="107">
        <f t="shared" si="504"/>
        <v>0</v>
      </c>
      <c r="S770" s="107">
        <f t="shared" si="504"/>
        <v>0</v>
      </c>
      <c r="T770" s="107">
        <f t="shared" si="504"/>
        <v>0</v>
      </c>
      <c r="U770" s="107">
        <f t="shared" si="504"/>
        <v>0</v>
      </c>
      <c r="V770" s="107">
        <f t="shared" si="504"/>
        <v>0</v>
      </c>
      <c r="W770" s="107">
        <f t="shared" si="504"/>
        <v>0</v>
      </c>
      <c r="X770" s="107">
        <f t="shared" si="504"/>
        <v>0</v>
      </c>
      <c r="Y770" s="107">
        <f t="shared" si="504"/>
        <v>0</v>
      </c>
      <c r="Z770" s="107">
        <f t="shared" si="504"/>
        <v>0</v>
      </c>
      <c r="AA770" s="107">
        <f t="shared" si="504"/>
        <v>0</v>
      </c>
      <c r="AB770" s="107">
        <f t="shared" si="504"/>
        <v>0</v>
      </c>
      <c r="AC770" s="145">
        <f>SUM(Q770:S770)</f>
        <v>0</v>
      </c>
      <c r="AD770" s="145">
        <f>SUM(T770:V770)</f>
        <v>0</v>
      </c>
      <c r="AE770" s="145">
        <f>SUM(W770:Y770)</f>
        <v>0</v>
      </c>
      <c r="AF770" s="145">
        <f>SUM(Z770:AB770)</f>
        <v>0</v>
      </c>
      <c r="AG770" s="145">
        <f>AC770+AD770</f>
        <v>0</v>
      </c>
      <c r="AH770" s="145">
        <f>AF770+AE770</f>
        <v>0</v>
      </c>
      <c r="AI770" s="145">
        <f>AG770+AH770</f>
        <v>0</v>
      </c>
    </row>
    <row r="771" spans="1:35">
      <c r="A771" s="990">
        <v>740</v>
      </c>
      <c r="B771" s="990">
        <v>1</v>
      </c>
      <c r="C771" s="990">
        <v>771</v>
      </c>
      <c r="D771" s="1121" t="s">
        <v>999</v>
      </c>
      <c r="E771" s="1243">
        <v>1</v>
      </c>
      <c r="F771" s="9"/>
      <c r="G771" s="9"/>
      <c r="I771" s="194"/>
      <c r="J771" s="12" t="s">
        <v>1107</v>
      </c>
      <c r="K771" s="18"/>
      <c r="L771" s="18"/>
      <c r="M771" s="12"/>
      <c r="N771" s="12"/>
      <c r="O771" s="12"/>
      <c r="P771" s="12"/>
      <c r="Q771" s="113">
        <f t="shared" ref="Q771:AB771" si="505">(Q535+Q558)*-1</f>
        <v>0</v>
      </c>
      <c r="R771" s="113">
        <f t="shared" si="505"/>
        <v>0</v>
      </c>
      <c r="S771" s="113">
        <f t="shared" si="505"/>
        <v>0</v>
      </c>
      <c r="T771" s="113">
        <f t="shared" si="505"/>
        <v>0</v>
      </c>
      <c r="U771" s="113">
        <f t="shared" si="505"/>
        <v>0</v>
      </c>
      <c r="V771" s="113">
        <f t="shared" si="505"/>
        <v>0</v>
      </c>
      <c r="W771" s="113">
        <f t="shared" si="505"/>
        <v>0</v>
      </c>
      <c r="X771" s="113">
        <f t="shared" si="505"/>
        <v>0</v>
      </c>
      <c r="Y771" s="113">
        <f t="shared" si="505"/>
        <v>0</v>
      </c>
      <c r="Z771" s="113">
        <f t="shared" si="505"/>
        <v>0</v>
      </c>
      <c r="AA771" s="113">
        <f t="shared" si="505"/>
        <v>0</v>
      </c>
      <c r="AB771" s="113">
        <f t="shared" si="505"/>
        <v>0</v>
      </c>
      <c r="AC771" s="142">
        <f>SUM(Q771:S771)</f>
        <v>0</v>
      </c>
      <c r="AD771" s="142">
        <f>SUM(T771:V771)</f>
        <v>0</v>
      </c>
      <c r="AE771" s="142">
        <f>SUM(W771:Y771)</f>
        <v>0</v>
      </c>
      <c r="AF771" s="142">
        <f>SUM(Z771:AB771)</f>
        <v>0</v>
      </c>
      <c r="AG771" s="142">
        <f>AC771+AD771</f>
        <v>0</v>
      </c>
      <c r="AH771" s="142">
        <f>AF771+AE771</f>
        <v>0</v>
      </c>
      <c r="AI771" s="142">
        <f>AG771+AH771</f>
        <v>0</v>
      </c>
    </row>
    <row r="772" spans="1:35" s="75" customFormat="1">
      <c r="A772" s="990">
        <v>741</v>
      </c>
      <c r="B772" s="990">
        <v>1</v>
      </c>
      <c r="C772" s="990">
        <v>772</v>
      </c>
      <c r="D772" s="1121" t="s">
        <v>999</v>
      </c>
      <c r="E772" s="1243">
        <v>1</v>
      </c>
      <c r="F772" s="9"/>
      <c r="G772" s="9"/>
      <c r="H772" s="24"/>
      <c r="I772" s="806" t="s">
        <v>1038</v>
      </c>
      <c r="J772" s="807"/>
      <c r="K772" s="808"/>
      <c r="L772" s="808"/>
      <c r="M772" s="808"/>
      <c r="N772" s="808"/>
      <c r="O772" s="808"/>
      <c r="P772" s="808"/>
      <c r="Q772" s="2073">
        <f>SUM(Q773:Q776)</f>
        <v>810</v>
      </c>
      <c r="R772" s="2073">
        <f t="shared" ref="R772:AI772" si="506">SUM(R773:R776)</f>
        <v>951</v>
      </c>
      <c r="S772" s="2073">
        <f t="shared" si="506"/>
        <v>767</v>
      </c>
      <c r="T772" s="2073">
        <f t="shared" si="506"/>
        <v>832</v>
      </c>
      <c r="U772" s="2073">
        <f t="shared" si="506"/>
        <v>879</v>
      </c>
      <c r="V772" s="2073">
        <f t="shared" si="506"/>
        <v>850</v>
      </c>
      <c r="W772" s="2073">
        <f t="shared" si="506"/>
        <v>797</v>
      </c>
      <c r="X772" s="2073">
        <f t="shared" si="506"/>
        <v>883</v>
      </c>
      <c r="Y772" s="2073">
        <f t="shared" si="506"/>
        <v>799</v>
      </c>
      <c r="Z772" s="2073">
        <f t="shared" si="506"/>
        <v>713</v>
      </c>
      <c r="AA772" s="2073">
        <f t="shared" si="506"/>
        <v>902</v>
      </c>
      <c r="AB772" s="2073">
        <f t="shared" si="506"/>
        <v>929</v>
      </c>
      <c r="AC772" s="2073">
        <f>SUM(AC773:AC776)</f>
        <v>2528</v>
      </c>
      <c r="AD772" s="2073">
        <f t="shared" si="506"/>
        <v>2561</v>
      </c>
      <c r="AE772" s="2073">
        <f t="shared" si="506"/>
        <v>2479</v>
      </c>
      <c r="AF772" s="2073">
        <f t="shared" si="506"/>
        <v>2544</v>
      </c>
      <c r="AG772" s="2073">
        <f t="shared" si="506"/>
        <v>5089</v>
      </c>
      <c r="AH772" s="2073">
        <f t="shared" si="506"/>
        <v>5023</v>
      </c>
      <c r="AI772" s="2073">
        <f t="shared" si="506"/>
        <v>10112</v>
      </c>
    </row>
    <row r="773" spans="1:35">
      <c r="A773" s="990">
        <v>742</v>
      </c>
      <c r="B773" s="990">
        <v>1</v>
      </c>
      <c r="C773" s="990">
        <v>773</v>
      </c>
      <c r="D773" s="1121" t="s">
        <v>999</v>
      </c>
      <c r="E773" s="1243">
        <v>1</v>
      </c>
      <c r="F773" s="9"/>
      <c r="G773" s="9"/>
      <c r="I773" s="293"/>
      <c r="J773" s="9" t="s">
        <v>1104</v>
      </c>
      <c r="K773" s="9"/>
      <c r="L773" s="9"/>
      <c r="Q773" s="19">
        <f t="shared" ref="Q773:AB773" si="507">(Q611+Q617+Q623+Q629+Q635+Q639+Q655+Q661+Q667+Q673+Q679+Q683)*-1</f>
        <v>810</v>
      </c>
      <c r="R773" s="19">
        <f t="shared" si="507"/>
        <v>951</v>
      </c>
      <c r="S773" s="19">
        <f t="shared" si="507"/>
        <v>767</v>
      </c>
      <c r="T773" s="19">
        <f t="shared" si="507"/>
        <v>832</v>
      </c>
      <c r="U773" s="19">
        <f t="shared" si="507"/>
        <v>796</v>
      </c>
      <c r="V773" s="19">
        <f t="shared" si="507"/>
        <v>738</v>
      </c>
      <c r="W773" s="19">
        <f t="shared" si="507"/>
        <v>751</v>
      </c>
      <c r="X773" s="19">
        <f t="shared" si="507"/>
        <v>781</v>
      </c>
      <c r="Y773" s="19">
        <f t="shared" si="507"/>
        <v>709</v>
      </c>
      <c r="Z773" s="19">
        <f t="shared" si="507"/>
        <v>701</v>
      </c>
      <c r="AA773" s="19">
        <f t="shared" si="507"/>
        <v>714</v>
      </c>
      <c r="AB773" s="19">
        <f t="shared" si="507"/>
        <v>708</v>
      </c>
      <c r="AC773" s="145">
        <f>SUM(Q773:S773)</f>
        <v>2528</v>
      </c>
      <c r="AD773" s="145">
        <f>SUM(T773:V773)</f>
        <v>2366</v>
      </c>
      <c r="AE773" s="145">
        <f>SUM(W773:Y773)</f>
        <v>2241</v>
      </c>
      <c r="AF773" s="145">
        <f>SUM(Z773:AB773)</f>
        <v>2123</v>
      </c>
      <c r="AG773" s="145">
        <f>AC773+AD773</f>
        <v>4894</v>
      </c>
      <c r="AH773" s="145">
        <f>AF773+AE773</f>
        <v>4364</v>
      </c>
      <c r="AI773" s="145">
        <f>AG773+AH773</f>
        <v>9258</v>
      </c>
    </row>
    <row r="774" spans="1:35">
      <c r="A774" s="990">
        <v>743</v>
      </c>
      <c r="B774" s="990">
        <v>1</v>
      </c>
      <c r="C774" s="990">
        <v>774</v>
      </c>
      <c r="D774" s="1121" t="s">
        <v>999</v>
      </c>
      <c r="E774" s="1243">
        <v>1</v>
      </c>
      <c r="F774" s="9"/>
      <c r="G774" s="9"/>
      <c r="I774" s="293"/>
      <c r="J774" s="9" t="s">
        <v>1105</v>
      </c>
      <c r="K774" s="9"/>
      <c r="L774" s="9"/>
      <c r="Q774" s="19">
        <f t="shared" ref="Q774:AB774" si="508">(Q612+Q618+Q624+Q630+Q636+Q656+Q662+Q668+Q674+Q680)*-1</f>
        <v>0</v>
      </c>
      <c r="R774" s="19">
        <f t="shared" si="508"/>
        <v>0</v>
      </c>
      <c r="S774" s="19">
        <f t="shared" si="508"/>
        <v>0</v>
      </c>
      <c r="T774" s="19">
        <f t="shared" si="508"/>
        <v>0</v>
      </c>
      <c r="U774" s="19">
        <f t="shared" si="508"/>
        <v>83</v>
      </c>
      <c r="V774" s="19">
        <f t="shared" si="508"/>
        <v>112</v>
      </c>
      <c r="W774" s="19">
        <f t="shared" si="508"/>
        <v>46</v>
      </c>
      <c r="X774" s="19">
        <f t="shared" si="508"/>
        <v>102</v>
      </c>
      <c r="Y774" s="19">
        <f t="shared" si="508"/>
        <v>90</v>
      </c>
      <c r="Z774" s="19">
        <f t="shared" si="508"/>
        <v>12</v>
      </c>
      <c r="AA774" s="19">
        <f t="shared" si="508"/>
        <v>188</v>
      </c>
      <c r="AB774" s="19">
        <f t="shared" si="508"/>
        <v>221</v>
      </c>
      <c r="AC774" s="145">
        <f>SUM(Q774:S774)</f>
        <v>0</v>
      </c>
      <c r="AD774" s="145">
        <f>SUM(T774:V774)</f>
        <v>195</v>
      </c>
      <c r="AE774" s="145">
        <f>SUM(W774:Y774)</f>
        <v>238</v>
      </c>
      <c r="AF774" s="145">
        <f>SUM(Z774:AB774)</f>
        <v>421</v>
      </c>
      <c r="AG774" s="145">
        <f>AC774+AD774</f>
        <v>195</v>
      </c>
      <c r="AH774" s="145">
        <f>AF774+AE774</f>
        <v>659</v>
      </c>
      <c r="AI774" s="145">
        <f>AG774+AH774</f>
        <v>854</v>
      </c>
    </row>
    <row r="775" spans="1:35">
      <c r="A775" s="990">
        <v>744</v>
      </c>
      <c r="B775" s="990">
        <v>1</v>
      </c>
      <c r="C775" s="990">
        <v>775</v>
      </c>
      <c r="D775" s="1121" t="s">
        <v>999</v>
      </c>
      <c r="E775" s="1243">
        <v>1</v>
      </c>
      <c r="F775" s="9"/>
      <c r="G775" s="9"/>
      <c r="I775" s="195"/>
      <c r="J775" s="9" t="s">
        <v>1106</v>
      </c>
      <c r="Q775" s="107">
        <f t="shared" ref="Q775:AB775" si="509">(Q613+Q619+Q625+Q631+Q637+Q640+Q657+Q663+Q669+Q675+Q681+Q684)*-1</f>
        <v>0</v>
      </c>
      <c r="R775" s="107">
        <f t="shared" si="509"/>
        <v>0</v>
      </c>
      <c r="S775" s="107">
        <f t="shared" si="509"/>
        <v>0</v>
      </c>
      <c r="T775" s="107">
        <f t="shared" si="509"/>
        <v>0</v>
      </c>
      <c r="U775" s="107">
        <f t="shared" si="509"/>
        <v>0</v>
      </c>
      <c r="V775" s="107">
        <f t="shared" si="509"/>
        <v>0</v>
      </c>
      <c r="W775" s="107">
        <f t="shared" si="509"/>
        <v>0</v>
      </c>
      <c r="X775" s="107">
        <f t="shared" si="509"/>
        <v>0</v>
      </c>
      <c r="Y775" s="107">
        <f t="shared" si="509"/>
        <v>0</v>
      </c>
      <c r="Z775" s="107">
        <f t="shared" si="509"/>
        <v>0</v>
      </c>
      <c r="AA775" s="107">
        <f t="shared" si="509"/>
        <v>0</v>
      </c>
      <c r="AB775" s="107">
        <f t="shared" si="509"/>
        <v>0</v>
      </c>
      <c r="AC775" s="145">
        <f>SUM(Q775:S775)</f>
        <v>0</v>
      </c>
      <c r="AD775" s="145">
        <f>SUM(T775:V775)</f>
        <v>0</v>
      </c>
      <c r="AE775" s="145">
        <f>SUM(W775:Y775)</f>
        <v>0</v>
      </c>
      <c r="AF775" s="145">
        <f>SUM(Z775:AB775)</f>
        <v>0</v>
      </c>
      <c r="AG775" s="145">
        <f>AC775+AD775</f>
        <v>0</v>
      </c>
      <c r="AH775" s="145">
        <f>AF775+AE775</f>
        <v>0</v>
      </c>
      <c r="AI775" s="145">
        <f>AG775+AH775</f>
        <v>0</v>
      </c>
    </row>
    <row r="776" spans="1:35">
      <c r="A776" s="990">
        <v>745</v>
      </c>
      <c r="B776" s="990">
        <v>1</v>
      </c>
      <c r="C776" s="990">
        <v>776</v>
      </c>
      <c r="D776" s="1121" t="s">
        <v>999</v>
      </c>
      <c r="E776" s="1243">
        <v>1</v>
      </c>
      <c r="F776" s="9"/>
      <c r="G776" s="9"/>
      <c r="I776" s="194"/>
      <c r="J776" s="12" t="s">
        <v>1107</v>
      </c>
      <c r="K776" s="18"/>
      <c r="L776" s="18"/>
      <c r="M776" s="12"/>
      <c r="N776" s="12"/>
      <c r="O776" s="12"/>
      <c r="P776" s="12"/>
      <c r="Q776" s="113">
        <f t="shared" ref="Q776:AB776" si="510">(Q641+Q685)*-1</f>
        <v>0</v>
      </c>
      <c r="R776" s="113">
        <f t="shared" si="510"/>
        <v>0</v>
      </c>
      <c r="S776" s="113">
        <f t="shared" si="510"/>
        <v>0</v>
      </c>
      <c r="T776" s="113">
        <f t="shared" si="510"/>
        <v>0</v>
      </c>
      <c r="U776" s="113">
        <f t="shared" si="510"/>
        <v>0</v>
      </c>
      <c r="V776" s="113">
        <f t="shared" si="510"/>
        <v>0</v>
      </c>
      <c r="W776" s="113">
        <f t="shared" si="510"/>
        <v>0</v>
      </c>
      <c r="X776" s="113">
        <f t="shared" si="510"/>
        <v>0</v>
      </c>
      <c r="Y776" s="113">
        <f t="shared" si="510"/>
        <v>0</v>
      </c>
      <c r="Z776" s="113">
        <f t="shared" si="510"/>
        <v>0</v>
      </c>
      <c r="AA776" s="113">
        <f t="shared" si="510"/>
        <v>0</v>
      </c>
      <c r="AB776" s="113">
        <f t="shared" si="510"/>
        <v>0</v>
      </c>
      <c r="AC776" s="142">
        <f>SUM(Q776:S776)</f>
        <v>0</v>
      </c>
      <c r="AD776" s="142">
        <f>SUM(T776:V776)</f>
        <v>0</v>
      </c>
      <c r="AE776" s="142">
        <f>SUM(W776:Y776)</f>
        <v>0</v>
      </c>
      <c r="AF776" s="142">
        <f>SUM(Z776:AB776)</f>
        <v>0</v>
      </c>
      <c r="AG776" s="142">
        <f>AC776+AD776</f>
        <v>0</v>
      </c>
      <c r="AH776" s="142">
        <f>AF776+AE776</f>
        <v>0</v>
      </c>
      <c r="AI776" s="142">
        <f>AG776+AH776</f>
        <v>0</v>
      </c>
    </row>
    <row r="777" spans="1:35" s="75" customFormat="1">
      <c r="A777" s="990">
        <v>746</v>
      </c>
      <c r="B777" s="990">
        <v>1</v>
      </c>
      <c r="C777" s="990">
        <v>777</v>
      </c>
      <c r="D777" s="1121" t="s">
        <v>999</v>
      </c>
      <c r="E777" s="1243">
        <v>1</v>
      </c>
      <c r="F777" s="9"/>
      <c r="G777" s="9"/>
      <c r="H777" s="24"/>
      <c r="I777" s="809" t="s">
        <v>1075</v>
      </c>
      <c r="J777" s="810"/>
      <c r="K777" s="811"/>
      <c r="L777" s="811"/>
      <c r="M777" s="811"/>
      <c r="N777" s="811"/>
      <c r="O777" s="811"/>
      <c r="P777" s="811"/>
      <c r="Q777" s="2071">
        <f>SUM(Q778:Q781)</f>
        <v>0</v>
      </c>
      <c r="R777" s="2071">
        <f t="shared" ref="R777:AA777" si="511">SUM(R778:R781)</f>
        <v>0</v>
      </c>
      <c r="S777" s="2071">
        <f t="shared" si="511"/>
        <v>0</v>
      </c>
      <c r="T777" s="2071">
        <f t="shared" si="511"/>
        <v>0</v>
      </c>
      <c r="U777" s="2071">
        <f t="shared" si="511"/>
        <v>0</v>
      </c>
      <c r="V777" s="2071">
        <f t="shared" si="511"/>
        <v>0</v>
      </c>
      <c r="W777" s="2071">
        <f t="shared" si="511"/>
        <v>0</v>
      </c>
      <c r="X777" s="2071">
        <f t="shared" si="511"/>
        <v>0</v>
      </c>
      <c r="Y777" s="2071">
        <f t="shared" si="511"/>
        <v>0</v>
      </c>
      <c r="Z777" s="2071">
        <f t="shared" si="511"/>
        <v>0</v>
      </c>
      <c r="AA777" s="2071">
        <f t="shared" si="511"/>
        <v>0</v>
      </c>
      <c r="AB777" s="2071">
        <f>SUM(AB778:AB781)</f>
        <v>0</v>
      </c>
      <c r="AC777" s="2071">
        <f t="shared" ref="AC777:AI777" si="512">SUM(AC778:AC781)</f>
        <v>0</v>
      </c>
      <c r="AD777" s="2071">
        <f t="shared" si="512"/>
        <v>0</v>
      </c>
      <c r="AE777" s="2071">
        <f t="shared" si="512"/>
        <v>0</v>
      </c>
      <c r="AF777" s="2071">
        <f t="shared" si="512"/>
        <v>0</v>
      </c>
      <c r="AG777" s="2071">
        <f t="shared" si="512"/>
        <v>0</v>
      </c>
      <c r="AH777" s="2071">
        <f t="shared" si="512"/>
        <v>0</v>
      </c>
      <c r="AI777" s="2071">
        <f t="shared" si="512"/>
        <v>0</v>
      </c>
    </row>
    <row r="778" spans="1:35">
      <c r="A778" s="990">
        <v>747</v>
      </c>
      <c r="B778" s="990">
        <v>1</v>
      </c>
      <c r="C778" s="990">
        <v>778</v>
      </c>
      <c r="D778" s="1121" t="s">
        <v>999</v>
      </c>
      <c r="E778" s="1243">
        <v>1</v>
      </c>
      <c r="F778" s="9"/>
      <c r="G778" s="9"/>
      <c r="I778" s="212"/>
      <c r="J778" s="9" t="s">
        <v>1104</v>
      </c>
      <c r="K778" s="9"/>
      <c r="L778" s="9"/>
      <c r="Q778" s="2036"/>
      <c r="R778" s="2036"/>
      <c r="S778" s="2036"/>
      <c r="T778" s="2036"/>
      <c r="U778" s="2036"/>
      <c r="V778" s="2036"/>
      <c r="W778" s="2036"/>
      <c r="X778" s="2036"/>
      <c r="Y778" s="2036"/>
      <c r="Z778" s="2036"/>
      <c r="AA778" s="2036"/>
      <c r="AB778" s="2036"/>
      <c r="AC778" s="145">
        <f>SUM(Q778,R778,S778)</f>
        <v>0</v>
      </c>
      <c r="AD778" s="145">
        <f>SUM(T778,U778,V778)</f>
        <v>0</v>
      </c>
      <c r="AE778" s="145">
        <f>SUM(W778,X778,Y778)</f>
        <v>0</v>
      </c>
      <c r="AF778" s="145">
        <f>SUM(Z778,AA778,AB778)</f>
        <v>0</v>
      </c>
      <c r="AG778" s="145">
        <f>AC778+AD778</f>
        <v>0</v>
      </c>
      <c r="AH778" s="145">
        <f>AF778+AE778</f>
        <v>0</v>
      </c>
      <c r="AI778" s="145">
        <f>AG778+AH778</f>
        <v>0</v>
      </c>
    </row>
    <row r="779" spans="1:35">
      <c r="A779" s="990">
        <v>748</v>
      </c>
      <c r="B779" s="990">
        <v>1</v>
      </c>
      <c r="C779" s="990">
        <v>779</v>
      </c>
      <c r="D779" s="1121" t="s">
        <v>999</v>
      </c>
      <c r="E779" s="1243">
        <v>1</v>
      </c>
      <c r="F779" s="9"/>
      <c r="G779" s="9"/>
      <c r="I779" s="212"/>
      <c r="J779" s="9" t="s">
        <v>1105</v>
      </c>
      <c r="K779" s="9"/>
      <c r="L779" s="9"/>
      <c r="Q779" s="2036"/>
      <c r="R779" s="2036"/>
      <c r="S779" s="2036"/>
      <c r="T779" s="2036"/>
      <c r="U779" s="2036"/>
      <c r="V779" s="2036"/>
      <c r="W779" s="2036"/>
      <c r="X779" s="2036"/>
      <c r="Y779" s="2036"/>
      <c r="Z779" s="2036"/>
      <c r="AA779" s="2036"/>
      <c r="AB779" s="2036"/>
      <c r="AC779" s="145">
        <f>SUM(Q779,R779,S779)</f>
        <v>0</v>
      </c>
      <c r="AD779" s="145">
        <f>SUM(T779,U779,V779)</f>
        <v>0</v>
      </c>
      <c r="AE779" s="145">
        <f>SUM(W779,X779,Y779)</f>
        <v>0</v>
      </c>
      <c r="AF779" s="145">
        <f>SUM(Z779,AA779,AB779)</f>
        <v>0</v>
      </c>
      <c r="AG779" s="145">
        <f>AC779+AD779</f>
        <v>0</v>
      </c>
      <c r="AH779" s="145">
        <f>AF779+AE779</f>
        <v>0</v>
      </c>
      <c r="AI779" s="145">
        <f>AG779+AH779</f>
        <v>0</v>
      </c>
    </row>
    <row r="780" spans="1:35">
      <c r="A780" s="990">
        <v>749</v>
      </c>
      <c r="B780" s="990">
        <v>1</v>
      </c>
      <c r="C780" s="990">
        <v>780</v>
      </c>
      <c r="D780" s="1121" t="s">
        <v>999</v>
      </c>
      <c r="E780" s="1243">
        <v>1</v>
      </c>
      <c r="F780" s="9"/>
      <c r="G780" s="9"/>
      <c r="I780" s="195"/>
      <c r="J780" s="9" t="s">
        <v>1106</v>
      </c>
      <c r="Q780" s="2036"/>
      <c r="R780" s="2036"/>
      <c r="S780" s="2036"/>
      <c r="T780" s="2036"/>
      <c r="U780" s="2036"/>
      <c r="V780" s="2036"/>
      <c r="W780" s="2036"/>
      <c r="X780" s="2036"/>
      <c r="Y780" s="2036"/>
      <c r="Z780" s="2036"/>
      <c r="AA780" s="2036"/>
      <c r="AB780" s="2036"/>
      <c r="AC780" s="145">
        <f>SUM(Q780,R780,S780)</f>
        <v>0</v>
      </c>
      <c r="AD780" s="145">
        <f>SUM(T780,U780,V780)</f>
        <v>0</v>
      </c>
      <c r="AE780" s="145">
        <f>SUM(W780,X780,Y780)</f>
        <v>0</v>
      </c>
      <c r="AF780" s="145">
        <f>SUM(Z780,AA780,AB780)</f>
        <v>0</v>
      </c>
      <c r="AG780" s="145">
        <f>AC780+AD780</f>
        <v>0</v>
      </c>
      <c r="AH780" s="145">
        <f>AF780+AE780</f>
        <v>0</v>
      </c>
      <c r="AI780" s="145">
        <f>AG780+AH780</f>
        <v>0</v>
      </c>
    </row>
    <row r="781" spans="1:35">
      <c r="A781" s="990">
        <v>750</v>
      </c>
      <c r="B781" s="990">
        <v>1</v>
      </c>
      <c r="C781" s="990">
        <v>781</v>
      </c>
      <c r="D781" s="1121" t="s">
        <v>999</v>
      </c>
      <c r="E781" s="1243">
        <v>1</v>
      </c>
      <c r="F781" s="9"/>
      <c r="G781" s="9"/>
      <c r="I781" s="194"/>
      <c r="J781" s="12" t="s">
        <v>1107</v>
      </c>
      <c r="K781" s="18"/>
      <c r="L781" s="18"/>
      <c r="M781" s="12"/>
      <c r="N781" s="12"/>
      <c r="O781" s="12"/>
      <c r="P781" s="12"/>
      <c r="Q781" s="2037"/>
      <c r="R781" s="2037"/>
      <c r="S781" s="2037"/>
      <c r="T781" s="2037"/>
      <c r="U781" s="2037"/>
      <c r="V781" s="2037"/>
      <c r="W781" s="2037"/>
      <c r="X781" s="2037"/>
      <c r="Y781" s="2037"/>
      <c r="Z781" s="2037"/>
      <c r="AA781" s="2037"/>
      <c r="AB781" s="2037"/>
      <c r="AC781" s="142">
        <f>SUM(Q781,R781,S781)</f>
        <v>0</v>
      </c>
      <c r="AD781" s="142">
        <f>SUM(T781,U781,V781)</f>
        <v>0</v>
      </c>
      <c r="AE781" s="142">
        <f>SUM(W781,X781,Y781)</f>
        <v>0</v>
      </c>
      <c r="AF781" s="142">
        <f>SUM(Z781,AA781,AB781)</f>
        <v>0</v>
      </c>
      <c r="AG781" s="142">
        <f>AC781+AD781</f>
        <v>0</v>
      </c>
      <c r="AH781" s="142">
        <f>AF781+AE781</f>
        <v>0</v>
      </c>
      <c r="AI781" s="142">
        <f>AG781+AH781</f>
        <v>0</v>
      </c>
    </row>
    <row r="782" spans="1:35" s="75" customFormat="1">
      <c r="A782" s="990">
        <v>756</v>
      </c>
      <c r="B782" s="990">
        <v>751</v>
      </c>
      <c r="C782" s="990">
        <v>782</v>
      </c>
      <c r="D782" s="1121" t="s">
        <v>999</v>
      </c>
      <c r="E782" s="1296" t="s">
        <v>931</v>
      </c>
      <c r="F782" s="1240"/>
      <c r="H782" s="24"/>
      <c r="I782" s="1303" t="s">
        <v>1063</v>
      </c>
      <c r="J782" s="812"/>
      <c r="K782" s="813"/>
      <c r="L782" s="813"/>
      <c r="M782" s="813"/>
      <c r="N782" s="813"/>
      <c r="O782" s="813"/>
      <c r="P782" s="814"/>
      <c r="Q782" s="2069">
        <f>SUM(Q783:Q786)</f>
        <v>0</v>
      </c>
      <c r="R782" s="2069">
        <f t="shared" ref="R782:AI782" si="513">SUM(R783:R786)</f>
        <v>0</v>
      </c>
      <c r="S782" s="2069">
        <f t="shared" si="513"/>
        <v>0</v>
      </c>
      <c r="T782" s="2069">
        <f t="shared" si="513"/>
        <v>0</v>
      </c>
      <c r="U782" s="2069">
        <f t="shared" si="513"/>
        <v>0</v>
      </c>
      <c r="V782" s="2069">
        <f t="shared" si="513"/>
        <v>0</v>
      </c>
      <c r="W782" s="2069">
        <f t="shared" si="513"/>
        <v>0</v>
      </c>
      <c r="X782" s="2069">
        <f t="shared" si="513"/>
        <v>0</v>
      </c>
      <c r="Y782" s="2069">
        <f t="shared" si="513"/>
        <v>0</v>
      </c>
      <c r="Z782" s="2069">
        <f t="shared" si="513"/>
        <v>0</v>
      </c>
      <c r="AA782" s="2069">
        <f t="shared" si="513"/>
        <v>0</v>
      </c>
      <c r="AB782" s="2069">
        <f t="shared" si="513"/>
        <v>0</v>
      </c>
      <c r="AC782" s="2069">
        <f t="shared" si="513"/>
        <v>0</v>
      </c>
      <c r="AD782" s="2069">
        <f t="shared" si="513"/>
        <v>0</v>
      </c>
      <c r="AE782" s="2069">
        <f t="shared" si="513"/>
        <v>0</v>
      </c>
      <c r="AF782" s="2069">
        <f t="shared" si="513"/>
        <v>0</v>
      </c>
      <c r="AG782" s="2069">
        <f t="shared" si="513"/>
        <v>0</v>
      </c>
      <c r="AH782" s="2069">
        <f t="shared" si="513"/>
        <v>0</v>
      </c>
      <c r="AI782" s="2069">
        <f t="shared" si="513"/>
        <v>0</v>
      </c>
    </row>
    <row r="783" spans="1:35">
      <c r="A783" s="990">
        <v>757</v>
      </c>
      <c r="B783" s="990">
        <v>752</v>
      </c>
      <c r="C783" s="990">
        <v>783</v>
      </c>
      <c r="D783" s="1121" t="s">
        <v>999</v>
      </c>
      <c r="E783" s="1244">
        <v>1</v>
      </c>
      <c r="F783" s="75"/>
      <c r="G783" s="75"/>
      <c r="I783" s="212"/>
      <c r="J783" s="9" t="s">
        <v>1104</v>
      </c>
      <c r="K783" s="9"/>
      <c r="L783" s="9"/>
      <c r="Q783" s="2091"/>
      <c r="R783" s="2091"/>
      <c r="S783" s="2091"/>
      <c r="T783" s="2091"/>
      <c r="U783" s="2091"/>
      <c r="V783" s="2091"/>
      <c r="W783" s="2091"/>
      <c r="X783" s="2091"/>
      <c r="Y783" s="2091"/>
      <c r="Z783" s="2091"/>
      <c r="AA783" s="2091"/>
      <c r="AB783" s="2091"/>
      <c r="AC783" s="145">
        <f>SUM(Q783,R783,S783)</f>
        <v>0</v>
      </c>
      <c r="AD783" s="145">
        <f>SUM(T783,U783,V783)</f>
        <v>0</v>
      </c>
      <c r="AE783" s="145">
        <f>SUM(W783,X783,Y783)</f>
        <v>0</v>
      </c>
      <c r="AF783" s="145">
        <f>SUM(Z783,AA783,AB783)</f>
        <v>0</v>
      </c>
      <c r="AG783" s="145">
        <f>AC783+AD783</f>
        <v>0</v>
      </c>
      <c r="AH783" s="145">
        <f>AF783+AE783</f>
        <v>0</v>
      </c>
      <c r="AI783" s="145">
        <f>AG783+AH783</f>
        <v>0</v>
      </c>
    </row>
    <row r="784" spans="1:35">
      <c r="A784" s="990">
        <v>758</v>
      </c>
      <c r="B784" s="990">
        <v>753</v>
      </c>
      <c r="C784" s="990">
        <v>784</v>
      </c>
      <c r="D784" s="1121" t="s">
        <v>999</v>
      </c>
      <c r="E784" s="1244">
        <v>1</v>
      </c>
      <c r="F784" s="75"/>
      <c r="G784" s="75"/>
      <c r="I784" s="212"/>
      <c r="J784" s="9" t="s">
        <v>1105</v>
      </c>
      <c r="K784" s="9"/>
      <c r="L784" s="9"/>
      <c r="Q784" s="2091"/>
      <c r="R784" s="2091"/>
      <c r="S784" s="2091"/>
      <c r="T784" s="2091"/>
      <c r="U784" s="2091"/>
      <c r="V784" s="2091"/>
      <c r="W784" s="2091"/>
      <c r="X784" s="2091"/>
      <c r="Y784" s="2091"/>
      <c r="Z784" s="2091"/>
      <c r="AA784" s="2091"/>
      <c r="AB784" s="2091"/>
      <c r="AC784" s="145">
        <f>SUM(Q784,R784,S784)</f>
        <v>0</v>
      </c>
      <c r="AD784" s="145">
        <f>SUM(T784,U784,V784)</f>
        <v>0</v>
      </c>
      <c r="AE784" s="145">
        <f>SUM(W784,X784,Y784)</f>
        <v>0</v>
      </c>
      <c r="AF784" s="145">
        <f>SUM(Z784,AA784,AB784)</f>
        <v>0</v>
      </c>
      <c r="AG784" s="145">
        <f>AC784+AD784</f>
        <v>0</v>
      </c>
      <c r="AH784" s="145">
        <f>AF784+AE784</f>
        <v>0</v>
      </c>
      <c r="AI784" s="145">
        <f>AG784+AH784</f>
        <v>0</v>
      </c>
    </row>
    <row r="785" spans="1:35">
      <c r="A785" s="990">
        <v>759</v>
      </c>
      <c r="B785" s="990">
        <v>754</v>
      </c>
      <c r="C785" s="990">
        <v>785</v>
      </c>
      <c r="D785" s="1121" t="s">
        <v>999</v>
      </c>
      <c r="E785" s="1244">
        <v>1</v>
      </c>
      <c r="F785" s="75"/>
      <c r="G785" s="75"/>
      <c r="I785" s="195"/>
      <c r="J785" s="9" t="s">
        <v>1106</v>
      </c>
      <c r="Q785" s="2091"/>
      <c r="R785" s="2091"/>
      <c r="S785" s="2091"/>
      <c r="T785" s="2091"/>
      <c r="U785" s="2091"/>
      <c r="V785" s="2091"/>
      <c r="W785" s="2091"/>
      <c r="X785" s="2091"/>
      <c r="Y785" s="2091"/>
      <c r="Z785" s="2091"/>
      <c r="AA785" s="2091"/>
      <c r="AB785" s="2091"/>
      <c r="AC785" s="145">
        <f>SUM(Q785,R785,S785)</f>
        <v>0</v>
      </c>
      <c r="AD785" s="145">
        <f>SUM(T785,U785,V785)</f>
        <v>0</v>
      </c>
      <c r="AE785" s="145">
        <f>SUM(W785,X785,Y785)</f>
        <v>0</v>
      </c>
      <c r="AF785" s="145">
        <f>SUM(Z785,AA785,AB785)</f>
        <v>0</v>
      </c>
      <c r="AG785" s="145">
        <f>AC785+AD785</f>
        <v>0</v>
      </c>
      <c r="AH785" s="145">
        <f>AF785+AE785</f>
        <v>0</v>
      </c>
      <c r="AI785" s="145">
        <f>AG785+AH785</f>
        <v>0</v>
      </c>
    </row>
    <row r="786" spans="1:35">
      <c r="A786" s="990">
        <v>760</v>
      </c>
      <c r="B786" s="990">
        <v>755</v>
      </c>
      <c r="C786" s="990">
        <v>786</v>
      </c>
      <c r="D786" s="1121" t="s">
        <v>999</v>
      </c>
      <c r="E786" s="1244">
        <v>1</v>
      </c>
      <c r="F786" s="75"/>
      <c r="G786" s="75"/>
      <c r="I786" s="194"/>
      <c r="J786" s="12" t="s">
        <v>1107</v>
      </c>
      <c r="K786" s="18"/>
      <c r="L786" s="18"/>
      <c r="M786" s="12"/>
      <c r="N786" s="12"/>
      <c r="O786" s="12"/>
      <c r="P786" s="12"/>
      <c r="Q786" s="2092"/>
      <c r="R786" s="2092"/>
      <c r="S786" s="2092"/>
      <c r="T786" s="2092"/>
      <c r="U786" s="2092"/>
      <c r="V786" s="2092"/>
      <c r="W786" s="2092"/>
      <c r="X786" s="2092"/>
      <c r="Y786" s="2092"/>
      <c r="Z786" s="2092"/>
      <c r="AA786" s="2092"/>
      <c r="AB786" s="2092"/>
      <c r="AC786" s="142">
        <f>SUM(Q786,R786,S786)</f>
        <v>0</v>
      </c>
      <c r="AD786" s="142">
        <f>SUM(T786,U786,V786)</f>
        <v>0</v>
      </c>
      <c r="AE786" s="142">
        <f>SUM(W786,X786,Y786)</f>
        <v>0</v>
      </c>
      <c r="AF786" s="142">
        <f>SUM(Z786,AA786,AB786)</f>
        <v>0</v>
      </c>
      <c r="AG786" s="142">
        <f>AC786+AD786</f>
        <v>0</v>
      </c>
      <c r="AH786" s="142">
        <f>AF786+AE786</f>
        <v>0</v>
      </c>
      <c r="AI786" s="142">
        <f>AG786+AH786</f>
        <v>0</v>
      </c>
    </row>
    <row r="787" spans="1:35" s="75" customFormat="1">
      <c r="A787" s="990"/>
      <c r="B787" s="990"/>
      <c r="C787" s="990">
        <v>787</v>
      </c>
      <c r="E787" s="1243">
        <v>1</v>
      </c>
      <c r="F787" s="9"/>
      <c r="G787" s="9"/>
      <c r="H787" s="5"/>
      <c r="I787" s="14"/>
      <c r="J787" s="31"/>
      <c r="K787" s="24"/>
      <c r="L787" s="24"/>
      <c r="M787" s="31"/>
      <c r="N787" s="4"/>
      <c r="O787" s="4"/>
      <c r="P787" s="4"/>
      <c r="Q787" s="87"/>
      <c r="R787" s="87"/>
      <c r="S787" s="87"/>
      <c r="T787" s="87"/>
      <c r="U787" s="87"/>
      <c r="V787" s="87"/>
      <c r="W787" s="87"/>
      <c r="X787" s="87"/>
      <c r="Y787" s="87"/>
      <c r="Z787" s="87"/>
      <c r="AA787" s="87"/>
      <c r="AB787" s="87"/>
      <c r="AC787" s="87"/>
      <c r="AD787" s="87"/>
      <c r="AE787" s="87"/>
      <c r="AF787" s="87"/>
      <c r="AG787" s="87"/>
      <c r="AH787" s="87"/>
      <c r="AI787" s="87"/>
    </row>
    <row r="788" spans="1:35">
      <c r="C788" s="990">
        <v>788</v>
      </c>
      <c r="E788" s="1243">
        <v>1</v>
      </c>
      <c r="F788" s="5"/>
      <c r="G788" s="5"/>
      <c r="H788" s="5"/>
      <c r="I788" s="5"/>
      <c r="J788" s="4"/>
      <c r="K788" s="5"/>
      <c r="L788" s="5"/>
      <c r="M788" s="4"/>
      <c r="N788" s="4"/>
      <c r="O788" s="4"/>
      <c r="P788" s="4"/>
      <c r="Q788" s="1151"/>
      <c r="R788" s="1151"/>
      <c r="S788" s="1151"/>
      <c r="T788" s="1151"/>
      <c r="U788" s="1151"/>
      <c r="V788" s="1151"/>
      <c r="Z788" s="163"/>
    </row>
    <row r="789" spans="1:35" ht="25">
      <c r="A789" s="990">
        <v>763</v>
      </c>
      <c r="B789" s="990">
        <v>1</v>
      </c>
      <c r="C789" s="990">
        <v>789</v>
      </c>
      <c r="D789" s="1121" t="s">
        <v>999</v>
      </c>
      <c r="E789" s="1243">
        <v>1</v>
      </c>
      <c r="F789" s="60" t="s">
        <v>1108</v>
      </c>
      <c r="G789" s="60"/>
      <c r="H789" s="561"/>
      <c r="P789" s="291"/>
    </row>
    <row r="790" spans="1:35" s="38" customFormat="1" ht="15.5">
      <c r="A790" s="990">
        <v>764</v>
      </c>
      <c r="B790" s="990">
        <v>1</v>
      </c>
      <c r="C790" s="990">
        <v>790</v>
      </c>
      <c r="D790" s="1121" t="s">
        <v>999</v>
      </c>
      <c r="E790" s="1243">
        <v>1</v>
      </c>
      <c r="G790" s="315" t="s">
        <v>1109</v>
      </c>
      <c r="H790" s="562"/>
      <c r="I790" s="5"/>
      <c r="J790" s="4"/>
      <c r="K790" s="5"/>
      <c r="L790" s="5"/>
      <c r="M790" s="4"/>
      <c r="N790" s="4"/>
      <c r="O790" s="4"/>
      <c r="P790" s="4"/>
      <c r="Q790" s="1151"/>
      <c r="R790" s="1151"/>
      <c r="S790" s="1151"/>
      <c r="T790" s="1151"/>
      <c r="U790" s="1151"/>
      <c r="V790" s="1151"/>
      <c r="W790" s="2179"/>
      <c r="X790" s="2179"/>
      <c r="Y790" s="2179"/>
      <c r="Z790" s="2179"/>
    </row>
    <row r="791" spans="1:35" s="38" customFormat="1">
      <c r="A791" s="990">
        <v>765</v>
      </c>
      <c r="B791" s="990">
        <v>1</v>
      </c>
      <c r="C791" s="990">
        <v>791</v>
      </c>
      <c r="D791" s="1121" t="s">
        <v>999</v>
      </c>
      <c r="E791" s="1243">
        <v>1</v>
      </c>
      <c r="F791" s="5"/>
      <c r="G791" s="5"/>
      <c r="H791" s="5" t="s">
        <v>99</v>
      </c>
      <c r="I791" s="5"/>
      <c r="J791" s="4"/>
      <c r="K791" s="5"/>
      <c r="L791" s="5"/>
      <c r="M791" s="4"/>
      <c r="N791" s="4"/>
      <c r="O791" s="4"/>
      <c r="P791" s="4"/>
      <c r="Q791" s="1151"/>
      <c r="R791" s="1151"/>
      <c r="S791" s="1151"/>
      <c r="T791" s="1151"/>
      <c r="U791" s="1151"/>
      <c r="V791" s="1151"/>
      <c r="W791" s="2179"/>
      <c r="X791" s="2179"/>
      <c r="Y791" s="2179"/>
      <c r="Z791" s="2179"/>
    </row>
    <row r="792" spans="1:35" s="820" customFormat="1">
      <c r="A792" s="990">
        <v>766</v>
      </c>
      <c r="B792" s="990">
        <v>1</v>
      </c>
      <c r="C792" s="990">
        <v>792</v>
      </c>
      <c r="D792" s="1121" t="s">
        <v>999</v>
      </c>
      <c r="E792" s="1243">
        <v>1</v>
      </c>
      <c r="F792" s="815"/>
      <c r="G792" s="815"/>
      <c r="H792" s="816"/>
      <c r="I792" s="817" t="s">
        <v>328</v>
      </c>
      <c r="J792" s="818"/>
      <c r="K792" s="819"/>
      <c r="L792" s="819"/>
      <c r="M792" s="819"/>
      <c r="N792" s="819"/>
      <c r="O792" s="819"/>
      <c r="P792" s="819"/>
      <c r="Q792" s="337">
        <f t="shared" ref="Q792:AI792" si="514">Q793+Q798+Q804+Q809+Q815</f>
        <v>700</v>
      </c>
      <c r="R792" s="337">
        <f t="shared" si="514"/>
        <v>693</v>
      </c>
      <c r="S792" s="337">
        <f t="shared" si="514"/>
        <v>693</v>
      </c>
      <c r="T792" s="337">
        <f t="shared" si="514"/>
        <v>697</v>
      </c>
      <c r="U792" s="337">
        <f t="shared" si="514"/>
        <v>705</v>
      </c>
      <c r="V792" s="337">
        <f t="shared" si="514"/>
        <v>704</v>
      </c>
      <c r="W792" s="337">
        <f t="shared" si="514"/>
        <v>702</v>
      </c>
      <c r="X792" s="337">
        <f t="shared" si="514"/>
        <v>696</v>
      </c>
      <c r="Y792" s="337">
        <f t="shared" si="514"/>
        <v>700</v>
      </c>
      <c r="Z792" s="337">
        <f t="shared" si="514"/>
        <v>696</v>
      </c>
      <c r="AA792" s="337">
        <f t="shared" si="514"/>
        <v>701</v>
      </c>
      <c r="AB792" s="337">
        <f t="shared" si="514"/>
        <v>707</v>
      </c>
      <c r="AC792" s="337">
        <f t="shared" si="514"/>
        <v>693</v>
      </c>
      <c r="AD792" s="337">
        <f t="shared" si="514"/>
        <v>704</v>
      </c>
      <c r="AE792" s="337">
        <f t="shared" si="514"/>
        <v>700</v>
      </c>
      <c r="AF792" s="337">
        <f t="shared" si="514"/>
        <v>707</v>
      </c>
      <c r="AG792" s="337">
        <f t="shared" si="514"/>
        <v>704</v>
      </c>
      <c r="AH792" s="337">
        <f t="shared" si="514"/>
        <v>707</v>
      </c>
      <c r="AI792" s="337">
        <f t="shared" si="514"/>
        <v>707</v>
      </c>
    </row>
    <row r="793" spans="1:35" s="38" customFormat="1">
      <c r="A793" s="990">
        <v>767</v>
      </c>
      <c r="B793" s="990">
        <v>1</v>
      </c>
      <c r="C793" s="990">
        <v>793</v>
      </c>
      <c r="D793" s="1121" t="s">
        <v>999</v>
      </c>
      <c r="E793" s="1243">
        <v>1</v>
      </c>
      <c r="F793" s="5"/>
      <c r="G793" s="5"/>
      <c r="H793" s="5"/>
      <c r="I793" s="338"/>
      <c r="J793" s="52" t="s">
        <v>62</v>
      </c>
      <c r="K793" s="52"/>
      <c r="L793" s="52"/>
      <c r="M793" s="51"/>
      <c r="N793" s="51"/>
      <c r="O793" s="51"/>
      <c r="P793" s="50"/>
      <c r="Q793" s="49">
        <f t="shared" ref="Q793:X793" si="515">SUM(Q794:Q797)</f>
        <v>169</v>
      </c>
      <c r="R793" s="49">
        <f t="shared" si="515"/>
        <v>163</v>
      </c>
      <c r="S793" s="49">
        <f t="shared" si="515"/>
        <v>159</v>
      </c>
      <c r="T793" s="49">
        <f t="shared" si="515"/>
        <v>161</v>
      </c>
      <c r="U793" s="49">
        <f t="shared" si="515"/>
        <v>164</v>
      </c>
      <c r="V793" s="49">
        <f t="shared" si="515"/>
        <v>162</v>
      </c>
      <c r="W793" s="49">
        <f t="shared" si="515"/>
        <v>170</v>
      </c>
      <c r="X793" s="49">
        <f t="shared" si="515"/>
        <v>170</v>
      </c>
      <c r="Y793" s="49">
        <f t="shared" ref="Y793:AI793" si="516">SUM(Y794:Y797)</f>
        <v>169</v>
      </c>
      <c r="Z793" s="49">
        <f>SUM(Z794:Z797)</f>
        <v>168</v>
      </c>
      <c r="AA793" s="49">
        <f>SUM(AA794:AA797)</f>
        <v>170</v>
      </c>
      <c r="AB793" s="49">
        <f>SUM(AB794:AB797)</f>
        <v>172</v>
      </c>
      <c r="AC793" s="49">
        <f t="shared" si="516"/>
        <v>159</v>
      </c>
      <c r="AD793" s="49">
        <f t="shared" si="516"/>
        <v>162</v>
      </c>
      <c r="AE793" s="49">
        <f t="shared" si="516"/>
        <v>169</v>
      </c>
      <c r="AF793" s="49">
        <f t="shared" si="516"/>
        <v>172</v>
      </c>
      <c r="AG793" s="49">
        <f t="shared" si="516"/>
        <v>162</v>
      </c>
      <c r="AH793" s="49">
        <f t="shared" si="516"/>
        <v>172</v>
      </c>
      <c r="AI793" s="49">
        <f t="shared" si="516"/>
        <v>172</v>
      </c>
    </row>
    <row r="794" spans="1:35" s="38" customFormat="1">
      <c r="A794" s="990">
        <v>768</v>
      </c>
      <c r="B794" s="990">
        <v>1</v>
      </c>
      <c r="C794" s="990">
        <v>794</v>
      </c>
      <c r="E794" s="1243">
        <v>1</v>
      </c>
      <c r="F794" s="5"/>
      <c r="G794" s="5"/>
      <c r="H794" s="5"/>
      <c r="I794" s="338"/>
      <c r="J794" s="5"/>
      <c r="K794" s="5"/>
      <c r="L794" s="5"/>
      <c r="M794" s="4"/>
      <c r="N794" s="45"/>
      <c r="O794" s="45" t="s">
        <v>125</v>
      </c>
      <c r="P794" s="4"/>
      <c r="Q794" s="2047">
        <f t="shared" ref="Q794:AB797" si="517">Q825+Q945+Q855+Q885+Q915</f>
        <v>108</v>
      </c>
      <c r="R794" s="2047">
        <f t="shared" si="517"/>
        <v>103</v>
      </c>
      <c r="S794" s="2047">
        <f t="shared" si="517"/>
        <v>100</v>
      </c>
      <c r="T794" s="2047">
        <f t="shared" si="517"/>
        <v>100</v>
      </c>
      <c r="U794" s="2047">
        <f t="shared" si="517"/>
        <v>103</v>
      </c>
      <c r="V794" s="2047">
        <f t="shared" si="517"/>
        <v>102</v>
      </c>
      <c r="W794" s="2047">
        <f t="shared" si="517"/>
        <v>103</v>
      </c>
      <c r="X794" s="2047">
        <f t="shared" si="517"/>
        <v>103</v>
      </c>
      <c r="Y794" s="2047">
        <f t="shared" si="517"/>
        <v>102</v>
      </c>
      <c r="Z794" s="2047">
        <f t="shared" si="517"/>
        <v>101</v>
      </c>
      <c r="AA794" s="2047">
        <f t="shared" si="517"/>
        <v>102</v>
      </c>
      <c r="AB794" s="2047">
        <f t="shared" si="517"/>
        <v>102</v>
      </c>
      <c r="AC794" s="44">
        <f>S794</f>
        <v>100</v>
      </c>
      <c r="AD794" s="44">
        <f>V794</f>
        <v>102</v>
      </c>
      <c r="AE794" s="44">
        <f>Y794</f>
        <v>102</v>
      </c>
      <c r="AF794" s="44">
        <f>AB794</f>
        <v>102</v>
      </c>
      <c r="AG794" s="44">
        <f>AD794</f>
        <v>102</v>
      </c>
      <c r="AH794" s="44">
        <f>AF794</f>
        <v>102</v>
      </c>
      <c r="AI794" s="44">
        <f>AH794</f>
        <v>102</v>
      </c>
    </row>
    <row r="795" spans="1:35" s="38" customFormat="1">
      <c r="A795" s="990">
        <v>769</v>
      </c>
      <c r="B795" s="990">
        <v>1</v>
      </c>
      <c r="C795" s="990">
        <v>795</v>
      </c>
      <c r="E795" s="1243">
        <v>1</v>
      </c>
      <c r="F795" s="5"/>
      <c r="G795" s="5"/>
      <c r="H795" s="5"/>
      <c r="I795" s="338"/>
      <c r="J795" s="5"/>
      <c r="K795" s="5"/>
      <c r="L795" s="5"/>
      <c r="M795" s="4"/>
      <c r="N795" s="45"/>
      <c r="O795" s="45" t="s">
        <v>124</v>
      </c>
      <c r="P795" s="4"/>
      <c r="Q795" s="2047">
        <f t="shared" si="517"/>
        <v>0</v>
      </c>
      <c r="R795" s="2047">
        <f t="shared" si="517"/>
        <v>0</v>
      </c>
      <c r="S795" s="2047">
        <f t="shared" si="517"/>
        <v>0</v>
      </c>
      <c r="T795" s="2047">
        <f t="shared" si="517"/>
        <v>0</v>
      </c>
      <c r="U795" s="2047">
        <f t="shared" si="517"/>
        <v>0</v>
      </c>
      <c r="V795" s="2047">
        <f t="shared" si="517"/>
        <v>0</v>
      </c>
      <c r="W795" s="2047">
        <f t="shared" si="517"/>
        <v>7</v>
      </c>
      <c r="X795" s="2047">
        <f t="shared" si="517"/>
        <v>7</v>
      </c>
      <c r="Y795" s="2047">
        <f t="shared" si="517"/>
        <v>7</v>
      </c>
      <c r="Z795" s="2047">
        <f t="shared" si="517"/>
        <v>7</v>
      </c>
      <c r="AA795" s="2047">
        <f t="shared" si="517"/>
        <v>8</v>
      </c>
      <c r="AB795" s="2047">
        <f t="shared" si="517"/>
        <v>9</v>
      </c>
      <c r="AC795" s="44">
        <f>S795</f>
        <v>0</v>
      </c>
      <c r="AD795" s="44">
        <f>V795</f>
        <v>0</v>
      </c>
      <c r="AE795" s="44">
        <f>Y795</f>
        <v>7</v>
      </c>
      <c r="AF795" s="44">
        <f>AB795</f>
        <v>9</v>
      </c>
      <c r="AG795" s="44">
        <f>AD795</f>
        <v>0</v>
      </c>
      <c r="AH795" s="44">
        <f>AF795</f>
        <v>9</v>
      </c>
      <c r="AI795" s="44">
        <f>AH795</f>
        <v>9</v>
      </c>
    </row>
    <row r="796" spans="1:35" s="38" customFormat="1">
      <c r="A796" s="990">
        <v>770</v>
      </c>
      <c r="B796" s="990">
        <v>1</v>
      </c>
      <c r="C796" s="990">
        <v>796</v>
      </c>
      <c r="E796" s="1243">
        <v>1</v>
      </c>
      <c r="F796" s="5"/>
      <c r="G796" s="5"/>
      <c r="H796" s="5"/>
      <c r="I796" s="338"/>
      <c r="J796" s="5"/>
      <c r="K796" s="5"/>
      <c r="L796" s="5"/>
      <c r="M796" s="4"/>
      <c r="N796" s="45"/>
      <c r="O796" s="45" t="s">
        <v>123</v>
      </c>
      <c r="P796" s="4"/>
      <c r="Q796" s="2047">
        <f t="shared" si="517"/>
        <v>29</v>
      </c>
      <c r="R796" s="2047">
        <f t="shared" si="517"/>
        <v>29</v>
      </c>
      <c r="S796" s="2047">
        <f t="shared" si="517"/>
        <v>28</v>
      </c>
      <c r="T796" s="2047">
        <f t="shared" si="517"/>
        <v>28</v>
      </c>
      <c r="U796" s="2047">
        <f t="shared" si="517"/>
        <v>28</v>
      </c>
      <c r="V796" s="2047">
        <f t="shared" si="517"/>
        <v>28</v>
      </c>
      <c r="W796" s="2047">
        <f t="shared" si="517"/>
        <v>28</v>
      </c>
      <c r="X796" s="2047">
        <f t="shared" si="517"/>
        <v>28</v>
      </c>
      <c r="Y796" s="2047">
        <f t="shared" si="517"/>
        <v>28</v>
      </c>
      <c r="Z796" s="2047">
        <f t="shared" si="517"/>
        <v>28</v>
      </c>
      <c r="AA796" s="2047">
        <f t="shared" si="517"/>
        <v>28</v>
      </c>
      <c r="AB796" s="2047">
        <f t="shared" si="517"/>
        <v>29</v>
      </c>
      <c r="AC796" s="44">
        <f>S796</f>
        <v>28</v>
      </c>
      <c r="AD796" s="44">
        <f>V796</f>
        <v>28</v>
      </c>
      <c r="AE796" s="44">
        <f>Y796</f>
        <v>28</v>
      </c>
      <c r="AF796" s="44">
        <f>AB796</f>
        <v>29</v>
      </c>
      <c r="AG796" s="44">
        <f>AD796</f>
        <v>28</v>
      </c>
      <c r="AH796" s="44">
        <f>AF796</f>
        <v>29</v>
      </c>
      <c r="AI796" s="44">
        <f>AH796</f>
        <v>29</v>
      </c>
    </row>
    <row r="797" spans="1:35" s="38" customFormat="1">
      <c r="A797" s="990">
        <v>771</v>
      </c>
      <c r="B797" s="990">
        <v>1</v>
      </c>
      <c r="C797" s="990">
        <v>797</v>
      </c>
      <c r="E797" s="1243">
        <v>1</v>
      </c>
      <c r="F797" s="5"/>
      <c r="G797" s="5"/>
      <c r="H797" s="5"/>
      <c r="I797" s="338"/>
      <c r="J797" s="3"/>
      <c r="K797" s="3"/>
      <c r="L797" s="3"/>
      <c r="M797" s="2"/>
      <c r="N797" s="43"/>
      <c r="O797" s="43" t="s">
        <v>120</v>
      </c>
      <c r="P797" s="2"/>
      <c r="Q797" s="2048">
        <f t="shared" si="517"/>
        <v>32</v>
      </c>
      <c r="R797" s="2048">
        <f t="shared" si="517"/>
        <v>31</v>
      </c>
      <c r="S797" s="2048">
        <f t="shared" si="517"/>
        <v>31</v>
      </c>
      <c r="T797" s="2048">
        <f t="shared" si="517"/>
        <v>33</v>
      </c>
      <c r="U797" s="2048">
        <f t="shared" si="517"/>
        <v>33</v>
      </c>
      <c r="V797" s="2048">
        <f t="shared" si="517"/>
        <v>32</v>
      </c>
      <c r="W797" s="2048">
        <f t="shared" si="517"/>
        <v>32</v>
      </c>
      <c r="X797" s="2048">
        <f t="shared" si="517"/>
        <v>32</v>
      </c>
      <c r="Y797" s="2048">
        <f t="shared" si="517"/>
        <v>32</v>
      </c>
      <c r="Z797" s="2048">
        <f t="shared" si="517"/>
        <v>32</v>
      </c>
      <c r="AA797" s="2048">
        <f t="shared" si="517"/>
        <v>32</v>
      </c>
      <c r="AB797" s="2048">
        <f t="shared" si="517"/>
        <v>32</v>
      </c>
      <c r="AC797" s="42">
        <f>S797</f>
        <v>31</v>
      </c>
      <c r="AD797" s="42">
        <f>V797</f>
        <v>32</v>
      </c>
      <c r="AE797" s="42">
        <f>Y797</f>
        <v>32</v>
      </c>
      <c r="AF797" s="42">
        <f>AB797</f>
        <v>32</v>
      </c>
      <c r="AG797" s="42">
        <f>AD797</f>
        <v>32</v>
      </c>
      <c r="AH797" s="42">
        <f>AF797</f>
        <v>32</v>
      </c>
      <c r="AI797" s="42">
        <f>AH797</f>
        <v>32</v>
      </c>
    </row>
    <row r="798" spans="1:35" s="38" customFormat="1">
      <c r="A798" s="990">
        <v>772</v>
      </c>
      <c r="B798" s="990">
        <v>1</v>
      </c>
      <c r="C798" s="990">
        <v>798</v>
      </c>
      <c r="D798" s="1121" t="s">
        <v>999</v>
      </c>
      <c r="E798" s="1243">
        <v>1</v>
      </c>
      <c r="F798" s="5"/>
      <c r="G798" s="5"/>
      <c r="H798" s="5"/>
      <c r="I798" s="338"/>
      <c r="J798" s="52" t="s">
        <v>330</v>
      </c>
      <c r="K798" s="52"/>
      <c r="L798" s="52"/>
      <c r="M798" s="51"/>
      <c r="N798" s="51"/>
      <c r="O798" s="51"/>
      <c r="P798" s="50"/>
      <c r="Q798" s="2059">
        <f>SUM(Q799:Q803)</f>
        <v>397</v>
      </c>
      <c r="R798" s="2059">
        <f t="shared" ref="R798:AI798" si="518">SUM(R799:R803)</f>
        <v>396</v>
      </c>
      <c r="S798" s="2059">
        <f t="shared" si="518"/>
        <v>398</v>
      </c>
      <c r="T798" s="2059">
        <f t="shared" si="518"/>
        <v>399</v>
      </c>
      <c r="U798" s="2059">
        <f t="shared" si="518"/>
        <v>406</v>
      </c>
      <c r="V798" s="2059">
        <f t="shared" si="518"/>
        <v>409</v>
      </c>
      <c r="W798" s="2059">
        <f t="shared" si="518"/>
        <v>407</v>
      </c>
      <c r="X798" s="2059">
        <f t="shared" si="518"/>
        <v>401</v>
      </c>
      <c r="Y798" s="2059">
        <f t="shared" si="518"/>
        <v>405</v>
      </c>
      <c r="Z798" s="2059">
        <f t="shared" si="518"/>
        <v>400</v>
      </c>
      <c r="AA798" s="2059">
        <f t="shared" si="518"/>
        <v>404</v>
      </c>
      <c r="AB798" s="2059">
        <f t="shared" si="518"/>
        <v>406</v>
      </c>
      <c r="AC798" s="49">
        <f t="shared" si="518"/>
        <v>398</v>
      </c>
      <c r="AD798" s="49">
        <f t="shared" si="518"/>
        <v>409</v>
      </c>
      <c r="AE798" s="49">
        <f t="shared" si="518"/>
        <v>405</v>
      </c>
      <c r="AF798" s="49">
        <f t="shared" si="518"/>
        <v>406</v>
      </c>
      <c r="AG798" s="49">
        <f t="shared" si="518"/>
        <v>409</v>
      </c>
      <c r="AH798" s="49">
        <f t="shared" si="518"/>
        <v>406</v>
      </c>
      <c r="AI798" s="49">
        <f t="shared" si="518"/>
        <v>406</v>
      </c>
    </row>
    <row r="799" spans="1:35" s="38" customFormat="1">
      <c r="A799" s="990">
        <v>773</v>
      </c>
      <c r="B799" s="990">
        <v>1</v>
      </c>
      <c r="C799" s="990">
        <v>799</v>
      </c>
      <c r="E799" s="1243">
        <v>1</v>
      </c>
      <c r="F799" s="5"/>
      <c r="G799" s="5"/>
      <c r="H799" s="5"/>
      <c r="I799" s="338"/>
      <c r="J799" s="5"/>
      <c r="K799" s="5"/>
      <c r="L799" s="5"/>
      <c r="M799" s="4"/>
      <c r="N799" s="45"/>
      <c r="O799" s="45" t="s">
        <v>67</v>
      </c>
      <c r="P799" s="4"/>
      <c r="Q799" s="2047">
        <f t="shared" ref="Q799:AB803" si="519">Q830+Q950+Q860+Q890+Q920</f>
        <v>322</v>
      </c>
      <c r="R799" s="2047">
        <f t="shared" si="519"/>
        <v>321</v>
      </c>
      <c r="S799" s="2047">
        <f t="shared" si="519"/>
        <v>323</v>
      </c>
      <c r="T799" s="2047">
        <f t="shared" si="519"/>
        <v>324</v>
      </c>
      <c r="U799" s="2047">
        <f t="shared" si="519"/>
        <v>330</v>
      </c>
      <c r="V799" s="2047">
        <f t="shared" si="519"/>
        <v>334</v>
      </c>
      <c r="W799" s="2047">
        <f t="shared" si="519"/>
        <v>331</v>
      </c>
      <c r="X799" s="2047">
        <f t="shared" si="519"/>
        <v>325</v>
      </c>
      <c r="Y799" s="2047">
        <f t="shared" si="519"/>
        <v>329</v>
      </c>
      <c r="Z799" s="2047">
        <f t="shared" si="519"/>
        <v>324</v>
      </c>
      <c r="AA799" s="2047">
        <f t="shared" si="519"/>
        <v>329</v>
      </c>
      <c r="AB799" s="2047">
        <f t="shared" si="519"/>
        <v>329</v>
      </c>
      <c r="AC799" s="44">
        <f>S799</f>
        <v>323</v>
      </c>
      <c r="AD799" s="44">
        <f>V799</f>
        <v>334</v>
      </c>
      <c r="AE799" s="44">
        <f>Y799</f>
        <v>329</v>
      </c>
      <c r="AF799" s="44">
        <f>AB799</f>
        <v>329</v>
      </c>
      <c r="AG799" s="44">
        <f>AD799</f>
        <v>334</v>
      </c>
      <c r="AH799" s="44">
        <f>AF799</f>
        <v>329</v>
      </c>
      <c r="AI799" s="44">
        <f>AH799</f>
        <v>329</v>
      </c>
    </row>
    <row r="800" spans="1:35" s="38" customFormat="1">
      <c r="A800" s="990">
        <v>774</v>
      </c>
      <c r="B800" s="990">
        <v>1</v>
      </c>
      <c r="C800" s="990">
        <v>800</v>
      </c>
      <c r="E800" s="1243">
        <v>1</v>
      </c>
      <c r="F800" s="5"/>
      <c r="G800" s="5"/>
      <c r="H800" s="5"/>
      <c r="I800" s="338"/>
      <c r="J800" s="5"/>
      <c r="K800" s="5"/>
      <c r="L800" s="5"/>
      <c r="M800" s="4"/>
      <c r="N800" s="45"/>
      <c r="O800" s="45" t="s">
        <v>68</v>
      </c>
      <c r="P800" s="4"/>
      <c r="Q800" s="2047">
        <f t="shared" si="519"/>
        <v>1</v>
      </c>
      <c r="R800" s="2047">
        <f t="shared" si="519"/>
        <v>1</v>
      </c>
      <c r="S800" s="2047">
        <f t="shared" si="519"/>
        <v>1</v>
      </c>
      <c r="T800" s="2047">
        <f t="shared" si="519"/>
        <v>1</v>
      </c>
      <c r="U800" s="2047">
        <f t="shared" si="519"/>
        <v>1</v>
      </c>
      <c r="V800" s="2047">
        <f t="shared" si="519"/>
        <v>1</v>
      </c>
      <c r="W800" s="2047">
        <f t="shared" si="519"/>
        <v>1</v>
      </c>
      <c r="X800" s="2047">
        <f t="shared" si="519"/>
        <v>1</v>
      </c>
      <c r="Y800" s="2047">
        <f t="shared" si="519"/>
        <v>1</v>
      </c>
      <c r="Z800" s="2047">
        <f t="shared" si="519"/>
        <v>1</v>
      </c>
      <c r="AA800" s="2047">
        <f t="shared" si="519"/>
        <v>1</v>
      </c>
      <c r="AB800" s="2047">
        <f t="shared" si="519"/>
        <v>1</v>
      </c>
      <c r="AC800" s="44">
        <f>S800</f>
        <v>1</v>
      </c>
      <c r="AD800" s="44">
        <f>V800</f>
        <v>1</v>
      </c>
      <c r="AE800" s="44">
        <f>Y800</f>
        <v>1</v>
      </c>
      <c r="AF800" s="44">
        <f>AB800</f>
        <v>1</v>
      </c>
      <c r="AG800" s="44">
        <f>AD800</f>
        <v>1</v>
      </c>
      <c r="AH800" s="44">
        <f>AF800</f>
        <v>1</v>
      </c>
      <c r="AI800" s="44">
        <f>AH800</f>
        <v>1</v>
      </c>
    </row>
    <row r="801" spans="1:35" s="38" customFormat="1">
      <c r="A801" s="990">
        <v>775</v>
      </c>
      <c r="B801" s="990">
        <v>1</v>
      </c>
      <c r="C801" s="990">
        <v>801</v>
      </c>
      <c r="E801" s="1243">
        <v>1</v>
      </c>
      <c r="F801" s="5"/>
      <c r="G801" s="5"/>
      <c r="H801" s="5"/>
      <c r="I801" s="338"/>
      <c r="J801" s="5"/>
      <c r="K801" s="5"/>
      <c r="L801" s="5"/>
      <c r="M801" s="4"/>
      <c r="N801" s="45"/>
      <c r="O801" s="45" t="s">
        <v>122</v>
      </c>
      <c r="P801" s="4"/>
      <c r="Q801" s="2047">
        <f t="shared" si="519"/>
        <v>43</v>
      </c>
      <c r="R801" s="2047">
        <f t="shared" si="519"/>
        <v>43</v>
      </c>
      <c r="S801" s="2047">
        <f t="shared" si="519"/>
        <v>43</v>
      </c>
      <c r="T801" s="2047">
        <f t="shared" si="519"/>
        <v>43</v>
      </c>
      <c r="U801" s="2047">
        <f t="shared" si="519"/>
        <v>44</v>
      </c>
      <c r="V801" s="2047">
        <f t="shared" si="519"/>
        <v>43</v>
      </c>
      <c r="W801" s="2047">
        <f t="shared" si="519"/>
        <v>44</v>
      </c>
      <c r="X801" s="2047">
        <f t="shared" si="519"/>
        <v>44</v>
      </c>
      <c r="Y801" s="2047">
        <f t="shared" si="519"/>
        <v>44</v>
      </c>
      <c r="Z801" s="2047">
        <f t="shared" si="519"/>
        <v>44</v>
      </c>
      <c r="AA801" s="2047">
        <f t="shared" si="519"/>
        <v>44</v>
      </c>
      <c r="AB801" s="2047">
        <f t="shared" si="519"/>
        <v>45</v>
      </c>
      <c r="AC801" s="44">
        <f>S801</f>
        <v>43</v>
      </c>
      <c r="AD801" s="44">
        <f>V801</f>
        <v>43</v>
      </c>
      <c r="AE801" s="44">
        <f>Y801</f>
        <v>44</v>
      </c>
      <c r="AF801" s="44">
        <f>AB801</f>
        <v>45</v>
      </c>
      <c r="AG801" s="44">
        <f>AD801</f>
        <v>43</v>
      </c>
      <c r="AH801" s="44">
        <f>AF801</f>
        <v>45</v>
      </c>
      <c r="AI801" s="44">
        <f>AH801</f>
        <v>45</v>
      </c>
    </row>
    <row r="802" spans="1:35" s="38" customFormat="1">
      <c r="A802" s="990">
        <v>776</v>
      </c>
      <c r="B802" s="990">
        <v>1</v>
      </c>
      <c r="C802" s="990">
        <v>802</v>
      </c>
      <c r="E802" s="1243">
        <v>1</v>
      </c>
      <c r="F802" s="5"/>
      <c r="G802" s="5"/>
      <c r="H802" s="5"/>
      <c r="I802" s="338"/>
      <c r="J802" s="5"/>
      <c r="K802" s="5"/>
      <c r="L802" s="5"/>
      <c r="M802" s="4"/>
      <c r="N802" s="45"/>
      <c r="O802" s="45" t="s">
        <v>121</v>
      </c>
      <c r="P802" s="4"/>
      <c r="Q802" s="2047">
        <f t="shared" si="519"/>
        <v>0</v>
      </c>
      <c r="R802" s="2047">
        <f t="shared" si="519"/>
        <v>0</v>
      </c>
      <c r="S802" s="2047">
        <f t="shared" si="519"/>
        <v>0</v>
      </c>
      <c r="T802" s="2047">
        <f t="shared" si="519"/>
        <v>0</v>
      </c>
      <c r="U802" s="2047">
        <f t="shared" si="519"/>
        <v>0</v>
      </c>
      <c r="V802" s="2047">
        <f t="shared" si="519"/>
        <v>0</v>
      </c>
      <c r="W802" s="2047">
        <f t="shared" si="519"/>
        <v>0</v>
      </c>
      <c r="X802" s="2047">
        <f t="shared" si="519"/>
        <v>0</v>
      </c>
      <c r="Y802" s="2047">
        <f t="shared" si="519"/>
        <v>0</v>
      </c>
      <c r="Z802" s="2047">
        <f t="shared" si="519"/>
        <v>0</v>
      </c>
      <c r="AA802" s="2047">
        <f t="shared" si="519"/>
        <v>0</v>
      </c>
      <c r="AB802" s="2047">
        <f t="shared" si="519"/>
        <v>0</v>
      </c>
      <c r="AC802" s="44">
        <f>S802</f>
        <v>0</v>
      </c>
      <c r="AD802" s="44">
        <f>V802</f>
        <v>0</v>
      </c>
      <c r="AE802" s="44">
        <f>Y802</f>
        <v>0</v>
      </c>
      <c r="AF802" s="44">
        <f>AB802</f>
        <v>0</v>
      </c>
      <c r="AG802" s="44">
        <f>AD802</f>
        <v>0</v>
      </c>
      <c r="AH802" s="44">
        <f>AF802</f>
        <v>0</v>
      </c>
      <c r="AI802" s="44">
        <f>AH802</f>
        <v>0</v>
      </c>
    </row>
    <row r="803" spans="1:35" s="38" customFormat="1">
      <c r="A803" s="990">
        <v>777</v>
      </c>
      <c r="B803" s="990">
        <v>1</v>
      </c>
      <c r="C803" s="990">
        <v>803</v>
      </c>
      <c r="E803" s="1243">
        <v>1</v>
      </c>
      <c r="F803" s="5"/>
      <c r="G803" s="5"/>
      <c r="H803" s="5"/>
      <c r="I803" s="338"/>
      <c r="J803" s="5"/>
      <c r="K803" s="5"/>
      <c r="L803" s="5"/>
      <c r="M803" s="4"/>
      <c r="N803" s="45"/>
      <c r="O803" s="45" t="s">
        <v>120</v>
      </c>
      <c r="P803" s="4"/>
      <c r="Q803" s="2047">
        <f t="shared" si="519"/>
        <v>31</v>
      </c>
      <c r="R803" s="2047">
        <f t="shared" si="519"/>
        <v>31</v>
      </c>
      <c r="S803" s="2047">
        <f t="shared" si="519"/>
        <v>31</v>
      </c>
      <c r="T803" s="2047">
        <f t="shared" si="519"/>
        <v>31</v>
      </c>
      <c r="U803" s="2047">
        <f t="shared" si="519"/>
        <v>31</v>
      </c>
      <c r="V803" s="2047">
        <f t="shared" si="519"/>
        <v>31</v>
      </c>
      <c r="W803" s="2047">
        <f t="shared" si="519"/>
        <v>31</v>
      </c>
      <c r="X803" s="2047">
        <f t="shared" si="519"/>
        <v>31</v>
      </c>
      <c r="Y803" s="2047">
        <f t="shared" si="519"/>
        <v>31</v>
      </c>
      <c r="Z803" s="2047">
        <f t="shared" si="519"/>
        <v>31</v>
      </c>
      <c r="AA803" s="2047">
        <f t="shared" si="519"/>
        <v>30</v>
      </c>
      <c r="AB803" s="2047">
        <f t="shared" si="519"/>
        <v>31</v>
      </c>
      <c r="AC803" s="44">
        <f>S803</f>
        <v>31</v>
      </c>
      <c r="AD803" s="44">
        <f>V803</f>
        <v>31</v>
      </c>
      <c r="AE803" s="44">
        <f>Y803</f>
        <v>31</v>
      </c>
      <c r="AF803" s="44">
        <f>AB803</f>
        <v>31</v>
      </c>
      <c r="AG803" s="44">
        <f>AD803</f>
        <v>31</v>
      </c>
      <c r="AH803" s="44">
        <f>AF803</f>
        <v>31</v>
      </c>
      <c r="AI803" s="44">
        <f>AH803</f>
        <v>31</v>
      </c>
    </row>
    <row r="804" spans="1:35" s="38" customFormat="1">
      <c r="A804" s="990">
        <v>778</v>
      </c>
      <c r="B804" s="990">
        <v>1</v>
      </c>
      <c r="C804" s="990">
        <v>804</v>
      </c>
      <c r="D804" s="1121" t="s">
        <v>999</v>
      </c>
      <c r="E804" s="1243">
        <v>1</v>
      </c>
      <c r="F804" s="5"/>
      <c r="G804" s="5"/>
      <c r="H804" s="5"/>
      <c r="I804" s="338"/>
      <c r="J804" s="324" t="s">
        <v>334</v>
      </c>
      <c r="K804" s="324"/>
      <c r="L804" s="324"/>
      <c r="M804" s="323"/>
      <c r="N804" s="323"/>
      <c r="O804" s="323"/>
      <c r="P804" s="1203"/>
      <c r="Q804" s="2193">
        <f t="shared" ref="Q804:X804" si="520">SUM(Q805:Q808)</f>
        <v>24</v>
      </c>
      <c r="R804" s="2193">
        <f t="shared" si="520"/>
        <v>24</v>
      </c>
      <c r="S804" s="2193">
        <f t="shared" si="520"/>
        <v>25</v>
      </c>
      <c r="T804" s="2193">
        <f t="shared" si="520"/>
        <v>25</v>
      </c>
      <c r="U804" s="2193">
        <f t="shared" si="520"/>
        <v>25</v>
      </c>
      <c r="V804" s="2193">
        <f t="shared" si="520"/>
        <v>24</v>
      </c>
      <c r="W804" s="2193">
        <f t="shared" si="520"/>
        <v>17</v>
      </c>
      <c r="X804" s="2193">
        <f t="shared" si="520"/>
        <v>17</v>
      </c>
      <c r="Y804" s="2193">
        <f>SUM(Y805:Y808)</f>
        <v>17</v>
      </c>
      <c r="Z804" s="2193">
        <f>SUM(Z805:Z808)</f>
        <v>18</v>
      </c>
      <c r="AA804" s="2193">
        <f>SUM(AA805:AA808)</f>
        <v>18</v>
      </c>
      <c r="AB804" s="2193">
        <f>SUM(AB805:AB808)</f>
        <v>18</v>
      </c>
      <c r="AC804" s="325">
        <f t="shared" ref="AC804:AI804" si="521">SUM(AC805:AC808)</f>
        <v>25</v>
      </c>
      <c r="AD804" s="325">
        <f t="shared" si="521"/>
        <v>24</v>
      </c>
      <c r="AE804" s="325">
        <f t="shared" si="521"/>
        <v>17</v>
      </c>
      <c r="AF804" s="325">
        <f t="shared" si="521"/>
        <v>18</v>
      </c>
      <c r="AG804" s="325">
        <f t="shared" si="521"/>
        <v>24</v>
      </c>
      <c r="AH804" s="325">
        <f t="shared" si="521"/>
        <v>18</v>
      </c>
      <c r="AI804" s="325">
        <f t="shared" si="521"/>
        <v>18</v>
      </c>
    </row>
    <row r="805" spans="1:35" s="38" customFormat="1">
      <c r="A805" s="990">
        <v>779</v>
      </c>
      <c r="B805" s="990">
        <v>1</v>
      </c>
      <c r="C805" s="990">
        <v>805</v>
      </c>
      <c r="E805" s="1243">
        <v>1</v>
      </c>
      <c r="F805" s="5"/>
      <c r="G805" s="5"/>
      <c r="H805" s="5"/>
      <c r="I805" s="338"/>
      <c r="J805" s="5"/>
      <c r="K805" s="5"/>
      <c r="L805" s="5"/>
      <c r="M805" s="4"/>
      <c r="N805" s="45"/>
      <c r="O805" s="45" t="s">
        <v>323</v>
      </c>
      <c r="P805" s="4"/>
      <c r="Q805" s="2047">
        <f t="shared" ref="Q805:AB808" si="522">Q836+Q956+Q866+Q896+Q926</f>
        <v>7</v>
      </c>
      <c r="R805" s="2047">
        <f t="shared" si="522"/>
        <v>7</v>
      </c>
      <c r="S805" s="2047">
        <f t="shared" si="522"/>
        <v>7</v>
      </c>
      <c r="T805" s="2047">
        <f t="shared" si="522"/>
        <v>7</v>
      </c>
      <c r="U805" s="2047">
        <f t="shared" si="522"/>
        <v>7</v>
      </c>
      <c r="V805" s="2047">
        <f t="shared" si="522"/>
        <v>8</v>
      </c>
      <c r="W805" s="2047">
        <f t="shared" si="522"/>
        <v>8</v>
      </c>
      <c r="X805" s="2047">
        <f t="shared" si="522"/>
        <v>8</v>
      </c>
      <c r="Y805" s="2047">
        <f t="shared" si="522"/>
        <v>8</v>
      </c>
      <c r="Z805" s="2047">
        <f t="shared" si="522"/>
        <v>8</v>
      </c>
      <c r="AA805" s="2047">
        <f t="shared" si="522"/>
        <v>8</v>
      </c>
      <c r="AB805" s="2047">
        <f t="shared" si="522"/>
        <v>8</v>
      </c>
      <c r="AC805" s="44">
        <f>S805</f>
        <v>7</v>
      </c>
      <c r="AD805" s="44">
        <f>V805</f>
        <v>8</v>
      </c>
      <c r="AE805" s="44">
        <f>Y805</f>
        <v>8</v>
      </c>
      <c r="AF805" s="44">
        <f>AB805</f>
        <v>8</v>
      </c>
      <c r="AG805" s="44">
        <f>AD805</f>
        <v>8</v>
      </c>
      <c r="AH805" s="44">
        <f>AF805</f>
        <v>8</v>
      </c>
      <c r="AI805" s="44">
        <f>AH805</f>
        <v>8</v>
      </c>
    </row>
    <row r="806" spans="1:35" s="38" customFormat="1">
      <c r="A806" s="990">
        <v>780</v>
      </c>
      <c r="B806" s="990">
        <v>1</v>
      </c>
      <c r="C806" s="990">
        <v>806</v>
      </c>
      <c r="E806" s="1243">
        <v>1</v>
      </c>
      <c r="F806" s="5"/>
      <c r="G806" s="5"/>
      <c r="H806" s="5"/>
      <c r="I806" s="338"/>
      <c r="J806" s="5"/>
      <c r="K806" s="5"/>
      <c r="L806" s="5"/>
      <c r="M806" s="4"/>
      <c r="N806" s="45"/>
      <c r="O806" s="45" t="s">
        <v>324</v>
      </c>
      <c r="P806" s="4"/>
      <c r="Q806" s="2047">
        <f t="shared" si="522"/>
        <v>0</v>
      </c>
      <c r="R806" s="2047">
        <f t="shared" si="522"/>
        <v>0</v>
      </c>
      <c r="S806" s="2047">
        <f t="shared" si="522"/>
        <v>0</v>
      </c>
      <c r="T806" s="2047">
        <f t="shared" si="522"/>
        <v>0</v>
      </c>
      <c r="U806" s="2047">
        <f t="shared" si="522"/>
        <v>0</v>
      </c>
      <c r="V806" s="2047">
        <f t="shared" si="522"/>
        <v>0</v>
      </c>
      <c r="W806" s="2047">
        <f t="shared" si="522"/>
        <v>0</v>
      </c>
      <c r="X806" s="2047">
        <f t="shared" si="522"/>
        <v>0</v>
      </c>
      <c r="Y806" s="2047">
        <f t="shared" si="522"/>
        <v>0</v>
      </c>
      <c r="Z806" s="2047">
        <f t="shared" si="522"/>
        <v>0</v>
      </c>
      <c r="AA806" s="2047">
        <f t="shared" si="522"/>
        <v>0</v>
      </c>
      <c r="AB806" s="2047">
        <f t="shared" si="522"/>
        <v>0</v>
      </c>
      <c r="AC806" s="44">
        <f>S806</f>
        <v>0</v>
      </c>
      <c r="AD806" s="44">
        <f>V806</f>
        <v>0</v>
      </c>
      <c r="AE806" s="44">
        <f>Y806</f>
        <v>0</v>
      </c>
      <c r="AF806" s="44">
        <f>AB806</f>
        <v>0</v>
      </c>
      <c r="AG806" s="44">
        <f>AD806</f>
        <v>0</v>
      </c>
      <c r="AH806" s="44">
        <f>AF806</f>
        <v>0</v>
      </c>
      <c r="AI806" s="44">
        <f>AH806</f>
        <v>0</v>
      </c>
    </row>
    <row r="807" spans="1:35" s="38" customFormat="1">
      <c r="A807" s="990">
        <v>781</v>
      </c>
      <c r="B807" s="990">
        <v>1</v>
      </c>
      <c r="C807" s="990">
        <v>807</v>
      </c>
      <c r="E807" s="1243">
        <v>1</v>
      </c>
      <c r="F807" s="5"/>
      <c r="G807" s="5"/>
      <c r="H807" s="5"/>
      <c r="I807" s="338"/>
      <c r="J807" s="5"/>
      <c r="K807" s="5"/>
      <c r="L807" s="5"/>
      <c r="M807" s="4"/>
      <c r="N807" s="45"/>
      <c r="O807" s="45" t="s">
        <v>325</v>
      </c>
      <c r="P807" s="4"/>
      <c r="Q807" s="2047">
        <f t="shared" si="522"/>
        <v>14</v>
      </c>
      <c r="R807" s="2047">
        <f t="shared" si="522"/>
        <v>14</v>
      </c>
      <c r="S807" s="2047">
        <f t="shared" si="522"/>
        <v>15</v>
      </c>
      <c r="T807" s="2047">
        <f t="shared" si="522"/>
        <v>15</v>
      </c>
      <c r="U807" s="2047">
        <f t="shared" si="522"/>
        <v>15</v>
      </c>
      <c r="V807" s="2047">
        <f t="shared" si="522"/>
        <v>13</v>
      </c>
      <c r="W807" s="2047">
        <f t="shared" si="522"/>
        <v>7</v>
      </c>
      <c r="X807" s="2047">
        <f t="shared" si="522"/>
        <v>7</v>
      </c>
      <c r="Y807" s="2047">
        <f t="shared" si="522"/>
        <v>7</v>
      </c>
      <c r="Z807" s="2047">
        <f t="shared" si="522"/>
        <v>8</v>
      </c>
      <c r="AA807" s="2047">
        <f t="shared" si="522"/>
        <v>8</v>
      </c>
      <c r="AB807" s="2047">
        <f t="shared" si="522"/>
        <v>8</v>
      </c>
      <c r="AC807" s="44">
        <f>S807</f>
        <v>15</v>
      </c>
      <c r="AD807" s="44">
        <f>V807</f>
        <v>13</v>
      </c>
      <c r="AE807" s="44">
        <f>Y807</f>
        <v>7</v>
      </c>
      <c r="AF807" s="44">
        <f>AB807</f>
        <v>8</v>
      </c>
      <c r="AG807" s="44">
        <f>AD807</f>
        <v>13</v>
      </c>
      <c r="AH807" s="44">
        <f>AF807</f>
        <v>8</v>
      </c>
      <c r="AI807" s="44">
        <f>AH807</f>
        <v>8</v>
      </c>
    </row>
    <row r="808" spans="1:35" s="38" customFormat="1">
      <c r="A808" s="990">
        <v>782</v>
      </c>
      <c r="B808" s="990">
        <v>1</v>
      </c>
      <c r="C808" s="990">
        <v>808</v>
      </c>
      <c r="E808" s="1243">
        <v>1</v>
      </c>
      <c r="F808" s="5"/>
      <c r="G808" s="5"/>
      <c r="H808" s="5"/>
      <c r="I808" s="338"/>
      <c r="J808" s="3"/>
      <c r="K808" s="3"/>
      <c r="L808" s="3"/>
      <c r="M808" s="2"/>
      <c r="N808" s="43"/>
      <c r="O808" s="43" t="s">
        <v>326</v>
      </c>
      <c r="P808" s="2"/>
      <c r="Q808" s="2048">
        <f t="shared" si="522"/>
        <v>3</v>
      </c>
      <c r="R808" s="2048">
        <f t="shared" si="522"/>
        <v>3</v>
      </c>
      <c r="S808" s="2048">
        <f t="shared" si="522"/>
        <v>3</v>
      </c>
      <c r="T808" s="2048">
        <f t="shared" si="522"/>
        <v>3</v>
      </c>
      <c r="U808" s="2048">
        <f t="shared" si="522"/>
        <v>3</v>
      </c>
      <c r="V808" s="2048">
        <f t="shared" si="522"/>
        <v>3</v>
      </c>
      <c r="W808" s="2048">
        <f t="shared" si="522"/>
        <v>2</v>
      </c>
      <c r="X808" s="2048">
        <f t="shared" si="522"/>
        <v>2</v>
      </c>
      <c r="Y808" s="2048">
        <f t="shared" si="522"/>
        <v>2</v>
      </c>
      <c r="Z808" s="2048">
        <f t="shared" si="522"/>
        <v>2</v>
      </c>
      <c r="AA808" s="2048">
        <f t="shared" si="522"/>
        <v>2</v>
      </c>
      <c r="AB808" s="2048">
        <f t="shared" si="522"/>
        <v>2</v>
      </c>
      <c r="AC808" s="42">
        <f>S808</f>
        <v>3</v>
      </c>
      <c r="AD808" s="42">
        <f>V808</f>
        <v>3</v>
      </c>
      <c r="AE808" s="42">
        <f>Y808</f>
        <v>2</v>
      </c>
      <c r="AF808" s="42">
        <f>AB808</f>
        <v>2</v>
      </c>
      <c r="AG808" s="42">
        <f>AD808</f>
        <v>3</v>
      </c>
      <c r="AH808" s="42">
        <f>AF808</f>
        <v>2</v>
      </c>
      <c r="AI808" s="42">
        <f>AH808</f>
        <v>2</v>
      </c>
    </row>
    <row r="809" spans="1:35" s="38" customFormat="1">
      <c r="A809" s="990">
        <v>783</v>
      </c>
      <c r="B809" s="990">
        <v>1</v>
      </c>
      <c r="C809" s="990">
        <v>809</v>
      </c>
      <c r="D809" s="1121" t="s">
        <v>999</v>
      </c>
      <c r="E809" s="1243">
        <v>1</v>
      </c>
      <c r="F809" s="5"/>
      <c r="G809" s="5"/>
      <c r="H809" s="5"/>
      <c r="I809" s="338"/>
      <c r="J809" s="52" t="s">
        <v>73</v>
      </c>
      <c r="K809" s="52"/>
      <c r="L809" s="52"/>
      <c r="M809" s="51"/>
      <c r="N809" s="51"/>
      <c r="O809" s="51"/>
      <c r="P809" s="50"/>
      <c r="Q809" s="2059">
        <f>SUM(Q810:Q814)</f>
        <v>72</v>
      </c>
      <c r="R809" s="2059">
        <f t="shared" ref="R809:AI809" si="523">SUM(R810:R814)</f>
        <v>72</v>
      </c>
      <c r="S809" s="2059">
        <f t="shared" si="523"/>
        <v>73</v>
      </c>
      <c r="T809" s="2059">
        <f t="shared" si="523"/>
        <v>74</v>
      </c>
      <c r="U809" s="2059">
        <f t="shared" si="523"/>
        <v>73</v>
      </c>
      <c r="V809" s="2059">
        <f t="shared" si="523"/>
        <v>72</v>
      </c>
      <c r="W809" s="2059">
        <f t="shared" si="523"/>
        <v>72</v>
      </c>
      <c r="X809" s="2059">
        <f t="shared" si="523"/>
        <v>71</v>
      </c>
      <c r="Y809" s="2059">
        <f t="shared" si="523"/>
        <v>71</v>
      </c>
      <c r="Z809" s="2059">
        <f t="shared" si="523"/>
        <v>72</v>
      </c>
      <c r="AA809" s="2059">
        <f t="shared" si="523"/>
        <v>71</v>
      </c>
      <c r="AB809" s="2059">
        <f t="shared" si="523"/>
        <v>73</v>
      </c>
      <c r="AC809" s="49">
        <f t="shared" si="523"/>
        <v>73</v>
      </c>
      <c r="AD809" s="49">
        <f t="shared" si="523"/>
        <v>72</v>
      </c>
      <c r="AE809" s="49">
        <f t="shared" si="523"/>
        <v>71</v>
      </c>
      <c r="AF809" s="49">
        <f t="shared" si="523"/>
        <v>73</v>
      </c>
      <c r="AG809" s="49">
        <f t="shared" si="523"/>
        <v>72</v>
      </c>
      <c r="AH809" s="49">
        <f t="shared" si="523"/>
        <v>73</v>
      </c>
      <c r="AI809" s="49">
        <f t="shared" si="523"/>
        <v>73</v>
      </c>
    </row>
    <row r="810" spans="1:35" s="38" customFormat="1">
      <c r="A810" s="990">
        <v>784</v>
      </c>
      <c r="B810" s="990">
        <v>1</v>
      </c>
      <c r="C810" s="990">
        <v>810</v>
      </c>
      <c r="E810" s="1243">
        <v>1</v>
      </c>
      <c r="F810" s="5"/>
      <c r="G810" s="5"/>
      <c r="H810" s="5"/>
      <c r="I810" s="338"/>
      <c r="J810" s="5"/>
      <c r="K810" s="5"/>
      <c r="L810" s="4"/>
      <c r="M810" s="4"/>
      <c r="N810" s="45"/>
      <c r="O810" s="45" t="s">
        <v>119</v>
      </c>
      <c r="P810" s="1204"/>
      <c r="Q810" s="2047">
        <f t="shared" ref="Q810:AB814" si="524">Q841+Q961+Q871+Q901+Q931</f>
        <v>6</v>
      </c>
      <c r="R810" s="2047">
        <f t="shared" si="524"/>
        <v>6</v>
      </c>
      <c r="S810" s="2047">
        <f t="shared" si="524"/>
        <v>6</v>
      </c>
      <c r="T810" s="2047">
        <f t="shared" si="524"/>
        <v>6</v>
      </c>
      <c r="U810" s="2047">
        <f t="shared" si="524"/>
        <v>6</v>
      </c>
      <c r="V810" s="2047">
        <f t="shared" si="524"/>
        <v>6</v>
      </c>
      <c r="W810" s="2047">
        <f t="shared" si="524"/>
        <v>6</v>
      </c>
      <c r="X810" s="2047">
        <f t="shared" si="524"/>
        <v>6</v>
      </c>
      <c r="Y810" s="2047">
        <f t="shared" si="524"/>
        <v>7</v>
      </c>
      <c r="Z810" s="2047">
        <f t="shared" si="524"/>
        <v>7</v>
      </c>
      <c r="AA810" s="2047">
        <f t="shared" si="524"/>
        <v>7</v>
      </c>
      <c r="AB810" s="2047">
        <f t="shared" si="524"/>
        <v>7</v>
      </c>
      <c r="AC810" s="44">
        <f>S810</f>
        <v>6</v>
      </c>
      <c r="AD810" s="44">
        <f>V810</f>
        <v>6</v>
      </c>
      <c r="AE810" s="44">
        <f>Y810</f>
        <v>7</v>
      </c>
      <c r="AF810" s="44">
        <f>AB810</f>
        <v>7</v>
      </c>
      <c r="AG810" s="44">
        <f>AD810</f>
        <v>6</v>
      </c>
      <c r="AH810" s="44">
        <f>AF810</f>
        <v>7</v>
      </c>
      <c r="AI810" s="44">
        <f>AH810</f>
        <v>7</v>
      </c>
    </row>
    <row r="811" spans="1:35" s="38" customFormat="1">
      <c r="A811" s="990">
        <v>785</v>
      </c>
      <c r="B811" s="990">
        <v>1</v>
      </c>
      <c r="C811" s="990">
        <v>811</v>
      </c>
      <c r="E811" s="1243">
        <v>1</v>
      </c>
      <c r="F811" s="5"/>
      <c r="G811" s="5"/>
      <c r="H811" s="5"/>
      <c r="I811" s="338"/>
      <c r="J811" s="5"/>
      <c r="K811" s="5"/>
      <c r="L811" s="4"/>
      <c r="M811" s="4"/>
      <c r="N811" s="45"/>
      <c r="O811" s="45" t="s">
        <v>75</v>
      </c>
      <c r="P811" s="1204"/>
      <c r="Q811" s="2047">
        <f t="shared" si="524"/>
        <v>44</v>
      </c>
      <c r="R811" s="2047">
        <f t="shared" si="524"/>
        <v>43</v>
      </c>
      <c r="S811" s="2047">
        <f t="shared" si="524"/>
        <v>44</v>
      </c>
      <c r="T811" s="2047">
        <f t="shared" si="524"/>
        <v>45</v>
      </c>
      <c r="U811" s="2047">
        <f t="shared" si="524"/>
        <v>45</v>
      </c>
      <c r="V811" s="2047">
        <f t="shared" si="524"/>
        <v>43</v>
      </c>
      <c r="W811" s="2047">
        <f t="shared" si="524"/>
        <v>42</v>
      </c>
      <c r="X811" s="2047">
        <f t="shared" si="524"/>
        <v>41</v>
      </c>
      <c r="Y811" s="2047">
        <f t="shared" si="524"/>
        <v>41</v>
      </c>
      <c r="Z811" s="2047">
        <f t="shared" si="524"/>
        <v>41</v>
      </c>
      <c r="AA811" s="2047">
        <f t="shared" si="524"/>
        <v>40</v>
      </c>
      <c r="AB811" s="2047">
        <f t="shared" si="524"/>
        <v>42</v>
      </c>
      <c r="AC811" s="44">
        <f>S811</f>
        <v>44</v>
      </c>
      <c r="AD811" s="44">
        <f>V811</f>
        <v>43</v>
      </c>
      <c r="AE811" s="44">
        <f>Y811</f>
        <v>41</v>
      </c>
      <c r="AF811" s="44">
        <f>AB811</f>
        <v>42</v>
      </c>
      <c r="AG811" s="44">
        <f>AD811</f>
        <v>43</v>
      </c>
      <c r="AH811" s="44">
        <f>AF811</f>
        <v>42</v>
      </c>
      <c r="AI811" s="44">
        <f>AH811</f>
        <v>42</v>
      </c>
    </row>
    <row r="812" spans="1:35" s="38" customFormat="1">
      <c r="A812" s="990">
        <v>786</v>
      </c>
      <c r="B812" s="990">
        <v>1</v>
      </c>
      <c r="C812" s="990">
        <v>812</v>
      </c>
      <c r="E812" s="1243">
        <v>1</v>
      </c>
      <c r="F812" s="5"/>
      <c r="G812" s="5"/>
      <c r="H812" s="5"/>
      <c r="I812" s="338"/>
      <c r="J812" s="5"/>
      <c r="K812" s="5"/>
      <c r="L812" s="4"/>
      <c r="M812" s="4"/>
      <c r="N812" s="45"/>
      <c r="O812" s="45" t="s">
        <v>76</v>
      </c>
      <c r="P812" s="1204"/>
      <c r="Q812" s="2047">
        <f t="shared" si="524"/>
        <v>8</v>
      </c>
      <c r="R812" s="2047">
        <f t="shared" si="524"/>
        <v>8</v>
      </c>
      <c r="S812" s="2047">
        <f t="shared" si="524"/>
        <v>8</v>
      </c>
      <c r="T812" s="2047">
        <f t="shared" si="524"/>
        <v>8</v>
      </c>
      <c r="U812" s="2047">
        <f t="shared" si="524"/>
        <v>7</v>
      </c>
      <c r="V812" s="2047">
        <f t="shared" si="524"/>
        <v>7</v>
      </c>
      <c r="W812" s="2047">
        <f t="shared" si="524"/>
        <v>7</v>
      </c>
      <c r="X812" s="2047">
        <f t="shared" si="524"/>
        <v>7</v>
      </c>
      <c r="Y812" s="2047">
        <f t="shared" si="524"/>
        <v>7</v>
      </c>
      <c r="Z812" s="2047">
        <f t="shared" si="524"/>
        <v>7</v>
      </c>
      <c r="AA812" s="2047">
        <f t="shared" si="524"/>
        <v>7</v>
      </c>
      <c r="AB812" s="2047">
        <f t="shared" si="524"/>
        <v>7</v>
      </c>
      <c r="AC812" s="44">
        <f>S812</f>
        <v>8</v>
      </c>
      <c r="AD812" s="44">
        <f>V812</f>
        <v>7</v>
      </c>
      <c r="AE812" s="44">
        <f>Y812</f>
        <v>7</v>
      </c>
      <c r="AF812" s="44">
        <f>AB812</f>
        <v>7</v>
      </c>
      <c r="AG812" s="44">
        <f>AD812</f>
        <v>7</v>
      </c>
      <c r="AH812" s="44">
        <f>AF812</f>
        <v>7</v>
      </c>
      <c r="AI812" s="44">
        <f>AH812</f>
        <v>7</v>
      </c>
    </row>
    <row r="813" spans="1:35" s="38" customFormat="1">
      <c r="A813" s="990">
        <v>787</v>
      </c>
      <c r="B813" s="990">
        <v>1</v>
      </c>
      <c r="C813" s="990">
        <v>813</v>
      </c>
      <c r="E813" s="1243">
        <v>1</v>
      </c>
      <c r="F813" s="5"/>
      <c r="G813" s="5"/>
      <c r="H813" s="5"/>
      <c r="I813" s="338"/>
      <c r="J813" s="5"/>
      <c r="K813" s="5"/>
      <c r="L813" s="4"/>
      <c r="M813" s="4"/>
      <c r="N813" s="45"/>
      <c r="O813" s="45" t="s">
        <v>77</v>
      </c>
      <c r="P813" s="1204"/>
      <c r="Q813" s="2047">
        <f t="shared" si="524"/>
        <v>0</v>
      </c>
      <c r="R813" s="2047">
        <f t="shared" si="524"/>
        <v>0</v>
      </c>
      <c r="S813" s="2047">
        <f t="shared" si="524"/>
        <v>0</v>
      </c>
      <c r="T813" s="2047">
        <f t="shared" si="524"/>
        <v>0</v>
      </c>
      <c r="U813" s="2047">
        <f t="shared" si="524"/>
        <v>0</v>
      </c>
      <c r="V813" s="2047">
        <f t="shared" si="524"/>
        <v>0</v>
      </c>
      <c r="W813" s="2047">
        <f t="shared" si="524"/>
        <v>0</v>
      </c>
      <c r="X813" s="2047">
        <f t="shared" si="524"/>
        <v>0</v>
      </c>
      <c r="Y813" s="2047">
        <f t="shared" si="524"/>
        <v>0</v>
      </c>
      <c r="Z813" s="2047">
        <f t="shared" si="524"/>
        <v>0</v>
      </c>
      <c r="AA813" s="2047">
        <f t="shared" si="524"/>
        <v>0</v>
      </c>
      <c r="AB813" s="2047">
        <f t="shared" si="524"/>
        <v>0</v>
      </c>
      <c r="AC813" s="44">
        <f>S813</f>
        <v>0</v>
      </c>
      <c r="AD813" s="44">
        <f>V813</f>
        <v>0</v>
      </c>
      <c r="AE813" s="44">
        <f>Y813</f>
        <v>0</v>
      </c>
      <c r="AF813" s="44">
        <f>AB813</f>
        <v>0</v>
      </c>
      <c r="AG813" s="44">
        <f>AD813</f>
        <v>0</v>
      </c>
      <c r="AH813" s="44">
        <f>AF813</f>
        <v>0</v>
      </c>
      <c r="AI813" s="44">
        <f>AH813</f>
        <v>0</v>
      </c>
    </row>
    <row r="814" spans="1:35" s="38" customFormat="1">
      <c r="A814" s="990">
        <v>788</v>
      </c>
      <c r="B814" s="990">
        <v>1</v>
      </c>
      <c r="C814" s="990">
        <v>814</v>
      </c>
      <c r="E814" s="1243">
        <v>1</v>
      </c>
      <c r="F814" s="5"/>
      <c r="G814" s="5"/>
      <c r="H814" s="5"/>
      <c r="I814" s="338"/>
      <c r="J814" s="5"/>
      <c r="K814" s="5"/>
      <c r="L814" s="4"/>
      <c r="M814" s="4"/>
      <c r="N814" s="45"/>
      <c r="O814" s="45" t="s">
        <v>11</v>
      </c>
      <c r="P814" s="1204"/>
      <c r="Q814" s="2047">
        <f t="shared" si="524"/>
        <v>14</v>
      </c>
      <c r="R814" s="2047">
        <f t="shared" si="524"/>
        <v>15</v>
      </c>
      <c r="S814" s="2047">
        <f t="shared" si="524"/>
        <v>15</v>
      </c>
      <c r="T814" s="2047">
        <f t="shared" si="524"/>
        <v>15</v>
      </c>
      <c r="U814" s="2047">
        <f t="shared" si="524"/>
        <v>15</v>
      </c>
      <c r="V814" s="2047">
        <f t="shared" si="524"/>
        <v>16</v>
      </c>
      <c r="W814" s="2047">
        <f t="shared" si="524"/>
        <v>17</v>
      </c>
      <c r="X814" s="2047">
        <f t="shared" si="524"/>
        <v>17</v>
      </c>
      <c r="Y814" s="2047">
        <f t="shared" si="524"/>
        <v>16</v>
      </c>
      <c r="Z814" s="2047">
        <f t="shared" si="524"/>
        <v>17</v>
      </c>
      <c r="AA814" s="2047">
        <f t="shared" si="524"/>
        <v>17</v>
      </c>
      <c r="AB814" s="2047">
        <f t="shared" si="524"/>
        <v>17</v>
      </c>
      <c r="AC814" s="44">
        <f>S814</f>
        <v>15</v>
      </c>
      <c r="AD814" s="44">
        <f>V814</f>
        <v>16</v>
      </c>
      <c r="AE814" s="44">
        <f>Y814</f>
        <v>16</v>
      </c>
      <c r="AF814" s="44">
        <f>AB814</f>
        <v>17</v>
      </c>
      <c r="AG814" s="44">
        <f>AD814</f>
        <v>16</v>
      </c>
      <c r="AH814" s="44">
        <f>AF814</f>
        <v>17</v>
      </c>
      <c r="AI814" s="44">
        <f>AH814</f>
        <v>17</v>
      </c>
    </row>
    <row r="815" spans="1:35" s="38" customFormat="1">
      <c r="A815" s="990">
        <v>789</v>
      </c>
      <c r="B815" s="990">
        <v>1</v>
      </c>
      <c r="C815" s="990">
        <v>815</v>
      </c>
      <c r="D815" s="1121" t="s">
        <v>999</v>
      </c>
      <c r="E815" s="1243">
        <v>1</v>
      </c>
      <c r="F815" s="5"/>
      <c r="G815" s="5"/>
      <c r="H815" s="5"/>
      <c r="I815" s="338"/>
      <c r="J815" s="324" t="s">
        <v>332</v>
      </c>
      <c r="K815" s="324"/>
      <c r="L815" s="324"/>
      <c r="M815" s="323"/>
      <c r="N815" s="323"/>
      <c r="O815" s="323"/>
      <c r="P815" s="1203"/>
      <c r="Q815" s="2193">
        <f>SUM(Q816:Q818)</f>
        <v>38</v>
      </c>
      <c r="R815" s="2193">
        <f t="shared" ref="R815:AI815" si="525">SUM(R816:R818)</f>
        <v>38</v>
      </c>
      <c r="S815" s="2193">
        <f t="shared" si="525"/>
        <v>38</v>
      </c>
      <c r="T815" s="2193">
        <f t="shared" si="525"/>
        <v>38</v>
      </c>
      <c r="U815" s="2193">
        <f t="shared" si="525"/>
        <v>37</v>
      </c>
      <c r="V815" s="2193">
        <f t="shared" si="525"/>
        <v>37</v>
      </c>
      <c r="W815" s="2193">
        <f t="shared" si="525"/>
        <v>36</v>
      </c>
      <c r="X815" s="2193">
        <f t="shared" si="525"/>
        <v>37</v>
      </c>
      <c r="Y815" s="2193">
        <f t="shared" si="525"/>
        <v>38</v>
      </c>
      <c r="Z815" s="2193">
        <f t="shared" si="525"/>
        <v>38</v>
      </c>
      <c r="AA815" s="2193">
        <f t="shared" si="525"/>
        <v>38</v>
      </c>
      <c r="AB815" s="2193">
        <f t="shared" si="525"/>
        <v>38</v>
      </c>
      <c r="AC815" s="325">
        <f t="shared" si="525"/>
        <v>38</v>
      </c>
      <c r="AD815" s="325">
        <f t="shared" si="525"/>
        <v>37</v>
      </c>
      <c r="AE815" s="325">
        <f t="shared" si="525"/>
        <v>38</v>
      </c>
      <c r="AF815" s="325">
        <f t="shared" si="525"/>
        <v>38</v>
      </c>
      <c r="AG815" s="325">
        <f t="shared" si="525"/>
        <v>37</v>
      </c>
      <c r="AH815" s="325">
        <f t="shared" si="525"/>
        <v>38</v>
      </c>
      <c r="AI815" s="325">
        <f t="shared" si="525"/>
        <v>38</v>
      </c>
    </row>
    <row r="816" spans="1:35" s="38" customFormat="1">
      <c r="A816" s="990">
        <v>790</v>
      </c>
      <c r="B816" s="990">
        <v>1</v>
      </c>
      <c r="C816" s="990">
        <v>816</v>
      </c>
      <c r="E816" s="1243">
        <v>1</v>
      </c>
      <c r="F816" s="5"/>
      <c r="G816" s="5"/>
      <c r="H816" s="5"/>
      <c r="I816" s="338"/>
      <c r="J816" s="5"/>
      <c r="K816" s="5"/>
      <c r="L816" s="4"/>
      <c r="M816" s="4"/>
      <c r="N816" s="45"/>
      <c r="O816" s="45" t="s">
        <v>79</v>
      </c>
      <c r="P816" s="1204"/>
      <c r="Q816" s="2047">
        <f t="shared" ref="Q816:AB819" si="526">Q847+Q967+Q877+Q907+Q937</f>
        <v>14</v>
      </c>
      <c r="R816" s="2047">
        <f t="shared" si="526"/>
        <v>14</v>
      </c>
      <c r="S816" s="2047">
        <f t="shared" si="526"/>
        <v>14</v>
      </c>
      <c r="T816" s="2047">
        <f t="shared" si="526"/>
        <v>14</v>
      </c>
      <c r="U816" s="2047">
        <f t="shared" si="526"/>
        <v>14</v>
      </c>
      <c r="V816" s="2047">
        <f t="shared" si="526"/>
        <v>14</v>
      </c>
      <c r="W816" s="2047">
        <f t="shared" si="526"/>
        <v>13</v>
      </c>
      <c r="X816" s="2047">
        <f t="shared" si="526"/>
        <v>14</v>
      </c>
      <c r="Y816" s="2047">
        <f t="shared" si="526"/>
        <v>14</v>
      </c>
      <c r="Z816" s="2047">
        <f t="shared" si="526"/>
        <v>14</v>
      </c>
      <c r="AA816" s="2047">
        <f t="shared" si="526"/>
        <v>14</v>
      </c>
      <c r="AB816" s="2047">
        <f t="shared" si="526"/>
        <v>14</v>
      </c>
      <c r="AC816" s="44">
        <f>S816</f>
        <v>14</v>
      </c>
      <c r="AD816" s="44">
        <f>V816</f>
        <v>14</v>
      </c>
      <c r="AE816" s="44">
        <f>Y816</f>
        <v>14</v>
      </c>
      <c r="AF816" s="44">
        <f>AB816</f>
        <v>14</v>
      </c>
      <c r="AG816" s="44">
        <f>AD816</f>
        <v>14</v>
      </c>
      <c r="AH816" s="44">
        <f>AF816</f>
        <v>14</v>
      </c>
      <c r="AI816" s="44">
        <f>AH816</f>
        <v>14</v>
      </c>
    </row>
    <row r="817" spans="1:35" s="38" customFormat="1">
      <c r="A817" s="990">
        <v>791</v>
      </c>
      <c r="B817" s="990">
        <v>1</v>
      </c>
      <c r="C817" s="990">
        <v>817</v>
      </c>
      <c r="E817" s="1243">
        <v>1</v>
      </c>
      <c r="F817" s="5"/>
      <c r="G817" s="5"/>
      <c r="H817" s="5"/>
      <c r="I817" s="338"/>
      <c r="J817" s="5"/>
      <c r="K817" s="5"/>
      <c r="L817" s="4"/>
      <c r="M817" s="4"/>
      <c r="N817" s="45"/>
      <c r="O817" s="45" t="s">
        <v>80</v>
      </c>
      <c r="P817" s="1204"/>
      <c r="Q817" s="2047">
        <f t="shared" si="526"/>
        <v>24</v>
      </c>
      <c r="R817" s="2047">
        <f t="shared" si="526"/>
        <v>24</v>
      </c>
      <c r="S817" s="2047">
        <f t="shared" si="526"/>
        <v>24</v>
      </c>
      <c r="T817" s="2047">
        <f t="shared" si="526"/>
        <v>24</v>
      </c>
      <c r="U817" s="2047">
        <f t="shared" si="526"/>
        <v>23</v>
      </c>
      <c r="V817" s="2047">
        <f t="shared" si="526"/>
        <v>23</v>
      </c>
      <c r="W817" s="2047">
        <f t="shared" si="526"/>
        <v>23</v>
      </c>
      <c r="X817" s="2047">
        <f t="shared" si="526"/>
        <v>23</v>
      </c>
      <c r="Y817" s="2047">
        <f t="shared" si="526"/>
        <v>24</v>
      </c>
      <c r="Z817" s="2047">
        <f t="shared" si="526"/>
        <v>24</v>
      </c>
      <c r="AA817" s="2047">
        <f t="shared" si="526"/>
        <v>24</v>
      </c>
      <c r="AB817" s="2047">
        <f t="shared" si="526"/>
        <v>24</v>
      </c>
      <c r="AC817" s="44">
        <f>S817</f>
        <v>24</v>
      </c>
      <c r="AD817" s="44">
        <f>V817</f>
        <v>23</v>
      </c>
      <c r="AE817" s="44">
        <f>Y817</f>
        <v>24</v>
      </c>
      <c r="AF817" s="44">
        <f>AB817</f>
        <v>24</v>
      </c>
      <c r="AG817" s="44">
        <f>AD817</f>
        <v>23</v>
      </c>
      <c r="AH817" s="44">
        <f>AF817</f>
        <v>24</v>
      </c>
      <c r="AI817" s="44">
        <f>AH817</f>
        <v>24</v>
      </c>
    </row>
    <row r="818" spans="1:35" s="38" customFormat="1">
      <c r="A818" s="990">
        <v>792</v>
      </c>
      <c r="B818" s="990">
        <v>1</v>
      </c>
      <c r="C818" s="990">
        <v>818</v>
      </c>
      <c r="E818" s="1243">
        <v>1</v>
      </c>
      <c r="F818" s="5"/>
      <c r="G818" s="5"/>
      <c r="H818" s="5"/>
      <c r="I818" s="339"/>
      <c r="J818" s="3"/>
      <c r="K818" s="3"/>
      <c r="L818" s="2"/>
      <c r="M818" s="2"/>
      <c r="N818" s="43"/>
      <c r="O818" s="43" t="s">
        <v>81</v>
      </c>
      <c r="P818" s="1205"/>
      <c r="Q818" s="2048">
        <f t="shared" si="526"/>
        <v>0</v>
      </c>
      <c r="R818" s="2048">
        <f t="shared" si="526"/>
        <v>0</v>
      </c>
      <c r="S818" s="2048">
        <f t="shared" si="526"/>
        <v>0</v>
      </c>
      <c r="T818" s="2048">
        <f t="shared" si="526"/>
        <v>0</v>
      </c>
      <c r="U818" s="2048">
        <f t="shared" si="526"/>
        <v>0</v>
      </c>
      <c r="V818" s="2048">
        <f t="shared" si="526"/>
        <v>0</v>
      </c>
      <c r="W818" s="2048">
        <f t="shared" si="526"/>
        <v>0</v>
      </c>
      <c r="X818" s="2048">
        <f t="shared" si="526"/>
        <v>0</v>
      </c>
      <c r="Y818" s="2048">
        <f t="shared" si="526"/>
        <v>0</v>
      </c>
      <c r="Z818" s="2048">
        <f t="shared" si="526"/>
        <v>0</v>
      </c>
      <c r="AA818" s="2048">
        <f t="shared" si="526"/>
        <v>0</v>
      </c>
      <c r="AB818" s="2048">
        <f t="shared" si="526"/>
        <v>0</v>
      </c>
      <c r="AC818" s="42">
        <f>S818</f>
        <v>0</v>
      </c>
      <c r="AD818" s="42">
        <f>V818</f>
        <v>0</v>
      </c>
      <c r="AE818" s="42">
        <f>Y818</f>
        <v>0</v>
      </c>
      <c r="AF818" s="42">
        <f>AB818</f>
        <v>0</v>
      </c>
      <c r="AG818" s="42">
        <f>AD818</f>
        <v>0</v>
      </c>
      <c r="AH818" s="42">
        <f>AF818</f>
        <v>0</v>
      </c>
      <c r="AI818" s="42">
        <f>AH818</f>
        <v>0</v>
      </c>
    </row>
    <row r="819" spans="1:35" s="38" customFormat="1">
      <c r="A819" s="990">
        <v>793</v>
      </c>
      <c r="B819" s="990">
        <v>1</v>
      </c>
      <c r="C819" s="990">
        <v>819</v>
      </c>
      <c r="D819" s="1121" t="s">
        <v>999</v>
      </c>
      <c r="E819" s="1243">
        <v>1</v>
      </c>
      <c r="F819" s="5"/>
      <c r="G819" s="5"/>
      <c r="H819" s="5"/>
      <c r="I819" s="318" t="s">
        <v>1110</v>
      </c>
      <c r="J819" s="319"/>
      <c r="K819" s="320"/>
      <c r="L819" s="320"/>
      <c r="M819" s="319"/>
      <c r="N819" s="319"/>
      <c r="O819" s="319"/>
      <c r="P819" s="321"/>
      <c r="Q819" s="2060">
        <f t="shared" si="526"/>
        <v>20</v>
      </c>
      <c r="R819" s="2060">
        <f t="shared" si="526"/>
        <v>19</v>
      </c>
      <c r="S819" s="2060">
        <f t="shared" si="526"/>
        <v>18</v>
      </c>
      <c r="T819" s="2060">
        <f t="shared" si="526"/>
        <v>18</v>
      </c>
      <c r="U819" s="2060">
        <f t="shared" si="526"/>
        <v>17</v>
      </c>
      <c r="V819" s="2060">
        <f t="shared" si="526"/>
        <v>18</v>
      </c>
      <c r="W819" s="2060">
        <f t="shared" si="526"/>
        <v>18</v>
      </c>
      <c r="X819" s="2060">
        <f t="shared" si="526"/>
        <v>18</v>
      </c>
      <c r="Y819" s="2060">
        <f t="shared" si="526"/>
        <v>18</v>
      </c>
      <c r="Z819" s="2060">
        <f t="shared" si="526"/>
        <v>18</v>
      </c>
      <c r="AA819" s="2060">
        <f t="shared" si="526"/>
        <v>18</v>
      </c>
      <c r="AB819" s="2060">
        <f t="shared" si="526"/>
        <v>18</v>
      </c>
      <c r="AC819" s="2527">
        <f>S819</f>
        <v>18</v>
      </c>
      <c r="AD819" s="2527">
        <f>V819</f>
        <v>18</v>
      </c>
      <c r="AE819" s="2527">
        <f>Y819</f>
        <v>18</v>
      </c>
      <c r="AF819" s="2527">
        <f>AB819</f>
        <v>18</v>
      </c>
      <c r="AG819" s="2527">
        <f>AD819</f>
        <v>18</v>
      </c>
      <c r="AH819" s="2527">
        <f>AF819</f>
        <v>18</v>
      </c>
      <c r="AI819" s="2527">
        <f>AH819</f>
        <v>18</v>
      </c>
    </row>
    <row r="820" spans="1:35" s="38" customFormat="1">
      <c r="A820" s="990">
        <v>794</v>
      </c>
      <c r="B820" s="990">
        <v>1</v>
      </c>
      <c r="C820" s="990">
        <v>820</v>
      </c>
      <c r="D820" s="1121" t="s">
        <v>999</v>
      </c>
      <c r="E820" s="1243">
        <v>1</v>
      </c>
      <c r="F820" s="5"/>
      <c r="G820" s="5"/>
      <c r="H820" s="5"/>
      <c r="I820" s="5"/>
      <c r="J820" s="4"/>
      <c r="K820" s="5"/>
      <c r="L820" s="5"/>
      <c r="M820" s="4"/>
      <c r="N820" s="4"/>
      <c r="O820" s="4"/>
      <c r="P820" s="4"/>
      <c r="Q820" s="2180"/>
      <c r="R820" s="2180"/>
      <c r="S820" s="2180"/>
      <c r="T820" s="2180"/>
      <c r="U820" s="2180"/>
      <c r="V820" s="2180"/>
      <c r="W820" s="2180"/>
      <c r="X820" s="2180"/>
      <c r="Y820" s="2180"/>
      <c r="Z820" s="2180"/>
    </row>
    <row r="821" spans="1:35" s="38" customFormat="1" ht="15.5">
      <c r="A821" s="990">
        <v>795</v>
      </c>
      <c r="B821" s="990">
        <v>1</v>
      </c>
      <c r="C821" s="990">
        <v>821</v>
      </c>
      <c r="D821" s="1121" t="s">
        <v>999</v>
      </c>
      <c r="E821" s="1243">
        <v>1</v>
      </c>
      <c r="G821" s="315" t="s">
        <v>1111</v>
      </c>
      <c r="H821" s="562"/>
      <c r="I821" s="5"/>
      <c r="J821" s="4"/>
      <c r="K821" s="5"/>
      <c r="L821" s="5"/>
      <c r="M821" s="4"/>
      <c r="N821" s="4"/>
      <c r="O821" s="4"/>
      <c r="P821" s="4"/>
      <c r="Q821" s="2181"/>
      <c r="R821" s="2181"/>
      <c r="S821" s="2181"/>
      <c r="T821" s="2181"/>
      <c r="U821" s="2181"/>
      <c r="V821" s="2181"/>
      <c r="W821" s="2181"/>
      <c r="X821" s="2181"/>
      <c r="Y821" s="2181"/>
      <c r="Z821" s="2181"/>
    </row>
    <row r="822" spans="1:35" s="38" customFormat="1">
      <c r="A822" s="990">
        <v>796</v>
      </c>
      <c r="B822" s="990">
        <v>1</v>
      </c>
      <c r="C822" s="990">
        <v>822</v>
      </c>
      <c r="D822" s="1121" t="s">
        <v>999</v>
      </c>
      <c r="E822" s="1243">
        <v>1</v>
      </c>
      <c r="F822" s="5"/>
      <c r="G822" s="5"/>
      <c r="H822" s="5" t="s">
        <v>98</v>
      </c>
      <c r="I822" s="5"/>
      <c r="J822" s="4"/>
      <c r="K822" s="5"/>
      <c r="L822" s="5"/>
      <c r="M822" s="4"/>
      <c r="N822" s="4"/>
      <c r="O822" s="4"/>
      <c r="P822" s="4"/>
      <c r="Q822" s="2034"/>
      <c r="R822" s="2034"/>
      <c r="S822" s="2034"/>
      <c r="T822" s="2034"/>
      <c r="U822" s="2034"/>
      <c r="V822" s="2034"/>
      <c r="W822" s="2034"/>
      <c r="X822" s="2034"/>
      <c r="Y822" s="2034"/>
      <c r="Z822" s="2034"/>
    </row>
    <row r="823" spans="1:35" s="820" customFormat="1">
      <c r="A823" s="990">
        <v>797</v>
      </c>
      <c r="B823" s="990">
        <v>1</v>
      </c>
      <c r="C823" s="990">
        <v>823</v>
      </c>
      <c r="D823" s="1121" t="s">
        <v>999</v>
      </c>
      <c r="E823" s="1243">
        <v>1</v>
      </c>
      <c r="F823" s="815"/>
      <c r="G823" s="815"/>
      <c r="H823" s="816"/>
      <c r="I823" s="799" t="s">
        <v>328</v>
      </c>
      <c r="J823" s="821"/>
      <c r="K823" s="822"/>
      <c r="L823" s="822"/>
      <c r="M823" s="822"/>
      <c r="N823" s="822"/>
      <c r="O823" s="822"/>
      <c r="P823" s="1050"/>
      <c r="Q823" s="137">
        <f t="shared" ref="Q823:AI823" si="527">Q824+Q829+Q835+Q840+Q846</f>
        <v>236</v>
      </c>
      <c r="R823" s="137">
        <f t="shared" si="527"/>
        <v>232</v>
      </c>
      <c r="S823" s="137">
        <f t="shared" si="527"/>
        <v>231</v>
      </c>
      <c r="T823" s="137">
        <f t="shared" si="527"/>
        <v>230</v>
      </c>
      <c r="U823" s="137">
        <f t="shared" si="527"/>
        <v>232</v>
      </c>
      <c r="V823" s="137">
        <f t="shared" si="527"/>
        <v>231</v>
      </c>
      <c r="W823" s="137">
        <f t="shared" si="527"/>
        <v>222</v>
      </c>
      <c r="X823" s="137">
        <f t="shared" si="527"/>
        <v>220</v>
      </c>
      <c r="Y823" s="137">
        <f t="shared" si="527"/>
        <v>219</v>
      </c>
      <c r="Z823" s="137">
        <f t="shared" si="527"/>
        <v>219</v>
      </c>
      <c r="AA823" s="137">
        <f t="shared" si="527"/>
        <v>219</v>
      </c>
      <c r="AB823" s="137">
        <f t="shared" si="527"/>
        <v>222</v>
      </c>
      <c r="AC823" s="137">
        <f t="shared" si="527"/>
        <v>231</v>
      </c>
      <c r="AD823" s="137">
        <f t="shared" si="527"/>
        <v>231</v>
      </c>
      <c r="AE823" s="137">
        <f t="shared" si="527"/>
        <v>219</v>
      </c>
      <c r="AF823" s="137">
        <f t="shared" si="527"/>
        <v>222</v>
      </c>
      <c r="AG823" s="137">
        <f t="shared" si="527"/>
        <v>231</v>
      </c>
      <c r="AH823" s="137">
        <f t="shared" si="527"/>
        <v>222</v>
      </c>
      <c r="AI823" s="137">
        <f t="shared" si="527"/>
        <v>222</v>
      </c>
    </row>
    <row r="824" spans="1:35" s="38" customFormat="1">
      <c r="A824" s="990">
        <v>798</v>
      </c>
      <c r="B824" s="990">
        <v>1</v>
      </c>
      <c r="C824" s="990">
        <v>824</v>
      </c>
      <c r="D824" s="1121" t="s">
        <v>999</v>
      </c>
      <c r="E824" s="1243">
        <v>1</v>
      </c>
      <c r="F824" s="5"/>
      <c r="G824" s="5"/>
      <c r="H824" s="5"/>
      <c r="I824" s="335"/>
      <c r="J824" s="52" t="s">
        <v>62</v>
      </c>
      <c r="K824" s="52"/>
      <c r="L824" s="52"/>
      <c r="M824" s="51"/>
      <c r="N824" s="51"/>
      <c r="O824" s="51"/>
      <c r="P824" s="50"/>
      <c r="Q824" s="49">
        <f>SUM(Q825:Q828)</f>
        <v>97</v>
      </c>
      <c r="R824" s="49">
        <f t="shared" ref="R824:AI824" si="528">SUM(R825:R828)</f>
        <v>93</v>
      </c>
      <c r="S824" s="49">
        <f t="shared" si="528"/>
        <v>90</v>
      </c>
      <c r="T824" s="49">
        <f t="shared" si="528"/>
        <v>89</v>
      </c>
      <c r="U824" s="49">
        <f t="shared" si="528"/>
        <v>91</v>
      </c>
      <c r="V824" s="49">
        <f t="shared" si="528"/>
        <v>92</v>
      </c>
      <c r="W824" s="49">
        <f t="shared" si="528"/>
        <v>94</v>
      </c>
      <c r="X824" s="49">
        <f t="shared" si="528"/>
        <v>94</v>
      </c>
      <c r="Y824" s="49">
        <f t="shared" si="528"/>
        <v>93</v>
      </c>
      <c r="Z824" s="49">
        <f t="shared" si="528"/>
        <v>92</v>
      </c>
      <c r="AA824" s="49">
        <f t="shared" si="528"/>
        <v>92</v>
      </c>
      <c r="AB824" s="49">
        <f t="shared" si="528"/>
        <v>94</v>
      </c>
      <c r="AC824" s="49">
        <f t="shared" si="528"/>
        <v>90</v>
      </c>
      <c r="AD824" s="49">
        <f t="shared" si="528"/>
        <v>92</v>
      </c>
      <c r="AE824" s="49">
        <f t="shared" si="528"/>
        <v>93</v>
      </c>
      <c r="AF824" s="49">
        <f t="shared" si="528"/>
        <v>94</v>
      </c>
      <c r="AG824" s="49">
        <f t="shared" si="528"/>
        <v>92</v>
      </c>
      <c r="AH824" s="49">
        <f t="shared" si="528"/>
        <v>94</v>
      </c>
      <c r="AI824" s="49">
        <f t="shared" si="528"/>
        <v>94</v>
      </c>
    </row>
    <row r="825" spans="1:35" s="38" customFormat="1">
      <c r="A825" s="990">
        <v>799</v>
      </c>
      <c r="B825" s="990">
        <v>1</v>
      </c>
      <c r="C825" s="990">
        <v>825</v>
      </c>
      <c r="E825" s="1243">
        <v>1</v>
      </c>
      <c r="F825" s="5"/>
      <c r="G825" s="5"/>
      <c r="H825" s="5"/>
      <c r="I825" s="335"/>
      <c r="J825" s="5"/>
      <c r="K825" s="5"/>
      <c r="L825" s="5"/>
      <c r="M825" s="4"/>
      <c r="N825" s="45"/>
      <c r="O825" s="45" t="s">
        <v>125</v>
      </c>
      <c r="P825" s="4"/>
      <c r="Q825" s="2789">
        <v>49</v>
      </c>
      <c r="R825" s="2789">
        <v>45</v>
      </c>
      <c r="S825" s="2789">
        <v>43</v>
      </c>
      <c r="T825" s="2789">
        <v>42</v>
      </c>
      <c r="U825" s="2789">
        <v>44</v>
      </c>
      <c r="V825" s="2789">
        <v>45</v>
      </c>
      <c r="W825" s="2789">
        <v>45</v>
      </c>
      <c r="X825" s="2789">
        <v>45</v>
      </c>
      <c r="Y825" s="2789">
        <v>44</v>
      </c>
      <c r="Z825" s="2789">
        <v>43</v>
      </c>
      <c r="AA825" s="2789">
        <v>43</v>
      </c>
      <c r="AB825" s="2789">
        <v>43</v>
      </c>
      <c r="AC825" s="44">
        <f>S825</f>
        <v>43</v>
      </c>
      <c r="AD825" s="44">
        <f>V825</f>
        <v>45</v>
      </c>
      <c r="AE825" s="44">
        <f>Y825</f>
        <v>44</v>
      </c>
      <c r="AF825" s="44">
        <f>AB825</f>
        <v>43</v>
      </c>
      <c r="AG825" s="44">
        <f>AD825</f>
        <v>45</v>
      </c>
      <c r="AH825" s="44">
        <f>AF825</f>
        <v>43</v>
      </c>
      <c r="AI825" s="44">
        <f>AH825</f>
        <v>43</v>
      </c>
    </row>
    <row r="826" spans="1:35" s="38" customFormat="1">
      <c r="A826" s="990">
        <v>800</v>
      </c>
      <c r="B826" s="990">
        <v>1</v>
      </c>
      <c r="C826" s="990">
        <v>826</v>
      </c>
      <c r="E826" s="1243">
        <v>1</v>
      </c>
      <c r="F826" s="5"/>
      <c r="G826" s="5"/>
      <c r="H826" s="5"/>
      <c r="I826" s="335"/>
      <c r="J826" s="5"/>
      <c r="K826" s="5"/>
      <c r="L826" s="5"/>
      <c r="M826" s="4"/>
      <c r="N826" s="45"/>
      <c r="O826" s="45" t="s">
        <v>124</v>
      </c>
      <c r="P826" s="4"/>
      <c r="Q826" s="2789"/>
      <c r="R826" s="2789"/>
      <c r="S826" s="2789"/>
      <c r="T826" s="2789"/>
      <c r="U826" s="2789"/>
      <c r="V826" s="2789"/>
      <c r="W826" s="2789">
        <v>2</v>
      </c>
      <c r="X826" s="2789">
        <v>2</v>
      </c>
      <c r="Y826" s="2789">
        <v>2</v>
      </c>
      <c r="Z826" s="2789">
        <v>2</v>
      </c>
      <c r="AA826" s="2789">
        <v>3</v>
      </c>
      <c r="AB826" s="2789">
        <v>4</v>
      </c>
      <c r="AC826" s="44">
        <f>S826</f>
        <v>0</v>
      </c>
      <c r="AD826" s="44">
        <f>V826</f>
        <v>0</v>
      </c>
      <c r="AE826" s="44">
        <f>Y826</f>
        <v>2</v>
      </c>
      <c r="AF826" s="44">
        <f>AB826</f>
        <v>4</v>
      </c>
      <c r="AG826" s="44">
        <f>AD826</f>
        <v>0</v>
      </c>
      <c r="AH826" s="44">
        <f>AF826</f>
        <v>4</v>
      </c>
      <c r="AI826" s="44">
        <f>AH826</f>
        <v>4</v>
      </c>
    </row>
    <row r="827" spans="1:35" s="38" customFormat="1">
      <c r="A827" s="990">
        <v>801</v>
      </c>
      <c r="B827" s="990">
        <v>1</v>
      </c>
      <c r="C827" s="990">
        <v>827</v>
      </c>
      <c r="E827" s="1243">
        <v>1</v>
      </c>
      <c r="F827" s="5"/>
      <c r="G827" s="5"/>
      <c r="H827" s="5"/>
      <c r="I827" s="335"/>
      <c r="J827" s="5"/>
      <c r="K827" s="5"/>
      <c r="L827" s="5"/>
      <c r="M827" s="4"/>
      <c r="N827" s="45"/>
      <c r="O827" s="45" t="s">
        <v>123</v>
      </c>
      <c r="P827" s="4"/>
      <c r="Q827" s="2789">
        <v>28</v>
      </c>
      <c r="R827" s="2789">
        <v>28</v>
      </c>
      <c r="S827" s="2789">
        <v>27</v>
      </c>
      <c r="T827" s="2789">
        <v>27</v>
      </c>
      <c r="U827" s="2789">
        <v>27</v>
      </c>
      <c r="V827" s="2789">
        <v>27</v>
      </c>
      <c r="W827" s="2789">
        <v>27</v>
      </c>
      <c r="X827" s="2789">
        <v>27</v>
      </c>
      <c r="Y827" s="2789">
        <v>27</v>
      </c>
      <c r="Z827" s="2789">
        <v>27</v>
      </c>
      <c r="AA827" s="2789">
        <v>27</v>
      </c>
      <c r="AB827" s="2789">
        <v>28</v>
      </c>
      <c r="AC827" s="44">
        <f>S827</f>
        <v>27</v>
      </c>
      <c r="AD827" s="44">
        <f>V827</f>
        <v>27</v>
      </c>
      <c r="AE827" s="44">
        <f>Y827</f>
        <v>27</v>
      </c>
      <c r="AF827" s="44">
        <f>AB827</f>
        <v>28</v>
      </c>
      <c r="AG827" s="44">
        <f>AD827</f>
        <v>27</v>
      </c>
      <c r="AH827" s="44">
        <f>AF827</f>
        <v>28</v>
      </c>
      <c r="AI827" s="44">
        <f>AH827</f>
        <v>28</v>
      </c>
    </row>
    <row r="828" spans="1:35" s="38" customFormat="1">
      <c r="A828" s="990">
        <v>802</v>
      </c>
      <c r="B828" s="990">
        <v>1</v>
      </c>
      <c r="C828" s="990">
        <v>828</v>
      </c>
      <c r="E828" s="1243">
        <v>1</v>
      </c>
      <c r="F828" s="5"/>
      <c r="G828" s="5"/>
      <c r="H828" s="5"/>
      <c r="I828" s="335"/>
      <c r="J828" s="3"/>
      <c r="K828" s="3"/>
      <c r="L828" s="3"/>
      <c r="M828" s="2"/>
      <c r="N828" s="43"/>
      <c r="O828" s="43" t="s">
        <v>120</v>
      </c>
      <c r="P828" s="2"/>
      <c r="Q828" s="2790">
        <v>20</v>
      </c>
      <c r="R828" s="2790">
        <v>20</v>
      </c>
      <c r="S828" s="2790">
        <v>20</v>
      </c>
      <c r="T828" s="2790">
        <v>20</v>
      </c>
      <c r="U828" s="2790">
        <v>20</v>
      </c>
      <c r="V828" s="2790">
        <v>20</v>
      </c>
      <c r="W828" s="2790">
        <v>20</v>
      </c>
      <c r="X828" s="2790">
        <v>20</v>
      </c>
      <c r="Y828" s="2790">
        <v>20</v>
      </c>
      <c r="Z828" s="2790">
        <v>20</v>
      </c>
      <c r="AA828" s="2790">
        <v>19</v>
      </c>
      <c r="AB828" s="2790">
        <v>19</v>
      </c>
      <c r="AC828" s="42">
        <f>S828</f>
        <v>20</v>
      </c>
      <c r="AD828" s="42">
        <f>V828</f>
        <v>20</v>
      </c>
      <c r="AE828" s="42">
        <f>Y828</f>
        <v>20</v>
      </c>
      <c r="AF828" s="42">
        <f>AB828</f>
        <v>19</v>
      </c>
      <c r="AG828" s="42">
        <f>AD828</f>
        <v>20</v>
      </c>
      <c r="AH828" s="42">
        <f>AF828</f>
        <v>19</v>
      </c>
      <c r="AI828" s="42">
        <f>AH828</f>
        <v>19</v>
      </c>
    </row>
    <row r="829" spans="1:35" s="38" customFormat="1">
      <c r="A829" s="990">
        <v>803</v>
      </c>
      <c r="B829" s="990">
        <v>1</v>
      </c>
      <c r="C829" s="990">
        <v>829</v>
      </c>
      <c r="D829" s="1121" t="s">
        <v>999</v>
      </c>
      <c r="E829" s="1243">
        <v>1</v>
      </c>
      <c r="F829" s="5"/>
      <c r="G829" s="5"/>
      <c r="H829" s="5"/>
      <c r="I829" s="335"/>
      <c r="J829" s="52" t="s">
        <v>330</v>
      </c>
      <c r="K829" s="52"/>
      <c r="L829" s="52"/>
      <c r="M829" s="51"/>
      <c r="N829" s="51"/>
      <c r="O829" s="51"/>
      <c r="P829" s="50"/>
      <c r="Q829" s="49">
        <f>SUM(Q830:Q834)</f>
        <v>87</v>
      </c>
      <c r="R829" s="49">
        <f t="shared" ref="R829:AI829" si="529">SUM(R830:R834)</f>
        <v>86</v>
      </c>
      <c r="S829" s="49">
        <f t="shared" si="529"/>
        <v>87</v>
      </c>
      <c r="T829" s="49">
        <f t="shared" si="529"/>
        <v>87</v>
      </c>
      <c r="U829" s="49">
        <f t="shared" si="529"/>
        <v>88</v>
      </c>
      <c r="V829" s="49">
        <f t="shared" si="529"/>
        <v>88</v>
      </c>
      <c r="W829" s="49">
        <f t="shared" si="529"/>
        <v>87</v>
      </c>
      <c r="X829" s="49">
        <f t="shared" si="529"/>
        <v>85</v>
      </c>
      <c r="Y829" s="49">
        <f t="shared" si="529"/>
        <v>85</v>
      </c>
      <c r="Z829" s="49">
        <f t="shared" si="529"/>
        <v>86</v>
      </c>
      <c r="AA829" s="49">
        <f t="shared" si="529"/>
        <v>86</v>
      </c>
      <c r="AB829" s="49">
        <f t="shared" si="529"/>
        <v>86</v>
      </c>
      <c r="AC829" s="49">
        <f t="shared" si="529"/>
        <v>87</v>
      </c>
      <c r="AD829" s="49">
        <f t="shared" si="529"/>
        <v>88</v>
      </c>
      <c r="AE829" s="49">
        <f t="shared" si="529"/>
        <v>85</v>
      </c>
      <c r="AF829" s="49">
        <f t="shared" si="529"/>
        <v>86</v>
      </c>
      <c r="AG829" s="49">
        <f t="shared" si="529"/>
        <v>88</v>
      </c>
      <c r="AH829" s="49">
        <f t="shared" si="529"/>
        <v>86</v>
      </c>
      <c r="AI829" s="49">
        <f t="shared" si="529"/>
        <v>86</v>
      </c>
    </row>
    <row r="830" spans="1:35" s="38" customFormat="1">
      <c r="A830" s="990">
        <v>804</v>
      </c>
      <c r="B830" s="990">
        <v>1</v>
      </c>
      <c r="C830" s="990">
        <v>830</v>
      </c>
      <c r="E830" s="1243">
        <v>1</v>
      </c>
      <c r="F830" s="5"/>
      <c r="G830" s="5"/>
      <c r="H830" s="5"/>
      <c r="I830" s="335"/>
      <c r="J830" s="5"/>
      <c r="K830" s="5"/>
      <c r="L830" s="5"/>
      <c r="M830" s="4"/>
      <c r="N830" s="45"/>
      <c r="O830" s="45" t="s">
        <v>67</v>
      </c>
      <c r="P830" s="4"/>
      <c r="Q830" s="2789">
        <v>49</v>
      </c>
      <c r="R830" s="2789">
        <v>48</v>
      </c>
      <c r="S830" s="2789">
        <v>49</v>
      </c>
      <c r="T830" s="2789">
        <v>49</v>
      </c>
      <c r="U830" s="2789">
        <v>50</v>
      </c>
      <c r="V830" s="2789">
        <v>50</v>
      </c>
      <c r="W830" s="2789">
        <v>50</v>
      </c>
      <c r="X830" s="2789">
        <v>48</v>
      </c>
      <c r="Y830" s="2789">
        <v>48</v>
      </c>
      <c r="Z830" s="2789">
        <v>49</v>
      </c>
      <c r="AA830" s="2789">
        <v>49</v>
      </c>
      <c r="AB830" s="2789">
        <v>48</v>
      </c>
      <c r="AC830" s="44">
        <f>S830</f>
        <v>49</v>
      </c>
      <c r="AD830" s="44">
        <f>V830</f>
        <v>50</v>
      </c>
      <c r="AE830" s="44">
        <f>Y830</f>
        <v>48</v>
      </c>
      <c r="AF830" s="44">
        <f>AB830</f>
        <v>48</v>
      </c>
      <c r="AG830" s="44">
        <f>AD830</f>
        <v>50</v>
      </c>
      <c r="AH830" s="44">
        <f>AF830</f>
        <v>48</v>
      </c>
      <c r="AI830" s="44">
        <f>AH830</f>
        <v>48</v>
      </c>
    </row>
    <row r="831" spans="1:35" s="38" customFormat="1">
      <c r="A831" s="990">
        <v>805</v>
      </c>
      <c r="B831" s="990">
        <v>1</v>
      </c>
      <c r="C831" s="990">
        <v>831</v>
      </c>
      <c r="E831" s="1243">
        <v>1</v>
      </c>
      <c r="F831" s="5"/>
      <c r="G831" s="5"/>
      <c r="H831" s="5"/>
      <c r="I831" s="335"/>
      <c r="J831" s="5"/>
      <c r="K831" s="5"/>
      <c r="L831" s="5"/>
      <c r="M831" s="4"/>
      <c r="N831" s="45"/>
      <c r="O831" s="45" t="s">
        <v>68</v>
      </c>
      <c r="P831" s="4"/>
      <c r="Q831" s="2789">
        <v>1</v>
      </c>
      <c r="R831" s="2789">
        <v>1</v>
      </c>
      <c r="S831" s="2789">
        <v>1</v>
      </c>
      <c r="T831" s="2789">
        <v>1</v>
      </c>
      <c r="U831" s="2789">
        <v>1</v>
      </c>
      <c r="V831" s="2789">
        <v>1</v>
      </c>
      <c r="W831" s="2789">
        <v>1</v>
      </c>
      <c r="X831" s="2789">
        <v>1</v>
      </c>
      <c r="Y831" s="2789">
        <v>1</v>
      </c>
      <c r="Z831" s="2789">
        <v>1</v>
      </c>
      <c r="AA831" s="2789">
        <v>1</v>
      </c>
      <c r="AB831" s="2789">
        <v>1</v>
      </c>
      <c r="AC831" s="44">
        <f>S831</f>
        <v>1</v>
      </c>
      <c r="AD831" s="44">
        <f>V831</f>
        <v>1</v>
      </c>
      <c r="AE831" s="44">
        <f>Y831</f>
        <v>1</v>
      </c>
      <c r="AF831" s="44">
        <f>AB831</f>
        <v>1</v>
      </c>
      <c r="AG831" s="44">
        <f>AD831</f>
        <v>1</v>
      </c>
      <c r="AH831" s="44">
        <f>AF831</f>
        <v>1</v>
      </c>
      <c r="AI831" s="44">
        <f>AH831</f>
        <v>1</v>
      </c>
    </row>
    <row r="832" spans="1:35" s="38" customFormat="1">
      <c r="A832" s="990">
        <v>806</v>
      </c>
      <c r="B832" s="990">
        <v>1</v>
      </c>
      <c r="C832" s="990">
        <v>832</v>
      </c>
      <c r="E832" s="1243">
        <v>1</v>
      </c>
      <c r="F832" s="5"/>
      <c r="G832" s="5"/>
      <c r="H832" s="5"/>
      <c r="I832" s="335"/>
      <c r="J832" s="5"/>
      <c r="K832" s="5"/>
      <c r="L832" s="5"/>
      <c r="M832" s="4"/>
      <c r="N832" s="45"/>
      <c r="O832" s="45" t="s">
        <v>122</v>
      </c>
      <c r="P832" s="4"/>
      <c r="Q832" s="2789">
        <v>17</v>
      </c>
      <c r="R832" s="2789">
        <v>17</v>
      </c>
      <c r="S832" s="2789">
        <v>17</v>
      </c>
      <c r="T832" s="2789">
        <v>17</v>
      </c>
      <c r="U832" s="2789">
        <v>17</v>
      </c>
      <c r="V832" s="2789">
        <v>17</v>
      </c>
      <c r="W832" s="2789">
        <v>17</v>
      </c>
      <c r="X832" s="2789">
        <v>17</v>
      </c>
      <c r="Y832" s="2789">
        <v>17</v>
      </c>
      <c r="Z832" s="2789">
        <v>17</v>
      </c>
      <c r="AA832" s="2789">
        <v>17</v>
      </c>
      <c r="AB832" s="2789">
        <v>17</v>
      </c>
      <c r="AC832" s="44">
        <f>S832</f>
        <v>17</v>
      </c>
      <c r="AD832" s="44">
        <f>V832</f>
        <v>17</v>
      </c>
      <c r="AE832" s="44">
        <f>Y832</f>
        <v>17</v>
      </c>
      <c r="AF832" s="44">
        <f>AB832</f>
        <v>17</v>
      </c>
      <c r="AG832" s="44">
        <f>AD832</f>
        <v>17</v>
      </c>
      <c r="AH832" s="44">
        <f>AF832</f>
        <v>17</v>
      </c>
      <c r="AI832" s="44">
        <f>AH832</f>
        <v>17</v>
      </c>
    </row>
    <row r="833" spans="1:35" s="38" customFormat="1">
      <c r="A833" s="990">
        <v>807</v>
      </c>
      <c r="B833" s="990">
        <v>1</v>
      </c>
      <c r="C833" s="990">
        <v>833</v>
      </c>
      <c r="E833" s="1243">
        <v>1</v>
      </c>
      <c r="F833" s="5"/>
      <c r="G833" s="5"/>
      <c r="H833" s="5"/>
      <c r="I833" s="335"/>
      <c r="J833" s="5"/>
      <c r="K833" s="5"/>
      <c r="L833" s="5"/>
      <c r="M833" s="4"/>
      <c r="N833" s="45"/>
      <c r="O833" s="45" t="s">
        <v>121</v>
      </c>
      <c r="P833" s="4"/>
      <c r="Q833" s="2789"/>
      <c r="R833" s="2789"/>
      <c r="S833" s="2789"/>
      <c r="T833" s="2789"/>
      <c r="U833" s="2789"/>
      <c r="V833" s="2789"/>
      <c r="W833" s="2789"/>
      <c r="X833" s="2789"/>
      <c r="Y833" s="2789"/>
      <c r="Z833" s="2789"/>
      <c r="AA833" s="2789"/>
      <c r="AB833" s="2789"/>
      <c r="AC833" s="44">
        <f>S833</f>
        <v>0</v>
      </c>
      <c r="AD833" s="44">
        <f>V833</f>
        <v>0</v>
      </c>
      <c r="AE833" s="44">
        <f>Y833</f>
        <v>0</v>
      </c>
      <c r="AF833" s="44">
        <f>AB833</f>
        <v>0</v>
      </c>
      <c r="AG833" s="44">
        <f>AD833</f>
        <v>0</v>
      </c>
      <c r="AH833" s="44">
        <f>AF833</f>
        <v>0</v>
      </c>
      <c r="AI833" s="44">
        <f>AH833</f>
        <v>0</v>
      </c>
    </row>
    <row r="834" spans="1:35" s="38" customFormat="1">
      <c r="A834" s="990">
        <v>808</v>
      </c>
      <c r="B834" s="990">
        <v>1</v>
      </c>
      <c r="C834" s="990">
        <v>834</v>
      </c>
      <c r="E834" s="1243">
        <v>1</v>
      </c>
      <c r="F834" s="5"/>
      <c r="G834" s="5"/>
      <c r="H834" s="5"/>
      <c r="I834" s="335"/>
      <c r="J834" s="5"/>
      <c r="K834" s="5"/>
      <c r="L834" s="5"/>
      <c r="M834" s="4"/>
      <c r="N834" s="45"/>
      <c r="O834" s="45" t="s">
        <v>120</v>
      </c>
      <c r="P834" s="4"/>
      <c r="Q834" s="2789">
        <v>20</v>
      </c>
      <c r="R834" s="2789">
        <v>20</v>
      </c>
      <c r="S834" s="2789">
        <v>20</v>
      </c>
      <c r="T834" s="2789">
        <v>20</v>
      </c>
      <c r="U834" s="2789">
        <v>20</v>
      </c>
      <c r="V834" s="2789">
        <v>20</v>
      </c>
      <c r="W834" s="2789">
        <v>19</v>
      </c>
      <c r="X834" s="2789">
        <v>19</v>
      </c>
      <c r="Y834" s="2789">
        <v>19</v>
      </c>
      <c r="Z834" s="2789">
        <v>19</v>
      </c>
      <c r="AA834" s="2789">
        <v>19</v>
      </c>
      <c r="AB834" s="2789">
        <v>20</v>
      </c>
      <c r="AC834" s="44">
        <f>S834</f>
        <v>20</v>
      </c>
      <c r="AD834" s="44">
        <f>V834</f>
        <v>20</v>
      </c>
      <c r="AE834" s="44">
        <f>Y834</f>
        <v>19</v>
      </c>
      <c r="AF834" s="44">
        <f>AB834</f>
        <v>20</v>
      </c>
      <c r="AG834" s="44">
        <f>AD834</f>
        <v>20</v>
      </c>
      <c r="AH834" s="44">
        <f>AF834</f>
        <v>20</v>
      </c>
      <c r="AI834" s="44">
        <f>AH834</f>
        <v>20</v>
      </c>
    </row>
    <row r="835" spans="1:35" s="38" customFormat="1">
      <c r="A835" s="990">
        <v>809</v>
      </c>
      <c r="B835" s="990">
        <v>1</v>
      </c>
      <c r="C835" s="990">
        <v>835</v>
      </c>
      <c r="D835" s="1121" t="s">
        <v>999</v>
      </c>
      <c r="E835" s="1243">
        <v>1</v>
      </c>
      <c r="F835" s="5"/>
      <c r="G835" s="5"/>
      <c r="H835" s="5"/>
      <c r="I835" s="335"/>
      <c r="J835" s="324" t="s">
        <v>331</v>
      </c>
      <c r="K835" s="324"/>
      <c r="L835" s="324"/>
      <c r="M835" s="323"/>
      <c r="N835" s="323"/>
      <c r="O835" s="323"/>
      <c r="P835" s="1203"/>
      <c r="Q835" s="325">
        <f>SUM(Q836:Q839)</f>
        <v>7</v>
      </c>
      <c r="R835" s="325">
        <f t="shared" ref="R835:AI835" si="530">SUM(R836:R839)</f>
        <v>7</v>
      </c>
      <c r="S835" s="325">
        <f t="shared" si="530"/>
        <v>8</v>
      </c>
      <c r="T835" s="325">
        <f t="shared" si="530"/>
        <v>8</v>
      </c>
      <c r="U835" s="325">
        <f t="shared" si="530"/>
        <v>8</v>
      </c>
      <c r="V835" s="325">
        <f t="shared" si="530"/>
        <v>7</v>
      </c>
      <c r="W835" s="325">
        <f t="shared" si="530"/>
        <v>4</v>
      </c>
      <c r="X835" s="325">
        <f t="shared" si="530"/>
        <v>4</v>
      </c>
      <c r="Y835" s="325">
        <f t="shared" si="530"/>
        <v>4</v>
      </c>
      <c r="Z835" s="325">
        <f t="shared" si="530"/>
        <v>4</v>
      </c>
      <c r="AA835" s="325">
        <f t="shared" si="530"/>
        <v>4</v>
      </c>
      <c r="AB835" s="325">
        <f t="shared" si="530"/>
        <v>4</v>
      </c>
      <c r="AC835" s="325">
        <f t="shared" si="530"/>
        <v>8</v>
      </c>
      <c r="AD835" s="325">
        <f t="shared" si="530"/>
        <v>7</v>
      </c>
      <c r="AE835" s="325">
        <f t="shared" si="530"/>
        <v>4</v>
      </c>
      <c r="AF835" s="325">
        <f t="shared" si="530"/>
        <v>4</v>
      </c>
      <c r="AG835" s="325">
        <f t="shared" si="530"/>
        <v>7</v>
      </c>
      <c r="AH835" s="325">
        <f t="shared" si="530"/>
        <v>4</v>
      </c>
      <c r="AI835" s="325">
        <f t="shared" si="530"/>
        <v>4</v>
      </c>
    </row>
    <row r="836" spans="1:35" s="38" customFormat="1">
      <c r="A836" s="990">
        <v>810</v>
      </c>
      <c r="B836" s="990">
        <v>1</v>
      </c>
      <c r="C836" s="990">
        <v>836</v>
      </c>
      <c r="E836" s="1243">
        <v>1</v>
      </c>
      <c r="F836" s="5"/>
      <c r="G836" s="5"/>
      <c r="H836" s="5"/>
      <c r="I836" s="335"/>
      <c r="J836" s="5"/>
      <c r="K836" s="5"/>
      <c r="L836" s="5"/>
      <c r="M836" s="4"/>
      <c r="N836" s="45"/>
      <c r="O836" s="45" t="s">
        <v>323</v>
      </c>
      <c r="P836" s="4"/>
      <c r="Q836" s="2030"/>
      <c r="R836" s="2030"/>
      <c r="S836" s="2030"/>
      <c r="T836" s="2030"/>
      <c r="U836" s="2030"/>
      <c r="V836" s="2030"/>
      <c r="W836" s="2030"/>
      <c r="X836" s="2030"/>
      <c r="Y836" s="2030"/>
      <c r="Z836" s="2030"/>
      <c r="AA836" s="2030"/>
      <c r="AB836" s="2030"/>
      <c r="AC836" s="44">
        <f>S836</f>
        <v>0</v>
      </c>
      <c r="AD836" s="44">
        <f>V836</f>
        <v>0</v>
      </c>
      <c r="AE836" s="44">
        <f>Y836</f>
        <v>0</v>
      </c>
      <c r="AF836" s="44">
        <f>AB836</f>
        <v>0</v>
      </c>
      <c r="AG836" s="44">
        <f>AD836</f>
        <v>0</v>
      </c>
      <c r="AH836" s="44">
        <f>AF836</f>
        <v>0</v>
      </c>
      <c r="AI836" s="44">
        <f>AH836</f>
        <v>0</v>
      </c>
    </row>
    <row r="837" spans="1:35" s="38" customFormat="1">
      <c r="A837" s="990">
        <v>811</v>
      </c>
      <c r="B837" s="990">
        <v>1</v>
      </c>
      <c r="C837" s="990">
        <v>837</v>
      </c>
      <c r="E837" s="1243">
        <v>1</v>
      </c>
      <c r="F837" s="5"/>
      <c r="G837" s="5"/>
      <c r="H837" s="5"/>
      <c r="I837" s="335"/>
      <c r="J837" s="5"/>
      <c r="K837" s="5"/>
      <c r="L837" s="5"/>
      <c r="M837" s="4"/>
      <c r="N837" s="45"/>
      <c r="O837" s="45" t="s">
        <v>324</v>
      </c>
      <c r="P837" s="4"/>
      <c r="Q837" s="2030"/>
      <c r="R837" s="2030"/>
      <c r="S837" s="2030"/>
      <c r="T837" s="2030"/>
      <c r="U837" s="2030"/>
      <c r="V837" s="2030"/>
      <c r="W837" s="2030"/>
      <c r="X837" s="2030"/>
      <c r="Y837" s="2030"/>
      <c r="Z837" s="2030"/>
      <c r="AA837" s="2030"/>
      <c r="AB837" s="2030"/>
      <c r="AC837" s="44">
        <f>S837</f>
        <v>0</v>
      </c>
      <c r="AD837" s="44">
        <f>V837</f>
        <v>0</v>
      </c>
      <c r="AE837" s="44">
        <f>Y837</f>
        <v>0</v>
      </c>
      <c r="AF837" s="44">
        <f>AB837</f>
        <v>0</v>
      </c>
      <c r="AG837" s="44">
        <f>AD837</f>
        <v>0</v>
      </c>
      <c r="AH837" s="44">
        <f>AF837</f>
        <v>0</v>
      </c>
      <c r="AI837" s="44">
        <f>AH837</f>
        <v>0</v>
      </c>
    </row>
    <row r="838" spans="1:35" s="38" customFormat="1">
      <c r="A838" s="990">
        <v>812</v>
      </c>
      <c r="B838" s="990">
        <v>1</v>
      </c>
      <c r="C838" s="990">
        <v>838</v>
      </c>
      <c r="E838" s="1243">
        <v>1</v>
      </c>
      <c r="F838" s="5"/>
      <c r="G838" s="5"/>
      <c r="H838" s="5"/>
      <c r="I838" s="335"/>
      <c r="J838" s="5"/>
      <c r="K838" s="5"/>
      <c r="L838" s="5"/>
      <c r="M838" s="4"/>
      <c r="N838" s="45"/>
      <c r="O838" s="45" t="s">
        <v>325</v>
      </c>
      <c r="P838" s="4"/>
      <c r="Q838" s="2789">
        <v>6</v>
      </c>
      <c r="R838" s="2789">
        <v>6</v>
      </c>
      <c r="S838" s="2789">
        <v>7</v>
      </c>
      <c r="T838" s="2789">
        <v>7</v>
      </c>
      <c r="U838" s="2789">
        <v>7</v>
      </c>
      <c r="V838" s="2789">
        <v>6</v>
      </c>
      <c r="W838" s="2789">
        <v>4</v>
      </c>
      <c r="X838" s="2789">
        <v>4</v>
      </c>
      <c r="Y838" s="2789">
        <v>4</v>
      </c>
      <c r="Z838" s="2789">
        <v>4</v>
      </c>
      <c r="AA838" s="2789">
        <v>4</v>
      </c>
      <c r="AB838" s="2789">
        <v>4</v>
      </c>
      <c r="AC838" s="44">
        <f>S838</f>
        <v>7</v>
      </c>
      <c r="AD838" s="44">
        <f>V838</f>
        <v>6</v>
      </c>
      <c r="AE838" s="44">
        <f>Y838</f>
        <v>4</v>
      </c>
      <c r="AF838" s="44">
        <f>AB838</f>
        <v>4</v>
      </c>
      <c r="AG838" s="44">
        <f>AD838</f>
        <v>6</v>
      </c>
      <c r="AH838" s="44">
        <f>AF838</f>
        <v>4</v>
      </c>
      <c r="AI838" s="44">
        <f>AH838</f>
        <v>4</v>
      </c>
    </row>
    <row r="839" spans="1:35" s="38" customFormat="1">
      <c r="A839" s="990">
        <v>813</v>
      </c>
      <c r="B839" s="990">
        <v>1</v>
      </c>
      <c r="C839" s="990">
        <v>839</v>
      </c>
      <c r="E839" s="1243">
        <v>1</v>
      </c>
      <c r="F839" s="5"/>
      <c r="G839" s="5"/>
      <c r="H839" s="5"/>
      <c r="I839" s="335"/>
      <c r="J839" s="3"/>
      <c r="K839" s="3"/>
      <c r="L839" s="3"/>
      <c r="M839" s="2"/>
      <c r="N839" s="43"/>
      <c r="O839" s="43" t="s">
        <v>326</v>
      </c>
      <c r="P839" s="2"/>
      <c r="Q839" s="2790">
        <v>1</v>
      </c>
      <c r="R839" s="2790">
        <v>1</v>
      </c>
      <c r="S839" s="2790">
        <v>1</v>
      </c>
      <c r="T839" s="2790">
        <v>1</v>
      </c>
      <c r="U839" s="2790">
        <v>1</v>
      </c>
      <c r="V839" s="2790">
        <v>1</v>
      </c>
      <c r="W839" s="2029"/>
      <c r="X839" s="2029"/>
      <c r="Y839" s="2029"/>
      <c r="Z839" s="2029"/>
      <c r="AA839" s="2029"/>
      <c r="AB839" s="2029"/>
      <c r="AC839" s="42">
        <f>S839</f>
        <v>1</v>
      </c>
      <c r="AD839" s="42">
        <f>V839</f>
        <v>1</v>
      </c>
      <c r="AE839" s="42">
        <f>Y839</f>
        <v>0</v>
      </c>
      <c r="AF839" s="42">
        <f>AB839</f>
        <v>0</v>
      </c>
      <c r="AG839" s="42">
        <f>AD839</f>
        <v>1</v>
      </c>
      <c r="AH839" s="42">
        <f>AF839</f>
        <v>0</v>
      </c>
      <c r="AI839" s="42">
        <f>AH839</f>
        <v>0</v>
      </c>
    </row>
    <row r="840" spans="1:35" s="38" customFormat="1">
      <c r="A840" s="990">
        <v>814</v>
      </c>
      <c r="B840" s="990">
        <v>1</v>
      </c>
      <c r="C840" s="990">
        <v>840</v>
      </c>
      <c r="D840" s="1121" t="s">
        <v>999</v>
      </c>
      <c r="E840" s="1243">
        <v>1</v>
      </c>
      <c r="F840" s="5"/>
      <c r="G840" s="5"/>
      <c r="H840" s="5"/>
      <c r="I840" s="335"/>
      <c r="J840" s="52" t="s">
        <v>73</v>
      </c>
      <c r="K840" s="52"/>
      <c r="L840" s="52"/>
      <c r="M840" s="51"/>
      <c r="N840" s="51"/>
      <c r="O840" s="51"/>
      <c r="P840" s="50"/>
      <c r="Q840" s="49">
        <f>SUM(Q841:Q845)</f>
        <v>31</v>
      </c>
      <c r="R840" s="49">
        <f t="shared" ref="R840:AI840" si="531">SUM(R841:R845)</f>
        <v>32</v>
      </c>
      <c r="S840" s="49">
        <f t="shared" si="531"/>
        <v>32</v>
      </c>
      <c r="T840" s="49">
        <f t="shared" si="531"/>
        <v>32</v>
      </c>
      <c r="U840" s="49">
        <f t="shared" si="531"/>
        <v>31</v>
      </c>
      <c r="V840" s="49">
        <f t="shared" si="531"/>
        <v>30</v>
      </c>
      <c r="W840" s="49">
        <f t="shared" si="531"/>
        <v>23</v>
      </c>
      <c r="X840" s="49">
        <f t="shared" si="531"/>
        <v>23</v>
      </c>
      <c r="Y840" s="49">
        <f t="shared" si="531"/>
        <v>23</v>
      </c>
      <c r="Z840" s="49">
        <f t="shared" si="531"/>
        <v>23</v>
      </c>
      <c r="AA840" s="49">
        <f t="shared" si="531"/>
        <v>23</v>
      </c>
      <c r="AB840" s="49">
        <f t="shared" si="531"/>
        <v>24</v>
      </c>
      <c r="AC840" s="49">
        <f t="shared" si="531"/>
        <v>32</v>
      </c>
      <c r="AD840" s="49">
        <f t="shared" si="531"/>
        <v>30</v>
      </c>
      <c r="AE840" s="49">
        <f t="shared" si="531"/>
        <v>23</v>
      </c>
      <c r="AF840" s="49">
        <f t="shared" si="531"/>
        <v>24</v>
      </c>
      <c r="AG840" s="49">
        <f t="shared" si="531"/>
        <v>30</v>
      </c>
      <c r="AH840" s="49">
        <f t="shared" si="531"/>
        <v>24</v>
      </c>
      <c r="AI840" s="49">
        <f t="shared" si="531"/>
        <v>24</v>
      </c>
    </row>
    <row r="841" spans="1:35" s="38" customFormat="1">
      <c r="A841" s="990">
        <v>815</v>
      </c>
      <c r="B841" s="990">
        <v>1</v>
      </c>
      <c r="C841" s="990">
        <v>841</v>
      </c>
      <c r="E841" s="1243">
        <v>1</v>
      </c>
      <c r="F841" s="5"/>
      <c r="G841" s="5"/>
      <c r="H841" s="5"/>
      <c r="I841" s="335"/>
      <c r="J841" s="5"/>
      <c r="K841" s="5"/>
      <c r="L841" s="4"/>
      <c r="M841" s="4"/>
      <c r="N841" s="45"/>
      <c r="O841" s="45" t="s">
        <v>119</v>
      </c>
      <c r="P841" s="1204"/>
      <c r="Q841" s="2789">
        <v>2</v>
      </c>
      <c r="R841" s="2789">
        <v>2</v>
      </c>
      <c r="S841" s="2789">
        <v>2</v>
      </c>
      <c r="T841" s="2789">
        <v>2</v>
      </c>
      <c r="U841" s="2789">
        <v>2</v>
      </c>
      <c r="V841" s="2789">
        <v>2</v>
      </c>
      <c r="W841" s="2789">
        <v>2</v>
      </c>
      <c r="X841" s="2789">
        <v>2</v>
      </c>
      <c r="Y841" s="2789">
        <v>2</v>
      </c>
      <c r="Z841" s="2789">
        <v>2</v>
      </c>
      <c r="AA841" s="2789">
        <v>2</v>
      </c>
      <c r="AB841" s="2789">
        <v>2</v>
      </c>
      <c r="AC841" s="44">
        <f>S841</f>
        <v>2</v>
      </c>
      <c r="AD841" s="44">
        <f>V841</f>
        <v>2</v>
      </c>
      <c r="AE841" s="44">
        <f>Y841</f>
        <v>2</v>
      </c>
      <c r="AF841" s="44">
        <f>AB841</f>
        <v>2</v>
      </c>
      <c r="AG841" s="44">
        <f>AD841</f>
        <v>2</v>
      </c>
      <c r="AH841" s="44">
        <f>AF841</f>
        <v>2</v>
      </c>
      <c r="AI841" s="44">
        <f>AH841</f>
        <v>2</v>
      </c>
    </row>
    <row r="842" spans="1:35" s="38" customFormat="1">
      <c r="A842" s="990">
        <v>816</v>
      </c>
      <c r="B842" s="990">
        <v>1</v>
      </c>
      <c r="C842" s="990">
        <v>842</v>
      </c>
      <c r="E842" s="1243">
        <v>1</v>
      </c>
      <c r="F842" s="5"/>
      <c r="G842" s="5"/>
      <c r="H842" s="5"/>
      <c r="I842" s="335"/>
      <c r="J842" s="5"/>
      <c r="K842" s="5"/>
      <c r="L842" s="4"/>
      <c r="M842" s="4"/>
      <c r="N842" s="45"/>
      <c r="O842" s="45" t="s">
        <v>75</v>
      </c>
      <c r="P842" s="1204"/>
      <c r="Q842" s="2789">
        <v>15</v>
      </c>
      <c r="R842" s="2789">
        <v>15</v>
      </c>
      <c r="S842" s="2789">
        <v>15</v>
      </c>
      <c r="T842" s="2789">
        <v>15</v>
      </c>
      <c r="U842" s="2789">
        <v>15</v>
      </c>
      <c r="V842" s="2789">
        <v>14</v>
      </c>
      <c r="W842" s="2789">
        <v>12</v>
      </c>
      <c r="X842" s="2789">
        <v>12</v>
      </c>
      <c r="Y842" s="2789">
        <v>13</v>
      </c>
      <c r="Z842" s="2789">
        <v>13</v>
      </c>
      <c r="AA842" s="2789">
        <v>13</v>
      </c>
      <c r="AB842" s="2789">
        <v>14</v>
      </c>
      <c r="AC842" s="44">
        <f>S842</f>
        <v>15</v>
      </c>
      <c r="AD842" s="44">
        <f>V842</f>
        <v>14</v>
      </c>
      <c r="AE842" s="44">
        <f>Y842</f>
        <v>13</v>
      </c>
      <c r="AF842" s="44">
        <f>AB842</f>
        <v>14</v>
      </c>
      <c r="AG842" s="44">
        <f>AD842</f>
        <v>14</v>
      </c>
      <c r="AH842" s="44">
        <f>AF842</f>
        <v>14</v>
      </c>
      <c r="AI842" s="44">
        <f>AH842</f>
        <v>14</v>
      </c>
    </row>
    <row r="843" spans="1:35" s="38" customFormat="1">
      <c r="A843" s="990">
        <v>817</v>
      </c>
      <c r="B843" s="990">
        <v>1</v>
      </c>
      <c r="C843" s="990">
        <v>843</v>
      </c>
      <c r="E843" s="1243">
        <v>1</v>
      </c>
      <c r="F843" s="5"/>
      <c r="G843" s="5"/>
      <c r="H843" s="5"/>
      <c r="I843" s="335"/>
      <c r="J843" s="5"/>
      <c r="K843" s="5"/>
      <c r="L843" s="4"/>
      <c r="M843" s="4"/>
      <c r="N843" s="45"/>
      <c r="O843" s="45" t="s">
        <v>76</v>
      </c>
      <c r="P843" s="1204"/>
      <c r="Q843" s="2789">
        <v>5</v>
      </c>
      <c r="R843" s="2789">
        <v>5</v>
      </c>
      <c r="S843" s="2789">
        <v>5</v>
      </c>
      <c r="T843" s="2789">
        <v>5</v>
      </c>
      <c r="U843" s="2789">
        <v>4</v>
      </c>
      <c r="V843" s="2789">
        <v>4</v>
      </c>
      <c r="W843" s="2789">
        <v>3</v>
      </c>
      <c r="X843" s="2789">
        <v>3</v>
      </c>
      <c r="Y843" s="2789">
        <v>3</v>
      </c>
      <c r="Z843" s="2789">
        <v>3</v>
      </c>
      <c r="AA843" s="2789">
        <v>3</v>
      </c>
      <c r="AB843" s="2789">
        <v>3</v>
      </c>
      <c r="AC843" s="44">
        <f>S843</f>
        <v>5</v>
      </c>
      <c r="AD843" s="44">
        <f>V843</f>
        <v>4</v>
      </c>
      <c r="AE843" s="44">
        <f>Y843</f>
        <v>3</v>
      </c>
      <c r="AF843" s="44">
        <f>AB843</f>
        <v>3</v>
      </c>
      <c r="AG843" s="44">
        <f>AD843</f>
        <v>4</v>
      </c>
      <c r="AH843" s="44">
        <f>AF843</f>
        <v>3</v>
      </c>
      <c r="AI843" s="44">
        <f>AH843</f>
        <v>3</v>
      </c>
    </row>
    <row r="844" spans="1:35" s="38" customFormat="1">
      <c r="A844" s="990">
        <v>818</v>
      </c>
      <c r="B844" s="990">
        <v>1</v>
      </c>
      <c r="C844" s="990">
        <v>844</v>
      </c>
      <c r="E844" s="1243">
        <v>1</v>
      </c>
      <c r="F844" s="5"/>
      <c r="G844" s="5"/>
      <c r="H844" s="5"/>
      <c r="I844" s="335"/>
      <c r="J844" s="5"/>
      <c r="K844" s="5"/>
      <c r="L844" s="4"/>
      <c r="M844" s="4"/>
      <c r="N844" s="45"/>
      <c r="O844" s="45" t="s">
        <v>77</v>
      </c>
      <c r="P844" s="1204"/>
      <c r="Q844" s="2789"/>
      <c r="R844" s="2030"/>
      <c r="S844" s="2030"/>
      <c r="T844" s="2789"/>
      <c r="U844" s="2789"/>
      <c r="V844" s="2789"/>
      <c r="W844" s="2789"/>
      <c r="X844" s="2789"/>
      <c r="Y844" s="2789"/>
      <c r="Z844" s="2789"/>
      <c r="AA844" s="2789"/>
      <c r="AB844" s="2030"/>
      <c r="AC844" s="44">
        <f>S844</f>
        <v>0</v>
      </c>
      <c r="AD844" s="44">
        <f>V844</f>
        <v>0</v>
      </c>
      <c r="AE844" s="44">
        <f>Y844</f>
        <v>0</v>
      </c>
      <c r="AF844" s="44">
        <f>AB844</f>
        <v>0</v>
      </c>
      <c r="AG844" s="44">
        <f>AD844</f>
        <v>0</v>
      </c>
      <c r="AH844" s="44">
        <f>AF844</f>
        <v>0</v>
      </c>
      <c r="AI844" s="44">
        <f>AH844</f>
        <v>0</v>
      </c>
    </row>
    <row r="845" spans="1:35" s="38" customFormat="1">
      <c r="A845" s="990">
        <v>819</v>
      </c>
      <c r="B845" s="990">
        <v>1</v>
      </c>
      <c r="C845" s="990">
        <v>845</v>
      </c>
      <c r="E845" s="1243">
        <v>1</v>
      </c>
      <c r="F845" s="5"/>
      <c r="G845" s="5"/>
      <c r="H845" s="5"/>
      <c r="I845" s="335"/>
      <c r="J845" s="5"/>
      <c r="K845" s="5"/>
      <c r="L845" s="4"/>
      <c r="M845" s="4"/>
      <c r="N845" s="45"/>
      <c r="O845" s="45" t="s">
        <v>11</v>
      </c>
      <c r="P845" s="1204"/>
      <c r="Q845" s="2789">
        <v>9</v>
      </c>
      <c r="R845" s="2789">
        <v>10</v>
      </c>
      <c r="S845" s="2789">
        <v>10</v>
      </c>
      <c r="T845" s="2789">
        <v>10</v>
      </c>
      <c r="U845" s="2789">
        <v>10</v>
      </c>
      <c r="V845" s="2789">
        <v>10</v>
      </c>
      <c r="W845" s="2789">
        <v>6</v>
      </c>
      <c r="X845" s="2789">
        <v>6</v>
      </c>
      <c r="Y845" s="2789">
        <v>5</v>
      </c>
      <c r="Z845" s="2789">
        <v>5</v>
      </c>
      <c r="AA845" s="2789">
        <v>5</v>
      </c>
      <c r="AB845" s="2789">
        <v>5</v>
      </c>
      <c r="AC845" s="44">
        <f>S845</f>
        <v>10</v>
      </c>
      <c r="AD845" s="44">
        <f>V845</f>
        <v>10</v>
      </c>
      <c r="AE845" s="44">
        <f>Y845</f>
        <v>5</v>
      </c>
      <c r="AF845" s="44">
        <f>AB845</f>
        <v>5</v>
      </c>
      <c r="AG845" s="44">
        <f>AD845</f>
        <v>10</v>
      </c>
      <c r="AH845" s="44">
        <f>AF845</f>
        <v>5</v>
      </c>
      <c r="AI845" s="44">
        <f>AH845</f>
        <v>5</v>
      </c>
    </row>
    <row r="846" spans="1:35" s="38" customFormat="1">
      <c r="A846" s="990">
        <v>820</v>
      </c>
      <c r="B846" s="990">
        <v>1</v>
      </c>
      <c r="C846" s="990">
        <v>846</v>
      </c>
      <c r="D846" s="1121" t="s">
        <v>999</v>
      </c>
      <c r="E846" s="1243">
        <v>1</v>
      </c>
      <c r="F846" s="5"/>
      <c r="G846" s="5"/>
      <c r="H846" s="5"/>
      <c r="I846" s="335"/>
      <c r="J846" s="324" t="s">
        <v>332</v>
      </c>
      <c r="K846" s="324"/>
      <c r="L846" s="324"/>
      <c r="M846" s="323"/>
      <c r="N846" s="323"/>
      <c r="O846" s="323"/>
      <c r="P846" s="1203"/>
      <c r="Q846" s="325">
        <f>SUM(Q847:Q849)</f>
        <v>14</v>
      </c>
      <c r="R846" s="325">
        <f t="shared" ref="R846:AI846" si="532">SUM(R847:R849)</f>
        <v>14</v>
      </c>
      <c r="S846" s="325">
        <f t="shared" si="532"/>
        <v>14</v>
      </c>
      <c r="T846" s="325">
        <f t="shared" si="532"/>
        <v>14</v>
      </c>
      <c r="U846" s="325">
        <f t="shared" si="532"/>
        <v>14</v>
      </c>
      <c r="V846" s="325">
        <f t="shared" si="532"/>
        <v>14</v>
      </c>
      <c r="W846" s="325">
        <f t="shared" si="532"/>
        <v>14</v>
      </c>
      <c r="X846" s="325">
        <f t="shared" si="532"/>
        <v>14</v>
      </c>
      <c r="Y846" s="325">
        <f t="shared" si="532"/>
        <v>14</v>
      </c>
      <c r="Z846" s="325">
        <f t="shared" si="532"/>
        <v>14</v>
      </c>
      <c r="AA846" s="325">
        <f t="shared" si="532"/>
        <v>14</v>
      </c>
      <c r="AB846" s="325">
        <f t="shared" si="532"/>
        <v>14</v>
      </c>
      <c r="AC846" s="325">
        <f t="shared" si="532"/>
        <v>14</v>
      </c>
      <c r="AD846" s="325">
        <f t="shared" si="532"/>
        <v>14</v>
      </c>
      <c r="AE846" s="325">
        <f t="shared" si="532"/>
        <v>14</v>
      </c>
      <c r="AF846" s="325">
        <f t="shared" si="532"/>
        <v>14</v>
      </c>
      <c r="AG846" s="325">
        <f t="shared" si="532"/>
        <v>14</v>
      </c>
      <c r="AH846" s="325">
        <f t="shared" si="532"/>
        <v>14</v>
      </c>
      <c r="AI846" s="325">
        <f t="shared" si="532"/>
        <v>14</v>
      </c>
    </row>
    <row r="847" spans="1:35" s="38" customFormat="1">
      <c r="A847" s="990">
        <v>821</v>
      </c>
      <c r="B847" s="990">
        <v>1</v>
      </c>
      <c r="C847" s="990">
        <v>847</v>
      </c>
      <c r="E847" s="1243">
        <v>1</v>
      </c>
      <c r="F847" s="5"/>
      <c r="G847" s="5"/>
      <c r="H847" s="5"/>
      <c r="I847" s="335"/>
      <c r="J847" s="5"/>
      <c r="K847" s="5"/>
      <c r="L847" s="4"/>
      <c r="M847" s="4"/>
      <c r="N847" s="45"/>
      <c r="O847" s="45" t="s">
        <v>79</v>
      </c>
      <c r="P847" s="1204"/>
      <c r="Q847" s="2789">
        <v>4</v>
      </c>
      <c r="R847" s="2789">
        <v>4</v>
      </c>
      <c r="S847" s="2789">
        <v>4</v>
      </c>
      <c r="T847" s="2789">
        <v>4</v>
      </c>
      <c r="U847" s="2789">
        <v>4</v>
      </c>
      <c r="V847" s="2789">
        <v>4</v>
      </c>
      <c r="W847" s="2789">
        <v>4</v>
      </c>
      <c r="X847" s="2789">
        <v>4</v>
      </c>
      <c r="Y847" s="2789">
        <v>4</v>
      </c>
      <c r="Z847" s="2789">
        <v>4</v>
      </c>
      <c r="AA847" s="2789">
        <v>4</v>
      </c>
      <c r="AB847" s="2789">
        <v>4</v>
      </c>
      <c r="AC847" s="44">
        <f>S847</f>
        <v>4</v>
      </c>
      <c r="AD847" s="44">
        <f>V847</f>
        <v>4</v>
      </c>
      <c r="AE847" s="44">
        <f>Y847</f>
        <v>4</v>
      </c>
      <c r="AF847" s="44">
        <f>AB847</f>
        <v>4</v>
      </c>
      <c r="AG847" s="44">
        <f>AD847</f>
        <v>4</v>
      </c>
      <c r="AH847" s="44">
        <f>AF847</f>
        <v>4</v>
      </c>
      <c r="AI847" s="44">
        <f>AH847</f>
        <v>4</v>
      </c>
    </row>
    <row r="848" spans="1:35" s="38" customFormat="1">
      <c r="A848" s="990">
        <v>822</v>
      </c>
      <c r="B848" s="990">
        <v>1</v>
      </c>
      <c r="C848" s="990">
        <v>848</v>
      </c>
      <c r="E848" s="1243">
        <v>1</v>
      </c>
      <c r="F848" s="5"/>
      <c r="G848" s="5"/>
      <c r="H848" s="5"/>
      <c r="I848" s="335"/>
      <c r="J848" s="5"/>
      <c r="K848" s="5"/>
      <c r="L848" s="4"/>
      <c r="M848" s="4"/>
      <c r="N848" s="45"/>
      <c r="O848" s="45" t="s">
        <v>80</v>
      </c>
      <c r="P848" s="1204"/>
      <c r="Q848" s="2789">
        <v>10</v>
      </c>
      <c r="R848" s="2789">
        <v>10</v>
      </c>
      <c r="S848" s="2789">
        <v>10</v>
      </c>
      <c r="T848" s="2789">
        <v>10</v>
      </c>
      <c r="U848" s="2789">
        <v>10</v>
      </c>
      <c r="V848" s="2789">
        <v>10</v>
      </c>
      <c r="W848" s="2789">
        <v>10</v>
      </c>
      <c r="X848" s="2789">
        <v>10</v>
      </c>
      <c r="Y848" s="2789">
        <v>10</v>
      </c>
      <c r="Z848" s="2789">
        <v>10</v>
      </c>
      <c r="AA848" s="2789">
        <v>10</v>
      </c>
      <c r="AB848" s="2789">
        <v>10</v>
      </c>
      <c r="AC848" s="44">
        <f>S848</f>
        <v>10</v>
      </c>
      <c r="AD848" s="44">
        <f>V848</f>
        <v>10</v>
      </c>
      <c r="AE848" s="44">
        <f>Y848</f>
        <v>10</v>
      </c>
      <c r="AF848" s="44">
        <f>AB848</f>
        <v>10</v>
      </c>
      <c r="AG848" s="44">
        <f>AD848</f>
        <v>10</v>
      </c>
      <c r="AH848" s="44">
        <f>AF848</f>
        <v>10</v>
      </c>
      <c r="AI848" s="44">
        <f>AH848</f>
        <v>10</v>
      </c>
    </row>
    <row r="849" spans="1:35" s="38" customFormat="1">
      <c r="A849" s="990">
        <v>823</v>
      </c>
      <c r="B849" s="990">
        <v>1</v>
      </c>
      <c r="C849" s="990">
        <v>849</v>
      </c>
      <c r="E849" s="1243">
        <v>1</v>
      </c>
      <c r="F849" s="5"/>
      <c r="G849" s="5"/>
      <c r="H849" s="5"/>
      <c r="I849" s="336"/>
      <c r="J849" s="3"/>
      <c r="K849" s="3"/>
      <c r="L849" s="2"/>
      <c r="M849" s="2"/>
      <c r="N849" s="43"/>
      <c r="O849" s="43" t="s">
        <v>81</v>
      </c>
      <c r="P849" s="1205"/>
      <c r="Q849" s="2029"/>
      <c r="R849" s="2029"/>
      <c r="S849" s="2029"/>
      <c r="T849" s="2029"/>
      <c r="U849" s="2029"/>
      <c r="V849" s="2029"/>
      <c r="W849" s="2029"/>
      <c r="X849" s="2029"/>
      <c r="Y849" s="2029"/>
      <c r="Z849" s="2029"/>
      <c r="AA849" s="2029"/>
      <c r="AB849" s="2029"/>
      <c r="AC849" s="42">
        <f>S849</f>
        <v>0</v>
      </c>
      <c r="AD849" s="42">
        <f>V849</f>
        <v>0</v>
      </c>
      <c r="AE849" s="42">
        <f>Y849</f>
        <v>0</v>
      </c>
      <c r="AF849" s="42">
        <f>AB849</f>
        <v>0</v>
      </c>
      <c r="AG849" s="42">
        <f>AD849</f>
        <v>0</v>
      </c>
      <c r="AH849" s="42">
        <f>AF849</f>
        <v>0</v>
      </c>
      <c r="AI849" s="42">
        <f>AH849</f>
        <v>0</v>
      </c>
    </row>
    <row r="850" spans="1:35" s="38" customFormat="1">
      <c r="A850" s="990">
        <v>824</v>
      </c>
      <c r="B850" s="990">
        <v>1</v>
      </c>
      <c r="C850" s="990">
        <v>850</v>
      </c>
      <c r="D850" s="1121" t="s">
        <v>999</v>
      </c>
      <c r="E850" s="1243">
        <v>1</v>
      </c>
      <c r="F850" s="5"/>
      <c r="G850" s="5"/>
      <c r="H850" s="5"/>
      <c r="I850" s="318" t="s">
        <v>1110</v>
      </c>
      <c r="J850" s="319"/>
      <c r="K850" s="320"/>
      <c r="L850" s="320"/>
      <c r="M850" s="319"/>
      <c r="N850" s="319"/>
      <c r="O850" s="319"/>
      <c r="P850" s="321"/>
      <c r="Q850" s="2050">
        <v>19</v>
      </c>
      <c r="R850" s="2088">
        <v>18</v>
      </c>
      <c r="S850" s="2088">
        <v>17</v>
      </c>
      <c r="T850" s="2088">
        <v>17</v>
      </c>
      <c r="U850" s="2088">
        <v>16</v>
      </c>
      <c r="V850" s="2790">
        <v>17</v>
      </c>
      <c r="W850" s="2790">
        <v>17</v>
      </c>
      <c r="X850" s="2088">
        <v>17</v>
      </c>
      <c r="Y850" s="2088">
        <v>17</v>
      </c>
      <c r="Z850" s="2088">
        <v>17</v>
      </c>
      <c r="AA850" s="2088">
        <v>17</v>
      </c>
      <c r="AB850" s="2088">
        <v>17</v>
      </c>
      <c r="AC850" s="2527">
        <f>S850</f>
        <v>17</v>
      </c>
      <c r="AD850" s="2527">
        <f>V850</f>
        <v>17</v>
      </c>
      <c r="AE850" s="2527">
        <f>Y850</f>
        <v>17</v>
      </c>
      <c r="AF850" s="2527">
        <f>AB850</f>
        <v>17</v>
      </c>
      <c r="AG850" s="2527">
        <f>AD850</f>
        <v>17</v>
      </c>
      <c r="AH850" s="2527">
        <f>AF850</f>
        <v>17</v>
      </c>
      <c r="AI850" s="2527">
        <f>AH850</f>
        <v>17</v>
      </c>
    </row>
    <row r="851" spans="1:35" s="38" customFormat="1">
      <c r="A851" s="990">
        <v>825</v>
      </c>
      <c r="B851" s="990">
        <v>1</v>
      </c>
      <c r="C851" s="990">
        <v>851</v>
      </c>
      <c r="D851" s="1121" t="s">
        <v>999</v>
      </c>
      <c r="E851" s="1243">
        <v>1</v>
      </c>
      <c r="F851" s="5"/>
      <c r="G851" s="5"/>
      <c r="H851" s="5"/>
      <c r="I851" s="5"/>
      <c r="J851" s="4"/>
      <c r="K851" s="5"/>
      <c r="L851" s="5"/>
      <c r="M851" s="4"/>
      <c r="N851" s="4"/>
      <c r="O851" s="4"/>
      <c r="P851" s="4"/>
      <c r="Q851" s="1151"/>
      <c r="R851" s="1151"/>
      <c r="S851" s="1151"/>
      <c r="T851" s="1151"/>
      <c r="U851" s="1151"/>
      <c r="V851" s="1151"/>
      <c r="W851" s="1151"/>
      <c r="X851" s="1151"/>
      <c r="Y851" s="1151"/>
      <c r="Z851" s="1151"/>
    </row>
    <row r="852" spans="1:35" s="38" customFormat="1">
      <c r="A852" s="990">
        <v>826</v>
      </c>
      <c r="B852" s="990">
        <v>1</v>
      </c>
      <c r="C852" s="990">
        <v>852</v>
      </c>
      <c r="D852" s="1121" t="s">
        <v>999</v>
      </c>
      <c r="E852" s="1243">
        <v>1</v>
      </c>
      <c r="F852" s="5"/>
      <c r="G852" s="5"/>
      <c r="H852" s="5" t="s">
        <v>1035</v>
      </c>
      <c r="I852" s="5"/>
      <c r="J852" s="4"/>
      <c r="K852" s="5"/>
      <c r="L852" s="5"/>
      <c r="M852" s="4"/>
      <c r="N852" s="4"/>
      <c r="O852" s="4"/>
      <c r="P852" s="4"/>
      <c r="Q852" s="1151"/>
      <c r="R852" s="1151"/>
      <c r="S852" s="1151"/>
      <c r="T852" s="1151"/>
      <c r="U852" s="1151"/>
      <c r="V852" s="1151"/>
      <c r="W852" s="1151"/>
      <c r="X852" s="1151"/>
      <c r="Y852" s="1151"/>
      <c r="Z852" s="1151"/>
    </row>
    <row r="853" spans="1:35" s="820" customFormat="1">
      <c r="A853" s="990">
        <v>827</v>
      </c>
      <c r="B853" s="990">
        <v>1</v>
      </c>
      <c r="C853" s="990">
        <v>853</v>
      </c>
      <c r="D853" s="1121" t="s">
        <v>999</v>
      </c>
      <c r="E853" s="1243">
        <v>1</v>
      </c>
      <c r="F853" s="815"/>
      <c r="G853" s="815"/>
      <c r="H853" s="816"/>
      <c r="I853" s="823" t="s">
        <v>328</v>
      </c>
      <c r="J853" s="824"/>
      <c r="K853" s="825"/>
      <c r="L853" s="825"/>
      <c r="M853" s="825"/>
      <c r="N853" s="825"/>
      <c r="O853" s="825"/>
      <c r="P853" s="1051"/>
      <c r="Q853" s="129">
        <f>Q854+Q859+Q865+Q870+Q876</f>
        <v>439</v>
      </c>
      <c r="R853" s="129">
        <f t="shared" ref="R853:AI853" si="533">R854+R859+R865+R870+R876</f>
        <v>436</v>
      </c>
      <c r="S853" s="129">
        <f t="shared" si="533"/>
        <v>438</v>
      </c>
      <c r="T853" s="129">
        <f t="shared" si="533"/>
        <v>442</v>
      </c>
      <c r="U853" s="129">
        <f t="shared" si="533"/>
        <v>447</v>
      </c>
      <c r="V853" s="129">
        <f t="shared" si="533"/>
        <v>447</v>
      </c>
      <c r="W853" s="129">
        <f t="shared" si="533"/>
        <v>453</v>
      </c>
      <c r="X853" s="129">
        <f t="shared" si="533"/>
        <v>449</v>
      </c>
      <c r="Y853" s="129">
        <f t="shared" si="533"/>
        <v>454</v>
      </c>
      <c r="Z853" s="129">
        <f t="shared" si="533"/>
        <v>449</v>
      </c>
      <c r="AA853" s="129">
        <f t="shared" si="533"/>
        <v>452</v>
      </c>
      <c r="AB853" s="129">
        <f t="shared" si="533"/>
        <v>455</v>
      </c>
      <c r="AC853" s="129">
        <f t="shared" si="533"/>
        <v>438</v>
      </c>
      <c r="AD853" s="129">
        <f t="shared" si="533"/>
        <v>447</v>
      </c>
      <c r="AE853" s="129">
        <f t="shared" si="533"/>
        <v>454</v>
      </c>
      <c r="AF853" s="129">
        <f t="shared" si="533"/>
        <v>455</v>
      </c>
      <c r="AG853" s="129">
        <f t="shared" si="533"/>
        <v>447</v>
      </c>
      <c r="AH853" s="129">
        <f t="shared" si="533"/>
        <v>455</v>
      </c>
      <c r="AI853" s="129">
        <f t="shared" si="533"/>
        <v>455</v>
      </c>
    </row>
    <row r="854" spans="1:35" s="38" customFormat="1">
      <c r="A854" s="990">
        <v>828</v>
      </c>
      <c r="B854" s="990">
        <v>1</v>
      </c>
      <c r="C854" s="990">
        <v>854</v>
      </c>
      <c r="D854" s="1121" t="s">
        <v>999</v>
      </c>
      <c r="E854" s="1243">
        <v>1</v>
      </c>
      <c r="F854" s="5"/>
      <c r="G854" s="5"/>
      <c r="H854" s="5"/>
      <c r="I854" s="331"/>
      <c r="J854" s="52" t="s">
        <v>62</v>
      </c>
      <c r="K854" s="52"/>
      <c r="L854" s="52"/>
      <c r="M854" s="51"/>
      <c r="N854" s="51"/>
      <c r="O854" s="51"/>
      <c r="P854" s="50"/>
      <c r="Q854" s="49">
        <f>SUM(Q855:Q858)</f>
        <v>67</v>
      </c>
      <c r="R854" s="49">
        <f t="shared" ref="R854:AI854" si="534">SUM(R855:R858)</f>
        <v>65</v>
      </c>
      <c r="S854" s="49">
        <f t="shared" si="534"/>
        <v>65</v>
      </c>
      <c r="T854" s="49">
        <f t="shared" si="534"/>
        <v>67</v>
      </c>
      <c r="U854" s="49">
        <f t="shared" si="534"/>
        <v>68</v>
      </c>
      <c r="V854" s="49">
        <f t="shared" si="534"/>
        <v>65</v>
      </c>
      <c r="W854" s="49">
        <f t="shared" si="534"/>
        <v>66</v>
      </c>
      <c r="X854" s="49">
        <f t="shared" si="534"/>
        <v>66</v>
      </c>
      <c r="Y854" s="49">
        <f t="shared" si="534"/>
        <v>66</v>
      </c>
      <c r="Z854" s="49">
        <f t="shared" si="534"/>
        <v>66</v>
      </c>
      <c r="AA854" s="49">
        <f t="shared" si="534"/>
        <v>66</v>
      </c>
      <c r="AB854" s="49">
        <f t="shared" si="534"/>
        <v>66</v>
      </c>
      <c r="AC854" s="49">
        <f t="shared" si="534"/>
        <v>65</v>
      </c>
      <c r="AD854" s="49">
        <f t="shared" si="534"/>
        <v>65</v>
      </c>
      <c r="AE854" s="49">
        <f t="shared" si="534"/>
        <v>66</v>
      </c>
      <c r="AF854" s="49">
        <f t="shared" si="534"/>
        <v>66</v>
      </c>
      <c r="AG854" s="49">
        <f t="shared" si="534"/>
        <v>65</v>
      </c>
      <c r="AH854" s="49">
        <f t="shared" si="534"/>
        <v>66</v>
      </c>
      <c r="AI854" s="49">
        <f t="shared" si="534"/>
        <v>66</v>
      </c>
    </row>
    <row r="855" spans="1:35" s="38" customFormat="1">
      <c r="A855" s="990">
        <v>829</v>
      </c>
      <c r="B855" s="990">
        <v>1</v>
      </c>
      <c r="C855" s="990">
        <v>855</v>
      </c>
      <c r="E855" s="1243">
        <v>1</v>
      </c>
      <c r="F855" s="5"/>
      <c r="G855" s="5"/>
      <c r="H855" s="5"/>
      <c r="I855" s="331"/>
      <c r="J855" s="5"/>
      <c r="K855" s="5"/>
      <c r="L855" s="5"/>
      <c r="M855" s="4"/>
      <c r="N855" s="45"/>
      <c r="O855" s="45" t="s">
        <v>125</v>
      </c>
      <c r="P855" s="4"/>
      <c r="Q855" s="2789">
        <v>55</v>
      </c>
      <c r="R855" s="2789">
        <v>54</v>
      </c>
      <c r="S855" s="2789">
        <v>54</v>
      </c>
      <c r="T855" s="2789">
        <v>54</v>
      </c>
      <c r="U855" s="2789">
        <v>55</v>
      </c>
      <c r="V855" s="2789">
        <v>53</v>
      </c>
      <c r="W855" s="2789">
        <v>54</v>
      </c>
      <c r="X855" s="2789">
        <v>54</v>
      </c>
      <c r="Y855" s="2789">
        <v>54</v>
      </c>
      <c r="Z855" s="2789">
        <v>54</v>
      </c>
      <c r="AA855" s="2789">
        <v>53</v>
      </c>
      <c r="AB855" s="2789">
        <v>53</v>
      </c>
      <c r="AC855" s="44">
        <f>S855</f>
        <v>54</v>
      </c>
      <c r="AD855" s="44">
        <f>V855</f>
        <v>53</v>
      </c>
      <c r="AE855" s="44">
        <f>Y855</f>
        <v>54</v>
      </c>
      <c r="AF855" s="44">
        <f>AB855</f>
        <v>53</v>
      </c>
      <c r="AG855" s="44">
        <f>AD855</f>
        <v>53</v>
      </c>
      <c r="AH855" s="44">
        <f>AF855</f>
        <v>53</v>
      </c>
      <c r="AI855" s="44">
        <f>AH855</f>
        <v>53</v>
      </c>
    </row>
    <row r="856" spans="1:35" s="38" customFormat="1">
      <c r="A856" s="990">
        <v>830</v>
      </c>
      <c r="B856" s="990">
        <v>1</v>
      </c>
      <c r="C856" s="990">
        <v>856</v>
      </c>
      <c r="E856" s="1243">
        <v>1</v>
      </c>
      <c r="F856" s="5"/>
      <c r="G856" s="5"/>
      <c r="H856" s="5"/>
      <c r="I856" s="331"/>
      <c r="J856" s="5"/>
      <c r="K856" s="5"/>
      <c r="L856" s="5"/>
      <c r="M856" s="4"/>
      <c r="N856" s="45"/>
      <c r="O856" s="45" t="s">
        <v>124</v>
      </c>
      <c r="P856" s="4"/>
      <c r="Q856" s="2789"/>
      <c r="R856" s="2789"/>
      <c r="S856" s="2789"/>
      <c r="T856" s="2789"/>
      <c r="U856" s="2789"/>
      <c r="V856" s="2789"/>
      <c r="W856" s="2789"/>
      <c r="X856" s="2789"/>
      <c r="Y856" s="2789"/>
      <c r="Z856" s="2789"/>
      <c r="AA856" s="2789"/>
      <c r="AB856" s="2789"/>
      <c r="AC856" s="44">
        <f>S856</f>
        <v>0</v>
      </c>
      <c r="AD856" s="44">
        <f>V856</f>
        <v>0</v>
      </c>
      <c r="AE856" s="44">
        <f>Y856</f>
        <v>0</v>
      </c>
      <c r="AF856" s="44">
        <f>AB856</f>
        <v>0</v>
      </c>
      <c r="AG856" s="44">
        <f>AD856</f>
        <v>0</v>
      </c>
      <c r="AH856" s="44">
        <f>AF856</f>
        <v>0</v>
      </c>
      <c r="AI856" s="44">
        <f>AH856</f>
        <v>0</v>
      </c>
    </row>
    <row r="857" spans="1:35" s="38" customFormat="1">
      <c r="A857" s="990">
        <v>831</v>
      </c>
      <c r="B857" s="990">
        <v>1</v>
      </c>
      <c r="C857" s="990">
        <v>857</v>
      </c>
      <c r="E857" s="1243">
        <v>1</v>
      </c>
      <c r="F857" s="5"/>
      <c r="G857" s="5"/>
      <c r="H857" s="5"/>
      <c r="I857" s="331"/>
      <c r="J857" s="5"/>
      <c r="K857" s="5"/>
      <c r="L857" s="5"/>
      <c r="M857" s="4"/>
      <c r="N857" s="45"/>
      <c r="O857" s="45" t="s">
        <v>123</v>
      </c>
      <c r="P857" s="4"/>
      <c r="Q857" s="2789"/>
      <c r="R857" s="2789"/>
      <c r="S857" s="2789"/>
      <c r="T857" s="2789"/>
      <c r="U857" s="2789"/>
      <c r="V857" s="2789"/>
      <c r="W857" s="2789"/>
      <c r="X857" s="2789"/>
      <c r="Y857" s="2789"/>
      <c r="Z857" s="2789"/>
      <c r="AA857" s="2789"/>
      <c r="AB857" s="2789"/>
      <c r="AC857" s="44">
        <f>S857</f>
        <v>0</v>
      </c>
      <c r="AD857" s="44">
        <f>V857</f>
        <v>0</v>
      </c>
      <c r="AE857" s="44">
        <f>Y857</f>
        <v>0</v>
      </c>
      <c r="AF857" s="44">
        <f>AB857</f>
        <v>0</v>
      </c>
      <c r="AG857" s="44">
        <f>AD857</f>
        <v>0</v>
      </c>
      <c r="AH857" s="44">
        <f>AF857</f>
        <v>0</v>
      </c>
      <c r="AI857" s="44">
        <f>AH857</f>
        <v>0</v>
      </c>
    </row>
    <row r="858" spans="1:35" s="38" customFormat="1">
      <c r="A858" s="990">
        <v>832</v>
      </c>
      <c r="B858" s="990">
        <v>1</v>
      </c>
      <c r="C858" s="990">
        <v>858</v>
      </c>
      <c r="E858" s="1243">
        <v>1</v>
      </c>
      <c r="F858" s="5"/>
      <c r="G858" s="5"/>
      <c r="H858" s="5"/>
      <c r="I858" s="331"/>
      <c r="J858" s="3"/>
      <c r="K858" s="3"/>
      <c r="L858" s="3"/>
      <c r="M858" s="2"/>
      <c r="N858" s="43"/>
      <c r="O858" s="43" t="s">
        <v>120</v>
      </c>
      <c r="P858" s="2"/>
      <c r="Q858" s="2790">
        <v>12</v>
      </c>
      <c r="R858" s="2790">
        <v>11</v>
      </c>
      <c r="S858" s="2790">
        <v>11</v>
      </c>
      <c r="T858" s="2790">
        <v>13</v>
      </c>
      <c r="U858" s="2790">
        <v>13</v>
      </c>
      <c r="V858" s="2790">
        <v>12</v>
      </c>
      <c r="W858" s="2790">
        <v>12</v>
      </c>
      <c r="X858" s="2790">
        <v>12</v>
      </c>
      <c r="Y858" s="2790">
        <v>12</v>
      </c>
      <c r="Z858" s="2790">
        <v>12</v>
      </c>
      <c r="AA858" s="2790">
        <v>13</v>
      </c>
      <c r="AB858" s="2790">
        <v>13</v>
      </c>
      <c r="AC858" s="42">
        <f>S858</f>
        <v>11</v>
      </c>
      <c r="AD858" s="42">
        <f>V858</f>
        <v>12</v>
      </c>
      <c r="AE858" s="42">
        <f>Y858</f>
        <v>12</v>
      </c>
      <c r="AF858" s="42">
        <f>AB858</f>
        <v>13</v>
      </c>
      <c r="AG858" s="42">
        <f>AD858</f>
        <v>12</v>
      </c>
      <c r="AH858" s="42">
        <f>AF858</f>
        <v>13</v>
      </c>
      <c r="AI858" s="42">
        <f>AH858</f>
        <v>13</v>
      </c>
    </row>
    <row r="859" spans="1:35" s="38" customFormat="1">
      <c r="A859" s="990">
        <v>833</v>
      </c>
      <c r="B859" s="990">
        <v>1</v>
      </c>
      <c r="C859" s="990">
        <v>859</v>
      </c>
      <c r="D859" s="1121" t="s">
        <v>999</v>
      </c>
      <c r="E859" s="1243">
        <v>1</v>
      </c>
      <c r="F859" s="5"/>
      <c r="G859" s="5"/>
      <c r="H859" s="5"/>
      <c r="I859" s="331"/>
      <c r="J859" s="52" t="s">
        <v>330</v>
      </c>
      <c r="K859" s="52"/>
      <c r="L859" s="52"/>
      <c r="M859" s="51"/>
      <c r="N859" s="51"/>
      <c r="O859" s="51"/>
      <c r="P859" s="50"/>
      <c r="Q859" s="49">
        <f>SUM(Q860:Q864)</f>
        <v>298</v>
      </c>
      <c r="R859" s="49">
        <f t="shared" ref="R859:AI859" si="535">SUM(R860:R864)</f>
        <v>298</v>
      </c>
      <c r="S859" s="49">
        <f t="shared" si="535"/>
        <v>299</v>
      </c>
      <c r="T859" s="49">
        <f t="shared" si="535"/>
        <v>300</v>
      </c>
      <c r="U859" s="49">
        <f t="shared" si="535"/>
        <v>305</v>
      </c>
      <c r="V859" s="49">
        <f t="shared" si="535"/>
        <v>308</v>
      </c>
      <c r="W859" s="49">
        <f t="shared" si="535"/>
        <v>308</v>
      </c>
      <c r="X859" s="49">
        <f t="shared" si="535"/>
        <v>304</v>
      </c>
      <c r="Y859" s="49">
        <f t="shared" si="535"/>
        <v>308</v>
      </c>
      <c r="Z859" s="49">
        <f t="shared" si="535"/>
        <v>302</v>
      </c>
      <c r="AA859" s="49">
        <f t="shared" si="535"/>
        <v>306</v>
      </c>
      <c r="AB859" s="49">
        <f t="shared" si="535"/>
        <v>308</v>
      </c>
      <c r="AC859" s="49">
        <f t="shared" si="535"/>
        <v>299</v>
      </c>
      <c r="AD859" s="49">
        <f t="shared" si="535"/>
        <v>308</v>
      </c>
      <c r="AE859" s="49">
        <f t="shared" si="535"/>
        <v>308</v>
      </c>
      <c r="AF859" s="49">
        <f t="shared" si="535"/>
        <v>308</v>
      </c>
      <c r="AG859" s="49">
        <f t="shared" si="535"/>
        <v>308</v>
      </c>
      <c r="AH859" s="49">
        <f t="shared" si="535"/>
        <v>308</v>
      </c>
      <c r="AI859" s="49">
        <f t="shared" si="535"/>
        <v>308</v>
      </c>
    </row>
    <row r="860" spans="1:35" s="38" customFormat="1">
      <c r="A860" s="990">
        <v>834</v>
      </c>
      <c r="B860" s="990">
        <v>1</v>
      </c>
      <c r="C860" s="990">
        <v>860</v>
      </c>
      <c r="E860" s="1243">
        <v>1</v>
      </c>
      <c r="F860" s="5"/>
      <c r="G860" s="5"/>
      <c r="H860" s="5"/>
      <c r="I860" s="331"/>
      <c r="J860" s="5"/>
      <c r="K860" s="5"/>
      <c r="L860" s="5"/>
      <c r="M860" s="4"/>
      <c r="N860" s="45"/>
      <c r="O860" s="45" t="s">
        <v>67</v>
      </c>
      <c r="P860" s="4"/>
      <c r="Q860" s="2789">
        <v>261</v>
      </c>
      <c r="R860" s="2789">
        <v>261</v>
      </c>
      <c r="S860" s="2789">
        <v>262</v>
      </c>
      <c r="T860" s="2789">
        <v>263</v>
      </c>
      <c r="U860" s="2789">
        <v>267</v>
      </c>
      <c r="V860" s="2789">
        <v>271</v>
      </c>
      <c r="W860" s="2789">
        <v>269</v>
      </c>
      <c r="X860" s="2789">
        <v>265</v>
      </c>
      <c r="Y860" s="2789">
        <v>269</v>
      </c>
      <c r="Z860" s="2789">
        <v>263</v>
      </c>
      <c r="AA860" s="2789">
        <v>268</v>
      </c>
      <c r="AB860" s="2789">
        <v>269</v>
      </c>
      <c r="AC860" s="44">
        <f>S860</f>
        <v>262</v>
      </c>
      <c r="AD860" s="44">
        <f>V860</f>
        <v>271</v>
      </c>
      <c r="AE860" s="44">
        <f>Y860</f>
        <v>269</v>
      </c>
      <c r="AF860" s="44">
        <f>AB860</f>
        <v>269</v>
      </c>
      <c r="AG860" s="44">
        <f>AD860</f>
        <v>271</v>
      </c>
      <c r="AH860" s="44">
        <f>AF860</f>
        <v>269</v>
      </c>
      <c r="AI860" s="44">
        <f>AH860</f>
        <v>269</v>
      </c>
    </row>
    <row r="861" spans="1:35" s="38" customFormat="1">
      <c r="A861" s="990">
        <v>835</v>
      </c>
      <c r="B861" s="990">
        <v>1</v>
      </c>
      <c r="C861" s="990">
        <v>861</v>
      </c>
      <c r="E861" s="1243">
        <v>1</v>
      </c>
      <c r="F861" s="5"/>
      <c r="G861" s="5"/>
      <c r="H861" s="5"/>
      <c r="I861" s="331"/>
      <c r="J861" s="5"/>
      <c r="K861" s="5"/>
      <c r="L861" s="5"/>
      <c r="M861" s="4"/>
      <c r="N861" s="45"/>
      <c r="O861" s="45" t="s">
        <v>68</v>
      </c>
      <c r="P861" s="4"/>
      <c r="Q861" s="2789"/>
      <c r="R861" s="2789"/>
      <c r="S861" s="2789"/>
      <c r="T861" s="2789"/>
      <c r="U861" s="2789"/>
      <c r="V861" s="2789"/>
      <c r="W861" s="2789"/>
      <c r="X861" s="2789"/>
      <c r="Y861" s="2789"/>
      <c r="Z861" s="2789"/>
      <c r="AA861" s="2789"/>
      <c r="AB861" s="2789"/>
      <c r="AC861" s="44">
        <f>S861</f>
        <v>0</v>
      </c>
      <c r="AD861" s="44">
        <f>V861</f>
        <v>0</v>
      </c>
      <c r="AE861" s="44">
        <f>Y861</f>
        <v>0</v>
      </c>
      <c r="AF861" s="44">
        <f>AB861</f>
        <v>0</v>
      </c>
      <c r="AG861" s="44">
        <f>AD861</f>
        <v>0</v>
      </c>
      <c r="AH861" s="44">
        <f>AF861</f>
        <v>0</v>
      </c>
      <c r="AI861" s="44">
        <f>AH861</f>
        <v>0</v>
      </c>
    </row>
    <row r="862" spans="1:35" s="38" customFormat="1">
      <c r="A862" s="990">
        <v>836</v>
      </c>
      <c r="B862" s="990">
        <v>1</v>
      </c>
      <c r="C862" s="990">
        <v>862</v>
      </c>
      <c r="E862" s="1243">
        <v>1</v>
      </c>
      <c r="F862" s="5"/>
      <c r="G862" s="5"/>
      <c r="H862" s="5"/>
      <c r="I862" s="331"/>
      <c r="J862" s="5"/>
      <c r="K862" s="5"/>
      <c r="L862" s="5"/>
      <c r="M862" s="4"/>
      <c r="N862" s="45"/>
      <c r="O862" s="45" t="s">
        <v>122</v>
      </c>
      <c r="P862" s="4"/>
      <c r="Q862" s="2789">
        <v>26</v>
      </c>
      <c r="R862" s="2789">
        <v>26</v>
      </c>
      <c r="S862" s="2789">
        <v>26</v>
      </c>
      <c r="T862" s="2789">
        <v>26</v>
      </c>
      <c r="U862" s="2789">
        <v>27</v>
      </c>
      <c r="V862" s="2789">
        <v>26</v>
      </c>
      <c r="W862" s="2789">
        <v>27</v>
      </c>
      <c r="X862" s="2789">
        <v>27</v>
      </c>
      <c r="Y862" s="2789">
        <v>27</v>
      </c>
      <c r="Z862" s="2789">
        <v>27</v>
      </c>
      <c r="AA862" s="2789">
        <v>27</v>
      </c>
      <c r="AB862" s="2789">
        <v>28</v>
      </c>
      <c r="AC862" s="44">
        <f>S862</f>
        <v>26</v>
      </c>
      <c r="AD862" s="44">
        <f>V862</f>
        <v>26</v>
      </c>
      <c r="AE862" s="44">
        <f>Y862</f>
        <v>27</v>
      </c>
      <c r="AF862" s="44">
        <f>AB862</f>
        <v>28</v>
      </c>
      <c r="AG862" s="44">
        <f>AD862</f>
        <v>26</v>
      </c>
      <c r="AH862" s="44">
        <f>AF862</f>
        <v>28</v>
      </c>
      <c r="AI862" s="44">
        <f>AH862</f>
        <v>28</v>
      </c>
    </row>
    <row r="863" spans="1:35" s="38" customFormat="1">
      <c r="A863" s="990">
        <v>837</v>
      </c>
      <c r="B863" s="990">
        <v>1</v>
      </c>
      <c r="C863" s="990">
        <v>863</v>
      </c>
      <c r="E863" s="1243">
        <v>1</v>
      </c>
      <c r="F863" s="5"/>
      <c r="G863" s="5"/>
      <c r="H863" s="5"/>
      <c r="I863" s="331"/>
      <c r="J863" s="5"/>
      <c r="K863" s="5"/>
      <c r="L863" s="5"/>
      <c r="M863" s="4"/>
      <c r="N863" s="45"/>
      <c r="O863" s="45" t="s">
        <v>121</v>
      </c>
      <c r="P863" s="4"/>
      <c r="Q863" s="2789"/>
      <c r="R863" s="2789"/>
      <c r="S863" s="2789"/>
      <c r="T863" s="2789"/>
      <c r="U863" s="2789"/>
      <c r="V863" s="2789"/>
      <c r="W863" s="2789"/>
      <c r="X863" s="2789"/>
      <c r="Y863" s="2789"/>
      <c r="Z863" s="2789"/>
      <c r="AA863" s="2789"/>
      <c r="AB863" s="2789"/>
      <c r="AC863" s="44">
        <f>S863</f>
        <v>0</v>
      </c>
      <c r="AD863" s="44">
        <f>V863</f>
        <v>0</v>
      </c>
      <c r="AE863" s="44">
        <f>Y863</f>
        <v>0</v>
      </c>
      <c r="AF863" s="44">
        <f>AB863</f>
        <v>0</v>
      </c>
      <c r="AG863" s="44">
        <f>AD863</f>
        <v>0</v>
      </c>
      <c r="AH863" s="44">
        <f>AF863</f>
        <v>0</v>
      </c>
      <c r="AI863" s="44">
        <f>AH863</f>
        <v>0</v>
      </c>
    </row>
    <row r="864" spans="1:35" s="38" customFormat="1">
      <c r="A864" s="990">
        <v>838</v>
      </c>
      <c r="B864" s="990">
        <v>1</v>
      </c>
      <c r="C864" s="990">
        <v>864</v>
      </c>
      <c r="E864" s="1243">
        <v>1</v>
      </c>
      <c r="F864" s="5"/>
      <c r="G864" s="5"/>
      <c r="H864" s="5"/>
      <c r="I864" s="331"/>
      <c r="J864" s="5"/>
      <c r="K864" s="5"/>
      <c r="L864" s="5"/>
      <c r="M864" s="4"/>
      <c r="N864" s="45"/>
      <c r="O864" s="45" t="s">
        <v>120</v>
      </c>
      <c r="P864" s="4"/>
      <c r="Q864" s="2789">
        <v>11</v>
      </c>
      <c r="R864" s="2789">
        <v>11</v>
      </c>
      <c r="S864" s="2789">
        <v>11</v>
      </c>
      <c r="T864" s="2789">
        <v>11</v>
      </c>
      <c r="U864" s="2789">
        <v>11</v>
      </c>
      <c r="V864" s="2789">
        <v>11</v>
      </c>
      <c r="W864" s="2789">
        <v>12</v>
      </c>
      <c r="X864" s="2789">
        <v>12</v>
      </c>
      <c r="Y864" s="2789">
        <v>12</v>
      </c>
      <c r="Z864" s="2789">
        <v>12</v>
      </c>
      <c r="AA864" s="2789">
        <v>11</v>
      </c>
      <c r="AB864" s="2789">
        <v>11</v>
      </c>
      <c r="AC864" s="44">
        <f>S864</f>
        <v>11</v>
      </c>
      <c r="AD864" s="44">
        <f>V864</f>
        <v>11</v>
      </c>
      <c r="AE864" s="44">
        <f>Y864</f>
        <v>12</v>
      </c>
      <c r="AF864" s="44">
        <f>AB864</f>
        <v>11</v>
      </c>
      <c r="AG864" s="44">
        <f>AD864</f>
        <v>11</v>
      </c>
      <c r="AH864" s="44">
        <f>AF864</f>
        <v>11</v>
      </c>
      <c r="AI864" s="44">
        <f>AH864</f>
        <v>11</v>
      </c>
    </row>
    <row r="865" spans="1:35" s="38" customFormat="1">
      <c r="A865" s="990">
        <v>839</v>
      </c>
      <c r="B865" s="990">
        <v>1</v>
      </c>
      <c r="C865" s="990">
        <v>865</v>
      </c>
      <c r="D865" s="1121" t="s">
        <v>999</v>
      </c>
      <c r="E865" s="1243">
        <v>1</v>
      </c>
      <c r="F865" s="5"/>
      <c r="G865" s="5"/>
      <c r="H865" s="5"/>
      <c r="I865" s="331"/>
      <c r="J865" s="324" t="s">
        <v>331</v>
      </c>
      <c r="K865" s="324"/>
      <c r="L865" s="324"/>
      <c r="M865" s="323"/>
      <c r="N865" s="323"/>
      <c r="O865" s="323"/>
      <c r="P865" s="1203"/>
      <c r="Q865" s="325">
        <f>SUM(Q866:Q869)</f>
        <v>9</v>
      </c>
      <c r="R865" s="325">
        <f t="shared" ref="R865:AI865" si="536">SUM(R866:R869)</f>
        <v>9</v>
      </c>
      <c r="S865" s="325">
        <f t="shared" si="536"/>
        <v>9</v>
      </c>
      <c r="T865" s="325">
        <f t="shared" si="536"/>
        <v>9</v>
      </c>
      <c r="U865" s="325">
        <f t="shared" si="536"/>
        <v>9</v>
      </c>
      <c r="V865" s="325">
        <f t="shared" si="536"/>
        <v>9</v>
      </c>
      <c r="W865" s="325">
        <f t="shared" si="536"/>
        <v>9</v>
      </c>
      <c r="X865" s="325">
        <f t="shared" si="536"/>
        <v>9</v>
      </c>
      <c r="Y865" s="325">
        <f t="shared" si="536"/>
        <v>9</v>
      </c>
      <c r="Z865" s="325">
        <f t="shared" si="536"/>
        <v>9</v>
      </c>
      <c r="AA865" s="325">
        <f t="shared" si="536"/>
        <v>9</v>
      </c>
      <c r="AB865" s="325">
        <f t="shared" si="536"/>
        <v>9</v>
      </c>
      <c r="AC865" s="325">
        <f t="shared" si="536"/>
        <v>9</v>
      </c>
      <c r="AD865" s="325">
        <f t="shared" si="536"/>
        <v>9</v>
      </c>
      <c r="AE865" s="325">
        <f t="shared" si="536"/>
        <v>9</v>
      </c>
      <c r="AF865" s="325">
        <f t="shared" si="536"/>
        <v>9</v>
      </c>
      <c r="AG865" s="325">
        <f t="shared" si="536"/>
        <v>9</v>
      </c>
      <c r="AH865" s="325">
        <f t="shared" si="536"/>
        <v>9</v>
      </c>
      <c r="AI865" s="325">
        <f t="shared" si="536"/>
        <v>9</v>
      </c>
    </row>
    <row r="866" spans="1:35" s="38" customFormat="1">
      <c r="A866" s="990">
        <v>840</v>
      </c>
      <c r="B866" s="990">
        <v>1</v>
      </c>
      <c r="C866" s="990">
        <v>866</v>
      </c>
      <c r="E866" s="1243">
        <v>1</v>
      </c>
      <c r="F866" s="5"/>
      <c r="G866" s="5"/>
      <c r="H866" s="5"/>
      <c r="I866" s="331"/>
      <c r="J866" s="5"/>
      <c r="K866" s="5"/>
      <c r="L866" s="5"/>
      <c r="M866" s="4"/>
      <c r="N866" s="45"/>
      <c r="O866" s="45" t="s">
        <v>323</v>
      </c>
      <c r="P866" s="4"/>
      <c r="Q866" s="2789">
        <v>6</v>
      </c>
      <c r="R866" s="2789">
        <v>6</v>
      </c>
      <c r="S866" s="2789">
        <v>6</v>
      </c>
      <c r="T866" s="2789">
        <v>6</v>
      </c>
      <c r="U866" s="2789">
        <v>6</v>
      </c>
      <c r="V866" s="2789">
        <v>6</v>
      </c>
      <c r="W866" s="2789">
        <v>6</v>
      </c>
      <c r="X866" s="2789">
        <v>6</v>
      </c>
      <c r="Y866" s="2789">
        <v>6</v>
      </c>
      <c r="Z866" s="2789">
        <v>6</v>
      </c>
      <c r="AA866" s="2789">
        <v>6</v>
      </c>
      <c r="AB866" s="2789">
        <v>6</v>
      </c>
      <c r="AC866" s="44">
        <f>S866</f>
        <v>6</v>
      </c>
      <c r="AD866" s="44">
        <f>V866</f>
        <v>6</v>
      </c>
      <c r="AE866" s="44">
        <f>Y866</f>
        <v>6</v>
      </c>
      <c r="AF866" s="44">
        <f>AB866</f>
        <v>6</v>
      </c>
      <c r="AG866" s="44">
        <f>AD866</f>
        <v>6</v>
      </c>
      <c r="AH866" s="44">
        <f>AF866</f>
        <v>6</v>
      </c>
      <c r="AI866" s="44">
        <f>AH866</f>
        <v>6</v>
      </c>
    </row>
    <row r="867" spans="1:35" s="38" customFormat="1">
      <c r="A867" s="990">
        <v>841</v>
      </c>
      <c r="B867" s="990">
        <v>1</v>
      </c>
      <c r="C867" s="990">
        <v>867</v>
      </c>
      <c r="E867" s="1243">
        <v>1</v>
      </c>
      <c r="F867" s="5"/>
      <c r="G867" s="5"/>
      <c r="H867" s="5"/>
      <c r="I867" s="331"/>
      <c r="J867" s="5"/>
      <c r="K867" s="5"/>
      <c r="L867" s="5"/>
      <c r="M867" s="4"/>
      <c r="N867" s="45"/>
      <c r="O867" s="45" t="s">
        <v>324</v>
      </c>
      <c r="P867" s="4"/>
      <c r="Q867" s="2789"/>
      <c r="R867" s="2789"/>
      <c r="S867" s="2789"/>
      <c r="T867" s="2789"/>
      <c r="U867" s="2789"/>
      <c r="V867" s="2789"/>
      <c r="W867" s="2789"/>
      <c r="X867" s="2789"/>
      <c r="Y867" s="2789"/>
      <c r="Z867" s="2789"/>
      <c r="AA867" s="2789"/>
      <c r="AB867" s="2789"/>
      <c r="AC867" s="44">
        <f>S867</f>
        <v>0</v>
      </c>
      <c r="AD867" s="44">
        <f>V867</f>
        <v>0</v>
      </c>
      <c r="AE867" s="44">
        <f>Y867</f>
        <v>0</v>
      </c>
      <c r="AF867" s="44">
        <f>AB867</f>
        <v>0</v>
      </c>
      <c r="AG867" s="44">
        <f>AD867</f>
        <v>0</v>
      </c>
      <c r="AH867" s="44">
        <f>AF867</f>
        <v>0</v>
      </c>
      <c r="AI867" s="44">
        <f>AH867</f>
        <v>0</v>
      </c>
    </row>
    <row r="868" spans="1:35" s="38" customFormat="1">
      <c r="A868" s="990">
        <v>842</v>
      </c>
      <c r="B868" s="990">
        <v>1</v>
      </c>
      <c r="C868" s="990">
        <v>868</v>
      </c>
      <c r="E868" s="1243">
        <v>1</v>
      </c>
      <c r="F868" s="5"/>
      <c r="G868" s="5"/>
      <c r="H868" s="5"/>
      <c r="I868" s="331"/>
      <c r="J868" s="5"/>
      <c r="K868" s="5"/>
      <c r="L868" s="5"/>
      <c r="M868" s="4"/>
      <c r="N868" s="45"/>
      <c r="O868" s="45" t="s">
        <v>325</v>
      </c>
      <c r="P868" s="4"/>
      <c r="Q868" s="2789">
        <v>1</v>
      </c>
      <c r="R868" s="2789">
        <v>1</v>
      </c>
      <c r="S868" s="2789">
        <v>1</v>
      </c>
      <c r="T868" s="2789">
        <v>1</v>
      </c>
      <c r="U868" s="2789">
        <v>1</v>
      </c>
      <c r="V868" s="2789">
        <v>1</v>
      </c>
      <c r="W868" s="2789">
        <v>1</v>
      </c>
      <c r="X868" s="2789">
        <v>1</v>
      </c>
      <c r="Y868" s="2789">
        <v>1</v>
      </c>
      <c r="Z868" s="2789">
        <v>1</v>
      </c>
      <c r="AA868" s="2789">
        <v>1</v>
      </c>
      <c r="AB868" s="2789">
        <v>1</v>
      </c>
      <c r="AC868" s="44">
        <f>S868</f>
        <v>1</v>
      </c>
      <c r="AD868" s="44">
        <f>V868</f>
        <v>1</v>
      </c>
      <c r="AE868" s="44">
        <f>Y868</f>
        <v>1</v>
      </c>
      <c r="AF868" s="44">
        <f>AB868</f>
        <v>1</v>
      </c>
      <c r="AG868" s="44">
        <f>AD868</f>
        <v>1</v>
      </c>
      <c r="AH868" s="44">
        <f>AF868</f>
        <v>1</v>
      </c>
      <c r="AI868" s="44">
        <f>AH868</f>
        <v>1</v>
      </c>
    </row>
    <row r="869" spans="1:35" s="38" customFormat="1">
      <c r="A869" s="990">
        <v>843</v>
      </c>
      <c r="B869" s="990">
        <v>1</v>
      </c>
      <c r="C869" s="990">
        <v>869</v>
      </c>
      <c r="E869" s="1243">
        <v>1</v>
      </c>
      <c r="F869" s="5"/>
      <c r="G869" s="5"/>
      <c r="H869" s="5"/>
      <c r="I869" s="331"/>
      <c r="J869" s="3"/>
      <c r="K869" s="3"/>
      <c r="L869" s="3"/>
      <c r="M869" s="2"/>
      <c r="N869" s="43"/>
      <c r="O869" s="43" t="s">
        <v>326</v>
      </c>
      <c r="P869" s="2"/>
      <c r="Q869" s="2790">
        <v>2</v>
      </c>
      <c r="R869" s="2790">
        <v>2</v>
      </c>
      <c r="S869" s="2790">
        <v>2</v>
      </c>
      <c r="T869" s="2790">
        <v>2</v>
      </c>
      <c r="U869" s="2790">
        <v>2</v>
      </c>
      <c r="V869" s="2790">
        <v>2</v>
      </c>
      <c r="W869" s="2790">
        <v>2</v>
      </c>
      <c r="X869" s="2790">
        <v>2</v>
      </c>
      <c r="Y869" s="2790">
        <v>2</v>
      </c>
      <c r="Z869" s="2790">
        <v>2</v>
      </c>
      <c r="AA869" s="2790">
        <v>2</v>
      </c>
      <c r="AB869" s="2790">
        <v>2</v>
      </c>
      <c r="AC869" s="42">
        <f>S869</f>
        <v>2</v>
      </c>
      <c r="AD869" s="42">
        <f>V869</f>
        <v>2</v>
      </c>
      <c r="AE869" s="42">
        <f>Y869</f>
        <v>2</v>
      </c>
      <c r="AF869" s="42">
        <f>AB869</f>
        <v>2</v>
      </c>
      <c r="AG869" s="42">
        <f>AD869</f>
        <v>2</v>
      </c>
      <c r="AH869" s="42">
        <f>AF869</f>
        <v>2</v>
      </c>
      <c r="AI869" s="42">
        <f>AH869</f>
        <v>2</v>
      </c>
    </row>
    <row r="870" spans="1:35" s="38" customFormat="1">
      <c r="A870" s="990">
        <v>844</v>
      </c>
      <c r="B870" s="990">
        <v>1</v>
      </c>
      <c r="C870" s="990">
        <v>870</v>
      </c>
      <c r="D870" s="1121" t="s">
        <v>999</v>
      </c>
      <c r="E870" s="1243">
        <v>1</v>
      </c>
      <c r="F870" s="5"/>
      <c r="G870" s="5"/>
      <c r="H870" s="5"/>
      <c r="I870" s="331"/>
      <c r="J870" s="52" t="s">
        <v>73</v>
      </c>
      <c r="K870" s="52"/>
      <c r="L870" s="52"/>
      <c r="M870" s="51"/>
      <c r="N870" s="51"/>
      <c r="O870" s="51"/>
      <c r="P870" s="50"/>
      <c r="Q870" s="49">
        <f>SUM(Q871:Q875)</f>
        <v>41</v>
      </c>
      <c r="R870" s="49">
        <f t="shared" ref="R870:AI870" si="537">SUM(R871:R875)</f>
        <v>40</v>
      </c>
      <c r="S870" s="49">
        <f t="shared" si="537"/>
        <v>41</v>
      </c>
      <c r="T870" s="49">
        <f t="shared" si="537"/>
        <v>42</v>
      </c>
      <c r="U870" s="49">
        <f t="shared" si="537"/>
        <v>42</v>
      </c>
      <c r="V870" s="49">
        <f t="shared" si="537"/>
        <v>42</v>
      </c>
      <c r="W870" s="49">
        <f t="shared" si="537"/>
        <v>48</v>
      </c>
      <c r="X870" s="49">
        <f t="shared" si="537"/>
        <v>47</v>
      </c>
      <c r="Y870" s="49">
        <f t="shared" si="537"/>
        <v>47</v>
      </c>
      <c r="Z870" s="49">
        <f t="shared" si="537"/>
        <v>48</v>
      </c>
      <c r="AA870" s="49">
        <f t="shared" si="537"/>
        <v>47</v>
      </c>
      <c r="AB870" s="49">
        <f t="shared" si="537"/>
        <v>48</v>
      </c>
      <c r="AC870" s="49">
        <f t="shared" si="537"/>
        <v>41</v>
      </c>
      <c r="AD870" s="49">
        <f t="shared" si="537"/>
        <v>42</v>
      </c>
      <c r="AE870" s="49">
        <f t="shared" si="537"/>
        <v>47</v>
      </c>
      <c r="AF870" s="49">
        <f t="shared" si="537"/>
        <v>48</v>
      </c>
      <c r="AG870" s="49">
        <f t="shared" si="537"/>
        <v>42</v>
      </c>
      <c r="AH870" s="49">
        <f t="shared" si="537"/>
        <v>48</v>
      </c>
      <c r="AI870" s="49">
        <f t="shared" si="537"/>
        <v>48</v>
      </c>
    </row>
    <row r="871" spans="1:35" s="38" customFormat="1">
      <c r="A871" s="990">
        <v>845</v>
      </c>
      <c r="B871" s="990">
        <v>1</v>
      </c>
      <c r="C871" s="990">
        <v>871</v>
      </c>
      <c r="E871" s="1243">
        <v>1</v>
      </c>
      <c r="F871" s="5"/>
      <c r="G871" s="5"/>
      <c r="H871" s="5"/>
      <c r="I871" s="331"/>
      <c r="J871" s="5"/>
      <c r="K871" s="5"/>
      <c r="L871" s="4"/>
      <c r="M871" s="4"/>
      <c r="N871" s="45"/>
      <c r="O871" s="45" t="s">
        <v>119</v>
      </c>
      <c r="P871" s="1204"/>
      <c r="Q871" s="2789">
        <v>4</v>
      </c>
      <c r="R871" s="2789">
        <v>4</v>
      </c>
      <c r="S871" s="2789">
        <v>4</v>
      </c>
      <c r="T871" s="2789">
        <v>4</v>
      </c>
      <c r="U871" s="2789">
        <v>4</v>
      </c>
      <c r="V871" s="2789">
        <v>4</v>
      </c>
      <c r="W871" s="2789">
        <v>4</v>
      </c>
      <c r="X871" s="2789">
        <v>4</v>
      </c>
      <c r="Y871" s="2789">
        <v>5</v>
      </c>
      <c r="Z871" s="2789">
        <v>5</v>
      </c>
      <c r="AA871" s="2789">
        <v>5</v>
      </c>
      <c r="AB871" s="2789">
        <v>5</v>
      </c>
      <c r="AC871" s="44">
        <f>S871</f>
        <v>4</v>
      </c>
      <c r="AD871" s="44">
        <f>V871</f>
        <v>4</v>
      </c>
      <c r="AE871" s="44">
        <f>Y871</f>
        <v>5</v>
      </c>
      <c r="AF871" s="44">
        <f>AB871</f>
        <v>5</v>
      </c>
      <c r="AG871" s="44">
        <f>AD871</f>
        <v>4</v>
      </c>
      <c r="AH871" s="44">
        <f>AF871</f>
        <v>5</v>
      </c>
      <c r="AI871" s="44">
        <f>AH871</f>
        <v>5</v>
      </c>
    </row>
    <row r="872" spans="1:35" s="38" customFormat="1">
      <c r="A872" s="990">
        <v>846</v>
      </c>
      <c r="B872" s="990">
        <v>1</v>
      </c>
      <c r="C872" s="990">
        <v>872</v>
      </c>
      <c r="E872" s="1243">
        <v>1</v>
      </c>
      <c r="F872" s="5"/>
      <c r="G872" s="5"/>
      <c r="H872" s="5"/>
      <c r="I872" s="331"/>
      <c r="J872" s="5"/>
      <c r="K872" s="5"/>
      <c r="L872" s="4"/>
      <c r="M872" s="4"/>
      <c r="N872" s="45"/>
      <c r="O872" s="45" t="s">
        <v>75</v>
      </c>
      <c r="P872" s="1204"/>
      <c r="Q872" s="2789">
        <v>29</v>
      </c>
      <c r="R872" s="2789">
        <v>28</v>
      </c>
      <c r="S872" s="2789">
        <v>29</v>
      </c>
      <c r="T872" s="2789">
        <v>30</v>
      </c>
      <c r="U872" s="2789">
        <v>30</v>
      </c>
      <c r="V872" s="2789">
        <v>29</v>
      </c>
      <c r="W872" s="2789">
        <v>30</v>
      </c>
      <c r="X872" s="2789">
        <v>29</v>
      </c>
      <c r="Y872" s="2789">
        <v>28</v>
      </c>
      <c r="Z872" s="2789">
        <v>28</v>
      </c>
      <c r="AA872" s="2789">
        <v>27</v>
      </c>
      <c r="AB872" s="2789">
        <v>28</v>
      </c>
      <c r="AC872" s="44">
        <f>S872</f>
        <v>29</v>
      </c>
      <c r="AD872" s="44">
        <f>V872</f>
        <v>29</v>
      </c>
      <c r="AE872" s="44">
        <f>Y872</f>
        <v>28</v>
      </c>
      <c r="AF872" s="44">
        <f>AB872</f>
        <v>28</v>
      </c>
      <c r="AG872" s="44">
        <f>AD872</f>
        <v>29</v>
      </c>
      <c r="AH872" s="44">
        <f>AF872</f>
        <v>28</v>
      </c>
      <c r="AI872" s="44">
        <f>AH872</f>
        <v>28</v>
      </c>
    </row>
    <row r="873" spans="1:35" s="38" customFormat="1">
      <c r="A873" s="990">
        <v>847</v>
      </c>
      <c r="B873" s="990">
        <v>1</v>
      </c>
      <c r="C873" s="990">
        <v>873</v>
      </c>
      <c r="E873" s="1243">
        <v>1</v>
      </c>
      <c r="F873" s="5"/>
      <c r="G873" s="5"/>
      <c r="H873" s="5"/>
      <c r="I873" s="331"/>
      <c r="J873" s="5"/>
      <c r="K873" s="5"/>
      <c r="L873" s="4"/>
      <c r="M873" s="4"/>
      <c r="N873" s="45"/>
      <c r="O873" s="45" t="s">
        <v>76</v>
      </c>
      <c r="P873" s="1204"/>
      <c r="Q873" s="2789">
        <v>3</v>
      </c>
      <c r="R873" s="2789">
        <v>3</v>
      </c>
      <c r="S873" s="2789">
        <v>3</v>
      </c>
      <c r="T873" s="2789">
        <v>3</v>
      </c>
      <c r="U873" s="2789">
        <v>3</v>
      </c>
      <c r="V873" s="2789">
        <v>3</v>
      </c>
      <c r="W873" s="2789">
        <v>4</v>
      </c>
      <c r="X873" s="2789">
        <v>4</v>
      </c>
      <c r="Y873" s="2789">
        <v>4</v>
      </c>
      <c r="Z873" s="2789">
        <v>4</v>
      </c>
      <c r="AA873" s="2789">
        <v>4</v>
      </c>
      <c r="AB873" s="2789">
        <v>4</v>
      </c>
      <c r="AC873" s="44">
        <f>S873</f>
        <v>3</v>
      </c>
      <c r="AD873" s="44">
        <f>V873</f>
        <v>3</v>
      </c>
      <c r="AE873" s="44">
        <f>Y873</f>
        <v>4</v>
      </c>
      <c r="AF873" s="44">
        <f>AB873</f>
        <v>4</v>
      </c>
      <c r="AG873" s="44">
        <f>AD873</f>
        <v>3</v>
      </c>
      <c r="AH873" s="44">
        <f>AF873</f>
        <v>4</v>
      </c>
      <c r="AI873" s="44">
        <f>AH873</f>
        <v>4</v>
      </c>
    </row>
    <row r="874" spans="1:35" s="38" customFormat="1">
      <c r="A874" s="990">
        <v>848</v>
      </c>
      <c r="B874" s="990">
        <v>1</v>
      </c>
      <c r="C874" s="990">
        <v>874</v>
      </c>
      <c r="E874" s="1243">
        <v>1</v>
      </c>
      <c r="F874" s="5"/>
      <c r="G874" s="5"/>
      <c r="H874" s="5"/>
      <c r="I874" s="331"/>
      <c r="J874" s="5"/>
      <c r="K874" s="5"/>
      <c r="L874" s="4"/>
      <c r="M874" s="4"/>
      <c r="N874" s="45"/>
      <c r="O874" s="45" t="s">
        <v>77</v>
      </c>
      <c r="P874" s="1204"/>
      <c r="Q874" s="2789"/>
      <c r="R874" s="2789"/>
      <c r="S874" s="2789"/>
      <c r="T874" s="2030"/>
      <c r="U874" s="2789"/>
      <c r="V874" s="2789"/>
      <c r="W874" s="2789"/>
      <c r="X874" s="2789"/>
      <c r="Y874" s="2789"/>
      <c r="Z874" s="2789"/>
      <c r="AA874" s="2030"/>
      <c r="AB874" s="2789"/>
      <c r="AC874" s="44">
        <f>S874</f>
        <v>0</v>
      </c>
      <c r="AD874" s="44">
        <f>V874</f>
        <v>0</v>
      </c>
      <c r="AE874" s="44">
        <f>Y874</f>
        <v>0</v>
      </c>
      <c r="AF874" s="44">
        <f>AB874</f>
        <v>0</v>
      </c>
      <c r="AG874" s="44">
        <f>AD874</f>
        <v>0</v>
      </c>
      <c r="AH874" s="44">
        <f>AF874</f>
        <v>0</v>
      </c>
      <c r="AI874" s="44">
        <f>AH874</f>
        <v>0</v>
      </c>
    </row>
    <row r="875" spans="1:35" s="38" customFormat="1">
      <c r="A875" s="990">
        <v>849</v>
      </c>
      <c r="B875" s="990">
        <v>1</v>
      </c>
      <c r="C875" s="990">
        <v>875</v>
      </c>
      <c r="E875" s="1243">
        <v>1</v>
      </c>
      <c r="F875" s="5"/>
      <c r="G875" s="5"/>
      <c r="H875" s="5"/>
      <c r="I875" s="331"/>
      <c r="J875" s="5"/>
      <c r="K875" s="5"/>
      <c r="L875" s="4"/>
      <c r="M875" s="4"/>
      <c r="N875" s="45"/>
      <c r="O875" s="45" t="s">
        <v>11</v>
      </c>
      <c r="P875" s="1204"/>
      <c r="Q875" s="2789">
        <v>5</v>
      </c>
      <c r="R875" s="2789">
        <v>5</v>
      </c>
      <c r="S875" s="2789">
        <v>5</v>
      </c>
      <c r="T875" s="2789">
        <v>5</v>
      </c>
      <c r="U875" s="2789">
        <v>5</v>
      </c>
      <c r="V875" s="2789">
        <v>6</v>
      </c>
      <c r="W875" s="2789">
        <v>10</v>
      </c>
      <c r="X875" s="2789">
        <v>10</v>
      </c>
      <c r="Y875" s="2789">
        <v>10</v>
      </c>
      <c r="Z875" s="2789">
        <v>11</v>
      </c>
      <c r="AA875" s="2030">
        <v>11</v>
      </c>
      <c r="AB875" s="2789">
        <v>11</v>
      </c>
      <c r="AC875" s="44">
        <f>S875</f>
        <v>5</v>
      </c>
      <c r="AD875" s="44">
        <f>V875</f>
        <v>6</v>
      </c>
      <c r="AE875" s="44">
        <f>Y875</f>
        <v>10</v>
      </c>
      <c r="AF875" s="44">
        <f>AB875</f>
        <v>11</v>
      </c>
      <c r="AG875" s="44">
        <f>AD875</f>
        <v>6</v>
      </c>
      <c r="AH875" s="44">
        <f>AF875</f>
        <v>11</v>
      </c>
      <c r="AI875" s="44">
        <f>AH875</f>
        <v>11</v>
      </c>
    </row>
    <row r="876" spans="1:35" s="38" customFormat="1">
      <c r="A876" s="990">
        <v>850</v>
      </c>
      <c r="B876" s="990">
        <v>1</v>
      </c>
      <c r="C876" s="990">
        <v>876</v>
      </c>
      <c r="D876" s="1121" t="s">
        <v>999</v>
      </c>
      <c r="E876" s="1243">
        <v>1</v>
      </c>
      <c r="F876" s="5"/>
      <c r="G876" s="5"/>
      <c r="H876" s="5"/>
      <c r="I876" s="331"/>
      <c r="J876" s="324" t="s">
        <v>332</v>
      </c>
      <c r="K876" s="324"/>
      <c r="L876" s="324"/>
      <c r="M876" s="323"/>
      <c r="N876" s="323"/>
      <c r="O876" s="323"/>
      <c r="P876" s="1203"/>
      <c r="Q876" s="325">
        <f>SUM(Q877:Q879)</f>
        <v>24</v>
      </c>
      <c r="R876" s="325">
        <f t="shared" ref="R876:AI876" si="538">SUM(R877:R879)</f>
        <v>24</v>
      </c>
      <c r="S876" s="325">
        <f t="shared" si="538"/>
        <v>24</v>
      </c>
      <c r="T876" s="325">
        <f t="shared" si="538"/>
        <v>24</v>
      </c>
      <c r="U876" s="325">
        <f t="shared" si="538"/>
        <v>23</v>
      </c>
      <c r="V876" s="325">
        <f t="shared" si="538"/>
        <v>23</v>
      </c>
      <c r="W876" s="325">
        <f t="shared" si="538"/>
        <v>22</v>
      </c>
      <c r="X876" s="325">
        <f t="shared" si="538"/>
        <v>23</v>
      </c>
      <c r="Y876" s="325">
        <f t="shared" si="538"/>
        <v>24</v>
      </c>
      <c r="Z876" s="325">
        <f t="shared" si="538"/>
        <v>24</v>
      </c>
      <c r="AA876" s="325">
        <f t="shared" si="538"/>
        <v>24</v>
      </c>
      <c r="AB876" s="325">
        <f t="shared" si="538"/>
        <v>24</v>
      </c>
      <c r="AC876" s="325">
        <f t="shared" si="538"/>
        <v>24</v>
      </c>
      <c r="AD876" s="325">
        <f t="shared" si="538"/>
        <v>23</v>
      </c>
      <c r="AE876" s="325">
        <f t="shared" si="538"/>
        <v>24</v>
      </c>
      <c r="AF876" s="325">
        <f t="shared" si="538"/>
        <v>24</v>
      </c>
      <c r="AG876" s="325">
        <f t="shared" si="538"/>
        <v>23</v>
      </c>
      <c r="AH876" s="325">
        <f t="shared" si="538"/>
        <v>24</v>
      </c>
      <c r="AI876" s="325">
        <f t="shared" si="538"/>
        <v>24</v>
      </c>
    </row>
    <row r="877" spans="1:35" s="38" customFormat="1">
      <c r="A877" s="990">
        <v>851</v>
      </c>
      <c r="B877" s="990">
        <v>1</v>
      </c>
      <c r="C877" s="990">
        <v>877</v>
      </c>
      <c r="E877" s="1243">
        <v>1</v>
      </c>
      <c r="F877" s="5"/>
      <c r="G877" s="5"/>
      <c r="H877" s="5"/>
      <c r="I877" s="331"/>
      <c r="J877" s="5"/>
      <c r="K877" s="5"/>
      <c r="L877" s="4"/>
      <c r="M877" s="4"/>
      <c r="N877" s="45"/>
      <c r="O877" s="45" t="s">
        <v>79</v>
      </c>
      <c r="P877" s="1204"/>
      <c r="Q877" s="2789">
        <v>10</v>
      </c>
      <c r="R877" s="2789">
        <v>10</v>
      </c>
      <c r="S877" s="2789">
        <v>10</v>
      </c>
      <c r="T877" s="2789">
        <v>10</v>
      </c>
      <c r="U877" s="2789">
        <v>10</v>
      </c>
      <c r="V877" s="2789">
        <v>10</v>
      </c>
      <c r="W877" s="2789">
        <v>9</v>
      </c>
      <c r="X877" s="2789">
        <v>10</v>
      </c>
      <c r="Y877" s="2789">
        <v>10</v>
      </c>
      <c r="Z877" s="2789">
        <v>10</v>
      </c>
      <c r="AA877" s="2789">
        <v>10</v>
      </c>
      <c r="AB877" s="2789">
        <v>10</v>
      </c>
      <c r="AC877" s="44">
        <f>S877</f>
        <v>10</v>
      </c>
      <c r="AD877" s="44">
        <f>V877</f>
        <v>10</v>
      </c>
      <c r="AE877" s="44">
        <f>Y877</f>
        <v>10</v>
      </c>
      <c r="AF877" s="44">
        <f>AB877</f>
        <v>10</v>
      </c>
      <c r="AG877" s="44">
        <f>AD877</f>
        <v>10</v>
      </c>
      <c r="AH877" s="44">
        <f>AF877</f>
        <v>10</v>
      </c>
      <c r="AI877" s="44">
        <f>AH877</f>
        <v>10</v>
      </c>
    </row>
    <row r="878" spans="1:35" s="38" customFormat="1">
      <c r="A878" s="990">
        <v>852</v>
      </c>
      <c r="B878" s="990">
        <v>1</v>
      </c>
      <c r="C878" s="990">
        <v>878</v>
      </c>
      <c r="E878" s="1243">
        <v>1</v>
      </c>
      <c r="F878" s="5"/>
      <c r="G878" s="5"/>
      <c r="H878" s="5"/>
      <c r="I878" s="331"/>
      <c r="J878" s="5"/>
      <c r="K878" s="5"/>
      <c r="L878" s="4"/>
      <c r="M878" s="4"/>
      <c r="N878" s="45"/>
      <c r="O878" s="45" t="s">
        <v>80</v>
      </c>
      <c r="P878" s="1204"/>
      <c r="Q878" s="2789">
        <v>14</v>
      </c>
      <c r="R878" s="2789">
        <v>14</v>
      </c>
      <c r="S878" s="2789">
        <v>14</v>
      </c>
      <c r="T878" s="2789">
        <v>14</v>
      </c>
      <c r="U878" s="2789">
        <v>13</v>
      </c>
      <c r="V878" s="2789">
        <v>13</v>
      </c>
      <c r="W878" s="2789">
        <v>13</v>
      </c>
      <c r="X878" s="2789">
        <v>13</v>
      </c>
      <c r="Y878" s="2789">
        <v>14</v>
      </c>
      <c r="Z878" s="2789">
        <v>14</v>
      </c>
      <c r="AA878" s="2789">
        <v>14</v>
      </c>
      <c r="AB878" s="2789">
        <v>14</v>
      </c>
      <c r="AC878" s="44">
        <f>S878</f>
        <v>14</v>
      </c>
      <c r="AD878" s="44">
        <f>V878</f>
        <v>13</v>
      </c>
      <c r="AE878" s="44">
        <f>Y878</f>
        <v>14</v>
      </c>
      <c r="AF878" s="44">
        <f>AB878</f>
        <v>14</v>
      </c>
      <c r="AG878" s="44">
        <f>AD878</f>
        <v>13</v>
      </c>
      <c r="AH878" s="44">
        <f>AF878</f>
        <v>14</v>
      </c>
      <c r="AI878" s="44">
        <f>AH878</f>
        <v>14</v>
      </c>
    </row>
    <row r="879" spans="1:35" s="38" customFormat="1">
      <c r="A879" s="990">
        <v>853</v>
      </c>
      <c r="B879" s="990">
        <v>1</v>
      </c>
      <c r="C879" s="990">
        <v>879</v>
      </c>
      <c r="E879" s="1243">
        <v>1</v>
      </c>
      <c r="F879" s="5"/>
      <c r="G879" s="5"/>
      <c r="H879" s="5"/>
      <c r="I879" s="332"/>
      <c r="J879" s="3"/>
      <c r="K879" s="3"/>
      <c r="L879" s="2"/>
      <c r="M879" s="2"/>
      <c r="N879" s="43"/>
      <c r="O879" s="43" t="s">
        <v>81</v>
      </c>
      <c r="P879" s="1205"/>
      <c r="Q879" s="2029"/>
      <c r="R879" s="2029"/>
      <c r="S879" s="2029"/>
      <c r="T879" s="2790"/>
      <c r="U879" s="2029"/>
      <c r="V879" s="2790"/>
      <c r="W879" s="2029"/>
      <c r="X879" s="2029"/>
      <c r="Y879" s="2029"/>
      <c r="Z879" s="2790"/>
      <c r="AA879" s="2029"/>
      <c r="AB879" s="2029"/>
      <c r="AC879" s="42">
        <f>S879</f>
        <v>0</v>
      </c>
      <c r="AD879" s="42">
        <f>V879</f>
        <v>0</v>
      </c>
      <c r="AE879" s="42">
        <f>Y879</f>
        <v>0</v>
      </c>
      <c r="AF879" s="42">
        <f>AB879</f>
        <v>0</v>
      </c>
      <c r="AG879" s="42">
        <f>AD879</f>
        <v>0</v>
      </c>
      <c r="AH879" s="42">
        <f>AF879</f>
        <v>0</v>
      </c>
      <c r="AI879" s="42">
        <f>AH879</f>
        <v>0</v>
      </c>
    </row>
    <row r="880" spans="1:35" s="38" customFormat="1">
      <c r="A880" s="990">
        <v>854</v>
      </c>
      <c r="B880" s="990">
        <v>1</v>
      </c>
      <c r="C880" s="990">
        <v>880</v>
      </c>
      <c r="D880" s="1121" t="s">
        <v>999</v>
      </c>
      <c r="E880" s="1243">
        <v>1</v>
      </c>
      <c r="F880" s="5"/>
      <c r="G880" s="5"/>
      <c r="H880" s="5"/>
      <c r="I880" s="318" t="s">
        <v>1110</v>
      </c>
      <c r="J880" s="319"/>
      <c r="K880" s="320"/>
      <c r="L880" s="320"/>
      <c r="M880" s="319"/>
      <c r="N880" s="319"/>
      <c r="O880" s="319"/>
      <c r="P880" s="321"/>
      <c r="Q880" s="2050">
        <v>1</v>
      </c>
      <c r="R880" s="2088">
        <v>1</v>
      </c>
      <c r="S880" s="2088">
        <v>1</v>
      </c>
      <c r="T880" s="2088">
        <v>1</v>
      </c>
      <c r="U880" s="2088">
        <v>1</v>
      </c>
      <c r="V880" s="2088">
        <v>1</v>
      </c>
      <c r="W880" s="2088">
        <v>1</v>
      </c>
      <c r="X880" s="2050">
        <v>1</v>
      </c>
      <c r="Y880" s="2050">
        <v>1</v>
      </c>
      <c r="Z880" s="2088">
        <v>1</v>
      </c>
      <c r="AA880" s="2050">
        <v>1</v>
      </c>
      <c r="AB880" s="2088">
        <v>1</v>
      </c>
      <c r="AC880" s="2527">
        <f>S880</f>
        <v>1</v>
      </c>
      <c r="AD880" s="2527">
        <f>V880</f>
        <v>1</v>
      </c>
      <c r="AE880" s="2527">
        <f>Y880</f>
        <v>1</v>
      </c>
      <c r="AF880" s="2527">
        <f>AB880</f>
        <v>1</v>
      </c>
      <c r="AG880" s="2527">
        <f>AD880</f>
        <v>1</v>
      </c>
      <c r="AH880" s="2527">
        <f>AF880</f>
        <v>1</v>
      </c>
      <c r="AI880" s="2527">
        <f>AH880</f>
        <v>1</v>
      </c>
    </row>
    <row r="881" spans="1:35" s="38" customFormat="1">
      <c r="A881" s="990">
        <v>855</v>
      </c>
      <c r="B881" s="990">
        <v>1</v>
      </c>
      <c r="C881" s="990">
        <v>881</v>
      </c>
      <c r="D881" s="1121" t="s">
        <v>999</v>
      </c>
      <c r="E881" s="1243">
        <v>1</v>
      </c>
      <c r="F881" s="5"/>
      <c r="G881" s="5"/>
      <c r="H881" s="5"/>
      <c r="I881" s="5"/>
      <c r="J881" s="4"/>
      <c r="K881" s="5"/>
      <c r="L881" s="5"/>
      <c r="M881" s="4"/>
      <c r="N881" s="4"/>
      <c r="O881" s="4"/>
      <c r="P881" s="4"/>
      <c r="Q881" s="1151"/>
      <c r="R881" s="1151"/>
      <c r="S881" s="1151"/>
      <c r="T881" s="1151"/>
      <c r="U881" s="1151"/>
      <c r="V881" s="1151"/>
      <c r="W881" s="1151"/>
      <c r="X881" s="1151"/>
      <c r="Y881" s="1151"/>
      <c r="Z881" s="1151"/>
    </row>
    <row r="882" spans="1:35" s="38" customFormat="1">
      <c r="A882" s="990">
        <v>856</v>
      </c>
      <c r="B882" s="990">
        <v>1</v>
      </c>
      <c r="C882" s="990">
        <v>882</v>
      </c>
      <c r="D882" s="1121" t="s">
        <v>999</v>
      </c>
      <c r="E882" s="1243">
        <v>1</v>
      </c>
      <c r="F882" s="5"/>
      <c r="G882" s="5"/>
      <c r="H882" s="5" t="s">
        <v>1038</v>
      </c>
      <c r="I882" s="5"/>
      <c r="J882" s="4"/>
      <c r="K882" s="5"/>
      <c r="L882" s="5"/>
      <c r="M882" s="4"/>
      <c r="N882" s="4"/>
      <c r="O882" s="4"/>
      <c r="P882" s="4"/>
      <c r="Q882" s="1151"/>
      <c r="R882" s="1151"/>
      <c r="S882" s="1151"/>
      <c r="T882" s="1151"/>
      <c r="U882" s="1151"/>
      <c r="V882" s="1151"/>
      <c r="W882" s="1151"/>
      <c r="X882" s="1151"/>
      <c r="Y882" s="1151"/>
      <c r="Z882" s="1151"/>
    </row>
    <row r="883" spans="1:35" s="820" customFormat="1">
      <c r="A883" s="990">
        <v>857</v>
      </c>
      <c r="B883" s="990">
        <v>1</v>
      </c>
      <c r="C883" s="990">
        <v>883</v>
      </c>
      <c r="D883" s="1121" t="s">
        <v>999</v>
      </c>
      <c r="E883" s="1243">
        <v>1</v>
      </c>
      <c r="F883" s="815"/>
      <c r="G883" s="815"/>
      <c r="H883" s="816"/>
      <c r="I883" s="826" t="s">
        <v>328</v>
      </c>
      <c r="J883" s="827"/>
      <c r="K883" s="828"/>
      <c r="L883" s="828"/>
      <c r="M883" s="828"/>
      <c r="N883" s="828"/>
      <c r="O883" s="828"/>
      <c r="P883" s="1052"/>
      <c r="Q883" s="455">
        <f>Q884+Q889+Q895+Q900+Q906</f>
        <v>21</v>
      </c>
      <c r="R883" s="455">
        <f t="shared" ref="R883:AI883" si="539">R884+R889+R895+R900+R906</f>
        <v>21</v>
      </c>
      <c r="S883" s="455">
        <f t="shared" si="539"/>
        <v>20</v>
      </c>
      <c r="T883" s="455">
        <f t="shared" si="539"/>
        <v>21</v>
      </c>
      <c r="U883" s="455">
        <f t="shared" si="539"/>
        <v>22</v>
      </c>
      <c r="V883" s="455">
        <f t="shared" si="539"/>
        <v>22</v>
      </c>
      <c r="W883" s="455">
        <f t="shared" si="539"/>
        <v>21</v>
      </c>
      <c r="X883" s="455">
        <f t="shared" si="539"/>
        <v>21</v>
      </c>
      <c r="Y883" s="455">
        <f t="shared" si="539"/>
        <v>21</v>
      </c>
      <c r="Z883" s="455">
        <f t="shared" si="539"/>
        <v>21</v>
      </c>
      <c r="AA883" s="455">
        <f t="shared" si="539"/>
        <v>21</v>
      </c>
      <c r="AB883" s="455">
        <f t="shared" si="539"/>
        <v>21</v>
      </c>
      <c r="AC883" s="455">
        <f t="shared" si="539"/>
        <v>20</v>
      </c>
      <c r="AD883" s="455">
        <f t="shared" si="539"/>
        <v>22</v>
      </c>
      <c r="AE883" s="455">
        <f t="shared" si="539"/>
        <v>21</v>
      </c>
      <c r="AF883" s="455">
        <f t="shared" si="539"/>
        <v>21</v>
      </c>
      <c r="AG883" s="455">
        <f t="shared" si="539"/>
        <v>22</v>
      </c>
      <c r="AH883" s="455">
        <f t="shared" si="539"/>
        <v>21</v>
      </c>
      <c r="AI883" s="455">
        <f t="shared" si="539"/>
        <v>21</v>
      </c>
    </row>
    <row r="884" spans="1:35" s="38" customFormat="1">
      <c r="A884" s="990">
        <v>858</v>
      </c>
      <c r="B884" s="990">
        <v>1</v>
      </c>
      <c r="C884" s="990">
        <v>884</v>
      </c>
      <c r="D884" s="1121" t="s">
        <v>999</v>
      </c>
      <c r="E884" s="1243">
        <v>1</v>
      </c>
      <c r="F884" s="5"/>
      <c r="G884" s="5"/>
      <c r="H884" s="5"/>
      <c r="I884" s="456"/>
      <c r="J884" s="52" t="s">
        <v>62</v>
      </c>
      <c r="K884" s="51"/>
      <c r="L884" s="52"/>
      <c r="M884" s="52"/>
      <c r="N884" s="51"/>
      <c r="O884" s="51"/>
      <c r="P884" s="50"/>
      <c r="Q884" s="49">
        <f>SUM(Q885:Q888)</f>
        <v>5</v>
      </c>
      <c r="R884" s="49">
        <f t="shared" ref="R884:AI884" si="540">SUM(R885:R888)</f>
        <v>5</v>
      </c>
      <c r="S884" s="49">
        <f t="shared" si="540"/>
        <v>4</v>
      </c>
      <c r="T884" s="49">
        <f t="shared" si="540"/>
        <v>5</v>
      </c>
      <c r="U884" s="49">
        <f t="shared" si="540"/>
        <v>5</v>
      </c>
      <c r="V884" s="49">
        <f t="shared" si="540"/>
        <v>5</v>
      </c>
      <c r="W884" s="49">
        <f t="shared" si="540"/>
        <v>5</v>
      </c>
      <c r="X884" s="49">
        <f t="shared" si="540"/>
        <v>5</v>
      </c>
      <c r="Y884" s="49">
        <f t="shared" si="540"/>
        <v>5</v>
      </c>
      <c r="Z884" s="49">
        <f t="shared" si="540"/>
        <v>5</v>
      </c>
      <c r="AA884" s="49">
        <f t="shared" si="540"/>
        <v>5</v>
      </c>
      <c r="AB884" s="49">
        <f t="shared" si="540"/>
        <v>5</v>
      </c>
      <c r="AC884" s="49">
        <f t="shared" si="540"/>
        <v>4</v>
      </c>
      <c r="AD884" s="49">
        <f t="shared" si="540"/>
        <v>5</v>
      </c>
      <c r="AE884" s="49">
        <f t="shared" si="540"/>
        <v>5</v>
      </c>
      <c r="AF884" s="49">
        <f t="shared" si="540"/>
        <v>5</v>
      </c>
      <c r="AG884" s="49">
        <f t="shared" si="540"/>
        <v>5</v>
      </c>
      <c r="AH884" s="49">
        <f t="shared" si="540"/>
        <v>5</v>
      </c>
      <c r="AI884" s="49">
        <f t="shared" si="540"/>
        <v>5</v>
      </c>
    </row>
    <row r="885" spans="1:35" s="38" customFormat="1">
      <c r="A885" s="990">
        <v>859</v>
      </c>
      <c r="B885" s="990">
        <v>1</v>
      </c>
      <c r="C885" s="990">
        <v>885</v>
      </c>
      <c r="E885" s="1243">
        <v>1</v>
      </c>
      <c r="F885" s="5"/>
      <c r="G885" s="5"/>
      <c r="H885" s="5"/>
      <c r="I885" s="456"/>
      <c r="J885" s="5"/>
      <c r="K885" s="4"/>
      <c r="L885" s="5"/>
      <c r="M885" s="5"/>
      <c r="N885" s="45"/>
      <c r="O885" s="45" t="s">
        <v>125</v>
      </c>
      <c r="P885" s="4"/>
      <c r="Q885" s="2789">
        <v>4</v>
      </c>
      <c r="R885" s="2789">
        <v>4</v>
      </c>
      <c r="S885" s="2789">
        <v>3</v>
      </c>
      <c r="T885" s="2789">
        <v>4</v>
      </c>
      <c r="U885" s="2789">
        <v>4</v>
      </c>
      <c r="V885" s="2789">
        <v>4</v>
      </c>
      <c r="W885" s="2789">
        <v>4</v>
      </c>
      <c r="X885" s="2789">
        <v>4</v>
      </c>
      <c r="Y885" s="2789">
        <v>4</v>
      </c>
      <c r="Z885" s="2789">
        <v>4</v>
      </c>
      <c r="AA885" s="2789">
        <v>4</v>
      </c>
      <c r="AB885" s="2789">
        <v>4</v>
      </c>
      <c r="AC885" s="44">
        <f>S885</f>
        <v>3</v>
      </c>
      <c r="AD885" s="44">
        <f>V885</f>
        <v>4</v>
      </c>
      <c r="AE885" s="44">
        <f>Y885</f>
        <v>4</v>
      </c>
      <c r="AF885" s="44">
        <f>AB885</f>
        <v>4</v>
      </c>
      <c r="AG885" s="44">
        <f>AD885</f>
        <v>4</v>
      </c>
      <c r="AH885" s="44">
        <f>AF885</f>
        <v>4</v>
      </c>
      <c r="AI885" s="44">
        <f>AH885</f>
        <v>4</v>
      </c>
    </row>
    <row r="886" spans="1:35" s="38" customFormat="1">
      <c r="A886" s="990">
        <v>860</v>
      </c>
      <c r="B886" s="990">
        <v>1</v>
      </c>
      <c r="C886" s="990">
        <v>886</v>
      </c>
      <c r="E886" s="1243">
        <v>1</v>
      </c>
      <c r="F886" s="5"/>
      <c r="G886" s="5"/>
      <c r="H886" s="5"/>
      <c r="I886" s="456"/>
      <c r="J886" s="5"/>
      <c r="K886" s="4"/>
      <c r="L886" s="5"/>
      <c r="M886" s="5"/>
      <c r="N886" s="45"/>
      <c r="O886" s="45" t="s">
        <v>124</v>
      </c>
      <c r="P886" s="4"/>
      <c r="Q886" s="2789"/>
      <c r="R886" s="2789"/>
      <c r="S886" s="2789"/>
      <c r="T886" s="2789"/>
      <c r="U886" s="2789"/>
      <c r="V886" s="2789"/>
      <c r="W886" s="2789"/>
      <c r="X886" s="2789"/>
      <c r="Y886" s="2789"/>
      <c r="Z886" s="2789"/>
      <c r="AA886" s="2789"/>
      <c r="AB886" s="2789"/>
      <c r="AC886" s="44">
        <f>S886</f>
        <v>0</v>
      </c>
      <c r="AD886" s="44">
        <f>V886</f>
        <v>0</v>
      </c>
      <c r="AE886" s="44">
        <f>Y886</f>
        <v>0</v>
      </c>
      <c r="AF886" s="44">
        <f>AB886</f>
        <v>0</v>
      </c>
      <c r="AG886" s="44">
        <f>AD886</f>
        <v>0</v>
      </c>
      <c r="AH886" s="44">
        <f>AF886</f>
        <v>0</v>
      </c>
      <c r="AI886" s="44">
        <f>AH886</f>
        <v>0</v>
      </c>
    </row>
    <row r="887" spans="1:35" s="38" customFormat="1">
      <c r="A887" s="990">
        <v>861</v>
      </c>
      <c r="B887" s="990">
        <v>1</v>
      </c>
      <c r="C887" s="990">
        <v>887</v>
      </c>
      <c r="E887" s="1243">
        <v>1</v>
      </c>
      <c r="F887" s="5"/>
      <c r="G887" s="5"/>
      <c r="H887" s="5"/>
      <c r="I887" s="456"/>
      <c r="J887" s="5"/>
      <c r="K887" s="4"/>
      <c r="L887" s="5"/>
      <c r="M887" s="5"/>
      <c r="N887" s="45"/>
      <c r="O887" s="45" t="s">
        <v>123</v>
      </c>
      <c r="P887" s="4"/>
      <c r="Q887" s="2789">
        <v>1</v>
      </c>
      <c r="R887" s="2789">
        <v>1</v>
      </c>
      <c r="S887" s="2789">
        <v>1</v>
      </c>
      <c r="T887" s="2789">
        <v>1</v>
      </c>
      <c r="U887" s="2789">
        <v>1</v>
      </c>
      <c r="V887" s="2789">
        <v>1</v>
      </c>
      <c r="W887" s="2789">
        <v>1</v>
      </c>
      <c r="X887" s="2789">
        <v>1</v>
      </c>
      <c r="Y887" s="2789">
        <v>1</v>
      </c>
      <c r="Z887" s="2789">
        <v>1</v>
      </c>
      <c r="AA887" s="2789">
        <v>1</v>
      </c>
      <c r="AB887" s="2789">
        <v>1</v>
      </c>
      <c r="AC887" s="44">
        <f>S887</f>
        <v>1</v>
      </c>
      <c r="AD887" s="44">
        <f>V887</f>
        <v>1</v>
      </c>
      <c r="AE887" s="44">
        <f>Y887</f>
        <v>1</v>
      </c>
      <c r="AF887" s="44">
        <f>AB887</f>
        <v>1</v>
      </c>
      <c r="AG887" s="44">
        <f>AD887</f>
        <v>1</v>
      </c>
      <c r="AH887" s="44">
        <f>AF887</f>
        <v>1</v>
      </c>
      <c r="AI887" s="44">
        <f>AH887</f>
        <v>1</v>
      </c>
    </row>
    <row r="888" spans="1:35" s="38" customFormat="1">
      <c r="A888" s="990">
        <v>862</v>
      </c>
      <c r="B888" s="990">
        <v>1</v>
      </c>
      <c r="C888" s="990">
        <v>888</v>
      </c>
      <c r="E888" s="1243">
        <v>1</v>
      </c>
      <c r="F888" s="5"/>
      <c r="G888" s="5"/>
      <c r="H888" s="5"/>
      <c r="I888" s="456"/>
      <c r="J888" s="3"/>
      <c r="K888" s="2"/>
      <c r="L888" s="3"/>
      <c r="M888" s="3"/>
      <c r="N888" s="43"/>
      <c r="O888" s="43" t="s">
        <v>120</v>
      </c>
      <c r="P888" s="2"/>
      <c r="Q888" s="2029"/>
      <c r="R888" s="2029"/>
      <c r="S888" s="2029"/>
      <c r="T888" s="2029"/>
      <c r="U888" s="2029"/>
      <c r="V888" s="2029"/>
      <c r="W888" s="2029"/>
      <c r="X888" s="2029"/>
      <c r="Y888" s="2029"/>
      <c r="Z888" s="2029"/>
      <c r="AA888" s="2029"/>
      <c r="AB888" s="2029"/>
      <c r="AC888" s="42">
        <f>S888</f>
        <v>0</v>
      </c>
      <c r="AD888" s="42">
        <f>V888</f>
        <v>0</v>
      </c>
      <c r="AE888" s="42">
        <f>Y888</f>
        <v>0</v>
      </c>
      <c r="AF888" s="42">
        <f>AB888</f>
        <v>0</v>
      </c>
      <c r="AG888" s="42">
        <f>AD888</f>
        <v>0</v>
      </c>
      <c r="AH888" s="42">
        <f>AF888</f>
        <v>0</v>
      </c>
      <c r="AI888" s="42">
        <f>AH888</f>
        <v>0</v>
      </c>
    </row>
    <row r="889" spans="1:35" s="38" customFormat="1">
      <c r="A889" s="990">
        <v>863</v>
      </c>
      <c r="B889" s="990">
        <v>1</v>
      </c>
      <c r="C889" s="990">
        <v>889</v>
      </c>
      <c r="D889" s="1121" t="s">
        <v>999</v>
      </c>
      <c r="E889" s="1243">
        <v>1</v>
      </c>
      <c r="F889" s="5"/>
      <c r="G889" s="5"/>
      <c r="H889" s="5"/>
      <c r="I889" s="456"/>
      <c r="J889" s="52" t="s">
        <v>330</v>
      </c>
      <c r="K889" s="51"/>
      <c r="L889" s="52"/>
      <c r="M889" s="52"/>
      <c r="N889" s="51"/>
      <c r="O889" s="51"/>
      <c r="P889" s="50"/>
      <c r="Q889" s="49">
        <f>SUM(Q890:Q894)</f>
        <v>12</v>
      </c>
      <c r="R889" s="49">
        <f t="shared" ref="R889:AI889" si="541">SUM(R890:R894)</f>
        <v>12</v>
      </c>
      <c r="S889" s="49">
        <f t="shared" si="541"/>
        <v>12</v>
      </c>
      <c r="T889" s="49">
        <f t="shared" si="541"/>
        <v>12</v>
      </c>
      <c r="U889" s="49">
        <f t="shared" si="541"/>
        <v>13</v>
      </c>
      <c r="V889" s="49">
        <f t="shared" si="541"/>
        <v>13</v>
      </c>
      <c r="W889" s="49">
        <f t="shared" si="541"/>
        <v>12</v>
      </c>
      <c r="X889" s="49">
        <f t="shared" si="541"/>
        <v>12</v>
      </c>
      <c r="Y889" s="49">
        <f t="shared" si="541"/>
        <v>12</v>
      </c>
      <c r="Z889" s="49">
        <f t="shared" si="541"/>
        <v>12</v>
      </c>
      <c r="AA889" s="49">
        <f t="shared" si="541"/>
        <v>12</v>
      </c>
      <c r="AB889" s="49">
        <f t="shared" si="541"/>
        <v>12</v>
      </c>
      <c r="AC889" s="49">
        <f t="shared" si="541"/>
        <v>12</v>
      </c>
      <c r="AD889" s="49">
        <f t="shared" si="541"/>
        <v>13</v>
      </c>
      <c r="AE889" s="49">
        <f t="shared" si="541"/>
        <v>12</v>
      </c>
      <c r="AF889" s="49">
        <f t="shared" si="541"/>
        <v>12</v>
      </c>
      <c r="AG889" s="49">
        <f t="shared" si="541"/>
        <v>13</v>
      </c>
      <c r="AH889" s="49">
        <f t="shared" si="541"/>
        <v>12</v>
      </c>
      <c r="AI889" s="49">
        <f t="shared" si="541"/>
        <v>12</v>
      </c>
    </row>
    <row r="890" spans="1:35" s="38" customFormat="1">
      <c r="A890" s="990">
        <v>864</v>
      </c>
      <c r="B890" s="990">
        <v>1</v>
      </c>
      <c r="C890" s="990">
        <v>890</v>
      </c>
      <c r="E890" s="1243">
        <v>1</v>
      </c>
      <c r="F890" s="5"/>
      <c r="G890" s="5"/>
      <c r="H890" s="5"/>
      <c r="I890" s="456"/>
      <c r="J890" s="5"/>
      <c r="K890" s="4"/>
      <c r="L890" s="5"/>
      <c r="M890" s="5"/>
      <c r="N890" s="45"/>
      <c r="O890" s="45" t="s">
        <v>67</v>
      </c>
      <c r="P890" s="4"/>
      <c r="Q890" s="2789">
        <v>12</v>
      </c>
      <c r="R890" s="2030">
        <v>12</v>
      </c>
      <c r="S890" s="2789">
        <v>12</v>
      </c>
      <c r="T890" s="2789">
        <v>12</v>
      </c>
      <c r="U890" s="2789">
        <v>13</v>
      </c>
      <c r="V890" s="2789">
        <v>13</v>
      </c>
      <c r="W890" s="2030">
        <v>12</v>
      </c>
      <c r="X890" s="2030">
        <v>12</v>
      </c>
      <c r="Y890" s="2789">
        <v>12</v>
      </c>
      <c r="Z890" s="2030">
        <v>12</v>
      </c>
      <c r="AA890" s="2789">
        <v>12</v>
      </c>
      <c r="AB890" s="2789">
        <v>12</v>
      </c>
      <c r="AC890" s="44">
        <f>S890</f>
        <v>12</v>
      </c>
      <c r="AD890" s="44">
        <f>V890</f>
        <v>13</v>
      </c>
      <c r="AE890" s="44">
        <f>Y890</f>
        <v>12</v>
      </c>
      <c r="AF890" s="44">
        <f>AB890</f>
        <v>12</v>
      </c>
      <c r="AG890" s="44">
        <f>AD890</f>
        <v>13</v>
      </c>
      <c r="AH890" s="44">
        <f>AF890</f>
        <v>12</v>
      </c>
      <c r="AI890" s="44">
        <f>AH890</f>
        <v>12</v>
      </c>
    </row>
    <row r="891" spans="1:35" s="38" customFormat="1">
      <c r="A891" s="990">
        <v>865</v>
      </c>
      <c r="B891" s="990">
        <v>1</v>
      </c>
      <c r="C891" s="990">
        <v>891</v>
      </c>
      <c r="E891" s="1243">
        <v>1</v>
      </c>
      <c r="F891" s="5"/>
      <c r="G891" s="5"/>
      <c r="H891" s="5"/>
      <c r="I891" s="456"/>
      <c r="J891" s="5"/>
      <c r="K891" s="4"/>
      <c r="L891" s="5"/>
      <c r="M891" s="5"/>
      <c r="N891" s="45"/>
      <c r="O891" s="45" t="s">
        <v>68</v>
      </c>
      <c r="P891" s="4"/>
      <c r="Q891" s="2030"/>
      <c r="R891" s="2030"/>
      <c r="S891" s="2030"/>
      <c r="T891" s="2030"/>
      <c r="U891" s="2030"/>
      <c r="V891" s="2030"/>
      <c r="W891" s="2030"/>
      <c r="X891" s="2030"/>
      <c r="Y891" s="2030"/>
      <c r="Z891" s="2030"/>
      <c r="AA891" s="2030"/>
      <c r="AB891" s="2030"/>
      <c r="AC891" s="44">
        <f>S891</f>
        <v>0</v>
      </c>
      <c r="AD891" s="44">
        <f>V891</f>
        <v>0</v>
      </c>
      <c r="AE891" s="44">
        <f>Y891</f>
        <v>0</v>
      </c>
      <c r="AF891" s="44">
        <f>AB891</f>
        <v>0</v>
      </c>
      <c r="AG891" s="44">
        <f>AD891</f>
        <v>0</v>
      </c>
      <c r="AH891" s="44">
        <f>AF891</f>
        <v>0</v>
      </c>
      <c r="AI891" s="44">
        <f>AH891</f>
        <v>0</v>
      </c>
    </row>
    <row r="892" spans="1:35" s="38" customFormat="1">
      <c r="A892" s="990">
        <v>866</v>
      </c>
      <c r="B892" s="990">
        <v>1</v>
      </c>
      <c r="C892" s="990">
        <v>892</v>
      </c>
      <c r="E892" s="1243">
        <v>1</v>
      </c>
      <c r="F892" s="5"/>
      <c r="G892" s="5"/>
      <c r="H892" s="5"/>
      <c r="I892" s="456"/>
      <c r="J892" s="5"/>
      <c r="K892" s="4"/>
      <c r="L892" s="5"/>
      <c r="M892" s="5"/>
      <c r="N892" s="45"/>
      <c r="O892" s="45" t="s">
        <v>122</v>
      </c>
      <c r="P892" s="4"/>
      <c r="Q892" s="2030"/>
      <c r="R892" s="2030"/>
      <c r="S892" s="2030"/>
      <c r="T892" s="2030"/>
      <c r="U892" s="2030"/>
      <c r="V892" s="2030"/>
      <c r="W892" s="2030"/>
      <c r="X892" s="2030"/>
      <c r="Y892" s="2030"/>
      <c r="Z892" s="2030"/>
      <c r="AA892" s="2030"/>
      <c r="AB892" s="2030"/>
      <c r="AC892" s="44">
        <f>S892</f>
        <v>0</v>
      </c>
      <c r="AD892" s="44">
        <f>V892</f>
        <v>0</v>
      </c>
      <c r="AE892" s="44">
        <f>Y892</f>
        <v>0</v>
      </c>
      <c r="AF892" s="44">
        <f>AB892</f>
        <v>0</v>
      </c>
      <c r="AG892" s="44">
        <f>AD892</f>
        <v>0</v>
      </c>
      <c r="AH892" s="44">
        <f>AF892</f>
        <v>0</v>
      </c>
      <c r="AI892" s="44">
        <f>AH892</f>
        <v>0</v>
      </c>
    </row>
    <row r="893" spans="1:35" s="38" customFormat="1">
      <c r="A893" s="990">
        <v>867</v>
      </c>
      <c r="B893" s="990">
        <v>1</v>
      </c>
      <c r="C893" s="990">
        <v>893</v>
      </c>
      <c r="E893" s="1243">
        <v>1</v>
      </c>
      <c r="F893" s="5"/>
      <c r="G893" s="5"/>
      <c r="H893" s="5"/>
      <c r="I893" s="456"/>
      <c r="J893" s="5"/>
      <c r="K893" s="4"/>
      <c r="L893" s="5"/>
      <c r="M893" s="5"/>
      <c r="N893" s="45"/>
      <c r="O893" s="45" t="s">
        <v>121</v>
      </c>
      <c r="P893" s="4"/>
      <c r="Q893" s="2030"/>
      <c r="R893" s="2030"/>
      <c r="S893" s="2030"/>
      <c r="T893" s="2030"/>
      <c r="U893" s="2030"/>
      <c r="V893" s="2030"/>
      <c r="W893" s="2030"/>
      <c r="X893" s="2030"/>
      <c r="Y893" s="2030"/>
      <c r="Z893" s="2030"/>
      <c r="AA893" s="2030"/>
      <c r="AB893" s="2030"/>
      <c r="AC893" s="44">
        <f>S893</f>
        <v>0</v>
      </c>
      <c r="AD893" s="44">
        <f>V893</f>
        <v>0</v>
      </c>
      <c r="AE893" s="44">
        <f>Y893</f>
        <v>0</v>
      </c>
      <c r="AF893" s="44">
        <f>AB893</f>
        <v>0</v>
      </c>
      <c r="AG893" s="44">
        <f>AD893</f>
        <v>0</v>
      </c>
      <c r="AH893" s="44">
        <f>AF893</f>
        <v>0</v>
      </c>
      <c r="AI893" s="44">
        <f>AH893</f>
        <v>0</v>
      </c>
    </row>
    <row r="894" spans="1:35" s="38" customFormat="1">
      <c r="A894" s="990">
        <v>868</v>
      </c>
      <c r="B894" s="990">
        <v>1</v>
      </c>
      <c r="C894" s="990">
        <v>894</v>
      </c>
      <c r="E894" s="1243">
        <v>1</v>
      </c>
      <c r="F894" s="5"/>
      <c r="G894" s="5"/>
      <c r="H894" s="5"/>
      <c r="I894" s="456"/>
      <c r="J894" s="5"/>
      <c r="K894" s="4"/>
      <c r="L894" s="5"/>
      <c r="M894" s="5"/>
      <c r="N894" s="45"/>
      <c r="O894" s="45" t="s">
        <v>120</v>
      </c>
      <c r="P894" s="4"/>
      <c r="Q894" s="2030"/>
      <c r="R894" s="2030"/>
      <c r="S894" s="2030"/>
      <c r="T894" s="2030"/>
      <c r="U894" s="2030"/>
      <c r="V894" s="2030"/>
      <c r="W894" s="2030"/>
      <c r="X894" s="2030"/>
      <c r="Y894" s="2030"/>
      <c r="Z894" s="2030"/>
      <c r="AA894" s="2030"/>
      <c r="AB894" s="2030"/>
      <c r="AC894" s="44">
        <f>S894</f>
        <v>0</v>
      </c>
      <c r="AD894" s="44">
        <f>V894</f>
        <v>0</v>
      </c>
      <c r="AE894" s="44">
        <f>Y894</f>
        <v>0</v>
      </c>
      <c r="AF894" s="44">
        <f>AB894</f>
        <v>0</v>
      </c>
      <c r="AG894" s="44">
        <f>AD894</f>
        <v>0</v>
      </c>
      <c r="AH894" s="44">
        <f>AF894</f>
        <v>0</v>
      </c>
      <c r="AI894" s="44">
        <f>AH894</f>
        <v>0</v>
      </c>
    </row>
    <row r="895" spans="1:35" s="38" customFormat="1">
      <c r="A895" s="990">
        <v>869</v>
      </c>
      <c r="B895" s="990">
        <v>1</v>
      </c>
      <c r="C895" s="990">
        <v>895</v>
      </c>
      <c r="D895" s="1121" t="s">
        <v>999</v>
      </c>
      <c r="E895" s="1243">
        <v>1</v>
      </c>
      <c r="F895" s="5"/>
      <c r="G895" s="5"/>
      <c r="H895" s="5"/>
      <c r="I895" s="456"/>
      <c r="J895" s="324" t="s">
        <v>331</v>
      </c>
      <c r="K895" s="323"/>
      <c r="L895" s="324"/>
      <c r="M895" s="324"/>
      <c r="N895" s="323"/>
      <c r="O895" s="323"/>
      <c r="P895" s="1203"/>
      <c r="Q895" s="325">
        <f>SUM(Q896:Q899)</f>
        <v>4</v>
      </c>
      <c r="R895" s="325">
        <f t="shared" ref="R895:AI895" si="542">SUM(R896:R899)</f>
        <v>4</v>
      </c>
      <c r="S895" s="325">
        <f t="shared" si="542"/>
        <v>4</v>
      </c>
      <c r="T895" s="325">
        <f t="shared" si="542"/>
        <v>4</v>
      </c>
      <c r="U895" s="325">
        <f t="shared" si="542"/>
        <v>4</v>
      </c>
      <c r="V895" s="325">
        <f t="shared" si="542"/>
        <v>4</v>
      </c>
      <c r="W895" s="325">
        <f t="shared" si="542"/>
        <v>4</v>
      </c>
      <c r="X895" s="325">
        <f t="shared" si="542"/>
        <v>4</v>
      </c>
      <c r="Y895" s="325">
        <f t="shared" si="542"/>
        <v>4</v>
      </c>
      <c r="Z895" s="325">
        <f t="shared" si="542"/>
        <v>4</v>
      </c>
      <c r="AA895" s="325">
        <f t="shared" si="542"/>
        <v>4</v>
      </c>
      <c r="AB895" s="325">
        <f t="shared" si="542"/>
        <v>4</v>
      </c>
      <c r="AC895" s="325">
        <f t="shared" si="542"/>
        <v>4</v>
      </c>
      <c r="AD895" s="325">
        <f t="shared" si="542"/>
        <v>4</v>
      </c>
      <c r="AE895" s="325">
        <f t="shared" si="542"/>
        <v>4</v>
      </c>
      <c r="AF895" s="325">
        <f t="shared" si="542"/>
        <v>4</v>
      </c>
      <c r="AG895" s="325">
        <f t="shared" si="542"/>
        <v>4</v>
      </c>
      <c r="AH895" s="325">
        <f t="shared" si="542"/>
        <v>4</v>
      </c>
      <c r="AI895" s="325">
        <f t="shared" si="542"/>
        <v>4</v>
      </c>
    </row>
    <row r="896" spans="1:35" s="38" customFormat="1">
      <c r="A896" s="990">
        <v>870</v>
      </c>
      <c r="B896" s="990">
        <v>1</v>
      </c>
      <c r="C896" s="990">
        <v>896</v>
      </c>
      <c r="E896" s="1243">
        <v>1</v>
      </c>
      <c r="F896" s="5"/>
      <c r="G896" s="5"/>
      <c r="H896" s="5"/>
      <c r="I896" s="456"/>
      <c r="J896" s="5"/>
      <c r="K896" s="4"/>
      <c r="L896" s="5"/>
      <c r="M896" s="5"/>
      <c r="N896" s="45"/>
      <c r="O896" s="45" t="s">
        <v>323</v>
      </c>
      <c r="P896" s="4"/>
      <c r="Q896" s="2789">
        <v>1</v>
      </c>
      <c r="R896" s="2030">
        <v>1</v>
      </c>
      <c r="S896" s="2789">
        <v>1</v>
      </c>
      <c r="T896" s="2789">
        <v>1</v>
      </c>
      <c r="U896" s="2789">
        <v>1</v>
      </c>
      <c r="V896" s="2789">
        <v>2</v>
      </c>
      <c r="W896" s="2789">
        <v>2</v>
      </c>
      <c r="X896" s="2789">
        <v>2</v>
      </c>
      <c r="Y896" s="2789">
        <v>2</v>
      </c>
      <c r="Z896" s="2789">
        <v>2</v>
      </c>
      <c r="AA896" s="2789">
        <v>2</v>
      </c>
      <c r="AB896" s="2789">
        <v>2</v>
      </c>
      <c r="AC896" s="44">
        <f>S896</f>
        <v>1</v>
      </c>
      <c r="AD896" s="44">
        <f>V896</f>
        <v>2</v>
      </c>
      <c r="AE896" s="44">
        <f>Y896</f>
        <v>2</v>
      </c>
      <c r="AF896" s="44">
        <f>AB896</f>
        <v>2</v>
      </c>
      <c r="AG896" s="44">
        <f>AD896</f>
        <v>2</v>
      </c>
      <c r="AH896" s="44">
        <f>AF896</f>
        <v>2</v>
      </c>
      <c r="AI896" s="44">
        <f>AH896</f>
        <v>2</v>
      </c>
    </row>
    <row r="897" spans="1:35" s="38" customFormat="1">
      <c r="A897" s="990">
        <v>871</v>
      </c>
      <c r="B897" s="990">
        <v>1</v>
      </c>
      <c r="C897" s="990">
        <v>897</v>
      </c>
      <c r="E897" s="1243">
        <v>1</v>
      </c>
      <c r="F897" s="5"/>
      <c r="G897" s="5"/>
      <c r="H897" s="5"/>
      <c r="I897" s="456"/>
      <c r="J897" s="5"/>
      <c r="K897" s="4"/>
      <c r="L897" s="5"/>
      <c r="M897" s="5"/>
      <c r="N897" s="45"/>
      <c r="O897" s="45" t="s">
        <v>324</v>
      </c>
      <c r="P897" s="4"/>
      <c r="Q897" s="2789"/>
      <c r="R897" s="2030"/>
      <c r="S897" s="2789"/>
      <c r="T897" s="2789"/>
      <c r="U897" s="2789"/>
      <c r="V897" s="2789"/>
      <c r="W897" s="2789"/>
      <c r="X897" s="2789"/>
      <c r="Y897" s="2789"/>
      <c r="Z897" s="2789"/>
      <c r="AA897" s="2789"/>
      <c r="AB897" s="2789"/>
      <c r="AC897" s="44">
        <f>S897</f>
        <v>0</v>
      </c>
      <c r="AD897" s="44">
        <f>V897</f>
        <v>0</v>
      </c>
      <c r="AE897" s="44">
        <f>Y897</f>
        <v>0</v>
      </c>
      <c r="AF897" s="44">
        <f>AB897</f>
        <v>0</v>
      </c>
      <c r="AG897" s="44">
        <f>AD897</f>
        <v>0</v>
      </c>
      <c r="AH897" s="44">
        <f>AF897</f>
        <v>0</v>
      </c>
      <c r="AI897" s="44">
        <f>AH897</f>
        <v>0</v>
      </c>
    </row>
    <row r="898" spans="1:35" s="38" customFormat="1">
      <c r="A898" s="990">
        <v>872</v>
      </c>
      <c r="B898" s="990">
        <v>1</v>
      </c>
      <c r="C898" s="990">
        <v>898</v>
      </c>
      <c r="E898" s="1243">
        <v>1</v>
      </c>
      <c r="F898" s="5"/>
      <c r="G898" s="5"/>
      <c r="H898" s="5"/>
      <c r="I898" s="456"/>
      <c r="J898" s="5"/>
      <c r="K898" s="4"/>
      <c r="L898" s="5"/>
      <c r="M898" s="5"/>
      <c r="N898" s="45"/>
      <c r="O898" s="45" t="s">
        <v>325</v>
      </c>
      <c r="P898" s="4"/>
      <c r="Q898" s="2789">
        <v>3</v>
      </c>
      <c r="R898" s="2030">
        <v>3</v>
      </c>
      <c r="S898" s="2789">
        <v>3</v>
      </c>
      <c r="T898" s="2789">
        <v>3</v>
      </c>
      <c r="U898" s="2789">
        <v>3</v>
      </c>
      <c r="V898" s="2789">
        <v>2</v>
      </c>
      <c r="W898" s="2789">
        <v>2</v>
      </c>
      <c r="X898" s="2789">
        <v>2</v>
      </c>
      <c r="Y898" s="2789">
        <v>2</v>
      </c>
      <c r="Z898" s="2789">
        <v>2</v>
      </c>
      <c r="AA898" s="2789">
        <v>2</v>
      </c>
      <c r="AB898" s="2789">
        <v>2</v>
      </c>
      <c r="AC898" s="44">
        <f>S898</f>
        <v>3</v>
      </c>
      <c r="AD898" s="44">
        <f>V898</f>
        <v>2</v>
      </c>
      <c r="AE898" s="44">
        <f>Y898</f>
        <v>2</v>
      </c>
      <c r="AF898" s="44">
        <f>AB898</f>
        <v>2</v>
      </c>
      <c r="AG898" s="44">
        <f>AD898</f>
        <v>2</v>
      </c>
      <c r="AH898" s="44">
        <f>AF898</f>
        <v>2</v>
      </c>
      <c r="AI898" s="44">
        <f>AH898</f>
        <v>2</v>
      </c>
    </row>
    <row r="899" spans="1:35" s="38" customFormat="1">
      <c r="A899" s="990">
        <v>873</v>
      </c>
      <c r="B899" s="990">
        <v>1</v>
      </c>
      <c r="C899" s="990">
        <v>899</v>
      </c>
      <c r="E899" s="1243">
        <v>1</v>
      </c>
      <c r="F899" s="5"/>
      <c r="G899" s="5"/>
      <c r="H899" s="5"/>
      <c r="I899" s="456"/>
      <c r="J899" s="3"/>
      <c r="K899" s="2"/>
      <c r="L899" s="3"/>
      <c r="M899" s="3"/>
      <c r="N899" s="43"/>
      <c r="O899" s="43" t="s">
        <v>326</v>
      </c>
      <c r="P899" s="2"/>
      <c r="Q899" s="2029"/>
      <c r="R899" s="2029"/>
      <c r="S899" s="2029"/>
      <c r="T899" s="2029"/>
      <c r="U899" s="2029"/>
      <c r="V899" s="2029"/>
      <c r="W899" s="2029"/>
      <c r="X899" s="2029"/>
      <c r="Y899" s="2029"/>
      <c r="Z899" s="2029"/>
      <c r="AA899" s="2029"/>
      <c r="AB899" s="2029"/>
      <c r="AC899" s="42">
        <f>S899</f>
        <v>0</v>
      </c>
      <c r="AD899" s="42">
        <f>V899</f>
        <v>0</v>
      </c>
      <c r="AE899" s="42">
        <f>Y899</f>
        <v>0</v>
      </c>
      <c r="AF899" s="42">
        <f>AB899</f>
        <v>0</v>
      </c>
      <c r="AG899" s="42">
        <f>AD899</f>
        <v>0</v>
      </c>
      <c r="AH899" s="42">
        <f>AF899</f>
        <v>0</v>
      </c>
      <c r="AI899" s="42">
        <f>AH899</f>
        <v>0</v>
      </c>
    </row>
    <row r="900" spans="1:35" s="38" customFormat="1">
      <c r="A900" s="990">
        <v>874</v>
      </c>
      <c r="B900" s="990">
        <v>1</v>
      </c>
      <c r="C900" s="990">
        <v>900</v>
      </c>
      <c r="D900" s="1121" t="s">
        <v>999</v>
      </c>
      <c r="E900" s="1243">
        <v>1</v>
      </c>
      <c r="F900" s="5"/>
      <c r="G900" s="5"/>
      <c r="H900" s="5"/>
      <c r="I900" s="456"/>
      <c r="J900" s="52" t="s">
        <v>73</v>
      </c>
      <c r="K900" s="51"/>
      <c r="L900" s="52"/>
      <c r="M900" s="52"/>
      <c r="N900" s="51"/>
      <c r="O900" s="51"/>
      <c r="P900" s="50"/>
      <c r="Q900" s="49">
        <f>SUM(Q901:Q905)</f>
        <v>0</v>
      </c>
      <c r="R900" s="49">
        <f t="shared" ref="R900:AI900" si="543">SUM(R901:R905)</f>
        <v>0</v>
      </c>
      <c r="S900" s="49">
        <f t="shared" si="543"/>
        <v>0</v>
      </c>
      <c r="T900" s="49">
        <f t="shared" si="543"/>
        <v>0</v>
      </c>
      <c r="U900" s="49">
        <f t="shared" si="543"/>
        <v>0</v>
      </c>
      <c r="V900" s="49">
        <f t="shared" si="543"/>
        <v>0</v>
      </c>
      <c r="W900" s="49">
        <f t="shared" si="543"/>
        <v>0</v>
      </c>
      <c r="X900" s="49">
        <f t="shared" si="543"/>
        <v>0</v>
      </c>
      <c r="Y900" s="49">
        <f t="shared" si="543"/>
        <v>0</v>
      </c>
      <c r="Z900" s="49">
        <f t="shared" si="543"/>
        <v>0</v>
      </c>
      <c r="AA900" s="49">
        <f t="shared" si="543"/>
        <v>0</v>
      </c>
      <c r="AB900" s="49">
        <f t="shared" si="543"/>
        <v>0</v>
      </c>
      <c r="AC900" s="49">
        <f t="shared" si="543"/>
        <v>0</v>
      </c>
      <c r="AD900" s="49">
        <f t="shared" si="543"/>
        <v>0</v>
      </c>
      <c r="AE900" s="49">
        <f t="shared" si="543"/>
        <v>0</v>
      </c>
      <c r="AF900" s="49">
        <f t="shared" si="543"/>
        <v>0</v>
      </c>
      <c r="AG900" s="49">
        <f t="shared" si="543"/>
        <v>0</v>
      </c>
      <c r="AH900" s="49">
        <f t="shared" si="543"/>
        <v>0</v>
      </c>
      <c r="AI900" s="49">
        <f t="shared" si="543"/>
        <v>0</v>
      </c>
    </row>
    <row r="901" spans="1:35" s="38" customFormat="1">
      <c r="A901" s="990">
        <v>875</v>
      </c>
      <c r="B901" s="990">
        <v>1</v>
      </c>
      <c r="C901" s="990">
        <v>901</v>
      </c>
      <c r="E901" s="1243">
        <v>1</v>
      </c>
      <c r="F901" s="5"/>
      <c r="G901" s="5"/>
      <c r="H901" s="5"/>
      <c r="I901" s="456"/>
      <c r="J901" s="5"/>
      <c r="K901" s="4"/>
      <c r="L901" s="5"/>
      <c r="M901" s="4"/>
      <c r="N901" s="45"/>
      <c r="O901" s="45" t="s">
        <v>119</v>
      </c>
      <c r="P901" s="1204"/>
      <c r="Q901" s="2030"/>
      <c r="R901" s="2030"/>
      <c r="S901" s="2030"/>
      <c r="T901" s="2030"/>
      <c r="U901" s="2030"/>
      <c r="V901" s="2030"/>
      <c r="W901" s="2030"/>
      <c r="X901" s="2030"/>
      <c r="Y901" s="2030"/>
      <c r="Z901" s="2030"/>
      <c r="AA901" s="2030"/>
      <c r="AB901" s="2030"/>
      <c r="AC901" s="44">
        <f>S901</f>
        <v>0</v>
      </c>
      <c r="AD901" s="44">
        <f>V901</f>
        <v>0</v>
      </c>
      <c r="AE901" s="44">
        <f>Y901</f>
        <v>0</v>
      </c>
      <c r="AF901" s="44">
        <f>AB901</f>
        <v>0</v>
      </c>
      <c r="AG901" s="44">
        <f>AD901</f>
        <v>0</v>
      </c>
      <c r="AH901" s="44">
        <f>AF901</f>
        <v>0</v>
      </c>
      <c r="AI901" s="44">
        <f>AH901</f>
        <v>0</v>
      </c>
    </row>
    <row r="902" spans="1:35" s="38" customFormat="1">
      <c r="A902" s="990">
        <v>876</v>
      </c>
      <c r="B902" s="990">
        <v>1</v>
      </c>
      <c r="C902" s="990">
        <v>902</v>
      </c>
      <c r="E902" s="1243">
        <v>1</v>
      </c>
      <c r="F902" s="5"/>
      <c r="G902" s="5"/>
      <c r="H902" s="5"/>
      <c r="I902" s="456"/>
      <c r="J902" s="5"/>
      <c r="K902" s="4"/>
      <c r="L902" s="5"/>
      <c r="M902" s="4"/>
      <c r="N902" s="45"/>
      <c r="O902" s="45" t="s">
        <v>75</v>
      </c>
      <c r="P902" s="1204"/>
      <c r="Q902" s="2030"/>
      <c r="R902" s="2030"/>
      <c r="S902" s="2030"/>
      <c r="T902" s="2030"/>
      <c r="U902" s="2030"/>
      <c r="V902" s="2030"/>
      <c r="W902" s="2030"/>
      <c r="X902" s="2030"/>
      <c r="Y902" s="2030"/>
      <c r="Z902" s="2030"/>
      <c r="AA902" s="2030"/>
      <c r="AB902" s="2030"/>
      <c r="AC902" s="44">
        <f>S902</f>
        <v>0</v>
      </c>
      <c r="AD902" s="44">
        <f>V902</f>
        <v>0</v>
      </c>
      <c r="AE902" s="44">
        <f>Y902</f>
        <v>0</v>
      </c>
      <c r="AF902" s="44">
        <f>AB902</f>
        <v>0</v>
      </c>
      <c r="AG902" s="44">
        <f>AD902</f>
        <v>0</v>
      </c>
      <c r="AH902" s="44">
        <f>AF902</f>
        <v>0</v>
      </c>
      <c r="AI902" s="44">
        <f>AH902</f>
        <v>0</v>
      </c>
    </row>
    <row r="903" spans="1:35" s="38" customFormat="1">
      <c r="A903" s="990">
        <v>877</v>
      </c>
      <c r="B903" s="990">
        <v>1</v>
      </c>
      <c r="C903" s="990">
        <v>903</v>
      </c>
      <c r="E903" s="1243">
        <v>1</v>
      </c>
      <c r="F903" s="5"/>
      <c r="G903" s="5"/>
      <c r="H903" s="5"/>
      <c r="I903" s="456"/>
      <c r="J903" s="5"/>
      <c r="K903" s="4"/>
      <c r="L903" s="5"/>
      <c r="M903" s="4"/>
      <c r="N903" s="45"/>
      <c r="O903" s="45" t="s">
        <v>76</v>
      </c>
      <c r="P903" s="1204"/>
      <c r="Q903" s="2030"/>
      <c r="R903" s="2030"/>
      <c r="S903" s="2030"/>
      <c r="T903" s="2030"/>
      <c r="U903" s="2030"/>
      <c r="V903" s="2030"/>
      <c r="W903" s="2030"/>
      <c r="X903" s="2030"/>
      <c r="Y903" s="2030"/>
      <c r="Z903" s="2030"/>
      <c r="AA903" s="2030"/>
      <c r="AB903" s="2030"/>
      <c r="AC903" s="44">
        <f>S903</f>
        <v>0</v>
      </c>
      <c r="AD903" s="44">
        <f>V903</f>
        <v>0</v>
      </c>
      <c r="AE903" s="44">
        <f>Y903</f>
        <v>0</v>
      </c>
      <c r="AF903" s="44">
        <f>AB903</f>
        <v>0</v>
      </c>
      <c r="AG903" s="44">
        <f>AD903</f>
        <v>0</v>
      </c>
      <c r="AH903" s="44">
        <f>AF903</f>
        <v>0</v>
      </c>
      <c r="AI903" s="44">
        <f>AH903</f>
        <v>0</v>
      </c>
    </row>
    <row r="904" spans="1:35" s="38" customFormat="1">
      <c r="A904" s="990">
        <v>878</v>
      </c>
      <c r="B904" s="990">
        <v>1</v>
      </c>
      <c r="C904" s="990">
        <v>904</v>
      </c>
      <c r="E904" s="1243">
        <v>1</v>
      </c>
      <c r="F904" s="5"/>
      <c r="G904" s="5"/>
      <c r="H904" s="5"/>
      <c r="I904" s="456"/>
      <c r="J904" s="5"/>
      <c r="K904" s="4"/>
      <c r="L904" s="5"/>
      <c r="M904" s="4"/>
      <c r="N904" s="45"/>
      <c r="O904" s="45" t="s">
        <v>77</v>
      </c>
      <c r="P904" s="1204"/>
      <c r="Q904" s="2030"/>
      <c r="R904" s="2030"/>
      <c r="S904" s="2030"/>
      <c r="T904" s="2030"/>
      <c r="U904" s="2030"/>
      <c r="V904" s="2030"/>
      <c r="W904" s="2030"/>
      <c r="X904" s="2030"/>
      <c r="Y904" s="2030"/>
      <c r="Z904" s="2030"/>
      <c r="AA904" s="2030"/>
      <c r="AB904" s="2030"/>
      <c r="AC904" s="44">
        <f>S904</f>
        <v>0</v>
      </c>
      <c r="AD904" s="44">
        <f>V904</f>
        <v>0</v>
      </c>
      <c r="AE904" s="44">
        <f>Y904</f>
        <v>0</v>
      </c>
      <c r="AF904" s="44">
        <f>AB904</f>
        <v>0</v>
      </c>
      <c r="AG904" s="44">
        <f>AD904</f>
        <v>0</v>
      </c>
      <c r="AH904" s="44">
        <f>AF904</f>
        <v>0</v>
      </c>
      <c r="AI904" s="44">
        <f>AH904</f>
        <v>0</v>
      </c>
    </row>
    <row r="905" spans="1:35" s="38" customFormat="1">
      <c r="A905" s="990">
        <v>879</v>
      </c>
      <c r="B905" s="990">
        <v>1</v>
      </c>
      <c r="C905" s="990">
        <v>905</v>
      </c>
      <c r="E905" s="1243">
        <v>1</v>
      </c>
      <c r="F905" s="5"/>
      <c r="G905" s="5"/>
      <c r="H905" s="5"/>
      <c r="I905" s="456"/>
      <c r="J905" s="5"/>
      <c r="K905" s="4"/>
      <c r="L905" s="5"/>
      <c r="M905" s="4"/>
      <c r="N905" s="45"/>
      <c r="O905" s="45" t="s">
        <v>11</v>
      </c>
      <c r="P905" s="1204"/>
      <c r="Q905" s="2030"/>
      <c r="R905" s="2030"/>
      <c r="S905" s="2030"/>
      <c r="T905" s="2030"/>
      <c r="U905" s="2030"/>
      <c r="V905" s="2030"/>
      <c r="W905" s="2030"/>
      <c r="X905" s="2030"/>
      <c r="Y905" s="2030"/>
      <c r="Z905" s="2030"/>
      <c r="AA905" s="2030"/>
      <c r="AB905" s="2030"/>
      <c r="AC905" s="44">
        <f>S905</f>
        <v>0</v>
      </c>
      <c r="AD905" s="44">
        <f>V905</f>
        <v>0</v>
      </c>
      <c r="AE905" s="44">
        <f>Y905</f>
        <v>0</v>
      </c>
      <c r="AF905" s="44">
        <f>AB905</f>
        <v>0</v>
      </c>
      <c r="AG905" s="44">
        <f>AD905</f>
        <v>0</v>
      </c>
      <c r="AH905" s="44">
        <f>AF905</f>
        <v>0</v>
      </c>
      <c r="AI905" s="44">
        <f>AH905</f>
        <v>0</v>
      </c>
    </row>
    <row r="906" spans="1:35" s="38" customFormat="1">
      <c r="A906" s="990">
        <v>880</v>
      </c>
      <c r="B906" s="990">
        <v>1</v>
      </c>
      <c r="C906" s="990">
        <v>906</v>
      </c>
      <c r="D906" s="1121" t="s">
        <v>999</v>
      </c>
      <c r="E906" s="1243">
        <v>1</v>
      </c>
      <c r="F906" s="5"/>
      <c r="G906" s="5"/>
      <c r="H906" s="5"/>
      <c r="I906" s="456"/>
      <c r="J906" s="324" t="s">
        <v>332</v>
      </c>
      <c r="K906" s="323"/>
      <c r="L906" s="324"/>
      <c r="M906" s="324"/>
      <c r="N906" s="323"/>
      <c r="O906" s="323"/>
      <c r="P906" s="1203"/>
      <c r="Q906" s="325">
        <f>SUM(Q907:Q909)</f>
        <v>0</v>
      </c>
      <c r="R906" s="325">
        <f t="shared" ref="R906:AI906" si="544">SUM(R907:R909)</f>
        <v>0</v>
      </c>
      <c r="S906" s="325">
        <f t="shared" si="544"/>
        <v>0</v>
      </c>
      <c r="T906" s="325">
        <f t="shared" si="544"/>
        <v>0</v>
      </c>
      <c r="U906" s="325">
        <f t="shared" si="544"/>
        <v>0</v>
      </c>
      <c r="V906" s="325">
        <f t="shared" si="544"/>
        <v>0</v>
      </c>
      <c r="W906" s="325">
        <f t="shared" si="544"/>
        <v>0</v>
      </c>
      <c r="X906" s="325">
        <f t="shared" si="544"/>
        <v>0</v>
      </c>
      <c r="Y906" s="325">
        <f t="shared" si="544"/>
        <v>0</v>
      </c>
      <c r="Z906" s="325">
        <f t="shared" si="544"/>
        <v>0</v>
      </c>
      <c r="AA906" s="325">
        <f t="shared" si="544"/>
        <v>0</v>
      </c>
      <c r="AB906" s="325">
        <f t="shared" si="544"/>
        <v>0</v>
      </c>
      <c r="AC906" s="325">
        <f t="shared" si="544"/>
        <v>0</v>
      </c>
      <c r="AD906" s="325">
        <f t="shared" si="544"/>
        <v>0</v>
      </c>
      <c r="AE906" s="325">
        <f t="shared" si="544"/>
        <v>0</v>
      </c>
      <c r="AF906" s="325">
        <f t="shared" si="544"/>
        <v>0</v>
      </c>
      <c r="AG906" s="325">
        <f t="shared" si="544"/>
        <v>0</v>
      </c>
      <c r="AH906" s="325">
        <f t="shared" si="544"/>
        <v>0</v>
      </c>
      <c r="AI906" s="325">
        <f t="shared" si="544"/>
        <v>0</v>
      </c>
    </row>
    <row r="907" spans="1:35" s="38" customFormat="1">
      <c r="A907" s="990">
        <v>881</v>
      </c>
      <c r="B907" s="990">
        <v>1</v>
      </c>
      <c r="C907" s="990">
        <v>907</v>
      </c>
      <c r="E907" s="1243">
        <v>1</v>
      </c>
      <c r="F907" s="5"/>
      <c r="G907" s="5"/>
      <c r="H907" s="5"/>
      <c r="I907" s="456"/>
      <c r="J907" s="5"/>
      <c r="K907" s="4"/>
      <c r="L907" s="5"/>
      <c r="M907" s="4"/>
      <c r="N907" s="45"/>
      <c r="O907" s="45" t="s">
        <v>79</v>
      </c>
      <c r="P907" s="1204"/>
      <c r="Q907" s="2030"/>
      <c r="R907" s="2030"/>
      <c r="S907" s="2030"/>
      <c r="T907" s="2030"/>
      <c r="U907" s="2030"/>
      <c r="V907" s="2030"/>
      <c r="W907" s="2030"/>
      <c r="X907" s="2030"/>
      <c r="Y907" s="2030"/>
      <c r="Z907" s="2030"/>
      <c r="AA907" s="2030"/>
      <c r="AB907" s="2030"/>
      <c r="AC907" s="44">
        <f>S907</f>
        <v>0</v>
      </c>
      <c r="AD907" s="44">
        <f>V907</f>
        <v>0</v>
      </c>
      <c r="AE907" s="44">
        <f>Y907</f>
        <v>0</v>
      </c>
      <c r="AF907" s="44">
        <f>AB907</f>
        <v>0</v>
      </c>
      <c r="AG907" s="44">
        <f>AD907</f>
        <v>0</v>
      </c>
      <c r="AH907" s="44">
        <f>AF907</f>
        <v>0</v>
      </c>
      <c r="AI907" s="44">
        <f>AH907</f>
        <v>0</v>
      </c>
    </row>
    <row r="908" spans="1:35" s="38" customFormat="1">
      <c r="A908" s="990">
        <v>882</v>
      </c>
      <c r="B908" s="990">
        <v>1</v>
      </c>
      <c r="C908" s="990">
        <v>908</v>
      </c>
      <c r="E908" s="1243">
        <v>1</v>
      </c>
      <c r="F908" s="5"/>
      <c r="G908" s="5"/>
      <c r="H908" s="5"/>
      <c r="I908" s="456"/>
      <c r="J908" s="5"/>
      <c r="K908" s="4"/>
      <c r="L908" s="5"/>
      <c r="M908" s="4"/>
      <c r="N908" s="45"/>
      <c r="O908" s="45" t="s">
        <v>80</v>
      </c>
      <c r="P908" s="1204"/>
      <c r="Q908" s="2030"/>
      <c r="R908" s="2030"/>
      <c r="S908" s="2030"/>
      <c r="T908" s="2030"/>
      <c r="U908" s="2030"/>
      <c r="V908" s="2030"/>
      <c r="W908" s="2030"/>
      <c r="X908" s="2030"/>
      <c r="Y908" s="2030"/>
      <c r="Z908" s="2030"/>
      <c r="AA908" s="2030"/>
      <c r="AB908" s="2030"/>
      <c r="AC908" s="44">
        <f>S908</f>
        <v>0</v>
      </c>
      <c r="AD908" s="44">
        <f>V908</f>
        <v>0</v>
      </c>
      <c r="AE908" s="44">
        <f>Y908</f>
        <v>0</v>
      </c>
      <c r="AF908" s="44">
        <f>AB908</f>
        <v>0</v>
      </c>
      <c r="AG908" s="44">
        <f>AD908</f>
        <v>0</v>
      </c>
      <c r="AH908" s="44">
        <f>AF908</f>
        <v>0</v>
      </c>
      <c r="AI908" s="44">
        <f>AH908</f>
        <v>0</v>
      </c>
    </row>
    <row r="909" spans="1:35" s="38" customFormat="1">
      <c r="A909" s="990">
        <v>883</v>
      </c>
      <c r="B909" s="990">
        <v>1</v>
      </c>
      <c r="C909" s="990">
        <v>909</v>
      </c>
      <c r="E909" s="1243">
        <v>1</v>
      </c>
      <c r="F909" s="5"/>
      <c r="G909" s="5"/>
      <c r="H909" s="5"/>
      <c r="I909" s="457"/>
      <c r="J909" s="3"/>
      <c r="K909" s="2"/>
      <c r="L909" s="3"/>
      <c r="M909" s="2"/>
      <c r="N909" s="43"/>
      <c r="O909" s="43" t="s">
        <v>81</v>
      </c>
      <c r="P909" s="1205"/>
      <c r="Q909" s="2029"/>
      <c r="R909" s="2029"/>
      <c r="S909" s="2029"/>
      <c r="T909" s="2029"/>
      <c r="U909" s="2029"/>
      <c r="V909" s="2029"/>
      <c r="W909" s="2029"/>
      <c r="X909" s="2029"/>
      <c r="Y909" s="2029"/>
      <c r="Z909" s="2029"/>
      <c r="AA909" s="2029"/>
      <c r="AB909" s="2029"/>
      <c r="AC909" s="42">
        <f>S909</f>
        <v>0</v>
      </c>
      <c r="AD909" s="42">
        <f>V909</f>
        <v>0</v>
      </c>
      <c r="AE909" s="42">
        <f>Y909</f>
        <v>0</v>
      </c>
      <c r="AF909" s="42">
        <f>AB909</f>
        <v>0</v>
      </c>
      <c r="AG909" s="42">
        <f>AD909</f>
        <v>0</v>
      </c>
      <c r="AH909" s="42">
        <f>AF909</f>
        <v>0</v>
      </c>
      <c r="AI909" s="42">
        <f>AH909</f>
        <v>0</v>
      </c>
    </row>
    <row r="910" spans="1:35" s="38" customFormat="1">
      <c r="A910" s="990">
        <v>884</v>
      </c>
      <c r="B910" s="990">
        <v>1</v>
      </c>
      <c r="C910" s="990">
        <v>910</v>
      </c>
      <c r="D910" s="1121" t="s">
        <v>999</v>
      </c>
      <c r="E910" s="1243">
        <v>1</v>
      </c>
      <c r="F910" s="5"/>
      <c r="G910" s="5"/>
      <c r="H910" s="5"/>
      <c r="I910" s="318" t="s">
        <v>1110</v>
      </c>
      <c r="J910" s="319"/>
      <c r="K910" s="320"/>
      <c r="L910" s="320"/>
      <c r="M910" s="319"/>
      <c r="N910" s="319"/>
      <c r="O910" s="319"/>
      <c r="P910" s="321"/>
      <c r="Q910" s="2050"/>
      <c r="R910" s="2050"/>
      <c r="S910" s="2050"/>
      <c r="T910" s="2050"/>
      <c r="U910" s="2050"/>
      <c r="V910" s="2050"/>
      <c r="W910" s="2050"/>
      <c r="X910" s="2050"/>
      <c r="Y910" s="2050"/>
      <c r="Z910" s="2050"/>
      <c r="AA910" s="2050"/>
      <c r="AB910" s="2050"/>
      <c r="AC910" s="2527">
        <f>S910</f>
        <v>0</v>
      </c>
      <c r="AD910" s="2527">
        <f>V910</f>
        <v>0</v>
      </c>
      <c r="AE910" s="2527">
        <f>Y910</f>
        <v>0</v>
      </c>
      <c r="AF910" s="2527">
        <f>AB910</f>
        <v>0</v>
      </c>
      <c r="AG910" s="2527">
        <f>AD910</f>
        <v>0</v>
      </c>
      <c r="AH910" s="2527">
        <f>AF910</f>
        <v>0</v>
      </c>
      <c r="AI910" s="2527">
        <f>AH910</f>
        <v>0</v>
      </c>
    </row>
    <row r="911" spans="1:35" s="38" customFormat="1">
      <c r="A911" s="990">
        <v>885</v>
      </c>
      <c r="B911" s="990">
        <v>1</v>
      </c>
      <c r="C911" s="990">
        <v>911</v>
      </c>
      <c r="D911" s="1121" t="s">
        <v>999</v>
      </c>
      <c r="E911" s="1243">
        <v>1</v>
      </c>
      <c r="F911" s="39"/>
      <c r="G911" s="39"/>
      <c r="H911" s="5"/>
      <c r="I911" s="39"/>
      <c r="J911" s="40"/>
      <c r="K911" s="39"/>
      <c r="L911" s="39"/>
      <c r="M911" s="39"/>
      <c r="N911" s="39"/>
      <c r="O911" s="39"/>
      <c r="P911" s="39"/>
      <c r="Q911" s="1151"/>
      <c r="R911" s="1151"/>
      <c r="S911" s="1151"/>
      <c r="T911" s="1151"/>
      <c r="U911" s="1151"/>
      <c r="V911" s="1151"/>
      <c r="W911" s="2179"/>
      <c r="X911" s="2179"/>
      <c r="Y911" s="2179"/>
      <c r="Z911" s="2179"/>
    </row>
    <row r="912" spans="1:35" s="38" customFormat="1">
      <c r="A912" s="990">
        <v>886</v>
      </c>
      <c r="B912" s="990">
        <v>1</v>
      </c>
      <c r="C912" s="990">
        <v>912</v>
      </c>
      <c r="D912" s="1121" t="s">
        <v>999</v>
      </c>
      <c r="E912" s="1243">
        <v>1</v>
      </c>
      <c r="F912" s="5"/>
      <c r="G912" s="5"/>
      <c r="H912" s="5" t="s">
        <v>1050</v>
      </c>
      <c r="I912" s="5"/>
      <c r="J912" s="4"/>
      <c r="K912" s="5"/>
      <c r="L912" s="5"/>
      <c r="M912" s="4"/>
      <c r="N912" s="4"/>
      <c r="O912" s="4"/>
      <c r="P912" s="4"/>
      <c r="Q912" s="1151"/>
      <c r="R912" s="1151"/>
      <c r="S912" s="1151"/>
      <c r="T912" s="1151"/>
      <c r="U912" s="1151"/>
      <c r="V912" s="1151"/>
      <c r="W912" s="1151"/>
      <c r="X912" s="1151"/>
      <c r="Y912" s="1151"/>
      <c r="Z912" s="1151"/>
    </row>
    <row r="913" spans="1:35" s="38" customFormat="1">
      <c r="A913" s="990">
        <v>887</v>
      </c>
      <c r="B913" s="990">
        <v>1</v>
      </c>
      <c r="C913" s="990">
        <v>913</v>
      </c>
      <c r="D913" s="1121" t="s">
        <v>999</v>
      </c>
      <c r="E913" s="1243">
        <v>1</v>
      </c>
      <c r="F913" s="5"/>
      <c r="G913" s="5"/>
      <c r="H913" s="816"/>
      <c r="I913" s="326" t="s">
        <v>328</v>
      </c>
      <c r="J913" s="829"/>
      <c r="K913" s="1186"/>
      <c r="L913" s="1186"/>
      <c r="M913" s="829"/>
      <c r="N913" s="829"/>
      <c r="O913" s="829"/>
      <c r="P913" s="829"/>
      <c r="Q913" s="125">
        <f t="shared" ref="Q913:AI913" si="545">Q914+Q919+Q925+Q930+Q936</f>
        <v>0</v>
      </c>
      <c r="R913" s="125">
        <f t="shared" si="545"/>
        <v>0</v>
      </c>
      <c r="S913" s="125">
        <f t="shared" si="545"/>
        <v>0</v>
      </c>
      <c r="T913" s="125">
        <f t="shared" si="545"/>
        <v>0</v>
      </c>
      <c r="U913" s="125">
        <f t="shared" si="545"/>
        <v>0</v>
      </c>
      <c r="V913" s="125">
        <f t="shared" si="545"/>
        <v>0</v>
      </c>
      <c r="W913" s="125">
        <f t="shared" si="545"/>
        <v>0</v>
      </c>
      <c r="X913" s="125">
        <f t="shared" si="545"/>
        <v>0</v>
      </c>
      <c r="Y913" s="125">
        <f t="shared" si="545"/>
        <v>0</v>
      </c>
      <c r="Z913" s="125">
        <f t="shared" si="545"/>
        <v>0</v>
      </c>
      <c r="AA913" s="125">
        <f t="shared" si="545"/>
        <v>0</v>
      </c>
      <c r="AB913" s="125">
        <f t="shared" si="545"/>
        <v>0</v>
      </c>
      <c r="AC913" s="125">
        <f t="shared" si="545"/>
        <v>0</v>
      </c>
      <c r="AD913" s="125">
        <f t="shared" si="545"/>
        <v>0</v>
      </c>
      <c r="AE913" s="125">
        <f t="shared" si="545"/>
        <v>0</v>
      </c>
      <c r="AF913" s="125">
        <f t="shared" si="545"/>
        <v>0</v>
      </c>
      <c r="AG913" s="125">
        <f t="shared" si="545"/>
        <v>0</v>
      </c>
      <c r="AH913" s="125">
        <f t="shared" si="545"/>
        <v>0</v>
      </c>
      <c r="AI913" s="125">
        <f t="shared" si="545"/>
        <v>0</v>
      </c>
    </row>
    <row r="914" spans="1:35" s="38" customFormat="1">
      <c r="A914" s="990">
        <v>888</v>
      </c>
      <c r="B914" s="990">
        <v>1</v>
      </c>
      <c r="C914" s="990">
        <v>914</v>
      </c>
      <c r="D914" s="1121" t="s">
        <v>999</v>
      </c>
      <c r="E914" s="1243">
        <v>1</v>
      </c>
      <c r="F914" s="5"/>
      <c r="G914" s="5"/>
      <c r="H914" s="5"/>
      <c r="I914" s="329"/>
      <c r="J914" s="52" t="s">
        <v>62</v>
      </c>
      <c r="K914" s="51"/>
      <c r="L914" s="52"/>
      <c r="M914" s="52"/>
      <c r="N914" s="51"/>
      <c r="O914" s="51"/>
      <c r="P914" s="50"/>
      <c r="Q914" s="49">
        <f>SUM(Q915:Q918)</f>
        <v>0</v>
      </c>
      <c r="R914" s="49">
        <f t="shared" ref="R914:AI914" si="546">SUM(R915:R918)</f>
        <v>0</v>
      </c>
      <c r="S914" s="49">
        <f t="shared" si="546"/>
        <v>0</v>
      </c>
      <c r="T914" s="49">
        <f t="shared" si="546"/>
        <v>0</v>
      </c>
      <c r="U914" s="49">
        <f t="shared" si="546"/>
        <v>0</v>
      </c>
      <c r="V914" s="49">
        <f t="shared" si="546"/>
        <v>0</v>
      </c>
      <c r="W914" s="49">
        <f t="shared" si="546"/>
        <v>0</v>
      </c>
      <c r="X914" s="49">
        <f t="shared" si="546"/>
        <v>0</v>
      </c>
      <c r="Y914" s="49">
        <f t="shared" si="546"/>
        <v>0</v>
      </c>
      <c r="Z914" s="49">
        <f t="shared" si="546"/>
        <v>0</v>
      </c>
      <c r="AA914" s="49">
        <f t="shared" si="546"/>
        <v>0</v>
      </c>
      <c r="AB914" s="49">
        <f t="shared" si="546"/>
        <v>0</v>
      </c>
      <c r="AC914" s="49">
        <f t="shared" si="546"/>
        <v>0</v>
      </c>
      <c r="AD914" s="49">
        <f t="shared" si="546"/>
        <v>0</v>
      </c>
      <c r="AE914" s="49">
        <f t="shared" si="546"/>
        <v>0</v>
      </c>
      <c r="AF914" s="49">
        <f t="shared" si="546"/>
        <v>0</v>
      </c>
      <c r="AG914" s="49">
        <f t="shared" si="546"/>
        <v>0</v>
      </c>
      <c r="AH914" s="49">
        <f t="shared" si="546"/>
        <v>0</v>
      </c>
      <c r="AI914" s="49">
        <f t="shared" si="546"/>
        <v>0</v>
      </c>
    </row>
    <row r="915" spans="1:35" s="38" customFormat="1">
      <c r="A915" s="990">
        <v>889</v>
      </c>
      <c r="B915" s="990">
        <v>1</v>
      </c>
      <c r="C915" s="990">
        <v>915</v>
      </c>
      <c r="E915" s="1243">
        <v>1</v>
      </c>
      <c r="F915" s="5"/>
      <c r="G915" s="5"/>
      <c r="H915" s="5"/>
      <c r="I915" s="329"/>
      <c r="J915" s="5"/>
      <c r="K915" s="4"/>
      <c r="L915" s="5"/>
      <c r="M915" s="5"/>
      <c r="N915" s="45"/>
      <c r="O915" s="45" t="s">
        <v>125</v>
      </c>
      <c r="P915" s="4"/>
      <c r="Q915" s="2030"/>
      <c r="R915" s="2030"/>
      <c r="S915" s="2030"/>
      <c r="T915" s="2030"/>
      <c r="U915" s="2030"/>
      <c r="V915" s="2030"/>
      <c r="W915" s="2030"/>
      <c r="X915" s="2030"/>
      <c r="Y915" s="2030"/>
      <c r="Z915" s="2030"/>
      <c r="AA915" s="2030"/>
      <c r="AB915" s="2030"/>
      <c r="AC915" s="44">
        <f>S915</f>
        <v>0</v>
      </c>
      <c r="AD915" s="44">
        <f>V915</f>
        <v>0</v>
      </c>
      <c r="AE915" s="44">
        <f>Y915</f>
        <v>0</v>
      </c>
      <c r="AF915" s="44">
        <f>AB915</f>
        <v>0</v>
      </c>
      <c r="AG915" s="44">
        <f>AD915</f>
        <v>0</v>
      </c>
      <c r="AH915" s="44">
        <f>AF915</f>
        <v>0</v>
      </c>
      <c r="AI915" s="44">
        <f>AH915</f>
        <v>0</v>
      </c>
    </row>
    <row r="916" spans="1:35" s="38" customFormat="1">
      <c r="A916" s="990">
        <v>890</v>
      </c>
      <c r="B916" s="990">
        <v>1</v>
      </c>
      <c r="C916" s="990">
        <v>916</v>
      </c>
      <c r="E916" s="1243">
        <v>1</v>
      </c>
      <c r="F916" s="5"/>
      <c r="G916" s="5"/>
      <c r="H916" s="5"/>
      <c r="I916" s="329"/>
      <c r="J916" s="5"/>
      <c r="K916" s="4"/>
      <c r="L916" s="5"/>
      <c r="M916" s="5"/>
      <c r="N916" s="45"/>
      <c r="O916" s="45" t="s">
        <v>124</v>
      </c>
      <c r="P916" s="4"/>
      <c r="Q916" s="2030"/>
      <c r="R916" s="2030"/>
      <c r="S916" s="2030"/>
      <c r="T916" s="2030"/>
      <c r="U916" s="2030"/>
      <c r="V916" s="2030"/>
      <c r="W916" s="2030"/>
      <c r="X916" s="2030"/>
      <c r="Y916" s="2030"/>
      <c r="Z916" s="2030"/>
      <c r="AA916" s="2030"/>
      <c r="AB916" s="2030"/>
      <c r="AC916" s="44">
        <f>S916</f>
        <v>0</v>
      </c>
      <c r="AD916" s="44">
        <f>V916</f>
        <v>0</v>
      </c>
      <c r="AE916" s="44">
        <f>Y916</f>
        <v>0</v>
      </c>
      <c r="AF916" s="44">
        <f>AB916</f>
        <v>0</v>
      </c>
      <c r="AG916" s="44">
        <f>AD916</f>
        <v>0</v>
      </c>
      <c r="AH916" s="44">
        <f>AF916</f>
        <v>0</v>
      </c>
      <c r="AI916" s="44">
        <f>AH916</f>
        <v>0</v>
      </c>
    </row>
    <row r="917" spans="1:35" s="38" customFormat="1">
      <c r="A917" s="990">
        <v>891</v>
      </c>
      <c r="B917" s="990">
        <v>1</v>
      </c>
      <c r="C917" s="990">
        <v>917</v>
      </c>
      <c r="E917" s="1243">
        <v>1</v>
      </c>
      <c r="F917" s="5"/>
      <c r="G917" s="5"/>
      <c r="H917" s="5"/>
      <c r="I917" s="329"/>
      <c r="J917" s="5"/>
      <c r="K917" s="4"/>
      <c r="L917" s="5"/>
      <c r="M917" s="5"/>
      <c r="N917" s="45"/>
      <c r="O917" s="45" t="s">
        <v>123</v>
      </c>
      <c r="P917" s="4"/>
      <c r="Q917" s="2030"/>
      <c r="R917" s="2030"/>
      <c r="S917" s="2030"/>
      <c r="T917" s="2030"/>
      <c r="U917" s="2030"/>
      <c r="V917" s="2030"/>
      <c r="W917" s="2030"/>
      <c r="X917" s="2030"/>
      <c r="Y917" s="2030"/>
      <c r="Z917" s="2030"/>
      <c r="AA917" s="2030"/>
      <c r="AB917" s="2030"/>
      <c r="AC917" s="44">
        <f>S917</f>
        <v>0</v>
      </c>
      <c r="AD917" s="44">
        <f>V917</f>
        <v>0</v>
      </c>
      <c r="AE917" s="44">
        <f>Y917</f>
        <v>0</v>
      </c>
      <c r="AF917" s="44">
        <f>AB917</f>
        <v>0</v>
      </c>
      <c r="AG917" s="44">
        <f>AD917</f>
        <v>0</v>
      </c>
      <c r="AH917" s="44">
        <f>AF917</f>
        <v>0</v>
      </c>
      <c r="AI917" s="44">
        <f>AH917</f>
        <v>0</v>
      </c>
    </row>
    <row r="918" spans="1:35" s="38" customFormat="1">
      <c r="A918" s="990">
        <v>892</v>
      </c>
      <c r="B918" s="990">
        <v>1</v>
      </c>
      <c r="C918" s="990">
        <v>918</v>
      </c>
      <c r="E918" s="1243">
        <v>1</v>
      </c>
      <c r="F918" s="5"/>
      <c r="G918" s="5"/>
      <c r="H918" s="5"/>
      <c r="I918" s="329"/>
      <c r="J918" s="3"/>
      <c r="K918" s="2"/>
      <c r="L918" s="3"/>
      <c r="M918" s="3"/>
      <c r="N918" s="43"/>
      <c r="O918" s="43" t="s">
        <v>120</v>
      </c>
      <c r="P918" s="2"/>
      <c r="Q918" s="2029"/>
      <c r="R918" s="2029"/>
      <c r="S918" s="2029"/>
      <c r="T918" s="2029"/>
      <c r="U918" s="2029"/>
      <c r="V918" s="2029"/>
      <c r="W918" s="2029"/>
      <c r="X918" s="2029"/>
      <c r="Y918" s="2029"/>
      <c r="Z918" s="2029"/>
      <c r="AA918" s="2029"/>
      <c r="AB918" s="2029"/>
      <c r="AC918" s="42">
        <f>S918</f>
        <v>0</v>
      </c>
      <c r="AD918" s="42">
        <f>V918</f>
        <v>0</v>
      </c>
      <c r="AE918" s="42">
        <f>Y918</f>
        <v>0</v>
      </c>
      <c r="AF918" s="42">
        <f>AB918</f>
        <v>0</v>
      </c>
      <c r="AG918" s="42">
        <f>AD918</f>
        <v>0</v>
      </c>
      <c r="AH918" s="42">
        <f>AF918</f>
        <v>0</v>
      </c>
      <c r="AI918" s="42">
        <f>AH918</f>
        <v>0</v>
      </c>
    </row>
    <row r="919" spans="1:35" s="38" customFormat="1">
      <c r="A919" s="990">
        <v>893</v>
      </c>
      <c r="B919" s="990">
        <v>1</v>
      </c>
      <c r="C919" s="990">
        <v>919</v>
      </c>
      <c r="D919" s="1121" t="s">
        <v>999</v>
      </c>
      <c r="E919" s="1243">
        <v>1</v>
      </c>
      <c r="F919" s="5"/>
      <c r="G919" s="5"/>
      <c r="H919" s="5"/>
      <c r="I919" s="329"/>
      <c r="J919" s="52" t="s">
        <v>330</v>
      </c>
      <c r="K919" s="51"/>
      <c r="L919" s="52"/>
      <c r="M919" s="52"/>
      <c r="N919" s="51"/>
      <c r="O919" s="51"/>
      <c r="P919" s="50"/>
      <c r="Q919" s="49">
        <f>SUM(Q920:Q924)</f>
        <v>0</v>
      </c>
      <c r="R919" s="49">
        <f t="shared" ref="R919:AI919" si="547">SUM(R920:R924)</f>
        <v>0</v>
      </c>
      <c r="S919" s="49">
        <f t="shared" si="547"/>
        <v>0</v>
      </c>
      <c r="T919" s="49">
        <f t="shared" si="547"/>
        <v>0</v>
      </c>
      <c r="U919" s="49">
        <f t="shared" si="547"/>
        <v>0</v>
      </c>
      <c r="V919" s="49">
        <f t="shared" si="547"/>
        <v>0</v>
      </c>
      <c r="W919" s="49">
        <f t="shared" si="547"/>
        <v>0</v>
      </c>
      <c r="X919" s="49">
        <f t="shared" si="547"/>
        <v>0</v>
      </c>
      <c r="Y919" s="49">
        <f t="shared" si="547"/>
        <v>0</v>
      </c>
      <c r="Z919" s="49">
        <f t="shared" si="547"/>
        <v>0</v>
      </c>
      <c r="AA919" s="49">
        <f t="shared" si="547"/>
        <v>0</v>
      </c>
      <c r="AB919" s="49">
        <f t="shared" si="547"/>
        <v>0</v>
      </c>
      <c r="AC919" s="49">
        <f t="shared" si="547"/>
        <v>0</v>
      </c>
      <c r="AD919" s="49">
        <f t="shared" si="547"/>
        <v>0</v>
      </c>
      <c r="AE919" s="49">
        <f t="shared" si="547"/>
        <v>0</v>
      </c>
      <c r="AF919" s="49">
        <f t="shared" si="547"/>
        <v>0</v>
      </c>
      <c r="AG919" s="49">
        <f t="shared" si="547"/>
        <v>0</v>
      </c>
      <c r="AH919" s="49">
        <f t="shared" si="547"/>
        <v>0</v>
      </c>
      <c r="AI919" s="49">
        <f t="shared" si="547"/>
        <v>0</v>
      </c>
    </row>
    <row r="920" spans="1:35" s="38" customFormat="1">
      <c r="A920" s="990">
        <v>894</v>
      </c>
      <c r="B920" s="990">
        <v>1</v>
      </c>
      <c r="C920" s="990">
        <v>920</v>
      </c>
      <c r="E920" s="1243">
        <v>1</v>
      </c>
      <c r="F920" s="5"/>
      <c r="G920" s="5"/>
      <c r="H920" s="5"/>
      <c r="I920" s="329"/>
      <c r="J920" s="5"/>
      <c r="K920" s="4"/>
      <c r="L920" s="5"/>
      <c r="M920" s="5"/>
      <c r="N920" s="45"/>
      <c r="O920" s="45" t="s">
        <v>67</v>
      </c>
      <c r="P920" s="4"/>
      <c r="Q920" s="2030"/>
      <c r="R920" s="2030"/>
      <c r="S920" s="2030"/>
      <c r="T920" s="2030"/>
      <c r="U920" s="2030"/>
      <c r="V920" s="2030"/>
      <c r="W920" s="2030"/>
      <c r="X920" s="2030"/>
      <c r="Y920" s="2030"/>
      <c r="Z920" s="2030"/>
      <c r="AA920" s="2030"/>
      <c r="AB920" s="2030"/>
      <c r="AC920" s="44">
        <f>S920</f>
        <v>0</v>
      </c>
      <c r="AD920" s="44">
        <f>V920</f>
        <v>0</v>
      </c>
      <c r="AE920" s="44">
        <f>Y920</f>
        <v>0</v>
      </c>
      <c r="AF920" s="44">
        <f>AB920</f>
        <v>0</v>
      </c>
      <c r="AG920" s="44">
        <f>AD920</f>
        <v>0</v>
      </c>
      <c r="AH920" s="44">
        <f>AF920</f>
        <v>0</v>
      </c>
      <c r="AI920" s="44">
        <f>AH920</f>
        <v>0</v>
      </c>
    </row>
    <row r="921" spans="1:35" s="38" customFormat="1">
      <c r="A921" s="990">
        <v>895</v>
      </c>
      <c r="B921" s="990">
        <v>1</v>
      </c>
      <c r="C921" s="990">
        <v>921</v>
      </c>
      <c r="E921" s="1243">
        <v>1</v>
      </c>
      <c r="F921" s="5"/>
      <c r="G921" s="5"/>
      <c r="H921" s="5"/>
      <c r="I921" s="329"/>
      <c r="J921" s="5"/>
      <c r="K921" s="4"/>
      <c r="L921" s="5"/>
      <c r="M921" s="5"/>
      <c r="N921" s="45"/>
      <c r="O921" s="45" t="s">
        <v>68</v>
      </c>
      <c r="P921" s="4"/>
      <c r="Q921" s="2030"/>
      <c r="R921" s="2030"/>
      <c r="S921" s="2030"/>
      <c r="T921" s="2030"/>
      <c r="U921" s="2030"/>
      <c r="V921" s="2030"/>
      <c r="W921" s="2030"/>
      <c r="X921" s="2030"/>
      <c r="Y921" s="2030"/>
      <c r="Z921" s="2030"/>
      <c r="AA921" s="2030"/>
      <c r="AB921" s="2030"/>
      <c r="AC921" s="44">
        <f>S921</f>
        <v>0</v>
      </c>
      <c r="AD921" s="44">
        <f>V921</f>
        <v>0</v>
      </c>
      <c r="AE921" s="44">
        <f>Y921</f>
        <v>0</v>
      </c>
      <c r="AF921" s="44">
        <f>AB921</f>
        <v>0</v>
      </c>
      <c r="AG921" s="44">
        <f>AD921</f>
        <v>0</v>
      </c>
      <c r="AH921" s="44">
        <f>AF921</f>
        <v>0</v>
      </c>
      <c r="AI921" s="44">
        <f>AH921</f>
        <v>0</v>
      </c>
    </row>
    <row r="922" spans="1:35" s="38" customFormat="1">
      <c r="A922" s="990">
        <v>896</v>
      </c>
      <c r="B922" s="990">
        <v>1</v>
      </c>
      <c r="C922" s="990">
        <v>922</v>
      </c>
      <c r="E922" s="1243">
        <v>1</v>
      </c>
      <c r="F922" s="5"/>
      <c r="G922" s="5"/>
      <c r="H922" s="5"/>
      <c r="I922" s="329"/>
      <c r="J922" s="5"/>
      <c r="K922" s="4"/>
      <c r="L922" s="5"/>
      <c r="M922" s="5"/>
      <c r="N922" s="45"/>
      <c r="O922" s="45" t="s">
        <v>122</v>
      </c>
      <c r="P922" s="4"/>
      <c r="Q922" s="2030"/>
      <c r="R922" s="2030"/>
      <c r="S922" s="2030"/>
      <c r="T922" s="2030"/>
      <c r="U922" s="2030"/>
      <c r="V922" s="2030"/>
      <c r="W922" s="2030"/>
      <c r="X922" s="2030"/>
      <c r="Y922" s="2030"/>
      <c r="Z922" s="2030"/>
      <c r="AA922" s="2030"/>
      <c r="AB922" s="2030"/>
      <c r="AC922" s="44">
        <f>S922</f>
        <v>0</v>
      </c>
      <c r="AD922" s="44">
        <f>V922</f>
        <v>0</v>
      </c>
      <c r="AE922" s="44">
        <f>Y922</f>
        <v>0</v>
      </c>
      <c r="AF922" s="44">
        <f>AB922</f>
        <v>0</v>
      </c>
      <c r="AG922" s="44">
        <f>AD922</f>
        <v>0</v>
      </c>
      <c r="AH922" s="44">
        <f>AF922</f>
        <v>0</v>
      </c>
      <c r="AI922" s="44">
        <f>AH922</f>
        <v>0</v>
      </c>
    </row>
    <row r="923" spans="1:35" s="38" customFormat="1">
      <c r="A923" s="990">
        <v>897</v>
      </c>
      <c r="B923" s="990">
        <v>1</v>
      </c>
      <c r="C923" s="990">
        <v>923</v>
      </c>
      <c r="E923" s="1243">
        <v>1</v>
      </c>
      <c r="F923" s="5"/>
      <c r="G923" s="5"/>
      <c r="H923" s="5"/>
      <c r="I923" s="329"/>
      <c r="J923" s="5"/>
      <c r="K923" s="4"/>
      <c r="L923" s="5"/>
      <c r="M923" s="5"/>
      <c r="N923" s="45"/>
      <c r="O923" s="45" t="s">
        <v>121</v>
      </c>
      <c r="P923" s="4"/>
      <c r="Q923" s="2030"/>
      <c r="R923" s="2030"/>
      <c r="S923" s="2030"/>
      <c r="T923" s="2030"/>
      <c r="U923" s="2030"/>
      <c r="V923" s="2030"/>
      <c r="W923" s="2030"/>
      <c r="X923" s="2030"/>
      <c r="Y923" s="2030"/>
      <c r="Z923" s="2030"/>
      <c r="AA923" s="2030"/>
      <c r="AB923" s="2030"/>
      <c r="AC923" s="44">
        <f>S923</f>
        <v>0</v>
      </c>
      <c r="AD923" s="44">
        <f>V923</f>
        <v>0</v>
      </c>
      <c r="AE923" s="44">
        <f>Y923</f>
        <v>0</v>
      </c>
      <c r="AF923" s="44">
        <f>AB923</f>
        <v>0</v>
      </c>
      <c r="AG923" s="44">
        <f>AD923</f>
        <v>0</v>
      </c>
      <c r="AH923" s="44">
        <f>AF923</f>
        <v>0</v>
      </c>
      <c r="AI923" s="44">
        <f>AH923</f>
        <v>0</v>
      </c>
    </row>
    <row r="924" spans="1:35" s="38" customFormat="1">
      <c r="A924" s="990">
        <v>898</v>
      </c>
      <c r="B924" s="990">
        <v>1</v>
      </c>
      <c r="C924" s="990">
        <v>924</v>
      </c>
      <c r="E924" s="1243">
        <v>1</v>
      </c>
      <c r="F924" s="5"/>
      <c r="G924" s="5"/>
      <c r="H924" s="5"/>
      <c r="I924" s="329"/>
      <c r="J924" s="5"/>
      <c r="K924" s="4"/>
      <c r="L924" s="5"/>
      <c r="M924" s="5"/>
      <c r="N924" s="45"/>
      <c r="O924" s="45" t="s">
        <v>120</v>
      </c>
      <c r="P924" s="4"/>
      <c r="Q924" s="2030"/>
      <c r="R924" s="2030"/>
      <c r="S924" s="2030"/>
      <c r="T924" s="2030"/>
      <c r="U924" s="2030"/>
      <c r="V924" s="2030"/>
      <c r="W924" s="2030"/>
      <c r="X924" s="2030"/>
      <c r="Y924" s="2030"/>
      <c r="Z924" s="2030"/>
      <c r="AA924" s="2030"/>
      <c r="AB924" s="2030"/>
      <c r="AC924" s="44">
        <f>S924</f>
        <v>0</v>
      </c>
      <c r="AD924" s="44">
        <f>V924</f>
        <v>0</v>
      </c>
      <c r="AE924" s="44">
        <f>Y924</f>
        <v>0</v>
      </c>
      <c r="AF924" s="44">
        <f>AB924</f>
        <v>0</v>
      </c>
      <c r="AG924" s="44">
        <f>AD924</f>
        <v>0</v>
      </c>
      <c r="AH924" s="44">
        <f>AF924</f>
        <v>0</v>
      </c>
      <c r="AI924" s="44">
        <f>AH924</f>
        <v>0</v>
      </c>
    </row>
    <row r="925" spans="1:35" s="38" customFormat="1">
      <c r="A925" s="990">
        <v>899</v>
      </c>
      <c r="B925" s="990">
        <v>1</v>
      </c>
      <c r="C925" s="990">
        <v>925</v>
      </c>
      <c r="D925" s="1121" t="s">
        <v>999</v>
      </c>
      <c r="E925" s="1243">
        <v>1</v>
      </c>
      <c r="F925" s="5"/>
      <c r="G925" s="5"/>
      <c r="H925" s="5"/>
      <c r="I925" s="329"/>
      <c r="J925" s="324" t="s">
        <v>331</v>
      </c>
      <c r="K925" s="323"/>
      <c r="L925" s="324"/>
      <c r="M925" s="324"/>
      <c r="N925" s="323"/>
      <c r="O925" s="323"/>
      <c r="P925" s="1203"/>
      <c r="Q925" s="325">
        <f>SUM(Q926:Q929)</f>
        <v>0</v>
      </c>
      <c r="R925" s="325">
        <f t="shared" ref="R925:AI925" si="548">SUM(R926:R929)</f>
        <v>0</v>
      </c>
      <c r="S925" s="325">
        <f t="shared" si="548"/>
        <v>0</v>
      </c>
      <c r="T925" s="325">
        <f t="shared" si="548"/>
        <v>0</v>
      </c>
      <c r="U925" s="325">
        <f t="shared" si="548"/>
        <v>0</v>
      </c>
      <c r="V925" s="325">
        <f t="shared" si="548"/>
        <v>0</v>
      </c>
      <c r="W925" s="325">
        <f t="shared" si="548"/>
        <v>0</v>
      </c>
      <c r="X925" s="325">
        <f t="shared" si="548"/>
        <v>0</v>
      </c>
      <c r="Y925" s="325">
        <f t="shared" si="548"/>
        <v>0</v>
      </c>
      <c r="Z925" s="325">
        <f t="shared" si="548"/>
        <v>0</v>
      </c>
      <c r="AA925" s="325">
        <f t="shared" si="548"/>
        <v>0</v>
      </c>
      <c r="AB925" s="325">
        <f t="shared" si="548"/>
        <v>0</v>
      </c>
      <c r="AC925" s="325">
        <f t="shared" si="548"/>
        <v>0</v>
      </c>
      <c r="AD925" s="325">
        <f t="shared" si="548"/>
        <v>0</v>
      </c>
      <c r="AE925" s="325">
        <f t="shared" si="548"/>
        <v>0</v>
      </c>
      <c r="AF925" s="325">
        <f t="shared" si="548"/>
        <v>0</v>
      </c>
      <c r="AG925" s="325">
        <f t="shared" si="548"/>
        <v>0</v>
      </c>
      <c r="AH925" s="325">
        <f t="shared" si="548"/>
        <v>0</v>
      </c>
      <c r="AI925" s="325">
        <f t="shared" si="548"/>
        <v>0</v>
      </c>
    </row>
    <row r="926" spans="1:35" s="38" customFormat="1">
      <c r="A926" s="990">
        <v>900</v>
      </c>
      <c r="B926" s="990">
        <v>1</v>
      </c>
      <c r="C926" s="990">
        <v>926</v>
      </c>
      <c r="E926" s="1243">
        <v>1</v>
      </c>
      <c r="F926" s="5"/>
      <c r="G926" s="5"/>
      <c r="H926" s="5"/>
      <c r="I926" s="329"/>
      <c r="J926" s="5"/>
      <c r="K926" s="4"/>
      <c r="L926" s="5"/>
      <c r="M926" s="5"/>
      <c r="N926" s="45"/>
      <c r="O926" s="45" t="s">
        <v>323</v>
      </c>
      <c r="P926" s="4"/>
      <c r="Q926" s="2030"/>
      <c r="R926" s="2030"/>
      <c r="S926" s="2030"/>
      <c r="T926" s="2030"/>
      <c r="U926" s="2030"/>
      <c r="V926" s="2030"/>
      <c r="W926" s="2030"/>
      <c r="X926" s="2030"/>
      <c r="Y926" s="2030"/>
      <c r="Z926" s="2030"/>
      <c r="AA926" s="2030"/>
      <c r="AB926" s="2030"/>
      <c r="AC926" s="44">
        <f>S926</f>
        <v>0</v>
      </c>
      <c r="AD926" s="44">
        <f>V926</f>
        <v>0</v>
      </c>
      <c r="AE926" s="44">
        <f>Y926</f>
        <v>0</v>
      </c>
      <c r="AF926" s="44">
        <f>AB926</f>
        <v>0</v>
      </c>
      <c r="AG926" s="44">
        <f>AD926</f>
        <v>0</v>
      </c>
      <c r="AH926" s="44">
        <f>AF926</f>
        <v>0</v>
      </c>
      <c r="AI926" s="44">
        <f>AH926</f>
        <v>0</v>
      </c>
    </row>
    <row r="927" spans="1:35" s="38" customFormat="1">
      <c r="A927" s="990">
        <v>901</v>
      </c>
      <c r="B927" s="990">
        <v>1</v>
      </c>
      <c r="C927" s="990">
        <v>927</v>
      </c>
      <c r="E927" s="1243">
        <v>1</v>
      </c>
      <c r="F927" s="5"/>
      <c r="G927" s="5"/>
      <c r="H927" s="5"/>
      <c r="I927" s="329"/>
      <c r="J927" s="5"/>
      <c r="K927" s="4"/>
      <c r="L927" s="5"/>
      <c r="M927" s="5"/>
      <c r="N927" s="45"/>
      <c r="O927" s="45" t="s">
        <v>324</v>
      </c>
      <c r="P927" s="4"/>
      <c r="Q927" s="2030"/>
      <c r="R927" s="2030"/>
      <c r="S927" s="2030"/>
      <c r="T927" s="2030"/>
      <c r="U927" s="2030"/>
      <c r="V927" s="2030"/>
      <c r="W927" s="2030"/>
      <c r="X927" s="2030"/>
      <c r="Y927" s="2030"/>
      <c r="Z927" s="2030"/>
      <c r="AA927" s="2030"/>
      <c r="AB927" s="2030"/>
      <c r="AC927" s="44">
        <f>S927</f>
        <v>0</v>
      </c>
      <c r="AD927" s="44">
        <f>V927</f>
        <v>0</v>
      </c>
      <c r="AE927" s="44">
        <f>Y927</f>
        <v>0</v>
      </c>
      <c r="AF927" s="44">
        <f>AB927</f>
        <v>0</v>
      </c>
      <c r="AG927" s="44">
        <f>AD927</f>
        <v>0</v>
      </c>
      <c r="AH927" s="44">
        <f>AF927</f>
        <v>0</v>
      </c>
      <c r="AI927" s="44">
        <f>AH927</f>
        <v>0</v>
      </c>
    </row>
    <row r="928" spans="1:35" s="38" customFormat="1">
      <c r="A928" s="990">
        <v>902</v>
      </c>
      <c r="B928" s="990">
        <v>1</v>
      </c>
      <c r="C928" s="990">
        <v>928</v>
      </c>
      <c r="E928" s="1243">
        <v>1</v>
      </c>
      <c r="F928" s="5"/>
      <c r="G928" s="5"/>
      <c r="H928" s="5"/>
      <c r="I928" s="329"/>
      <c r="J928" s="5"/>
      <c r="K928" s="4"/>
      <c r="L928" s="5"/>
      <c r="M928" s="5"/>
      <c r="N928" s="45"/>
      <c r="O928" s="45" t="s">
        <v>325</v>
      </c>
      <c r="P928" s="4"/>
      <c r="Q928" s="2030"/>
      <c r="R928" s="2030"/>
      <c r="S928" s="2030"/>
      <c r="T928" s="2030"/>
      <c r="U928" s="2030"/>
      <c r="V928" s="2030"/>
      <c r="W928" s="2030"/>
      <c r="X928" s="2030"/>
      <c r="Y928" s="2030"/>
      <c r="Z928" s="2030"/>
      <c r="AA928" s="2030"/>
      <c r="AB928" s="2030"/>
      <c r="AC928" s="44">
        <f>S928</f>
        <v>0</v>
      </c>
      <c r="AD928" s="44">
        <f>V928</f>
        <v>0</v>
      </c>
      <c r="AE928" s="44">
        <f>Y928</f>
        <v>0</v>
      </c>
      <c r="AF928" s="44">
        <f>AB928</f>
        <v>0</v>
      </c>
      <c r="AG928" s="44">
        <f>AD928</f>
        <v>0</v>
      </c>
      <c r="AH928" s="44">
        <f>AF928</f>
        <v>0</v>
      </c>
      <c r="AI928" s="44">
        <f>AH928</f>
        <v>0</v>
      </c>
    </row>
    <row r="929" spans="1:35" s="38" customFormat="1">
      <c r="A929" s="990">
        <v>903</v>
      </c>
      <c r="B929" s="990">
        <v>1</v>
      </c>
      <c r="C929" s="990">
        <v>929</v>
      </c>
      <c r="E929" s="1243">
        <v>1</v>
      </c>
      <c r="F929" s="5"/>
      <c r="G929" s="5"/>
      <c r="H929" s="5"/>
      <c r="I929" s="329"/>
      <c r="J929" s="3"/>
      <c r="K929" s="2"/>
      <c r="L929" s="3"/>
      <c r="M929" s="3"/>
      <c r="N929" s="43"/>
      <c r="O929" s="43" t="s">
        <v>326</v>
      </c>
      <c r="P929" s="2"/>
      <c r="Q929" s="2029"/>
      <c r="R929" s="2029"/>
      <c r="S929" s="2029"/>
      <c r="T929" s="2029"/>
      <c r="U929" s="2029"/>
      <c r="V929" s="2029"/>
      <c r="W929" s="2029"/>
      <c r="X929" s="2029"/>
      <c r="Y929" s="2029"/>
      <c r="Z929" s="2029"/>
      <c r="AA929" s="2029"/>
      <c r="AB929" s="2029"/>
      <c r="AC929" s="42">
        <f>S929</f>
        <v>0</v>
      </c>
      <c r="AD929" s="42">
        <f>V929</f>
        <v>0</v>
      </c>
      <c r="AE929" s="42">
        <f>Y929</f>
        <v>0</v>
      </c>
      <c r="AF929" s="42">
        <f>AB929</f>
        <v>0</v>
      </c>
      <c r="AG929" s="42">
        <f>AD929</f>
        <v>0</v>
      </c>
      <c r="AH929" s="42">
        <f>AF929</f>
        <v>0</v>
      </c>
      <c r="AI929" s="42">
        <f>AH929</f>
        <v>0</v>
      </c>
    </row>
    <row r="930" spans="1:35" s="38" customFormat="1">
      <c r="A930" s="990">
        <v>904</v>
      </c>
      <c r="B930" s="990">
        <v>1</v>
      </c>
      <c r="C930" s="990">
        <v>930</v>
      </c>
      <c r="D930" s="1121" t="s">
        <v>999</v>
      </c>
      <c r="E930" s="1243">
        <v>1</v>
      </c>
      <c r="F930" s="5"/>
      <c r="G930" s="5"/>
      <c r="H930" s="5"/>
      <c r="I930" s="329"/>
      <c r="J930" s="52" t="s">
        <v>73</v>
      </c>
      <c r="K930" s="51"/>
      <c r="L930" s="52"/>
      <c r="M930" s="52"/>
      <c r="N930" s="51"/>
      <c r="O930" s="51"/>
      <c r="P930" s="50"/>
      <c r="Q930" s="49">
        <f>SUM(Q931:Q935)</f>
        <v>0</v>
      </c>
      <c r="R930" s="49">
        <f t="shared" ref="R930:AI930" si="549">SUM(R931:R935)</f>
        <v>0</v>
      </c>
      <c r="S930" s="49">
        <f t="shared" si="549"/>
        <v>0</v>
      </c>
      <c r="T930" s="49">
        <f t="shared" si="549"/>
        <v>0</v>
      </c>
      <c r="U930" s="49">
        <f t="shared" si="549"/>
        <v>0</v>
      </c>
      <c r="V930" s="49">
        <f t="shared" si="549"/>
        <v>0</v>
      </c>
      <c r="W930" s="49">
        <f t="shared" si="549"/>
        <v>0</v>
      </c>
      <c r="X930" s="49">
        <f t="shared" si="549"/>
        <v>0</v>
      </c>
      <c r="Y930" s="49">
        <f t="shared" si="549"/>
        <v>0</v>
      </c>
      <c r="Z930" s="49">
        <f t="shared" si="549"/>
        <v>0</v>
      </c>
      <c r="AA930" s="49">
        <f t="shared" si="549"/>
        <v>0</v>
      </c>
      <c r="AB930" s="49">
        <f t="shared" si="549"/>
        <v>0</v>
      </c>
      <c r="AC930" s="49">
        <f t="shared" si="549"/>
        <v>0</v>
      </c>
      <c r="AD930" s="49">
        <f t="shared" si="549"/>
        <v>0</v>
      </c>
      <c r="AE930" s="49">
        <f t="shared" si="549"/>
        <v>0</v>
      </c>
      <c r="AF930" s="49">
        <f t="shared" si="549"/>
        <v>0</v>
      </c>
      <c r="AG930" s="49">
        <f t="shared" si="549"/>
        <v>0</v>
      </c>
      <c r="AH930" s="49">
        <f t="shared" si="549"/>
        <v>0</v>
      </c>
      <c r="AI930" s="49">
        <f t="shared" si="549"/>
        <v>0</v>
      </c>
    </row>
    <row r="931" spans="1:35" s="38" customFormat="1">
      <c r="A931" s="990">
        <v>905</v>
      </c>
      <c r="B931" s="990">
        <v>1</v>
      </c>
      <c r="C931" s="990">
        <v>931</v>
      </c>
      <c r="E931" s="1243">
        <v>1</v>
      </c>
      <c r="F931" s="5"/>
      <c r="G931" s="5"/>
      <c r="H931" s="5"/>
      <c r="I931" s="329"/>
      <c r="J931" s="5"/>
      <c r="K931" s="4"/>
      <c r="L931" s="5"/>
      <c r="M931" s="4"/>
      <c r="N931" s="45"/>
      <c r="O931" s="45" t="s">
        <v>119</v>
      </c>
      <c r="P931" s="1204"/>
      <c r="Q931" s="2030"/>
      <c r="R931" s="2030"/>
      <c r="S931" s="2030"/>
      <c r="T931" s="2030"/>
      <c r="U931" s="2030"/>
      <c r="V931" s="2030"/>
      <c r="W931" s="2030"/>
      <c r="X931" s="2030"/>
      <c r="Y931" s="2030"/>
      <c r="Z931" s="2030"/>
      <c r="AA931" s="2030"/>
      <c r="AB931" s="2030"/>
      <c r="AC931" s="44">
        <f>S931</f>
        <v>0</v>
      </c>
      <c r="AD931" s="44">
        <f>V931</f>
        <v>0</v>
      </c>
      <c r="AE931" s="44">
        <f>Y931</f>
        <v>0</v>
      </c>
      <c r="AF931" s="44">
        <f>AB931</f>
        <v>0</v>
      </c>
      <c r="AG931" s="44">
        <f>AD931</f>
        <v>0</v>
      </c>
      <c r="AH931" s="44">
        <f>AF931</f>
        <v>0</v>
      </c>
      <c r="AI931" s="44">
        <f>AH931</f>
        <v>0</v>
      </c>
    </row>
    <row r="932" spans="1:35" s="38" customFormat="1">
      <c r="A932" s="990">
        <v>906</v>
      </c>
      <c r="B932" s="990">
        <v>1</v>
      </c>
      <c r="C932" s="990">
        <v>932</v>
      </c>
      <c r="E932" s="1243">
        <v>1</v>
      </c>
      <c r="F932" s="5"/>
      <c r="G932" s="5"/>
      <c r="H932" s="5"/>
      <c r="I932" s="329"/>
      <c r="J932" s="5"/>
      <c r="K932" s="4"/>
      <c r="L932" s="5"/>
      <c r="M932" s="4"/>
      <c r="N932" s="45"/>
      <c r="O932" s="45" t="s">
        <v>75</v>
      </c>
      <c r="P932" s="1204"/>
      <c r="Q932" s="2030"/>
      <c r="R932" s="2030"/>
      <c r="S932" s="2030"/>
      <c r="T932" s="2030"/>
      <c r="U932" s="2030"/>
      <c r="V932" s="2030"/>
      <c r="W932" s="2030"/>
      <c r="X932" s="2030"/>
      <c r="Y932" s="2030"/>
      <c r="Z932" s="2030"/>
      <c r="AA932" s="2030"/>
      <c r="AB932" s="2030"/>
      <c r="AC932" s="44">
        <f>S932</f>
        <v>0</v>
      </c>
      <c r="AD932" s="44">
        <f>V932</f>
        <v>0</v>
      </c>
      <c r="AE932" s="44">
        <f>Y932</f>
        <v>0</v>
      </c>
      <c r="AF932" s="44">
        <f>AB932</f>
        <v>0</v>
      </c>
      <c r="AG932" s="44">
        <f>AD932</f>
        <v>0</v>
      </c>
      <c r="AH932" s="44">
        <f>AF932</f>
        <v>0</v>
      </c>
      <c r="AI932" s="44">
        <f>AH932</f>
        <v>0</v>
      </c>
    </row>
    <row r="933" spans="1:35" s="38" customFormat="1">
      <c r="A933" s="990">
        <v>907</v>
      </c>
      <c r="B933" s="990">
        <v>1</v>
      </c>
      <c r="C933" s="990">
        <v>933</v>
      </c>
      <c r="E933" s="1243">
        <v>1</v>
      </c>
      <c r="F933" s="5"/>
      <c r="G933" s="5"/>
      <c r="H933" s="5"/>
      <c r="I933" s="329"/>
      <c r="J933" s="5"/>
      <c r="K933" s="4"/>
      <c r="L933" s="5"/>
      <c r="M933" s="4"/>
      <c r="N933" s="45"/>
      <c r="O933" s="45" t="s">
        <v>76</v>
      </c>
      <c r="P933" s="1204"/>
      <c r="Q933" s="2030"/>
      <c r="R933" s="2030"/>
      <c r="S933" s="2030"/>
      <c r="T933" s="2030"/>
      <c r="U933" s="2030"/>
      <c r="V933" s="2030"/>
      <c r="W933" s="2030"/>
      <c r="X933" s="2030"/>
      <c r="Y933" s="2030"/>
      <c r="Z933" s="2030"/>
      <c r="AA933" s="2030"/>
      <c r="AB933" s="2030"/>
      <c r="AC933" s="44">
        <f>S933</f>
        <v>0</v>
      </c>
      <c r="AD933" s="44">
        <f>V933</f>
        <v>0</v>
      </c>
      <c r="AE933" s="44">
        <f>Y933</f>
        <v>0</v>
      </c>
      <c r="AF933" s="44">
        <f>AB933</f>
        <v>0</v>
      </c>
      <c r="AG933" s="44">
        <f>AD933</f>
        <v>0</v>
      </c>
      <c r="AH933" s="44">
        <f>AF933</f>
        <v>0</v>
      </c>
      <c r="AI933" s="44">
        <f>AH933</f>
        <v>0</v>
      </c>
    </row>
    <row r="934" spans="1:35" s="38" customFormat="1">
      <c r="A934" s="990">
        <v>908</v>
      </c>
      <c r="B934" s="990">
        <v>1</v>
      </c>
      <c r="C934" s="990">
        <v>934</v>
      </c>
      <c r="E934" s="1243">
        <v>1</v>
      </c>
      <c r="F934" s="5"/>
      <c r="G934" s="5"/>
      <c r="H934" s="5"/>
      <c r="I934" s="329"/>
      <c r="J934" s="5"/>
      <c r="K934" s="4"/>
      <c r="L934" s="5"/>
      <c r="M934" s="4"/>
      <c r="N934" s="45"/>
      <c r="O934" s="45" t="s">
        <v>77</v>
      </c>
      <c r="P934" s="1204"/>
      <c r="Q934" s="2030"/>
      <c r="R934" s="2030"/>
      <c r="S934" s="2030"/>
      <c r="T934" s="2030"/>
      <c r="U934" s="2030"/>
      <c r="V934" s="2030"/>
      <c r="W934" s="2030"/>
      <c r="X934" s="2030"/>
      <c r="Y934" s="2030"/>
      <c r="Z934" s="2030"/>
      <c r="AA934" s="2030"/>
      <c r="AB934" s="2030"/>
      <c r="AC934" s="44">
        <f>S934</f>
        <v>0</v>
      </c>
      <c r="AD934" s="44">
        <f>V934</f>
        <v>0</v>
      </c>
      <c r="AE934" s="44">
        <f>Y934</f>
        <v>0</v>
      </c>
      <c r="AF934" s="44">
        <f>AB934</f>
        <v>0</v>
      </c>
      <c r="AG934" s="44">
        <f>AD934</f>
        <v>0</v>
      </c>
      <c r="AH934" s="44">
        <f>AF934</f>
        <v>0</v>
      </c>
      <c r="AI934" s="44">
        <f>AH934</f>
        <v>0</v>
      </c>
    </row>
    <row r="935" spans="1:35" s="38" customFormat="1">
      <c r="A935" s="990">
        <v>909</v>
      </c>
      <c r="B935" s="990">
        <v>1</v>
      </c>
      <c r="C935" s="990">
        <v>935</v>
      </c>
      <c r="E935" s="1243">
        <v>1</v>
      </c>
      <c r="F935" s="5"/>
      <c r="G935" s="5"/>
      <c r="H935" s="5"/>
      <c r="I935" s="329"/>
      <c r="J935" s="5"/>
      <c r="K935" s="4"/>
      <c r="L935" s="5"/>
      <c r="M935" s="4"/>
      <c r="N935" s="45"/>
      <c r="O935" s="45" t="s">
        <v>11</v>
      </c>
      <c r="P935" s="1204"/>
      <c r="Q935" s="2030"/>
      <c r="R935" s="2030"/>
      <c r="S935" s="2030"/>
      <c r="T935" s="2030"/>
      <c r="U935" s="2030"/>
      <c r="V935" s="2030"/>
      <c r="W935" s="2030"/>
      <c r="X935" s="2030"/>
      <c r="Y935" s="2030"/>
      <c r="Z935" s="2030"/>
      <c r="AA935" s="2030"/>
      <c r="AB935" s="2030"/>
      <c r="AC935" s="44">
        <f>S935</f>
        <v>0</v>
      </c>
      <c r="AD935" s="44">
        <f>V935</f>
        <v>0</v>
      </c>
      <c r="AE935" s="44">
        <f>Y935</f>
        <v>0</v>
      </c>
      <c r="AF935" s="44">
        <f>AB935</f>
        <v>0</v>
      </c>
      <c r="AG935" s="44">
        <f>AD935</f>
        <v>0</v>
      </c>
      <c r="AH935" s="44">
        <f>AF935</f>
        <v>0</v>
      </c>
      <c r="AI935" s="44">
        <f>AH935</f>
        <v>0</v>
      </c>
    </row>
    <row r="936" spans="1:35" s="38" customFormat="1">
      <c r="A936" s="990">
        <v>910</v>
      </c>
      <c r="B936" s="990">
        <v>1</v>
      </c>
      <c r="C936" s="990">
        <v>936</v>
      </c>
      <c r="D936" s="1121" t="s">
        <v>999</v>
      </c>
      <c r="E936" s="1243">
        <v>1</v>
      </c>
      <c r="F936" s="5"/>
      <c r="G936" s="5"/>
      <c r="H936" s="5"/>
      <c r="I936" s="329"/>
      <c r="J936" s="324" t="s">
        <v>332</v>
      </c>
      <c r="K936" s="323"/>
      <c r="L936" s="324"/>
      <c r="M936" s="324"/>
      <c r="N936" s="323"/>
      <c r="O936" s="323"/>
      <c r="P936" s="1203"/>
      <c r="Q936" s="325">
        <f>SUM(Q937:Q939)</f>
        <v>0</v>
      </c>
      <c r="R936" s="325">
        <f t="shared" ref="R936:AI936" si="550">SUM(R937:R939)</f>
        <v>0</v>
      </c>
      <c r="S936" s="325">
        <f t="shared" si="550"/>
        <v>0</v>
      </c>
      <c r="T936" s="325">
        <f t="shared" si="550"/>
        <v>0</v>
      </c>
      <c r="U936" s="325">
        <f t="shared" si="550"/>
        <v>0</v>
      </c>
      <c r="V936" s="325">
        <f t="shared" si="550"/>
        <v>0</v>
      </c>
      <c r="W936" s="325">
        <f t="shared" si="550"/>
        <v>0</v>
      </c>
      <c r="X936" s="325">
        <f t="shared" si="550"/>
        <v>0</v>
      </c>
      <c r="Y936" s="325">
        <f t="shared" si="550"/>
        <v>0</v>
      </c>
      <c r="Z936" s="325">
        <f t="shared" si="550"/>
        <v>0</v>
      </c>
      <c r="AA936" s="325">
        <f t="shared" si="550"/>
        <v>0</v>
      </c>
      <c r="AB936" s="325">
        <f t="shared" si="550"/>
        <v>0</v>
      </c>
      <c r="AC936" s="325">
        <f t="shared" si="550"/>
        <v>0</v>
      </c>
      <c r="AD936" s="325">
        <f t="shared" si="550"/>
        <v>0</v>
      </c>
      <c r="AE936" s="325">
        <f t="shared" si="550"/>
        <v>0</v>
      </c>
      <c r="AF936" s="325">
        <f t="shared" si="550"/>
        <v>0</v>
      </c>
      <c r="AG936" s="325">
        <f t="shared" si="550"/>
        <v>0</v>
      </c>
      <c r="AH936" s="325">
        <f t="shared" si="550"/>
        <v>0</v>
      </c>
      <c r="AI936" s="325">
        <f t="shared" si="550"/>
        <v>0</v>
      </c>
    </row>
    <row r="937" spans="1:35" s="38" customFormat="1">
      <c r="A937" s="990">
        <v>911</v>
      </c>
      <c r="B937" s="990">
        <v>1</v>
      </c>
      <c r="C937" s="990">
        <v>937</v>
      </c>
      <c r="E937" s="1243">
        <v>1</v>
      </c>
      <c r="F937" s="5"/>
      <c r="G937" s="5"/>
      <c r="H937" s="5"/>
      <c r="I937" s="329"/>
      <c r="J937" s="5"/>
      <c r="K937" s="4"/>
      <c r="L937" s="5"/>
      <c r="M937" s="4"/>
      <c r="N937" s="45"/>
      <c r="O937" s="45" t="s">
        <v>79</v>
      </c>
      <c r="P937" s="1204"/>
      <c r="Q937" s="2030"/>
      <c r="R937" s="2030"/>
      <c r="S937" s="2030"/>
      <c r="T937" s="2030"/>
      <c r="U937" s="2030"/>
      <c r="V937" s="2030"/>
      <c r="W937" s="2030"/>
      <c r="X937" s="2030"/>
      <c r="Y937" s="2030"/>
      <c r="Z937" s="2030"/>
      <c r="AA937" s="2030"/>
      <c r="AB937" s="2030"/>
      <c r="AC937" s="44">
        <f>S937</f>
        <v>0</v>
      </c>
      <c r="AD937" s="44">
        <f>V937</f>
        <v>0</v>
      </c>
      <c r="AE937" s="44">
        <f>Y937</f>
        <v>0</v>
      </c>
      <c r="AF937" s="44">
        <f>AB937</f>
        <v>0</v>
      </c>
      <c r="AG937" s="44">
        <f>AD937</f>
        <v>0</v>
      </c>
      <c r="AH937" s="44">
        <f>AF937</f>
        <v>0</v>
      </c>
      <c r="AI937" s="44">
        <f>AH937</f>
        <v>0</v>
      </c>
    </row>
    <row r="938" spans="1:35" s="38" customFormat="1">
      <c r="A938" s="990">
        <v>912</v>
      </c>
      <c r="B938" s="990">
        <v>1</v>
      </c>
      <c r="C938" s="990">
        <v>938</v>
      </c>
      <c r="E938" s="1243">
        <v>1</v>
      </c>
      <c r="F938" s="5"/>
      <c r="G938" s="5"/>
      <c r="H938" s="5"/>
      <c r="I938" s="329"/>
      <c r="J938" s="5"/>
      <c r="K938" s="4"/>
      <c r="L938" s="5"/>
      <c r="M938" s="4"/>
      <c r="N938" s="45"/>
      <c r="O938" s="45" t="s">
        <v>80</v>
      </c>
      <c r="P938" s="1204"/>
      <c r="Q938" s="2030"/>
      <c r="R938" s="2030"/>
      <c r="S938" s="2030"/>
      <c r="T938" s="2030"/>
      <c r="U938" s="2030"/>
      <c r="V938" s="2030"/>
      <c r="W938" s="2030"/>
      <c r="X938" s="2030"/>
      <c r="Y938" s="2030"/>
      <c r="Z938" s="2030"/>
      <c r="AA938" s="2030"/>
      <c r="AB938" s="2030"/>
      <c r="AC938" s="44">
        <f>S938</f>
        <v>0</v>
      </c>
      <c r="AD938" s="44">
        <f>V938</f>
        <v>0</v>
      </c>
      <c r="AE938" s="44">
        <f>Y938</f>
        <v>0</v>
      </c>
      <c r="AF938" s="44">
        <f>AB938</f>
        <v>0</v>
      </c>
      <c r="AG938" s="44">
        <f>AD938</f>
        <v>0</v>
      </c>
      <c r="AH938" s="44">
        <f>AF938</f>
        <v>0</v>
      </c>
      <c r="AI938" s="44">
        <f>AH938</f>
        <v>0</v>
      </c>
    </row>
    <row r="939" spans="1:35" s="38" customFormat="1">
      <c r="A939" s="990">
        <v>913</v>
      </c>
      <c r="B939" s="990">
        <v>1</v>
      </c>
      <c r="C939" s="990">
        <v>939</v>
      </c>
      <c r="E939" s="1243">
        <v>1</v>
      </c>
      <c r="F939" s="5"/>
      <c r="G939" s="5"/>
      <c r="H939" s="5"/>
      <c r="I939" s="330"/>
      <c r="J939" s="3"/>
      <c r="K939" s="2"/>
      <c r="L939" s="3"/>
      <c r="M939" s="2"/>
      <c r="N939" s="43"/>
      <c r="O939" s="43" t="s">
        <v>81</v>
      </c>
      <c r="P939" s="1205"/>
      <c r="Q939" s="2029"/>
      <c r="R939" s="2029"/>
      <c r="S939" s="2029"/>
      <c r="T939" s="2029"/>
      <c r="U939" s="2029"/>
      <c r="V939" s="2029"/>
      <c r="W939" s="2029"/>
      <c r="X939" s="2029"/>
      <c r="Y939" s="2029"/>
      <c r="Z939" s="2029"/>
      <c r="AA939" s="2029"/>
      <c r="AB939" s="2029"/>
      <c r="AC939" s="42">
        <f>S939</f>
        <v>0</v>
      </c>
      <c r="AD939" s="42">
        <f>V939</f>
        <v>0</v>
      </c>
      <c r="AE939" s="42">
        <f>Y939</f>
        <v>0</v>
      </c>
      <c r="AF939" s="42">
        <f>AB939</f>
        <v>0</v>
      </c>
      <c r="AG939" s="42">
        <f>AD939</f>
        <v>0</v>
      </c>
      <c r="AH939" s="42">
        <f>AF939</f>
        <v>0</v>
      </c>
      <c r="AI939" s="42">
        <f>AH939</f>
        <v>0</v>
      </c>
    </row>
    <row r="940" spans="1:35" s="38" customFormat="1">
      <c r="A940" s="990">
        <v>914</v>
      </c>
      <c r="B940" s="990">
        <v>1</v>
      </c>
      <c r="C940" s="990">
        <v>940</v>
      </c>
      <c r="D940" s="1121" t="s">
        <v>999</v>
      </c>
      <c r="E940" s="1243">
        <v>1</v>
      </c>
      <c r="F940" s="5"/>
      <c r="G940" s="5"/>
      <c r="H940" s="5"/>
      <c r="I940" s="318" t="s">
        <v>1110</v>
      </c>
      <c r="J940" s="319"/>
      <c r="K940" s="320"/>
      <c r="L940" s="320"/>
      <c r="M940" s="319"/>
      <c r="N940" s="319"/>
      <c r="O940" s="319"/>
      <c r="P940" s="321"/>
      <c r="Q940" s="2050"/>
      <c r="R940" s="2050"/>
      <c r="S940" s="2050"/>
      <c r="T940" s="2050"/>
      <c r="U940" s="2050"/>
      <c r="V940" s="2050"/>
      <c r="W940" s="2050"/>
      <c r="X940" s="2050"/>
      <c r="Y940" s="2050"/>
      <c r="Z940" s="2050"/>
      <c r="AA940" s="2050"/>
      <c r="AB940" s="2050"/>
      <c r="AC940" s="2527">
        <f>S940</f>
        <v>0</v>
      </c>
      <c r="AD940" s="2527">
        <f>V940</f>
        <v>0</v>
      </c>
      <c r="AE940" s="2527">
        <f>Y940</f>
        <v>0</v>
      </c>
      <c r="AF940" s="2527">
        <f>AB940</f>
        <v>0</v>
      </c>
      <c r="AG940" s="2527">
        <f>AD940</f>
        <v>0</v>
      </c>
      <c r="AH940" s="2527">
        <f>AF940</f>
        <v>0</v>
      </c>
      <c r="AI940" s="2527">
        <f>AH940</f>
        <v>0</v>
      </c>
    </row>
    <row r="941" spans="1:35" s="38" customFormat="1">
      <c r="A941" s="990">
        <v>915</v>
      </c>
      <c r="B941" s="990">
        <v>1</v>
      </c>
      <c r="C941" s="990">
        <v>941</v>
      </c>
      <c r="D941" s="1121" t="s">
        <v>999</v>
      </c>
      <c r="E941" s="1243">
        <v>1</v>
      </c>
      <c r="F941" s="5"/>
      <c r="G941" s="5"/>
      <c r="H941" s="5"/>
      <c r="I941" s="5"/>
      <c r="J941" s="4"/>
      <c r="K941" s="5"/>
      <c r="L941" s="5"/>
      <c r="M941" s="5"/>
      <c r="N941" s="4"/>
      <c r="O941" s="4"/>
      <c r="P941" s="4"/>
      <c r="Q941" s="1151"/>
      <c r="R941" s="1151"/>
      <c r="S941" s="1151"/>
      <c r="T941" s="1151"/>
      <c r="U941" s="1151"/>
      <c r="V941" s="1151"/>
      <c r="W941" s="1151"/>
      <c r="X941" s="1151"/>
      <c r="Y941" s="1151"/>
      <c r="Z941" s="1151"/>
    </row>
    <row r="942" spans="1:35" s="38" customFormat="1">
      <c r="A942" s="990">
        <v>946</v>
      </c>
      <c r="B942" s="990">
        <v>916</v>
      </c>
      <c r="C942" s="990">
        <v>942</v>
      </c>
      <c r="D942" s="1121" t="s">
        <v>999</v>
      </c>
      <c r="E942" s="1296" t="s">
        <v>931</v>
      </c>
      <c r="F942" s="1297"/>
      <c r="G942" s="24"/>
      <c r="H942" s="1286" t="s">
        <v>1063</v>
      </c>
      <c r="I942" s="5"/>
      <c r="J942" s="4"/>
      <c r="K942" s="5"/>
      <c r="L942" s="5"/>
      <c r="M942" s="4"/>
      <c r="N942" s="4"/>
      <c r="O942" s="4"/>
      <c r="P942" s="4"/>
      <c r="Q942" s="1151"/>
      <c r="R942" s="1151"/>
      <c r="S942" s="1151"/>
      <c r="T942" s="1151"/>
      <c r="U942" s="1151"/>
      <c r="V942" s="1151"/>
      <c r="W942" s="1151"/>
      <c r="X942" s="1151"/>
      <c r="Y942" s="1151"/>
      <c r="Z942" s="1151"/>
    </row>
    <row r="943" spans="1:35" s="820" customFormat="1">
      <c r="A943" s="990">
        <v>947</v>
      </c>
      <c r="B943" s="990">
        <v>917</v>
      </c>
      <c r="C943" s="990">
        <v>943</v>
      </c>
      <c r="D943" s="1121" t="s">
        <v>999</v>
      </c>
      <c r="E943" s="1243">
        <v>1</v>
      </c>
      <c r="F943" s="815"/>
      <c r="G943" s="815"/>
      <c r="H943" s="816"/>
      <c r="I943" s="830" t="s">
        <v>328</v>
      </c>
      <c r="J943" s="831"/>
      <c r="K943" s="832"/>
      <c r="L943" s="832"/>
      <c r="M943" s="832"/>
      <c r="N943" s="832"/>
      <c r="O943" s="832"/>
      <c r="P943" s="1054"/>
      <c r="Q943" s="136">
        <f>Q944+Q949+Q955+Q960+Q966</f>
        <v>4</v>
      </c>
      <c r="R943" s="136">
        <f t="shared" ref="R943:AI943" si="551">R944+R949+R955+R960+R966</f>
        <v>4</v>
      </c>
      <c r="S943" s="136">
        <f t="shared" si="551"/>
        <v>4</v>
      </c>
      <c r="T943" s="136">
        <f t="shared" si="551"/>
        <v>4</v>
      </c>
      <c r="U943" s="136">
        <f t="shared" si="551"/>
        <v>4</v>
      </c>
      <c r="V943" s="136">
        <f t="shared" si="551"/>
        <v>4</v>
      </c>
      <c r="W943" s="136">
        <f t="shared" si="551"/>
        <v>6</v>
      </c>
      <c r="X943" s="136">
        <f t="shared" si="551"/>
        <v>6</v>
      </c>
      <c r="Y943" s="136">
        <f t="shared" si="551"/>
        <v>6</v>
      </c>
      <c r="Z943" s="136">
        <f t="shared" si="551"/>
        <v>7</v>
      </c>
      <c r="AA943" s="136">
        <f t="shared" si="551"/>
        <v>9</v>
      </c>
      <c r="AB943" s="136">
        <f t="shared" si="551"/>
        <v>9</v>
      </c>
      <c r="AC943" s="136">
        <f t="shared" si="551"/>
        <v>4</v>
      </c>
      <c r="AD943" s="136">
        <f t="shared" si="551"/>
        <v>4</v>
      </c>
      <c r="AE943" s="136">
        <f t="shared" si="551"/>
        <v>6</v>
      </c>
      <c r="AF943" s="136">
        <f t="shared" si="551"/>
        <v>9</v>
      </c>
      <c r="AG943" s="136">
        <f t="shared" si="551"/>
        <v>4</v>
      </c>
      <c r="AH943" s="136">
        <f t="shared" si="551"/>
        <v>9</v>
      </c>
      <c r="AI943" s="136">
        <f t="shared" si="551"/>
        <v>9</v>
      </c>
    </row>
    <row r="944" spans="1:35" s="38" customFormat="1">
      <c r="A944" s="990">
        <v>948</v>
      </c>
      <c r="B944" s="990">
        <v>918</v>
      </c>
      <c r="C944" s="990">
        <v>944</v>
      </c>
      <c r="D944" s="1121" t="s">
        <v>999</v>
      </c>
      <c r="E944" s="1243">
        <v>1</v>
      </c>
      <c r="F944" s="5"/>
      <c r="G944" s="5"/>
      <c r="H944" s="5"/>
      <c r="I944" s="333"/>
      <c r="J944" s="52" t="s">
        <v>62</v>
      </c>
      <c r="K944" s="51"/>
      <c r="L944" s="52"/>
      <c r="M944" s="52"/>
      <c r="N944" s="51"/>
      <c r="O944" s="51"/>
      <c r="P944" s="50"/>
      <c r="Q944" s="49">
        <f>SUM(Q945:Q948)</f>
        <v>0</v>
      </c>
      <c r="R944" s="49">
        <f t="shared" ref="R944:AI944" si="552">SUM(R945:R948)</f>
        <v>0</v>
      </c>
      <c r="S944" s="49">
        <f t="shared" si="552"/>
        <v>0</v>
      </c>
      <c r="T944" s="49">
        <f t="shared" si="552"/>
        <v>0</v>
      </c>
      <c r="U944" s="49">
        <f t="shared" si="552"/>
        <v>0</v>
      </c>
      <c r="V944" s="49">
        <f t="shared" si="552"/>
        <v>0</v>
      </c>
      <c r="W944" s="49">
        <f t="shared" si="552"/>
        <v>5</v>
      </c>
      <c r="X944" s="49">
        <f t="shared" si="552"/>
        <v>5</v>
      </c>
      <c r="Y944" s="49">
        <f t="shared" si="552"/>
        <v>5</v>
      </c>
      <c r="Z944" s="49">
        <f t="shared" si="552"/>
        <v>5</v>
      </c>
      <c r="AA944" s="49">
        <f t="shared" si="552"/>
        <v>7</v>
      </c>
      <c r="AB944" s="49">
        <f t="shared" si="552"/>
        <v>7</v>
      </c>
      <c r="AC944" s="49">
        <f t="shared" si="552"/>
        <v>0</v>
      </c>
      <c r="AD944" s="49">
        <f t="shared" si="552"/>
        <v>0</v>
      </c>
      <c r="AE944" s="49">
        <f t="shared" si="552"/>
        <v>5</v>
      </c>
      <c r="AF944" s="49">
        <f t="shared" si="552"/>
        <v>7</v>
      </c>
      <c r="AG944" s="49">
        <f t="shared" si="552"/>
        <v>0</v>
      </c>
      <c r="AH944" s="49">
        <f t="shared" si="552"/>
        <v>7</v>
      </c>
      <c r="AI944" s="49">
        <f t="shared" si="552"/>
        <v>7</v>
      </c>
    </row>
    <row r="945" spans="1:35" s="38" customFormat="1">
      <c r="A945" s="990">
        <v>949</v>
      </c>
      <c r="B945" s="990">
        <v>919</v>
      </c>
      <c r="C945" s="990">
        <v>945</v>
      </c>
      <c r="E945" s="1243">
        <v>1</v>
      </c>
      <c r="F945" s="5"/>
      <c r="G945" s="5"/>
      <c r="H945" s="5"/>
      <c r="I945" s="333"/>
      <c r="J945" s="5"/>
      <c r="K945" s="4"/>
      <c r="L945" s="5"/>
      <c r="M945" s="5"/>
      <c r="N945" s="45"/>
      <c r="O945" s="45" t="s">
        <v>125</v>
      </c>
      <c r="P945" s="4"/>
      <c r="Q945" s="2030"/>
      <c r="R945" s="2030"/>
      <c r="S945" s="2030"/>
      <c r="T945" s="2030"/>
      <c r="U945" s="2030"/>
      <c r="V945" s="2030"/>
      <c r="W945" s="2030"/>
      <c r="X945" s="2030"/>
      <c r="Y945" s="2030"/>
      <c r="Z945" s="2030"/>
      <c r="AA945" s="2030">
        <v>2</v>
      </c>
      <c r="AB945" s="2030">
        <v>2</v>
      </c>
      <c r="AC945" s="44">
        <f>S945</f>
        <v>0</v>
      </c>
      <c r="AD945" s="44">
        <f>V945</f>
        <v>0</v>
      </c>
      <c r="AE945" s="44">
        <f>Y945</f>
        <v>0</v>
      </c>
      <c r="AF945" s="44">
        <f>AB945</f>
        <v>2</v>
      </c>
      <c r="AG945" s="44">
        <f>AD945</f>
        <v>0</v>
      </c>
      <c r="AH945" s="44">
        <f>AF945</f>
        <v>2</v>
      </c>
      <c r="AI945" s="44">
        <f>AH945</f>
        <v>2</v>
      </c>
    </row>
    <row r="946" spans="1:35" s="38" customFormat="1">
      <c r="A946" s="990">
        <v>950</v>
      </c>
      <c r="B946" s="990">
        <v>920</v>
      </c>
      <c r="C946" s="990">
        <v>946</v>
      </c>
      <c r="E946" s="1296" t="s">
        <v>931</v>
      </c>
      <c r="F946" s="1297"/>
      <c r="G946" s="5"/>
      <c r="H946" s="5"/>
      <c r="I946" s="333"/>
      <c r="J946" s="5"/>
      <c r="K946" s="4"/>
      <c r="L946" s="5"/>
      <c r="M946" s="5"/>
      <c r="N946" s="45"/>
      <c r="O946" s="1304" t="s">
        <v>1112</v>
      </c>
      <c r="P946" s="1144"/>
      <c r="Q946" s="2030"/>
      <c r="R946" s="2030"/>
      <c r="S946" s="2030"/>
      <c r="T946" s="2030"/>
      <c r="U946" s="2030"/>
      <c r="V946" s="2789"/>
      <c r="W946" s="2789">
        <v>5</v>
      </c>
      <c r="X946" s="2030">
        <v>5</v>
      </c>
      <c r="Y946" s="2030">
        <v>5</v>
      </c>
      <c r="Z946" s="2030">
        <v>5</v>
      </c>
      <c r="AA946" s="2789">
        <v>5</v>
      </c>
      <c r="AB946" s="2789">
        <v>5</v>
      </c>
      <c r="AC946" s="44">
        <f>S946</f>
        <v>0</v>
      </c>
      <c r="AD946" s="44">
        <f>V946</f>
        <v>0</v>
      </c>
      <c r="AE946" s="44">
        <f>Y946</f>
        <v>5</v>
      </c>
      <c r="AF946" s="44">
        <f>AB946</f>
        <v>5</v>
      </c>
      <c r="AG946" s="44">
        <f>AD946</f>
        <v>0</v>
      </c>
      <c r="AH946" s="44">
        <f>AF946</f>
        <v>5</v>
      </c>
      <c r="AI946" s="44">
        <f>AH946</f>
        <v>5</v>
      </c>
    </row>
    <row r="947" spans="1:35" s="38" customFormat="1">
      <c r="A947" s="990">
        <v>951</v>
      </c>
      <c r="B947" s="990">
        <v>921</v>
      </c>
      <c r="C947" s="990">
        <v>947</v>
      </c>
      <c r="E947" s="1243">
        <v>1</v>
      </c>
      <c r="F947" s="5"/>
      <c r="G947" s="5"/>
      <c r="H947" s="5"/>
      <c r="I947" s="333"/>
      <c r="J947" s="5"/>
      <c r="K947" s="4"/>
      <c r="L947" s="5"/>
      <c r="M947" s="5"/>
      <c r="N947" s="45"/>
      <c r="O947" s="45" t="s">
        <v>123</v>
      </c>
      <c r="P947" s="4"/>
      <c r="Q947" s="2030"/>
      <c r="R947" s="2030"/>
      <c r="S947" s="2030"/>
      <c r="T947" s="2030"/>
      <c r="U947" s="2030"/>
      <c r="V947" s="2030"/>
      <c r="W947" s="2030"/>
      <c r="X947" s="2030"/>
      <c r="Y947" s="2030"/>
      <c r="Z947" s="2030"/>
      <c r="AA947" s="2030"/>
      <c r="AB947" s="2030"/>
      <c r="AC947" s="44">
        <f>S947</f>
        <v>0</v>
      </c>
      <c r="AD947" s="44">
        <f>V947</f>
        <v>0</v>
      </c>
      <c r="AE947" s="44">
        <f>Y947</f>
        <v>0</v>
      </c>
      <c r="AF947" s="44">
        <f>AB947</f>
        <v>0</v>
      </c>
      <c r="AG947" s="44">
        <f>AD947</f>
        <v>0</v>
      </c>
      <c r="AH947" s="44">
        <f>AF947</f>
        <v>0</v>
      </c>
      <c r="AI947" s="44">
        <f>AH947</f>
        <v>0</v>
      </c>
    </row>
    <row r="948" spans="1:35" s="38" customFormat="1">
      <c r="A948" s="990">
        <v>952</v>
      </c>
      <c r="B948" s="990">
        <v>922</v>
      </c>
      <c r="C948" s="990">
        <v>948</v>
      </c>
      <c r="E948" s="1243">
        <v>1</v>
      </c>
      <c r="F948" s="5"/>
      <c r="G948" s="5"/>
      <c r="H948" s="5"/>
      <c r="I948" s="333"/>
      <c r="J948" s="3"/>
      <c r="K948" s="2"/>
      <c r="L948" s="3"/>
      <c r="M948" s="3"/>
      <c r="N948" s="43"/>
      <c r="O948" s="43" t="s">
        <v>120</v>
      </c>
      <c r="P948" s="2"/>
      <c r="Q948" s="2029"/>
      <c r="R948" s="2029"/>
      <c r="S948" s="2029"/>
      <c r="T948" s="2029"/>
      <c r="U948" s="2029"/>
      <c r="V948" s="2029"/>
      <c r="W948" s="2029"/>
      <c r="X948" s="2029"/>
      <c r="Y948" s="2029"/>
      <c r="Z948" s="2029"/>
      <c r="AA948" s="2029"/>
      <c r="AB948" s="2029"/>
      <c r="AC948" s="42">
        <f>S948</f>
        <v>0</v>
      </c>
      <c r="AD948" s="42">
        <f>V948</f>
        <v>0</v>
      </c>
      <c r="AE948" s="42">
        <f>Y948</f>
        <v>0</v>
      </c>
      <c r="AF948" s="42">
        <f>AB948</f>
        <v>0</v>
      </c>
      <c r="AG948" s="42">
        <f>AD948</f>
        <v>0</v>
      </c>
      <c r="AH948" s="42">
        <f>AF948</f>
        <v>0</v>
      </c>
      <c r="AI948" s="42">
        <f>AH948</f>
        <v>0</v>
      </c>
    </row>
    <row r="949" spans="1:35" s="38" customFormat="1">
      <c r="A949" s="990">
        <v>953</v>
      </c>
      <c r="B949" s="990">
        <v>923</v>
      </c>
      <c r="C949" s="990">
        <v>949</v>
      </c>
      <c r="D949" s="1121" t="s">
        <v>999</v>
      </c>
      <c r="E949" s="1243">
        <v>1</v>
      </c>
      <c r="F949" s="5"/>
      <c r="G949" s="5"/>
      <c r="H949" s="5"/>
      <c r="I949" s="333"/>
      <c r="J949" s="52" t="s">
        <v>330</v>
      </c>
      <c r="K949" s="51"/>
      <c r="L949" s="52"/>
      <c r="M949" s="52"/>
      <c r="N949" s="51"/>
      <c r="O949" s="51"/>
      <c r="P949" s="50"/>
      <c r="Q949" s="49">
        <f>SUM(Q950:Q954)</f>
        <v>0</v>
      </c>
      <c r="R949" s="49">
        <f t="shared" ref="R949:AI949" si="553">SUM(R950:R954)</f>
        <v>0</v>
      </c>
      <c r="S949" s="49">
        <f t="shared" si="553"/>
        <v>0</v>
      </c>
      <c r="T949" s="49">
        <f t="shared" si="553"/>
        <v>0</v>
      </c>
      <c r="U949" s="49">
        <f t="shared" si="553"/>
        <v>0</v>
      </c>
      <c r="V949" s="49">
        <f t="shared" si="553"/>
        <v>0</v>
      </c>
      <c r="W949" s="49">
        <f t="shared" si="553"/>
        <v>0</v>
      </c>
      <c r="X949" s="49">
        <f t="shared" si="553"/>
        <v>0</v>
      </c>
      <c r="Y949" s="49">
        <f t="shared" si="553"/>
        <v>0</v>
      </c>
      <c r="Z949" s="49">
        <f t="shared" si="553"/>
        <v>0</v>
      </c>
      <c r="AA949" s="49">
        <f t="shared" si="553"/>
        <v>0</v>
      </c>
      <c r="AB949" s="49">
        <f t="shared" si="553"/>
        <v>0</v>
      </c>
      <c r="AC949" s="49">
        <f t="shared" si="553"/>
        <v>0</v>
      </c>
      <c r="AD949" s="49">
        <f t="shared" si="553"/>
        <v>0</v>
      </c>
      <c r="AE949" s="49">
        <f t="shared" si="553"/>
        <v>0</v>
      </c>
      <c r="AF949" s="49">
        <f t="shared" si="553"/>
        <v>0</v>
      </c>
      <c r="AG949" s="49">
        <f t="shared" si="553"/>
        <v>0</v>
      </c>
      <c r="AH949" s="49">
        <f t="shared" si="553"/>
        <v>0</v>
      </c>
      <c r="AI949" s="49">
        <f t="shared" si="553"/>
        <v>0</v>
      </c>
    </row>
    <row r="950" spans="1:35" s="38" customFormat="1">
      <c r="A950" s="990">
        <v>954</v>
      </c>
      <c r="B950" s="990">
        <v>924</v>
      </c>
      <c r="C950" s="990">
        <v>950</v>
      </c>
      <c r="E950" s="1243">
        <v>1</v>
      </c>
      <c r="F950" s="5"/>
      <c r="G950" s="5"/>
      <c r="H950" s="5"/>
      <c r="I950" s="333"/>
      <c r="J950" s="5"/>
      <c r="K950" s="4"/>
      <c r="L950" s="5"/>
      <c r="M950" s="5"/>
      <c r="N950" s="45"/>
      <c r="O950" s="45" t="s">
        <v>67</v>
      </c>
      <c r="P950" s="4"/>
      <c r="Q950" s="2030"/>
      <c r="R950" s="2030"/>
      <c r="S950" s="2030"/>
      <c r="T950" s="2030"/>
      <c r="U950" s="2030"/>
      <c r="V950" s="2030"/>
      <c r="W950" s="2030"/>
      <c r="X950" s="2030"/>
      <c r="Y950" s="2030"/>
      <c r="Z950" s="2030"/>
      <c r="AA950" s="2030"/>
      <c r="AB950" s="2030"/>
      <c r="AC950" s="44">
        <f>S950</f>
        <v>0</v>
      </c>
      <c r="AD950" s="44">
        <f>V950</f>
        <v>0</v>
      </c>
      <c r="AE950" s="44">
        <f>Y950</f>
        <v>0</v>
      </c>
      <c r="AF950" s="44">
        <f>AB950</f>
        <v>0</v>
      </c>
      <c r="AG950" s="44">
        <f>AD950</f>
        <v>0</v>
      </c>
      <c r="AH950" s="44">
        <f>AF950</f>
        <v>0</v>
      </c>
      <c r="AI950" s="44">
        <f>AH950</f>
        <v>0</v>
      </c>
    </row>
    <row r="951" spans="1:35" s="38" customFormat="1">
      <c r="A951" s="990">
        <v>955</v>
      </c>
      <c r="B951" s="990">
        <v>925</v>
      </c>
      <c r="C951" s="990">
        <v>951</v>
      </c>
      <c r="E951" s="1296" t="s">
        <v>931</v>
      </c>
      <c r="F951" s="1301"/>
      <c r="G951" s="5"/>
      <c r="H951" s="5"/>
      <c r="I951" s="333"/>
      <c r="J951" s="5"/>
      <c r="K951" s="4"/>
      <c r="L951" s="5"/>
      <c r="M951" s="5"/>
      <c r="N951" s="45"/>
      <c r="O951" s="1304" t="s">
        <v>1113</v>
      </c>
      <c r="P951" s="1144"/>
      <c r="Q951" s="2030"/>
      <c r="R951" s="2030"/>
      <c r="S951" s="2030"/>
      <c r="T951" s="2030"/>
      <c r="U951" s="2030"/>
      <c r="V951" s="2030"/>
      <c r="W951" s="2030"/>
      <c r="X951" s="2030"/>
      <c r="Y951" s="2030"/>
      <c r="Z951" s="2030"/>
      <c r="AA951" s="2030"/>
      <c r="AB951" s="2030"/>
      <c r="AC951" s="44">
        <f>S951</f>
        <v>0</v>
      </c>
      <c r="AD951" s="44">
        <f>V951</f>
        <v>0</v>
      </c>
      <c r="AE951" s="44">
        <f>Y951</f>
        <v>0</v>
      </c>
      <c r="AF951" s="44">
        <f>AB951</f>
        <v>0</v>
      </c>
      <c r="AG951" s="44">
        <f>AD951</f>
        <v>0</v>
      </c>
      <c r="AH951" s="44">
        <f>AF951</f>
        <v>0</v>
      </c>
      <c r="AI951" s="44">
        <f>AH951</f>
        <v>0</v>
      </c>
    </row>
    <row r="952" spans="1:35" s="38" customFormat="1">
      <c r="A952" s="990">
        <v>956</v>
      </c>
      <c r="B952" s="990">
        <v>926</v>
      </c>
      <c r="C952" s="990">
        <v>952</v>
      </c>
      <c r="E952" s="1243">
        <v>1</v>
      </c>
      <c r="F952" s="5"/>
      <c r="G952" s="5"/>
      <c r="H952" s="5"/>
      <c r="I952" s="333"/>
      <c r="J952" s="5"/>
      <c r="K952" s="4"/>
      <c r="L952" s="5"/>
      <c r="M952" s="5"/>
      <c r="N952" s="45"/>
      <c r="O952" s="45" t="s">
        <v>122</v>
      </c>
      <c r="P952" s="4"/>
      <c r="Q952" s="2030"/>
      <c r="R952" s="2030"/>
      <c r="S952" s="2030"/>
      <c r="T952" s="2030"/>
      <c r="U952" s="2030"/>
      <c r="V952" s="2030"/>
      <c r="W952" s="2030"/>
      <c r="X952" s="2030"/>
      <c r="Y952" s="2030"/>
      <c r="Z952" s="2030"/>
      <c r="AA952" s="2030"/>
      <c r="AB952" s="2030"/>
      <c r="AC952" s="44">
        <f>S952</f>
        <v>0</v>
      </c>
      <c r="AD952" s="44">
        <f>V952</f>
        <v>0</v>
      </c>
      <c r="AE952" s="44">
        <f>Y952</f>
        <v>0</v>
      </c>
      <c r="AF952" s="44">
        <f>AB952</f>
        <v>0</v>
      </c>
      <c r="AG952" s="44">
        <f>AD952</f>
        <v>0</v>
      </c>
      <c r="AH952" s="44">
        <f>AF952</f>
        <v>0</v>
      </c>
      <c r="AI952" s="44">
        <f>AH952</f>
        <v>0</v>
      </c>
    </row>
    <row r="953" spans="1:35" s="38" customFormat="1">
      <c r="A953" s="990">
        <v>957</v>
      </c>
      <c r="B953" s="990">
        <v>927</v>
      </c>
      <c r="C953" s="990">
        <v>953</v>
      </c>
      <c r="E953" s="1243">
        <v>1</v>
      </c>
      <c r="F953" s="5"/>
      <c r="G953" s="5"/>
      <c r="H953" s="5"/>
      <c r="I953" s="333"/>
      <c r="J953" s="5"/>
      <c r="K953" s="4"/>
      <c r="L953" s="5"/>
      <c r="M953" s="5"/>
      <c r="N953" s="45"/>
      <c r="O953" s="45" t="s">
        <v>121</v>
      </c>
      <c r="P953" s="4"/>
      <c r="Q953" s="2030"/>
      <c r="R953" s="2030"/>
      <c r="S953" s="2030"/>
      <c r="T953" s="2030"/>
      <c r="U953" s="2030"/>
      <c r="V953" s="2030"/>
      <c r="W953" s="2030"/>
      <c r="X953" s="2030"/>
      <c r="Y953" s="2030"/>
      <c r="Z953" s="2030"/>
      <c r="AA953" s="2030"/>
      <c r="AB953" s="2030"/>
      <c r="AC953" s="44">
        <f>S953</f>
        <v>0</v>
      </c>
      <c r="AD953" s="44">
        <f>V953</f>
        <v>0</v>
      </c>
      <c r="AE953" s="44">
        <f>Y953</f>
        <v>0</v>
      </c>
      <c r="AF953" s="44">
        <f>AB953</f>
        <v>0</v>
      </c>
      <c r="AG953" s="44">
        <f>AD953</f>
        <v>0</v>
      </c>
      <c r="AH953" s="44">
        <f>AF953</f>
        <v>0</v>
      </c>
      <c r="AI953" s="44">
        <f>AH953</f>
        <v>0</v>
      </c>
    </row>
    <row r="954" spans="1:35" s="38" customFormat="1">
      <c r="A954" s="990">
        <v>958</v>
      </c>
      <c r="B954" s="990">
        <v>928</v>
      </c>
      <c r="C954" s="990">
        <v>954</v>
      </c>
      <c r="E954" s="1243">
        <v>1</v>
      </c>
      <c r="F954" s="5"/>
      <c r="G954" s="5"/>
      <c r="H954" s="5"/>
      <c r="I954" s="333"/>
      <c r="J954" s="5"/>
      <c r="K954" s="4"/>
      <c r="L954" s="5"/>
      <c r="M954" s="5"/>
      <c r="N954" s="45"/>
      <c r="O954" s="45" t="s">
        <v>120</v>
      </c>
      <c r="P954" s="4"/>
      <c r="Q954" s="2030"/>
      <c r="R954" s="2030"/>
      <c r="S954" s="2030"/>
      <c r="T954" s="2030"/>
      <c r="U954" s="2030"/>
      <c r="V954" s="2030"/>
      <c r="W954" s="2030"/>
      <c r="X954" s="2030"/>
      <c r="Y954" s="2030"/>
      <c r="Z954" s="2030"/>
      <c r="AA954" s="2030"/>
      <c r="AB954" s="2030"/>
      <c r="AC954" s="44">
        <f>S954</f>
        <v>0</v>
      </c>
      <c r="AD954" s="44">
        <f>V954</f>
        <v>0</v>
      </c>
      <c r="AE954" s="44">
        <f>Y954</f>
        <v>0</v>
      </c>
      <c r="AF954" s="44">
        <f>AB954</f>
        <v>0</v>
      </c>
      <c r="AG954" s="44">
        <f>AD954</f>
        <v>0</v>
      </c>
      <c r="AH954" s="44">
        <f>AF954</f>
        <v>0</v>
      </c>
      <c r="AI954" s="44">
        <f>AH954</f>
        <v>0</v>
      </c>
    </row>
    <row r="955" spans="1:35" s="38" customFormat="1">
      <c r="A955" s="990">
        <v>959</v>
      </c>
      <c r="B955" s="990">
        <v>929</v>
      </c>
      <c r="C955" s="990">
        <v>955</v>
      </c>
      <c r="D955" s="1121" t="s">
        <v>999</v>
      </c>
      <c r="E955" s="1243">
        <v>1</v>
      </c>
      <c r="F955" s="5"/>
      <c r="G955" s="5"/>
      <c r="H955" s="5"/>
      <c r="I955" s="333"/>
      <c r="J955" s="324" t="s">
        <v>331</v>
      </c>
      <c r="K955" s="324"/>
      <c r="L955" s="324"/>
      <c r="M955" s="323"/>
      <c r="N955" s="323"/>
      <c r="O955" s="323"/>
      <c r="P955" s="1203"/>
      <c r="Q955" s="325">
        <f>SUM(Q956:Q959)</f>
        <v>4</v>
      </c>
      <c r="R955" s="325">
        <f t="shared" ref="R955:AI955" si="554">SUM(R956:R959)</f>
        <v>4</v>
      </c>
      <c r="S955" s="325">
        <f t="shared" si="554"/>
        <v>4</v>
      </c>
      <c r="T955" s="325">
        <f t="shared" si="554"/>
        <v>4</v>
      </c>
      <c r="U955" s="325">
        <f t="shared" si="554"/>
        <v>4</v>
      </c>
      <c r="V955" s="325">
        <f t="shared" si="554"/>
        <v>4</v>
      </c>
      <c r="W955" s="325">
        <f t="shared" si="554"/>
        <v>0</v>
      </c>
      <c r="X955" s="325">
        <f t="shared" si="554"/>
        <v>0</v>
      </c>
      <c r="Y955" s="325">
        <f t="shared" si="554"/>
        <v>0</v>
      </c>
      <c r="Z955" s="325">
        <f t="shared" si="554"/>
        <v>1</v>
      </c>
      <c r="AA955" s="325">
        <f t="shared" si="554"/>
        <v>1</v>
      </c>
      <c r="AB955" s="325">
        <f t="shared" si="554"/>
        <v>1</v>
      </c>
      <c r="AC955" s="325">
        <f t="shared" si="554"/>
        <v>4</v>
      </c>
      <c r="AD955" s="325">
        <f t="shared" si="554"/>
        <v>4</v>
      </c>
      <c r="AE955" s="325">
        <f t="shared" si="554"/>
        <v>0</v>
      </c>
      <c r="AF955" s="325">
        <f t="shared" si="554"/>
        <v>1</v>
      </c>
      <c r="AG955" s="325">
        <f t="shared" si="554"/>
        <v>4</v>
      </c>
      <c r="AH955" s="325">
        <f t="shared" si="554"/>
        <v>1</v>
      </c>
      <c r="AI955" s="325">
        <f t="shared" si="554"/>
        <v>1</v>
      </c>
    </row>
    <row r="956" spans="1:35" s="38" customFormat="1">
      <c r="A956" s="990">
        <v>960</v>
      </c>
      <c r="B956" s="990">
        <v>930</v>
      </c>
      <c r="C956" s="990">
        <v>956</v>
      </c>
      <c r="E956" s="1243">
        <v>1</v>
      </c>
      <c r="F956" s="5"/>
      <c r="G956" s="5"/>
      <c r="H956" s="5"/>
      <c r="I956" s="333"/>
      <c r="J956" s="5"/>
      <c r="K956" s="5"/>
      <c r="L956" s="5"/>
      <c r="M956" s="4"/>
      <c r="N956" s="45"/>
      <c r="O956" s="45" t="s">
        <v>323</v>
      </c>
      <c r="P956" s="4"/>
      <c r="Q956" s="2030"/>
      <c r="R956" s="2030"/>
      <c r="S956" s="2030"/>
      <c r="T956" s="2030"/>
      <c r="U956" s="2030"/>
      <c r="V956" s="2030"/>
      <c r="W956" s="2030"/>
      <c r="X956" s="2030"/>
      <c r="Y956" s="2030"/>
      <c r="Z956" s="2030"/>
      <c r="AA956" s="2030"/>
      <c r="AB956" s="2030"/>
      <c r="AC956" s="44">
        <f>S956</f>
        <v>0</v>
      </c>
      <c r="AD956" s="44">
        <f>V956</f>
        <v>0</v>
      </c>
      <c r="AE956" s="44">
        <f>Y956</f>
        <v>0</v>
      </c>
      <c r="AF956" s="44">
        <f>AB956</f>
        <v>0</v>
      </c>
      <c r="AG956" s="44">
        <f>AD956</f>
        <v>0</v>
      </c>
      <c r="AH956" s="44">
        <f>AF956</f>
        <v>0</v>
      </c>
      <c r="AI956" s="44">
        <f>AH956</f>
        <v>0</v>
      </c>
    </row>
    <row r="957" spans="1:35" s="38" customFormat="1">
      <c r="A957" s="990">
        <v>961</v>
      </c>
      <c r="B957" s="990">
        <v>931</v>
      </c>
      <c r="C957" s="990">
        <v>957</v>
      </c>
      <c r="E957" s="1243">
        <v>1</v>
      </c>
      <c r="F957" s="5"/>
      <c r="G957" s="5"/>
      <c r="H957" s="5"/>
      <c r="I957" s="333"/>
      <c r="J957" s="5"/>
      <c r="K957" s="5"/>
      <c r="L957" s="5"/>
      <c r="M957" s="4"/>
      <c r="N957" s="45"/>
      <c r="O957" s="45" t="s">
        <v>324</v>
      </c>
      <c r="P957" s="4"/>
      <c r="Q957" s="2030"/>
      <c r="R957" s="2030"/>
      <c r="S957" s="2030"/>
      <c r="T957" s="2030"/>
      <c r="U957" s="2030"/>
      <c r="V957" s="2030"/>
      <c r="W957" s="2030"/>
      <c r="X957" s="2030"/>
      <c r="Y957" s="2030"/>
      <c r="Z957" s="2030"/>
      <c r="AA957" s="2030"/>
      <c r="AB957" s="2030"/>
      <c r="AC957" s="44">
        <f>S957</f>
        <v>0</v>
      </c>
      <c r="AD957" s="44">
        <f>V957</f>
        <v>0</v>
      </c>
      <c r="AE957" s="44">
        <f>Y957</f>
        <v>0</v>
      </c>
      <c r="AF957" s="44">
        <f>AB957</f>
        <v>0</v>
      </c>
      <c r="AG957" s="44">
        <f>AD957</f>
        <v>0</v>
      </c>
      <c r="AH957" s="44">
        <f>AF957</f>
        <v>0</v>
      </c>
      <c r="AI957" s="44">
        <f>AH957</f>
        <v>0</v>
      </c>
    </row>
    <row r="958" spans="1:35" s="38" customFormat="1">
      <c r="A958" s="990">
        <v>962</v>
      </c>
      <c r="B958" s="990">
        <v>932</v>
      </c>
      <c r="C958" s="990">
        <v>958</v>
      </c>
      <c r="E958" s="1243">
        <v>1</v>
      </c>
      <c r="F958" s="5"/>
      <c r="G958" s="5"/>
      <c r="H958" s="5"/>
      <c r="I958" s="333"/>
      <c r="J958" s="5"/>
      <c r="K958" s="5"/>
      <c r="L958" s="5"/>
      <c r="M958" s="4"/>
      <c r="N958" s="45"/>
      <c r="O958" s="45" t="s">
        <v>325</v>
      </c>
      <c r="P958" s="4"/>
      <c r="Q958" s="2030">
        <v>4</v>
      </c>
      <c r="R958" s="2030">
        <v>4</v>
      </c>
      <c r="S958" s="2030">
        <v>4</v>
      </c>
      <c r="T958" s="2030">
        <v>4</v>
      </c>
      <c r="U958" s="2030">
        <v>4</v>
      </c>
      <c r="V958" s="2030">
        <v>4</v>
      </c>
      <c r="W958" s="2030"/>
      <c r="X958" s="2030"/>
      <c r="Y958" s="2030"/>
      <c r="Z958" s="2030">
        <v>1</v>
      </c>
      <c r="AA958" s="2030">
        <v>1</v>
      </c>
      <c r="AB958" s="2030">
        <v>1</v>
      </c>
      <c r="AC958" s="44">
        <f>S958</f>
        <v>4</v>
      </c>
      <c r="AD958" s="44">
        <f>V958</f>
        <v>4</v>
      </c>
      <c r="AE958" s="44">
        <f>Y958</f>
        <v>0</v>
      </c>
      <c r="AF958" s="44">
        <f>AB958</f>
        <v>1</v>
      </c>
      <c r="AG958" s="44">
        <f>AD958</f>
        <v>4</v>
      </c>
      <c r="AH958" s="44">
        <f>AF958</f>
        <v>1</v>
      </c>
      <c r="AI958" s="44">
        <f>AH958</f>
        <v>1</v>
      </c>
    </row>
    <row r="959" spans="1:35" s="38" customFormat="1">
      <c r="A959" s="990">
        <v>963</v>
      </c>
      <c r="B959" s="990">
        <v>933</v>
      </c>
      <c r="C959" s="990">
        <v>959</v>
      </c>
      <c r="E959" s="1243">
        <v>1</v>
      </c>
      <c r="F959" s="5"/>
      <c r="G959" s="5"/>
      <c r="H959" s="5"/>
      <c r="I959" s="333"/>
      <c r="J959" s="3"/>
      <c r="K959" s="3"/>
      <c r="L959" s="3"/>
      <c r="M959" s="2"/>
      <c r="N959" s="43"/>
      <c r="O959" s="43" t="s">
        <v>326</v>
      </c>
      <c r="P959" s="2"/>
      <c r="Q959" s="2029"/>
      <c r="R959" s="2029"/>
      <c r="S959" s="2029"/>
      <c r="T959" s="2029"/>
      <c r="U959" s="2029"/>
      <c r="V959" s="2029"/>
      <c r="W959" s="2029"/>
      <c r="X959" s="2029"/>
      <c r="Y959" s="2029"/>
      <c r="Z959" s="2029"/>
      <c r="AA959" s="2029"/>
      <c r="AB959" s="2029"/>
      <c r="AC959" s="42">
        <f>S959</f>
        <v>0</v>
      </c>
      <c r="AD959" s="42">
        <f>V959</f>
        <v>0</v>
      </c>
      <c r="AE959" s="42">
        <f>Y959</f>
        <v>0</v>
      </c>
      <c r="AF959" s="42">
        <f>AB959</f>
        <v>0</v>
      </c>
      <c r="AG959" s="42">
        <f>AD959</f>
        <v>0</v>
      </c>
      <c r="AH959" s="42">
        <f>AF959</f>
        <v>0</v>
      </c>
      <c r="AI959" s="42">
        <f>AH959</f>
        <v>0</v>
      </c>
    </row>
    <row r="960" spans="1:35" s="38" customFormat="1">
      <c r="A960" s="990">
        <v>964</v>
      </c>
      <c r="B960" s="990">
        <v>934</v>
      </c>
      <c r="C960" s="990">
        <v>960</v>
      </c>
      <c r="D960" s="1121" t="s">
        <v>999</v>
      </c>
      <c r="E960" s="1243">
        <v>1</v>
      </c>
      <c r="F960" s="5"/>
      <c r="G960" s="5"/>
      <c r="H960" s="5"/>
      <c r="I960" s="333"/>
      <c r="J960" s="52" t="s">
        <v>73</v>
      </c>
      <c r="K960" s="52"/>
      <c r="L960" s="52"/>
      <c r="M960" s="51"/>
      <c r="N960" s="51"/>
      <c r="O960" s="51"/>
      <c r="P960" s="50"/>
      <c r="Q960" s="49">
        <f>SUM(Q961:Q965)</f>
        <v>0</v>
      </c>
      <c r="R960" s="49">
        <f t="shared" ref="R960:AI960" si="555">SUM(R961:R965)</f>
        <v>0</v>
      </c>
      <c r="S960" s="49">
        <f t="shared" si="555"/>
        <v>0</v>
      </c>
      <c r="T960" s="49">
        <f t="shared" si="555"/>
        <v>0</v>
      </c>
      <c r="U960" s="49">
        <f t="shared" si="555"/>
        <v>0</v>
      </c>
      <c r="V960" s="49">
        <f t="shared" si="555"/>
        <v>0</v>
      </c>
      <c r="W960" s="49">
        <f t="shared" si="555"/>
        <v>1</v>
      </c>
      <c r="X960" s="49">
        <f t="shared" si="555"/>
        <v>1</v>
      </c>
      <c r="Y960" s="49">
        <f t="shared" si="555"/>
        <v>1</v>
      </c>
      <c r="Z960" s="49">
        <f t="shared" si="555"/>
        <v>1</v>
      </c>
      <c r="AA960" s="49">
        <f t="shared" si="555"/>
        <v>1</v>
      </c>
      <c r="AB960" s="49">
        <f t="shared" si="555"/>
        <v>1</v>
      </c>
      <c r="AC960" s="49">
        <f t="shared" si="555"/>
        <v>0</v>
      </c>
      <c r="AD960" s="49">
        <f t="shared" si="555"/>
        <v>0</v>
      </c>
      <c r="AE960" s="49">
        <f t="shared" si="555"/>
        <v>1</v>
      </c>
      <c r="AF960" s="49">
        <f t="shared" si="555"/>
        <v>1</v>
      </c>
      <c r="AG960" s="49">
        <f t="shared" si="555"/>
        <v>0</v>
      </c>
      <c r="AH960" s="49">
        <f t="shared" si="555"/>
        <v>1</v>
      </c>
      <c r="AI960" s="49">
        <f t="shared" si="555"/>
        <v>1</v>
      </c>
    </row>
    <row r="961" spans="1:35" s="38" customFormat="1">
      <c r="A961" s="990">
        <v>965</v>
      </c>
      <c r="B961" s="990">
        <v>935</v>
      </c>
      <c r="C961" s="990">
        <v>961</v>
      </c>
      <c r="E961" s="1243">
        <v>1</v>
      </c>
      <c r="F961" s="5"/>
      <c r="G961" s="5"/>
      <c r="H961" s="5"/>
      <c r="I961" s="333"/>
      <c r="J961" s="5"/>
      <c r="K961" s="5"/>
      <c r="L961" s="4"/>
      <c r="M961" s="4"/>
      <c r="N961" s="45"/>
      <c r="O961" s="45" t="s">
        <v>119</v>
      </c>
      <c r="P961" s="1204"/>
      <c r="Q961" s="2030"/>
      <c r="R961" s="2030"/>
      <c r="S961" s="2030"/>
      <c r="T961" s="2030"/>
      <c r="U961" s="2030"/>
      <c r="V961" s="2030"/>
      <c r="W961" s="2030"/>
      <c r="X961" s="2030"/>
      <c r="Y961" s="2030"/>
      <c r="Z961" s="2030"/>
      <c r="AA961" s="2030"/>
      <c r="AB961" s="2030"/>
      <c r="AC961" s="44">
        <f>S961</f>
        <v>0</v>
      </c>
      <c r="AD961" s="44">
        <f>V961</f>
        <v>0</v>
      </c>
      <c r="AE961" s="44">
        <f>Y961</f>
        <v>0</v>
      </c>
      <c r="AF961" s="44">
        <f>AB961</f>
        <v>0</v>
      </c>
      <c r="AG961" s="44">
        <f>AD961</f>
        <v>0</v>
      </c>
      <c r="AH961" s="44">
        <f>AF961</f>
        <v>0</v>
      </c>
      <c r="AI961" s="44">
        <f>AH961</f>
        <v>0</v>
      </c>
    </row>
    <row r="962" spans="1:35" s="38" customFormat="1">
      <c r="A962" s="990">
        <v>966</v>
      </c>
      <c r="B962" s="990">
        <v>936</v>
      </c>
      <c r="C962" s="990">
        <v>962</v>
      </c>
      <c r="E962" s="1243">
        <v>1</v>
      </c>
      <c r="F962" s="5"/>
      <c r="G962" s="5"/>
      <c r="H962" s="5"/>
      <c r="I962" s="333"/>
      <c r="J962" s="5"/>
      <c r="K962" s="5"/>
      <c r="L962" s="4"/>
      <c r="M962" s="4"/>
      <c r="N962" s="45"/>
      <c r="O962" s="45" t="s">
        <v>75</v>
      </c>
      <c r="P962" s="1204"/>
      <c r="Q962" s="2030"/>
      <c r="R962" s="2030"/>
      <c r="S962" s="2030"/>
      <c r="T962" s="2030"/>
      <c r="U962" s="2030"/>
      <c r="V962" s="2030"/>
      <c r="W962" s="2030"/>
      <c r="X962" s="2030"/>
      <c r="Y962" s="2030"/>
      <c r="Z962" s="2030"/>
      <c r="AA962" s="2030"/>
      <c r="AB962" s="2030"/>
      <c r="AC962" s="44">
        <f>S962</f>
        <v>0</v>
      </c>
      <c r="AD962" s="44">
        <f>V962</f>
        <v>0</v>
      </c>
      <c r="AE962" s="44">
        <f>Y962</f>
        <v>0</v>
      </c>
      <c r="AF962" s="44">
        <f>AB962</f>
        <v>0</v>
      </c>
      <c r="AG962" s="44">
        <f>AD962</f>
        <v>0</v>
      </c>
      <c r="AH962" s="44">
        <f>AF962</f>
        <v>0</v>
      </c>
      <c r="AI962" s="44">
        <f>AH962</f>
        <v>0</v>
      </c>
    </row>
    <row r="963" spans="1:35" s="38" customFormat="1">
      <c r="A963" s="990">
        <v>967</v>
      </c>
      <c r="B963" s="990">
        <v>937</v>
      </c>
      <c r="C963" s="990">
        <v>963</v>
      </c>
      <c r="E963" s="1243">
        <v>1</v>
      </c>
      <c r="F963" s="5"/>
      <c r="G963" s="5"/>
      <c r="H963" s="5"/>
      <c r="I963" s="333"/>
      <c r="J963" s="5"/>
      <c r="K963" s="5"/>
      <c r="L963" s="4"/>
      <c r="M963" s="4"/>
      <c r="N963" s="45"/>
      <c r="O963" s="45" t="s">
        <v>76</v>
      </c>
      <c r="P963" s="1204"/>
      <c r="Q963" s="2030"/>
      <c r="R963" s="2030"/>
      <c r="S963" s="2030"/>
      <c r="T963" s="2030"/>
      <c r="U963" s="2030"/>
      <c r="V963" s="2030"/>
      <c r="W963" s="2030"/>
      <c r="X963" s="2030"/>
      <c r="Y963" s="2030"/>
      <c r="Z963" s="2030"/>
      <c r="AA963" s="2030"/>
      <c r="AB963" s="2030"/>
      <c r="AC963" s="44">
        <f>S963</f>
        <v>0</v>
      </c>
      <c r="AD963" s="44">
        <f>V963</f>
        <v>0</v>
      </c>
      <c r="AE963" s="44">
        <f>Y963</f>
        <v>0</v>
      </c>
      <c r="AF963" s="44">
        <f>AB963</f>
        <v>0</v>
      </c>
      <c r="AG963" s="44">
        <f>AD963</f>
        <v>0</v>
      </c>
      <c r="AH963" s="44">
        <f>AF963</f>
        <v>0</v>
      </c>
      <c r="AI963" s="44">
        <f>AH963</f>
        <v>0</v>
      </c>
    </row>
    <row r="964" spans="1:35" s="38" customFormat="1">
      <c r="A964" s="990">
        <v>968</v>
      </c>
      <c r="B964" s="990">
        <v>938</v>
      </c>
      <c r="C964" s="990">
        <v>964</v>
      </c>
      <c r="E964" s="1243">
        <v>1</v>
      </c>
      <c r="F964" s="5"/>
      <c r="G964" s="5"/>
      <c r="H964" s="5"/>
      <c r="I964" s="333"/>
      <c r="J964" s="5"/>
      <c r="K964" s="5"/>
      <c r="L964" s="4"/>
      <c r="M964" s="4"/>
      <c r="N964" s="45"/>
      <c r="O964" s="45" t="s">
        <v>77</v>
      </c>
      <c r="P964" s="1204"/>
      <c r="Q964" s="2030"/>
      <c r="R964" s="2030"/>
      <c r="S964" s="2030"/>
      <c r="T964" s="2030"/>
      <c r="U964" s="2030"/>
      <c r="V964" s="2030"/>
      <c r="W964" s="2030"/>
      <c r="X964" s="2030"/>
      <c r="Y964" s="2030"/>
      <c r="Z964" s="2030"/>
      <c r="AA964" s="2030"/>
      <c r="AB964" s="2030"/>
      <c r="AC964" s="44">
        <f>S964</f>
        <v>0</v>
      </c>
      <c r="AD964" s="44">
        <f>V964</f>
        <v>0</v>
      </c>
      <c r="AE964" s="44">
        <f>Y964</f>
        <v>0</v>
      </c>
      <c r="AF964" s="44">
        <f>AB964</f>
        <v>0</v>
      </c>
      <c r="AG964" s="44">
        <f>AD964</f>
        <v>0</v>
      </c>
      <c r="AH964" s="44">
        <f>AF964</f>
        <v>0</v>
      </c>
      <c r="AI964" s="44">
        <f>AH964</f>
        <v>0</v>
      </c>
    </row>
    <row r="965" spans="1:35" s="38" customFormat="1">
      <c r="A965" s="990">
        <v>969</v>
      </c>
      <c r="B965" s="990">
        <v>939</v>
      </c>
      <c r="C965" s="990">
        <v>965</v>
      </c>
      <c r="E965" s="1243">
        <v>1</v>
      </c>
      <c r="F965" s="5"/>
      <c r="G965" s="5"/>
      <c r="H965" s="5"/>
      <c r="I965" s="333"/>
      <c r="J965" s="5"/>
      <c r="K965" s="5"/>
      <c r="L965" s="4"/>
      <c r="M965" s="4"/>
      <c r="N965" s="45"/>
      <c r="O965" s="45" t="s">
        <v>11</v>
      </c>
      <c r="P965" s="1204"/>
      <c r="Q965" s="2030"/>
      <c r="R965" s="2030"/>
      <c r="S965" s="2030"/>
      <c r="T965" s="2030"/>
      <c r="U965" s="2030"/>
      <c r="V965" s="2030"/>
      <c r="W965" s="2030">
        <v>1</v>
      </c>
      <c r="X965" s="2030">
        <v>1</v>
      </c>
      <c r="Y965" s="2030">
        <v>1</v>
      </c>
      <c r="Z965" s="2030">
        <v>1</v>
      </c>
      <c r="AA965" s="2030">
        <v>1</v>
      </c>
      <c r="AB965" s="2030">
        <v>1</v>
      </c>
      <c r="AC965" s="44">
        <f>S965</f>
        <v>0</v>
      </c>
      <c r="AD965" s="44">
        <f>V965</f>
        <v>0</v>
      </c>
      <c r="AE965" s="44">
        <f>Y965</f>
        <v>1</v>
      </c>
      <c r="AF965" s="44">
        <f>AB965</f>
        <v>1</v>
      </c>
      <c r="AG965" s="44">
        <f>AD965</f>
        <v>0</v>
      </c>
      <c r="AH965" s="44">
        <f>AF965</f>
        <v>1</v>
      </c>
      <c r="AI965" s="44">
        <f>AH965</f>
        <v>1</v>
      </c>
    </row>
    <row r="966" spans="1:35" s="38" customFormat="1">
      <c r="A966" s="990">
        <v>970</v>
      </c>
      <c r="B966" s="990">
        <v>940</v>
      </c>
      <c r="C966" s="990">
        <v>966</v>
      </c>
      <c r="D966" s="1121" t="s">
        <v>999</v>
      </c>
      <c r="E966" s="1243">
        <v>1</v>
      </c>
      <c r="F966" s="5"/>
      <c r="G966" s="5"/>
      <c r="H966" s="5"/>
      <c r="I966" s="333"/>
      <c r="J966" s="324" t="s">
        <v>332</v>
      </c>
      <c r="K966" s="324"/>
      <c r="L966" s="324"/>
      <c r="M966" s="323"/>
      <c r="N966" s="323"/>
      <c r="O966" s="323"/>
      <c r="P966" s="1203"/>
      <c r="Q966" s="325">
        <f>SUM(Q967:Q969)</f>
        <v>0</v>
      </c>
      <c r="R966" s="325">
        <f t="shared" ref="R966:AI966" si="556">SUM(R967:R969)</f>
        <v>0</v>
      </c>
      <c r="S966" s="325">
        <f t="shared" si="556"/>
        <v>0</v>
      </c>
      <c r="T966" s="325">
        <f t="shared" si="556"/>
        <v>0</v>
      </c>
      <c r="U966" s="325">
        <f t="shared" si="556"/>
        <v>0</v>
      </c>
      <c r="V966" s="325">
        <f t="shared" si="556"/>
        <v>0</v>
      </c>
      <c r="W966" s="325">
        <f t="shared" si="556"/>
        <v>0</v>
      </c>
      <c r="X966" s="325">
        <f t="shared" si="556"/>
        <v>0</v>
      </c>
      <c r="Y966" s="325">
        <f t="shared" si="556"/>
        <v>0</v>
      </c>
      <c r="Z966" s="325">
        <f t="shared" si="556"/>
        <v>0</v>
      </c>
      <c r="AA966" s="325">
        <f t="shared" si="556"/>
        <v>0</v>
      </c>
      <c r="AB966" s="325">
        <f t="shared" si="556"/>
        <v>0</v>
      </c>
      <c r="AC966" s="325">
        <f t="shared" si="556"/>
        <v>0</v>
      </c>
      <c r="AD966" s="325">
        <f t="shared" si="556"/>
        <v>0</v>
      </c>
      <c r="AE966" s="325">
        <f t="shared" si="556"/>
        <v>0</v>
      </c>
      <c r="AF966" s="325">
        <f t="shared" si="556"/>
        <v>0</v>
      </c>
      <c r="AG966" s="325">
        <f t="shared" si="556"/>
        <v>0</v>
      </c>
      <c r="AH966" s="325">
        <f t="shared" si="556"/>
        <v>0</v>
      </c>
      <c r="AI966" s="325">
        <f t="shared" si="556"/>
        <v>0</v>
      </c>
    </row>
    <row r="967" spans="1:35" s="38" customFormat="1">
      <c r="A967" s="990">
        <v>971</v>
      </c>
      <c r="B967" s="990">
        <v>941</v>
      </c>
      <c r="C967" s="990">
        <v>967</v>
      </c>
      <c r="E967" s="1243">
        <v>1</v>
      </c>
      <c r="F967" s="5"/>
      <c r="G967" s="5"/>
      <c r="H967" s="5"/>
      <c r="I967" s="333"/>
      <c r="J967" s="5"/>
      <c r="K967" s="5"/>
      <c r="L967" s="4"/>
      <c r="M967" s="4"/>
      <c r="N967" s="45"/>
      <c r="O967" s="45" t="s">
        <v>79</v>
      </c>
      <c r="P967" s="1204"/>
      <c r="Q967" s="2030"/>
      <c r="R967" s="2030"/>
      <c r="S967" s="2030"/>
      <c r="T967" s="2030"/>
      <c r="U967" s="2030"/>
      <c r="V967" s="2030"/>
      <c r="W967" s="2030"/>
      <c r="X967" s="2030"/>
      <c r="Y967" s="2030"/>
      <c r="Z967" s="2030"/>
      <c r="AA967" s="2030"/>
      <c r="AB967" s="2030"/>
      <c r="AC967" s="44">
        <f>S967</f>
        <v>0</v>
      </c>
      <c r="AD967" s="44">
        <f>V967</f>
        <v>0</v>
      </c>
      <c r="AE967" s="44">
        <f>Y967</f>
        <v>0</v>
      </c>
      <c r="AF967" s="44">
        <f>AB967</f>
        <v>0</v>
      </c>
      <c r="AG967" s="44">
        <f>AD967</f>
        <v>0</v>
      </c>
      <c r="AH967" s="44">
        <f>AF967</f>
        <v>0</v>
      </c>
      <c r="AI967" s="44">
        <f>AH967</f>
        <v>0</v>
      </c>
    </row>
    <row r="968" spans="1:35" s="38" customFormat="1">
      <c r="A968" s="990">
        <v>972</v>
      </c>
      <c r="B968" s="990">
        <v>942</v>
      </c>
      <c r="C968" s="990">
        <v>968</v>
      </c>
      <c r="E968" s="1243">
        <v>1</v>
      </c>
      <c r="F968" s="5"/>
      <c r="G968" s="5"/>
      <c r="H968" s="5"/>
      <c r="I968" s="333"/>
      <c r="J968" s="5"/>
      <c r="K968" s="5"/>
      <c r="L968" s="4"/>
      <c r="M968" s="4"/>
      <c r="N968" s="45"/>
      <c r="O968" s="45" t="s">
        <v>80</v>
      </c>
      <c r="P968" s="1204"/>
      <c r="Q968" s="2030"/>
      <c r="R968" s="2030"/>
      <c r="S968" s="2030"/>
      <c r="T968" s="2030"/>
      <c r="U968" s="2030"/>
      <c r="V968" s="2030"/>
      <c r="W968" s="2030"/>
      <c r="X968" s="2030"/>
      <c r="Y968" s="2030"/>
      <c r="Z968" s="2030"/>
      <c r="AA968" s="2030"/>
      <c r="AB968" s="2030"/>
      <c r="AC968" s="44">
        <f>S968</f>
        <v>0</v>
      </c>
      <c r="AD968" s="44">
        <f>V968</f>
        <v>0</v>
      </c>
      <c r="AE968" s="44">
        <f>Y968</f>
        <v>0</v>
      </c>
      <c r="AF968" s="44">
        <f>AB968</f>
        <v>0</v>
      </c>
      <c r="AG968" s="44">
        <f>AD968</f>
        <v>0</v>
      </c>
      <c r="AH968" s="44">
        <f>AF968</f>
        <v>0</v>
      </c>
      <c r="AI968" s="44">
        <f>AH968</f>
        <v>0</v>
      </c>
    </row>
    <row r="969" spans="1:35" s="38" customFormat="1">
      <c r="A969" s="990">
        <v>973</v>
      </c>
      <c r="B969" s="990">
        <v>943</v>
      </c>
      <c r="C969" s="990">
        <v>969</v>
      </c>
      <c r="E969" s="1243">
        <v>1</v>
      </c>
      <c r="F969" s="5"/>
      <c r="G969" s="5"/>
      <c r="H969" s="5"/>
      <c r="I969" s="334"/>
      <c r="J969" s="3"/>
      <c r="K969" s="3"/>
      <c r="L969" s="2"/>
      <c r="M969" s="2"/>
      <c r="N969" s="43"/>
      <c r="O969" s="43" t="s">
        <v>81</v>
      </c>
      <c r="P969" s="1205"/>
      <c r="Q969" s="2029"/>
      <c r="R969" s="2029"/>
      <c r="S969" s="2029"/>
      <c r="T969" s="2029"/>
      <c r="U969" s="2029"/>
      <c r="V969" s="2029"/>
      <c r="W969" s="2029"/>
      <c r="X969" s="2029"/>
      <c r="Y969" s="2029"/>
      <c r="Z969" s="2029"/>
      <c r="AA969" s="2029"/>
      <c r="AB969" s="2029"/>
      <c r="AC969" s="42">
        <f>S969</f>
        <v>0</v>
      </c>
      <c r="AD969" s="42">
        <f>V969</f>
        <v>0</v>
      </c>
      <c r="AE969" s="42">
        <f>Y969</f>
        <v>0</v>
      </c>
      <c r="AF969" s="42">
        <f>AB969</f>
        <v>0</v>
      </c>
      <c r="AG969" s="42">
        <f>AD969</f>
        <v>0</v>
      </c>
      <c r="AH969" s="42">
        <f>AF969</f>
        <v>0</v>
      </c>
      <c r="AI969" s="42">
        <f>AH969</f>
        <v>0</v>
      </c>
    </row>
    <row r="970" spans="1:35" s="38" customFormat="1">
      <c r="A970" s="990">
        <v>974</v>
      </c>
      <c r="B970" s="990">
        <v>944</v>
      </c>
      <c r="C970" s="990">
        <v>970</v>
      </c>
      <c r="D970" s="1121" t="s">
        <v>999</v>
      </c>
      <c r="E970" s="1243">
        <v>1</v>
      </c>
      <c r="F970" s="5"/>
      <c r="G970" s="5"/>
      <c r="H970" s="5"/>
      <c r="I970" s="318" t="s">
        <v>1110</v>
      </c>
      <c r="J970" s="319"/>
      <c r="K970" s="320"/>
      <c r="L970" s="320"/>
      <c r="M970" s="319"/>
      <c r="N970" s="319"/>
      <c r="O970" s="319"/>
      <c r="P970" s="321"/>
      <c r="Q970" s="2050"/>
      <c r="R970" s="2050"/>
      <c r="S970" s="2050"/>
      <c r="T970" s="2050"/>
      <c r="U970" s="2050"/>
      <c r="V970" s="2050"/>
      <c r="W970" s="2050"/>
      <c r="X970" s="2050"/>
      <c r="Y970" s="2050"/>
      <c r="Z970" s="2050"/>
      <c r="AA970" s="2050"/>
      <c r="AB970" s="2050"/>
      <c r="AC970" s="2527">
        <f>S970</f>
        <v>0</v>
      </c>
      <c r="AD970" s="2527">
        <f>V970</f>
        <v>0</v>
      </c>
      <c r="AE970" s="2527">
        <f>Y970</f>
        <v>0</v>
      </c>
      <c r="AF970" s="2527">
        <f>AB970</f>
        <v>0</v>
      </c>
      <c r="AG970" s="2527">
        <f>AD970</f>
        <v>0</v>
      </c>
      <c r="AH970" s="2527">
        <f>AF970</f>
        <v>0</v>
      </c>
      <c r="AI970" s="2527">
        <f>AH970</f>
        <v>0</v>
      </c>
    </row>
    <row r="971" spans="1:35" s="38" customFormat="1">
      <c r="A971" s="990">
        <v>975</v>
      </c>
      <c r="B971" s="990">
        <v>1</v>
      </c>
      <c r="C971" s="990">
        <v>971</v>
      </c>
      <c r="D971" s="1121" t="s">
        <v>999</v>
      </c>
      <c r="E971" s="1243">
        <v>1</v>
      </c>
      <c r="F971" s="5"/>
      <c r="G971" s="5"/>
      <c r="H971" s="5"/>
      <c r="I971" s="5"/>
      <c r="J971" s="4"/>
      <c r="K971" s="5"/>
      <c r="L971" s="5"/>
      <c r="M971" s="4"/>
      <c r="N971" s="4"/>
      <c r="O971" s="4"/>
      <c r="P971" s="4"/>
      <c r="Q971" s="1151"/>
      <c r="R971" s="1151"/>
      <c r="S971" s="1151"/>
      <c r="T971" s="1151"/>
      <c r="U971" s="1151"/>
      <c r="V971" s="1151"/>
      <c r="W971" s="1151"/>
      <c r="X971" s="1151"/>
      <c r="Y971" s="1151"/>
      <c r="Z971" s="1151"/>
    </row>
    <row r="972" spans="1:35" ht="18">
      <c r="A972" s="990">
        <v>976</v>
      </c>
      <c r="B972" s="990">
        <v>1</v>
      </c>
      <c r="C972" s="990">
        <v>972</v>
      </c>
      <c r="D972" s="1121" t="s">
        <v>999</v>
      </c>
      <c r="E972" s="1243">
        <v>1</v>
      </c>
      <c r="F972" s="314" t="s">
        <v>1114</v>
      </c>
      <c r="G972" s="314"/>
      <c r="I972" s="5"/>
      <c r="J972" s="4"/>
      <c r="K972" s="5"/>
      <c r="L972" s="5"/>
      <c r="M972" s="4"/>
      <c r="N972" s="4"/>
      <c r="O972" s="4"/>
      <c r="P972" s="291"/>
      <c r="Q972" s="1151"/>
      <c r="R972" s="1151"/>
      <c r="S972" s="1151"/>
      <c r="T972" s="1151"/>
      <c r="U972" s="1151"/>
      <c r="V972" s="1151"/>
    </row>
    <row r="973" spans="1:35" ht="15.5">
      <c r="A973" s="990">
        <v>977</v>
      </c>
      <c r="B973" s="990">
        <v>1</v>
      </c>
      <c r="C973" s="990">
        <v>973</v>
      </c>
      <c r="D973" s="1121" t="s">
        <v>999</v>
      </c>
      <c r="E973" s="1243">
        <v>1</v>
      </c>
      <c r="F973" s="9"/>
      <c r="G973" s="315" t="s">
        <v>1115</v>
      </c>
      <c r="I973" s="5"/>
      <c r="J973" s="4"/>
      <c r="K973" s="5"/>
      <c r="L973" s="5"/>
      <c r="M973" s="4"/>
      <c r="N973" s="4"/>
      <c r="O973" s="4"/>
      <c r="P973" s="4"/>
      <c r="Q973" s="1151"/>
      <c r="R973" s="1151"/>
      <c r="S973" s="1151"/>
      <c r="T973" s="1151"/>
      <c r="U973" s="1151"/>
      <c r="V973" s="1151"/>
    </row>
    <row r="974" spans="1:35">
      <c r="A974" s="990">
        <v>978</v>
      </c>
      <c r="B974" s="990">
        <v>1</v>
      </c>
      <c r="C974" s="990">
        <v>974</v>
      </c>
      <c r="D974" s="1121" t="s">
        <v>999</v>
      </c>
      <c r="E974" s="1243">
        <v>1</v>
      </c>
      <c r="F974" s="5"/>
      <c r="G974" s="5"/>
      <c r="H974" s="75"/>
      <c r="I974" s="258"/>
      <c r="J974" s="555"/>
      <c r="K974" s="636"/>
      <c r="L974" s="636"/>
      <c r="M974" s="555"/>
      <c r="N974" s="555"/>
      <c r="O974" s="555"/>
      <c r="P974" s="1152"/>
      <c r="Q974" s="2175">
        <f>Q$10</f>
        <v>43922</v>
      </c>
      <c r="R974" s="2175">
        <f t="shared" ref="R974:AI974" si="557">R$10</f>
        <v>43952</v>
      </c>
      <c r="S974" s="2175">
        <f t="shared" si="557"/>
        <v>43983</v>
      </c>
      <c r="T974" s="2175">
        <f t="shared" si="557"/>
        <v>44013</v>
      </c>
      <c r="U974" s="2175">
        <f t="shared" si="557"/>
        <v>44044</v>
      </c>
      <c r="V974" s="2175">
        <f t="shared" si="557"/>
        <v>44075</v>
      </c>
      <c r="W974" s="2175">
        <f t="shared" si="557"/>
        <v>44105</v>
      </c>
      <c r="X974" s="2175">
        <f t="shared" si="557"/>
        <v>44136</v>
      </c>
      <c r="Y974" s="2175">
        <f t="shared" si="557"/>
        <v>44166</v>
      </c>
      <c r="Z974" s="2175">
        <f t="shared" si="557"/>
        <v>44197</v>
      </c>
      <c r="AA974" s="2175">
        <f t="shared" si="557"/>
        <v>44228</v>
      </c>
      <c r="AB974" s="2175">
        <f t="shared" si="557"/>
        <v>44256</v>
      </c>
      <c r="AC974" s="2591" t="str">
        <f t="shared" si="557"/>
        <v>Q1</v>
      </c>
      <c r="AD974" s="2591" t="str">
        <f t="shared" si="557"/>
        <v>Q2</v>
      </c>
      <c r="AE974" s="2591" t="str">
        <f t="shared" si="557"/>
        <v>Q3</v>
      </c>
      <c r="AF974" s="2591" t="str">
        <f t="shared" si="557"/>
        <v>Q4</v>
      </c>
      <c r="AG974" s="2591" t="str">
        <f t="shared" si="557"/>
        <v>1st H</v>
      </c>
      <c r="AH974" s="2591" t="str">
        <f t="shared" si="557"/>
        <v>2nd H</v>
      </c>
      <c r="AI974" s="2591" t="str">
        <f t="shared" si="557"/>
        <v>Yr.</v>
      </c>
    </row>
    <row r="975" spans="1:35">
      <c r="A975" s="990">
        <v>979</v>
      </c>
      <c r="B975" s="990">
        <v>1</v>
      </c>
      <c r="C975" s="990">
        <v>975</v>
      </c>
      <c r="D975" s="1121" t="s">
        <v>999</v>
      </c>
      <c r="E975" s="1243">
        <v>1</v>
      </c>
      <c r="F975" s="5"/>
      <c r="G975" s="5"/>
      <c r="H975" s="75"/>
      <c r="I975" s="318" t="s">
        <v>1116</v>
      </c>
      <c r="J975" s="320"/>
      <c r="K975" s="320"/>
      <c r="L975" s="320"/>
      <c r="M975" s="319"/>
      <c r="N975" s="319"/>
      <c r="O975" s="319"/>
      <c r="P975" s="321"/>
      <c r="Q975" s="2226">
        <f>Q976+Q977+Q978</f>
        <v>1226631</v>
      </c>
      <c r="R975" s="2226">
        <f t="shared" ref="R975:AI975" si="558">R976+R977+R978</f>
        <v>1462220</v>
      </c>
      <c r="S975" s="2226">
        <f t="shared" si="558"/>
        <v>1567742</v>
      </c>
      <c r="T975" s="2226">
        <f t="shared" si="558"/>
        <v>1476786</v>
      </c>
      <c r="U975" s="2226">
        <f t="shared" si="558"/>
        <v>1424047</v>
      </c>
      <c r="V975" s="2226">
        <f t="shared" si="558"/>
        <v>1201823</v>
      </c>
      <c r="W975" s="2226">
        <f t="shared" si="558"/>
        <v>1081000</v>
      </c>
      <c r="X975" s="2226">
        <f t="shared" si="558"/>
        <v>1062566</v>
      </c>
      <c r="Y975" s="2226">
        <f t="shared" si="558"/>
        <v>999575</v>
      </c>
      <c r="Z975" s="2226">
        <f t="shared" si="558"/>
        <v>909132</v>
      </c>
      <c r="AA975" s="2226">
        <f t="shared" si="558"/>
        <v>990510.46932515909</v>
      </c>
      <c r="AB975" s="2226">
        <f t="shared" si="558"/>
        <v>819911.59778888884</v>
      </c>
      <c r="AC975" s="2226">
        <f t="shared" si="558"/>
        <v>1567742</v>
      </c>
      <c r="AD975" s="2226">
        <f t="shared" si="558"/>
        <v>1201823</v>
      </c>
      <c r="AE975" s="2226">
        <f t="shared" si="558"/>
        <v>999575</v>
      </c>
      <c r="AF975" s="2226">
        <f t="shared" si="558"/>
        <v>819911.59778888884</v>
      </c>
      <c r="AG975" s="2226">
        <f t="shared" si="558"/>
        <v>1201823</v>
      </c>
      <c r="AH975" s="2226">
        <f t="shared" si="558"/>
        <v>819911.59778888884</v>
      </c>
      <c r="AI975" s="2226">
        <f t="shared" si="558"/>
        <v>819911.59778888884</v>
      </c>
    </row>
    <row r="976" spans="1:35">
      <c r="A976" s="990">
        <v>980</v>
      </c>
      <c r="B976" s="990">
        <v>1</v>
      </c>
      <c r="C976" s="990">
        <v>976</v>
      </c>
      <c r="D976" s="1121" t="s">
        <v>999</v>
      </c>
      <c r="E976" s="1243">
        <v>1</v>
      </c>
      <c r="F976" s="5"/>
      <c r="G976" s="5"/>
      <c r="H976" s="75"/>
      <c r="I976" s="30"/>
      <c r="J976" s="5"/>
      <c r="K976" s="5"/>
      <c r="L976" s="5"/>
      <c r="M976" s="5"/>
      <c r="N976" s="4" t="s">
        <v>1117</v>
      </c>
      <c r="O976" s="4"/>
      <c r="P976" s="29"/>
      <c r="Q976" s="2080">
        <f t="shared" ref="Q976:AI976" si="559">Q980+Q993+Q983+Q986+Q990</f>
        <v>1195963</v>
      </c>
      <c r="R976" s="2080">
        <f t="shared" si="559"/>
        <v>1432819</v>
      </c>
      <c r="S976" s="2080">
        <f t="shared" si="559"/>
        <v>1541984</v>
      </c>
      <c r="T976" s="2080">
        <f t="shared" si="559"/>
        <v>1449777</v>
      </c>
      <c r="U976" s="2080">
        <f t="shared" si="559"/>
        <v>1392817</v>
      </c>
      <c r="V976" s="2080">
        <f t="shared" si="559"/>
        <v>1172756</v>
      </c>
      <c r="W976" s="2080">
        <f t="shared" si="559"/>
        <v>1050147</v>
      </c>
      <c r="X976" s="2080">
        <f t="shared" si="559"/>
        <v>1024643</v>
      </c>
      <c r="Y976" s="2080">
        <f t="shared" si="559"/>
        <v>957702</v>
      </c>
      <c r="Z976" s="2080">
        <f t="shared" si="559"/>
        <v>862310</v>
      </c>
      <c r="AA976" s="2081">
        <f t="shared" si="559"/>
        <v>949792.30773515906</v>
      </c>
      <c r="AB976" s="2081">
        <f t="shared" si="559"/>
        <v>780626.22188888886</v>
      </c>
      <c r="AC976" s="19">
        <f t="shared" si="559"/>
        <v>1541984</v>
      </c>
      <c r="AD976" s="19">
        <f t="shared" si="559"/>
        <v>1172756</v>
      </c>
      <c r="AE976" s="19">
        <f t="shared" si="559"/>
        <v>957702</v>
      </c>
      <c r="AF976" s="19">
        <f t="shared" si="559"/>
        <v>780626.22188888886</v>
      </c>
      <c r="AG976" s="19">
        <f t="shared" si="559"/>
        <v>1172756</v>
      </c>
      <c r="AH976" s="19">
        <f t="shared" si="559"/>
        <v>780626.22188888886</v>
      </c>
      <c r="AI976" s="19">
        <f t="shared" si="559"/>
        <v>780626.22188888886</v>
      </c>
    </row>
    <row r="977" spans="1:35">
      <c r="A977" s="990">
        <v>981</v>
      </c>
      <c r="B977" s="990">
        <v>1</v>
      </c>
      <c r="C977" s="990">
        <v>977</v>
      </c>
      <c r="D977" s="1121" t="s">
        <v>999</v>
      </c>
      <c r="E977" s="1243">
        <v>1</v>
      </c>
      <c r="F977" s="9"/>
      <c r="G977" s="9"/>
      <c r="H977" s="75"/>
      <c r="I977" s="30"/>
      <c r="J977" s="5"/>
      <c r="K977" s="5"/>
      <c r="L977" s="5"/>
      <c r="M977" s="5"/>
      <c r="N977" s="4" t="s">
        <v>1118</v>
      </c>
      <c r="O977" s="4"/>
      <c r="P977" s="29"/>
      <c r="Q977" s="2079">
        <f t="shared" ref="Q977:AI977" si="560">Q987</f>
        <v>14698</v>
      </c>
      <c r="R977" s="2079">
        <f t="shared" si="560"/>
        <v>15642</v>
      </c>
      <c r="S977" s="2079">
        <f t="shared" si="560"/>
        <v>13511</v>
      </c>
      <c r="T977" s="2079">
        <f t="shared" si="560"/>
        <v>15426</v>
      </c>
      <c r="U977" s="2079">
        <f t="shared" si="560"/>
        <v>14641</v>
      </c>
      <c r="V977" s="2079">
        <f t="shared" si="560"/>
        <v>12727</v>
      </c>
      <c r="W977" s="2079">
        <f t="shared" si="560"/>
        <v>12071</v>
      </c>
      <c r="X977" s="2079">
        <f t="shared" si="560"/>
        <v>14514</v>
      </c>
      <c r="Y977" s="2079">
        <f t="shared" si="560"/>
        <v>12467</v>
      </c>
      <c r="Z977" s="2079">
        <f t="shared" si="560"/>
        <v>15432</v>
      </c>
      <c r="AA977" s="19">
        <f t="shared" si="560"/>
        <v>6851</v>
      </c>
      <c r="AB977" s="19">
        <f t="shared" si="560"/>
        <v>12119</v>
      </c>
      <c r="AC977" s="19">
        <f t="shared" si="560"/>
        <v>13511</v>
      </c>
      <c r="AD977" s="19">
        <f t="shared" si="560"/>
        <v>12727</v>
      </c>
      <c r="AE977" s="19">
        <f t="shared" si="560"/>
        <v>12467</v>
      </c>
      <c r="AF977" s="19">
        <f t="shared" si="560"/>
        <v>12119</v>
      </c>
      <c r="AG977" s="19">
        <f t="shared" si="560"/>
        <v>12727</v>
      </c>
      <c r="AH977" s="19">
        <f t="shared" si="560"/>
        <v>12119</v>
      </c>
      <c r="AI977" s="19">
        <f t="shared" si="560"/>
        <v>12119</v>
      </c>
    </row>
    <row r="978" spans="1:35">
      <c r="A978" s="990">
        <v>982</v>
      </c>
      <c r="B978" s="990">
        <v>1</v>
      </c>
      <c r="C978" s="990">
        <v>978</v>
      </c>
      <c r="D978" s="1121" t="s">
        <v>999</v>
      </c>
      <c r="E978" s="1243">
        <v>1</v>
      </c>
      <c r="F978" s="5"/>
      <c r="G978" s="5"/>
      <c r="H978" s="75"/>
      <c r="I978" s="28"/>
      <c r="J978" s="5"/>
      <c r="K978" s="5"/>
      <c r="L978" s="5"/>
      <c r="M978" s="5"/>
      <c r="N978" s="4" t="s">
        <v>146</v>
      </c>
      <c r="O978" s="4"/>
      <c r="P978" s="29"/>
      <c r="Q978" s="2033">
        <f t="shared" ref="Q978:AI978" si="561">Q981+Q994+Q984+Q988+Q991</f>
        <v>15970</v>
      </c>
      <c r="R978" s="2033">
        <f t="shared" si="561"/>
        <v>13759</v>
      </c>
      <c r="S978" s="2033">
        <f t="shared" si="561"/>
        <v>12247</v>
      </c>
      <c r="T978" s="2033">
        <f t="shared" si="561"/>
        <v>11583</v>
      </c>
      <c r="U978" s="2033">
        <f t="shared" si="561"/>
        <v>16589</v>
      </c>
      <c r="V978" s="2033">
        <f t="shared" si="561"/>
        <v>16340</v>
      </c>
      <c r="W978" s="2033">
        <f t="shared" si="561"/>
        <v>18782</v>
      </c>
      <c r="X978" s="2033">
        <f t="shared" si="561"/>
        <v>23409</v>
      </c>
      <c r="Y978" s="2033">
        <f t="shared" si="561"/>
        <v>29406</v>
      </c>
      <c r="Z978" s="2033">
        <f t="shared" si="561"/>
        <v>31390</v>
      </c>
      <c r="AA978" s="17">
        <f t="shared" si="561"/>
        <v>33867.161590000011</v>
      </c>
      <c r="AB978" s="17">
        <f t="shared" si="561"/>
        <v>27166.375899999988</v>
      </c>
      <c r="AC978" s="19">
        <f t="shared" si="561"/>
        <v>12247</v>
      </c>
      <c r="AD978" s="19">
        <f t="shared" si="561"/>
        <v>16340</v>
      </c>
      <c r="AE978" s="19">
        <f t="shared" si="561"/>
        <v>29406</v>
      </c>
      <c r="AF978" s="19">
        <f t="shared" si="561"/>
        <v>27166.375899999988</v>
      </c>
      <c r="AG978" s="19">
        <f t="shared" si="561"/>
        <v>16340</v>
      </c>
      <c r="AH978" s="19">
        <f t="shared" si="561"/>
        <v>27166.375899999988</v>
      </c>
      <c r="AI978" s="19">
        <f t="shared" si="561"/>
        <v>27166.375899999988</v>
      </c>
    </row>
    <row r="979" spans="1:35">
      <c r="A979" s="990">
        <v>983</v>
      </c>
      <c r="B979" s="990">
        <v>1</v>
      </c>
      <c r="C979" s="990">
        <v>979</v>
      </c>
      <c r="D979" s="1121" t="s">
        <v>999</v>
      </c>
      <c r="E979" s="1243">
        <v>1</v>
      </c>
      <c r="F979" s="5"/>
      <c r="G979" s="5"/>
      <c r="H979" s="75"/>
      <c r="I979" s="8" t="s">
        <v>98</v>
      </c>
      <c r="J979" s="1206"/>
      <c r="K979" s="1206"/>
      <c r="L979" s="1206"/>
      <c r="M979" s="1206"/>
      <c r="N979" s="1207"/>
      <c r="O979" s="1207"/>
      <c r="P979" s="1208"/>
      <c r="Q979" s="2068">
        <f>SUM(Q980:Q981)</f>
        <v>430534</v>
      </c>
      <c r="R979" s="2068">
        <f t="shared" ref="R979:AI979" si="562">SUM(R980:R981)</f>
        <v>486914</v>
      </c>
      <c r="S979" s="2068">
        <f t="shared" si="562"/>
        <v>520373</v>
      </c>
      <c r="T979" s="2068">
        <f t="shared" si="562"/>
        <v>451287</v>
      </c>
      <c r="U979" s="2068">
        <f t="shared" si="562"/>
        <v>418327</v>
      </c>
      <c r="V979" s="2068">
        <f t="shared" si="562"/>
        <v>333724</v>
      </c>
      <c r="W979" s="2068">
        <f t="shared" si="562"/>
        <v>295516</v>
      </c>
      <c r="X979" s="2068">
        <f t="shared" si="562"/>
        <v>293287</v>
      </c>
      <c r="Y979" s="2068">
        <f t="shared" si="562"/>
        <v>278538</v>
      </c>
      <c r="Z979" s="2068">
        <f t="shared" si="562"/>
        <v>250091</v>
      </c>
      <c r="AA979" s="2068">
        <f t="shared" si="562"/>
        <v>302395</v>
      </c>
      <c r="AB979" s="2068">
        <f t="shared" si="562"/>
        <v>186123.6643</v>
      </c>
      <c r="AC979" s="2068">
        <f t="shared" si="562"/>
        <v>520373</v>
      </c>
      <c r="AD979" s="2068">
        <f t="shared" si="562"/>
        <v>333724</v>
      </c>
      <c r="AE979" s="2068">
        <f t="shared" si="562"/>
        <v>278538</v>
      </c>
      <c r="AF979" s="2068">
        <f t="shared" si="562"/>
        <v>186123.6643</v>
      </c>
      <c r="AG979" s="2068">
        <f t="shared" si="562"/>
        <v>333724</v>
      </c>
      <c r="AH979" s="2068">
        <f t="shared" si="562"/>
        <v>186123.6643</v>
      </c>
      <c r="AI979" s="2068">
        <f t="shared" si="562"/>
        <v>186123.6643</v>
      </c>
    </row>
    <row r="980" spans="1:35">
      <c r="A980" s="990">
        <v>984</v>
      </c>
      <c r="B980" s="990">
        <v>1</v>
      </c>
      <c r="C980" s="990">
        <v>980</v>
      </c>
      <c r="D980" s="1121" t="s">
        <v>999</v>
      </c>
      <c r="E980" s="1243">
        <v>1</v>
      </c>
      <c r="F980" s="5"/>
      <c r="G980" s="5"/>
      <c r="H980" s="75"/>
      <c r="I980" s="30"/>
      <c r="J980" s="5"/>
      <c r="K980" s="5"/>
      <c r="L980" s="5"/>
      <c r="M980" s="5"/>
      <c r="N980" s="4" t="s">
        <v>988</v>
      </c>
      <c r="O980" s="4"/>
      <c r="P980" s="29"/>
      <c r="Q980" s="2032">
        <f>426622+778</f>
        <v>427400</v>
      </c>
      <c r="R980" s="2032">
        <f>482831+934</f>
        <v>483765</v>
      </c>
      <c r="S980" s="2032">
        <f>516787+786</f>
        <v>517573</v>
      </c>
      <c r="T980" s="2032">
        <f>448027+786</f>
        <v>448813</v>
      </c>
      <c r="U980" s="2032">
        <f>414356+785</f>
        <v>415141</v>
      </c>
      <c r="V980" s="2032">
        <f>329077+974</f>
        <v>330051</v>
      </c>
      <c r="W980" s="2032">
        <v>291159</v>
      </c>
      <c r="X980" s="2032">
        <f>282413+7106</f>
        <v>289519</v>
      </c>
      <c r="Y980" s="2032">
        <f>269331+6075</f>
        <v>275406</v>
      </c>
      <c r="Z980" s="2032">
        <f>240889+7009</f>
        <v>247898</v>
      </c>
      <c r="AA980" s="2032">
        <v>300056</v>
      </c>
      <c r="AB980" s="2032">
        <f>174555+9103</f>
        <v>183658</v>
      </c>
      <c r="AC980" s="13">
        <f>S980</f>
        <v>517573</v>
      </c>
      <c r="AD980" s="13">
        <f>V980</f>
        <v>330051</v>
      </c>
      <c r="AE980" s="13">
        <f>Y980</f>
        <v>275406</v>
      </c>
      <c r="AF980" s="13">
        <f>AB980</f>
        <v>183658</v>
      </c>
      <c r="AG980" s="13">
        <f>AD980</f>
        <v>330051</v>
      </c>
      <c r="AH980" s="13">
        <f>AF980</f>
        <v>183658</v>
      </c>
      <c r="AI980" s="13">
        <f>AH980</f>
        <v>183658</v>
      </c>
    </row>
    <row r="981" spans="1:35">
      <c r="A981" s="990">
        <v>985</v>
      </c>
      <c r="B981" s="990">
        <v>1</v>
      </c>
      <c r="C981" s="990">
        <v>981</v>
      </c>
      <c r="D981" s="1121" t="s">
        <v>999</v>
      </c>
      <c r="E981" s="1243">
        <v>1</v>
      </c>
      <c r="F981" s="5"/>
      <c r="G981" s="5"/>
      <c r="H981" s="75"/>
      <c r="I981" s="28"/>
      <c r="J981" s="5"/>
      <c r="K981" s="5"/>
      <c r="L981" s="5"/>
      <c r="M981" s="5"/>
      <c r="N981" s="4" t="s">
        <v>146</v>
      </c>
      <c r="O981" s="4"/>
      <c r="P981" s="29"/>
      <c r="Q981" s="2032">
        <v>3134</v>
      </c>
      <c r="R981" s="2032">
        <v>3149</v>
      </c>
      <c r="S981" s="2032">
        <v>2800</v>
      </c>
      <c r="T981" s="2032">
        <v>2474</v>
      </c>
      <c r="U981" s="2032">
        <v>3186</v>
      </c>
      <c r="V981" s="2032">
        <v>3673</v>
      </c>
      <c r="W981" s="2032">
        <v>4357</v>
      </c>
      <c r="X981" s="2032">
        <v>3768</v>
      </c>
      <c r="Y981" s="2032">
        <v>3132</v>
      </c>
      <c r="Z981" s="2032">
        <v>2193</v>
      </c>
      <c r="AA981" s="2032">
        <v>2339</v>
      </c>
      <c r="AB981" s="2032">
        <v>2465.6643000000026</v>
      </c>
      <c r="AC981" s="13">
        <f>S981</f>
        <v>2800</v>
      </c>
      <c r="AD981" s="13">
        <f>V981</f>
        <v>3673</v>
      </c>
      <c r="AE981" s="13">
        <f>Y981</f>
        <v>3132</v>
      </c>
      <c r="AF981" s="13">
        <f>AB981</f>
        <v>2465.6643000000026</v>
      </c>
      <c r="AG981" s="13">
        <f>AD981</f>
        <v>3673</v>
      </c>
      <c r="AH981" s="13">
        <f>AF981</f>
        <v>2465.6643000000026</v>
      </c>
      <c r="AI981" s="13">
        <f>AH981</f>
        <v>2465.6643000000026</v>
      </c>
    </row>
    <row r="982" spans="1:35">
      <c r="A982" s="990">
        <v>986</v>
      </c>
      <c r="B982" s="990">
        <v>1</v>
      </c>
      <c r="C982" s="990">
        <v>982</v>
      </c>
      <c r="D982" s="1121" t="s">
        <v>999</v>
      </c>
      <c r="E982" s="1243">
        <v>1</v>
      </c>
      <c r="F982" s="5"/>
      <c r="G982" s="5"/>
      <c r="H982" s="75"/>
      <c r="I982" s="7" t="s">
        <v>1035</v>
      </c>
      <c r="J982" s="1209"/>
      <c r="K982" s="1209"/>
      <c r="L982" s="1209"/>
      <c r="M982" s="1209"/>
      <c r="N982" s="1115"/>
      <c r="O982" s="1115"/>
      <c r="P982" s="1210"/>
      <c r="Q982" s="2067">
        <f>SUM(Q983:Q984)</f>
        <v>713816</v>
      </c>
      <c r="R982" s="2067">
        <f t="shared" ref="R982:AI982" si="563">SUM(R983:R984)</f>
        <v>863401</v>
      </c>
      <c r="S982" s="2067">
        <f t="shared" si="563"/>
        <v>971982</v>
      </c>
      <c r="T982" s="2067">
        <f t="shared" si="563"/>
        <v>953716</v>
      </c>
      <c r="U982" s="2067">
        <f t="shared" si="563"/>
        <v>930600</v>
      </c>
      <c r="V982" s="2067">
        <f t="shared" si="563"/>
        <v>795049</v>
      </c>
      <c r="W982" s="2067">
        <f t="shared" si="563"/>
        <v>713505</v>
      </c>
      <c r="X982" s="2067">
        <f t="shared" si="563"/>
        <v>684768</v>
      </c>
      <c r="Y982" s="2067">
        <f t="shared" si="563"/>
        <v>661984</v>
      </c>
      <c r="Z982" s="2067">
        <f t="shared" si="563"/>
        <v>609394</v>
      </c>
      <c r="AA982" s="2067">
        <f t="shared" si="563"/>
        <v>638452.46932515909</v>
      </c>
      <c r="AB982" s="2067">
        <f t="shared" si="563"/>
        <v>597276.9334888889</v>
      </c>
      <c r="AC982" s="2067">
        <f t="shared" si="563"/>
        <v>971982</v>
      </c>
      <c r="AD982" s="2067">
        <f t="shared" si="563"/>
        <v>795049</v>
      </c>
      <c r="AE982" s="2067">
        <f t="shared" si="563"/>
        <v>661984</v>
      </c>
      <c r="AF982" s="2067">
        <f t="shared" si="563"/>
        <v>597276.9334888889</v>
      </c>
      <c r="AG982" s="2067">
        <f t="shared" si="563"/>
        <v>795049</v>
      </c>
      <c r="AH982" s="2067">
        <f t="shared" si="563"/>
        <v>597276.9334888889</v>
      </c>
      <c r="AI982" s="2067">
        <f t="shared" si="563"/>
        <v>597276.9334888889</v>
      </c>
    </row>
    <row r="983" spans="1:35">
      <c r="A983" s="990">
        <v>987</v>
      </c>
      <c r="B983" s="990">
        <v>1</v>
      </c>
      <c r="C983" s="990">
        <v>983</v>
      </c>
      <c r="D983" s="1121" t="s">
        <v>999</v>
      </c>
      <c r="E983" s="1243">
        <v>1</v>
      </c>
      <c r="F983" s="5"/>
      <c r="G983" s="5"/>
      <c r="H983" s="75"/>
      <c r="I983" s="30"/>
      <c r="J983" s="5"/>
      <c r="K983" s="5"/>
      <c r="L983" s="5"/>
      <c r="M983" s="5"/>
      <c r="N983" s="4" t="s">
        <v>988</v>
      </c>
      <c r="O983" s="4"/>
      <c r="P983" s="29"/>
      <c r="Q983" s="2032">
        <v>712046</v>
      </c>
      <c r="R983" s="2032">
        <v>861741</v>
      </c>
      <c r="S983" s="2032">
        <v>969453</v>
      </c>
      <c r="T983" s="2032">
        <v>951185</v>
      </c>
      <c r="U983" s="2032">
        <v>927730</v>
      </c>
      <c r="V983" s="2032">
        <v>792515</v>
      </c>
      <c r="W983" s="2032">
        <v>709255</v>
      </c>
      <c r="X983" s="2032">
        <v>677292</v>
      </c>
      <c r="Y983" s="2032">
        <v>646109</v>
      </c>
      <c r="Z983" s="2032">
        <v>590694</v>
      </c>
      <c r="AA983" s="2032">
        <v>620744.30773515906</v>
      </c>
      <c r="AB983" s="2032">
        <v>580984.22188888886</v>
      </c>
      <c r="AC983" s="13">
        <f>S983</f>
        <v>969453</v>
      </c>
      <c r="AD983" s="13">
        <f>V983</f>
        <v>792515</v>
      </c>
      <c r="AE983" s="13">
        <f>Y983</f>
        <v>646109</v>
      </c>
      <c r="AF983" s="13">
        <f>AB983</f>
        <v>580984.22188888886</v>
      </c>
      <c r="AG983" s="13">
        <f>AD983</f>
        <v>792515</v>
      </c>
      <c r="AH983" s="13">
        <f>AF983</f>
        <v>580984.22188888886</v>
      </c>
      <c r="AI983" s="13">
        <f>AH983</f>
        <v>580984.22188888886</v>
      </c>
    </row>
    <row r="984" spans="1:35">
      <c r="A984" s="990">
        <v>988</v>
      </c>
      <c r="B984" s="990">
        <v>1</v>
      </c>
      <c r="C984" s="990">
        <v>984</v>
      </c>
      <c r="D984" s="1121" t="s">
        <v>999</v>
      </c>
      <c r="E984" s="1243">
        <v>1</v>
      </c>
      <c r="F984" s="5"/>
      <c r="G984" s="5"/>
      <c r="H984" s="75"/>
      <c r="I984" s="28"/>
      <c r="J984" s="5"/>
      <c r="K984" s="5"/>
      <c r="L984" s="5"/>
      <c r="M984" s="5"/>
      <c r="N984" s="4" t="s">
        <v>146</v>
      </c>
      <c r="O984" s="4"/>
      <c r="P984" s="29"/>
      <c r="Q984" s="2032">
        <v>1770</v>
      </c>
      <c r="R984" s="2032">
        <v>1660</v>
      </c>
      <c r="S984" s="2032">
        <v>2529</v>
      </c>
      <c r="T984" s="2032">
        <v>2531</v>
      </c>
      <c r="U984" s="2032">
        <v>2870</v>
      </c>
      <c r="V984" s="2032">
        <v>2534</v>
      </c>
      <c r="W984" s="2032">
        <v>4250</v>
      </c>
      <c r="X984" s="2032">
        <v>7476</v>
      </c>
      <c r="Y984" s="2032">
        <v>15875</v>
      </c>
      <c r="Z984" s="2032">
        <v>18700</v>
      </c>
      <c r="AA984" s="2032">
        <v>17708.161590000011</v>
      </c>
      <c r="AB984" s="2032">
        <v>16292.711599999986</v>
      </c>
      <c r="AC984" s="13">
        <f>S984</f>
        <v>2529</v>
      </c>
      <c r="AD984" s="13">
        <f>V984</f>
        <v>2534</v>
      </c>
      <c r="AE984" s="13">
        <f>Y984</f>
        <v>15875</v>
      </c>
      <c r="AF984" s="13">
        <f>AB984</f>
        <v>16292.711599999986</v>
      </c>
      <c r="AG984" s="13">
        <f>AD984</f>
        <v>2534</v>
      </c>
      <c r="AH984" s="13">
        <f>AF984</f>
        <v>16292.711599999986</v>
      </c>
      <c r="AI984" s="13">
        <f>AH984</f>
        <v>16292.711599999986</v>
      </c>
    </row>
    <row r="985" spans="1:35">
      <c r="A985" s="990">
        <v>989</v>
      </c>
      <c r="B985" s="990">
        <v>1</v>
      </c>
      <c r="C985" s="990">
        <v>985</v>
      </c>
      <c r="D985" s="1121" t="s">
        <v>999</v>
      </c>
      <c r="E985" s="1243">
        <v>1</v>
      </c>
      <c r="F985" s="5"/>
      <c r="G985" s="5"/>
      <c r="H985" s="75"/>
      <c r="I985" s="458" t="s">
        <v>1038</v>
      </c>
      <c r="J985" s="788"/>
      <c r="K985" s="788"/>
      <c r="L985" s="788"/>
      <c r="M985" s="788"/>
      <c r="N985" s="604"/>
      <c r="O985" s="604"/>
      <c r="P985" s="1176"/>
      <c r="Q985" s="2074">
        <f>SUM(Q986:Q988)</f>
        <v>80284</v>
      </c>
      <c r="R985" s="2074">
        <f t="shared" ref="R985:AI985" si="564">SUM(R986:R988)</f>
        <v>110309</v>
      </c>
      <c r="S985" s="2074">
        <f t="shared" si="564"/>
        <v>73718</v>
      </c>
      <c r="T985" s="2074">
        <f t="shared" si="564"/>
        <v>70319</v>
      </c>
      <c r="U985" s="2074">
        <f t="shared" si="564"/>
        <v>74108</v>
      </c>
      <c r="V985" s="2074">
        <f t="shared" si="564"/>
        <v>72057</v>
      </c>
      <c r="W985" s="2074">
        <f t="shared" si="564"/>
        <v>71086</v>
      </c>
      <c r="X985" s="2074">
        <f t="shared" si="564"/>
        <v>82314</v>
      </c>
      <c r="Y985" s="2074">
        <f t="shared" si="564"/>
        <v>58205</v>
      </c>
      <c r="Z985" s="2074">
        <f t="shared" si="564"/>
        <v>48760</v>
      </c>
      <c r="AA985" s="2074">
        <f t="shared" si="564"/>
        <v>48557</v>
      </c>
      <c r="AB985" s="2074">
        <f t="shared" si="564"/>
        <v>35224</v>
      </c>
      <c r="AC985" s="2074">
        <f t="shared" si="564"/>
        <v>73718</v>
      </c>
      <c r="AD985" s="2074">
        <f t="shared" si="564"/>
        <v>72057</v>
      </c>
      <c r="AE985" s="2074">
        <f t="shared" si="564"/>
        <v>58205</v>
      </c>
      <c r="AF985" s="2074">
        <f t="shared" si="564"/>
        <v>35224</v>
      </c>
      <c r="AG985" s="2074">
        <f t="shared" si="564"/>
        <v>72057</v>
      </c>
      <c r="AH985" s="2074">
        <f t="shared" si="564"/>
        <v>35224</v>
      </c>
      <c r="AI985" s="2074">
        <f t="shared" si="564"/>
        <v>35224</v>
      </c>
    </row>
    <row r="986" spans="1:35">
      <c r="A986" s="990">
        <v>990</v>
      </c>
      <c r="B986" s="990">
        <v>1</v>
      </c>
      <c r="C986" s="990">
        <v>986</v>
      </c>
      <c r="D986" s="1121" t="s">
        <v>999</v>
      </c>
      <c r="E986" s="1243">
        <v>1</v>
      </c>
      <c r="F986" s="5"/>
      <c r="G986" s="5"/>
      <c r="H986" s="75"/>
      <c r="I986" s="30"/>
      <c r="J986" s="5"/>
      <c r="K986" s="5"/>
      <c r="L986" s="5"/>
      <c r="M986" s="5"/>
      <c r="N986" s="4" t="s">
        <v>1117</v>
      </c>
      <c r="O986" s="4"/>
      <c r="P986" s="29"/>
      <c r="Q986" s="2032">
        <v>56246</v>
      </c>
      <c r="R986" s="2032">
        <v>87056</v>
      </c>
      <c r="S986" s="2032">
        <v>54672</v>
      </c>
      <c r="T986" s="2032">
        <v>49512</v>
      </c>
      <c r="U986" s="2032">
        <v>49707</v>
      </c>
      <c r="V986" s="2032">
        <v>49955</v>
      </c>
      <c r="W986" s="2032">
        <v>49522</v>
      </c>
      <c r="X986" s="2032">
        <v>57622</v>
      </c>
      <c r="Y986" s="2032">
        <v>35959</v>
      </c>
      <c r="Z986" s="2032">
        <v>23455</v>
      </c>
      <c r="AA986" s="2032">
        <v>28764</v>
      </c>
      <c r="AB986" s="2032">
        <v>15736</v>
      </c>
      <c r="AC986" s="13">
        <f>S986</f>
        <v>54672</v>
      </c>
      <c r="AD986" s="13">
        <f>V986</f>
        <v>49955</v>
      </c>
      <c r="AE986" s="13">
        <f>Y986</f>
        <v>35959</v>
      </c>
      <c r="AF986" s="13">
        <f>AB986</f>
        <v>15736</v>
      </c>
      <c r="AG986" s="13">
        <f>AD986</f>
        <v>49955</v>
      </c>
      <c r="AH986" s="13">
        <f>AF986</f>
        <v>15736</v>
      </c>
      <c r="AI986" s="13">
        <f>AH986</f>
        <v>15736</v>
      </c>
    </row>
    <row r="987" spans="1:35">
      <c r="A987" s="990">
        <v>991</v>
      </c>
      <c r="B987" s="990">
        <v>1</v>
      </c>
      <c r="C987" s="990">
        <v>987</v>
      </c>
      <c r="D987" s="1121" t="s">
        <v>999</v>
      </c>
      <c r="E987" s="1243">
        <v>1</v>
      </c>
      <c r="F987" s="9"/>
      <c r="G987" s="9"/>
      <c r="H987" s="75"/>
      <c r="I987" s="30"/>
      <c r="J987" s="5"/>
      <c r="K987" s="5"/>
      <c r="L987" s="5"/>
      <c r="M987" s="5"/>
      <c r="N987" s="4" t="s">
        <v>1118</v>
      </c>
      <c r="O987" s="4"/>
      <c r="P987" s="29"/>
      <c r="Q987" s="2032">
        <v>14698</v>
      </c>
      <c r="R987" s="2032">
        <v>15642</v>
      </c>
      <c r="S987" s="2032">
        <v>13511</v>
      </c>
      <c r="T987" s="2032">
        <v>15426</v>
      </c>
      <c r="U987" s="2032">
        <v>14641</v>
      </c>
      <c r="V987" s="2032">
        <v>12727</v>
      </c>
      <c r="W987" s="2032">
        <v>12071</v>
      </c>
      <c r="X987" s="2032">
        <v>14514</v>
      </c>
      <c r="Y987" s="2032">
        <v>12467</v>
      </c>
      <c r="Z987" s="2032">
        <v>15432</v>
      </c>
      <c r="AA987" s="2032">
        <v>6851</v>
      </c>
      <c r="AB987" s="2032">
        <v>12119</v>
      </c>
      <c r="AC987" s="13">
        <f>S987</f>
        <v>13511</v>
      </c>
      <c r="AD987" s="13">
        <f>V987</f>
        <v>12727</v>
      </c>
      <c r="AE987" s="13">
        <f>Y987</f>
        <v>12467</v>
      </c>
      <c r="AF987" s="13">
        <f>AB987</f>
        <v>12119</v>
      </c>
      <c r="AG987" s="13">
        <f>AD987</f>
        <v>12727</v>
      </c>
      <c r="AH987" s="13">
        <f>AF987</f>
        <v>12119</v>
      </c>
      <c r="AI987" s="13">
        <f>AH987</f>
        <v>12119</v>
      </c>
    </row>
    <row r="988" spans="1:35">
      <c r="A988" s="990">
        <v>992</v>
      </c>
      <c r="B988" s="990">
        <v>1</v>
      </c>
      <c r="C988" s="990">
        <v>988</v>
      </c>
      <c r="D988" s="1121" t="s">
        <v>999</v>
      </c>
      <c r="E988" s="1243">
        <v>1</v>
      </c>
      <c r="F988" s="5"/>
      <c r="G988" s="5"/>
      <c r="H988" s="75"/>
      <c r="I988" s="28"/>
      <c r="J988" s="3"/>
      <c r="K988" s="3"/>
      <c r="L988" s="3"/>
      <c r="M988" s="3"/>
      <c r="N988" s="2" t="s">
        <v>146</v>
      </c>
      <c r="O988" s="2"/>
      <c r="P988" s="27"/>
      <c r="Q988" s="2032">
        <v>9340</v>
      </c>
      <c r="R988" s="2032">
        <v>7611</v>
      </c>
      <c r="S988" s="2032">
        <v>5535</v>
      </c>
      <c r="T988" s="2032">
        <v>5381</v>
      </c>
      <c r="U988" s="2032">
        <v>9760</v>
      </c>
      <c r="V988" s="2032">
        <v>9375</v>
      </c>
      <c r="W988" s="2032">
        <v>9493</v>
      </c>
      <c r="X988" s="2032">
        <v>10178</v>
      </c>
      <c r="Y988" s="2032">
        <v>9779</v>
      </c>
      <c r="Z988" s="2032">
        <v>9873</v>
      </c>
      <c r="AA988" s="2032">
        <v>12942</v>
      </c>
      <c r="AB988" s="2032">
        <v>7369</v>
      </c>
      <c r="AC988" s="13">
        <f>S988</f>
        <v>5535</v>
      </c>
      <c r="AD988" s="13">
        <f>V988</f>
        <v>9375</v>
      </c>
      <c r="AE988" s="13">
        <f>Y988</f>
        <v>9779</v>
      </c>
      <c r="AF988" s="13">
        <f>AB988</f>
        <v>7369</v>
      </c>
      <c r="AG988" s="13">
        <f>AD988</f>
        <v>9375</v>
      </c>
      <c r="AH988" s="13">
        <f>AF988</f>
        <v>7369</v>
      </c>
      <c r="AI988" s="13">
        <f>AH988</f>
        <v>7369</v>
      </c>
    </row>
    <row r="989" spans="1:35">
      <c r="A989" s="990">
        <v>993</v>
      </c>
      <c r="B989" s="990">
        <v>1</v>
      </c>
      <c r="C989" s="990">
        <v>989</v>
      </c>
      <c r="D989" s="1121" t="s">
        <v>999</v>
      </c>
      <c r="E989" s="1243">
        <v>1</v>
      </c>
      <c r="F989" s="5"/>
      <c r="G989" s="5"/>
      <c r="H989" s="75"/>
      <c r="I989" s="6" t="s">
        <v>1075</v>
      </c>
      <c r="J989" s="1186"/>
      <c r="K989" s="1186"/>
      <c r="L989" s="1186"/>
      <c r="M989" s="1186"/>
      <c r="N989" s="829"/>
      <c r="O989" s="829"/>
      <c r="P989" s="1188"/>
      <c r="Q989" s="2066">
        <f>SUM(Q990:Q991)</f>
        <v>0</v>
      </c>
      <c r="R989" s="2066">
        <f t="shared" ref="R989:AI989" si="565">SUM(R990:R991)</f>
        <v>0</v>
      </c>
      <c r="S989" s="2066">
        <f t="shared" si="565"/>
        <v>0</v>
      </c>
      <c r="T989" s="2066">
        <f t="shared" si="565"/>
        <v>0</v>
      </c>
      <c r="U989" s="2066">
        <f t="shared" si="565"/>
        <v>0</v>
      </c>
      <c r="V989" s="2066">
        <f t="shared" si="565"/>
        <v>0</v>
      </c>
      <c r="W989" s="2066">
        <f t="shared" si="565"/>
        <v>0</v>
      </c>
      <c r="X989" s="2066">
        <f t="shared" si="565"/>
        <v>0</v>
      </c>
      <c r="Y989" s="2066">
        <f t="shared" si="565"/>
        <v>0</v>
      </c>
      <c r="Z989" s="2066">
        <f t="shared" si="565"/>
        <v>0</v>
      </c>
      <c r="AA989" s="2066">
        <f t="shared" si="565"/>
        <v>0</v>
      </c>
      <c r="AB989" s="2066">
        <f t="shared" si="565"/>
        <v>0</v>
      </c>
      <c r="AC989" s="2066">
        <f t="shared" si="565"/>
        <v>0</v>
      </c>
      <c r="AD989" s="2066">
        <f t="shared" si="565"/>
        <v>0</v>
      </c>
      <c r="AE989" s="2066">
        <f t="shared" si="565"/>
        <v>0</v>
      </c>
      <c r="AF989" s="2066">
        <f t="shared" si="565"/>
        <v>0</v>
      </c>
      <c r="AG989" s="2066">
        <f t="shared" si="565"/>
        <v>0</v>
      </c>
      <c r="AH989" s="2066">
        <f t="shared" si="565"/>
        <v>0</v>
      </c>
      <c r="AI989" s="2066">
        <f t="shared" si="565"/>
        <v>0</v>
      </c>
    </row>
    <row r="990" spans="1:35">
      <c r="A990" s="990">
        <v>994</v>
      </c>
      <c r="B990" s="990">
        <v>1</v>
      </c>
      <c r="C990" s="990">
        <v>990</v>
      </c>
      <c r="D990" s="1121" t="s">
        <v>999</v>
      </c>
      <c r="E990" s="1243">
        <v>1</v>
      </c>
      <c r="F990" s="5"/>
      <c r="G990" s="5"/>
      <c r="H990" s="75"/>
      <c r="I990" s="30"/>
      <c r="J990" s="5"/>
      <c r="K990" s="5"/>
      <c r="L990" s="5"/>
      <c r="M990" s="5"/>
      <c r="N990" s="4" t="s">
        <v>988</v>
      </c>
      <c r="O990" s="4"/>
      <c r="P990" s="29"/>
      <c r="Q990" s="2032"/>
      <c r="R990" s="2032"/>
      <c r="S990" s="2032"/>
      <c r="T990" s="2032"/>
      <c r="U990" s="2032"/>
      <c r="V990" s="2032"/>
      <c r="W990" s="2032"/>
      <c r="X990" s="2032"/>
      <c r="Y990" s="2032"/>
      <c r="Z990" s="2032"/>
      <c r="AA990" s="2032"/>
      <c r="AB990" s="2032"/>
      <c r="AC990" s="13">
        <f>S990</f>
        <v>0</v>
      </c>
      <c r="AD990" s="13">
        <f>V990</f>
        <v>0</v>
      </c>
      <c r="AE990" s="13">
        <f>Y990</f>
        <v>0</v>
      </c>
      <c r="AF990" s="13">
        <f>AB990</f>
        <v>0</v>
      </c>
      <c r="AG990" s="13">
        <f>AD990</f>
        <v>0</v>
      </c>
      <c r="AH990" s="13">
        <f>AF990</f>
        <v>0</v>
      </c>
      <c r="AI990" s="13">
        <f>AH990</f>
        <v>0</v>
      </c>
    </row>
    <row r="991" spans="1:35">
      <c r="A991" s="990">
        <v>995</v>
      </c>
      <c r="B991" s="990">
        <v>1</v>
      </c>
      <c r="C991" s="990">
        <v>991</v>
      </c>
      <c r="D991" s="1121" t="s">
        <v>999</v>
      </c>
      <c r="E991" s="1243">
        <v>1</v>
      </c>
      <c r="F991" s="5"/>
      <c r="G991" s="5"/>
      <c r="H991" s="75"/>
      <c r="I991" s="28"/>
      <c r="J991" s="3"/>
      <c r="K991" s="3"/>
      <c r="L991" s="3"/>
      <c r="M991" s="3"/>
      <c r="N991" s="2" t="s">
        <v>146</v>
      </c>
      <c r="O991" s="2"/>
      <c r="P991" s="27"/>
      <c r="Q991" s="2031"/>
      <c r="R991" s="2031"/>
      <c r="S991" s="2031"/>
      <c r="T991" s="2031"/>
      <c r="U991" s="2031"/>
      <c r="V991" s="2031"/>
      <c r="W991" s="2031"/>
      <c r="X991" s="2031"/>
      <c r="Y991" s="2031"/>
      <c r="Z991" s="2031"/>
      <c r="AA991" s="2031"/>
      <c r="AB991" s="2031"/>
      <c r="AC991" s="11">
        <f>S991</f>
        <v>0</v>
      </c>
      <c r="AD991" s="11">
        <f>V991</f>
        <v>0</v>
      </c>
      <c r="AE991" s="11">
        <f>Y991</f>
        <v>0</v>
      </c>
      <c r="AF991" s="11">
        <f>AB991</f>
        <v>0</v>
      </c>
      <c r="AG991" s="11">
        <f>AD991</f>
        <v>0</v>
      </c>
      <c r="AH991" s="11">
        <f>AF991</f>
        <v>0</v>
      </c>
      <c r="AI991" s="11">
        <f>AH991</f>
        <v>0</v>
      </c>
    </row>
    <row r="992" spans="1:35">
      <c r="A992" s="990">
        <v>999</v>
      </c>
      <c r="B992" s="990">
        <v>996</v>
      </c>
      <c r="C992" s="990">
        <v>992</v>
      </c>
      <c r="D992" s="1121" t="s">
        <v>999</v>
      </c>
      <c r="E992" s="1296" t="s">
        <v>931</v>
      </c>
      <c r="F992" s="1297"/>
      <c r="G992" s="5"/>
      <c r="H992" s="75"/>
      <c r="I992" s="1236" t="s">
        <v>1063</v>
      </c>
      <c r="J992" s="580"/>
      <c r="K992" s="580"/>
      <c r="L992" s="580"/>
      <c r="M992" s="580"/>
      <c r="N992" s="580"/>
      <c r="O992" s="580"/>
      <c r="P992" s="1053"/>
      <c r="Q992" s="2078">
        <f>SUM(Q993:Q994)</f>
        <v>1997</v>
      </c>
      <c r="R992" s="2078">
        <f t="shared" ref="R992:AI992" si="566">SUM(R993:R994)</f>
        <v>1596</v>
      </c>
      <c r="S992" s="2078">
        <f t="shared" si="566"/>
        <v>1669</v>
      </c>
      <c r="T992" s="2078">
        <f t="shared" si="566"/>
        <v>1464</v>
      </c>
      <c r="U992" s="2078">
        <f t="shared" si="566"/>
        <v>1012</v>
      </c>
      <c r="V992" s="2078">
        <f t="shared" si="566"/>
        <v>993</v>
      </c>
      <c r="W992" s="2078">
        <f t="shared" si="566"/>
        <v>893</v>
      </c>
      <c r="X992" s="2078">
        <f t="shared" si="566"/>
        <v>2197</v>
      </c>
      <c r="Y992" s="2078">
        <f t="shared" si="566"/>
        <v>848</v>
      </c>
      <c r="Z992" s="2078">
        <f t="shared" si="566"/>
        <v>887</v>
      </c>
      <c r="AA992" s="2078">
        <f t="shared" si="566"/>
        <v>1106</v>
      </c>
      <c r="AB992" s="2078">
        <f t="shared" si="566"/>
        <v>1287</v>
      </c>
      <c r="AC992" s="2078">
        <f t="shared" si="566"/>
        <v>1669</v>
      </c>
      <c r="AD992" s="2078">
        <f t="shared" si="566"/>
        <v>993</v>
      </c>
      <c r="AE992" s="2078">
        <f t="shared" si="566"/>
        <v>848</v>
      </c>
      <c r="AF992" s="2078">
        <f t="shared" si="566"/>
        <v>1287</v>
      </c>
      <c r="AG992" s="2078">
        <f t="shared" si="566"/>
        <v>993</v>
      </c>
      <c r="AH992" s="2078">
        <f t="shared" si="566"/>
        <v>1287</v>
      </c>
      <c r="AI992" s="2078">
        <f t="shared" si="566"/>
        <v>1287</v>
      </c>
    </row>
    <row r="993" spans="1:35">
      <c r="A993" s="990">
        <v>1000</v>
      </c>
      <c r="B993" s="990">
        <v>997</v>
      </c>
      <c r="C993" s="990">
        <v>993</v>
      </c>
      <c r="D993" s="1121" t="s">
        <v>999</v>
      </c>
      <c r="E993" s="1243">
        <v>1</v>
      </c>
      <c r="F993" s="5"/>
      <c r="G993" s="5"/>
      <c r="H993" s="75"/>
      <c r="I993" s="32"/>
      <c r="J993" s="5"/>
      <c r="K993" s="5"/>
      <c r="L993" s="5"/>
      <c r="M993" s="5"/>
      <c r="N993" s="4" t="s">
        <v>988</v>
      </c>
      <c r="O993" s="4"/>
      <c r="P993" s="29"/>
      <c r="Q993" s="2032">
        <v>271</v>
      </c>
      <c r="R993" s="2032">
        <v>257</v>
      </c>
      <c r="S993" s="2032">
        <v>286</v>
      </c>
      <c r="T993" s="2032">
        <v>267</v>
      </c>
      <c r="U993" s="2032">
        <v>239</v>
      </c>
      <c r="V993" s="2032">
        <v>235</v>
      </c>
      <c r="W993" s="2032">
        <v>211</v>
      </c>
      <c r="X993" s="2032">
        <v>210</v>
      </c>
      <c r="Y993" s="2032">
        <v>228</v>
      </c>
      <c r="Z993" s="2032">
        <v>263</v>
      </c>
      <c r="AA993" s="2032">
        <v>228</v>
      </c>
      <c r="AB993" s="2032">
        <v>248</v>
      </c>
      <c r="AC993" s="13">
        <f>S993</f>
        <v>286</v>
      </c>
      <c r="AD993" s="13">
        <f>V993</f>
        <v>235</v>
      </c>
      <c r="AE993" s="13">
        <f>Y993</f>
        <v>228</v>
      </c>
      <c r="AF993" s="13">
        <f>AB993</f>
        <v>248</v>
      </c>
      <c r="AG993" s="13">
        <f>AD993</f>
        <v>235</v>
      </c>
      <c r="AH993" s="13">
        <f>AF993</f>
        <v>248</v>
      </c>
      <c r="AI993" s="13">
        <f>AH993</f>
        <v>248</v>
      </c>
    </row>
    <row r="994" spans="1:35">
      <c r="A994" s="990">
        <v>1001</v>
      </c>
      <c r="B994" s="990">
        <v>998</v>
      </c>
      <c r="C994" s="990">
        <v>994</v>
      </c>
      <c r="D994" s="1121" t="s">
        <v>999</v>
      </c>
      <c r="E994" s="1243">
        <v>1</v>
      </c>
      <c r="F994" s="5"/>
      <c r="G994" s="5"/>
      <c r="H994" s="75"/>
      <c r="I994" s="459"/>
      <c r="J994" s="3"/>
      <c r="K994" s="3"/>
      <c r="L994" s="3"/>
      <c r="M994" s="3"/>
      <c r="N994" s="2" t="s">
        <v>146</v>
      </c>
      <c r="O994" s="2"/>
      <c r="P994" s="27"/>
      <c r="Q994" s="2031">
        <v>1726</v>
      </c>
      <c r="R994" s="2031">
        <v>1339</v>
      </c>
      <c r="S994" s="2031">
        <v>1383</v>
      </c>
      <c r="T994" s="2031">
        <v>1197</v>
      </c>
      <c r="U994" s="2031">
        <v>773</v>
      </c>
      <c r="V994" s="2031">
        <v>758</v>
      </c>
      <c r="W994" s="2031">
        <v>682</v>
      </c>
      <c r="X994" s="2031">
        <v>1987</v>
      </c>
      <c r="Y994" s="2031">
        <v>620</v>
      </c>
      <c r="Z994" s="2031">
        <v>624</v>
      </c>
      <c r="AA994" s="2031">
        <v>878</v>
      </c>
      <c r="AB994" s="2031">
        <v>1039</v>
      </c>
      <c r="AC994" s="11">
        <f>S994</f>
        <v>1383</v>
      </c>
      <c r="AD994" s="11">
        <f>V994</f>
        <v>758</v>
      </c>
      <c r="AE994" s="11">
        <f>Y994</f>
        <v>620</v>
      </c>
      <c r="AF994" s="11">
        <f>AB994</f>
        <v>1039</v>
      </c>
      <c r="AG994" s="11">
        <f>AD994</f>
        <v>758</v>
      </c>
      <c r="AH994" s="11">
        <f>AF994</f>
        <v>1039</v>
      </c>
      <c r="AI994" s="11">
        <f>AH994</f>
        <v>1039</v>
      </c>
    </row>
    <row r="995" spans="1:35">
      <c r="A995" s="990">
        <v>1002</v>
      </c>
      <c r="C995" s="990">
        <v>995</v>
      </c>
      <c r="E995" s="1243">
        <v>1</v>
      </c>
      <c r="H995" s="5"/>
      <c r="I995" s="5"/>
      <c r="J995" s="4"/>
      <c r="K995" s="4"/>
      <c r="L995" s="4"/>
      <c r="M995" s="4"/>
      <c r="N995" s="4"/>
      <c r="O995" s="4"/>
      <c r="P995" s="4"/>
      <c r="Q995" s="1151"/>
      <c r="R995" s="1151"/>
      <c r="S995" s="1151"/>
      <c r="T995" s="1151"/>
      <c r="U995" s="1151"/>
      <c r="V995" s="1151"/>
    </row>
    <row r="996" spans="1:35" ht="15.5">
      <c r="A996" s="990">
        <v>1</v>
      </c>
      <c r="B996" s="990">
        <v>1</v>
      </c>
      <c r="C996" s="990">
        <v>996</v>
      </c>
      <c r="E996" s="1292" t="s">
        <v>1013</v>
      </c>
      <c r="F996" s="1305"/>
      <c r="G996" s="315" t="s">
        <v>941</v>
      </c>
      <c r="H996" s="5"/>
      <c r="I996" s="5"/>
      <c r="J996" s="4"/>
      <c r="K996" s="4"/>
      <c r="L996" s="4"/>
      <c r="M996" s="4"/>
      <c r="N996" s="4"/>
      <c r="O996" s="4"/>
      <c r="P996" s="4"/>
      <c r="Q996" s="1151"/>
      <c r="R996" s="1151"/>
      <c r="S996" s="1151"/>
      <c r="T996" s="1151"/>
      <c r="U996" s="1151"/>
      <c r="V996" s="1151"/>
    </row>
    <row r="997" spans="1:35">
      <c r="A997" s="990">
        <v>1</v>
      </c>
      <c r="B997" s="990">
        <v>1</v>
      </c>
      <c r="C997" s="990">
        <v>997</v>
      </c>
      <c r="E997" s="1292" t="s">
        <v>1013</v>
      </c>
      <c r="F997" s="1305"/>
      <c r="H997" s="5"/>
      <c r="I997" s="458" t="s">
        <v>1038</v>
      </c>
      <c r="J997" s="788"/>
      <c r="K997" s="788"/>
      <c r="L997" s="788"/>
      <c r="M997" s="788"/>
      <c r="N997" s="604"/>
      <c r="O997" s="604"/>
      <c r="P997" s="604"/>
      <c r="Q997" s="2166">
        <f>Q998+Q1003</f>
        <v>80284</v>
      </c>
      <c r="R997" s="2166">
        <f t="shared" ref="R997:AI997" si="567">R998+R1003</f>
        <v>110309</v>
      </c>
      <c r="S997" s="2166">
        <f t="shared" si="567"/>
        <v>73718</v>
      </c>
      <c r="T997" s="2166">
        <f t="shared" si="567"/>
        <v>70319</v>
      </c>
      <c r="U997" s="2166">
        <f t="shared" si="567"/>
        <v>74108</v>
      </c>
      <c r="V997" s="2166">
        <f t="shared" si="567"/>
        <v>72057</v>
      </c>
      <c r="W997" s="2167">
        <f t="shared" si="567"/>
        <v>71086</v>
      </c>
      <c r="X997" s="2167">
        <f t="shared" si="567"/>
        <v>82314</v>
      </c>
      <c r="Y997" s="2167">
        <f t="shared" si="567"/>
        <v>58205</v>
      </c>
      <c r="Z997" s="2167">
        <f t="shared" si="567"/>
        <v>48760</v>
      </c>
      <c r="AA997" s="2167">
        <f t="shared" si="567"/>
        <v>48557</v>
      </c>
      <c r="AB997" s="2167">
        <f t="shared" si="567"/>
        <v>35224</v>
      </c>
      <c r="AC997" s="2167">
        <f t="shared" si="567"/>
        <v>73718</v>
      </c>
      <c r="AD997" s="2167">
        <f t="shared" si="567"/>
        <v>72057</v>
      </c>
      <c r="AE997" s="2167">
        <f t="shared" si="567"/>
        <v>58205</v>
      </c>
      <c r="AF997" s="2167">
        <f t="shared" si="567"/>
        <v>35224</v>
      </c>
      <c r="AG997" s="2167">
        <f t="shared" si="567"/>
        <v>72057</v>
      </c>
      <c r="AH997" s="2167">
        <f t="shared" si="567"/>
        <v>35224</v>
      </c>
      <c r="AI997" s="2167">
        <f t="shared" si="567"/>
        <v>35224</v>
      </c>
    </row>
    <row r="998" spans="1:35">
      <c r="A998" s="990">
        <v>1</v>
      </c>
      <c r="B998" s="990">
        <v>1</v>
      </c>
      <c r="C998" s="990">
        <v>998</v>
      </c>
      <c r="E998" s="1292" t="s">
        <v>1013</v>
      </c>
      <c r="F998" s="1305"/>
      <c r="H998" s="5"/>
      <c r="I998" s="30"/>
      <c r="J998" s="4"/>
      <c r="K998" s="4"/>
      <c r="L998" s="4"/>
      <c r="M998" s="4"/>
      <c r="N998" s="4" t="s">
        <v>1119</v>
      </c>
      <c r="O998" s="51"/>
      <c r="P998" s="51"/>
      <c r="Q998" s="49">
        <f>Q986+Q987</f>
        <v>70944</v>
      </c>
      <c r="R998" s="49">
        <f t="shared" ref="R998:AI998" si="568">R986+R987</f>
        <v>102698</v>
      </c>
      <c r="S998" s="49">
        <f t="shared" si="568"/>
        <v>68183</v>
      </c>
      <c r="T998" s="49">
        <f t="shared" si="568"/>
        <v>64938</v>
      </c>
      <c r="U998" s="49">
        <f t="shared" si="568"/>
        <v>64348</v>
      </c>
      <c r="V998" s="49">
        <f t="shared" si="568"/>
        <v>62682</v>
      </c>
      <c r="W998" s="49">
        <f t="shared" si="568"/>
        <v>61593</v>
      </c>
      <c r="X998" s="49">
        <f t="shared" si="568"/>
        <v>72136</v>
      </c>
      <c r="Y998" s="49">
        <f t="shared" si="568"/>
        <v>48426</v>
      </c>
      <c r="Z998" s="49">
        <f t="shared" si="568"/>
        <v>38887</v>
      </c>
      <c r="AA998" s="49">
        <f t="shared" si="568"/>
        <v>35615</v>
      </c>
      <c r="AB998" s="49">
        <f t="shared" si="568"/>
        <v>27855</v>
      </c>
      <c r="AC998" s="49">
        <f t="shared" si="568"/>
        <v>68183</v>
      </c>
      <c r="AD998" s="49">
        <f t="shared" si="568"/>
        <v>62682</v>
      </c>
      <c r="AE998" s="49">
        <f t="shared" si="568"/>
        <v>48426</v>
      </c>
      <c r="AF998" s="49">
        <f t="shared" si="568"/>
        <v>27855</v>
      </c>
      <c r="AG998" s="49">
        <f t="shared" si="568"/>
        <v>62682</v>
      </c>
      <c r="AH998" s="49">
        <f t="shared" si="568"/>
        <v>27855</v>
      </c>
      <c r="AI998" s="49">
        <f t="shared" si="568"/>
        <v>27855</v>
      </c>
    </row>
    <row r="999" spans="1:35">
      <c r="A999" s="990">
        <v>1</v>
      </c>
      <c r="B999" s="990">
        <v>1</v>
      </c>
      <c r="C999" s="990">
        <v>999</v>
      </c>
      <c r="E999" s="1292" t="s">
        <v>1013</v>
      </c>
      <c r="F999" s="1305"/>
      <c r="H999" s="5"/>
      <c r="I999" s="30"/>
      <c r="J999" s="4"/>
      <c r="K999" s="4"/>
      <c r="L999" s="4"/>
      <c r="M999" s="4"/>
      <c r="N999" s="4"/>
      <c r="O999" s="1246" t="s">
        <v>55</v>
      </c>
      <c r="P999" s="4"/>
      <c r="Q999" s="2159">
        <v>6681</v>
      </c>
      <c r="R999" s="2159"/>
      <c r="S999" s="2159"/>
      <c r="T999" s="2159"/>
      <c r="U999" s="2159"/>
      <c r="V999" s="2159"/>
      <c r="W999" s="2091"/>
      <c r="X999" s="2091"/>
      <c r="Y999" s="2091"/>
      <c r="Z999" s="2091"/>
      <c r="AA999" s="2091"/>
      <c r="AB999" s="2091"/>
      <c r="AC999" s="19">
        <f>S999</f>
        <v>0</v>
      </c>
      <c r="AD999" s="19">
        <f>V999</f>
        <v>0</v>
      </c>
      <c r="AE999" s="19">
        <f>Y999</f>
        <v>0</v>
      </c>
      <c r="AF999" s="19">
        <f>AB999</f>
        <v>0</v>
      </c>
      <c r="AG999" s="19">
        <f>AD999</f>
        <v>0</v>
      </c>
      <c r="AH999" s="19">
        <f>AF999</f>
        <v>0</v>
      </c>
      <c r="AI999" s="19">
        <f>AH999</f>
        <v>0</v>
      </c>
    </row>
    <row r="1000" spans="1:35">
      <c r="A1000" s="990">
        <v>1</v>
      </c>
      <c r="B1000" s="990">
        <v>1</v>
      </c>
      <c r="C1000" s="990">
        <v>1000</v>
      </c>
      <c r="E1000" s="1292" t="s">
        <v>1013</v>
      </c>
      <c r="F1000" s="1305"/>
      <c r="H1000" s="5"/>
      <c r="I1000" s="30"/>
      <c r="J1000" s="4"/>
      <c r="K1000" s="4"/>
      <c r="L1000" s="4"/>
      <c r="M1000" s="4"/>
      <c r="N1000" s="4"/>
      <c r="O1000" s="1246" t="s">
        <v>1120</v>
      </c>
      <c r="P1000" s="4"/>
      <c r="Q1000" s="2159">
        <v>7074</v>
      </c>
      <c r="R1000" s="2159"/>
      <c r="S1000" s="2159"/>
      <c r="T1000" s="2159"/>
      <c r="U1000" s="2159"/>
      <c r="V1000" s="2159"/>
      <c r="W1000" s="2091"/>
      <c r="X1000" s="2091"/>
      <c r="Y1000" s="2091"/>
      <c r="Z1000" s="2091"/>
      <c r="AA1000" s="2091"/>
      <c r="AB1000" s="2091"/>
      <c r="AC1000" s="19">
        <f>S1000</f>
        <v>0</v>
      </c>
      <c r="AD1000" s="19">
        <f>V1000</f>
        <v>0</v>
      </c>
      <c r="AE1000" s="19">
        <f>Y1000</f>
        <v>0</v>
      </c>
      <c r="AF1000" s="19">
        <f>AB1000</f>
        <v>0</v>
      </c>
      <c r="AG1000" s="19">
        <f>AD1000</f>
        <v>0</v>
      </c>
      <c r="AH1000" s="19">
        <f>AF1000</f>
        <v>0</v>
      </c>
      <c r="AI1000" s="19">
        <f>AH1000</f>
        <v>0</v>
      </c>
    </row>
    <row r="1001" spans="1:35">
      <c r="A1001" s="990">
        <v>1</v>
      </c>
      <c r="B1001" s="990">
        <v>1</v>
      </c>
      <c r="C1001" s="990">
        <v>1001</v>
      </c>
      <c r="E1001" s="1292" t="s">
        <v>1013</v>
      </c>
      <c r="F1001" s="1305"/>
      <c r="H1001" s="5"/>
      <c r="I1001" s="30"/>
      <c r="J1001" s="4"/>
      <c r="K1001" s="4"/>
      <c r="L1001" s="4"/>
      <c r="M1001" s="4"/>
      <c r="N1001" s="4"/>
      <c r="O1001" s="1246" t="s">
        <v>1041</v>
      </c>
      <c r="P1001" s="4"/>
      <c r="Q1001" s="41">
        <f>Q987</f>
        <v>14698</v>
      </c>
      <c r="R1001" s="41">
        <f t="shared" ref="R1001:AB1001" si="569">R987</f>
        <v>15642</v>
      </c>
      <c r="S1001" s="41">
        <f t="shared" si="569"/>
        <v>13511</v>
      </c>
      <c r="T1001" s="41">
        <f t="shared" si="569"/>
        <v>15426</v>
      </c>
      <c r="U1001" s="41">
        <f t="shared" si="569"/>
        <v>14641</v>
      </c>
      <c r="V1001" s="41">
        <f t="shared" si="569"/>
        <v>12727</v>
      </c>
      <c r="W1001" s="19">
        <f t="shared" si="569"/>
        <v>12071</v>
      </c>
      <c r="X1001" s="19">
        <f t="shared" si="569"/>
        <v>14514</v>
      </c>
      <c r="Y1001" s="19">
        <f t="shared" si="569"/>
        <v>12467</v>
      </c>
      <c r="Z1001" s="19">
        <f t="shared" si="569"/>
        <v>15432</v>
      </c>
      <c r="AA1001" s="19">
        <f t="shared" si="569"/>
        <v>6851</v>
      </c>
      <c r="AB1001" s="19">
        <f t="shared" si="569"/>
        <v>12119</v>
      </c>
      <c r="AC1001" s="19">
        <f>S1001</f>
        <v>13511</v>
      </c>
      <c r="AD1001" s="19">
        <f>V1001</f>
        <v>12727</v>
      </c>
      <c r="AE1001" s="19">
        <f>Y1001</f>
        <v>12467</v>
      </c>
      <c r="AF1001" s="19">
        <f>AB1001</f>
        <v>12119</v>
      </c>
      <c r="AG1001" s="19">
        <f>AD1001</f>
        <v>12727</v>
      </c>
      <c r="AH1001" s="19">
        <f>AF1001</f>
        <v>12119</v>
      </c>
      <c r="AI1001" s="19">
        <f>AH1001</f>
        <v>12119</v>
      </c>
    </row>
    <row r="1002" spans="1:35">
      <c r="A1002" s="990">
        <v>1</v>
      </c>
      <c r="B1002" s="990">
        <v>1</v>
      </c>
      <c r="C1002" s="990">
        <v>1002</v>
      </c>
      <c r="E1002" s="1292" t="s">
        <v>1013</v>
      </c>
      <c r="F1002" s="1305"/>
      <c r="H1002" s="5"/>
      <c r="I1002" s="30"/>
      <c r="J1002" s="4"/>
      <c r="K1002" s="4"/>
      <c r="L1002" s="4"/>
      <c r="M1002" s="4"/>
      <c r="N1002" s="2"/>
      <c r="O1002" s="1247" t="s">
        <v>11</v>
      </c>
      <c r="P1002" s="2"/>
      <c r="Q1002" s="66">
        <f>Q998-SUM(Q999:Q1001)</f>
        <v>42491</v>
      </c>
      <c r="R1002" s="66">
        <f t="shared" ref="R1002:AB1002" si="570">R998-SUM(R999:R1001)</f>
        <v>87056</v>
      </c>
      <c r="S1002" s="66">
        <f t="shared" si="570"/>
        <v>54672</v>
      </c>
      <c r="T1002" s="66">
        <f t="shared" si="570"/>
        <v>49512</v>
      </c>
      <c r="U1002" s="66">
        <f t="shared" si="570"/>
        <v>49707</v>
      </c>
      <c r="V1002" s="66">
        <f t="shared" si="570"/>
        <v>49955</v>
      </c>
      <c r="W1002" s="17">
        <f t="shared" si="570"/>
        <v>49522</v>
      </c>
      <c r="X1002" s="17">
        <f t="shared" si="570"/>
        <v>57622</v>
      </c>
      <c r="Y1002" s="17">
        <f t="shared" si="570"/>
        <v>35959</v>
      </c>
      <c r="Z1002" s="17">
        <f t="shared" si="570"/>
        <v>23455</v>
      </c>
      <c r="AA1002" s="17">
        <f t="shared" si="570"/>
        <v>28764</v>
      </c>
      <c r="AB1002" s="17">
        <f t="shared" si="570"/>
        <v>15736</v>
      </c>
      <c r="AC1002" s="17">
        <f>S1002</f>
        <v>54672</v>
      </c>
      <c r="AD1002" s="17">
        <f>V1002</f>
        <v>49955</v>
      </c>
      <c r="AE1002" s="17">
        <f>Y1002</f>
        <v>35959</v>
      </c>
      <c r="AF1002" s="17">
        <f>AB1002</f>
        <v>15736</v>
      </c>
      <c r="AG1002" s="17">
        <f>AD1002</f>
        <v>49955</v>
      </c>
      <c r="AH1002" s="17">
        <f>AF1002</f>
        <v>15736</v>
      </c>
      <c r="AI1002" s="17">
        <f>AH1002</f>
        <v>15736</v>
      </c>
    </row>
    <row r="1003" spans="1:35">
      <c r="A1003" s="990">
        <v>1</v>
      </c>
      <c r="B1003" s="990">
        <v>1</v>
      </c>
      <c r="C1003" s="990">
        <v>1003</v>
      </c>
      <c r="E1003" s="1292" t="s">
        <v>1013</v>
      </c>
      <c r="F1003" s="1305"/>
      <c r="H1003" s="5"/>
      <c r="I1003" s="30"/>
      <c r="J1003" s="4"/>
      <c r="K1003" s="4"/>
      <c r="L1003" s="4"/>
      <c r="M1003" s="4"/>
      <c r="N1003" s="4" t="s">
        <v>1121</v>
      </c>
      <c r="O1003" s="51"/>
      <c r="P1003" s="51"/>
      <c r="Q1003" s="49">
        <f>Q988</f>
        <v>9340</v>
      </c>
      <c r="R1003" s="49">
        <f t="shared" ref="R1003:AI1003" si="571">R988</f>
        <v>7611</v>
      </c>
      <c r="S1003" s="49">
        <f t="shared" si="571"/>
        <v>5535</v>
      </c>
      <c r="T1003" s="49">
        <f t="shared" si="571"/>
        <v>5381</v>
      </c>
      <c r="U1003" s="49">
        <f t="shared" si="571"/>
        <v>9760</v>
      </c>
      <c r="V1003" s="49">
        <f t="shared" si="571"/>
        <v>9375</v>
      </c>
      <c r="W1003" s="49">
        <f t="shared" si="571"/>
        <v>9493</v>
      </c>
      <c r="X1003" s="49">
        <f t="shared" si="571"/>
        <v>10178</v>
      </c>
      <c r="Y1003" s="49">
        <f t="shared" si="571"/>
        <v>9779</v>
      </c>
      <c r="Z1003" s="49">
        <f t="shared" si="571"/>
        <v>9873</v>
      </c>
      <c r="AA1003" s="49">
        <f t="shared" si="571"/>
        <v>12942</v>
      </c>
      <c r="AB1003" s="49">
        <f t="shared" si="571"/>
        <v>7369</v>
      </c>
      <c r="AC1003" s="49">
        <f t="shared" si="571"/>
        <v>5535</v>
      </c>
      <c r="AD1003" s="49">
        <f t="shared" si="571"/>
        <v>9375</v>
      </c>
      <c r="AE1003" s="49">
        <f t="shared" si="571"/>
        <v>9779</v>
      </c>
      <c r="AF1003" s="49">
        <f t="shared" si="571"/>
        <v>7369</v>
      </c>
      <c r="AG1003" s="49">
        <f t="shared" si="571"/>
        <v>9375</v>
      </c>
      <c r="AH1003" s="49">
        <f t="shared" si="571"/>
        <v>7369</v>
      </c>
      <c r="AI1003" s="49">
        <f t="shared" si="571"/>
        <v>7369</v>
      </c>
    </row>
    <row r="1004" spans="1:35">
      <c r="A1004" s="990">
        <v>1</v>
      </c>
      <c r="B1004" s="990">
        <v>1</v>
      </c>
      <c r="C1004" s="990">
        <v>1004</v>
      </c>
      <c r="E1004" s="1292" t="s">
        <v>1013</v>
      </c>
      <c r="F1004" s="1305"/>
      <c r="H1004" s="5"/>
      <c r="I1004" s="30"/>
      <c r="J1004" s="4"/>
      <c r="K1004" s="4"/>
      <c r="L1004" s="4"/>
      <c r="M1004" s="4"/>
      <c r="N1004" s="4"/>
      <c r="O1004" s="1246" t="s">
        <v>55</v>
      </c>
      <c r="P1004" s="4"/>
      <c r="Q1004" s="2159">
        <v>0</v>
      </c>
      <c r="R1004" s="2159"/>
      <c r="S1004" s="2159"/>
      <c r="T1004" s="2159"/>
      <c r="U1004" s="2159"/>
      <c r="V1004" s="2159"/>
      <c r="W1004" s="2091"/>
      <c r="X1004" s="2091"/>
      <c r="Y1004" s="2091"/>
      <c r="Z1004" s="2091"/>
      <c r="AA1004" s="2091"/>
      <c r="AB1004" s="2091"/>
      <c r="AC1004" s="19">
        <f>S1004</f>
        <v>0</v>
      </c>
      <c r="AD1004" s="19">
        <f>V1004</f>
        <v>0</v>
      </c>
      <c r="AE1004" s="19">
        <f>Y1004</f>
        <v>0</v>
      </c>
      <c r="AF1004" s="19">
        <f>AB1004</f>
        <v>0</v>
      </c>
      <c r="AG1004" s="19">
        <f>AD1004</f>
        <v>0</v>
      </c>
      <c r="AH1004" s="19">
        <f>AF1004</f>
        <v>0</v>
      </c>
      <c r="AI1004" s="19">
        <f>AH1004</f>
        <v>0</v>
      </c>
    </row>
    <row r="1005" spans="1:35">
      <c r="A1005" s="990">
        <v>1</v>
      </c>
      <c r="B1005" s="990">
        <v>1</v>
      </c>
      <c r="C1005" s="990">
        <v>1005</v>
      </c>
      <c r="E1005" s="1292" t="s">
        <v>1013</v>
      </c>
      <c r="F1005" s="1305"/>
      <c r="H1005" s="5"/>
      <c r="I1005" s="30"/>
      <c r="J1005" s="4"/>
      <c r="K1005" s="4"/>
      <c r="L1005" s="4"/>
      <c r="M1005" s="4"/>
      <c r="N1005" s="4"/>
      <c r="O1005" s="1246" t="s">
        <v>1120</v>
      </c>
      <c r="P1005" s="4"/>
      <c r="Q1005" s="2159">
        <v>6391</v>
      </c>
      <c r="R1005" s="2159"/>
      <c r="S1005" s="2159"/>
      <c r="T1005" s="2159"/>
      <c r="U1005" s="2159"/>
      <c r="V1005" s="2159"/>
      <c r="W1005" s="2091"/>
      <c r="X1005" s="2091"/>
      <c r="Y1005" s="2091"/>
      <c r="Z1005" s="2091"/>
      <c r="AA1005" s="2091"/>
      <c r="AB1005" s="2091"/>
      <c r="AC1005" s="19">
        <f>S1005</f>
        <v>0</v>
      </c>
      <c r="AD1005" s="19">
        <f>V1005</f>
        <v>0</v>
      </c>
      <c r="AE1005" s="19">
        <f>Y1005</f>
        <v>0</v>
      </c>
      <c r="AF1005" s="19">
        <f>AB1005</f>
        <v>0</v>
      </c>
      <c r="AG1005" s="19">
        <f>AD1005</f>
        <v>0</v>
      </c>
      <c r="AH1005" s="19">
        <f>AF1005</f>
        <v>0</v>
      </c>
      <c r="AI1005" s="19">
        <f>AH1005</f>
        <v>0</v>
      </c>
    </row>
    <row r="1006" spans="1:35">
      <c r="A1006" s="990">
        <v>1</v>
      </c>
      <c r="B1006" s="990">
        <v>1</v>
      </c>
      <c r="C1006" s="990">
        <v>1006</v>
      </c>
      <c r="E1006" s="1292" t="s">
        <v>1013</v>
      </c>
      <c r="F1006" s="1305"/>
      <c r="H1006" s="5"/>
      <c r="I1006" s="28"/>
      <c r="J1006" s="2"/>
      <c r="K1006" s="2"/>
      <c r="L1006" s="2"/>
      <c r="M1006" s="2"/>
      <c r="N1006" s="2"/>
      <c r="O1006" s="1247" t="s">
        <v>11</v>
      </c>
      <c r="P1006" s="2"/>
      <c r="Q1006" s="66">
        <f t="shared" ref="Q1006:AB1006" si="572">Q1003-SUM(Q1004:Q1005)</f>
        <v>2949</v>
      </c>
      <c r="R1006" s="66">
        <f t="shared" si="572"/>
        <v>7611</v>
      </c>
      <c r="S1006" s="66">
        <f t="shared" si="572"/>
        <v>5535</v>
      </c>
      <c r="T1006" s="66">
        <f t="shared" si="572"/>
        <v>5381</v>
      </c>
      <c r="U1006" s="66">
        <f t="shared" si="572"/>
        <v>9760</v>
      </c>
      <c r="V1006" s="66">
        <f t="shared" si="572"/>
        <v>9375</v>
      </c>
      <c r="W1006" s="17">
        <f t="shared" si="572"/>
        <v>9493</v>
      </c>
      <c r="X1006" s="17">
        <f t="shared" si="572"/>
        <v>10178</v>
      </c>
      <c r="Y1006" s="17">
        <f t="shared" si="572"/>
        <v>9779</v>
      </c>
      <c r="Z1006" s="17">
        <f t="shared" si="572"/>
        <v>9873</v>
      </c>
      <c r="AA1006" s="17">
        <f t="shared" si="572"/>
        <v>12942</v>
      </c>
      <c r="AB1006" s="17">
        <f t="shared" si="572"/>
        <v>7369</v>
      </c>
      <c r="AC1006" s="17">
        <f>S1006</f>
        <v>5535</v>
      </c>
      <c r="AD1006" s="17">
        <f>V1006</f>
        <v>9375</v>
      </c>
      <c r="AE1006" s="17">
        <f>Y1006</f>
        <v>9779</v>
      </c>
      <c r="AF1006" s="17">
        <f>AB1006</f>
        <v>7369</v>
      </c>
      <c r="AG1006" s="17">
        <f>AD1006</f>
        <v>9375</v>
      </c>
      <c r="AH1006" s="17">
        <f>AF1006</f>
        <v>7369</v>
      </c>
      <c r="AI1006" s="17">
        <f>AH1006</f>
        <v>7369</v>
      </c>
    </row>
    <row r="1007" spans="1:35">
      <c r="A1007" s="990">
        <v>1</v>
      </c>
      <c r="B1007" s="990">
        <v>1</v>
      </c>
      <c r="C1007" s="990">
        <v>1007</v>
      </c>
      <c r="E1007" s="1243">
        <v>1</v>
      </c>
      <c r="H1007" s="5"/>
      <c r="I1007" s="5"/>
      <c r="J1007" s="4"/>
      <c r="K1007" s="4"/>
      <c r="L1007" s="4"/>
      <c r="M1007" s="4"/>
      <c r="N1007" s="1245"/>
      <c r="O1007" s="4"/>
      <c r="P1007" s="4"/>
      <c r="Q1007" s="1151"/>
      <c r="R1007" s="1151"/>
      <c r="S1007" s="1151"/>
      <c r="T1007" s="1151"/>
      <c r="U1007" s="1151"/>
      <c r="V1007" s="1151"/>
    </row>
    <row r="1008" spans="1:35" ht="18">
      <c r="A1008" s="990">
        <v>1003</v>
      </c>
      <c r="B1008" s="990">
        <v>1</v>
      </c>
      <c r="C1008" s="990">
        <v>1008</v>
      </c>
      <c r="E1008" s="1243">
        <v>1</v>
      </c>
      <c r="F1008" s="314" t="s">
        <v>1122</v>
      </c>
      <c r="G1008" s="314"/>
    </row>
    <row r="1009" spans="1:35" ht="15.5">
      <c r="A1009" s="990">
        <v>1004</v>
      </c>
      <c r="B1009" s="990">
        <v>1</v>
      </c>
      <c r="C1009" s="990">
        <v>1009</v>
      </c>
      <c r="E1009" s="1243">
        <v>1</v>
      </c>
      <c r="F1009" s="316"/>
      <c r="G1009" s="315" t="s">
        <v>1123</v>
      </c>
      <c r="P1009" s="770" t="s">
        <v>611</v>
      </c>
    </row>
    <row r="1010" spans="1:35">
      <c r="A1010" s="990">
        <v>1005</v>
      </c>
      <c r="B1010" s="990">
        <v>1</v>
      </c>
      <c r="C1010" s="990">
        <v>1010</v>
      </c>
      <c r="E1010" s="1243">
        <v>1</v>
      </c>
      <c r="F1010" s="316"/>
      <c r="I1010" s="746" t="s">
        <v>1124</v>
      </c>
      <c r="J1010" s="747"/>
      <c r="K1010" s="747"/>
      <c r="L1010" s="747"/>
      <c r="M1010" s="747"/>
      <c r="N1010" s="747"/>
      <c r="O1010" s="747"/>
      <c r="P1010" s="757" t="s">
        <v>1125</v>
      </c>
      <c r="Q1010" s="2102"/>
      <c r="R1010" s="2102"/>
      <c r="S1010" s="2102"/>
      <c r="T1010" s="2102"/>
      <c r="U1010" s="2102"/>
      <c r="V1010" s="2102"/>
      <c r="W1010" s="2102"/>
      <c r="X1010" s="2102"/>
      <c r="Y1010" s="2102"/>
      <c r="Z1010" s="2102"/>
      <c r="AA1010" s="2102"/>
      <c r="AB1010" s="2102"/>
      <c r="AC1010" s="2571">
        <f>SUM(Q1010,R1010,S1010)</f>
        <v>0</v>
      </c>
      <c r="AD1010" s="2571">
        <f>SUM(T1010,U1010,V1010)</f>
        <v>0</v>
      </c>
      <c r="AE1010" s="2571">
        <f>SUM(W1010,X1010,Y1010)</f>
        <v>0</v>
      </c>
      <c r="AF1010" s="2571">
        <f>SUM(Z1010,AA1010,AB1010)</f>
        <v>0</v>
      </c>
      <c r="AG1010" s="2571">
        <f>AC1010+AD1010</f>
        <v>0</v>
      </c>
      <c r="AH1010" s="2571">
        <f>AF1010+AE1010</f>
        <v>0</v>
      </c>
      <c r="AI1010" s="2571">
        <f>AG1010+AH1010</f>
        <v>0</v>
      </c>
    </row>
    <row r="1011" spans="1:35">
      <c r="A1011" s="990">
        <v>1006</v>
      </c>
      <c r="B1011" s="990">
        <v>1</v>
      </c>
      <c r="C1011" s="990">
        <v>1011</v>
      </c>
      <c r="E1011" s="1243">
        <v>1</v>
      </c>
      <c r="F1011" s="316"/>
      <c r="I1011" s="752" t="s">
        <v>1126</v>
      </c>
      <c r="J1011" s="753"/>
      <c r="K1011" s="753"/>
      <c r="L1011" s="753"/>
      <c r="M1011" s="753"/>
      <c r="N1011" s="753"/>
      <c r="O1011" s="753"/>
      <c r="P1011" s="1211"/>
      <c r="Q1011" s="754">
        <f>Q1012+Q1013</f>
        <v>0</v>
      </c>
      <c r="R1011" s="754">
        <f t="shared" ref="R1011:AB1011" si="573">R1012+R1013</f>
        <v>0</v>
      </c>
      <c r="S1011" s="754">
        <f t="shared" si="573"/>
        <v>0</v>
      </c>
      <c r="T1011" s="754">
        <f t="shared" si="573"/>
        <v>0</v>
      </c>
      <c r="U1011" s="754">
        <f t="shared" si="573"/>
        <v>0</v>
      </c>
      <c r="V1011" s="754">
        <f t="shared" si="573"/>
        <v>0</v>
      </c>
      <c r="W1011" s="754">
        <f t="shared" si="573"/>
        <v>0</v>
      </c>
      <c r="X1011" s="754">
        <f t="shared" si="573"/>
        <v>0</v>
      </c>
      <c r="Y1011" s="754">
        <f t="shared" si="573"/>
        <v>0</v>
      </c>
      <c r="Z1011" s="754">
        <f t="shared" si="573"/>
        <v>0</v>
      </c>
      <c r="AA1011" s="754">
        <f t="shared" si="573"/>
        <v>0</v>
      </c>
      <c r="AB1011" s="754">
        <f t="shared" si="573"/>
        <v>0</v>
      </c>
      <c r="AC1011" s="754">
        <f>SUM(Q1011:S1011)</f>
        <v>0</v>
      </c>
      <c r="AD1011" s="754">
        <f>SUM(T1011:V1011)</f>
        <v>0</v>
      </c>
      <c r="AE1011" s="754">
        <f>SUM(W1011:Y1011)</f>
        <v>0</v>
      </c>
      <c r="AF1011" s="754">
        <f>SUM(Z1011:AB1011)</f>
        <v>0</v>
      </c>
      <c r="AG1011" s="754">
        <f>AC1011+AD1011</f>
        <v>0</v>
      </c>
      <c r="AH1011" s="754">
        <f>AF1011+AE1011</f>
        <v>0</v>
      </c>
      <c r="AI1011" s="754">
        <f>AG1011+AH1011</f>
        <v>0</v>
      </c>
    </row>
    <row r="1012" spans="1:35">
      <c r="A1012" s="990">
        <v>1007</v>
      </c>
      <c r="B1012" s="990">
        <v>1</v>
      </c>
      <c r="C1012" s="990">
        <v>1012</v>
      </c>
      <c r="E1012" s="1243">
        <v>1</v>
      </c>
      <c r="F1012" s="316"/>
      <c r="I1012" s="755"/>
      <c r="J1012" s="756" t="s">
        <v>723</v>
      </c>
      <c r="K1012" s="756"/>
      <c r="L1012" s="756"/>
      <c r="M1012" s="756"/>
      <c r="N1012" s="756"/>
      <c r="O1012" s="756"/>
      <c r="P1012" s="1212"/>
      <c r="Q1012" s="2105"/>
      <c r="R1012" s="2105"/>
      <c r="S1012" s="2105"/>
      <c r="T1012" s="2105"/>
      <c r="U1012" s="2105"/>
      <c r="V1012" s="2105"/>
      <c r="W1012" s="2105"/>
      <c r="X1012" s="2105"/>
      <c r="Y1012" s="2105"/>
      <c r="Z1012" s="2105"/>
      <c r="AA1012" s="2105"/>
      <c r="AB1012" s="2105"/>
      <c r="AC1012" s="760">
        <f>SUM(Q1012,R1012,S1012)</f>
        <v>0</v>
      </c>
      <c r="AD1012" s="760">
        <f>SUM(T1012,U1012,V1012)</f>
        <v>0</v>
      </c>
      <c r="AE1012" s="760">
        <f>SUM(W1012,X1012,Y1012)</f>
        <v>0</v>
      </c>
      <c r="AF1012" s="760">
        <f>SUM(Z1012,AA1012,AB1012)</f>
        <v>0</v>
      </c>
      <c r="AG1012" s="760">
        <f>AC1012+AD1012</f>
        <v>0</v>
      </c>
      <c r="AH1012" s="760">
        <f>AF1012+AE1012</f>
        <v>0</v>
      </c>
      <c r="AI1012" s="760">
        <f>AG1012+AH1012</f>
        <v>0</v>
      </c>
    </row>
    <row r="1013" spans="1:35">
      <c r="A1013" s="990">
        <v>1008</v>
      </c>
      <c r="B1013" s="990">
        <v>1</v>
      </c>
      <c r="C1013" s="990">
        <v>1013</v>
      </c>
      <c r="E1013" s="1243">
        <v>1</v>
      </c>
      <c r="F1013" s="316"/>
      <c r="I1013" s="751"/>
      <c r="J1013" s="748" t="s">
        <v>724</v>
      </c>
      <c r="K1013" s="748"/>
      <c r="L1013" s="748"/>
      <c r="M1013" s="748"/>
      <c r="N1013" s="748"/>
      <c r="O1013" s="748"/>
      <c r="P1013" s="1213"/>
      <c r="Q1013" s="2106"/>
      <c r="R1013" s="2106"/>
      <c r="S1013" s="2106"/>
      <c r="T1013" s="2106"/>
      <c r="U1013" s="2106"/>
      <c r="V1013" s="2106"/>
      <c r="W1013" s="2106"/>
      <c r="X1013" s="2106"/>
      <c r="Y1013" s="2106"/>
      <c r="Z1013" s="2106"/>
      <c r="AA1013" s="2106"/>
      <c r="AB1013" s="2106"/>
      <c r="AC1013" s="763">
        <f>SUM(Q1013,R1013,S1013)</f>
        <v>0</v>
      </c>
      <c r="AD1013" s="763">
        <f>SUM(T1013,U1013,V1013)</f>
        <v>0</v>
      </c>
      <c r="AE1013" s="763">
        <f>SUM(W1013,X1013,Y1013)</f>
        <v>0</v>
      </c>
      <c r="AF1013" s="763">
        <f>SUM(Z1013,AA1013,AB1013)</f>
        <v>0</v>
      </c>
      <c r="AG1013" s="763">
        <f>AC1013+AD1013</f>
        <v>0</v>
      </c>
      <c r="AH1013" s="763">
        <f>AF1013+AE1013</f>
        <v>0</v>
      </c>
      <c r="AI1013" s="763">
        <f>AG1013+AH1013</f>
        <v>0</v>
      </c>
    </row>
    <row r="1014" spans="1:35">
      <c r="A1014" s="990">
        <v>1009</v>
      </c>
      <c r="B1014" s="990">
        <v>1</v>
      </c>
      <c r="C1014" s="990">
        <v>1014</v>
      </c>
      <c r="E1014" s="1243">
        <v>1</v>
      </c>
      <c r="F1014" s="316"/>
      <c r="I1014" s="24"/>
      <c r="J1014" s="75"/>
      <c r="K1014" s="24"/>
      <c r="L1014" s="24"/>
      <c r="M1014" s="75"/>
      <c r="N1014" s="75"/>
      <c r="O1014" s="75"/>
      <c r="P1014" s="75"/>
    </row>
    <row r="1015" spans="1:35" ht="15.5">
      <c r="A1015" s="990">
        <v>1010</v>
      </c>
      <c r="B1015" s="990">
        <v>1</v>
      </c>
      <c r="C1015" s="990">
        <v>1015</v>
      </c>
      <c r="E1015" s="1243">
        <v>1</v>
      </c>
      <c r="F1015" s="316"/>
      <c r="G1015" s="315" t="s">
        <v>1127</v>
      </c>
      <c r="I1015" s="24"/>
      <c r="J1015" s="75"/>
      <c r="K1015" s="24"/>
      <c r="L1015" s="24"/>
      <c r="M1015" s="75"/>
      <c r="N1015" s="75"/>
      <c r="O1015" s="75"/>
      <c r="P1015" s="770" t="s">
        <v>611</v>
      </c>
    </row>
    <row r="1016" spans="1:35">
      <c r="A1016" s="990">
        <v>1011</v>
      </c>
      <c r="B1016" s="990">
        <v>1</v>
      </c>
      <c r="C1016" s="990">
        <v>1016</v>
      </c>
      <c r="E1016" s="1243">
        <v>1</v>
      </c>
      <c r="F1016" s="316"/>
      <c r="I1016" s="749" t="s">
        <v>1128</v>
      </c>
      <c r="J1016" s="750"/>
      <c r="K1016" s="750"/>
      <c r="L1016" s="750"/>
      <c r="M1016" s="750"/>
      <c r="N1016" s="750"/>
      <c r="O1016" s="750"/>
      <c r="P1016" s="750"/>
      <c r="Q1016" s="2102"/>
      <c r="R1016" s="2102"/>
      <c r="S1016" s="2102"/>
      <c r="T1016" s="2102"/>
      <c r="U1016" s="2102"/>
      <c r="V1016" s="2102"/>
      <c r="W1016" s="2102"/>
      <c r="X1016" s="2102"/>
      <c r="Y1016" s="2102"/>
      <c r="Z1016" s="2102"/>
      <c r="AA1016" s="2102"/>
      <c r="AB1016" s="2102"/>
      <c r="AC1016" s="2571">
        <f>SUM(Q1016,R1016,S1016)</f>
        <v>0</v>
      </c>
      <c r="AD1016" s="2571">
        <f>SUM(T1016,U1016,V1016)</f>
        <v>0</v>
      </c>
      <c r="AE1016" s="2571">
        <f>SUM(W1016,X1016,Y1016)</f>
        <v>0</v>
      </c>
      <c r="AF1016" s="2571">
        <f>SUM(Z1016,AA1016,AB1016)</f>
        <v>0</v>
      </c>
      <c r="AG1016" s="2571">
        <f>AC1016+AD1016</f>
        <v>0</v>
      </c>
      <c r="AH1016" s="2571">
        <f>AF1016+AE1016</f>
        <v>0</v>
      </c>
      <c r="AI1016" s="2571">
        <f>AG1016+AH1016</f>
        <v>0</v>
      </c>
    </row>
    <row r="1017" spans="1:35" s="75" customFormat="1">
      <c r="A1017" s="990" t="s">
        <v>1129</v>
      </c>
      <c r="B1017" s="990"/>
      <c r="C1017" s="990" t="s">
        <v>1129</v>
      </c>
      <c r="D1017" s="1121" t="s">
        <v>999</v>
      </c>
      <c r="E1017" s="1243">
        <v>1</v>
      </c>
      <c r="F1017" s="316"/>
      <c r="G1017" s="316"/>
      <c r="H1017" s="563"/>
      <c r="I1017" s="282"/>
      <c r="J1017" s="282"/>
      <c r="K1017" s="282"/>
      <c r="L1017" s="275"/>
      <c r="M1017" s="24"/>
      <c r="Q1017" s="2049"/>
      <c r="R1017" s="2049"/>
      <c r="S1017" s="2049"/>
      <c r="T1017" s="2049"/>
      <c r="U1017" s="2049"/>
      <c r="V1017" s="2049"/>
      <c r="W1017" s="2049"/>
      <c r="X1017" s="2049"/>
      <c r="Y1017" s="2049"/>
      <c r="Z1017" s="2049"/>
      <c r="AA1017" s="2049"/>
      <c r="AB1017" s="2049"/>
      <c r="AC1017" s="283"/>
      <c r="AD1017" s="283"/>
      <c r="AE1017" s="283"/>
      <c r="AF1017" s="283"/>
      <c r="AG1017" s="283"/>
      <c r="AH1017" s="283"/>
      <c r="AI1017" s="283"/>
    </row>
    <row r="1018" spans="1:35" s="998" customFormat="1" ht="18" hidden="1" outlineLevel="1">
      <c r="A1018" s="1058" t="s">
        <v>1129</v>
      </c>
      <c r="B1018" s="1058"/>
      <c r="C1018" s="1058" t="s">
        <v>1129</v>
      </c>
      <c r="D1018" s="1121" t="s">
        <v>999</v>
      </c>
      <c r="E1018" s="1243">
        <v>1</v>
      </c>
      <c r="F1018" s="1059" t="s">
        <v>935</v>
      </c>
      <c r="G1018" s="1059"/>
      <c r="H1018" s="1000"/>
      <c r="I1018" s="999"/>
      <c r="K1018" s="999"/>
      <c r="L1018" s="999"/>
      <c r="Q1018" s="2141"/>
      <c r="R1018" s="2141"/>
      <c r="S1018" s="2141"/>
      <c r="T1018" s="2141"/>
      <c r="U1018" s="2141"/>
      <c r="V1018" s="2141"/>
      <c r="W1018" s="2141"/>
      <c r="X1018" s="2141"/>
      <c r="Y1018" s="2141"/>
      <c r="Z1018" s="2141"/>
    </row>
    <row r="1019" spans="1:35" s="998" customFormat="1" hidden="1" outlineLevel="1">
      <c r="A1019" s="1058" t="s">
        <v>1129</v>
      </c>
      <c r="B1019" s="1058"/>
      <c r="C1019" s="1058" t="s">
        <v>1129</v>
      </c>
      <c r="D1019" s="1121" t="s">
        <v>999</v>
      </c>
      <c r="E1019" s="1243">
        <v>1</v>
      </c>
      <c r="F1019" s="999"/>
      <c r="G1019" s="1000" t="s">
        <v>936</v>
      </c>
      <c r="H1019" s="999"/>
      <c r="I1019" s="999"/>
      <c r="K1019" s="999"/>
      <c r="L1019" s="999"/>
      <c r="P1019" s="999"/>
      <c r="Q1019" s="2141"/>
      <c r="R1019" s="2141"/>
      <c r="S1019" s="2141"/>
      <c r="T1019" s="2141"/>
      <c r="U1019" s="2141"/>
      <c r="V1019" s="2141"/>
      <c r="W1019" s="2141"/>
      <c r="X1019" s="2141"/>
      <c r="Y1019" s="2141"/>
      <c r="Z1019" s="2141"/>
    </row>
    <row r="1020" spans="1:35" s="998" customFormat="1" hidden="1" outlineLevel="1">
      <c r="A1020" s="1058" t="s">
        <v>1129</v>
      </c>
      <c r="B1020" s="1058"/>
      <c r="C1020" s="1058" t="s">
        <v>1129</v>
      </c>
      <c r="D1020" s="1121" t="s">
        <v>999</v>
      </c>
      <c r="E1020" s="1243">
        <v>1</v>
      </c>
      <c r="F1020" s="999"/>
      <c r="G1020" s="1000"/>
      <c r="H1020" s="999"/>
      <c r="I1020" s="1060" t="s">
        <v>1130</v>
      </c>
      <c r="J1020" s="1061"/>
      <c r="K1020" s="1062"/>
      <c r="L1020" s="1062"/>
      <c r="M1020" s="1061"/>
      <c r="N1020" s="1061"/>
      <c r="O1020" s="1061"/>
      <c r="P1020" s="1063"/>
      <c r="Q1020" s="2142"/>
      <c r="R1020" s="2142"/>
      <c r="S1020" s="2142"/>
      <c r="T1020" s="2142"/>
      <c r="U1020" s="2142"/>
      <c r="V1020" s="2142"/>
      <c r="W1020" s="2142"/>
      <c r="X1020" s="2142"/>
      <c r="Y1020" s="2142"/>
      <c r="Z1020" s="2142"/>
      <c r="AA1020" s="2142"/>
      <c r="AB1020" s="2142"/>
      <c r="AC1020" s="2726">
        <f>SUM(Q1020:S1020)</f>
        <v>0</v>
      </c>
      <c r="AD1020" s="2726">
        <f>SUM(T1020:V1020)</f>
        <v>0</v>
      </c>
      <c r="AE1020" s="2726">
        <f>SUM(W1020:Y1020)</f>
        <v>0</v>
      </c>
      <c r="AF1020" s="2726">
        <f>SUM(Z1020:AB1020)</f>
        <v>0</v>
      </c>
      <c r="AG1020" s="2726">
        <f>AC1020+AD1020</f>
        <v>0</v>
      </c>
      <c r="AH1020" s="2726">
        <f>AF1020+AE1020</f>
        <v>0</v>
      </c>
      <c r="AI1020" s="2726">
        <f>AG1020+AH1020</f>
        <v>0</v>
      </c>
    </row>
    <row r="1021" spans="1:35" s="998" customFormat="1" hidden="1" outlineLevel="1">
      <c r="A1021" s="1058" t="s">
        <v>1129</v>
      </c>
      <c r="B1021" s="1058"/>
      <c r="C1021" s="1058" t="s">
        <v>1129</v>
      </c>
      <c r="D1021" s="1121" t="s">
        <v>999</v>
      </c>
      <c r="E1021" s="1243">
        <v>1</v>
      </c>
      <c r="F1021" s="999"/>
      <c r="G1021" s="1000"/>
      <c r="H1021" s="999"/>
      <c r="I1021" s="1065"/>
      <c r="J1021" s="1066" t="s">
        <v>1131</v>
      </c>
      <c r="K1021" s="1067"/>
      <c r="L1021" s="1067"/>
      <c r="M1021" s="1068"/>
      <c r="N1021" s="1068"/>
      <c r="O1021" s="1068"/>
      <c r="P1021" s="1069"/>
      <c r="Q1021" s="2143">
        <f t="shared" ref="Q1021:AB1021" si="574">Q761</f>
        <v>0</v>
      </c>
      <c r="R1021" s="2143">
        <f t="shared" si="574"/>
        <v>0</v>
      </c>
      <c r="S1021" s="2143">
        <f t="shared" si="574"/>
        <v>0</v>
      </c>
      <c r="T1021" s="2143">
        <f t="shared" si="574"/>
        <v>0</v>
      </c>
      <c r="U1021" s="2143">
        <f t="shared" si="574"/>
        <v>0</v>
      </c>
      <c r="V1021" s="2143">
        <f t="shared" si="574"/>
        <v>0</v>
      </c>
      <c r="W1021" s="2143">
        <f t="shared" si="574"/>
        <v>0</v>
      </c>
      <c r="X1021" s="2143">
        <f t="shared" si="574"/>
        <v>0</v>
      </c>
      <c r="Y1021" s="2143">
        <f t="shared" si="574"/>
        <v>0</v>
      </c>
      <c r="Z1021" s="2143">
        <f t="shared" si="574"/>
        <v>0</v>
      </c>
      <c r="AA1021" s="2143">
        <f t="shared" si="574"/>
        <v>0</v>
      </c>
      <c r="AB1021" s="2143">
        <f t="shared" si="574"/>
        <v>0</v>
      </c>
      <c r="AC1021" s="1070">
        <f>SUM(Q1021:S1021)</f>
        <v>0</v>
      </c>
      <c r="AD1021" s="1070">
        <f>SUM(T1021:V1021)</f>
        <v>0</v>
      </c>
      <c r="AE1021" s="1070">
        <f>SUM(W1021:Y1021)</f>
        <v>0</v>
      </c>
      <c r="AF1021" s="1070">
        <f>SUM(Z1021:AB1021)</f>
        <v>0</v>
      </c>
      <c r="AG1021" s="1070">
        <f>AC1021+AD1021</f>
        <v>0</v>
      </c>
      <c r="AH1021" s="1070">
        <f>AF1021+AE1021</f>
        <v>0</v>
      </c>
      <c r="AI1021" s="1070">
        <f>AG1021+AH1021</f>
        <v>0</v>
      </c>
    </row>
    <row r="1022" spans="1:35" s="998" customFormat="1" hidden="1" outlineLevel="1">
      <c r="A1022" s="1058" t="s">
        <v>1129</v>
      </c>
      <c r="B1022" s="1058"/>
      <c r="C1022" s="1058" t="s">
        <v>1129</v>
      </c>
      <c r="D1022" s="1121" t="s">
        <v>999</v>
      </c>
      <c r="E1022" s="1243">
        <v>1</v>
      </c>
      <c r="F1022" s="999"/>
      <c r="G1022" s="1000"/>
      <c r="H1022" s="1000"/>
      <c r="I1022" s="1071"/>
      <c r="J1022" s="1072" t="s">
        <v>1132</v>
      </c>
      <c r="K1022" s="1073"/>
      <c r="L1022" s="1073"/>
      <c r="M1022" s="1074"/>
      <c r="N1022" s="1074"/>
      <c r="O1022" s="1074"/>
      <c r="P1022" s="1075"/>
      <c r="Q1022" s="2144">
        <f>Q1020-Q1021</f>
        <v>0</v>
      </c>
      <c r="R1022" s="2144">
        <f t="shared" ref="R1022:AB1022" si="575">R1020-R1021</f>
        <v>0</v>
      </c>
      <c r="S1022" s="2144">
        <f t="shared" si="575"/>
        <v>0</v>
      </c>
      <c r="T1022" s="2144">
        <f t="shared" si="575"/>
        <v>0</v>
      </c>
      <c r="U1022" s="2144">
        <f t="shared" si="575"/>
        <v>0</v>
      </c>
      <c r="V1022" s="2144">
        <f t="shared" si="575"/>
        <v>0</v>
      </c>
      <c r="W1022" s="2144">
        <f t="shared" si="575"/>
        <v>0</v>
      </c>
      <c r="X1022" s="2144">
        <f t="shared" si="575"/>
        <v>0</v>
      </c>
      <c r="Y1022" s="2144">
        <f t="shared" si="575"/>
        <v>0</v>
      </c>
      <c r="Z1022" s="2144">
        <f t="shared" si="575"/>
        <v>0</v>
      </c>
      <c r="AA1022" s="2144">
        <f t="shared" si="575"/>
        <v>0</v>
      </c>
      <c r="AB1022" s="2144">
        <f t="shared" si="575"/>
        <v>0</v>
      </c>
      <c r="AC1022" s="1076">
        <f>SUM(Q1022:S1022)</f>
        <v>0</v>
      </c>
      <c r="AD1022" s="1076">
        <f>SUM(T1022:V1022)</f>
        <v>0</v>
      </c>
      <c r="AE1022" s="1076">
        <f>SUM(W1022:Y1022)</f>
        <v>0</v>
      </c>
      <c r="AF1022" s="1076">
        <f>SUM(Z1022:AB1022)</f>
        <v>0</v>
      </c>
      <c r="AG1022" s="1076">
        <f>AC1022+AD1022</f>
        <v>0</v>
      </c>
      <c r="AH1022" s="1076">
        <f>AF1022+AE1022</f>
        <v>0</v>
      </c>
      <c r="AI1022" s="1076">
        <f>AG1022+AH1022</f>
        <v>0</v>
      </c>
    </row>
    <row r="1023" spans="1:35" s="998" customFormat="1" hidden="1" outlineLevel="1">
      <c r="A1023" s="1058" t="s">
        <v>1129</v>
      </c>
      <c r="B1023" s="1058"/>
      <c r="C1023" s="1058" t="s">
        <v>1129</v>
      </c>
      <c r="D1023" s="1121" t="s">
        <v>999</v>
      </c>
      <c r="E1023" s="1243">
        <v>1</v>
      </c>
      <c r="F1023" s="999"/>
      <c r="G1023" s="999"/>
      <c r="H1023" s="1000"/>
      <c r="I1023" s="999"/>
      <c r="K1023" s="999"/>
      <c r="L1023" s="999"/>
      <c r="Q1023" s="2141"/>
      <c r="R1023" s="2141"/>
      <c r="S1023" s="2141"/>
      <c r="T1023" s="2141"/>
      <c r="U1023" s="2141"/>
      <c r="V1023" s="2141"/>
      <c r="W1023" s="2141"/>
      <c r="X1023" s="2141"/>
      <c r="Y1023" s="2141"/>
      <c r="Z1023" s="2141"/>
    </row>
    <row r="1024" spans="1:35" s="998" customFormat="1" ht="15.5" hidden="1" outlineLevel="1">
      <c r="A1024" s="1058" t="s">
        <v>1129</v>
      </c>
      <c r="B1024" s="1058"/>
      <c r="C1024" s="1058" t="s">
        <v>1129</v>
      </c>
      <c r="D1024" s="1121" t="s">
        <v>999</v>
      </c>
      <c r="E1024" s="1243">
        <v>1</v>
      </c>
      <c r="F1024" s="999"/>
      <c r="G1024" s="1077" t="s">
        <v>937</v>
      </c>
      <c r="H1024" s="1000"/>
      <c r="I1024" s="999"/>
      <c r="J1024" s="1078"/>
      <c r="K1024" s="1079"/>
      <c r="L1024" s="1078"/>
      <c r="M1024" s="1078"/>
      <c r="N1024" s="1079"/>
      <c r="O1024" s="1079"/>
      <c r="P1024" s="1079"/>
      <c r="Q1024" s="2182"/>
      <c r="R1024" s="2182"/>
      <c r="S1024" s="2182"/>
      <c r="T1024" s="2182"/>
      <c r="U1024" s="2182"/>
      <c r="V1024" s="2182"/>
      <c r="W1024" s="1080"/>
      <c r="X1024" s="1080"/>
      <c r="Y1024" s="1080"/>
      <c r="Z1024" s="1080"/>
      <c r="AA1024" s="1080"/>
      <c r="AB1024" s="1080"/>
      <c r="AC1024" s="1080"/>
      <c r="AD1024" s="1080"/>
      <c r="AE1024" s="1080"/>
      <c r="AF1024" s="1080"/>
      <c r="AG1024" s="1080"/>
      <c r="AH1024" s="1080"/>
      <c r="AI1024" s="1080"/>
    </row>
    <row r="1025" spans="1:35" s="998" customFormat="1" hidden="1" outlineLevel="1">
      <c r="A1025" s="1058" t="s">
        <v>1129</v>
      </c>
      <c r="B1025" s="1058"/>
      <c r="C1025" s="1058" t="s">
        <v>1129</v>
      </c>
      <c r="D1025" s="1121" t="s">
        <v>999</v>
      </c>
      <c r="E1025" s="1243">
        <v>1</v>
      </c>
      <c r="F1025" s="999"/>
      <c r="G1025" s="1000"/>
      <c r="H1025" s="1000"/>
      <c r="I1025" s="1081" t="s">
        <v>1130</v>
      </c>
      <c r="J1025" s="1082"/>
      <c r="K1025" s="1083"/>
      <c r="L1025" s="1084"/>
      <c r="M1025" s="1084"/>
      <c r="N1025" s="1083"/>
      <c r="O1025" s="1083"/>
      <c r="P1025" s="1083"/>
      <c r="Q1025" s="2145">
        <f>SUM(Q1026:Q1027)</f>
        <v>0</v>
      </c>
      <c r="R1025" s="2145">
        <f t="shared" ref="R1025:AB1025" si="576">SUM(R1026:R1027)</f>
        <v>0</v>
      </c>
      <c r="S1025" s="2145">
        <f t="shared" si="576"/>
        <v>0</v>
      </c>
      <c r="T1025" s="2145">
        <f t="shared" si="576"/>
        <v>0</v>
      </c>
      <c r="U1025" s="2145">
        <f t="shared" si="576"/>
        <v>0</v>
      </c>
      <c r="V1025" s="2145">
        <f t="shared" si="576"/>
        <v>0</v>
      </c>
      <c r="W1025" s="2145">
        <f t="shared" si="576"/>
        <v>0</v>
      </c>
      <c r="X1025" s="2145">
        <f t="shared" si="576"/>
        <v>0</v>
      </c>
      <c r="Y1025" s="2145">
        <f t="shared" si="576"/>
        <v>0</v>
      </c>
      <c r="Z1025" s="2145">
        <f t="shared" si="576"/>
        <v>0</v>
      </c>
      <c r="AA1025" s="2145">
        <f t="shared" si="576"/>
        <v>0</v>
      </c>
      <c r="AB1025" s="2145">
        <f t="shared" si="576"/>
        <v>0</v>
      </c>
      <c r="AC1025" s="2145">
        <f>S1025</f>
        <v>0</v>
      </c>
      <c r="AD1025" s="2145">
        <f>V1025</f>
        <v>0</v>
      </c>
      <c r="AE1025" s="2145">
        <f>Y1025</f>
        <v>0</v>
      </c>
      <c r="AF1025" s="2145">
        <f>AB1025</f>
        <v>0</v>
      </c>
      <c r="AG1025" s="2145">
        <f>AD1025</f>
        <v>0</v>
      </c>
      <c r="AH1025" s="2145">
        <f>AF1025</f>
        <v>0</v>
      </c>
      <c r="AI1025" s="2145">
        <f>AH1025</f>
        <v>0</v>
      </c>
    </row>
    <row r="1026" spans="1:35" s="998" customFormat="1" hidden="1" outlineLevel="1">
      <c r="A1026" s="1058" t="s">
        <v>1129</v>
      </c>
      <c r="B1026" s="1058"/>
      <c r="C1026" s="1058" t="s">
        <v>1129</v>
      </c>
      <c r="D1026" s="1121" t="s">
        <v>999</v>
      </c>
      <c r="E1026" s="1243">
        <v>1</v>
      </c>
      <c r="F1026" s="999"/>
      <c r="G1026" s="1000"/>
      <c r="H1026" s="1000"/>
      <c r="I1026" s="1086"/>
      <c r="J1026" s="1086"/>
      <c r="K1026" s="1079"/>
      <c r="L1026" s="1078"/>
      <c r="M1026" s="1079" t="s">
        <v>455</v>
      </c>
      <c r="N1026" s="1079"/>
      <c r="O1026" s="1079"/>
      <c r="P1026" s="1079"/>
      <c r="Q1026" s="2146"/>
      <c r="R1026" s="2146"/>
      <c r="S1026" s="2146"/>
      <c r="T1026" s="2146"/>
      <c r="U1026" s="2146"/>
      <c r="V1026" s="2146"/>
      <c r="W1026" s="2146"/>
      <c r="X1026" s="2146"/>
      <c r="Y1026" s="2146"/>
      <c r="Z1026" s="2146"/>
      <c r="AA1026" s="2147"/>
      <c r="AB1026" s="2147"/>
      <c r="AC1026" s="1087">
        <f>S1026</f>
        <v>0</v>
      </c>
      <c r="AD1026" s="1087">
        <f>V1026</f>
        <v>0</v>
      </c>
      <c r="AE1026" s="1087">
        <f>Y1026</f>
        <v>0</v>
      </c>
      <c r="AF1026" s="1087">
        <f>AB1026</f>
        <v>0</v>
      </c>
      <c r="AG1026" s="1087">
        <f>AD1026</f>
        <v>0</v>
      </c>
      <c r="AH1026" s="1087">
        <f>AF1026</f>
        <v>0</v>
      </c>
      <c r="AI1026" s="1087">
        <f>AH1026</f>
        <v>0</v>
      </c>
    </row>
    <row r="1027" spans="1:35" s="998" customFormat="1" hidden="1" outlineLevel="1">
      <c r="A1027" s="1058" t="s">
        <v>1129</v>
      </c>
      <c r="B1027" s="1058"/>
      <c r="C1027" s="1058" t="s">
        <v>1129</v>
      </c>
      <c r="D1027" s="1121" t="s">
        <v>999</v>
      </c>
      <c r="E1027" s="1243">
        <v>1</v>
      </c>
      <c r="F1027" s="999"/>
      <c r="G1027" s="1000"/>
      <c r="H1027" s="1000"/>
      <c r="I1027" s="1088"/>
      <c r="J1027" s="1089"/>
      <c r="K1027" s="1090"/>
      <c r="L1027" s="1091"/>
      <c r="M1027" s="1090" t="s">
        <v>1133</v>
      </c>
      <c r="N1027" s="1090"/>
      <c r="O1027" s="1090"/>
      <c r="P1027" s="1090"/>
      <c r="Q1027" s="2148"/>
      <c r="R1027" s="2148"/>
      <c r="S1027" s="2148"/>
      <c r="T1027" s="2148"/>
      <c r="U1027" s="2148"/>
      <c r="V1027" s="2148"/>
      <c r="W1027" s="2148"/>
      <c r="X1027" s="2148"/>
      <c r="Y1027" s="2148"/>
      <c r="Z1027" s="2148"/>
      <c r="AA1027" s="2148"/>
      <c r="AB1027" s="2148"/>
      <c r="AC1027" s="1092">
        <f>S1027</f>
        <v>0</v>
      </c>
      <c r="AD1027" s="1092">
        <f>V1027</f>
        <v>0</v>
      </c>
      <c r="AE1027" s="1092">
        <f>Y1027</f>
        <v>0</v>
      </c>
      <c r="AF1027" s="1092">
        <f>AB1027</f>
        <v>0</v>
      </c>
      <c r="AG1027" s="1092">
        <f>AD1027</f>
        <v>0</v>
      </c>
      <c r="AH1027" s="1092">
        <f>AF1027</f>
        <v>0</v>
      </c>
      <c r="AI1027" s="1092">
        <f>AH1027</f>
        <v>0</v>
      </c>
    </row>
    <row r="1028" spans="1:35" s="998" customFormat="1" hidden="1" outlineLevel="1">
      <c r="A1028" s="1058" t="s">
        <v>1129</v>
      </c>
      <c r="B1028" s="1058"/>
      <c r="C1028" s="1058" t="s">
        <v>1129</v>
      </c>
      <c r="D1028" s="1121" t="s">
        <v>999</v>
      </c>
      <c r="E1028" s="1243">
        <v>1</v>
      </c>
      <c r="F1028" s="999"/>
      <c r="G1028" s="1000"/>
      <c r="H1028" s="1000"/>
      <c r="I1028" s="1078"/>
      <c r="J1028" s="1078"/>
      <c r="K1028" s="1079"/>
      <c r="L1028" s="1078"/>
      <c r="M1028" s="1079"/>
      <c r="N1028" s="1079"/>
      <c r="O1028" s="1079"/>
      <c r="P1028" s="1079"/>
      <c r="Q1028" s="2149"/>
      <c r="R1028" s="2149"/>
      <c r="S1028" s="2149"/>
      <c r="T1028" s="2149"/>
      <c r="U1028" s="2149"/>
      <c r="V1028" s="2149"/>
      <c r="W1028" s="1093"/>
      <c r="X1028" s="1093"/>
      <c r="Y1028" s="1093"/>
      <c r="Z1028" s="1093"/>
      <c r="AA1028" s="1093"/>
      <c r="AB1028" s="1093"/>
      <c r="AC1028" s="1093"/>
      <c r="AD1028" s="1093"/>
      <c r="AE1028" s="1093"/>
      <c r="AF1028" s="1093"/>
      <c r="AG1028" s="1093"/>
      <c r="AH1028" s="1093"/>
      <c r="AI1028" s="1093"/>
    </row>
    <row r="1029" spans="1:35" s="998" customFormat="1" ht="15.5" hidden="1" outlineLevel="1">
      <c r="A1029" s="1058" t="s">
        <v>1129</v>
      </c>
      <c r="B1029" s="1058"/>
      <c r="C1029" s="1058" t="s">
        <v>1129</v>
      </c>
      <c r="D1029" s="1121" t="s">
        <v>999</v>
      </c>
      <c r="E1029" s="1243">
        <v>1</v>
      </c>
      <c r="F1029" s="999"/>
      <c r="G1029" s="1077" t="s">
        <v>938</v>
      </c>
      <c r="H1029" s="1002"/>
      <c r="I1029" s="999"/>
      <c r="J1029" s="1078"/>
      <c r="K1029" s="1079"/>
      <c r="L1029" s="1078"/>
      <c r="M1029" s="1079"/>
      <c r="N1029" s="1079"/>
      <c r="O1029" s="1079"/>
      <c r="P1029" s="1079"/>
      <c r="Q1029" s="2149"/>
      <c r="R1029" s="2149"/>
      <c r="S1029" s="2149"/>
      <c r="T1029" s="2149"/>
      <c r="U1029" s="2149"/>
      <c r="V1029" s="2149"/>
      <c r="W1029" s="1093"/>
      <c r="X1029" s="1093"/>
      <c r="Y1029" s="1093"/>
      <c r="Z1029" s="1093"/>
      <c r="AA1029" s="1093"/>
      <c r="AB1029" s="1093"/>
      <c r="AC1029" s="1093"/>
      <c r="AD1029" s="1093"/>
      <c r="AE1029" s="1093"/>
      <c r="AF1029" s="1093"/>
      <c r="AG1029" s="1093"/>
      <c r="AH1029" s="1093"/>
      <c r="AI1029" s="1093"/>
    </row>
    <row r="1030" spans="1:35" s="998" customFormat="1" hidden="1" outlineLevel="1">
      <c r="A1030" s="1058" t="s">
        <v>1129</v>
      </c>
      <c r="B1030" s="1058"/>
      <c r="C1030" s="1058" t="s">
        <v>1129</v>
      </c>
      <c r="D1030" s="1121" t="s">
        <v>999</v>
      </c>
      <c r="E1030" s="1243">
        <v>1</v>
      </c>
      <c r="F1030" s="999"/>
      <c r="G1030" s="1000"/>
      <c r="H1030" s="1000"/>
      <c r="I1030" s="1081" t="s">
        <v>1130</v>
      </c>
      <c r="J1030" s="1082"/>
      <c r="K1030" s="1083"/>
      <c r="L1030" s="1084"/>
      <c r="M1030" s="1084"/>
      <c r="N1030" s="1083"/>
      <c r="O1030" s="1083"/>
      <c r="P1030" s="1083"/>
      <c r="Q1030" s="2145">
        <f t="shared" ref="Q1030:AB1030" si="577">SUM(Q1031:Q1032)</f>
        <v>0</v>
      </c>
      <c r="R1030" s="2145">
        <f t="shared" si="577"/>
        <v>0</v>
      </c>
      <c r="S1030" s="2145">
        <f t="shared" si="577"/>
        <v>0</v>
      </c>
      <c r="T1030" s="2145">
        <f t="shared" si="577"/>
        <v>0</v>
      </c>
      <c r="U1030" s="2145">
        <f t="shared" si="577"/>
        <v>0</v>
      </c>
      <c r="V1030" s="2145">
        <f t="shared" si="577"/>
        <v>0</v>
      </c>
      <c r="W1030" s="2145">
        <f t="shared" si="577"/>
        <v>0</v>
      </c>
      <c r="X1030" s="2145">
        <f t="shared" si="577"/>
        <v>0</v>
      </c>
      <c r="Y1030" s="2145">
        <f t="shared" si="577"/>
        <v>0</v>
      </c>
      <c r="Z1030" s="2145">
        <f t="shared" si="577"/>
        <v>0</v>
      </c>
      <c r="AA1030" s="2145">
        <f t="shared" si="577"/>
        <v>0</v>
      </c>
      <c r="AB1030" s="2145">
        <f t="shared" si="577"/>
        <v>0</v>
      </c>
      <c r="AC1030" s="2145">
        <f>S1030</f>
        <v>0</v>
      </c>
      <c r="AD1030" s="2145">
        <f>V1030</f>
        <v>0</v>
      </c>
      <c r="AE1030" s="2145">
        <f>Y1030</f>
        <v>0</v>
      </c>
      <c r="AF1030" s="2145">
        <f>AB1030</f>
        <v>0</v>
      </c>
      <c r="AG1030" s="2145">
        <f>AD1030</f>
        <v>0</v>
      </c>
      <c r="AH1030" s="2145">
        <f>AF1030</f>
        <v>0</v>
      </c>
      <c r="AI1030" s="2145">
        <f>AH1030</f>
        <v>0</v>
      </c>
    </row>
    <row r="1031" spans="1:35" s="998" customFormat="1" hidden="1" outlineLevel="1">
      <c r="A1031" s="1058" t="s">
        <v>1129</v>
      </c>
      <c r="B1031" s="1058"/>
      <c r="C1031" s="1058" t="s">
        <v>1129</v>
      </c>
      <c r="D1031" s="1121" t="s">
        <v>999</v>
      </c>
      <c r="E1031" s="1243">
        <v>1</v>
      </c>
      <c r="F1031" s="999"/>
      <c r="G1031" s="1000"/>
      <c r="H1031" s="1000"/>
      <c r="I1031" s="1086"/>
      <c r="J1031" s="1086"/>
      <c r="K1031" s="1079"/>
      <c r="L1031" s="1078"/>
      <c r="M1031" s="1079" t="s">
        <v>455</v>
      </c>
      <c r="N1031" s="1079"/>
      <c r="O1031" s="1079"/>
      <c r="P1031" s="1079"/>
      <c r="Q1031" s="2146"/>
      <c r="R1031" s="2146"/>
      <c r="S1031" s="2146"/>
      <c r="T1031" s="2146"/>
      <c r="U1031" s="2146"/>
      <c r="V1031" s="2146"/>
      <c r="W1031" s="2146"/>
      <c r="X1031" s="2146"/>
      <c r="Y1031" s="2146"/>
      <c r="Z1031" s="2146"/>
      <c r="AA1031" s="2150"/>
      <c r="AB1031" s="2150"/>
      <c r="AC1031" s="2732">
        <f>S1031</f>
        <v>0</v>
      </c>
      <c r="AD1031" s="2732">
        <f>V1031</f>
        <v>0</v>
      </c>
      <c r="AE1031" s="2732">
        <f>Y1031</f>
        <v>0</v>
      </c>
      <c r="AF1031" s="2732">
        <f>AB1031</f>
        <v>0</v>
      </c>
      <c r="AG1031" s="2732">
        <f>AD1031</f>
        <v>0</v>
      </c>
      <c r="AH1031" s="2732">
        <f>AF1031</f>
        <v>0</v>
      </c>
      <c r="AI1031" s="2732">
        <f>AH1031</f>
        <v>0</v>
      </c>
    </row>
    <row r="1032" spans="1:35" s="998" customFormat="1" hidden="1" outlineLevel="1">
      <c r="A1032" s="1058" t="s">
        <v>1129</v>
      </c>
      <c r="B1032" s="1058"/>
      <c r="C1032" s="1058" t="s">
        <v>1129</v>
      </c>
      <c r="D1032" s="1121" t="s">
        <v>999</v>
      </c>
      <c r="E1032" s="1243">
        <v>1</v>
      </c>
      <c r="F1032" s="999"/>
      <c r="G1032" s="1000"/>
      <c r="H1032" s="1000"/>
      <c r="I1032" s="1088"/>
      <c r="J1032" s="1089"/>
      <c r="K1032" s="1090"/>
      <c r="L1032" s="1091"/>
      <c r="M1032" s="1090" t="s">
        <v>1133</v>
      </c>
      <c r="N1032" s="1090"/>
      <c r="O1032" s="1090"/>
      <c r="P1032" s="1090"/>
      <c r="Q1032" s="2148"/>
      <c r="R1032" s="2148"/>
      <c r="S1032" s="2148"/>
      <c r="T1032" s="2148"/>
      <c r="U1032" s="2148"/>
      <c r="V1032" s="2148"/>
      <c r="W1032" s="2148"/>
      <c r="X1032" s="2148"/>
      <c r="Y1032" s="2148"/>
      <c r="Z1032" s="2148"/>
      <c r="AA1032" s="2151"/>
      <c r="AB1032" s="2151"/>
      <c r="AC1032" s="1092">
        <f>S1032</f>
        <v>0</v>
      </c>
      <c r="AD1032" s="1092">
        <f>V1032</f>
        <v>0</v>
      </c>
      <c r="AE1032" s="1092">
        <f>Y1032</f>
        <v>0</v>
      </c>
      <c r="AF1032" s="1092">
        <f>AB1032</f>
        <v>0</v>
      </c>
      <c r="AG1032" s="1092">
        <f>AD1032</f>
        <v>0</v>
      </c>
      <c r="AH1032" s="1092">
        <f>AF1032</f>
        <v>0</v>
      </c>
      <c r="AI1032" s="1092">
        <f>AH1032</f>
        <v>0</v>
      </c>
    </row>
    <row r="1033" spans="1:35" s="998" customFormat="1" hidden="1" outlineLevel="1">
      <c r="A1033" s="1058" t="s">
        <v>1129</v>
      </c>
      <c r="B1033" s="1058"/>
      <c r="C1033" s="1058" t="s">
        <v>1129</v>
      </c>
      <c r="D1033" s="1121" t="s">
        <v>999</v>
      </c>
      <c r="E1033" s="1243">
        <v>1</v>
      </c>
      <c r="F1033" s="999"/>
      <c r="G1033" s="1000"/>
      <c r="H1033" s="1000"/>
      <c r="I1033" s="999"/>
      <c r="K1033" s="999"/>
      <c r="L1033" s="999"/>
      <c r="Q1033" s="2141"/>
      <c r="R1033" s="2141"/>
      <c r="S1033" s="2141"/>
      <c r="T1033" s="2141"/>
      <c r="U1033" s="2141"/>
      <c r="V1033" s="2141"/>
      <c r="W1033" s="2141"/>
      <c r="X1033" s="2141"/>
      <c r="Y1033" s="2141"/>
      <c r="Z1033" s="2141"/>
    </row>
    <row r="1034" spans="1:35" s="998" customFormat="1" ht="15.5" hidden="1" outlineLevel="1">
      <c r="A1034" s="1058" t="s">
        <v>1129</v>
      </c>
      <c r="B1034" s="1058"/>
      <c r="C1034" s="1058" t="s">
        <v>1129</v>
      </c>
      <c r="D1034" s="1121" t="s">
        <v>999</v>
      </c>
      <c r="E1034" s="1243">
        <v>1</v>
      </c>
      <c r="F1034" s="999"/>
      <c r="G1034" s="1077" t="s">
        <v>939</v>
      </c>
      <c r="H1034" s="1000"/>
      <c r="I1034" s="999"/>
      <c r="K1034" s="999"/>
      <c r="L1034" s="999"/>
      <c r="M1034" s="999"/>
      <c r="Q1034" s="2141"/>
      <c r="R1034" s="2141"/>
      <c r="S1034" s="2141"/>
      <c r="T1034" s="2141"/>
      <c r="U1034" s="2141"/>
      <c r="V1034" s="2141"/>
      <c r="W1034" s="2141"/>
      <c r="X1034" s="2141"/>
      <c r="Y1034" s="2141"/>
      <c r="Z1034" s="2183"/>
      <c r="AA1034" s="1002"/>
      <c r="AB1034" s="1002"/>
    </row>
    <row r="1035" spans="1:35" s="998" customFormat="1" hidden="1" outlineLevel="1">
      <c r="A1035" s="1058" t="s">
        <v>1129</v>
      </c>
      <c r="B1035" s="1058"/>
      <c r="C1035" s="1058" t="s">
        <v>1129</v>
      </c>
      <c r="D1035" s="1121" t="s">
        <v>999</v>
      </c>
      <c r="E1035" s="1243">
        <v>1</v>
      </c>
      <c r="F1035" s="999"/>
      <c r="G1035" s="1000"/>
      <c r="H1035" s="1000"/>
      <c r="I1035" s="1095" t="s">
        <v>54</v>
      </c>
      <c r="J1035" s="1096"/>
      <c r="K1035" s="1096"/>
      <c r="L1035" s="1096"/>
      <c r="M1035" s="983" t="s">
        <v>822</v>
      </c>
      <c r="N1035" s="984"/>
      <c r="O1035" s="984"/>
      <c r="P1035" s="983" t="s">
        <v>823</v>
      </c>
      <c r="Q1035" s="2184">
        <f>Q$10</f>
        <v>43922</v>
      </c>
      <c r="R1035" s="2184">
        <f t="shared" ref="R1035:AI1035" si="578">R$10</f>
        <v>43952</v>
      </c>
      <c r="S1035" s="2184">
        <f t="shared" si="578"/>
        <v>43983</v>
      </c>
      <c r="T1035" s="2184">
        <f t="shared" si="578"/>
        <v>44013</v>
      </c>
      <c r="U1035" s="2184">
        <f t="shared" si="578"/>
        <v>44044</v>
      </c>
      <c r="V1035" s="2184">
        <f t="shared" si="578"/>
        <v>44075</v>
      </c>
      <c r="W1035" s="2184">
        <f t="shared" si="578"/>
        <v>44105</v>
      </c>
      <c r="X1035" s="2184">
        <f t="shared" si="578"/>
        <v>44136</v>
      </c>
      <c r="Y1035" s="2184">
        <f t="shared" si="578"/>
        <v>44166</v>
      </c>
      <c r="Z1035" s="2184">
        <f t="shared" si="578"/>
        <v>44197</v>
      </c>
      <c r="AA1035" s="2184">
        <f t="shared" si="578"/>
        <v>44228</v>
      </c>
      <c r="AB1035" s="2184">
        <f t="shared" si="578"/>
        <v>44256</v>
      </c>
      <c r="AC1035" s="2184" t="str">
        <f t="shared" si="578"/>
        <v>Q1</v>
      </c>
      <c r="AD1035" s="2184" t="str">
        <f t="shared" si="578"/>
        <v>Q2</v>
      </c>
      <c r="AE1035" s="2184" t="str">
        <f t="shared" si="578"/>
        <v>Q3</v>
      </c>
      <c r="AF1035" s="2184" t="str">
        <f t="shared" si="578"/>
        <v>Q4</v>
      </c>
      <c r="AG1035" s="2184" t="str">
        <f t="shared" si="578"/>
        <v>1st H</v>
      </c>
      <c r="AH1035" s="2184" t="str">
        <f t="shared" si="578"/>
        <v>2nd H</v>
      </c>
      <c r="AI1035" s="2184" t="str">
        <f t="shared" si="578"/>
        <v>Yr.</v>
      </c>
    </row>
    <row r="1036" spans="1:35" s="998" customFormat="1" hidden="1" outlineLevel="1">
      <c r="A1036" s="1058" t="s">
        <v>1129</v>
      </c>
      <c r="B1036" s="1058"/>
      <c r="C1036" s="1058" t="s">
        <v>1129</v>
      </c>
      <c r="D1036" s="1121" t="s">
        <v>999</v>
      </c>
      <c r="E1036" s="1243">
        <v>1</v>
      </c>
      <c r="F1036" s="999"/>
      <c r="G1036" s="1000"/>
      <c r="H1036" s="1000"/>
      <c r="I1036" s="1098"/>
      <c r="J1036" s="1067" t="s">
        <v>55</v>
      </c>
      <c r="K1036" s="1068"/>
      <c r="L1036" s="1068"/>
      <c r="M1036" s="1068" t="s">
        <v>824</v>
      </c>
      <c r="N1036" s="1068"/>
      <c r="O1036" s="1068"/>
      <c r="P1036" s="1068" t="s">
        <v>55</v>
      </c>
      <c r="Q1036" s="2152"/>
      <c r="R1036" s="2152"/>
      <c r="S1036" s="2152"/>
      <c r="T1036" s="2152"/>
      <c r="U1036" s="2152"/>
      <c r="V1036" s="2152"/>
      <c r="W1036" s="2152"/>
      <c r="X1036" s="2152"/>
      <c r="Y1036" s="2152"/>
      <c r="Z1036" s="2152"/>
      <c r="AA1036" s="2152"/>
      <c r="AB1036" s="2152"/>
      <c r="AC1036" s="2737">
        <f>SUM(Q1036:S1036)</f>
        <v>0</v>
      </c>
      <c r="AD1036" s="2737">
        <f t="shared" ref="AD1036:AD1057" si="579">SUM(T1036:V1036)</f>
        <v>0</v>
      </c>
      <c r="AE1036" s="2737">
        <f t="shared" ref="AE1036:AE1057" si="580">SUM(W1036:Y1036)</f>
        <v>0</v>
      </c>
      <c r="AF1036" s="2737">
        <f t="shared" ref="AF1036:AF1057" si="581">SUM(Z1036:AB1036)</f>
        <v>0</v>
      </c>
      <c r="AG1036" s="2737">
        <f t="shared" ref="AG1036:AG1056" si="582">AC1036+AD1036</f>
        <v>0</v>
      </c>
      <c r="AH1036" s="2737">
        <f t="shared" ref="AH1036:AH1056" si="583">AF1036+AE1036</f>
        <v>0</v>
      </c>
      <c r="AI1036" s="2737">
        <f t="shared" ref="AI1036:AI1057" si="584">AG1036+AH1036</f>
        <v>0</v>
      </c>
    </row>
    <row r="1037" spans="1:35" s="998" customFormat="1" hidden="1" outlineLevel="1">
      <c r="A1037" s="1058" t="s">
        <v>1129</v>
      </c>
      <c r="B1037" s="1058"/>
      <c r="C1037" s="1058" t="s">
        <v>1129</v>
      </c>
      <c r="D1037" s="1121" t="s">
        <v>999</v>
      </c>
      <c r="E1037" s="1243">
        <v>1</v>
      </c>
      <c r="F1037" s="999"/>
      <c r="G1037" s="1000"/>
      <c r="H1037" s="999"/>
      <c r="I1037" s="1100"/>
      <c r="J1037" s="1101"/>
      <c r="K1037" s="1101"/>
      <c r="L1037" s="1101"/>
      <c r="M1037" s="1101" t="s">
        <v>825</v>
      </c>
      <c r="N1037" s="1101"/>
      <c r="O1037" s="1101"/>
      <c r="P1037" s="1102" t="s">
        <v>826</v>
      </c>
      <c r="Q1037" s="2153"/>
      <c r="R1037" s="2153"/>
      <c r="S1037" s="2153"/>
      <c r="T1037" s="2153"/>
      <c r="U1037" s="2153"/>
      <c r="V1037" s="2153"/>
      <c r="W1037" s="2153"/>
      <c r="X1037" s="2153"/>
      <c r="Y1037" s="2153"/>
      <c r="Z1037" s="2153"/>
      <c r="AA1037" s="2153"/>
      <c r="AB1037" s="2153"/>
      <c r="AC1037" s="1103">
        <f>SUM(Q1037:S1037)</f>
        <v>0</v>
      </c>
      <c r="AD1037" s="1103">
        <f t="shared" si="579"/>
        <v>0</v>
      </c>
      <c r="AE1037" s="1103">
        <f t="shared" si="580"/>
        <v>0</v>
      </c>
      <c r="AF1037" s="1103">
        <f t="shared" si="581"/>
        <v>0</v>
      </c>
      <c r="AG1037" s="1103">
        <f t="shared" si="582"/>
        <v>0</v>
      </c>
      <c r="AH1037" s="1103">
        <f t="shared" si="583"/>
        <v>0</v>
      </c>
      <c r="AI1037" s="1103">
        <f t="shared" si="584"/>
        <v>0</v>
      </c>
    </row>
    <row r="1038" spans="1:35" s="998" customFormat="1" hidden="1" outlineLevel="1">
      <c r="A1038" s="1058" t="s">
        <v>1129</v>
      </c>
      <c r="B1038" s="1058"/>
      <c r="C1038" s="1058" t="s">
        <v>1129</v>
      </c>
      <c r="D1038" s="1121" t="s">
        <v>999</v>
      </c>
      <c r="E1038" s="1243">
        <v>1</v>
      </c>
      <c r="F1038" s="999"/>
      <c r="G1038" s="1000"/>
      <c r="H1038" s="999"/>
      <c r="I1038" s="1098"/>
      <c r="J1038" s="1104" t="s">
        <v>1040</v>
      </c>
      <c r="K1038" s="1105"/>
      <c r="L1038" s="1105"/>
      <c r="M1038" s="1106" t="s">
        <v>1134</v>
      </c>
      <c r="N1038" s="1105"/>
      <c r="O1038" s="1105"/>
      <c r="P1038" s="1105" t="s">
        <v>828</v>
      </c>
      <c r="Q1038" s="2154"/>
      <c r="R1038" s="2154"/>
      <c r="S1038" s="2154"/>
      <c r="T1038" s="2154"/>
      <c r="U1038" s="2154"/>
      <c r="V1038" s="2154"/>
      <c r="W1038" s="2154"/>
      <c r="X1038" s="2154"/>
      <c r="Y1038" s="2154"/>
      <c r="Z1038" s="2154"/>
      <c r="AA1038" s="2154"/>
      <c r="AB1038" s="2154"/>
      <c r="AC1038" s="1107">
        <f>SUM(Q1038:T1038)</f>
        <v>0</v>
      </c>
      <c r="AD1038" s="1107">
        <f t="shared" si="579"/>
        <v>0</v>
      </c>
      <c r="AE1038" s="1107">
        <f t="shared" si="580"/>
        <v>0</v>
      </c>
      <c r="AF1038" s="1107">
        <f t="shared" si="581"/>
        <v>0</v>
      </c>
      <c r="AG1038" s="1107">
        <f t="shared" si="582"/>
        <v>0</v>
      </c>
      <c r="AH1038" s="1107">
        <f t="shared" si="583"/>
        <v>0</v>
      </c>
      <c r="AI1038" s="1107">
        <f t="shared" si="584"/>
        <v>0</v>
      </c>
    </row>
    <row r="1039" spans="1:35" s="998" customFormat="1" hidden="1" outlineLevel="1">
      <c r="A1039" s="1058" t="s">
        <v>1129</v>
      </c>
      <c r="B1039" s="1058"/>
      <c r="C1039" s="1058" t="s">
        <v>1129</v>
      </c>
      <c r="D1039" s="1121" t="s">
        <v>999</v>
      </c>
      <c r="E1039" s="1243">
        <v>1</v>
      </c>
      <c r="F1039" s="999"/>
      <c r="G1039" s="1000"/>
      <c r="H1039" s="999"/>
      <c r="I1039" s="1100"/>
      <c r="J1039" s="1101"/>
      <c r="K1039" s="1101"/>
      <c r="L1039" s="1101"/>
      <c r="M1039" s="1101" t="s">
        <v>829</v>
      </c>
      <c r="N1039" s="1101"/>
      <c r="O1039" s="1101"/>
      <c r="P1039" s="1101" t="s">
        <v>830</v>
      </c>
      <c r="Q1039" s="2153"/>
      <c r="R1039" s="2153"/>
      <c r="S1039" s="2153"/>
      <c r="T1039" s="2153"/>
      <c r="U1039" s="2155"/>
      <c r="V1039" s="2153"/>
      <c r="W1039" s="2153"/>
      <c r="X1039" s="2153"/>
      <c r="Y1039" s="2153"/>
      <c r="Z1039" s="2153"/>
      <c r="AA1039" s="2153"/>
      <c r="AB1039" s="2153"/>
      <c r="AC1039" s="1103">
        <f t="shared" ref="AC1039:AC1057" si="585">SUM(Q1039:S1039)</f>
        <v>0</v>
      </c>
      <c r="AD1039" s="1103">
        <f t="shared" si="579"/>
        <v>0</v>
      </c>
      <c r="AE1039" s="1103">
        <f t="shared" si="580"/>
        <v>0</v>
      </c>
      <c r="AF1039" s="1103">
        <f t="shared" si="581"/>
        <v>0</v>
      </c>
      <c r="AG1039" s="1103">
        <f t="shared" si="582"/>
        <v>0</v>
      </c>
      <c r="AH1039" s="1103">
        <f t="shared" si="583"/>
        <v>0</v>
      </c>
      <c r="AI1039" s="1103">
        <f t="shared" si="584"/>
        <v>0</v>
      </c>
    </row>
    <row r="1040" spans="1:35" s="998" customFormat="1" hidden="1" outlineLevel="1">
      <c r="A1040" s="1058" t="s">
        <v>1129</v>
      </c>
      <c r="B1040" s="1058"/>
      <c r="C1040" s="1058" t="s">
        <v>1129</v>
      </c>
      <c r="D1040" s="1121" t="s">
        <v>999</v>
      </c>
      <c r="E1040" s="1243">
        <v>1</v>
      </c>
      <c r="F1040" s="999"/>
      <c r="G1040" s="1000"/>
      <c r="H1040" s="999"/>
      <c r="I1040" s="1098"/>
      <c r="J1040" s="1104" t="s">
        <v>1041</v>
      </c>
      <c r="K1040" s="1105"/>
      <c r="L1040" s="1105"/>
      <c r="M1040" s="1105" t="s">
        <v>831</v>
      </c>
      <c r="N1040" s="1105"/>
      <c r="O1040" s="1105"/>
      <c r="P1040" s="1108" t="s">
        <v>832</v>
      </c>
      <c r="Q1040" s="2154"/>
      <c r="R1040" s="2154"/>
      <c r="S1040" s="2154"/>
      <c r="T1040" s="2154"/>
      <c r="U1040" s="2154"/>
      <c r="V1040" s="2154"/>
      <c r="W1040" s="2154"/>
      <c r="X1040" s="2154"/>
      <c r="Y1040" s="2154"/>
      <c r="Z1040" s="2154"/>
      <c r="AA1040" s="2154"/>
      <c r="AB1040" s="2154"/>
      <c r="AC1040" s="1107">
        <f t="shared" si="585"/>
        <v>0</v>
      </c>
      <c r="AD1040" s="1107">
        <f t="shared" si="579"/>
        <v>0</v>
      </c>
      <c r="AE1040" s="1107">
        <f t="shared" si="580"/>
        <v>0</v>
      </c>
      <c r="AF1040" s="1107">
        <f t="shared" si="581"/>
        <v>0</v>
      </c>
      <c r="AG1040" s="1107">
        <f t="shared" si="582"/>
        <v>0</v>
      </c>
      <c r="AH1040" s="1107">
        <f t="shared" si="583"/>
        <v>0</v>
      </c>
      <c r="AI1040" s="1107">
        <f t="shared" si="584"/>
        <v>0</v>
      </c>
    </row>
    <row r="1041" spans="1:35" s="998" customFormat="1" hidden="1" outlineLevel="1">
      <c r="A1041" s="1058" t="s">
        <v>1129</v>
      </c>
      <c r="B1041" s="1058"/>
      <c r="C1041" s="1058" t="s">
        <v>1129</v>
      </c>
      <c r="D1041" s="1121" t="s">
        <v>999</v>
      </c>
      <c r="E1041" s="1243">
        <v>1</v>
      </c>
      <c r="F1041" s="999"/>
      <c r="G1041" s="1000"/>
      <c r="H1041" s="999"/>
      <c r="I1041" s="1098"/>
      <c r="M1041" s="998" t="s">
        <v>833</v>
      </c>
      <c r="P1041" s="1109" t="s">
        <v>834</v>
      </c>
      <c r="Q1041" s="2156"/>
      <c r="R1041" s="2156"/>
      <c r="S1041" s="2156"/>
      <c r="T1041" s="2156"/>
      <c r="U1041" s="2156"/>
      <c r="V1041" s="2156"/>
      <c r="W1041" s="2156"/>
      <c r="X1041" s="2156"/>
      <c r="Y1041" s="2156"/>
      <c r="Z1041" s="2156"/>
      <c r="AA1041" s="2156"/>
      <c r="AB1041" s="2156"/>
      <c r="AC1041" s="1023">
        <f t="shared" si="585"/>
        <v>0</v>
      </c>
      <c r="AD1041" s="1023">
        <f t="shared" si="579"/>
        <v>0</v>
      </c>
      <c r="AE1041" s="1023">
        <f t="shared" si="580"/>
        <v>0</v>
      </c>
      <c r="AF1041" s="1023">
        <f t="shared" si="581"/>
        <v>0</v>
      </c>
      <c r="AG1041" s="1023">
        <f t="shared" si="582"/>
        <v>0</v>
      </c>
      <c r="AH1041" s="1023">
        <f t="shared" si="583"/>
        <v>0</v>
      </c>
      <c r="AI1041" s="1023">
        <f t="shared" si="584"/>
        <v>0</v>
      </c>
    </row>
    <row r="1042" spans="1:35" s="998" customFormat="1" hidden="1" outlineLevel="1">
      <c r="A1042" s="1058" t="s">
        <v>1129</v>
      </c>
      <c r="B1042" s="1058"/>
      <c r="C1042" s="1058" t="s">
        <v>1129</v>
      </c>
      <c r="D1042" s="1121" t="s">
        <v>999</v>
      </c>
      <c r="E1042" s="1243">
        <v>1</v>
      </c>
      <c r="F1042" s="999"/>
      <c r="G1042" s="1000"/>
      <c r="H1042" s="999"/>
      <c r="I1042" s="1100"/>
      <c r="M1042" s="998" t="s">
        <v>835</v>
      </c>
      <c r="P1042" s="1109" t="s">
        <v>836</v>
      </c>
      <c r="Q1042" s="2156"/>
      <c r="R1042" s="2156"/>
      <c r="S1042" s="2156"/>
      <c r="T1042" s="2156"/>
      <c r="U1042" s="2156"/>
      <c r="V1042" s="2156"/>
      <c r="W1042" s="2156"/>
      <c r="X1042" s="2156"/>
      <c r="Y1042" s="2156"/>
      <c r="Z1042" s="2156"/>
      <c r="AA1042" s="2156"/>
      <c r="AB1042" s="2156"/>
      <c r="AC1042" s="1023">
        <f t="shared" si="585"/>
        <v>0</v>
      </c>
      <c r="AD1042" s="1023">
        <f t="shared" si="579"/>
        <v>0</v>
      </c>
      <c r="AE1042" s="1023">
        <f t="shared" si="580"/>
        <v>0</v>
      </c>
      <c r="AF1042" s="1023">
        <f t="shared" si="581"/>
        <v>0</v>
      </c>
      <c r="AG1042" s="1023">
        <f t="shared" si="582"/>
        <v>0</v>
      </c>
      <c r="AH1042" s="1023">
        <f t="shared" si="583"/>
        <v>0</v>
      </c>
      <c r="AI1042" s="1023">
        <f t="shared" si="584"/>
        <v>0</v>
      </c>
    </row>
    <row r="1043" spans="1:35" s="998" customFormat="1" hidden="1" outlineLevel="1">
      <c r="A1043" s="1058" t="s">
        <v>1129</v>
      </c>
      <c r="B1043" s="1058"/>
      <c r="C1043" s="1058" t="s">
        <v>1129</v>
      </c>
      <c r="D1043" s="1121" t="s">
        <v>999</v>
      </c>
      <c r="E1043" s="1243">
        <v>1</v>
      </c>
      <c r="F1043" s="999"/>
      <c r="G1043" s="1000"/>
      <c r="H1043" s="999"/>
      <c r="I1043" s="1100"/>
      <c r="M1043" s="998" t="s">
        <v>837</v>
      </c>
      <c r="P1043" s="1109" t="s">
        <v>838</v>
      </c>
      <c r="Q1043" s="2156"/>
      <c r="R1043" s="2156"/>
      <c r="S1043" s="2156"/>
      <c r="T1043" s="2156"/>
      <c r="U1043" s="2156"/>
      <c r="V1043" s="2156"/>
      <c r="W1043" s="2156"/>
      <c r="X1043" s="2156"/>
      <c r="Y1043" s="2156"/>
      <c r="Z1043" s="2156"/>
      <c r="AA1043" s="2156"/>
      <c r="AB1043" s="2156"/>
      <c r="AC1043" s="1023">
        <f t="shared" si="585"/>
        <v>0</v>
      </c>
      <c r="AD1043" s="1023">
        <f t="shared" si="579"/>
        <v>0</v>
      </c>
      <c r="AE1043" s="1023">
        <f t="shared" si="580"/>
        <v>0</v>
      </c>
      <c r="AF1043" s="1023">
        <f t="shared" si="581"/>
        <v>0</v>
      </c>
      <c r="AG1043" s="1023">
        <f t="shared" si="582"/>
        <v>0</v>
      </c>
      <c r="AH1043" s="1023">
        <f t="shared" si="583"/>
        <v>0</v>
      </c>
      <c r="AI1043" s="1023">
        <f t="shared" si="584"/>
        <v>0</v>
      </c>
    </row>
    <row r="1044" spans="1:35" s="998" customFormat="1" hidden="1" outlineLevel="1">
      <c r="A1044" s="1058" t="s">
        <v>1129</v>
      </c>
      <c r="B1044" s="1058"/>
      <c r="C1044" s="1058" t="s">
        <v>1129</v>
      </c>
      <c r="D1044" s="1121" t="s">
        <v>999</v>
      </c>
      <c r="E1044" s="1243">
        <v>1</v>
      </c>
      <c r="F1044" s="999"/>
      <c r="G1044" s="1000"/>
      <c r="H1044" s="999"/>
      <c r="I1044" s="1100"/>
      <c r="M1044" s="998" t="s">
        <v>839</v>
      </c>
      <c r="P1044" s="1109" t="s">
        <v>840</v>
      </c>
      <c r="Q1044" s="2156"/>
      <c r="R1044" s="2156"/>
      <c r="S1044" s="2156"/>
      <c r="T1044" s="2156"/>
      <c r="U1044" s="2156"/>
      <c r="V1044" s="2156"/>
      <c r="W1044" s="2156"/>
      <c r="X1044" s="2156"/>
      <c r="Y1044" s="2156"/>
      <c r="Z1044" s="2156"/>
      <c r="AA1044" s="2156"/>
      <c r="AB1044" s="2156"/>
      <c r="AC1044" s="1023">
        <f t="shared" si="585"/>
        <v>0</v>
      </c>
      <c r="AD1044" s="1023">
        <f t="shared" si="579"/>
        <v>0</v>
      </c>
      <c r="AE1044" s="1023">
        <f t="shared" si="580"/>
        <v>0</v>
      </c>
      <c r="AF1044" s="1023">
        <f t="shared" si="581"/>
        <v>0</v>
      </c>
      <c r="AG1044" s="1023">
        <f t="shared" si="582"/>
        <v>0</v>
      </c>
      <c r="AH1044" s="1023">
        <f t="shared" si="583"/>
        <v>0</v>
      </c>
      <c r="AI1044" s="1023">
        <f t="shared" si="584"/>
        <v>0</v>
      </c>
    </row>
    <row r="1045" spans="1:35" s="998" customFormat="1" hidden="1" outlineLevel="1">
      <c r="A1045" s="1058" t="s">
        <v>1129</v>
      </c>
      <c r="B1045" s="1058"/>
      <c r="C1045" s="1058" t="s">
        <v>1129</v>
      </c>
      <c r="D1045" s="1121" t="s">
        <v>999</v>
      </c>
      <c r="E1045" s="1243">
        <v>1</v>
      </c>
      <c r="F1045" s="999"/>
      <c r="G1045" s="1000"/>
      <c r="H1045" s="999"/>
      <c r="I1045" s="1100"/>
      <c r="M1045" s="998" t="s">
        <v>841</v>
      </c>
      <c r="P1045" s="1109" t="s">
        <v>842</v>
      </c>
      <c r="Q1045" s="2156"/>
      <c r="R1045" s="2156"/>
      <c r="S1045" s="2156"/>
      <c r="T1045" s="2156"/>
      <c r="U1045" s="2156"/>
      <c r="V1045" s="2156"/>
      <c r="W1045" s="2156"/>
      <c r="X1045" s="2156"/>
      <c r="Y1045" s="2156"/>
      <c r="Z1045" s="2156"/>
      <c r="AA1045" s="2156"/>
      <c r="AB1045" s="2156"/>
      <c r="AC1045" s="1023">
        <f t="shared" si="585"/>
        <v>0</v>
      </c>
      <c r="AD1045" s="1023">
        <f t="shared" si="579"/>
        <v>0</v>
      </c>
      <c r="AE1045" s="1023">
        <f t="shared" si="580"/>
        <v>0</v>
      </c>
      <c r="AF1045" s="1023">
        <f t="shared" si="581"/>
        <v>0</v>
      </c>
      <c r="AG1045" s="1023">
        <f t="shared" si="582"/>
        <v>0</v>
      </c>
      <c r="AH1045" s="1023">
        <f t="shared" si="583"/>
        <v>0</v>
      </c>
      <c r="AI1045" s="1023">
        <f t="shared" si="584"/>
        <v>0</v>
      </c>
    </row>
    <row r="1046" spans="1:35" s="998" customFormat="1" hidden="1" outlineLevel="1">
      <c r="A1046" s="1058" t="s">
        <v>1129</v>
      </c>
      <c r="B1046" s="1058"/>
      <c r="C1046" s="1058" t="s">
        <v>1129</v>
      </c>
      <c r="D1046" s="1121" t="s">
        <v>999</v>
      </c>
      <c r="E1046" s="1243">
        <v>1</v>
      </c>
      <c r="F1046" s="999"/>
      <c r="G1046" s="1000"/>
      <c r="H1046" s="999"/>
      <c r="I1046" s="1098"/>
      <c r="M1046" s="998" t="s">
        <v>843</v>
      </c>
      <c r="P1046" s="1109" t="s">
        <v>844</v>
      </c>
      <c r="Q1046" s="2156"/>
      <c r="R1046" s="2156"/>
      <c r="S1046" s="2156"/>
      <c r="T1046" s="2156"/>
      <c r="U1046" s="2156"/>
      <c r="V1046" s="2156"/>
      <c r="W1046" s="2156"/>
      <c r="X1046" s="2156"/>
      <c r="Y1046" s="2156"/>
      <c r="Z1046" s="2156"/>
      <c r="AA1046" s="2156"/>
      <c r="AB1046" s="2156"/>
      <c r="AC1046" s="1023">
        <f t="shared" si="585"/>
        <v>0</v>
      </c>
      <c r="AD1046" s="1023">
        <f t="shared" si="579"/>
        <v>0</v>
      </c>
      <c r="AE1046" s="1023">
        <f t="shared" si="580"/>
        <v>0</v>
      </c>
      <c r="AF1046" s="1023">
        <f t="shared" si="581"/>
        <v>0</v>
      </c>
      <c r="AG1046" s="1023">
        <f t="shared" si="582"/>
        <v>0</v>
      </c>
      <c r="AH1046" s="1023">
        <f t="shared" si="583"/>
        <v>0</v>
      </c>
      <c r="AI1046" s="1023">
        <f t="shared" si="584"/>
        <v>0</v>
      </c>
    </row>
    <row r="1047" spans="1:35" s="998" customFormat="1" hidden="1" outlineLevel="1">
      <c r="A1047" s="1058" t="s">
        <v>1129</v>
      </c>
      <c r="B1047" s="1058"/>
      <c r="C1047" s="1058" t="s">
        <v>1129</v>
      </c>
      <c r="D1047" s="1121" t="s">
        <v>999</v>
      </c>
      <c r="E1047" s="1243">
        <v>1</v>
      </c>
      <c r="F1047" s="999"/>
      <c r="G1047" s="1000"/>
      <c r="H1047" s="999"/>
      <c r="I1047" s="1098"/>
      <c r="M1047" s="998" t="s">
        <v>845</v>
      </c>
      <c r="P1047" s="1109" t="s">
        <v>846</v>
      </c>
      <c r="Q1047" s="2156"/>
      <c r="R1047" s="2156"/>
      <c r="S1047" s="2156"/>
      <c r="T1047" s="2156"/>
      <c r="U1047" s="2156"/>
      <c r="V1047" s="2156"/>
      <c r="W1047" s="2156"/>
      <c r="X1047" s="2156"/>
      <c r="Y1047" s="2156"/>
      <c r="Z1047" s="2156"/>
      <c r="AA1047" s="2156"/>
      <c r="AB1047" s="2156"/>
      <c r="AC1047" s="1023">
        <f t="shared" si="585"/>
        <v>0</v>
      </c>
      <c r="AD1047" s="1023">
        <f t="shared" si="579"/>
        <v>0</v>
      </c>
      <c r="AE1047" s="1023">
        <f t="shared" si="580"/>
        <v>0</v>
      </c>
      <c r="AF1047" s="1023">
        <f t="shared" si="581"/>
        <v>0</v>
      </c>
      <c r="AG1047" s="1023">
        <f t="shared" si="582"/>
        <v>0</v>
      </c>
      <c r="AH1047" s="1023">
        <f t="shared" si="583"/>
        <v>0</v>
      </c>
      <c r="AI1047" s="1023">
        <f t="shared" si="584"/>
        <v>0</v>
      </c>
    </row>
    <row r="1048" spans="1:35" s="998" customFormat="1" hidden="1" outlineLevel="1">
      <c r="A1048" s="1058" t="s">
        <v>1129</v>
      </c>
      <c r="B1048" s="1058"/>
      <c r="C1048" s="1058" t="s">
        <v>1129</v>
      </c>
      <c r="D1048" s="1121" t="s">
        <v>999</v>
      </c>
      <c r="E1048" s="1243">
        <v>1</v>
      </c>
      <c r="F1048" s="999"/>
      <c r="G1048" s="1000"/>
      <c r="H1048" s="999"/>
      <c r="I1048" s="1098"/>
      <c r="J1048" s="1104" t="s">
        <v>1042</v>
      </c>
      <c r="K1048" s="1105"/>
      <c r="L1048" s="1105"/>
      <c r="M1048" s="1105" t="s">
        <v>847</v>
      </c>
      <c r="N1048" s="1105"/>
      <c r="O1048" s="1105"/>
      <c r="P1048" s="1105" t="s">
        <v>847</v>
      </c>
      <c r="Q1048" s="2154"/>
      <c r="R1048" s="2154"/>
      <c r="S1048" s="2154"/>
      <c r="T1048" s="2154"/>
      <c r="U1048" s="2154"/>
      <c r="V1048" s="2154"/>
      <c r="W1048" s="2154"/>
      <c r="X1048" s="2154"/>
      <c r="Y1048" s="2154"/>
      <c r="Z1048" s="2154"/>
      <c r="AA1048" s="2154"/>
      <c r="AB1048" s="2154"/>
      <c r="AC1048" s="1107">
        <f t="shared" si="585"/>
        <v>0</v>
      </c>
      <c r="AD1048" s="1107">
        <f t="shared" si="579"/>
        <v>0</v>
      </c>
      <c r="AE1048" s="1107">
        <f t="shared" si="580"/>
        <v>0</v>
      </c>
      <c r="AF1048" s="1107">
        <f t="shared" si="581"/>
        <v>0</v>
      </c>
      <c r="AG1048" s="1107">
        <f t="shared" si="582"/>
        <v>0</v>
      </c>
      <c r="AH1048" s="1107">
        <f t="shared" si="583"/>
        <v>0</v>
      </c>
      <c r="AI1048" s="1107">
        <f t="shared" si="584"/>
        <v>0</v>
      </c>
    </row>
    <row r="1049" spans="1:35" s="998" customFormat="1" hidden="1" outlineLevel="1">
      <c r="A1049" s="1058" t="s">
        <v>1129</v>
      </c>
      <c r="B1049" s="1058"/>
      <c r="C1049" s="1058" t="s">
        <v>1129</v>
      </c>
      <c r="D1049" s="1121" t="s">
        <v>999</v>
      </c>
      <c r="E1049" s="1243">
        <v>1</v>
      </c>
      <c r="F1049" s="999"/>
      <c r="G1049" s="1000"/>
      <c r="H1049" s="999"/>
      <c r="I1049" s="1100"/>
      <c r="M1049" s="998" t="s">
        <v>848</v>
      </c>
      <c r="P1049" s="1109" t="s">
        <v>849</v>
      </c>
      <c r="Q1049" s="2156"/>
      <c r="R1049" s="2156"/>
      <c r="S1049" s="2156"/>
      <c r="T1049" s="2156"/>
      <c r="U1049" s="2156"/>
      <c r="V1049" s="2156"/>
      <c r="W1049" s="2156"/>
      <c r="X1049" s="2156"/>
      <c r="Y1049" s="2156"/>
      <c r="Z1049" s="2156"/>
      <c r="AA1049" s="2156"/>
      <c r="AB1049" s="2156"/>
      <c r="AC1049" s="1023">
        <f t="shared" si="585"/>
        <v>0</v>
      </c>
      <c r="AD1049" s="1023">
        <f t="shared" si="579"/>
        <v>0</v>
      </c>
      <c r="AE1049" s="1023">
        <f t="shared" si="580"/>
        <v>0</v>
      </c>
      <c r="AF1049" s="1023">
        <f t="shared" si="581"/>
        <v>0</v>
      </c>
      <c r="AG1049" s="1023">
        <f t="shared" si="582"/>
        <v>0</v>
      </c>
      <c r="AH1049" s="1023">
        <f t="shared" si="583"/>
        <v>0</v>
      </c>
      <c r="AI1049" s="1023">
        <f t="shared" si="584"/>
        <v>0</v>
      </c>
    </row>
    <row r="1050" spans="1:35" s="998" customFormat="1" hidden="1" outlineLevel="1">
      <c r="A1050" s="1058" t="s">
        <v>1129</v>
      </c>
      <c r="B1050" s="1058"/>
      <c r="C1050" s="1058" t="s">
        <v>1129</v>
      </c>
      <c r="D1050" s="1121" t="s">
        <v>999</v>
      </c>
      <c r="E1050" s="1243">
        <v>1</v>
      </c>
      <c r="F1050" s="999"/>
      <c r="G1050" s="1000"/>
      <c r="H1050" s="999"/>
      <c r="I1050" s="1100"/>
      <c r="J1050" s="1101"/>
      <c r="K1050" s="1101"/>
      <c r="L1050" s="1101"/>
      <c r="M1050" s="1101" t="s">
        <v>850</v>
      </c>
      <c r="N1050" s="1101"/>
      <c r="O1050" s="1101"/>
      <c r="P1050" s="1102" t="s">
        <v>851</v>
      </c>
      <c r="Q1050" s="2153"/>
      <c r="R1050" s="2153"/>
      <c r="S1050" s="2153"/>
      <c r="T1050" s="2153"/>
      <c r="U1050" s="2153"/>
      <c r="V1050" s="2153"/>
      <c r="W1050" s="2153"/>
      <c r="X1050" s="2153"/>
      <c r="Y1050" s="2153"/>
      <c r="Z1050" s="2153"/>
      <c r="AA1050" s="2153"/>
      <c r="AB1050" s="2153"/>
      <c r="AC1050" s="1103">
        <f t="shared" si="585"/>
        <v>0</v>
      </c>
      <c r="AD1050" s="1103">
        <f t="shared" si="579"/>
        <v>0</v>
      </c>
      <c r="AE1050" s="1103">
        <f t="shared" si="580"/>
        <v>0</v>
      </c>
      <c r="AF1050" s="1103">
        <f t="shared" si="581"/>
        <v>0</v>
      </c>
      <c r="AG1050" s="1103">
        <f t="shared" si="582"/>
        <v>0</v>
      </c>
      <c r="AH1050" s="1103">
        <f t="shared" si="583"/>
        <v>0</v>
      </c>
      <c r="AI1050" s="1103">
        <f t="shared" si="584"/>
        <v>0</v>
      </c>
    </row>
    <row r="1051" spans="1:35" s="998" customFormat="1" hidden="1" outlineLevel="1">
      <c r="A1051" s="1058" t="s">
        <v>1129</v>
      </c>
      <c r="B1051" s="1058"/>
      <c r="C1051" s="1058" t="s">
        <v>1129</v>
      </c>
      <c r="D1051" s="1121" t="s">
        <v>999</v>
      </c>
      <c r="E1051" s="1243">
        <v>1</v>
      </c>
      <c r="F1051" s="999"/>
      <c r="G1051" s="1000"/>
      <c r="H1051" s="999"/>
      <c r="I1051" s="1098"/>
      <c r="J1051" s="999" t="s">
        <v>852</v>
      </c>
      <c r="M1051" s="1109" t="s">
        <v>853</v>
      </c>
      <c r="P1051" s="1109" t="s">
        <v>854</v>
      </c>
      <c r="Q1051" s="2156"/>
      <c r="R1051" s="2156"/>
      <c r="S1051" s="2156"/>
      <c r="T1051" s="2156"/>
      <c r="U1051" s="2156"/>
      <c r="V1051" s="2156"/>
      <c r="W1051" s="2156"/>
      <c r="X1051" s="2156"/>
      <c r="Y1051" s="2156"/>
      <c r="Z1051" s="2156"/>
      <c r="AA1051" s="2156"/>
      <c r="AB1051" s="2156"/>
      <c r="AC1051" s="1023">
        <f t="shared" si="585"/>
        <v>0</v>
      </c>
      <c r="AD1051" s="1023">
        <f t="shared" si="579"/>
        <v>0</v>
      </c>
      <c r="AE1051" s="1023">
        <f t="shared" si="580"/>
        <v>0</v>
      </c>
      <c r="AF1051" s="1023">
        <f t="shared" si="581"/>
        <v>0</v>
      </c>
      <c r="AG1051" s="1023">
        <f t="shared" si="582"/>
        <v>0</v>
      </c>
      <c r="AH1051" s="1023">
        <f t="shared" si="583"/>
        <v>0</v>
      </c>
      <c r="AI1051" s="1023">
        <f t="shared" si="584"/>
        <v>0</v>
      </c>
    </row>
    <row r="1052" spans="1:35" s="998" customFormat="1" hidden="1" outlineLevel="1">
      <c r="A1052" s="1058" t="s">
        <v>1129</v>
      </c>
      <c r="B1052" s="1058"/>
      <c r="C1052" s="1058" t="s">
        <v>1129</v>
      </c>
      <c r="D1052" s="1121" t="s">
        <v>999</v>
      </c>
      <c r="E1052" s="1243">
        <v>1</v>
      </c>
      <c r="F1052" s="999"/>
      <c r="G1052" s="1000"/>
      <c r="H1052" s="999"/>
      <c r="I1052" s="1098"/>
      <c r="M1052" s="1109" t="s">
        <v>855</v>
      </c>
      <c r="P1052" s="1109" t="s">
        <v>856</v>
      </c>
      <c r="Q1052" s="2156"/>
      <c r="R1052" s="2156"/>
      <c r="S1052" s="2156"/>
      <c r="T1052" s="2156"/>
      <c r="U1052" s="2156"/>
      <c r="V1052" s="2156"/>
      <c r="W1052" s="2156"/>
      <c r="X1052" s="2156"/>
      <c r="Y1052" s="2156"/>
      <c r="Z1052" s="2156"/>
      <c r="AA1052" s="2156"/>
      <c r="AB1052" s="2156"/>
      <c r="AC1052" s="1023">
        <f t="shared" si="585"/>
        <v>0</v>
      </c>
      <c r="AD1052" s="1023">
        <f t="shared" si="579"/>
        <v>0</v>
      </c>
      <c r="AE1052" s="1023">
        <f t="shared" si="580"/>
        <v>0</v>
      </c>
      <c r="AF1052" s="1023">
        <f t="shared" si="581"/>
        <v>0</v>
      </c>
      <c r="AG1052" s="1023">
        <f t="shared" si="582"/>
        <v>0</v>
      </c>
      <c r="AH1052" s="1023">
        <f t="shared" si="583"/>
        <v>0</v>
      </c>
      <c r="AI1052" s="1023">
        <f t="shared" si="584"/>
        <v>0</v>
      </c>
    </row>
    <row r="1053" spans="1:35" s="998" customFormat="1" hidden="1" outlineLevel="1">
      <c r="A1053" s="1058" t="s">
        <v>1129</v>
      </c>
      <c r="B1053" s="1058"/>
      <c r="C1053" s="1058" t="s">
        <v>1129</v>
      </c>
      <c r="D1053" s="1121" t="s">
        <v>999</v>
      </c>
      <c r="E1053" s="1243">
        <v>1</v>
      </c>
      <c r="F1053" s="999"/>
      <c r="G1053" s="1000"/>
      <c r="H1053" s="999"/>
      <c r="I1053" s="1098"/>
      <c r="M1053" s="1109" t="s">
        <v>857</v>
      </c>
      <c r="P1053" s="1109" t="s">
        <v>858</v>
      </c>
      <c r="Q1053" s="2156"/>
      <c r="R1053" s="2156"/>
      <c r="S1053" s="2156"/>
      <c r="T1053" s="2156"/>
      <c r="U1053" s="2156"/>
      <c r="V1053" s="2156"/>
      <c r="W1053" s="2156"/>
      <c r="X1053" s="2156"/>
      <c r="Y1053" s="2156"/>
      <c r="Z1053" s="2156"/>
      <c r="AA1053" s="2156"/>
      <c r="AB1053" s="2156"/>
      <c r="AC1053" s="1023">
        <f t="shared" si="585"/>
        <v>0</v>
      </c>
      <c r="AD1053" s="1023">
        <f t="shared" si="579"/>
        <v>0</v>
      </c>
      <c r="AE1053" s="1023">
        <f t="shared" si="580"/>
        <v>0</v>
      </c>
      <c r="AF1053" s="1023">
        <f t="shared" si="581"/>
        <v>0</v>
      </c>
      <c r="AG1053" s="1023">
        <f t="shared" si="582"/>
        <v>0</v>
      </c>
      <c r="AH1053" s="1023">
        <f t="shared" si="583"/>
        <v>0</v>
      </c>
      <c r="AI1053" s="1023">
        <f t="shared" si="584"/>
        <v>0</v>
      </c>
    </row>
    <row r="1054" spans="1:35" s="998" customFormat="1" hidden="1" outlineLevel="1">
      <c r="A1054" s="1058" t="s">
        <v>1129</v>
      </c>
      <c r="B1054" s="1058"/>
      <c r="C1054" s="1058" t="s">
        <v>1129</v>
      </c>
      <c r="D1054" s="1121" t="s">
        <v>999</v>
      </c>
      <c r="E1054" s="1243">
        <v>1</v>
      </c>
      <c r="F1054" s="999"/>
      <c r="G1054" s="1000"/>
      <c r="H1054" s="999"/>
      <c r="I1054" s="1098"/>
      <c r="M1054" s="1109" t="s">
        <v>859</v>
      </c>
      <c r="P1054" s="1109" t="s">
        <v>860</v>
      </c>
      <c r="Q1054" s="2156"/>
      <c r="R1054" s="2156"/>
      <c r="S1054" s="2156"/>
      <c r="T1054" s="2156"/>
      <c r="U1054" s="2156"/>
      <c r="V1054" s="2156"/>
      <c r="W1054" s="2156"/>
      <c r="X1054" s="2156"/>
      <c r="Y1054" s="2156"/>
      <c r="Z1054" s="2156"/>
      <c r="AA1054" s="2156"/>
      <c r="AB1054" s="2156"/>
      <c r="AC1054" s="1023">
        <f>SUM(Q1054:T1054)</f>
        <v>0</v>
      </c>
      <c r="AD1054" s="1023">
        <f t="shared" si="579"/>
        <v>0</v>
      </c>
      <c r="AE1054" s="1023">
        <f t="shared" si="580"/>
        <v>0</v>
      </c>
      <c r="AF1054" s="1023">
        <f t="shared" si="581"/>
        <v>0</v>
      </c>
      <c r="AG1054" s="1023">
        <f t="shared" si="582"/>
        <v>0</v>
      </c>
      <c r="AH1054" s="1023">
        <f t="shared" si="583"/>
        <v>0</v>
      </c>
      <c r="AI1054" s="1023">
        <f t="shared" si="584"/>
        <v>0</v>
      </c>
    </row>
    <row r="1055" spans="1:35" s="998" customFormat="1" hidden="1" outlineLevel="1">
      <c r="A1055" s="1058" t="s">
        <v>1129</v>
      </c>
      <c r="B1055" s="1058"/>
      <c r="C1055" s="1058" t="s">
        <v>1129</v>
      </c>
      <c r="D1055" s="1121" t="s">
        <v>999</v>
      </c>
      <c r="E1055" s="1243">
        <v>1</v>
      </c>
      <c r="F1055" s="999"/>
      <c r="G1055" s="1000"/>
      <c r="H1055" s="999"/>
      <c r="I1055" s="1098"/>
      <c r="M1055" s="1109" t="s">
        <v>861</v>
      </c>
      <c r="P1055" s="1109" t="s">
        <v>862</v>
      </c>
      <c r="Q1055" s="2156"/>
      <c r="R1055" s="2156"/>
      <c r="S1055" s="2156"/>
      <c r="T1055" s="2156"/>
      <c r="U1055" s="2156"/>
      <c r="V1055" s="2156"/>
      <c r="W1055" s="2156"/>
      <c r="X1055" s="2156"/>
      <c r="Y1055" s="2156"/>
      <c r="Z1055" s="2156"/>
      <c r="AA1055" s="2156"/>
      <c r="AB1055" s="2156"/>
      <c r="AC1055" s="1023">
        <f t="shared" si="585"/>
        <v>0</v>
      </c>
      <c r="AD1055" s="1023">
        <f t="shared" si="579"/>
        <v>0</v>
      </c>
      <c r="AE1055" s="1023">
        <f t="shared" si="580"/>
        <v>0</v>
      </c>
      <c r="AF1055" s="1023">
        <f t="shared" si="581"/>
        <v>0</v>
      </c>
      <c r="AG1055" s="1023">
        <f t="shared" si="582"/>
        <v>0</v>
      </c>
      <c r="AH1055" s="1023">
        <f t="shared" si="583"/>
        <v>0</v>
      </c>
      <c r="AI1055" s="1023">
        <f t="shared" si="584"/>
        <v>0</v>
      </c>
    </row>
    <row r="1056" spans="1:35" s="998" customFormat="1" hidden="1" outlineLevel="1">
      <c r="A1056" s="1058" t="s">
        <v>1129</v>
      </c>
      <c r="B1056" s="1058"/>
      <c r="C1056" s="1058" t="s">
        <v>1129</v>
      </c>
      <c r="D1056" s="1121" t="s">
        <v>999</v>
      </c>
      <c r="E1056" s="1243">
        <v>1</v>
      </c>
      <c r="F1056" s="999"/>
      <c r="G1056" s="1000"/>
      <c r="H1056" s="999"/>
      <c r="I1056" s="1098"/>
      <c r="J1056" s="1101"/>
      <c r="K1056" s="1101"/>
      <c r="L1056" s="1101"/>
      <c r="M1056" s="1101" t="s">
        <v>11</v>
      </c>
      <c r="N1056" s="1101"/>
      <c r="O1056" s="1101"/>
      <c r="P1056" s="1102"/>
      <c r="Q1056" s="2153"/>
      <c r="R1056" s="2153"/>
      <c r="S1056" s="2153"/>
      <c r="T1056" s="2153"/>
      <c r="U1056" s="2153"/>
      <c r="V1056" s="2153"/>
      <c r="W1056" s="2153"/>
      <c r="X1056" s="2153"/>
      <c r="Y1056" s="2153"/>
      <c r="Z1056" s="2153"/>
      <c r="AA1056" s="2153"/>
      <c r="AB1056" s="2153"/>
      <c r="AC1056" s="1103">
        <f t="shared" si="585"/>
        <v>0</v>
      </c>
      <c r="AD1056" s="1103">
        <f t="shared" si="579"/>
        <v>0</v>
      </c>
      <c r="AE1056" s="1103">
        <f t="shared" si="580"/>
        <v>0</v>
      </c>
      <c r="AF1056" s="1103">
        <f t="shared" si="581"/>
        <v>0</v>
      </c>
      <c r="AG1056" s="1103">
        <f t="shared" si="582"/>
        <v>0</v>
      </c>
      <c r="AH1056" s="1103">
        <f t="shared" si="583"/>
        <v>0</v>
      </c>
      <c r="AI1056" s="1103">
        <f>AG1056+AH1056</f>
        <v>0</v>
      </c>
    </row>
    <row r="1057" spans="1:35" s="998" customFormat="1" hidden="1" outlineLevel="1">
      <c r="A1057" s="1058" t="s">
        <v>1129</v>
      </c>
      <c r="B1057" s="1058"/>
      <c r="C1057" s="1058" t="s">
        <v>1129</v>
      </c>
      <c r="D1057" s="1121" t="s">
        <v>999</v>
      </c>
      <c r="E1057" s="1243">
        <v>1</v>
      </c>
      <c r="F1057" s="999"/>
      <c r="G1057" s="1000"/>
      <c r="H1057" s="999"/>
      <c r="I1057" s="1110"/>
      <c r="J1057" s="1111" t="s">
        <v>11</v>
      </c>
      <c r="K1057" s="1111"/>
      <c r="L1057" s="1111"/>
      <c r="M1057" s="1111"/>
      <c r="N1057" s="1111"/>
      <c r="O1057" s="1111"/>
      <c r="P1057" s="1112"/>
      <c r="Q1057" s="2157"/>
      <c r="R1057" s="2157"/>
      <c r="S1057" s="2157"/>
      <c r="T1057" s="2157"/>
      <c r="U1057" s="2157"/>
      <c r="V1057" s="2157"/>
      <c r="W1057" s="2157"/>
      <c r="X1057" s="2157"/>
      <c r="Y1057" s="2157"/>
      <c r="Z1057" s="2157"/>
      <c r="AA1057" s="2157"/>
      <c r="AB1057" s="2157"/>
      <c r="AC1057" s="1113">
        <f t="shared" si="585"/>
        <v>0</v>
      </c>
      <c r="AD1057" s="1113">
        <f t="shared" si="579"/>
        <v>0</v>
      </c>
      <c r="AE1057" s="1113">
        <f t="shared" si="580"/>
        <v>0</v>
      </c>
      <c r="AF1057" s="1113">
        <f t="shared" si="581"/>
        <v>0</v>
      </c>
      <c r="AG1057" s="1113">
        <f>AC1057+AD1057</f>
        <v>0</v>
      </c>
      <c r="AH1057" s="1113">
        <f>AF1057+AE1057</f>
        <v>0</v>
      </c>
      <c r="AI1057" s="1113">
        <f t="shared" si="584"/>
        <v>0</v>
      </c>
    </row>
    <row r="1058" spans="1:35" hidden="1" outlineLevel="1">
      <c r="A1058" s="990" t="s">
        <v>1129</v>
      </c>
      <c r="C1058" s="990" t="s">
        <v>1129</v>
      </c>
      <c r="D1058" s="1121" t="s">
        <v>999</v>
      </c>
      <c r="E1058" s="1243">
        <v>1</v>
      </c>
    </row>
    <row r="1059" spans="1:35" ht="18" collapsed="1">
      <c r="A1059" s="990" t="s">
        <v>1129</v>
      </c>
      <c r="C1059" s="990" t="s">
        <v>1129</v>
      </c>
      <c r="D1059" s="1121" t="s">
        <v>999</v>
      </c>
      <c r="E1059" s="1243">
        <v>1</v>
      </c>
      <c r="F1059" s="314" t="s">
        <v>1135</v>
      </c>
      <c r="G1059" s="314"/>
    </row>
    <row r="1060" spans="1:35">
      <c r="A1060" s="990" t="s">
        <v>1129</v>
      </c>
      <c r="C1060" s="990" t="s">
        <v>1129</v>
      </c>
      <c r="D1060" s="1121" t="s">
        <v>999</v>
      </c>
      <c r="E1060" s="1243">
        <v>1</v>
      </c>
      <c r="H1060" s="24" t="s">
        <v>1136</v>
      </c>
    </row>
    <row r="1061" spans="1:35" ht="14.5">
      <c r="A1061" s="990" t="s">
        <v>1129</v>
      </c>
      <c r="C1061" s="990" t="s">
        <v>1129</v>
      </c>
      <c r="D1061" s="1121" t="s">
        <v>999</v>
      </c>
      <c r="E1061" s="1243">
        <v>1</v>
      </c>
      <c r="I1061" s="985"/>
      <c r="J1061" s="986"/>
      <c r="K1061" s="987"/>
      <c r="L1061" s="987"/>
      <c r="M1061" s="986"/>
      <c r="N1061" s="986"/>
      <c r="O1061" s="986"/>
      <c r="P1061" s="988"/>
      <c r="Q1061" s="2185">
        <f>Q$10</f>
        <v>43922</v>
      </c>
      <c r="R1061" s="2185">
        <f t="shared" ref="R1061:AI1061" si="586">R$10</f>
        <v>43952</v>
      </c>
      <c r="S1061" s="2185">
        <f t="shared" si="586"/>
        <v>43983</v>
      </c>
      <c r="T1061" s="2185">
        <f t="shared" si="586"/>
        <v>44013</v>
      </c>
      <c r="U1061" s="2185">
        <f t="shared" si="586"/>
        <v>44044</v>
      </c>
      <c r="V1061" s="2185">
        <f t="shared" si="586"/>
        <v>44075</v>
      </c>
      <c r="W1061" s="2185">
        <f t="shared" si="586"/>
        <v>44105</v>
      </c>
      <c r="X1061" s="2185">
        <f t="shared" si="586"/>
        <v>44136</v>
      </c>
      <c r="Y1061" s="2185">
        <f t="shared" si="586"/>
        <v>44166</v>
      </c>
      <c r="Z1061" s="2185">
        <f t="shared" si="586"/>
        <v>44197</v>
      </c>
      <c r="AA1061" s="2185">
        <f t="shared" si="586"/>
        <v>44228</v>
      </c>
      <c r="AB1061" s="2185">
        <f t="shared" si="586"/>
        <v>44256</v>
      </c>
      <c r="AC1061" s="2752" t="str">
        <f t="shared" si="586"/>
        <v>Q1</v>
      </c>
      <c r="AD1061" s="2752" t="str">
        <f t="shared" si="586"/>
        <v>Q2</v>
      </c>
      <c r="AE1061" s="2752" t="str">
        <f t="shared" si="586"/>
        <v>Q3</v>
      </c>
      <c r="AF1061" s="2752" t="str">
        <f t="shared" si="586"/>
        <v>Q4</v>
      </c>
      <c r="AG1061" s="2752" t="str">
        <f t="shared" si="586"/>
        <v>1st H</v>
      </c>
      <c r="AH1061" s="2752" t="str">
        <f t="shared" si="586"/>
        <v>2nd H</v>
      </c>
      <c r="AI1061" s="2752" t="str">
        <f t="shared" si="586"/>
        <v>Yr.</v>
      </c>
    </row>
    <row r="1062" spans="1:35" s="998" customFormat="1">
      <c r="A1062" s="990" t="s">
        <v>1129</v>
      </c>
      <c r="B1062" s="990"/>
      <c r="C1062" s="990" t="s">
        <v>1129</v>
      </c>
      <c r="D1062" s="1121" t="s">
        <v>999</v>
      </c>
      <c r="E1062" s="1243">
        <v>1</v>
      </c>
      <c r="F1062" s="999"/>
      <c r="G1062" s="999"/>
      <c r="H1062" s="1000"/>
      <c r="I1062" s="1306" t="s">
        <v>9</v>
      </c>
      <c r="J1062" s="1307"/>
      <c r="K1062" s="1307"/>
      <c r="L1062" s="1307"/>
      <c r="M1062" s="1307"/>
      <c r="N1062" s="1307"/>
      <c r="O1062" s="1307"/>
      <c r="P1062" s="1308"/>
      <c r="Q1062" s="2791">
        <f t="shared" ref="Q1062:AB1062" si="587">Q76+Q326</f>
        <v>150649</v>
      </c>
      <c r="R1062" s="2791">
        <f t="shared" si="587"/>
        <v>76558</v>
      </c>
      <c r="S1062" s="2791">
        <f t="shared" si="587"/>
        <v>126484</v>
      </c>
      <c r="T1062" s="2791">
        <f t="shared" si="587"/>
        <v>163935</v>
      </c>
      <c r="U1062" s="2791">
        <f t="shared" si="587"/>
        <v>188442</v>
      </c>
      <c r="V1062" s="2791">
        <f t="shared" si="587"/>
        <v>263632</v>
      </c>
      <c r="W1062" s="2791">
        <f t="shared" si="587"/>
        <v>164237</v>
      </c>
      <c r="X1062" s="2791">
        <f t="shared" si="587"/>
        <v>205041</v>
      </c>
      <c r="Y1062" s="2791">
        <f t="shared" si="587"/>
        <v>250881</v>
      </c>
      <c r="Z1062" s="2791">
        <f t="shared" si="587"/>
        <v>169721</v>
      </c>
      <c r="AA1062" s="2791">
        <f t="shared" si="587"/>
        <v>172542</v>
      </c>
      <c r="AB1062" s="2791">
        <f t="shared" si="587"/>
        <v>242701</v>
      </c>
      <c r="AC1062" s="2791">
        <f>SUM(Q1062:S1062)</f>
        <v>353691</v>
      </c>
      <c r="AD1062" s="2791">
        <f>SUM(T1062:V1062)</f>
        <v>616009</v>
      </c>
      <c r="AE1062" s="2791">
        <f>SUM(W1062:Y1062)</f>
        <v>620159</v>
      </c>
      <c r="AF1062" s="2791">
        <f>SUM(Z1062:AB1062)</f>
        <v>584964</v>
      </c>
      <c r="AG1062" s="2791">
        <f>AC1062+AD1062</f>
        <v>969700</v>
      </c>
      <c r="AH1062" s="2791">
        <f>AF1062+AE1062</f>
        <v>1205123</v>
      </c>
      <c r="AI1062" s="2791">
        <f>AG1062+AH1062</f>
        <v>2174823</v>
      </c>
    </row>
    <row r="1063" spans="1:35" s="998" customFormat="1">
      <c r="A1063" s="990" t="s">
        <v>1129</v>
      </c>
      <c r="B1063" s="990"/>
      <c r="C1063" s="990" t="s">
        <v>1129</v>
      </c>
      <c r="D1063" s="1121" t="s">
        <v>999</v>
      </c>
      <c r="E1063" s="1243">
        <v>1</v>
      </c>
      <c r="F1063" s="999"/>
      <c r="G1063" s="999"/>
      <c r="H1063" s="1000"/>
      <c r="I1063" s="1309" t="s">
        <v>128</v>
      </c>
      <c r="J1063" s="1310"/>
      <c r="K1063" s="1310"/>
      <c r="L1063" s="1311"/>
      <c r="M1063" s="1307"/>
      <c r="N1063" s="1307"/>
      <c r="O1063" s="1307"/>
      <c r="P1063" s="1308"/>
      <c r="Q1063" s="2792">
        <f t="shared" ref="Q1063:AB1063" si="588">Q80+Q332</f>
        <v>150649</v>
      </c>
      <c r="R1063" s="2792">
        <f t="shared" si="588"/>
        <v>76558</v>
      </c>
      <c r="S1063" s="2792">
        <f t="shared" si="588"/>
        <v>126484</v>
      </c>
      <c r="T1063" s="2792">
        <f t="shared" si="588"/>
        <v>163935</v>
      </c>
      <c r="U1063" s="2792">
        <f t="shared" si="588"/>
        <v>188442</v>
      </c>
      <c r="V1063" s="2792">
        <f t="shared" si="588"/>
        <v>263632</v>
      </c>
      <c r="W1063" s="2792">
        <f t="shared" si="588"/>
        <v>164237</v>
      </c>
      <c r="X1063" s="2792">
        <f t="shared" si="588"/>
        <v>205041</v>
      </c>
      <c r="Y1063" s="2792">
        <f t="shared" si="588"/>
        <v>250881</v>
      </c>
      <c r="Z1063" s="2792">
        <f t="shared" si="588"/>
        <v>169721</v>
      </c>
      <c r="AA1063" s="2792">
        <f t="shared" si="588"/>
        <v>172542</v>
      </c>
      <c r="AB1063" s="2792">
        <f t="shared" si="588"/>
        <v>242701</v>
      </c>
      <c r="AC1063" s="2792">
        <f>SUM(Q1063:S1063)</f>
        <v>353691</v>
      </c>
      <c r="AD1063" s="2792">
        <f>SUM(T1063:V1063)</f>
        <v>616009</v>
      </c>
      <c r="AE1063" s="2792">
        <f>SUM(W1063:Y1063)</f>
        <v>620159</v>
      </c>
      <c r="AF1063" s="2792">
        <f>SUM(Z1063:AB1063)</f>
        <v>584964</v>
      </c>
      <c r="AG1063" s="2792">
        <f>AC1063+AD1063</f>
        <v>969700</v>
      </c>
      <c r="AH1063" s="2792">
        <f>AF1063+AE1063</f>
        <v>1205123</v>
      </c>
      <c r="AI1063" s="2792">
        <f>AG1063+AH1063</f>
        <v>2174823</v>
      </c>
    </row>
    <row r="1064" spans="1:35" s="998" customFormat="1">
      <c r="A1064" s="990" t="s">
        <v>1129</v>
      </c>
      <c r="B1064" s="990"/>
      <c r="C1064" s="990" t="s">
        <v>1129</v>
      </c>
      <c r="D1064" s="1121" t="s">
        <v>999</v>
      </c>
      <c r="E1064" s="1243">
        <v>1</v>
      </c>
      <c r="F1064" s="999"/>
      <c r="G1064" s="999"/>
      <c r="H1064" s="1000"/>
      <c r="I1064" s="1312" t="s">
        <v>134</v>
      </c>
      <c r="J1064" s="1313"/>
      <c r="K1064" s="1313"/>
      <c r="L1064" s="1313"/>
      <c r="M1064" s="1313"/>
      <c r="N1064" s="1313"/>
      <c r="O1064" s="1313"/>
      <c r="P1064" s="1314"/>
      <c r="Q1064" s="2793">
        <f t="shared" ref="Q1064:AB1064" si="589">Q97+Q338</f>
        <v>51219</v>
      </c>
      <c r="R1064" s="2793">
        <f t="shared" si="589"/>
        <v>26495</v>
      </c>
      <c r="S1064" s="2793">
        <f t="shared" si="589"/>
        <v>45048</v>
      </c>
      <c r="T1064" s="2793">
        <f t="shared" si="589"/>
        <v>60875</v>
      </c>
      <c r="U1064" s="2793">
        <f t="shared" si="589"/>
        <v>65826</v>
      </c>
      <c r="V1064" s="2793">
        <f t="shared" si="589"/>
        <v>98197</v>
      </c>
      <c r="W1064" s="2793">
        <f t="shared" si="589"/>
        <v>59226</v>
      </c>
      <c r="X1064" s="2793">
        <f t="shared" si="589"/>
        <v>75303</v>
      </c>
      <c r="Y1064" s="2793">
        <f t="shared" si="589"/>
        <v>89681</v>
      </c>
      <c r="Z1064" s="2793">
        <f t="shared" si="589"/>
        <v>49740</v>
      </c>
      <c r="AA1064" s="2793">
        <f t="shared" si="589"/>
        <v>49008</v>
      </c>
      <c r="AB1064" s="2793">
        <f t="shared" si="589"/>
        <v>53059</v>
      </c>
      <c r="AC1064" s="2793">
        <f>SUM(Q1064:S1064)</f>
        <v>122762</v>
      </c>
      <c r="AD1064" s="2793">
        <f>SUM(T1064:V1064)</f>
        <v>224898</v>
      </c>
      <c r="AE1064" s="2793">
        <f>SUM(W1064:Y1064)</f>
        <v>224210</v>
      </c>
      <c r="AF1064" s="2793">
        <f>SUM(Z1064:AB1064)</f>
        <v>151807</v>
      </c>
      <c r="AG1064" s="2793">
        <f>AC1064+AD1064</f>
        <v>347660</v>
      </c>
      <c r="AH1064" s="2793">
        <f>AF1064+AE1064</f>
        <v>376017</v>
      </c>
      <c r="AI1064" s="2793">
        <f>AG1064+AH1064</f>
        <v>723677</v>
      </c>
    </row>
    <row r="1065" spans="1:35" s="619" customFormat="1" ht="14.5">
      <c r="A1065" s="1024" t="s">
        <v>1129</v>
      </c>
      <c r="B1065" s="1024"/>
      <c r="C1065" s="1024" t="s">
        <v>1129</v>
      </c>
      <c r="D1065" s="1121" t="s">
        <v>999</v>
      </c>
      <c r="E1065" s="1243">
        <v>1</v>
      </c>
      <c r="F1065" s="1214"/>
      <c r="G1065" s="1214"/>
      <c r="H1065" s="1025"/>
      <c r="I1065" s="1215"/>
      <c r="J1065" s="1216"/>
      <c r="K1065" s="1217"/>
      <c r="L1065" s="1217"/>
      <c r="M1065" s="1216"/>
      <c r="N1065" s="1216"/>
      <c r="O1065" s="1216"/>
      <c r="P1065" s="1218" t="s">
        <v>135</v>
      </c>
      <c r="Q1065" s="863">
        <f>IFERROR(Q1064/Q1062,0)</f>
        <v>0.33998898100883512</v>
      </c>
      <c r="R1065" s="863">
        <f t="shared" ref="R1065:AI1065" si="590">IFERROR(R1064/R1062,0)</f>
        <v>0.34607748373781971</v>
      </c>
      <c r="S1065" s="863">
        <f t="shared" si="590"/>
        <v>0.35615571930046486</v>
      </c>
      <c r="T1065" s="863">
        <f t="shared" si="590"/>
        <v>0.37133620032329889</v>
      </c>
      <c r="U1065" s="863">
        <f t="shared" si="590"/>
        <v>0.34931703123507496</v>
      </c>
      <c r="V1065" s="863">
        <f t="shared" si="590"/>
        <v>0.37247754445590825</v>
      </c>
      <c r="W1065" s="863">
        <f t="shared" si="590"/>
        <v>0.36061301655534378</v>
      </c>
      <c r="X1065" s="863">
        <f t="shared" si="590"/>
        <v>0.36725825566594</v>
      </c>
      <c r="Y1065" s="863">
        <f t="shared" si="590"/>
        <v>0.35746429582152495</v>
      </c>
      <c r="Z1065" s="863">
        <f t="shared" si="590"/>
        <v>0.29306921359171817</v>
      </c>
      <c r="AA1065" s="863">
        <f t="shared" si="590"/>
        <v>0.2840351914316514</v>
      </c>
      <c r="AB1065" s="863">
        <f t="shared" si="590"/>
        <v>0.21861879431893563</v>
      </c>
      <c r="AC1065" s="863">
        <f t="shared" si="590"/>
        <v>0.34708827762086114</v>
      </c>
      <c r="AD1065" s="863">
        <f t="shared" si="590"/>
        <v>0.36508882175422763</v>
      </c>
      <c r="AE1065" s="863">
        <f t="shared" si="590"/>
        <v>0.36153631568678357</v>
      </c>
      <c r="AF1065" s="863">
        <f t="shared" si="590"/>
        <v>0.2595151154600967</v>
      </c>
      <c r="AG1065" s="863">
        <f t="shared" si="590"/>
        <v>0.35852325461482931</v>
      </c>
      <c r="AH1065" s="863">
        <f t="shared" si="590"/>
        <v>0.31201545402419506</v>
      </c>
      <c r="AI1065" s="863">
        <f t="shared" si="590"/>
        <v>0.3327521366106575</v>
      </c>
    </row>
    <row r="1066" spans="1:35" s="998" customFormat="1">
      <c r="A1066" s="990" t="s">
        <v>1129</v>
      </c>
      <c r="B1066" s="990"/>
      <c r="C1066" s="990" t="s">
        <v>1129</v>
      </c>
      <c r="D1066" s="1121" t="s">
        <v>999</v>
      </c>
      <c r="E1066" s="1243">
        <v>1</v>
      </c>
      <c r="F1066" s="999"/>
      <c r="G1066" s="999"/>
      <c r="H1066" s="1000"/>
      <c r="I1066" s="1312" t="s">
        <v>97</v>
      </c>
      <c r="J1066" s="1313"/>
      <c r="K1066" s="1313"/>
      <c r="L1066" s="1313"/>
      <c r="M1066" s="1313"/>
      <c r="N1066" s="1313"/>
      <c r="O1066" s="1313"/>
      <c r="P1066" s="1314"/>
      <c r="Q1066" s="2793">
        <f>Q1068+Q1069+Q1070</f>
        <v>49107</v>
      </c>
      <c r="R1066" s="2793">
        <f t="shared" ref="R1066:AB1066" si="591">R1068+R1069+R1070</f>
        <v>38644</v>
      </c>
      <c r="S1066" s="2793">
        <f t="shared" si="591"/>
        <v>39907</v>
      </c>
      <c r="T1066" s="2793">
        <f t="shared" si="591"/>
        <v>42921</v>
      </c>
      <c r="U1066" s="2793">
        <f t="shared" si="591"/>
        <v>51904</v>
      </c>
      <c r="V1066" s="2793">
        <f t="shared" si="591"/>
        <v>48135</v>
      </c>
      <c r="W1066" s="2793">
        <f t="shared" si="591"/>
        <v>58727</v>
      </c>
      <c r="X1066" s="2793">
        <f t="shared" si="591"/>
        <v>56085</v>
      </c>
      <c r="Y1066" s="2793">
        <f t="shared" si="591"/>
        <v>48588</v>
      </c>
      <c r="Z1066" s="2793">
        <f t="shared" si="591"/>
        <v>43729</v>
      </c>
      <c r="AA1066" s="2793">
        <f t="shared" si="591"/>
        <v>37777.437518303421</v>
      </c>
      <c r="AB1066" s="2793">
        <f t="shared" si="591"/>
        <v>68271.05062935641</v>
      </c>
      <c r="AC1066" s="2793">
        <f>SUM(Q1066:S1066)</f>
        <v>127658</v>
      </c>
      <c r="AD1066" s="2793">
        <f>SUM(T1066:V1066)</f>
        <v>142960</v>
      </c>
      <c r="AE1066" s="2793">
        <f>SUM(W1066:Y1066)</f>
        <v>163400</v>
      </c>
      <c r="AF1066" s="2793">
        <f>SUM(Z1066:AB1066)</f>
        <v>149777.48814765984</v>
      </c>
      <c r="AG1066" s="2793">
        <f>AC1066+AD1066</f>
        <v>270618</v>
      </c>
      <c r="AH1066" s="2793">
        <f>AF1066+AE1066</f>
        <v>313177.48814765981</v>
      </c>
      <c r="AI1066" s="2793">
        <f>AG1066+AH1066</f>
        <v>583795.48814765981</v>
      </c>
    </row>
    <row r="1067" spans="1:35" s="619" customFormat="1" ht="14.5">
      <c r="A1067" s="1024" t="s">
        <v>1129</v>
      </c>
      <c r="B1067" s="1024"/>
      <c r="C1067" s="1024" t="s">
        <v>1129</v>
      </c>
      <c r="D1067" s="1121" t="s">
        <v>999</v>
      </c>
      <c r="E1067" s="1243">
        <v>1</v>
      </c>
      <c r="F1067" s="1214"/>
      <c r="G1067" s="1214"/>
      <c r="H1067" s="1025"/>
      <c r="I1067" s="1219"/>
      <c r="J1067" s="1220"/>
      <c r="K1067" s="1221"/>
      <c r="L1067" s="1221"/>
      <c r="M1067" s="1220"/>
      <c r="N1067" s="1220"/>
      <c r="O1067" s="1220"/>
      <c r="P1067" s="1222" t="s">
        <v>135</v>
      </c>
      <c r="Q1067" s="864">
        <f>IFERROR(Q1066/Q1062,0)</f>
        <v>0.32596963803277818</v>
      </c>
      <c r="R1067" s="864">
        <f t="shared" ref="R1067:AI1067" si="592">IFERROR(R1066/R1062,0)</f>
        <v>0.50476762715849421</v>
      </c>
      <c r="S1067" s="864">
        <f t="shared" si="592"/>
        <v>0.31551026216754691</v>
      </c>
      <c r="T1067" s="864">
        <f t="shared" si="592"/>
        <v>0.26181718363985729</v>
      </c>
      <c r="U1067" s="864">
        <f t="shared" si="592"/>
        <v>0.27543753515670605</v>
      </c>
      <c r="V1067" s="864">
        <f t="shared" si="592"/>
        <v>0.18258405656369484</v>
      </c>
      <c r="W1067" s="864">
        <f t="shared" si="592"/>
        <v>0.35757472433130172</v>
      </c>
      <c r="X1067" s="864">
        <f t="shared" si="592"/>
        <v>0.2735306597217142</v>
      </c>
      <c r="Y1067" s="864">
        <f t="shared" si="592"/>
        <v>0.19366950865151208</v>
      </c>
      <c r="Z1067" s="864">
        <f t="shared" si="592"/>
        <v>0.25765226459895946</v>
      </c>
      <c r="AA1067" s="864">
        <f t="shared" si="592"/>
        <v>0.21894632911582931</v>
      </c>
      <c r="AB1067" s="864">
        <f t="shared" si="592"/>
        <v>0.28129694821758627</v>
      </c>
      <c r="AC1067" s="864">
        <f t="shared" si="592"/>
        <v>0.36093086903540095</v>
      </c>
      <c r="AD1067" s="864">
        <f t="shared" si="592"/>
        <v>0.23207453137859999</v>
      </c>
      <c r="AE1067" s="864">
        <f t="shared" si="592"/>
        <v>0.26348081701628129</v>
      </c>
      <c r="AF1067" s="864">
        <f t="shared" si="592"/>
        <v>0.25604565092494552</v>
      </c>
      <c r="AG1067" s="864">
        <f t="shared" si="592"/>
        <v>0.27907394039393629</v>
      </c>
      <c r="AH1067" s="864">
        <f t="shared" si="592"/>
        <v>0.25987180407946725</v>
      </c>
      <c r="AI1067" s="864">
        <f t="shared" si="592"/>
        <v>0.26843356362686061</v>
      </c>
    </row>
    <row r="1068" spans="1:35" s="998" customFormat="1">
      <c r="A1068" s="990" t="s">
        <v>1129</v>
      </c>
      <c r="B1068" s="990"/>
      <c r="C1068" s="990" t="s">
        <v>1129</v>
      </c>
      <c r="D1068" s="1121" t="s">
        <v>999</v>
      </c>
      <c r="E1068" s="1243">
        <v>1</v>
      </c>
      <c r="F1068" s="999"/>
      <c r="G1068" s="999"/>
      <c r="H1068" s="1000"/>
      <c r="I1068" s="1223"/>
      <c r="J1068" s="1224" t="s">
        <v>143</v>
      </c>
      <c r="K1068" s="1224"/>
      <c r="L1068" s="1225"/>
      <c r="M1068" s="1224"/>
      <c r="N1068" s="1224"/>
      <c r="O1068" s="1224"/>
      <c r="P1068" s="1226"/>
      <c r="Q1068" s="2794">
        <f t="shared" ref="Q1068:AB1069" si="593">Q106+Q351</f>
        <v>11998</v>
      </c>
      <c r="R1068" s="2794">
        <f t="shared" si="593"/>
        <v>6590</v>
      </c>
      <c r="S1068" s="2794">
        <f t="shared" si="593"/>
        <v>9844</v>
      </c>
      <c r="T1068" s="2794">
        <f t="shared" si="593"/>
        <v>9113</v>
      </c>
      <c r="U1068" s="2794">
        <f t="shared" si="593"/>
        <v>16355</v>
      </c>
      <c r="V1068" s="2794">
        <f t="shared" si="593"/>
        <v>15390</v>
      </c>
      <c r="W1068" s="2794">
        <f t="shared" si="593"/>
        <v>13979</v>
      </c>
      <c r="X1068" s="2794">
        <f t="shared" si="593"/>
        <v>11826</v>
      </c>
      <c r="Y1068" s="2794">
        <f t="shared" si="593"/>
        <v>15026</v>
      </c>
      <c r="Z1068" s="2794">
        <f t="shared" si="593"/>
        <v>12019</v>
      </c>
      <c r="AA1068" s="2794">
        <f t="shared" si="593"/>
        <v>566.06558946235259</v>
      </c>
      <c r="AB1068" s="2794">
        <f t="shared" si="593"/>
        <v>15819.873553411262</v>
      </c>
      <c r="AC1068" s="2795">
        <f>SUM(Q1068:S1068)</f>
        <v>28432</v>
      </c>
      <c r="AD1068" s="2795">
        <f>SUM(T1068:V1068)</f>
        <v>40858</v>
      </c>
      <c r="AE1068" s="2795">
        <f>SUM(W1068:Y1068)</f>
        <v>40831</v>
      </c>
      <c r="AF1068" s="2795">
        <f>SUM(Z1068:AB1068)</f>
        <v>28404.939142873613</v>
      </c>
      <c r="AG1068" s="2795">
        <f>AC1068+AD1068</f>
        <v>69290</v>
      </c>
      <c r="AH1068" s="2795">
        <f>AF1068+AE1068</f>
        <v>69235.939142873613</v>
      </c>
      <c r="AI1068" s="2795">
        <f>AG1068+AH1068</f>
        <v>138525.93914287363</v>
      </c>
    </row>
    <row r="1069" spans="1:35" s="998" customFormat="1">
      <c r="A1069" s="990" t="s">
        <v>1129</v>
      </c>
      <c r="B1069" s="990"/>
      <c r="C1069" s="990" t="s">
        <v>1129</v>
      </c>
      <c r="D1069" s="1121" t="s">
        <v>999</v>
      </c>
      <c r="E1069" s="1243">
        <v>1</v>
      </c>
      <c r="F1069" s="999"/>
      <c r="G1069" s="999"/>
      <c r="H1069" s="1000"/>
      <c r="I1069" s="1223"/>
      <c r="J1069" s="1022" t="s">
        <v>96</v>
      </c>
      <c r="K1069" s="1022"/>
      <c r="L1069" s="1227"/>
      <c r="M1069" s="1022"/>
      <c r="N1069" s="1022"/>
      <c r="O1069" s="1022"/>
      <c r="P1069" s="1228"/>
      <c r="Q1069" s="2794">
        <f t="shared" si="593"/>
        <v>23122</v>
      </c>
      <c r="R1069" s="2794">
        <f t="shared" si="593"/>
        <v>22124</v>
      </c>
      <c r="S1069" s="2794">
        <f t="shared" si="593"/>
        <v>22414</v>
      </c>
      <c r="T1069" s="2794">
        <f t="shared" si="593"/>
        <v>22186</v>
      </c>
      <c r="U1069" s="2794">
        <f t="shared" si="593"/>
        <v>22117</v>
      </c>
      <c r="V1069" s="2794">
        <f t="shared" si="593"/>
        <v>19864</v>
      </c>
      <c r="W1069" s="2794">
        <f t="shared" si="593"/>
        <v>20406</v>
      </c>
      <c r="X1069" s="2794">
        <f t="shared" si="593"/>
        <v>19938</v>
      </c>
      <c r="Y1069" s="2794">
        <f t="shared" si="593"/>
        <v>21259</v>
      </c>
      <c r="Z1069" s="2794">
        <f t="shared" si="593"/>
        <v>20790</v>
      </c>
      <c r="AA1069" s="2794">
        <f t="shared" si="593"/>
        <v>32775.988995356201</v>
      </c>
      <c r="AB1069" s="2794">
        <f t="shared" si="593"/>
        <v>26822.177075945139</v>
      </c>
      <c r="AC1069" s="2794">
        <f>SUM(Q1069:S1069)</f>
        <v>67660</v>
      </c>
      <c r="AD1069" s="2794">
        <f>SUM(T1069:V1069)</f>
        <v>64167</v>
      </c>
      <c r="AE1069" s="2794">
        <f>SUM(W1069:Y1069)</f>
        <v>61603</v>
      </c>
      <c r="AF1069" s="2794">
        <f>SUM(Z1069:AB1069)</f>
        <v>80388.166071301341</v>
      </c>
      <c r="AG1069" s="2794">
        <f>AC1069+AD1069</f>
        <v>131827</v>
      </c>
      <c r="AH1069" s="2794">
        <f>AF1069+AE1069</f>
        <v>141991.16607130133</v>
      </c>
      <c r="AI1069" s="2794">
        <f>AG1069+AH1069</f>
        <v>273818.16607130133</v>
      </c>
    </row>
    <row r="1070" spans="1:35" s="998" customFormat="1">
      <c r="A1070" s="990" t="s">
        <v>1129</v>
      </c>
      <c r="B1070" s="990"/>
      <c r="C1070" s="990" t="s">
        <v>1129</v>
      </c>
      <c r="D1070" s="1121" t="s">
        <v>999</v>
      </c>
      <c r="E1070" s="1243">
        <v>1</v>
      </c>
      <c r="F1070" s="999"/>
      <c r="G1070" s="999"/>
      <c r="H1070" s="1000"/>
      <c r="I1070" s="1223"/>
      <c r="J1070" s="1022" t="s">
        <v>142</v>
      </c>
      <c r="K1070" s="1022"/>
      <c r="L1070" s="1227"/>
      <c r="M1070" s="1022"/>
      <c r="N1070" s="1022"/>
      <c r="O1070" s="1022"/>
      <c r="P1070" s="1228"/>
      <c r="Q1070" s="2794">
        <f t="shared" ref="Q1070:AB1070" si="594">Q108+Q357</f>
        <v>13987</v>
      </c>
      <c r="R1070" s="2794">
        <f t="shared" si="594"/>
        <v>9930</v>
      </c>
      <c r="S1070" s="2794">
        <f t="shared" si="594"/>
        <v>7649</v>
      </c>
      <c r="T1070" s="2794">
        <f t="shared" si="594"/>
        <v>11622</v>
      </c>
      <c r="U1070" s="2794">
        <f t="shared" si="594"/>
        <v>13432</v>
      </c>
      <c r="V1070" s="2794">
        <f t="shared" si="594"/>
        <v>12881</v>
      </c>
      <c r="W1070" s="2794">
        <f t="shared" si="594"/>
        <v>24342</v>
      </c>
      <c r="X1070" s="2794">
        <f t="shared" si="594"/>
        <v>24321</v>
      </c>
      <c r="Y1070" s="2794">
        <f t="shared" si="594"/>
        <v>12303</v>
      </c>
      <c r="Z1070" s="2794">
        <f t="shared" si="594"/>
        <v>10920</v>
      </c>
      <c r="AA1070" s="2794">
        <f t="shared" si="594"/>
        <v>4435.3829334848633</v>
      </c>
      <c r="AB1070" s="2794">
        <f t="shared" si="594"/>
        <v>25629</v>
      </c>
      <c r="AC1070" s="2794">
        <f>SUM(Q1070:S1070)</f>
        <v>31566</v>
      </c>
      <c r="AD1070" s="2794">
        <f>SUM(T1070:V1070)</f>
        <v>37935</v>
      </c>
      <c r="AE1070" s="2794">
        <f>SUM(W1070:Y1070)</f>
        <v>60966</v>
      </c>
      <c r="AF1070" s="2794">
        <f>SUM(Z1070:AB1070)</f>
        <v>40984.382933484863</v>
      </c>
      <c r="AG1070" s="2794">
        <f>AC1070+AD1070</f>
        <v>69501</v>
      </c>
      <c r="AH1070" s="2794">
        <f>AF1070+AE1070</f>
        <v>101950.38293348486</v>
      </c>
      <c r="AI1070" s="2794">
        <f>AG1070+AH1070</f>
        <v>171451.38293348486</v>
      </c>
    </row>
    <row r="1071" spans="1:35" s="998" customFormat="1">
      <c r="A1071" s="990" t="s">
        <v>1129</v>
      </c>
      <c r="B1071" s="990"/>
      <c r="C1071" s="990" t="s">
        <v>1129</v>
      </c>
      <c r="D1071" s="1121" t="s">
        <v>999</v>
      </c>
      <c r="E1071" s="1243">
        <v>1</v>
      </c>
      <c r="F1071" s="999"/>
      <c r="G1071" s="999"/>
      <c r="H1071" s="1000"/>
      <c r="I1071" s="1312" t="s">
        <v>136</v>
      </c>
      <c r="J1071" s="1313"/>
      <c r="K1071" s="1313"/>
      <c r="L1071" s="1313"/>
      <c r="M1071" s="1313"/>
      <c r="N1071" s="1313"/>
      <c r="O1071" s="1313"/>
      <c r="P1071" s="1314"/>
      <c r="Q1071" s="2793">
        <f>Q1064-Q1066</f>
        <v>2112</v>
      </c>
      <c r="R1071" s="2793">
        <f t="shared" ref="R1071:AB1071" si="595">R1064-R1066</f>
        <v>-12149</v>
      </c>
      <c r="S1071" s="2793">
        <f t="shared" si="595"/>
        <v>5141</v>
      </c>
      <c r="T1071" s="2793">
        <f t="shared" si="595"/>
        <v>17954</v>
      </c>
      <c r="U1071" s="2793">
        <f t="shared" si="595"/>
        <v>13922</v>
      </c>
      <c r="V1071" s="2793">
        <f t="shared" si="595"/>
        <v>50062</v>
      </c>
      <c r="W1071" s="2793">
        <f t="shared" si="595"/>
        <v>499</v>
      </c>
      <c r="X1071" s="2793">
        <f t="shared" si="595"/>
        <v>19218</v>
      </c>
      <c r="Y1071" s="2793">
        <f t="shared" si="595"/>
        <v>41093</v>
      </c>
      <c r="Z1071" s="2793">
        <f t="shared" si="595"/>
        <v>6011</v>
      </c>
      <c r="AA1071" s="2793">
        <f t="shared" si="595"/>
        <v>11230.562481696579</v>
      </c>
      <c r="AB1071" s="2793">
        <f t="shared" si="595"/>
        <v>-15212.05062935641</v>
      </c>
      <c r="AC1071" s="2793">
        <f>SUM(Q1071:S1071)</f>
        <v>-4896</v>
      </c>
      <c r="AD1071" s="2793">
        <f>SUM(T1071:V1071)</f>
        <v>81938</v>
      </c>
      <c r="AE1071" s="2793">
        <f>SUM(W1071:Y1071)</f>
        <v>60810</v>
      </c>
      <c r="AF1071" s="2793">
        <f>SUM(Z1071:AB1071)</f>
        <v>2029.5118523401688</v>
      </c>
      <c r="AG1071" s="2793">
        <f>AC1071+AD1071</f>
        <v>77042</v>
      </c>
      <c r="AH1071" s="2793">
        <f>AF1071+AE1071</f>
        <v>62839.511852340169</v>
      </c>
      <c r="AI1071" s="2793">
        <f>AG1071+AH1071</f>
        <v>139881.51185234016</v>
      </c>
    </row>
    <row r="1072" spans="1:35" s="619" customFormat="1" ht="14.5">
      <c r="A1072" s="1024" t="s">
        <v>1129</v>
      </c>
      <c r="B1072" s="1024"/>
      <c r="C1072" s="1024" t="s">
        <v>1129</v>
      </c>
      <c r="D1072" s="1121" t="s">
        <v>999</v>
      </c>
      <c r="E1072" s="1243">
        <v>1</v>
      </c>
      <c r="F1072" s="1214"/>
      <c r="G1072" s="1214"/>
      <c r="H1072" s="1025"/>
      <c r="I1072" s="1219"/>
      <c r="J1072" s="1220"/>
      <c r="K1072" s="1221"/>
      <c r="L1072" s="1221"/>
      <c r="M1072" s="1220"/>
      <c r="N1072" s="1220"/>
      <c r="O1072" s="1220"/>
      <c r="P1072" s="1222" t="s">
        <v>135</v>
      </c>
      <c r="Q1072" s="865">
        <f>IFERROR(Q1071/Q1062,0)</f>
        <v>1.4019342976056927E-2</v>
      </c>
      <c r="R1072" s="865">
        <f t="shared" ref="R1072:AI1072" si="596">IFERROR(R1071/R1062,0)</f>
        <v>-0.15869014342067453</v>
      </c>
      <c r="S1072" s="865">
        <f t="shared" si="596"/>
        <v>4.0645457132917999E-2</v>
      </c>
      <c r="T1072" s="865">
        <f t="shared" si="596"/>
        <v>0.10951901668344161</v>
      </c>
      <c r="U1072" s="865">
        <f t="shared" si="596"/>
        <v>7.3879496078368939E-2</v>
      </c>
      <c r="V1072" s="865">
        <f t="shared" si="596"/>
        <v>0.18989348789221339</v>
      </c>
      <c r="W1072" s="865">
        <f t="shared" si="596"/>
        <v>3.0382922240420854E-3</v>
      </c>
      <c r="X1072" s="865">
        <f t="shared" si="596"/>
        <v>9.3727595944225792E-2</v>
      </c>
      <c r="Y1072" s="865">
        <f t="shared" si="596"/>
        <v>0.16379478717001286</v>
      </c>
      <c r="Z1072" s="865">
        <f t="shared" si="596"/>
        <v>3.5416948992758705E-2</v>
      </c>
      <c r="AA1072" s="865">
        <f t="shared" si="596"/>
        <v>6.5088862315822116E-2</v>
      </c>
      <c r="AB1072" s="865">
        <f t="shared" si="596"/>
        <v>-6.267815389865064E-2</v>
      </c>
      <c r="AC1072" s="865">
        <f t="shared" si="596"/>
        <v>-1.384259141453981E-2</v>
      </c>
      <c r="AD1072" s="865">
        <f t="shared" si="596"/>
        <v>0.13301429037562762</v>
      </c>
      <c r="AE1072" s="865">
        <f t="shared" si="596"/>
        <v>9.8055498670502242E-2</v>
      </c>
      <c r="AF1072" s="865">
        <f t="shared" si="596"/>
        <v>3.4694645351511697E-3</v>
      </c>
      <c r="AG1072" s="865">
        <f t="shared" si="596"/>
        <v>7.9449314220893061E-2</v>
      </c>
      <c r="AH1072" s="865">
        <f t="shared" si="596"/>
        <v>5.2143649944727775E-2</v>
      </c>
      <c r="AI1072" s="865">
        <f t="shared" si="596"/>
        <v>6.4318572983796923E-2</v>
      </c>
    </row>
    <row r="1073" spans="1:35" s="998" customFormat="1">
      <c r="A1073" s="990" t="s">
        <v>1129</v>
      </c>
      <c r="B1073" s="990"/>
      <c r="C1073" s="990" t="s">
        <v>1129</v>
      </c>
      <c r="D1073" s="1121" t="s">
        <v>999</v>
      </c>
      <c r="E1073" s="1243">
        <v>1</v>
      </c>
      <c r="F1073" s="999"/>
      <c r="G1073" s="999"/>
      <c r="H1073" s="1000"/>
      <c r="I1073" s="1223" t="s">
        <v>504</v>
      </c>
      <c r="J1073" s="1022"/>
      <c r="K1073" s="1227"/>
      <c r="L1073" s="1227"/>
      <c r="M1073" s="1022"/>
      <c r="N1073" s="1022"/>
      <c r="O1073" s="1022"/>
      <c r="P1073" s="1229"/>
      <c r="Q1073" s="1023">
        <f t="shared" ref="Q1073:AB1074" si="597">Q111+Q360</f>
        <v>140</v>
      </c>
      <c r="R1073" s="1023">
        <f t="shared" si="597"/>
        <v>0</v>
      </c>
      <c r="S1073" s="1023">
        <f t="shared" si="597"/>
        <v>1838</v>
      </c>
      <c r="T1073" s="1023">
        <f t="shared" si="597"/>
        <v>611</v>
      </c>
      <c r="U1073" s="1023">
        <f t="shared" si="597"/>
        <v>491</v>
      </c>
      <c r="V1073" s="1023">
        <f t="shared" si="597"/>
        <v>0</v>
      </c>
      <c r="W1073" s="1023">
        <f t="shared" si="597"/>
        <v>192</v>
      </c>
      <c r="X1073" s="1023">
        <f t="shared" si="597"/>
        <v>83</v>
      </c>
      <c r="Y1073" s="1023">
        <f t="shared" si="597"/>
        <v>1933</v>
      </c>
      <c r="Z1073" s="1023">
        <f t="shared" si="597"/>
        <v>5</v>
      </c>
      <c r="AA1073" s="1023">
        <f t="shared" si="597"/>
        <v>119</v>
      </c>
      <c r="AB1073" s="1023">
        <f t="shared" si="597"/>
        <v>31178</v>
      </c>
      <c r="AC1073" s="1023">
        <f>SUM(Q1073:S1073)</f>
        <v>1978</v>
      </c>
      <c r="AD1073" s="1023">
        <f>SUM(T1073:V1073)</f>
        <v>1102</v>
      </c>
      <c r="AE1073" s="1023">
        <f>SUM(W1073:Y1073)</f>
        <v>2208</v>
      </c>
      <c r="AF1073" s="1023">
        <f>SUM(Z1073:AB1073)</f>
        <v>31302</v>
      </c>
      <c r="AG1073" s="1023">
        <f>AC1073+AD1073</f>
        <v>3080</v>
      </c>
      <c r="AH1073" s="1023">
        <f>AF1073+AE1073</f>
        <v>33510</v>
      </c>
      <c r="AI1073" s="1023">
        <f>AG1073+AH1073</f>
        <v>36590</v>
      </c>
    </row>
    <row r="1074" spans="1:35" s="998" customFormat="1">
      <c r="A1074" s="990" t="s">
        <v>1129</v>
      </c>
      <c r="B1074" s="990"/>
      <c r="C1074" s="990" t="s">
        <v>1129</v>
      </c>
      <c r="D1074" s="1121" t="s">
        <v>999</v>
      </c>
      <c r="E1074" s="1243">
        <v>1</v>
      </c>
      <c r="F1074" s="999"/>
      <c r="G1074" s="999"/>
      <c r="H1074" s="1000"/>
      <c r="I1074" s="1230" t="s">
        <v>1002</v>
      </c>
      <c r="J1074" s="1231"/>
      <c r="K1074" s="1232"/>
      <c r="L1074" s="1232"/>
      <c r="M1074" s="1231"/>
      <c r="N1074" s="1231"/>
      <c r="O1074" s="1231"/>
      <c r="P1074" s="1233"/>
      <c r="Q1074" s="2796">
        <f t="shared" si="597"/>
        <v>0</v>
      </c>
      <c r="R1074" s="2796">
        <f t="shared" si="597"/>
        <v>0</v>
      </c>
      <c r="S1074" s="2796">
        <f t="shared" si="597"/>
        <v>0</v>
      </c>
      <c r="T1074" s="2796">
        <f t="shared" si="597"/>
        <v>196</v>
      </c>
      <c r="U1074" s="2796">
        <f t="shared" si="597"/>
        <v>0</v>
      </c>
      <c r="V1074" s="2796">
        <f t="shared" si="597"/>
        <v>130</v>
      </c>
      <c r="W1074" s="2796">
        <f t="shared" si="597"/>
        <v>0</v>
      </c>
      <c r="X1074" s="2796">
        <f t="shared" si="597"/>
        <v>0</v>
      </c>
      <c r="Y1074" s="2796">
        <f t="shared" si="597"/>
        <v>0</v>
      </c>
      <c r="Z1074" s="2796">
        <f t="shared" si="597"/>
        <v>0</v>
      </c>
      <c r="AA1074" s="2796">
        <f t="shared" si="597"/>
        <v>0</v>
      </c>
      <c r="AB1074" s="2796">
        <f t="shared" si="597"/>
        <v>0</v>
      </c>
      <c r="AC1074" s="2796">
        <f>SUM(Q1074:S1074)</f>
        <v>0</v>
      </c>
      <c r="AD1074" s="2796">
        <f>SUM(T1074:V1074)</f>
        <v>326</v>
      </c>
      <c r="AE1074" s="2796">
        <f>SUM(W1074:Y1074)</f>
        <v>0</v>
      </c>
      <c r="AF1074" s="2796">
        <f>SUM(Z1074:AB1074)</f>
        <v>0</v>
      </c>
      <c r="AG1074" s="2796">
        <f>AC1074+AD1074</f>
        <v>326</v>
      </c>
      <c r="AH1074" s="2796">
        <f>AF1074+AE1074</f>
        <v>0</v>
      </c>
      <c r="AI1074" s="2796">
        <f>AG1074+AH1074</f>
        <v>326</v>
      </c>
    </row>
    <row r="1075" spans="1:35" s="998" customFormat="1">
      <c r="A1075" s="990" t="s">
        <v>1129</v>
      </c>
      <c r="B1075" s="990"/>
      <c r="C1075" s="990" t="s">
        <v>1129</v>
      </c>
      <c r="D1075" s="1121" t="s">
        <v>999</v>
      </c>
      <c r="E1075" s="1243">
        <v>1</v>
      </c>
      <c r="F1075" s="999"/>
      <c r="G1075" s="999"/>
      <c r="H1075" s="1000"/>
      <c r="I1075" s="1306" t="s">
        <v>10</v>
      </c>
      <c r="J1075" s="1307"/>
      <c r="K1075" s="1307"/>
      <c r="L1075" s="1307"/>
      <c r="M1075" s="1307"/>
      <c r="N1075" s="1307"/>
      <c r="O1075" s="1307"/>
      <c r="P1075" s="1308"/>
      <c r="Q1075" s="2791">
        <f>Q1071+Q1073-Q1074</f>
        <v>2252</v>
      </c>
      <c r="R1075" s="2791">
        <f t="shared" ref="R1075:AB1075" si="598">R1071+R1073-R1074</f>
        <v>-12149</v>
      </c>
      <c r="S1075" s="2791">
        <f t="shared" si="598"/>
        <v>6979</v>
      </c>
      <c r="T1075" s="2791">
        <f t="shared" si="598"/>
        <v>18369</v>
      </c>
      <c r="U1075" s="2791">
        <f t="shared" si="598"/>
        <v>14413</v>
      </c>
      <c r="V1075" s="2791">
        <f t="shared" si="598"/>
        <v>49932</v>
      </c>
      <c r="W1075" s="2791">
        <f t="shared" si="598"/>
        <v>691</v>
      </c>
      <c r="X1075" s="2791">
        <f t="shared" si="598"/>
        <v>19301</v>
      </c>
      <c r="Y1075" s="2791">
        <f t="shared" si="598"/>
        <v>43026</v>
      </c>
      <c r="Z1075" s="2791">
        <f t="shared" si="598"/>
        <v>6016</v>
      </c>
      <c r="AA1075" s="2791">
        <f t="shared" si="598"/>
        <v>11349.562481696579</v>
      </c>
      <c r="AB1075" s="2791">
        <f t="shared" si="598"/>
        <v>15965.94937064359</v>
      </c>
      <c r="AC1075" s="2791">
        <f>SUM(Q1075:S1075)</f>
        <v>-2918</v>
      </c>
      <c r="AD1075" s="2791">
        <f>SUM(T1075:V1075)</f>
        <v>82714</v>
      </c>
      <c r="AE1075" s="2791">
        <f>SUM(W1075:Y1075)</f>
        <v>63018</v>
      </c>
      <c r="AF1075" s="2791">
        <f>SUM(Z1075:AB1075)</f>
        <v>33331.511852340169</v>
      </c>
      <c r="AG1075" s="2791">
        <f>AC1075+AD1075</f>
        <v>79796</v>
      </c>
      <c r="AH1075" s="2791">
        <f>AF1075+AE1075</f>
        <v>96349.511852340162</v>
      </c>
      <c r="AI1075" s="2791">
        <f>AG1075+AH1075</f>
        <v>176145.51185234016</v>
      </c>
    </row>
    <row r="1076" spans="1:35">
      <c r="A1076" s="990" t="s">
        <v>1129</v>
      </c>
      <c r="C1076" s="990" t="s">
        <v>1129</v>
      </c>
      <c r="D1076" s="1121" t="s">
        <v>999</v>
      </c>
      <c r="E1076" s="1243">
        <v>1</v>
      </c>
    </row>
    <row r="1077" spans="1:35">
      <c r="A1077" s="990" t="s">
        <v>1129</v>
      </c>
      <c r="C1077" s="990" t="s">
        <v>1129</v>
      </c>
      <c r="D1077" s="1121" t="s">
        <v>999</v>
      </c>
      <c r="E1077" s="1243">
        <v>1</v>
      </c>
      <c r="H1077" s="24" t="s">
        <v>1137</v>
      </c>
    </row>
    <row r="1078" spans="1:35" s="998" customFormat="1">
      <c r="A1078" s="990" t="s">
        <v>1129</v>
      </c>
      <c r="B1078" s="990"/>
      <c r="C1078" s="990" t="s">
        <v>1129</v>
      </c>
      <c r="D1078" s="1121" t="s">
        <v>999</v>
      </c>
      <c r="E1078" s="1243">
        <v>1</v>
      </c>
      <c r="F1078" s="999"/>
      <c r="G1078" s="999"/>
      <c r="H1078" s="1000"/>
      <c r="I1078" s="1306" t="s">
        <v>9</v>
      </c>
      <c r="J1078" s="1307"/>
      <c r="K1078" s="1307"/>
      <c r="L1078" s="1307"/>
      <c r="M1078" s="1307"/>
      <c r="N1078" s="1307"/>
      <c r="O1078" s="1307"/>
      <c r="P1078" s="1308"/>
      <c r="Q1078" s="2791">
        <f t="shared" ref="Q1078:AB1078" si="599">Q127+Q181</f>
        <v>386098</v>
      </c>
      <c r="R1078" s="2791">
        <f t="shared" si="599"/>
        <v>163184</v>
      </c>
      <c r="S1078" s="2791">
        <f t="shared" si="599"/>
        <v>365555</v>
      </c>
      <c r="T1078" s="2791">
        <f t="shared" si="599"/>
        <v>349356</v>
      </c>
      <c r="U1078" s="2791">
        <f t="shared" si="599"/>
        <v>398657</v>
      </c>
      <c r="V1078" s="2791">
        <f t="shared" si="599"/>
        <v>475988</v>
      </c>
      <c r="W1078" s="2791">
        <f t="shared" si="599"/>
        <v>456225</v>
      </c>
      <c r="X1078" s="2791">
        <f t="shared" si="599"/>
        <v>379810</v>
      </c>
      <c r="Y1078" s="2791">
        <f t="shared" si="599"/>
        <v>475865</v>
      </c>
      <c r="Z1078" s="2791">
        <f t="shared" si="599"/>
        <v>438461</v>
      </c>
      <c r="AA1078" s="2791">
        <f t="shared" si="599"/>
        <v>388837</v>
      </c>
      <c r="AB1078" s="2791">
        <f t="shared" si="599"/>
        <v>527687</v>
      </c>
      <c r="AC1078" s="2791">
        <f>SUM(Q1078:S1078)</f>
        <v>914837</v>
      </c>
      <c r="AD1078" s="2791">
        <f>SUM(T1078:V1078)</f>
        <v>1224001</v>
      </c>
      <c r="AE1078" s="2791">
        <f>SUM(W1078:Y1078)</f>
        <v>1311900</v>
      </c>
      <c r="AF1078" s="2791">
        <f>SUM(Z1078:AB1078)</f>
        <v>1354985</v>
      </c>
      <c r="AG1078" s="2791">
        <f>AC1078+AD1078</f>
        <v>2138838</v>
      </c>
      <c r="AH1078" s="2791">
        <f>AF1078+AE1078</f>
        <v>2666885</v>
      </c>
      <c r="AI1078" s="2791">
        <f>AG1078+AH1078</f>
        <v>4805723</v>
      </c>
    </row>
    <row r="1079" spans="1:35" s="998" customFormat="1">
      <c r="A1079" s="990" t="s">
        <v>1129</v>
      </c>
      <c r="B1079" s="990"/>
      <c r="C1079" s="990" t="s">
        <v>1129</v>
      </c>
      <c r="D1079" s="1121" t="s">
        <v>999</v>
      </c>
      <c r="E1079" s="1243">
        <v>1</v>
      </c>
      <c r="F1079" s="999"/>
      <c r="G1079" s="999"/>
      <c r="H1079" s="1000"/>
      <c r="I1079" s="1309" t="s">
        <v>128</v>
      </c>
      <c r="J1079" s="1310"/>
      <c r="K1079" s="1310"/>
      <c r="L1079" s="1311"/>
      <c r="M1079" s="1307"/>
      <c r="N1079" s="1307"/>
      <c r="O1079" s="1307"/>
      <c r="P1079" s="1308"/>
      <c r="Q1079" s="2792">
        <f t="shared" ref="Q1079:AB1079" si="600">Q132+Q196</f>
        <v>386098</v>
      </c>
      <c r="R1079" s="2792">
        <f t="shared" si="600"/>
        <v>163184</v>
      </c>
      <c r="S1079" s="2792">
        <f t="shared" si="600"/>
        <v>365555</v>
      </c>
      <c r="T1079" s="2792">
        <f t="shared" si="600"/>
        <v>349356</v>
      </c>
      <c r="U1079" s="2792">
        <f t="shared" si="600"/>
        <v>398657</v>
      </c>
      <c r="V1079" s="2792">
        <f t="shared" si="600"/>
        <v>475988</v>
      </c>
      <c r="W1079" s="2792">
        <f t="shared" si="600"/>
        <v>456225</v>
      </c>
      <c r="X1079" s="2792">
        <f t="shared" si="600"/>
        <v>379810</v>
      </c>
      <c r="Y1079" s="2792">
        <f t="shared" si="600"/>
        <v>475865</v>
      </c>
      <c r="Z1079" s="2792">
        <f t="shared" si="600"/>
        <v>438461</v>
      </c>
      <c r="AA1079" s="2792">
        <f t="shared" si="600"/>
        <v>388837</v>
      </c>
      <c r="AB1079" s="2792">
        <f t="shared" si="600"/>
        <v>527687</v>
      </c>
      <c r="AC1079" s="2792">
        <f>SUM(Q1079:S1079)</f>
        <v>914837</v>
      </c>
      <c r="AD1079" s="2792">
        <f>SUM(T1079:V1079)</f>
        <v>1224001</v>
      </c>
      <c r="AE1079" s="2792">
        <f>SUM(W1079:Y1079)</f>
        <v>1311900</v>
      </c>
      <c r="AF1079" s="2792">
        <f>SUM(Z1079:AB1079)</f>
        <v>1354985</v>
      </c>
      <c r="AG1079" s="2792">
        <f>AC1079+AD1079</f>
        <v>2138838</v>
      </c>
      <c r="AH1079" s="2792">
        <f>AF1079+AE1079</f>
        <v>2666885</v>
      </c>
      <c r="AI1079" s="2792">
        <f>AG1079+AH1079</f>
        <v>4805723</v>
      </c>
    </row>
    <row r="1080" spans="1:35" s="998" customFormat="1">
      <c r="A1080" s="990" t="s">
        <v>1129</v>
      </c>
      <c r="B1080" s="990"/>
      <c r="C1080" s="990" t="s">
        <v>1129</v>
      </c>
      <c r="D1080" s="1121" t="s">
        <v>999</v>
      </c>
      <c r="E1080" s="1243">
        <v>1</v>
      </c>
      <c r="F1080" s="999"/>
      <c r="G1080" s="999"/>
      <c r="H1080" s="1000"/>
      <c r="I1080" s="1312" t="s">
        <v>134</v>
      </c>
      <c r="J1080" s="1313"/>
      <c r="K1080" s="1313"/>
      <c r="L1080" s="1313"/>
      <c r="M1080" s="1313"/>
      <c r="N1080" s="1313"/>
      <c r="O1080" s="1313"/>
      <c r="P1080" s="1314"/>
      <c r="Q1080" s="2793">
        <f t="shared" ref="Q1080:AB1080" si="601">Q149+Q211</f>
        <v>133918</v>
      </c>
      <c r="R1080" s="2793">
        <f t="shared" si="601"/>
        <v>54264</v>
      </c>
      <c r="S1080" s="2793">
        <f t="shared" si="601"/>
        <v>122286</v>
      </c>
      <c r="T1080" s="2793">
        <f t="shared" si="601"/>
        <v>126552</v>
      </c>
      <c r="U1080" s="2793">
        <f t="shared" si="601"/>
        <v>154306</v>
      </c>
      <c r="V1080" s="2793">
        <f t="shared" si="601"/>
        <v>177837</v>
      </c>
      <c r="W1080" s="2793">
        <f t="shared" si="601"/>
        <v>152076</v>
      </c>
      <c r="X1080" s="2793">
        <f t="shared" si="601"/>
        <v>151461</v>
      </c>
      <c r="Y1080" s="2793">
        <f t="shared" si="601"/>
        <v>124968</v>
      </c>
      <c r="Z1080" s="2793">
        <f t="shared" si="601"/>
        <v>173847</v>
      </c>
      <c r="AA1080" s="2793">
        <f t="shared" si="601"/>
        <v>119254</v>
      </c>
      <c r="AB1080" s="2793">
        <f t="shared" si="601"/>
        <v>206704</v>
      </c>
      <c r="AC1080" s="2793">
        <f>SUM(Q1080:S1080)</f>
        <v>310468</v>
      </c>
      <c r="AD1080" s="2793">
        <f>SUM(T1080:V1080)</f>
        <v>458695</v>
      </c>
      <c r="AE1080" s="2793">
        <f>SUM(W1080:Y1080)</f>
        <v>428505</v>
      </c>
      <c r="AF1080" s="2793">
        <f>SUM(Z1080:AB1080)</f>
        <v>499805</v>
      </c>
      <c r="AG1080" s="2793">
        <f>AC1080+AD1080</f>
        <v>769163</v>
      </c>
      <c r="AH1080" s="2793">
        <f>AF1080+AE1080</f>
        <v>928310</v>
      </c>
      <c r="AI1080" s="2793">
        <f>AG1080+AH1080</f>
        <v>1697473</v>
      </c>
    </row>
    <row r="1081" spans="1:35" s="619" customFormat="1" ht="14.5">
      <c r="A1081" s="1024" t="s">
        <v>1129</v>
      </c>
      <c r="B1081" s="1024"/>
      <c r="C1081" s="1024" t="s">
        <v>1129</v>
      </c>
      <c r="D1081" s="1121" t="s">
        <v>999</v>
      </c>
      <c r="E1081" s="1243">
        <v>1</v>
      </c>
      <c r="F1081" s="1214"/>
      <c r="G1081" s="1214"/>
      <c r="H1081" s="1025"/>
      <c r="I1081" s="1215"/>
      <c r="J1081" s="1216"/>
      <c r="K1081" s="1217"/>
      <c r="L1081" s="1217"/>
      <c r="M1081" s="1216"/>
      <c r="N1081" s="1216"/>
      <c r="O1081" s="1216"/>
      <c r="P1081" s="1218" t="s">
        <v>135</v>
      </c>
      <c r="Q1081" s="863">
        <f>IFERROR(Q1080/Q1078,0)</f>
        <v>0.34684976353153862</v>
      </c>
      <c r="R1081" s="863">
        <f t="shared" ref="R1081:AI1081" si="602">IFERROR(R1080/R1078,0)</f>
        <v>0.33253260123541523</v>
      </c>
      <c r="S1081" s="863">
        <f t="shared" si="602"/>
        <v>0.33452148103568546</v>
      </c>
      <c r="T1081" s="863">
        <f t="shared" si="602"/>
        <v>0.36224367121217327</v>
      </c>
      <c r="U1081" s="863">
        <f t="shared" si="602"/>
        <v>0.38706456929139588</v>
      </c>
      <c r="V1081" s="863">
        <f t="shared" si="602"/>
        <v>0.37361656176206121</v>
      </c>
      <c r="W1081" s="863">
        <f t="shared" si="602"/>
        <v>0.33333552523425941</v>
      </c>
      <c r="X1081" s="863">
        <f t="shared" si="602"/>
        <v>0.39878096943208446</v>
      </c>
      <c r="Y1081" s="863">
        <f t="shared" si="602"/>
        <v>0.26261229550397697</v>
      </c>
      <c r="Z1081" s="863">
        <f t="shared" si="602"/>
        <v>0.39649364481675681</v>
      </c>
      <c r="AA1081" s="863">
        <f t="shared" si="602"/>
        <v>0.30669406460804916</v>
      </c>
      <c r="AB1081" s="863">
        <f t="shared" si="602"/>
        <v>0.39171705954476804</v>
      </c>
      <c r="AC1081" s="863">
        <f t="shared" si="602"/>
        <v>0.33936974564867839</v>
      </c>
      <c r="AD1081" s="863">
        <f t="shared" si="602"/>
        <v>0.37475051082474609</v>
      </c>
      <c r="AE1081" s="863">
        <f t="shared" si="602"/>
        <v>0.32662931625886121</v>
      </c>
      <c r="AF1081" s="863">
        <f t="shared" si="602"/>
        <v>0.3688638619615715</v>
      </c>
      <c r="AG1081" s="863">
        <f t="shared" si="602"/>
        <v>0.35961723141257074</v>
      </c>
      <c r="AH1081" s="863">
        <f t="shared" si="602"/>
        <v>0.34808775031544292</v>
      </c>
      <c r="AI1081" s="863">
        <f t="shared" si="602"/>
        <v>0.35321906818183235</v>
      </c>
    </row>
    <row r="1082" spans="1:35" s="998" customFormat="1">
      <c r="A1082" s="990" t="s">
        <v>1129</v>
      </c>
      <c r="B1082" s="990"/>
      <c r="C1082" s="990" t="s">
        <v>1129</v>
      </c>
      <c r="D1082" s="1121" t="s">
        <v>999</v>
      </c>
      <c r="E1082" s="1243">
        <v>1</v>
      </c>
      <c r="F1082" s="999"/>
      <c r="G1082" s="999"/>
      <c r="H1082" s="1000"/>
      <c r="I1082" s="1312" t="s">
        <v>97</v>
      </c>
      <c r="J1082" s="1313"/>
      <c r="K1082" s="1313"/>
      <c r="L1082" s="1313"/>
      <c r="M1082" s="1313"/>
      <c r="N1082" s="1313"/>
      <c r="O1082" s="1313"/>
      <c r="P1082" s="1314"/>
      <c r="Q1082" s="2793">
        <f>Q1084+Q1085+Q1086</f>
        <v>92668</v>
      </c>
      <c r="R1082" s="2793">
        <f t="shared" ref="R1082:AB1082" si="603">R1084+R1085+R1086</f>
        <v>72981</v>
      </c>
      <c r="S1082" s="2793">
        <f t="shared" si="603"/>
        <v>76079</v>
      </c>
      <c r="T1082" s="2793">
        <f t="shared" si="603"/>
        <v>79713</v>
      </c>
      <c r="U1082" s="2793">
        <f t="shared" si="603"/>
        <v>86043</v>
      </c>
      <c r="V1082" s="2793">
        <f t="shared" si="603"/>
        <v>93191</v>
      </c>
      <c r="W1082" s="2793">
        <f t="shared" si="603"/>
        <v>105634</v>
      </c>
      <c r="X1082" s="2793">
        <f t="shared" si="603"/>
        <v>112748</v>
      </c>
      <c r="Y1082" s="2793">
        <f t="shared" si="603"/>
        <v>92860</v>
      </c>
      <c r="Z1082" s="2793">
        <f t="shared" si="603"/>
        <v>83269</v>
      </c>
      <c r="AA1082" s="2793">
        <f t="shared" si="603"/>
        <v>62137.56248169663</v>
      </c>
      <c r="AB1082" s="2793">
        <f t="shared" si="603"/>
        <v>131910.84256064356</v>
      </c>
      <c r="AC1082" s="2793">
        <f>SUM(Q1082:S1082)</f>
        <v>241728</v>
      </c>
      <c r="AD1082" s="2793">
        <f>SUM(T1082:V1082)</f>
        <v>258947</v>
      </c>
      <c r="AE1082" s="2793">
        <f>SUM(W1082:Y1082)</f>
        <v>311242</v>
      </c>
      <c r="AF1082" s="2793">
        <f>SUM(Z1082:AB1082)</f>
        <v>277317.40504234016</v>
      </c>
      <c r="AG1082" s="2793">
        <f>AC1082+AD1082</f>
        <v>500675</v>
      </c>
      <c r="AH1082" s="2793">
        <f>AF1082+AE1082</f>
        <v>588559.40504234016</v>
      </c>
      <c r="AI1082" s="2793">
        <f>AG1082+AH1082</f>
        <v>1089234.40504234</v>
      </c>
    </row>
    <row r="1083" spans="1:35" s="619" customFormat="1" ht="14.5">
      <c r="A1083" s="1024" t="s">
        <v>1129</v>
      </c>
      <c r="B1083" s="1024"/>
      <c r="C1083" s="1024" t="s">
        <v>1129</v>
      </c>
      <c r="D1083" s="1121" t="s">
        <v>999</v>
      </c>
      <c r="E1083" s="1243">
        <v>1</v>
      </c>
      <c r="F1083" s="1214"/>
      <c r="G1083" s="1214"/>
      <c r="H1083" s="1025"/>
      <c r="I1083" s="1219"/>
      <c r="J1083" s="1220"/>
      <c r="K1083" s="1221"/>
      <c r="L1083" s="1221"/>
      <c r="M1083" s="1220"/>
      <c r="N1083" s="1220"/>
      <c r="O1083" s="1220"/>
      <c r="P1083" s="1222" t="s">
        <v>135</v>
      </c>
      <c r="Q1083" s="864">
        <f>IFERROR(Q1082/Q1078,0)</f>
        <v>0.24001160327170823</v>
      </c>
      <c r="R1083" s="864">
        <f t="shared" ref="R1083:AI1083" si="604">IFERROR(R1082/R1078,0)</f>
        <v>0.44723134621041277</v>
      </c>
      <c r="S1083" s="864">
        <f t="shared" si="604"/>
        <v>0.2081191612753211</v>
      </c>
      <c r="T1083" s="864">
        <f t="shared" si="604"/>
        <v>0.22817126369663038</v>
      </c>
      <c r="U1083" s="864">
        <f t="shared" si="604"/>
        <v>0.21583215646533235</v>
      </c>
      <c r="V1083" s="864">
        <f t="shared" si="604"/>
        <v>0.19578434750455895</v>
      </c>
      <c r="W1083" s="864">
        <f t="shared" si="604"/>
        <v>0.23153926242533837</v>
      </c>
      <c r="X1083" s="864">
        <f t="shared" si="604"/>
        <v>0.29685369000289619</v>
      </c>
      <c r="Y1083" s="864">
        <f t="shared" si="604"/>
        <v>0.19513937776470217</v>
      </c>
      <c r="Z1083" s="864">
        <f t="shared" si="604"/>
        <v>0.18991198761121286</v>
      </c>
      <c r="AA1083" s="864">
        <f t="shared" si="604"/>
        <v>0.1598036258938749</v>
      </c>
      <c r="AB1083" s="864">
        <f t="shared" si="604"/>
        <v>0.24997932971750975</v>
      </c>
      <c r="AC1083" s="864">
        <f t="shared" si="604"/>
        <v>0.26423067715888188</v>
      </c>
      <c r="AD1083" s="864">
        <f t="shared" si="604"/>
        <v>0.21155783369458031</v>
      </c>
      <c r="AE1083" s="864">
        <f t="shared" si="604"/>
        <v>0.23724521686104125</v>
      </c>
      <c r="AF1083" s="864">
        <f t="shared" si="604"/>
        <v>0.20466455720346732</v>
      </c>
      <c r="AG1083" s="864">
        <f t="shared" si="604"/>
        <v>0.23408738763758638</v>
      </c>
      <c r="AH1083" s="864">
        <f t="shared" si="604"/>
        <v>0.22069170775730493</v>
      </c>
      <c r="AI1083" s="864">
        <f t="shared" si="604"/>
        <v>0.22665359718867276</v>
      </c>
    </row>
    <row r="1084" spans="1:35" s="998" customFormat="1">
      <c r="A1084" s="990" t="s">
        <v>1129</v>
      </c>
      <c r="B1084" s="990"/>
      <c r="C1084" s="990" t="s">
        <v>1129</v>
      </c>
      <c r="D1084" s="1121" t="s">
        <v>999</v>
      </c>
      <c r="E1084" s="1243">
        <v>1</v>
      </c>
      <c r="F1084" s="999"/>
      <c r="G1084" s="999"/>
      <c r="H1084" s="1000"/>
      <c r="I1084" s="1223"/>
      <c r="J1084" s="1224" t="s">
        <v>143</v>
      </c>
      <c r="K1084" s="1224"/>
      <c r="L1084" s="1225"/>
      <c r="M1084" s="1224"/>
      <c r="N1084" s="1224"/>
      <c r="O1084" s="1224"/>
      <c r="P1084" s="1226"/>
      <c r="Q1084" s="2794">
        <f t="shared" ref="Q1084:AB1086" si="605">Q160+Q242</f>
        <v>24519</v>
      </c>
      <c r="R1084" s="2794">
        <f t="shared" si="605"/>
        <v>15753</v>
      </c>
      <c r="S1084" s="2794">
        <f t="shared" si="605"/>
        <v>20197</v>
      </c>
      <c r="T1084" s="2794">
        <f t="shared" si="605"/>
        <v>19814</v>
      </c>
      <c r="U1084" s="2794">
        <f t="shared" si="605"/>
        <v>21712</v>
      </c>
      <c r="V1084" s="2794">
        <f t="shared" si="605"/>
        <v>28763</v>
      </c>
      <c r="W1084" s="2794">
        <f t="shared" si="605"/>
        <v>28206</v>
      </c>
      <c r="X1084" s="2794">
        <f t="shared" si="605"/>
        <v>27484</v>
      </c>
      <c r="Y1084" s="2794">
        <f t="shared" si="605"/>
        <v>30220</v>
      </c>
      <c r="Z1084" s="2794">
        <f t="shared" si="605"/>
        <v>24206</v>
      </c>
      <c r="AA1084" s="2794">
        <f t="shared" si="605"/>
        <v>6133.9344105376485</v>
      </c>
      <c r="AB1084" s="2794">
        <f t="shared" si="605"/>
        <v>22631.126446588733</v>
      </c>
      <c r="AC1084" s="2795">
        <f>SUM(Q1084:S1084)</f>
        <v>60469</v>
      </c>
      <c r="AD1084" s="2795">
        <f>SUM(T1084:V1084)</f>
        <v>70289</v>
      </c>
      <c r="AE1084" s="2795">
        <f>SUM(W1084:Y1084)</f>
        <v>85910</v>
      </c>
      <c r="AF1084" s="2795">
        <f>SUM(Z1084:AB1084)</f>
        <v>52971.06085712638</v>
      </c>
      <c r="AG1084" s="2795">
        <f>AC1084+AD1084</f>
        <v>130758</v>
      </c>
      <c r="AH1084" s="2795">
        <f>AF1084+AE1084</f>
        <v>138881.06085712637</v>
      </c>
      <c r="AI1084" s="2795">
        <f>AG1084+AH1084</f>
        <v>269639.06085712637</v>
      </c>
    </row>
    <row r="1085" spans="1:35" s="998" customFormat="1">
      <c r="A1085" s="990" t="s">
        <v>1129</v>
      </c>
      <c r="B1085" s="990"/>
      <c r="C1085" s="990" t="s">
        <v>1129</v>
      </c>
      <c r="D1085" s="1121" t="s">
        <v>999</v>
      </c>
      <c r="E1085" s="1243">
        <v>1</v>
      </c>
      <c r="F1085" s="999"/>
      <c r="G1085" s="999"/>
      <c r="H1085" s="1000"/>
      <c r="I1085" s="1223"/>
      <c r="J1085" s="1022" t="s">
        <v>96</v>
      </c>
      <c r="K1085" s="1022"/>
      <c r="L1085" s="1227"/>
      <c r="M1085" s="1022"/>
      <c r="N1085" s="1022"/>
      <c r="O1085" s="1022"/>
      <c r="P1085" s="1228"/>
      <c r="Q1085" s="2794">
        <f t="shared" si="605"/>
        <v>31661</v>
      </c>
      <c r="R1085" s="2794">
        <f t="shared" si="605"/>
        <v>29759</v>
      </c>
      <c r="S1085" s="2794">
        <f t="shared" si="605"/>
        <v>30590</v>
      </c>
      <c r="T1085" s="2794">
        <f t="shared" si="605"/>
        <v>30006</v>
      </c>
      <c r="U1085" s="2794">
        <f t="shared" si="605"/>
        <v>30601</v>
      </c>
      <c r="V1085" s="2794">
        <f t="shared" si="605"/>
        <v>29327</v>
      </c>
      <c r="W1085" s="2794">
        <f t="shared" si="605"/>
        <v>28104</v>
      </c>
      <c r="X1085" s="2794">
        <f t="shared" si="605"/>
        <v>26602</v>
      </c>
      <c r="Y1085" s="2794">
        <f t="shared" si="605"/>
        <v>28764</v>
      </c>
      <c r="Z1085" s="2794">
        <f t="shared" si="605"/>
        <v>28009</v>
      </c>
      <c r="AA1085" s="2794">
        <f t="shared" si="605"/>
        <v>43105.011004643842</v>
      </c>
      <c r="AB1085" s="2794">
        <f t="shared" si="605"/>
        <v>41581.716114054827</v>
      </c>
      <c r="AC1085" s="2794">
        <f>SUM(Q1085:S1085)</f>
        <v>92010</v>
      </c>
      <c r="AD1085" s="2794">
        <f>SUM(T1085:V1085)</f>
        <v>89934</v>
      </c>
      <c r="AE1085" s="2794">
        <f>SUM(W1085:Y1085)</f>
        <v>83470</v>
      </c>
      <c r="AF1085" s="2794">
        <f>SUM(Z1085:AB1085)</f>
        <v>112695.72711869866</v>
      </c>
      <c r="AG1085" s="2794">
        <f>AC1085+AD1085</f>
        <v>181944</v>
      </c>
      <c r="AH1085" s="2794">
        <f>AF1085+AE1085</f>
        <v>196165.72711869865</v>
      </c>
      <c r="AI1085" s="2794">
        <f>AG1085+AH1085</f>
        <v>378109.72711869865</v>
      </c>
    </row>
    <row r="1086" spans="1:35" s="998" customFormat="1">
      <c r="A1086" s="990" t="s">
        <v>1129</v>
      </c>
      <c r="B1086" s="990"/>
      <c r="C1086" s="990" t="s">
        <v>1129</v>
      </c>
      <c r="D1086" s="1121" t="s">
        <v>999</v>
      </c>
      <c r="E1086" s="1243">
        <v>1</v>
      </c>
      <c r="F1086" s="999"/>
      <c r="G1086" s="999"/>
      <c r="H1086" s="1000"/>
      <c r="I1086" s="1223"/>
      <c r="J1086" s="1022" t="s">
        <v>142</v>
      </c>
      <c r="K1086" s="1022"/>
      <c r="L1086" s="1227"/>
      <c r="M1086" s="1022"/>
      <c r="N1086" s="1022"/>
      <c r="O1086" s="1022"/>
      <c r="P1086" s="1228"/>
      <c r="Q1086" s="2794">
        <f t="shared" si="605"/>
        <v>36488</v>
      </c>
      <c r="R1086" s="2794">
        <f t="shared" si="605"/>
        <v>27469</v>
      </c>
      <c r="S1086" s="2794">
        <f t="shared" si="605"/>
        <v>25292</v>
      </c>
      <c r="T1086" s="2794">
        <f t="shared" si="605"/>
        <v>29893</v>
      </c>
      <c r="U1086" s="2794">
        <f t="shared" si="605"/>
        <v>33730</v>
      </c>
      <c r="V1086" s="2794">
        <f t="shared" si="605"/>
        <v>35101</v>
      </c>
      <c r="W1086" s="2794">
        <f t="shared" si="605"/>
        <v>49324</v>
      </c>
      <c r="X1086" s="2794">
        <f t="shared" si="605"/>
        <v>58662</v>
      </c>
      <c r="Y1086" s="2794">
        <f t="shared" si="605"/>
        <v>33876</v>
      </c>
      <c r="Z1086" s="2794">
        <f t="shared" si="605"/>
        <v>31054</v>
      </c>
      <c r="AA1086" s="2794">
        <f t="shared" si="605"/>
        <v>12898.617066515135</v>
      </c>
      <c r="AB1086" s="2794">
        <f t="shared" si="605"/>
        <v>67698</v>
      </c>
      <c r="AC1086" s="2794">
        <f>SUM(Q1086:S1086)</f>
        <v>89249</v>
      </c>
      <c r="AD1086" s="2794">
        <f>SUM(T1086:V1086)</f>
        <v>98724</v>
      </c>
      <c r="AE1086" s="2794">
        <f>SUM(W1086:Y1086)</f>
        <v>141862</v>
      </c>
      <c r="AF1086" s="2794">
        <f>SUM(Z1086:AB1086)</f>
        <v>111650.61706651514</v>
      </c>
      <c r="AG1086" s="2794">
        <f>AC1086+AD1086</f>
        <v>187973</v>
      </c>
      <c r="AH1086" s="2794">
        <f>AF1086+AE1086</f>
        <v>253512.61706651514</v>
      </c>
      <c r="AI1086" s="2794">
        <f>AG1086+AH1086</f>
        <v>441485.61706651514</v>
      </c>
    </row>
    <row r="1087" spans="1:35" s="998" customFormat="1">
      <c r="A1087" s="990" t="s">
        <v>1129</v>
      </c>
      <c r="B1087" s="990"/>
      <c r="C1087" s="990" t="s">
        <v>1129</v>
      </c>
      <c r="D1087" s="1121" t="s">
        <v>999</v>
      </c>
      <c r="E1087" s="1243">
        <v>1</v>
      </c>
      <c r="F1087" s="999"/>
      <c r="G1087" s="999"/>
      <c r="H1087" s="1000"/>
      <c r="I1087" s="1312" t="s">
        <v>136</v>
      </c>
      <c r="J1087" s="1313"/>
      <c r="K1087" s="1313"/>
      <c r="L1087" s="1313"/>
      <c r="M1087" s="1313"/>
      <c r="N1087" s="1313"/>
      <c r="O1087" s="1313"/>
      <c r="P1087" s="1314"/>
      <c r="Q1087" s="2793">
        <f>Q1080-Q1082</f>
        <v>41250</v>
      </c>
      <c r="R1087" s="2793">
        <f t="shared" ref="R1087:AB1087" si="606">R1080-R1082</f>
        <v>-18717</v>
      </c>
      <c r="S1087" s="2793">
        <f t="shared" si="606"/>
        <v>46207</v>
      </c>
      <c r="T1087" s="2793">
        <f t="shared" si="606"/>
        <v>46839</v>
      </c>
      <c r="U1087" s="2793">
        <f t="shared" si="606"/>
        <v>68263</v>
      </c>
      <c r="V1087" s="2793">
        <f t="shared" si="606"/>
        <v>84646</v>
      </c>
      <c r="W1087" s="2793">
        <f t="shared" si="606"/>
        <v>46442</v>
      </c>
      <c r="X1087" s="2793">
        <f t="shared" si="606"/>
        <v>38713</v>
      </c>
      <c r="Y1087" s="2793">
        <f t="shared" si="606"/>
        <v>32108</v>
      </c>
      <c r="Z1087" s="2793">
        <f t="shared" si="606"/>
        <v>90578</v>
      </c>
      <c r="AA1087" s="2793">
        <f t="shared" si="606"/>
        <v>57116.43751830337</v>
      </c>
      <c r="AB1087" s="2793">
        <f t="shared" si="606"/>
        <v>74793.157439356437</v>
      </c>
      <c r="AC1087" s="2793">
        <f>SUM(Q1087:S1087)</f>
        <v>68740</v>
      </c>
      <c r="AD1087" s="2793">
        <f>SUM(T1087:V1087)</f>
        <v>199748</v>
      </c>
      <c r="AE1087" s="2793">
        <f>SUM(W1087:Y1087)</f>
        <v>117263</v>
      </c>
      <c r="AF1087" s="2793">
        <f>SUM(Z1087:AB1087)</f>
        <v>222487.59495765981</v>
      </c>
      <c r="AG1087" s="2793">
        <f>AC1087+AD1087</f>
        <v>268488</v>
      </c>
      <c r="AH1087" s="2793">
        <f>AF1087+AE1087</f>
        <v>339750.59495765984</v>
      </c>
      <c r="AI1087" s="2793">
        <f>AG1087+AH1087</f>
        <v>608238.59495765984</v>
      </c>
    </row>
    <row r="1088" spans="1:35" s="619" customFormat="1" ht="14.5">
      <c r="A1088" s="1024" t="s">
        <v>1129</v>
      </c>
      <c r="B1088" s="1024"/>
      <c r="C1088" s="1024" t="s">
        <v>1129</v>
      </c>
      <c r="D1088" s="1121" t="s">
        <v>999</v>
      </c>
      <c r="E1088" s="1243">
        <v>1</v>
      </c>
      <c r="F1088" s="1214"/>
      <c r="G1088" s="1214"/>
      <c r="H1088" s="1025"/>
      <c r="I1088" s="1219"/>
      <c r="J1088" s="1220"/>
      <c r="K1088" s="1221"/>
      <c r="L1088" s="1221"/>
      <c r="M1088" s="1220"/>
      <c r="N1088" s="1220"/>
      <c r="O1088" s="1220"/>
      <c r="P1088" s="1222" t="s">
        <v>135</v>
      </c>
      <c r="Q1088" s="865">
        <f>IFERROR(Q1087/Q1078,0)</f>
        <v>0.10683816025983041</v>
      </c>
      <c r="R1088" s="865">
        <f t="shared" ref="R1088:AI1088" si="607">IFERROR(R1087/R1078,0)</f>
        <v>-0.11469874497499755</v>
      </c>
      <c r="S1088" s="865">
        <f t="shared" si="607"/>
        <v>0.12640231976036437</v>
      </c>
      <c r="T1088" s="865">
        <f t="shared" si="607"/>
        <v>0.13407240751554289</v>
      </c>
      <c r="U1088" s="865">
        <f t="shared" si="607"/>
        <v>0.1712324128260635</v>
      </c>
      <c r="V1088" s="865">
        <f t="shared" si="607"/>
        <v>0.17783221425750229</v>
      </c>
      <c r="W1088" s="865">
        <f t="shared" si="607"/>
        <v>0.10179626280892104</v>
      </c>
      <c r="X1088" s="865">
        <f t="shared" si="607"/>
        <v>0.10192727942918828</v>
      </c>
      <c r="Y1088" s="865">
        <f t="shared" si="607"/>
        <v>6.7472917739274788E-2</v>
      </c>
      <c r="Z1088" s="865">
        <f t="shared" si="607"/>
        <v>0.20658165720554394</v>
      </c>
      <c r="AA1088" s="865">
        <f t="shared" si="607"/>
        <v>0.14689043871417423</v>
      </c>
      <c r="AB1088" s="865">
        <f t="shared" si="607"/>
        <v>0.14173772982725827</v>
      </c>
      <c r="AC1088" s="865">
        <f t="shared" si="607"/>
        <v>7.513906848979654E-2</v>
      </c>
      <c r="AD1088" s="865">
        <f t="shared" si="607"/>
        <v>0.16319267713016575</v>
      </c>
      <c r="AE1088" s="865">
        <f t="shared" si="607"/>
        <v>8.9384099397819952E-2</v>
      </c>
      <c r="AF1088" s="865">
        <f t="shared" si="607"/>
        <v>0.16419930475810418</v>
      </c>
      <c r="AG1088" s="865">
        <f t="shared" si="607"/>
        <v>0.12552984377498436</v>
      </c>
      <c r="AH1088" s="865">
        <f t="shared" si="607"/>
        <v>0.127396042558138</v>
      </c>
      <c r="AI1088" s="865">
        <f t="shared" si="607"/>
        <v>0.12656547099315957</v>
      </c>
    </row>
    <row r="1089" spans="1:36" s="998" customFormat="1">
      <c r="A1089" s="990" t="s">
        <v>1129</v>
      </c>
      <c r="B1089" s="990"/>
      <c r="C1089" s="990" t="s">
        <v>1129</v>
      </c>
      <c r="D1089" s="1121" t="s">
        <v>999</v>
      </c>
      <c r="E1089" s="1243">
        <v>1</v>
      </c>
      <c r="F1089" s="999"/>
      <c r="G1089" s="999"/>
      <c r="H1089" s="1000"/>
      <c r="I1089" s="1223" t="s">
        <v>504</v>
      </c>
      <c r="J1089" s="1022"/>
      <c r="K1089" s="1227"/>
      <c r="L1089" s="1227"/>
      <c r="M1089" s="1022"/>
      <c r="N1089" s="1022"/>
      <c r="O1089" s="1022"/>
      <c r="P1089" s="1229"/>
      <c r="Q1089" s="1023">
        <f t="shared" ref="Q1089:AB1090" si="608">Q165+Q247</f>
        <v>316</v>
      </c>
      <c r="R1089" s="1023">
        <f t="shared" si="608"/>
        <v>0</v>
      </c>
      <c r="S1089" s="1023">
        <f t="shared" si="608"/>
        <v>4130</v>
      </c>
      <c r="T1089" s="1023">
        <f t="shared" si="608"/>
        <v>1373</v>
      </c>
      <c r="U1089" s="1023">
        <f t="shared" si="608"/>
        <v>1104</v>
      </c>
      <c r="V1089" s="1023">
        <f t="shared" si="608"/>
        <v>0</v>
      </c>
      <c r="W1089" s="1023">
        <f t="shared" si="608"/>
        <v>431</v>
      </c>
      <c r="X1089" s="1023">
        <f t="shared" si="608"/>
        <v>186</v>
      </c>
      <c r="Y1089" s="1023">
        <f t="shared" si="608"/>
        <v>4346</v>
      </c>
      <c r="Z1089" s="1023">
        <f t="shared" si="608"/>
        <v>10</v>
      </c>
      <c r="AA1089" s="1023">
        <f t="shared" si="608"/>
        <v>266</v>
      </c>
      <c r="AB1089" s="1023">
        <f t="shared" si="608"/>
        <v>4872</v>
      </c>
      <c r="AC1089" s="1023">
        <f>SUM(Q1089:S1089)</f>
        <v>4446</v>
      </c>
      <c r="AD1089" s="1023">
        <f>SUM(T1089:V1089)</f>
        <v>2477</v>
      </c>
      <c r="AE1089" s="1023">
        <f>SUM(W1089:Y1089)</f>
        <v>4963</v>
      </c>
      <c r="AF1089" s="1023">
        <f>SUM(Z1089:AB1089)</f>
        <v>5148</v>
      </c>
      <c r="AG1089" s="1023">
        <f>AC1089+AD1089</f>
        <v>6923</v>
      </c>
      <c r="AH1089" s="1023">
        <f>AF1089+AE1089</f>
        <v>10111</v>
      </c>
      <c r="AI1089" s="1023">
        <f>AG1089+AH1089</f>
        <v>17034</v>
      </c>
    </row>
    <row r="1090" spans="1:36" s="998" customFormat="1">
      <c r="A1090" s="990" t="s">
        <v>1129</v>
      </c>
      <c r="B1090" s="990"/>
      <c r="C1090" s="990" t="s">
        <v>1129</v>
      </c>
      <c r="D1090" s="1121" t="s">
        <v>999</v>
      </c>
      <c r="E1090" s="1243">
        <v>1</v>
      </c>
      <c r="F1090" s="999"/>
      <c r="G1090" s="999"/>
      <c r="H1090" s="1000"/>
      <c r="I1090" s="1230" t="s">
        <v>1002</v>
      </c>
      <c r="J1090" s="1231"/>
      <c r="K1090" s="1232"/>
      <c r="L1090" s="1232"/>
      <c r="M1090" s="1231"/>
      <c r="N1090" s="1231"/>
      <c r="O1090" s="1231"/>
      <c r="P1090" s="1233"/>
      <c r="Q1090" s="2796">
        <f t="shared" si="608"/>
        <v>0</v>
      </c>
      <c r="R1090" s="2796">
        <f t="shared" si="608"/>
        <v>0</v>
      </c>
      <c r="S1090" s="2796">
        <f t="shared" si="608"/>
        <v>0</v>
      </c>
      <c r="T1090" s="2796">
        <f t="shared" si="608"/>
        <v>439</v>
      </c>
      <c r="U1090" s="2796">
        <f t="shared" si="608"/>
        <v>0</v>
      </c>
      <c r="V1090" s="2796">
        <f t="shared" si="608"/>
        <v>292</v>
      </c>
      <c r="W1090" s="2796">
        <f t="shared" si="608"/>
        <v>0</v>
      </c>
      <c r="X1090" s="2796">
        <f t="shared" si="608"/>
        <v>0</v>
      </c>
      <c r="Y1090" s="2796">
        <f t="shared" si="608"/>
        <v>0</v>
      </c>
      <c r="Z1090" s="2796">
        <f t="shared" si="608"/>
        <v>0</v>
      </c>
      <c r="AA1090" s="2796">
        <f t="shared" si="608"/>
        <v>0</v>
      </c>
      <c r="AB1090" s="2796">
        <f t="shared" si="608"/>
        <v>0</v>
      </c>
      <c r="AC1090" s="2796">
        <f>SUM(Q1090:S1090)</f>
        <v>0</v>
      </c>
      <c r="AD1090" s="2796">
        <f>SUM(T1090:V1090)</f>
        <v>731</v>
      </c>
      <c r="AE1090" s="2796">
        <f>SUM(W1090:Y1090)</f>
        <v>0</v>
      </c>
      <c r="AF1090" s="2796">
        <f>SUM(Z1090:AB1090)</f>
        <v>0</v>
      </c>
      <c r="AG1090" s="2796">
        <f>AC1090+AD1090</f>
        <v>731</v>
      </c>
      <c r="AH1090" s="2796">
        <f>AF1090+AE1090</f>
        <v>0</v>
      </c>
      <c r="AI1090" s="2796">
        <f>AG1090+AH1090</f>
        <v>731</v>
      </c>
    </row>
    <row r="1091" spans="1:36" s="998" customFormat="1">
      <c r="A1091" s="990" t="s">
        <v>1129</v>
      </c>
      <c r="B1091" s="990"/>
      <c r="C1091" s="990" t="s">
        <v>1129</v>
      </c>
      <c r="D1091" s="1121" t="s">
        <v>999</v>
      </c>
      <c r="E1091" s="1243">
        <v>1</v>
      </c>
      <c r="F1091" s="999"/>
      <c r="G1091" s="999"/>
      <c r="H1091" s="1000"/>
      <c r="I1091" s="1306" t="s">
        <v>10</v>
      </c>
      <c r="J1091" s="1307"/>
      <c r="K1091" s="1307"/>
      <c r="L1091" s="1307"/>
      <c r="M1091" s="1307"/>
      <c r="N1091" s="1307"/>
      <c r="O1091" s="1307"/>
      <c r="P1091" s="1308"/>
      <c r="Q1091" s="2791">
        <f>Q1087+Q1089-Q1090</f>
        <v>41566</v>
      </c>
      <c r="R1091" s="2791">
        <f t="shared" ref="R1091:AB1091" si="609">R1087+R1089-R1090</f>
        <v>-18717</v>
      </c>
      <c r="S1091" s="2791">
        <f t="shared" si="609"/>
        <v>50337</v>
      </c>
      <c r="T1091" s="2791">
        <f t="shared" si="609"/>
        <v>47773</v>
      </c>
      <c r="U1091" s="2791">
        <f t="shared" si="609"/>
        <v>69367</v>
      </c>
      <c r="V1091" s="2791">
        <f t="shared" si="609"/>
        <v>84354</v>
      </c>
      <c r="W1091" s="2791">
        <f t="shared" si="609"/>
        <v>46873</v>
      </c>
      <c r="X1091" s="2791">
        <f t="shared" si="609"/>
        <v>38899</v>
      </c>
      <c r="Y1091" s="2791">
        <f t="shared" si="609"/>
        <v>36454</v>
      </c>
      <c r="Z1091" s="2791">
        <f t="shared" si="609"/>
        <v>90588</v>
      </c>
      <c r="AA1091" s="2791">
        <f t="shared" si="609"/>
        <v>57382.43751830337</v>
      </c>
      <c r="AB1091" s="2791">
        <f t="shared" si="609"/>
        <v>79665.157439356437</v>
      </c>
      <c r="AC1091" s="2791">
        <f>SUM(Q1091:S1091)</f>
        <v>73186</v>
      </c>
      <c r="AD1091" s="2791">
        <f>SUM(T1091:V1091)</f>
        <v>201494</v>
      </c>
      <c r="AE1091" s="2791">
        <f>SUM(W1091:Y1091)</f>
        <v>122226</v>
      </c>
      <c r="AF1091" s="2791">
        <f>SUM(Z1091:AB1091)</f>
        <v>227635.59495765981</v>
      </c>
      <c r="AG1091" s="2791">
        <f>AC1091+AD1091</f>
        <v>274680</v>
      </c>
      <c r="AH1091" s="2791">
        <f>AF1091+AE1091</f>
        <v>349861.59495765984</v>
      </c>
      <c r="AI1091" s="2791">
        <f>AG1091+AH1091</f>
        <v>624541.59495765984</v>
      </c>
    </row>
    <row r="1092" spans="1:36">
      <c r="A1092" s="990" t="s">
        <v>1129</v>
      </c>
      <c r="C1092" s="990" t="s">
        <v>1129</v>
      </c>
      <c r="D1092" s="1121" t="s">
        <v>999</v>
      </c>
      <c r="E1092" s="1243">
        <v>1</v>
      </c>
    </row>
    <row r="1093" spans="1:36" ht="18">
      <c r="A1093" s="990" t="s">
        <v>1129</v>
      </c>
      <c r="C1093" s="990" t="s">
        <v>1129</v>
      </c>
      <c r="D1093" s="1121" t="s">
        <v>999</v>
      </c>
      <c r="E1093" s="1243">
        <v>1</v>
      </c>
      <c r="F1093" s="314" t="s">
        <v>1138</v>
      </c>
      <c r="G1093" s="314"/>
    </row>
    <row r="1094" spans="1:36" ht="14.5">
      <c r="A1094" s="990" t="s">
        <v>1129</v>
      </c>
      <c r="C1094" s="990" t="s">
        <v>1129</v>
      </c>
      <c r="D1094" s="1121" t="s">
        <v>999</v>
      </c>
      <c r="E1094" s="1243">
        <v>1</v>
      </c>
      <c r="I1094" s="985"/>
      <c r="J1094" s="986"/>
      <c r="K1094" s="987"/>
      <c r="L1094" s="987"/>
      <c r="M1094" s="986"/>
      <c r="N1094" s="986"/>
      <c r="O1094" s="986"/>
      <c r="P1094" s="988"/>
      <c r="Q1094" s="2185">
        <f>Q$10</f>
        <v>43922</v>
      </c>
      <c r="R1094" s="2185">
        <f t="shared" ref="R1094:AI1094" si="610">R$10</f>
        <v>43952</v>
      </c>
      <c r="S1094" s="2185">
        <f t="shared" si="610"/>
        <v>43983</v>
      </c>
      <c r="T1094" s="2185">
        <f t="shared" si="610"/>
        <v>44013</v>
      </c>
      <c r="U1094" s="2185">
        <f t="shared" si="610"/>
        <v>44044</v>
      </c>
      <c r="V1094" s="2185">
        <f t="shared" si="610"/>
        <v>44075</v>
      </c>
      <c r="W1094" s="2185">
        <f t="shared" si="610"/>
        <v>44105</v>
      </c>
      <c r="X1094" s="2185">
        <f t="shared" si="610"/>
        <v>44136</v>
      </c>
      <c r="Y1094" s="2185">
        <f t="shared" si="610"/>
        <v>44166</v>
      </c>
      <c r="Z1094" s="2185">
        <f t="shared" si="610"/>
        <v>44197</v>
      </c>
      <c r="AA1094" s="2185">
        <f t="shared" si="610"/>
        <v>44228</v>
      </c>
      <c r="AB1094" s="2185">
        <f t="shared" si="610"/>
        <v>44256</v>
      </c>
      <c r="AC1094" s="2752" t="str">
        <f t="shared" si="610"/>
        <v>Q1</v>
      </c>
      <c r="AD1094" s="2752" t="str">
        <f t="shared" si="610"/>
        <v>Q2</v>
      </c>
      <c r="AE1094" s="2752" t="str">
        <f t="shared" si="610"/>
        <v>Q3</v>
      </c>
      <c r="AF1094" s="2752" t="str">
        <f t="shared" si="610"/>
        <v>Q4</v>
      </c>
      <c r="AG1094" s="2752" t="str">
        <f t="shared" si="610"/>
        <v>1st H</v>
      </c>
      <c r="AH1094" s="2752" t="str">
        <f t="shared" si="610"/>
        <v>2nd H</v>
      </c>
      <c r="AI1094" s="2752" t="str">
        <f t="shared" si="610"/>
        <v>Yr.</v>
      </c>
    </row>
    <row r="1095" spans="1:36" s="998" customFormat="1">
      <c r="A1095" s="990" t="s">
        <v>1129</v>
      </c>
      <c r="B1095" s="990"/>
      <c r="C1095" s="990" t="s">
        <v>1129</v>
      </c>
      <c r="D1095" s="1121" t="s">
        <v>999</v>
      </c>
      <c r="E1095" s="1243">
        <v>1</v>
      </c>
      <c r="F1095" s="999"/>
      <c r="G1095" s="999"/>
      <c r="H1095" s="1000"/>
      <c r="I1095" s="1315" t="s">
        <v>9</v>
      </c>
      <c r="J1095" s="1316"/>
      <c r="K1095" s="1316"/>
      <c r="L1095" s="1316"/>
      <c r="M1095" s="1316"/>
      <c r="N1095" s="1316"/>
      <c r="O1095" s="1316"/>
      <c r="P1095" s="1317" t="s">
        <v>518</v>
      </c>
      <c r="Q1095" s="2140">
        <f t="shared" ref="Q1095:AI1095" si="611">Q11</f>
        <v>536747</v>
      </c>
      <c r="R1095" s="2140">
        <f t="shared" si="611"/>
        <v>239742</v>
      </c>
      <c r="S1095" s="2140">
        <f t="shared" si="611"/>
        <v>492039</v>
      </c>
      <c r="T1095" s="2140">
        <f t="shared" si="611"/>
        <v>513291</v>
      </c>
      <c r="U1095" s="2140">
        <f t="shared" si="611"/>
        <v>587099</v>
      </c>
      <c r="V1095" s="2140">
        <f t="shared" si="611"/>
        <v>739620</v>
      </c>
      <c r="W1095" s="2140">
        <f t="shared" si="611"/>
        <v>620462</v>
      </c>
      <c r="X1095" s="2140">
        <f t="shared" si="611"/>
        <v>584851</v>
      </c>
      <c r="Y1095" s="2140">
        <f t="shared" si="611"/>
        <v>726746</v>
      </c>
      <c r="Z1095" s="2140">
        <f t="shared" si="611"/>
        <v>608182</v>
      </c>
      <c r="AA1095" s="2140">
        <f t="shared" si="611"/>
        <v>561379</v>
      </c>
      <c r="AB1095" s="2140">
        <f t="shared" si="611"/>
        <v>770388</v>
      </c>
      <c r="AC1095" s="2140">
        <f t="shared" si="611"/>
        <v>1268528</v>
      </c>
      <c r="AD1095" s="2140">
        <f t="shared" si="611"/>
        <v>1840010</v>
      </c>
      <c r="AE1095" s="2140">
        <f t="shared" si="611"/>
        <v>1932059</v>
      </c>
      <c r="AF1095" s="2140">
        <f t="shared" si="611"/>
        <v>1939949</v>
      </c>
      <c r="AG1095" s="2140">
        <f t="shared" si="611"/>
        <v>3108538</v>
      </c>
      <c r="AH1095" s="2140">
        <f t="shared" si="611"/>
        <v>3872008</v>
      </c>
      <c r="AI1095" s="2140">
        <f t="shared" si="611"/>
        <v>6980546</v>
      </c>
    </row>
    <row r="1096" spans="1:36" s="998" customFormat="1">
      <c r="A1096" s="990" t="s">
        <v>1129</v>
      </c>
      <c r="B1096" s="990"/>
      <c r="C1096" s="990" t="s">
        <v>1129</v>
      </c>
      <c r="D1096" s="1121" t="s">
        <v>999</v>
      </c>
      <c r="E1096" s="1243">
        <v>1</v>
      </c>
      <c r="F1096" s="999"/>
      <c r="G1096" s="999"/>
      <c r="H1096" s="1000"/>
      <c r="I1096" s="1318" t="s">
        <v>1139</v>
      </c>
      <c r="J1096" s="1319"/>
      <c r="K1096" s="1319"/>
      <c r="L1096" s="1320"/>
      <c r="M1096" s="1321"/>
      <c r="N1096" s="1321"/>
      <c r="O1096" s="1321"/>
      <c r="P1096" s="1322" t="s">
        <v>519</v>
      </c>
      <c r="Q1096" s="1005">
        <f>SUM(Q1098:Q1100)</f>
        <v>379768</v>
      </c>
      <c r="R1096" s="1005">
        <f t="shared" ref="R1096:AI1096" si="612">SUM(R1098:R1100)</f>
        <v>169971</v>
      </c>
      <c r="S1096" s="1005">
        <f t="shared" si="612"/>
        <v>339855</v>
      </c>
      <c r="T1096" s="1005">
        <f t="shared" si="612"/>
        <v>343322</v>
      </c>
      <c r="U1096" s="1005">
        <f t="shared" si="612"/>
        <v>392206</v>
      </c>
      <c r="V1096" s="1005">
        <f t="shared" si="612"/>
        <v>495328</v>
      </c>
      <c r="W1096" s="1005">
        <f t="shared" si="612"/>
        <v>434313</v>
      </c>
      <c r="X1096" s="1005">
        <f t="shared" si="612"/>
        <v>382760</v>
      </c>
      <c r="Y1096" s="1005">
        <f t="shared" si="612"/>
        <v>539081</v>
      </c>
      <c r="Z1096" s="1005">
        <f t="shared" si="612"/>
        <v>405196</v>
      </c>
      <c r="AA1096" s="1005">
        <f t="shared" si="612"/>
        <v>391540.80000000005</v>
      </c>
      <c r="AB1096" s="1005">
        <f t="shared" si="612"/>
        <v>525941.89318999997</v>
      </c>
      <c r="AC1096" s="1005">
        <f t="shared" si="612"/>
        <v>889594</v>
      </c>
      <c r="AD1096" s="1005">
        <f t="shared" si="612"/>
        <v>1230856</v>
      </c>
      <c r="AE1096" s="1005">
        <f t="shared" si="612"/>
        <v>1356154</v>
      </c>
      <c r="AF1096" s="1005">
        <f t="shared" si="612"/>
        <v>1322678.69319</v>
      </c>
      <c r="AG1096" s="1005">
        <f t="shared" si="612"/>
        <v>2120450</v>
      </c>
      <c r="AH1096" s="1005">
        <f t="shared" si="612"/>
        <v>2678832.69319</v>
      </c>
      <c r="AI1096" s="1005">
        <f t="shared" si="612"/>
        <v>4799282.69319</v>
      </c>
    </row>
    <row r="1097" spans="1:36" s="1030" customFormat="1" ht="14.5">
      <c r="A1097" s="990" t="s">
        <v>1129</v>
      </c>
      <c r="B1097" s="990"/>
      <c r="C1097" s="990" t="s">
        <v>1129</v>
      </c>
      <c r="D1097" s="1121" t="s">
        <v>999</v>
      </c>
      <c r="E1097" s="1243">
        <v>1</v>
      </c>
      <c r="F1097" s="1025"/>
      <c r="G1097" s="1025"/>
      <c r="H1097" s="1025"/>
      <c r="I1097" s="1323"/>
      <c r="J1097" s="1324" t="s">
        <v>135</v>
      </c>
      <c r="K1097" s="1324"/>
      <c r="L1097" s="1324"/>
      <c r="M1097" s="1325"/>
      <c r="N1097" s="1325"/>
      <c r="O1097" s="1325"/>
      <c r="P1097" s="1326"/>
      <c r="Q1097" s="1029">
        <f>IFERROR(Q1096/Q1095,0)</f>
        <v>0.70753632530782662</v>
      </c>
      <c r="R1097" s="1029">
        <f t="shared" ref="R1097:AI1097" si="613">IFERROR(R1096/R1095,0)</f>
        <v>0.70897464774632735</v>
      </c>
      <c r="S1097" s="1029">
        <f t="shared" si="613"/>
        <v>0.69070744392212813</v>
      </c>
      <c r="T1097" s="1029">
        <f t="shared" si="613"/>
        <v>0.66886425049338483</v>
      </c>
      <c r="U1097" s="1029">
        <f t="shared" si="613"/>
        <v>0.66804065413158598</v>
      </c>
      <c r="V1097" s="1029">
        <f t="shared" si="613"/>
        <v>0.6697060652767638</v>
      </c>
      <c r="W1097" s="1029">
        <f t="shared" si="613"/>
        <v>0.69998323829662412</v>
      </c>
      <c r="X1097" s="1029">
        <f t="shared" si="613"/>
        <v>0.65445728912150269</v>
      </c>
      <c r="Y1097" s="1029">
        <f t="shared" si="613"/>
        <v>0.74177360453308305</v>
      </c>
      <c r="Z1097" s="1029">
        <f t="shared" si="613"/>
        <v>0.66624135538375029</v>
      </c>
      <c r="AA1097" s="1029">
        <f t="shared" si="613"/>
        <v>0.69746249859720444</v>
      </c>
      <c r="AB1097" s="1029">
        <f t="shared" si="613"/>
        <v>0.68269741116164839</v>
      </c>
      <c r="AC1097" s="1029">
        <f t="shared" si="613"/>
        <v>0.70128053933377898</v>
      </c>
      <c r="AD1097" s="1029">
        <f t="shared" si="613"/>
        <v>0.66893984271824614</v>
      </c>
      <c r="AE1097" s="1029">
        <f t="shared" si="613"/>
        <v>0.70192162868732266</v>
      </c>
      <c r="AF1097" s="1029">
        <f t="shared" si="613"/>
        <v>0.68181106471871167</v>
      </c>
      <c r="AG1097" s="1029">
        <f t="shared" si="613"/>
        <v>0.68213739063186618</v>
      </c>
      <c r="AH1097" s="1029">
        <f t="shared" si="613"/>
        <v>0.69184585703077062</v>
      </c>
      <c r="AI1097" s="1029">
        <f t="shared" si="613"/>
        <v>0.68752253665973984</v>
      </c>
    </row>
    <row r="1098" spans="1:36" s="1002" customFormat="1">
      <c r="A1098" s="990" t="s">
        <v>1129</v>
      </c>
      <c r="B1098" s="990"/>
      <c r="C1098" s="990" t="s">
        <v>1129</v>
      </c>
      <c r="D1098" s="1121" t="s">
        <v>999</v>
      </c>
      <c r="E1098" s="1243">
        <v>1</v>
      </c>
      <c r="F1098" s="1000"/>
      <c r="G1098" s="1000"/>
      <c r="H1098" s="1000"/>
      <c r="I1098" s="1327"/>
      <c r="J1098" s="1321" t="s">
        <v>1140</v>
      </c>
      <c r="K1098" s="1321"/>
      <c r="L1098" s="1321"/>
      <c r="M1098" s="1321"/>
      <c r="N1098" s="1321"/>
      <c r="O1098" s="1321"/>
      <c r="P1098" s="1322"/>
      <c r="Q1098" s="1006">
        <f t="shared" ref="Q1098:AI1098" si="614">Q13-Q1105</f>
        <v>333303</v>
      </c>
      <c r="R1098" s="1006">
        <f t="shared" si="614"/>
        <v>138838</v>
      </c>
      <c r="S1098" s="1006">
        <f t="shared" si="614"/>
        <v>304492</v>
      </c>
      <c r="T1098" s="1006">
        <f t="shared" si="614"/>
        <v>305168</v>
      </c>
      <c r="U1098" s="1006">
        <f t="shared" si="614"/>
        <v>345054</v>
      </c>
      <c r="V1098" s="1006">
        <f t="shared" si="614"/>
        <v>443961</v>
      </c>
      <c r="W1098" s="1006">
        <f t="shared" si="614"/>
        <v>387423</v>
      </c>
      <c r="X1098" s="1006">
        <f t="shared" si="614"/>
        <v>336479</v>
      </c>
      <c r="Y1098" s="1006">
        <f t="shared" si="614"/>
        <v>490289</v>
      </c>
      <c r="Z1098" s="1006">
        <f t="shared" si="614"/>
        <v>363662</v>
      </c>
      <c r="AA1098" s="1006">
        <f t="shared" si="614"/>
        <v>370491</v>
      </c>
      <c r="AB1098" s="1006">
        <f t="shared" si="614"/>
        <v>478603</v>
      </c>
      <c r="AC1098" s="1006">
        <f t="shared" si="614"/>
        <v>776633</v>
      </c>
      <c r="AD1098" s="1006">
        <f t="shared" si="614"/>
        <v>1094183</v>
      </c>
      <c r="AE1098" s="1006">
        <f t="shared" si="614"/>
        <v>1214191</v>
      </c>
      <c r="AF1098" s="1006">
        <f t="shared" si="614"/>
        <v>1212756</v>
      </c>
      <c r="AG1098" s="1006">
        <f t="shared" si="614"/>
        <v>1870816</v>
      </c>
      <c r="AH1098" s="1006">
        <f t="shared" si="614"/>
        <v>2426947</v>
      </c>
      <c r="AI1098" s="1006">
        <f t="shared" si="614"/>
        <v>4297763</v>
      </c>
    </row>
    <row r="1099" spans="1:36" s="1002" customFormat="1">
      <c r="A1099" s="990" t="s">
        <v>1129</v>
      </c>
      <c r="B1099" s="990"/>
      <c r="C1099" s="990" t="s">
        <v>1129</v>
      </c>
      <c r="D1099" s="1121" t="s">
        <v>999</v>
      </c>
      <c r="E1099" s="1243">
        <v>1</v>
      </c>
      <c r="F1099" s="1000"/>
      <c r="G1099" s="1000"/>
      <c r="H1099" s="1000"/>
      <c r="I1099" s="1327"/>
      <c r="J1099" s="1321" t="s">
        <v>1141</v>
      </c>
      <c r="K1099" s="1321"/>
      <c r="L1099" s="1321"/>
      <c r="M1099" s="1321"/>
      <c r="N1099" s="1321"/>
      <c r="O1099" s="1321"/>
      <c r="P1099" s="1322"/>
      <c r="Q1099" s="1006">
        <f t="shared" ref="Q1099:AI1099" si="615">Q19-SUM(Q43:Q44)</f>
        <v>9948</v>
      </c>
      <c r="R1099" s="1006">
        <f t="shared" si="615"/>
        <v>8790</v>
      </c>
      <c r="S1099" s="1006">
        <f t="shared" si="615"/>
        <v>5322</v>
      </c>
      <c r="T1099" s="1006">
        <f t="shared" si="615"/>
        <v>9227</v>
      </c>
      <c r="U1099" s="1006">
        <f t="shared" si="615"/>
        <v>9085</v>
      </c>
      <c r="V1099" s="1006">
        <f t="shared" si="615"/>
        <v>7214</v>
      </c>
      <c r="W1099" s="1006">
        <f t="shared" si="615"/>
        <v>4705</v>
      </c>
      <c r="X1099" s="1006">
        <f t="shared" si="615"/>
        <v>6971</v>
      </c>
      <c r="Y1099" s="1006">
        <f t="shared" si="615"/>
        <v>3546</v>
      </c>
      <c r="Z1099" s="1006">
        <f t="shared" si="615"/>
        <v>5309</v>
      </c>
      <c r="AA1099" s="1006">
        <f t="shared" si="615"/>
        <v>14349.800000000039</v>
      </c>
      <c r="AB1099" s="1006">
        <f t="shared" si="615"/>
        <v>8887.8931899999588</v>
      </c>
      <c r="AC1099" s="1006">
        <f t="shared" si="615"/>
        <v>24060</v>
      </c>
      <c r="AD1099" s="1006">
        <f t="shared" si="615"/>
        <v>25526</v>
      </c>
      <c r="AE1099" s="1006">
        <f t="shared" si="615"/>
        <v>15222</v>
      </c>
      <c r="AF1099" s="1006">
        <f t="shared" si="615"/>
        <v>28546.693189999991</v>
      </c>
      <c r="AG1099" s="1006">
        <f t="shared" si="615"/>
        <v>49586</v>
      </c>
      <c r="AH1099" s="1006">
        <f t="shared" si="615"/>
        <v>43768.693189999962</v>
      </c>
      <c r="AI1099" s="1006">
        <f t="shared" si="615"/>
        <v>93354.69319000002</v>
      </c>
    </row>
    <row r="1100" spans="1:36" s="1002" customFormat="1">
      <c r="A1100" s="990" t="s">
        <v>1129</v>
      </c>
      <c r="B1100" s="990"/>
      <c r="C1100" s="990" t="s">
        <v>1129</v>
      </c>
      <c r="D1100" s="1121" t="s">
        <v>999</v>
      </c>
      <c r="E1100" s="1243">
        <v>1</v>
      </c>
      <c r="F1100" s="1000"/>
      <c r="G1100" s="1000"/>
      <c r="H1100" s="1000"/>
      <c r="I1100" s="1328"/>
      <c r="J1100" s="1329" t="s">
        <v>1142</v>
      </c>
      <c r="K1100" s="1329"/>
      <c r="L1100" s="1329"/>
      <c r="M1100" s="1329"/>
      <c r="N1100" s="1329"/>
      <c r="O1100" s="1329"/>
      <c r="P1100" s="1330"/>
      <c r="Q1100" s="1012">
        <f>Q37</f>
        <v>36517</v>
      </c>
      <c r="R1100" s="1012">
        <f t="shared" ref="R1100:AI1100" si="616">R18</f>
        <v>22343</v>
      </c>
      <c r="S1100" s="1012">
        <f t="shared" si="616"/>
        <v>30041</v>
      </c>
      <c r="T1100" s="1012">
        <f t="shared" si="616"/>
        <v>28927</v>
      </c>
      <c r="U1100" s="1012">
        <f t="shared" si="616"/>
        <v>38067</v>
      </c>
      <c r="V1100" s="1012">
        <f t="shared" si="616"/>
        <v>44153</v>
      </c>
      <c r="W1100" s="1012">
        <f t="shared" si="616"/>
        <v>42185</v>
      </c>
      <c r="X1100" s="1012">
        <f t="shared" si="616"/>
        <v>39310</v>
      </c>
      <c r="Y1100" s="1012">
        <f t="shared" si="616"/>
        <v>45246</v>
      </c>
      <c r="Z1100" s="1012">
        <f t="shared" si="616"/>
        <v>36225</v>
      </c>
      <c r="AA1100" s="1012">
        <f t="shared" si="616"/>
        <v>6700.0000000000009</v>
      </c>
      <c r="AB1100" s="1012">
        <f t="shared" si="616"/>
        <v>38451</v>
      </c>
      <c r="AC1100" s="1012">
        <f t="shared" si="616"/>
        <v>88901</v>
      </c>
      <c r="AD1100" s="1012">
        <f t="shared" si="616"/>
        <v>111147</v>
      </c>
      <c r="AE1100" s="1012">
        <f t="shared" si="616"/>
        <v>126741</v>
      </c>
      <c r="AF1100" s="1012">
        <f t="shared" si="616"/>
        <v>81376</v>
      </c>
      <c r="AG1100" s="1012">
        <f t="shared" si="616"/>
        <v>200048</v>
      </c>
      <c r="AH1100" s="1012">
        <f t="shared" si="616"/>
        <v>208117</v>
      </c>
      <c r="AI1100" s="1012">
        <f t="shared" si="616"/>
        <v>408165</v>
      </c>
    </row>
    <row r="1101" spans="1:36" s="998" customFormat="1">
      <c r="A1101" s="990" t="s">
        <v>1129</v>
      </c>
      <c r="B1101" s="990"/>
      <c r="C1101" s="990" t="s">
        <v>1129</v>
      </c>
      <c r="D1101" s="1121" t="s">
        <v>999</v>
      </c>
      <c r="E1101" s="1243">
        <v>1</v>
      </c>
      <c r="F1101" s="999"/>
      <c r="G1101" s="999"/>
      <c r="H1101" s="1000"/>
      <c r="I1101" s="1331" t="s">
        <v>1143</v>
      </c>
      <c r="J1101" s="1332"/>
      <c r="K1101" s="1332"/>
      <c r="L1101" s="1332"/>
      <c r="M1101" s="1332"/>
      <c r="N1101" s="1332"/>
      <c r="O1101" s="1332"/>
      <c r="P1101" s="1333" t="s">
        <v>1144</v>
      </c>
      <c r="Q1101" s="1015">
        <f>Q1095-Q1096</f>
        <v>156979</v>
      </c>
      <c r="R1101" s="1015">
        <f t="shared" ref="R1101:AI1101" si="617">R1095-R1096</f>
        <v>69771</v>
      </c>
      <c r="S1101" s="1015">
        <f t="shared" si="617"/>
        <v>152184</v>
      </c>
      <c r="T1101" s="1015">
        <f t="shared" si="617"/>
        <v>169969</v>
      </c>
      <c r="U1101" s="1015">
        <f t="shared" si="617"/>
        <v>194893</v>
      </c>
      <c r="V1101" s="1015">
        <f t="shared" si="617"/>
        <v>244292</v>
      </c>
      <c r="W1101" s="1015">
        <f t="shared" si="617"/>
        <v>186149</v>
      </c>
      <c r="X1101" s="1015">
        <f t="shared" si="617"/>
        <v>202091</v>
      </c>
      <c r="Y1101" s="1015">
        <f t="shared" si="617"/>
        <v>187665</v>
      </c>
      <c r="Z1101" s="1015">
        <f t="shared" si="617"/>
        <v>202986</v>
      </c>
      <c r="AA1101" s="1015">
        <f t="shared" si="617"/>
        <v>169838.19999999995</v>
      </c>
      <c r="AB1101" s="1015">
        <f t="shared" si="617"/>
        <v>244446.10681000003</v>
      </c>
      <c r="AC1101" s="1015">
        <f t="shared" si="617"/>
        <v>378934</v>
      </c>
      <c r="AD1101" s="1015">
        <f t="shared" si="617"/>
        <v>609154</v>
      </c>
      <c r="AE1101" s="1015">
        <f t="shared" si="617"/>
        <v>575905</v>
      </c>
      <c r="AF1101" s="1015">
        <f t="shared" si="617"/>
        <v>617270.30680999998</v>
      </c>
      <c r="AG1101" s="1015">
        <f t="shared" si="617"/>
        <v>988088</v>
      </c>
      <c r="AH1101" s="1015">
        <f t="shared" si="617"/>
        <v>1193175.30681</v>
      </c>
      <c r="AI1101" s="1015">
        <f t="shared" si="617"/>
        <v>2181263.30681</v>
      </c>
    </row>
    <row r="1102" spans="1:36" s="1030" customFormat="1" ht="14.5">
      <c r="A1102" s="990" t="s">
        <v>1129</v>
      </c>
      <c r="B1102" s="990"/>
      <c r="C1102" s="990" t="s">
        <v>1129</v>
      </c>
      <c r="D1102" s="1121" t="s">
        <v>999</v>
      </c>
      <c r="E1102" s="1243">
        <v>1</v>
      </c>
      <c r="F1102" s="1025"/>
      <c r="G1102" s="1025"/>
      <c r="H1102" s="1025"/>
      <c r="I1102" s="1323"/>
      <c r="J1102" s="1334" t="s">
        <v>135</v>
      </c>
      <c r="K1102" s="1335"/>
      <c r="L1102" s="1335"/>
      <c r="M1102" s="1335"/>
      <c r="N1102" s="1335"/>
      <c r="O1102" s="1335"/>
      <c r="P1102" s="1322" t="s">
        <v>1145</v>
      </c>
      <c r="Q1102" s="1033">
        <f>IFERROR(Q1101/Q1095,0)</f>
        <v>0.29246367469217338</v>
      </c>
      <c r="R1102" s="1033">
        <f t="shared" ref="R1102:AI1102" si="618">IFERROR(R1101/R1095,0)</f>
        <v>0.29102535225367271</v>
      </c>
      <c r="S1102" s="1033">
        <f t="shared" si="618"/>
        <v>0.30929255607787187</v>
      </c>
      <c r="T1102" s="1033">
        <f t="shared" si="618"/>
        <v>0.33113574950661517</v>
      </c>
      <c r="U1102" s="1033">
        <f t="shared" si="618"/>
        <v>0.33195934586841402</v>
      </c>
      <c r="V1102" s="1033">
        <f t="shared" si="618"/>
        <v>0.33029393472323626</v>
      </c>
      <c r="W1102" s="1033">
        <f t="shared" si="618"/>
        <v>0.30001676170337588</v>
      </c>
      <c r="X1102" s="1033">
        <f t="shared" si="618"/>
        <v>0.34554271087849725</v>
      </c>
      <c r="Y1102" s="1033">
        <f t="shared" si="618"/>
        <v>0.25822639546691689</v>
      </c>
      <c r="Z1102" s="1033">
        <f t="shared" si="618"/>
        <v>0.33375864461624977</v>
      </c>
      <c r="AA1102" s="1033">
        <f t="shared" si="618"/>
        <v>0.30253750140279551</v>
      </c>
      <c r="AB1102" s="1033">
        <f t="shared" si="618"/>
        <v>0.31730258883835161</v>
      </c>
      <c r="AC1102" s="1033">
        <f t="shared" si="618"/>
        <v>0.29871946066622102</v>
      </c>
      <c r="AD1102" s="1033">
        <f t="shared" si="618"/>
        <v>0.33106015728175392</v>
      </c>
      <c r="AE1102" s="1033">
        <f t="shared" si="618"/>
        <v>0.29807837131267728</v>
      </c>
      <c r="AF1102" s="1033">
        <f t="shared" si="618"/>
        <v>0.31818893528128833</v>
      </c>
      <c r="AG1102" s="1033">
        <f t="shared" si="618"/>
        <v>0.31786260936813382</v>
      </c>
      <c r="AH1102" s="1033">
        <f t="shared" si="618"/>
        <v>0.30815414296922938</v>
      </c>
      <c r="AI1102" s="1033">
        <f t="shared" si="618"/>
        <v>0.31247746334026022</v>
      </c>
    </row>
    <row r="1103" spans="1:36" s="998" customFormat="1">
      <c r="A1103" s="990" t="s">
        <v>1129</v>
      </c>
      <c r="B1103" s="990"/>
      <c r="C1103" s="990" t="s">
        <v>1129</v>
      </c>
      <c r="D1103" s="1121" t="s">
        <v>999</v>
      </c>
      <c r="E1103" s="1243">
        <v>1</v>
      </c>
      <c r="F1103" s="999"/>
      <c r="G1103" s="999"/>
      <c r="H1103" s="1000"/>
      <c r="I1103" s="1327" t="s">
        <v>1146</v>
      </c>
      <c r="J1103" s="1321"/>
      <c r="K1103" s="1321"/>
      <c r="L1103" s="1321"/>
      <c r="M1103" s="1321"/>
      <c r="N1103" s="1321"/>
      <c r="O1103" s="1321"/>
      <c r="P1103" s="1322" t="s">
        <v>1147</v>
      </c>
      <c r="Q1103" s="1007">
        <f>SUM(Q1105:Q1107)</f>
        <v>113617</v>
      </c>
      <c r="R1103" s="1007">
        <f t="shared" ref="R1103:AI1103" si="619">SUM(R1105:R1107)</f>
        <v>100637</v>
      </c>
      <c r="S1103" s="1007">
        <f t="shared" si="619"/>
        <v>100836</v>
      </c>
      <c r="T1103" s="1007">
        <f t="shared" si="619"/>
        <v>105176</v>
      </c>
      <c r="U1103" s="1007">
        <f t="shared" si="619"/>
        <v>112708</v>
      </c>
      <c r="V1103" s="1007">
        <f t="shared" si="619"/>
        <v>109584</v>
      </c>
      <c r="W1103" s="1007">
        <f t="shared" si="619"/>
        <v>139208</v>
      </c>
      <c r="X1103" s="1007">
        <f t="shared" si="619"/>
        <v>144160</v>
      </c>
      <c r="Y1103" s="1007">
        <f t="shared" si="619"/>
        <v>114464</v>
      </c>
      <c r="Z1103" s="1007">
        <f t="shared" si="619"/>
        <v>106397</v>
      </c>
      <c r="AA1103" s="1007">
        <f t="shared" si="619"/>
        <v>101491.20000000001</v>
      </c>
      <c r="AB1103" s="1007">
        <f t="shared" si="619"/>
        <v>184865</v>
      </c>
      <c r="AC1103" s="1007">
        <f t="shared" si="619"/>
        <v>315090</v>
      </c>
      <c r="AD1103" s="1007">
        <f t="shared" si="619"/>
        <v>327468</v>
      </c>
      <c r="AE1103" s="1007">
        <f t="shared" si="619"/>
        <v>397832</v>
      </c>
      <c r="AF1103" s="1007">
        <f t="shared" si="619"/>
        <v>392753.2</v>
      </c>
      <c r="AG1103" s="1007">
        <f t="shared" si="619"/>
        <v>642558</v>
      </c>
      <c r="AH1103" s="1007">
        <f t="shared" si="619"/>
        <v>790585.2</v>
      </c>
      <c r="AI1103" s="1007">
        <f t="shared" si="619"/>
        <v>1433143.2</v>
      </c>
      <c r="AJ1103" s="1002"/>
    </row>
    <row r="1104" spans="1:36" s="1030" customFormat="1" ht="14.5">
      <c r="A1104" s="990" t="s">
        <v>1129</v>
      </c>
      <c r="B1104" s="990"/>
      <c r="C1104" s="990" t="s">
        <v>1129</v>
      </c>
      <c r="D1104" s="1121" t="s">
        <v>999</v>
      </c>
      <c r="E1104" s="1243">
        <v>1</v>
      </c>
      <c r="F1104" s="1025"/>
      <c r="G1104" s="1025"/>
      <c r="H1104" s="1025"/>
      <c r="I1104" s="1323"/>
      <c r="J1104" s="1324" t="s">
        <v>135</v>
      </c>
      <c r="K1104" s="1325"/>
      <c r="L1104" s="1325"/>
      <c r="M1104" s="1325"/>
      <c r="N1104" s="1325"/>
      <c r="O1104" s="1325"/>
      <c r="P1104" s="1326"/>
      <c r="Q1104" s="1034">
        <f>IFERROR(Q1103/Q1095,0)</f>
        <v>0.21167700983889989</v>
      </c>
      <c r="R1104" s="1034">
        <f t="shared" ref="R1104:AI1104" si="620">IFERROR(R1103/R1095,0)</f>
        <v>0.41977208832828622</v>
      </c>
      <c r="S1104" s="1034">
        <f t="shared" si="620"/>
        <v>0.20493497466664229</v>
      </c>
      <c r="T1104" s="1034">
        <f t="shared" si="620"/>
        <v>0.20490520971534665</v>
      </c>
      <c r="U1104" s="1034">
        <f t="shared" si="620"/>
        <v>0.19197443701999151</v>
      </c>
      <c r="V1104" s="1034">
        <f t="shared" si="620"/>
        <v>0.14816256996836213</v>
      </c>
      <c r="W1104" s="1034">
        <f t="shared" si="620"/>
        <v>0.22436184649503113</v>
      </c>
      <c r="X1104" s="1034">
        <f t="shared" si="620"/>
        <v>0.24649013167456327</v>
      </c>
      <c r="Y1104" s="1034">
        <f t="shared" si="620"/>
        <v>0.15750207087483109</v>
      </c>
      <c r="Z1104" s="1034">
        <f t="shared" si="620"/>
        <v>0.17494269807393181</v>
      </c>
      <c r="AA1104" s="1034">
        <f t="shared" si="620"/>
        <v>0.1807890925738227</v>
      </c>
      <c r="AB1104" s="1034">
        <f t="shared" si="620"/>
        <v>0.23996349891223642</v>
      </c>
      <c r="AC1104" s="1034">
        <f t="shared" si="620"/>
        <v>0.24839026020710619</v>
      </c>
      <c r="AD1104" s="1034">
        <f t="shared" si="620"/>
        <v>0.1779707718979788</v>
      </c>
      <c r="AE1104" s="1034">
        <f t="shared" si="620"/>
        <v>0.20591089609582316</v>
      </c>
      <c r="AF1104" s="1034">
        <f t="shared" si="620"/>
        <v>0.20245542537458461</v>
      </c>
      <c r="AG1104" s="1034">
        <f t="shared" si="620"/>
        <v>0.20670746183575686</v>
      </c>
      <c r="AH1104" s="1034">
        <f t="shared" si="620"/>
        <v>0.20417964012471049</v>
      </c>
      <c r="AI1104" s="1034">
        <f t="shared" si="620"/>
        <v>0.20530531565868915</v>
      </c>
    </row>
    <row r="1105" spans="1:35" s="1002" customFormat="1">
      <c r="A1105" s="990" t="s">
        <v>1129</v>
      </c>
      <c r="B1105" s="990"/>
      <c r="C1105" s="990" t="s">
        <v>1129</v>
      </c>
      <c r="D1105" s="1121" t="s">
        <v>999</v>
      </c>
      <c r="E1105" s="1243">
        <v>1</v>
      </c>
      <c r="F1105" s="1000"/>
      <c r="G1105" s="1000"/>
      <c r="H1105" s="1000"/>
      <c r="I1105" s="1327"/>
      <c r="J1105" s="1321" t="s">
        <v>1148</v>
      </c>
      <c r="K1105" s="1321"/>
      <c r="L1105" s="1321"/>
      <c r="M1105" s="1321"/>
      <c r="N1105" s="1321"/>
      <c r="O1105" s="1321"/>
      <c r="P1105" s="1322"/>
      <c r="Q1105" s="1006">
        <f t="shared" ref="Q1105:AI1105" si="621">Q757</f>
        <v>18307</v>
      </c>
      <c r="R1105" s="1006">
        <f t="shared" si="621"/>
        <v>20145</v>
      </c>
      <c r="S1105" s="1006">
        <f t="shared" si="621"/>
        <v>20213</v>
      </c>
      <c r="T1105" s="1006">
        <f t="shared" si="621"/>
        <v>20696</v>
      </c>
      <c r="U1105" s="1006">
        <f t="shared" si="621"/>
        <v>21913</v>
      </c>
      <c r="V1105" s="1006">
        <f t="shared" si="621"/>
        <v>19625</v>
      </c>
      <c r="W1105" s="1006">
        <f t="shared" si="621"/>
        <v>21737</v>
      </c>
      <c r="X1105" s="1006">
        <f t="shared" si="621"/>
        <v>21608</v>
      </c>
      <c r="Y1105" s="1006">
        <f t="shared" si="621"/>
        <v>21808</v>
      </c>
      <c r="Z1105" s="1006">
        <f t="shared" si="621"/>
        <v>20933</v>
      </c>
      <c r="AA1105" s="1006">
        <f t="shared" si="621"/>
        <v>22626</v>
      </c>
      <c r="AB1105" s="1006">
        <f t="shared" si="621"/>
        <v>32022</v>
      </c>
      <c r="AC1105" s="1006">
        <f t="shared" si="621"/>
        <v>58665</v>
      </c>
      <c r="AD1105" s="1006">
        <f t="shared" si="621"/>
        <v>62234</v>
      </c>
      <c r="AE1105" s="1006">
        <f t="shared" si="621"/>
        <v>65153</v>
      </c>
      <c r="AF1105" s="1006">
        <f t="shared" si="621"/>
        <v>75581</v>
      </c>
      <c r="AG1105" s="1006">
        <f t="shared" si="621"/>
        <v>120899</v>
      </c>
      <c r="AH1105" s="1006">
        <f t="shared" si="621"/>
        <v>140734</v>
      </c>
      <c r="AI1105" s="1006">
        <f t="shared" si="621"/>
        <v>261633</v>
      </c>
    </row>
    <row r="1106" spans="1:35" s="1002" customFormat="1">
      <c r="A1106" s="990" t="s">
        <v>1129</v>
      </c>
      <c r="B1106" s="990"/>
      <c r="C1106" s="990" t="s">
        <v>1129</v>
      </c>
      <c r="D1106" s="1121" t="s">
        <v>999</v>
      </c>
      <c r="E1106" s="1243">
        <v>1</v>
      </c>
      <c r="F1106" s="1000"/>
      <c r="G1106" s="1000"/>
      <c r="H1106" s="1000"/>
      <c r="I1106" s="1327"/>
      <c r="J1106" s="1321" t="s">
        <v>1149</v>
      </c>
      <c r="K1106" s="1321"/>
      <c r="L1106" s="1321"/>
      <c r="M1106" s="1321"/>
      <c r="N1106" s="1321"/>
      <c r="O1106" s="1321"/>
      <c r="P1106" s="1322"/>
      <c r="Q1106" s="1006">
        <f t="shared" ref="Q1106:AI1106" si="622">SUM(Q43:Q44)</f>
        <v>44835</v>
      </c>
      <c r="R1106" s="1006">
        <f t="shared" si="622"/>
        <v>43093</v>
      </c>
      <c r="S1106" s="1006">
        <f t="shared" si="622"/>
        <v>47682</v>
      </c>
      <c r="T1106" s="1006">
        <f t="shared" si="622"/>
        <v>42965</v>
      </c>
      <c r="U1106" s="1006">
        <f t="shared" si="622"/>
        <v>43633</v>
      </c>
      <c r="V1106" s="1006">
        <f t="shared" si="622"/>
        <v>41977</v>
      </c>
      <c r="W1106" s="1006">
        <f t="shared" si="622"/>
        <v>43805</v>
      </c>
      <c r="X1106" s="1006">
        <f t="shared" si="622"/>
        <v>39569</v>
      </c>
      <c r="Y1106" s="1006">
        <f t="shared" si="622"/>
        <v>46477</v>
      </c>
      <c r="Z1106" s="1006">
        <f t="shared" si="622"/>
        <v>43490</v>
      </c>
      <c r="AA1106" s="1006">
        <f t="shared" si="622"/>
        <v>61531.200000000004</v>
      </c>
      <c r="AB1106" s="1006">
        <f t="shared" si="622"/>
        <v>59516</v>
      </c>
      <c r="AC1106" s="1006">
        <f t="shared" si="622"/>
        <v>135610</v>
      </c>
      <c r="AD1106" s="1006">
        <f t="shared" si="622"/>
        <v>128575</v>
      </c>
      <c r="AE1106" s="1006">
        <f t="shared" si="622"/>
        <v>129851</v>
      </c>
      <c r="AF1106" s="1006">
        <f t="shared" si="622"/>
        <v>164537.20000000001</v>
      </c>
      <c r="AG1106" s="1006">
        <f t="shared" si="622"/>
        <v>264185</v>
      </c>
      <c r="AH1106" s="1006">
        <f t="shared" si="622"/>
        <v>294388.2</v>
      </c>
      <c r="AI1106" s="1006">
        <f t="shared" si="622"/>
        <v>558573.19999999995</v>
      </c>
    </row>
    <row r="1107" spans="1:35" s="1002" customFormat="1">
      <c r="A1107" s="990" t="s">
        <v>1129</v>
      </c>
      <c r="B1107" s="990"/>
      <c r="C1107" s="990" t="s">
        <v>1129</v>
      </c>
      <c r="D1107" s="1121" t="s">
        <v>999</v>
      </c>
      <c r="E1107" s="1243">
        <v>1</v>
      </c>
      <c r="F1107" s="1000"/>
      <c r="G1107" s="1000"/>
      <c r="H1107" s="1000"/>
      <c r="I1107" s="1328"/>
      <c r="J1107" s="1329" t="s">
        <v>1150</v>
      </c>
      <c r="K1107" s="1329"/>
      <c r="L1107" s="1329"/>
      <c r="M1107" s="1329"/>
      <c r="N1107" s="1329"/>
      <c r="O1107" s="1329"/>
      <c r="P1107" s="1330"/>
      <c r="Q1107" s="1012">
        <f t="shared" ref="Q1107:AI1107" si="623">Q20</f>
        <v>50475</v>
      </c>
      <c r="R1107" s="1012">
        <f t="shared" si="623"/>
        <v>37399</v>
      </c>
      <c r="S1107" s="1012">
        <f t="shared" si="623"/>
        <v>32941</v>
      </c>
      <c r="T1107" s="1012">
        <f t="shared" si="623"/>
        <v>41515</v>
      </c>
      <c r="U1107" s="1012">
        <f t="shared" si="623"/>
        <v>47162</v>
      </c>
      <c r="V1107" s="1012">
        <f t="shared" si="623"/>
        <v>47982</v>
      </c>
      <c r="W1107" s="1012">
        <f t="shared" si="623"/>
        <v>73666</v>
      </c>
      <c r="X1107" s="1012">
        <f t="shared" si="623"/>
        <v>82983</v>
      </c>
      <c r="Y1107" s="1012">
        <f t="shared" si="623"/>
        <v>46179</v>
      </c>
      <c r="Z1107" s="1012">
        <f t="shared" si="623"/>
        <v>41974</v>
      </c>
      <c r="AA1107" s="1012">
        <f t="shared" si="623"/>
        <v>17334</v>
      </c>
      <c r="AB1107" s="1012">
        <f t="shared" si="623"/>
        <v>93327</v>
      </c>
      <c r="AC1107" s="1012">
        <f t="shared" si="623"/>
        <v>120815</v>
      </c>
      <c r="AD1107" s="1012">
        <f t="shared" si="623"/>
        <v>136659</v>
      </c>
      <c r="AE1107" s="1012">
        <f t="shared" si="623"/>
        <v>202828</v>
      </c>
      <c r="AF1107" s="1012">
        <f t="shared" si="623"/>
        <v>152635</v>
      </c>
      <c r="AG1107" s="1012">
        <f t="shared" si="623"/>
        <v>257474</v>
      </c>
      <c r="AH1107" s="1012">
        <f t="shared" si="623"/>
        <v>355463</v>
      </c>
      <c r="AI1107" s="1012">
        <f t="shared" si="623"/>
        <v>612937</v>
      </c>
    </row>
    <row r="1108" spans="1:35" s="998" customFormat="1">
      <c r="A1108" s="990" t="s">
        <v>1129</v>
      </c>
      <c r="B1108" s="990"/>
      <c r="C1108" s="990" t="s">
        <v>1129</v>
      </c>
      <c r="D1108" s="1121" t="s">
        <v>999</v>
      </c>
      <c r="E1108" s="1243">
        <v>1</v>
      </c>
      <c r="F1108" s="999"/>
      <c r="G1108" s="999"/>
      <c r="H1108" s="1000"/>
      <c r="I1108" s="1331" t="s">
        <v>1151</v>
      </c>
      <c r="J1108" s="1332"/>
      <c r="K1108" s="1332"/>
      <c r="L1108" s="1332"/>
      <c r="M1108" s="1332"/>
      <c r="N1108" s="1332"/>
      <c r="O1108" s="1332"/>
      <c r="P1108" s="1333" t="s">
        <v>1152</v>
      </c>
      <c r="Q1108" s="1015">
        <f>IFERROR(Q1103/Q1102,0)</f>
        <v>388482.43331273616</v>
      </c>
      <c r="R1108" s="1015">
        <f t="shared" ref="R1108:AI1108" si="624">IFERROR(R1103/R1102,0)</f>
        <v>345801.48849808658</v>
      </c>
      <c r="S1108" s="1015">
        <f t="shared" si="624"/>
        <v>326021.42540608736</v>
      </c>
      <c r="T1108" s="1015">
        <f t="shared" si="624"/>
        <v>317622.00292994606</v>
      </c>
      <c r="U1108" s="1015">
        <f t="shared" si="624"/>
        <v>339523.50311196398</v>
      </c>
      <c r="V1108" s="1015">
        <f t="shared" si="624"/>
        <v>331777.2095688766</v>
      </c>
      <c r="W1108" s="1015">
        <f t="shared" si="624"/>
        <v>464000.74185732933</v>
      </c>
      <c r="X1108" s="1015">
        <f t="shared" si="624"/>
        <v>417198.78747692873</v>
      </c>
      <c r="Y1108" s="1015">
        <f t="shared" si="624"/>
        <v>443269.94455012924</v>
      </c>
      <c r="Z1108" s="1015">
        <f t="shared" si="624"/>
        <v>318784.25238193764</v>
      </c>
      <c r="AA1108" s="1015">
        <f t="shared" si="624"/>
        <v>335466.51086033665</v>
      </c>
      <c r="AB1108" s="1015">
        <f t="shared" si="624"/>
        <v>582614.21905441384</v>
      </c>
      <c r="AC1108" s="1015">
        <f t="shared" si="624"/>
        <v>1054802.3864841899</v>
      </c>
      <c r="AD1108" s="1015">
        <f t="shared" si="624"/>
        <v>989149.53309015452</v>
      </c>
      <c r="AE1108" s="1015">
        <f t="shared" si="624"/>
        <v>1334655.708993671</v>
      </c>
      <c r="AF1108" s="1015">
        <f t="shared" si="624"/>
        <v>1234339.5902588337</v>
      </c>
      <c r="AG1108" s="1015">
        <f t="shared" si="624"/>
        <v>2021496.0208038152</v>
      </c>
      <c r="AH1108" s="1015">
        <f t="shared" si="624"/>
        <v>2565551.0984934042</v>
      </c>
      <c r="AI1108" s="1015">
        <f t="shared" si="624"/>
        <v>4586388.9980425062</v>
      </c>
    </row>
    <row r="1109" spans="1:35" s="1030" customFormat="1" ht="14.5">
      <c r="A1109" s="990" t="s">
        <v>1129</v>
      </c>
      <c r="B1109" s="990"/>
      <c r="C1109" s="990" t="s">
        <v>1129</v>
      </c>
      <c r="D1109" s="1121" t="s">
        <v>999</v>
      </c>
      <c r="E1109" s="1243">
        <v>1</v>
      </c>
      <c r="F1109" s="1025"/>
      <c r="G1109" s="1025"/>
      <c r="H1109" s="1025"/>
      <c r="I1109" s="1336"/>
      <c r="J1109" s="1337" t="s">
        <v>135</v>
      </c>
      <c r="K1109" s="1338"/>
      <c r="L1109" s="1338"/>
      <c r="M1109" s="1338"/>
      <c r="N1109" s="1338"/>
      <c r="O1109" s="1338"/>
      <c r="P1109" s="1330" t="s">
        <v>1153</v>
      </c>
      <c r="Q1109" s="1038">
        <f>IFERROR(Q1108/Q1095,0)</f>
        <v>0.72377196949910505</v>
      </c>
      <c r="R1109" s="1038">
        <f t="shared" ref="R1109:AI1109" si="625">IFERROR(R1108/R1095,0)</f>
        <v>1.4423901047713232</v>
      </c>
      <c r="S1109" s="1038">
        <f t="shared" si="625"/>
        <v>0.66259265100141929</v>
      </c>
      <c r="T1109" s="1038">
        <f t="shared" si="625"/>
        <v>0.61879519206443534</v>
      </c>
      <c r="U1109" s="1038">
        <f t="shared" si="625"/>
        <v>0.57830707105950441</v>
      </c>
      <c r="V1109" s="1038">
        <f t="shared" si="625"/>
        <v>0.44857793132808282</v>
      </c>
      <c r="W1109" s="1038">
        <f t="shared" si="625"/>
        <v>0.74783103857662403</v>
      </c>
      <c r="X1109" s="1038">
        <f t="shared" si="625"/>
        <v>0.7133420092928433</v>
      </c>
      <c r="Y1109" s="1038">
        <f t="shared" si="625"/>
        <v>0.60993792129592628</v>
      </c>
      <c r="Z1109" s="1038">
        <f t="shared" si="625"/>
        <v>0.52415930162671309</v>
      </c>
      <c r="AA1109" s="1038">
        <f t="shared" si="625"/>
        <v>0.59757581038894692</v>
      </c>
      <c r="AB1109" s="1038">
        <f t="shared" si="625"/>
        <v>0.75626076607425585</v>
      </c>
      <c r="AC1109" s="1038">
        <f t="shared" si="625"/>
        <v>0.83151683406609067</v>
      </c>
      <c r="AD1109" s="1038">
        <f t="shared" si="625"/>
        <v>0.53757834636233204</v>
      </c>
      <c r="AE1109" s="1038">
        <f t="shared" si="625"/>
        <v>0.69079448867434745</v>
      </c>
      <c r="AF1109" s="1038">
        <f t="shared" si="625"/>
        <v>0.63627424754920558</v>
      </c>
      <c r="AG1109" s="1038">
        <f t="shared" si="625"/>
        <v>0.65030442632640018</v>
      </c>
      <c r="AH1109" s="1038">
        <f t="shared" si="625"/>
        <v>0.66258930727762033</v>
      </c>
      <c r="AI1109" s="1038">
        <f t="shared" si="625"/>
        <v>0.6570243929403955</v>
      </c>
    </row>
    <row r="1110" spans="1:35" s="998" customFormat="1">
      <c r="A1110" s="990" t="s">
        <v>1129</v>
      </c>
      <c r="B1110" s="990"/>
      <c r="C1110" s="990" t="s">
        <v>1129</v>
      </c>
      <c r="D1110" s="1121" t="s">
        <v>999</v>
      </c>
      <c r="E1110" s="1243">
        <v>1</v>
      </c>
      <c r="F1110" s="999"/>
      <c r="G1110" s="999"/>
      <c r="H1110" s="1000"/>
      <c r="I1110" s="1327" t="s">
        <v>46</v>
      </c>
      <c r="J1110" s="1321"/>
      <c r="K1110" s="1321"/>
      <c r="L1110" s="1321"/>
      <c r="M1110" s="1321"/>
      <c r="N1110" s="1321"/>
      <c r="O1110" s="1321"/>
      <c r="P1110" s="1322" t="s">
        <v>1154</v>
      </c>
      <c r="Q1110" s="1007">
        <f t="shared" ref="Q1110:AI1110" si="626">Q1101-Q1103</f>
        <v>43362</v>
      </c>
      <c r="R1110" s="1007">
        <f t="shared" si="626"/>
        <v>-30866</v>
      </c>
      <c r="S1110" s="1007">
        <f t="shared" si="626"/>
        <v>51348</v>
      </c>
      <c r="T1110" s="1007">
        <f t="shared" si="626"/>
        <v>64793</v>
      </c>
      <c r="U1110" s="1007">
        <f t="shared" si="626"/>
        <v>82185</v>
      </c>
      <c r="V1110" s="1007">
        <f t="shared" si="626"/>
        <v>134708</v>
      </c>
      <c r="W1110" s="1007">
        <f t="shared" si="626"/>
        <v>46941</v>
      </c>
      <c r="X1110" s="1007">
        <f t="shared" si="626"/>
        <v>57931</v>
      </c>
      <c r="Y1110" s="1007">
        <f t="shared" si="626"/>
        <v>73201</v>
      </c>
      <c r="Z1110" s="1007">
        <f t="shared" si="626"/>
        <v>96589</v>
      </c>
      <c r="AA1110" s="1007">
        <f t="shared" si="626"/>
        <v>68346.999999999942</v>
      </c>
      <c r="AB1110" s="1007">
        <f t="shared" si="626"/>
        <v>59581.106810000027</v>
      </c>
      <c r="AC1110" s="1007">
        <f t="shared" si="626"/>
        <v>63844</v>
      </c>
      <c r="AD1110" s="1007">
        <f t="shared" si="626"/>
        <v>281686</v>
      </c>
      <c r="AE1110" s="1007">
        <f t="shared" si="626"/>
        <v>178073</v>
      </c>
      <c r="AF1110" s="1007">
        <f t="shared" si="626"/>
        <v>224517.10680999997</v>
      </c>
      <c r="AG1110" s="1007">
        <f t="shared" si="626"/>
        <v>345530</v>
      </c>
      <c r="AH1110" s="1007">
        <f t="shared" si="626"/>
        <v>402590.10681000003</v>
      </c>
      <c r="AI1110" s="1007">
        <f t="shared" si="626"/>
        <v>748120.10681000003</v>
      </c>
    </row>
    <row r="1111" spans="1:35" s="1030" customFormat="1" ht="14.5">
      <c r="A1111" s="990" t="s">
        <v>1129</v>
      </c>
      <c r="B1111" s="990"/>
      <c r="C1111" s="990" t="s">
        <v>1129</v>
      </c>
      <c r="D1111" s="1121" t="s">
        <v>999</v>
      </c>
      <c r="E1111" s="1243">
        <v>1</v>
      </c>
      <c r="F1111" s="1025"/>
      <c r="G1111" s="1025"/>
      <c r="H1111" s="1025"/>
      <c r="I1111" s="1336"/>
      <c r="J1111" s="1337" t="s">
        <v>135</v>
      </c>
      <c r="K1111" s="1338"/>
      <c r="L1111" s="1338"/>
      <c r="M1111" s="1338"/>
      <c r="N1111" s="1338"/>
      <c r="O1111" s="1338"/>
      <c r="P1111" s="1339"/>
      <c r="Q1111" s="1038">
        <f>IFERROR(Q1110/Q1095,0)</f>
        <v>8.0786664853273515E-2</v>
      </c>
      <c r="R1111" s="1038">
        <f t="shared" ref="R1111:AI1111" si="627">IFERROR(R1110/R1095,0)</f>
        <v>-0.12874673607461354</v>
      </c>
      <c r="S1111" s="1038">
        <f t="shared" si="627"/>
        <v>0.1043575814112296</v>
      </c>
      <c r="T1111" s="1038">
        <f t="shared" si="627"/>
        <v>0.1262305397912685</v>
      </c>
      <c r="U1111" s="1038">
        <f t="shared" si="627"/>
        <v>0.13998490884842249</v>
      </c>
      <c r="V1111" s="1038">
        <f t="shared" si="627"/>
        <v>0.18213136475487413</v>
      </c>
      <c r="W1111" s="1038">
        <f t="shared" si="627"/>
        <v>7.5654915208344747E-2</v>
      </c>
      <c r="X1111" s="1038">
        <f t="shared" si="627"/>
        <v>9.9052579203933996E-2</v>
      </c>
      <c r="Y1111" s="1038">
        <f t="shared" si="627"/>
        <v>0.10072432459208581</v>
      </c>
      <c r="Z1111" s="1038">
        <f t="shared" si="627"/>
        <v>0.15881594654231793</v>
      </c>
      <c r="AA1111" s="1038">
        <f t="shared" si="627"/>
        <v>0.12174840882897284</v>
      </c>
      <c r="AB1111" s="1038">
        <f t="shared" si="627"/>
        <v>7.7339089926115184E-2</v>
      </c>
      <c r="AC1111" s="1038">
        <f t="shared" si="627"/>
        <v>5.0329200459114813E-2</v>
      </c>
      <c r="AD1111" s="1038">
        <f t="shared" si="627"/>
        <v>0.15308938538377509</v>
      </c>
      <c r="AE1111" s="1038">
        <f t="shared" si="627"/>
        <v>9.2167475216854144E-2</v>
      </c>
      <c r="AF1111" s="1038">
        <f t="shared" si="627"/>
        <v>0.11573350990670371</v>
      </c>
      <c r="AG1111" s="1038">
        <f t="shared" si="627"/>
        <v>0.11115514753237696</v>
      </c>
      <c r="AH1111" s="1038">
        <f t="shared" si="627"/>
        <v>0.10397450284451892</v>
      </c>
      <c r="AI1111" s="1038">
        <f t="shared" si="627"/>
        <v>0.10717214768157104</v>
      </c>
    </row>
  </sheetData>
  <autoFilter ref="C10:Z1114" xr:uid="{00000000-0009-0000-0000-000005000000}"/>
  <phoneticPr fontId="109"/>
  <pageMargins left="0.35433070866141736" right="0.35433070866141736" top="0.74803149606299213" bottom="0.74803149606299213" header="0.31496062992125984" footer="0.31496062992125984"/>
  <pageSetup paperSize="9" scale="53" fitToHeight="0" orientation="landscape" r:id="rId1"/>
  <rowBreaks count="7" manualBreakCount="7">
    <brk id="282" min="2" max="23" man="1"/>
    <brk id="352" min="2" max="23" man="1"/>
    <brk id="723" min="2" max="23" man="1"/>
    <brk id="517" max="16383" man="1"/>
    <brk id="639" min="2" max="23" man="1"/>
    <brk id="794" min="2" max="23" man="1"/>
    <brk id="885" min="2" max="2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499984740745262"/>
  </sheetPr>
  <dimension ref="A1:AJ1593"/>
  <sheetViews>
    <sheetView topLeftCell="E4" zoomScale="70" zoomScaleNormal="70" workbookViewId="0">
      <pane xSplit="12" ySplit="7" topLeftCell="Q17" activePane="bottomRight" state="frozen"/>
      <selection activeCell="W1111" sqref="W1111"/>
      <selection pane="topRight" activeCell="W1111" sqref="W1111"/>
      <selection pane="bottomLeft" activeCell="W1111" sqref="W1111"/>
      <selection pane="bottomRight" activeCell="Q44" sqref="Q44"/>
    </sheetView>
  </sheetViews>
  <sheetFormatPr defaultColWidth="9" defaultRowHeight="14" outlineLevelRow="1" outlineLevelCol="1"/>
  <cols>
    <col min="1" max="1" width="5.54296875" style="990" hidden="1" customWidth="1" outlineLevel="1"/>
    <col min="2" max="2" width="4.54296875" style="990" hidden="1" customWidth="1" outlineLevel="1"/>
    <col min="3" max="3" width="4" style="990" hidden="1" customWidth="1" outlineLevel="1"/>
    <col min="4" max="4" width="3.453125" style="9" hidden="1" customWidth="1" outlineLevel="1" collapsed="1"/>
    <col min="5" max="5" width="3.453125" style="1255" customWidth="1" collapsed="1"/>
    <col min="6" max="6" width="1.453125" style="10" customWidth="1"/>
    <col min="7" max="7" width="1.81640625" style="10" customWidth="1"/>
    <col min="8" max="8" width="1.54296875" style="24" customWidth="1"/>
    <col min="9" max="9" width="4.54296875" style="10" customWidth="1"/>
    <col min="10" max="10" width="4" style="9" customWidth="1"/>
    <col min="11" max="11" width="3.1796875" style="10" customWidth="1"/>
    <col min="12" max="12" width="6.54296875" style="10" customWidth="1"/>
    <col min="13" max="13" width="5.81640625" style="9" customWidth="1"/>
    <col min="14" max="14" width="7.1796875" style="9" customWidth="1"/>
    <col min="15" max="15" width="11.453125" style="9" customWidth="1"/>
    <col min="16" max="16" width="25.81640625" style="9" customWidth="1"/>
    <col min="17" max="26" width="11" style="1" customWidth="1"/>
    <col min="27" max="32" width="11" style="9" customWidth="1"/>
    <col min="33" max="33" width="10.54296875" style="9" customWidth="1"/>
    <col min="34" max="35" width="10.81640625" style="9" customWidth="1"/>
    <col min="36" max="36" width="5.54296875" style="9" bestFit="1" customWidth="1"/>
    <col min="37" max="16384" width="9" style="9"/>
  </cols>
  <sheetData>
    <row r="1" spans="1:36" s="991" customFormat="1" hidden="1" outlineLevel="1">
      <c r="A1" s="990"/>
      <c r="B1" s="990"/>
      <c r="C1" s="990"/>
      <c r="E1" s="1120"/>
      <c r="F1" s="992"/>
      <c r="G1" s="992"/>
      <c r="H1" s="992"/>
      <c r="I1" s="992"/>
      <c r="K1" s="992"/>
      <c r="L1" s="992"/>
      <c r="Q1" s="993"/>
      <c r="R1" s="993"/>
      <c r="S1" s="993"/>
      <c r="T1" s="993"/>
      <c r="U1" s="993"/>
      <c r="V1" s="993"/>
      <c r="W1" s="993"/>
      <c r="X1" s="993"/>
      <c r="Y1" s="993"/>
      <c r="Z1" s="993"/>
    </row>
    <row r="2" spans="1:36" s="991" customFormat="1" hidden="1" outlineLevel="1">
      <c r="A2" s="990"/>
      <c r="B2" s="990"/>
      <c r="C2" s="990"/>
      <c r="E2" s="1120"/>
      <c r="F2" s="992"/>
      <c r="G2" s="992"/>
      <c r="H2" s="992"/>
      <c r="I2" s="992"/>
      <c r="K2" s="992"/>
      <c r="L2" s="992"/>
      <c r="Q2" s="993"/>
      <c r="R2" s="993"/>
      <c r="S2" s="993"/>
      <c r="T2" s="993"/>
      <c r="U2" s="993"/>
      <c r="V2" s="993"/>
      <c r="W2" s="993"/>
      <c r="X2" s="993"/>
      <c r="Y2" s="993"/>
      <c r="Z2" s="993"/>
    </row>
    <row r="3" spans="1:36" s="991" customFormat="1" hidden="1" outlineLevel="1">
      <c r="A3" s="990"/>
      <c r="B3" s="990"/>
      <c r="C3" s="990"/>
      <c r="E3" s="1120"/>
      <c r="F3" s="992"/>
      <c r="G3" s="992"/>
      <c r="H3" s="992"/>
      <c r="I3" s="992"/>
      <c r="K3" s="992"/>
      <c r="L3" s="992"/>
      <c r="Q3" s="993"/>
      <c r="R3" s="993"/>
      <c r="S3" s="993"/>
      <c r="T3" s="993"/>
      <c r="U3" s="993"/>
      <c r="V3" s="993"/>
      <c r="W3" s="993"/>
      <c r="X3" s="993"/>
      <c r="Y3" s="993"/>
      <c r="Z3" s="993"/>
    </row>
    <row r="4" spans="1:36" s="191" customFormat="1" ht="20" collapsed="1">
      <c r="A4" s="997" t="s">
        <v>995</v>
      </c>
      <c r="B4" s="997"/>
      <c r="C4" s="997" t="s">
        <v>996</v>
      </c>
      <c r="E4" s="1254"/>
      <c r="F4" s="311" t="s">
        <v>1519</v>
      </c>
      <c r="G4" s="311"/>
      <c r="H4" s="559"/>
      <c r="I4" s="242"/>
      <c r="K4" s="193"/>
      <c r="L4" s="193"/>
      <c r="P4" s="2583" t="s">
        <v>257</v>
      </c>
      <c r="Q4" s="226" t="s">
        <v>998</v>
      </c>
      <c r="R4" s="1"/>
      <c r="S4" s="1685"/>
      <c r="T4" s="1686"/>
      <c r="U4" s="1"/>
      <c r="V4" s="1"/>
      <c r="W4" s="1"/>
      <c r="X4" s="1"/>
      <c r="Y4" s="1"/>
      <c r="Z4" s="1"/>
    </row>
    <row r="5" spans="1:36" s="191" customFormat="1" ht="8.5" customHeight="1">
      <c r="A5" s="997"/>
      <c r="B5" s="997"/>
      <c r="C5" s="997"/>
      <c r="E5" s="1254"/>
      <c r="H5" s="560"/>
      <c r="I5" s="1150"/>
      <c r="J5" s="1150"/>
      <c r="K5" s="193"/>
      <c r="L5" s="193"/>
      <c r="Q5" s="1"/>
      <c r="R5" s="1"/>
      <c r="S5" s="1686"/>
      <c r="T5" s="1686"/>
      <c r="U5" s="1"/>
      <c r="V5" s="1"/>
      <c r="W5" s="1"/>
      <c r="X5" s="1"/>
      <c r="Y5" s="1"/>
      <c r="Z5" s="1"/>
    </row>
    <row r="6" spans="1:36" s="191" customFormat="1" ht="18">
      <c r="A6" s="997"/>
      <c r="B6" s="997"/>
      <c r="C6" s="997"/>
      <c r="D6" s="1121" t="s">
        <v>999</v>
      </c>
      <c r="E6" s="1254"/>
      <c r="F6" s="312"/>
      <c r="G6" s="312"/>
      <c r="H6" s="560"/>
      <c r="I6" s="2584" t="s">
        <v>1658</v>
      </c>
      <c r="J6" s="2585"/>
      <c r="K6" s="2586"/>
      <c r="L6" s="226" t="s">
        <v>998</v>
      </c>
      <c r="M6" s="240"/>
      <c r="N6" s="240"/>
      <c r="P6" s="2587" t="s">
        <v>145</v>
      </c>
      <c r="Q6" s="1"/>
      <c r="R6" s="1144"/>
      <c r="S6" s="1"/>
      <c r="T6" s="1"/>
      <c r="U6" s="1"/>
      <c r="V6" s="1"/>
      <c r="W6" s="1"/>
      <c r="X6" s="1"/>
      <c r="Y6" s="1"/>
      <c r="Z6" s="1"/>
      <c r="AH6" s="1621"/>
    </row>
    <row r="7" spans="1:36" ht="17.5" customHeight="1">
      <c r="K7" s="241"/>
      <c r="L7" s="241"/>
      <c r="N7" s="190"/>
      <c r="O7" s="189"/>
      <c r="P7" s="2588" t="s">
        <v>1000</v>
      </c>
      <c r="Q7" s="188"/>
      <c r="R7" s="1144"/>
    </row>
    <row r="8" spans="1:36" ht="22.75" customHeight="1">
      <c r="D8" s="1121" t="s">
        <v>999</v>
      </c>
      <c r="E8" s="1255">
        <v>1</v>
      </c>
      <c r="F8" s="60" t="s">
        <v>1001</v>
      </c>
      <c r="G8" s="60"/>
      <c r="H8" s="561"/>
      <c r="I8" s="5"/>
      <c r="J8" s="4"/>
      <c r="K8" s="39"/>
      <c r="L8" s="39"/>
      <c r="M8" s="40"/>
      <c r="N8" s="40"/>
      <c r="O8" s="40"/>
      <c r="P8" s="40"/>
      <c r="T8" s="2589"/>
      <c r="AC8" s="187"/>
    </row>
    <row r="9" spans="1:36" ht="15.5">
      <c r="D9" s="1121" t="s">
        <v>999</v>
      </c>
      <c r="E9" s="1255">
        <v>1</v>
      </c>
      <c r="F9" s="9"/>
      <c r="G9" s="460" t="s">
        <v>94</v>
      </c>
      <c r="I9" s="39"/>
      <c r="J9" s="40"/>
      <c r="K9" s="39"/>
      <c r="L9" s="39"/>
      <c r="M9" s="40"/>
      <c r="N9" s="67"/>
      <c r="O9" s="40"/>
      <c r="P9" s="40"/>
      <c r="Q9" s="1151"/>
      <c r="R9" s="1151"/>
      <c r="S9" s="1151"/>
      <c r="T9" s="1151"/>
      <c r="U9" s="1151"/>
      <c r="V9" s="1151"/>
      <c r="AG9" s="186"/>
      <c r="AH9" s="186"/>
      <c r="AI9" s="186"/>
    </row>
    <row r="10" spans="1:36">
      <c r="D10" s="1121" t="s">
        <v>999</v>
      </c>
      <c r="E10" s="1255">
        <v>1</v>
      </c>
      <c r="F10" s="93"/>
      <c r="G10" s="93"/>
      <c r="H10" s="14"/>
      <c r="I10" s="58"/>
      <c r="J10" s="555"/>
      <c r="K10" s="636"/>
      <c r="L10" s="636"/>
      <c r="M10" s="555"/>
      <c r="N10" s="555"/>
      <c r="O10" s="555"/>
      <c r="P10" s="555"/>
      <c r="Q10" s="2175">
        <v>44652</v>
      </c>
      <c r="R10" s="2175">
        <v>44682</v>
      </c>
      <c r="S10" s="2175">
        <v>44713</v>
      </c>
      <c r="T10" s="2175">
        <v>44743</v>
      </c>
      <c r="U10" s="2175">
        <v>44774</v>
      </c>
      <c r="V10" s="2175">
        <v>44805</v>
      </c>
      <c r="W10" s="2175">
        <v>44835</v>
      </c>
      <c r="X10" s="2175">
        <v>44866</v>
      </c>
      <c r="Y10" s="2175">
        <v>44896</v>
      </c>
      <c r="Z10" s="2175">
        <v>44927</v>
      </c>
      <c r="AA10" s="2175">
        <v>44958</v>
      </c>
      <c r="AB10" s="2175">
        <v>44986</v>
      </c>
      <c r="AC10" s="2590" t="s">
        <v>105</v>
      </c>
      <c r="AD10" s="2591" t="s">
        <v>104</v>
      </c>
      <c r="AE10" s="2591" t="s">
        <v>103</v>
      </c>
      <c r="AF10" s="2591" t="s">
        <v>102</v>
      </c>
      <c r="AG10" s="2591" t="s">
        <v>101</v>
      </c>
      <c r="AH10" s="2591" t="s">
        <v>100</v>
      </c>
      <c r="AI10" s="2591" t="s">
        <v>118</v>
      </c>
    </row>
    <row r="11" spans="1:36">
      <c r="A11" s="990">
        <v>11</v>
      </c>
      <c r="B11" s="990">
        <v>1</v>
      </c>
      <c r="C11" s="990">
        <v>11</v>
      </c>
      <c r="D11" s="1121" t="s">
        <v>999</v>
      </c>
      <c r="E11" s="1243">
        <v>1</v>
      </c>
      <c r="F11" s="93"/>
      <c r="G11" s="93"/>
      <c r="H11" s="14"/>
      <c r="I11" s="2592" t="s">
        <v>9</v>
      </c>
      <c r="J11" s="2593"/>
      <c r="K11" s="2593"/>
      <c r="L11" s="2593"/>
      <c r="M11" s="2593"/>
      <c r="N11" s="2593"/>
      <c r="O11" s="2593"/>
      <c r="P11" s="2593"/>
      <c r="Q11" s="2101">
        <v>0</v>
      </c>
      <c r="R11" s="2101">
        <v>0</v>
      </c>
      <c r="S11" s="2101">
        <v>0</v>
      </c>
      <c r="T11" s="2101">
        <v>0</v>
      </c>
      <c r="U11" s="2101">
        <v>0</v>
      </c>
      <c r="V11" s="2101">
        <v>0</v>
      </c>
      <c r="W11" s="2101">
        <v>0</v>
      </c>
      <c r="X11" s="2101">
        <v>0</v>
      </c>
      <c r="Y11" s="2101">
        <v>0</v>
      </c>
      <c r="Z11" s="2101">
        <v>0</v>
      </c>
      <c r="AA11" s="2101">
        <v>0</v>
      </c>
      <c r="AB11" s="2101">
        <v>0</v>
      </c>
      <c r="AC11" s="2100">
        <v>0</v>
      </c>
      <c r="AD11" s="2101">
        <v>0</v>
      </c>
      <c r="AE11" s="2101">
        <v>0</v>
      </c>
      <c r="AF11" s="2101">
        <v>0</v>
      </c>
      <c r="AG11" s="2101">
        <v>0</v>
      </c>
      <c r="AH11" s="2101">
        <v>0</v>
      </c>
      <c r="AI11" s="2101">
        <v>0</v>
      </c>
    </row>
    <row r="12" spans="1:36">
      <c r="A12" s="990">
        <v>12</v>
      </c>
      <c r="B12" s="990">
        <v>1</v>
      </c>
      <c r="C12" s="990">
        <v>12</v>
      </c>
      <c r="D12" s="1121" t="s">
        <v>999</v>
      </c>
      <c r="E12" s="1243">
        <v>1</v>
      </c>
      <c r="F12" s="93"/>
      <c r="G12" s="93"/>
      <c r="I12" s="2101" t="s">
        <v>128</v>
      </c>
      <c r="J12" s="2594"/>
      <c r="K12" s="2594"/>
      <c r="L12" s="2595"/>
      <c r="M12" s="2593"/>
      <c r="N12" s="2593"/>
      <c r="O12" s="2593"/>
      <c r="P12" s="2593"/>
      <c r="Q12" s="2101">
        <v>0</v>
      </c>
      <c r="R12" s="2100">
        <v>0</v>
      </c>
      <c r="S12" s="2100">
        <v>0</v>
      </c>
      <c r="T12" s="2100">
        <v>0</v>
      </c>
      <c r="U12" s="2100">
        <v>0</v>
      </c>
      <c r="V12" s="2100">
        <v>0</v>
      </c>
      <c r="W12" s="2100">
        <v>0</v>
      </c>
      <c r="X12" s="2100">
        <v>0</v>
      </c>
      <c r="Y12" s="2100">
        <v>0</v>
      </c>
      <c r="Z12" s="2100">
        <v>0</v>
      </c>
      <c r="AA12" s="2100">
        <v>0</v>
      </c>
      <c r="AB12" s="2100">
        <v>0</v>
      </c>
      <c r="AC12" s="2100">
        <v>0</v>
      </c>
      <c r="AD12" s="2100">
        <v>0</v>
      </c>
      <c r="AE12" s="2100">
        <v>0</v>
      </c>
      <c r="AF12" s="2100">
        <v>0</v>
      </c>
      <c r="AG12" s="2100">
        <v>0</v>
      </c>
      <c r="AH12" s="2100">
        <v>0</v>
      </c>
      <c r="AI12" s="2100">
        <v>0</v>
      </c>
    </row>
    <row r="13" spans="1:36">
      <c r="A13" s="990">
        <v>13</v>
      </c>
      <c r="B13" s="990">
        <v>1</v>
      </c>
      <c r="C13" s="990">
        <v>13</v>
      </c>
      <c r="D13" s="1121" t="s">
        <v>999</v>
      </c>
      <c r="E13" s="1243">
        <v>1</v>
      </c>
      <c r="F13" s="93"/>
      <c r="G13" s="93"/>
      <c r="H13" s="14"/>
      <c r="I13" s="58" t="s">
        <v>106</v>
      </c>
      <c r="J13" s="555"/>
      <c r="K13" s="636"/>
      <c r="L13" s="636"/>
      <c r="M13" s="555"/>
      <c r="N13" s="555"/>
      <c r="O13" s="555"/>
      <c r="P13" s="555"/>
      <c r="Q13" s="2116">
        <v>0</v>
      </c>
      <c r="R13" s="2116">
        <v>0</v>
      </c>
      <c r="S13" s="2116">
        <v>0</v>
      </c>
      <c r="T13" s="2116">
        <v>0</v>
      </c>
      <c r="U13" s="2116">
        <v>0</v>
      </c>
      <c r="V13" s="2116">
        <v>0</v>
      </c>
      <c r="W13" s="2116">
        <v>0</v>
      </c>
      <c r="X13" s="2116">
        <v>0</v>
      </c>
      <c r="Y13" s="2116">
        <v>0</v>
      </c>
      <c r="Z13" s="2116">
        <v>0</v>
      </c>
      <c r="AA13" s="2116">
        <v>0</v>
      </c>
      <c r="AB13" s="2116">
        <v>0</v>
      </c>
      <c r="AC13" s="2596">
        <v>0</v>
      </c>
      <c r="AD13" s="2116">
        <v>0</v>
      </c>
      <c r="AE13" s="2116">
        <v>0</v>
      </c>
      <c r="AF13" s="2116">
        <v>0</v>
      </c>
      <c r="AG13" s="2116">
        <v>0</v>
      </c>
      <c r="AH13" s="2116">
        <v>0</v>
      </c>
      <c r="AI13" s="2116">
        <v>0</v>
      </c>
    </row>
    <row r="14" spans="1:36">
      <c r="A14" s="990">
        <v>14</v>
      </c>
      <c r="B14" s="990">
        <v>1</v>
      </c>
      <c r="C14" s="990">
        <v>14</v>
      </c>
      <c r="D14" s="1121" t="s">
        <v>999</v>
      </c>
      <c r="E14" s="1243">
        <v>1</v>
      </c>
      <c r="F14" s="93"/>
      <c r="G14" s="93"/>
      <c r="H14" s="14"/>
      <c r="I14" s="183" t="s">
        <v>134</v>
      </c>
      <c r="J14" s="1497"/>
      <c r="K14" s="1497"/>
      <c r="L14" s="1497"/>
      <c r="M14" s="1497"/>
      <c r="N14" s="1497"/>
      <c r="O14" s="1497"/>
      <c r="P14" s="1497"/>
      <c r="Q14" s="2117">
        <v>0</v>
      </c>
      <c r="R14" s="2117">
        <v>0</v>
      </c>
      <c r="S14" s="2117">
        <v>0</v>
      </c>
      <c r="T14" s="2117">
        <v>0</v>
      </c>
      <c r="U14" s="2117">
        <v>0</v>
      </c>
      <c r="V14" s="2117">
        <v>0</v>
      </c>
      <c r="W14" s="2117">
        <v>0</v>
      </c>
      <c r="X14" s="2117">
        <v>0</v>
      </c>
      <c r="Y14" s="2117">
        <v>0</v>
      </c>
      <c r="Z14" s="2117">
        <v>0</v>
      </c>
      <c r="AA14" s="2117">
        <v>0</v>
      </c>
      <c r="AB14" s="2117">
        <v>0</v>
      </c>
      <c r="AC14" s="181">
        <v>0</v>
      </c>
      <c r="AD14" s="2117">
        <v>0</v>
      </c>
      <c r="AE14" s="2117">
        <v>0</v>
      </c>
      <c r="AF14" s="2117">
        <v>0</v>
      </c>
      <c r="AG14" s="2117">
        <v>0</v>
      </c>
      <c r="AH14" s="2117">
        <v>0</v>
      </c>
      <c r="AI14" s="2117">
        <v>0</v>
      </c>
    </row>
    <row r="15" spans="1:36" ht="14.5">
      <c r="A15" s="990">
        <v>15</v>
      </c>
      <c r="B15" s="990">
        <v>1</v>
      </c>
      <c r="C15" s="990">
        <v>15</v>
      </c>
      <c r="D15" s="1121" t="s">
        <v>999</v>
      </c>
      <c r="E15" s="1243">
        <v>1</v>
      </c>
      <c r="F15" s="93"/>
      <c r="G15" s="93"/>
      <c r="H15" s="14"/>
      <c r="I15" s="121"/>
      <c r="J15" s="119"/>
      <c r="K15" s="120"/>
      <c r="L15" s="120"/>
      <c r="M15" s="119"/>
      <c r="N15" s="119"/>
      <c r="O15" s="119"/>
      <c r="P15" s="120" t="s">
        <v>135</v>
      </c>
      <c r="Q15" s="863">
        <v>0</v>
      </c>
      <c r="R15" s="863">
        <v>0</v>
      </c>
      <c r="S15" s="863">
        <v>0</v>
      </c>
      <c r="T15" s="863">
        <v>0</v>
      </c>
      <c r="U15" s="863">
        <v>0</v>
      </c>
      <c r="V15" s="863">
        <v>0</v>
      </c>
      <c r="W15" s="863">
        <v>0</v>
      </c>
      <c r="X15" s="863">
        <v>0</v>
      </c>
      <c r="Y15" s="863">
        <v>0</v>
      </c>
      <c r="Z15" s="863">
        <v>0</v>
      </c>
      <c r="AA15" s="863">
        <v>0</v>
      </c>
      <c r="AB15" s="863">
        <v>0</v>
      </c>
      <c r="AC15" s="1508">
        <v>0</v>
      </c>
      <c r="AD15" s="863">
        <v>0</v>
      </c>
      <c r="AE15" s="863">
        <v>0</v>
      </c>
      <c r="AF15" s="863">
        <v>0</v>
      </c>
      <c r="AG15" s="863">
        <v>0</v>
      </c>
      <c r="AH15" s="863">
        <v>0</v>
      </c>
      <c r="AI15" s="863">
        <v>0</v>
      </c>
      <c r="AJ15" s="619"/>
    </row>
    <row r="16" spans="1:36">
      <c r="A16" s="990">
        <v>16</v>
      </c>
      <c r="B16" s="990">
        <v>1</v>
      </c>
      <c r="C16" s="990">
        <v>16</v>
      </c>
      <c r="D16" s="1121" t="s">
        <v>999</v>
      </c>
      <c r="E16" s="1243">
        <v>1</v>
      </c>
      <c r="F16" s="93"/>
      <c r="G16" s="93"/>
      <c r="H16" s="14"/>
      <c r="I16" s="183" t="s">
        <v>97</v>
      </c>
      <c r="J16" s="1497"/>
      <c r="K16" s="1497"/>
      <c r="L16" s="1497"/>
      <c r="M16" s="1497"/>
      <c r="N16" s="1497"/>
      <c r="O16" s="1497"/>
      <c r="P16" s="1497"/>
      <c r="Q16" s="2117">
        <v>0</v>
      </c>
      <c r="R16" s="2117">
        <v>0</v>
      </c>
      <c r="S16" s="2117">
        <v>0</v>
      </c>
      <c r="T16" s="2117">
        <v>0</v>
      </c>
      <c r="U16" s="2117">
        <v>0</v>
      </c>
      <c r="V16" s="2117">
        <v>0</v>
      </c>
      <c r="W16" s="2117">
        <v>0</v>
      </c>
      <c r="X16" s="2117">
        <v>0</v>
      </c>
      <c r="Y16" s="2117">
        <v>0</v>
      </c>
      <c r="Z16" s="2117">
        <v>0</v>
      </c>
      <c r="AA16" s="2117">
        <v>0</v>
      </c>
      <c r="AB16" s="2117">
        <v>0</v>
      </c>
      <c r="AC16" s="181">
        <v>0</v>
      </c>
      <c r="AD16" s="2117">
        <v>0</v>
      </c>
      <c r="AE16" s="2117">
        <v>0</v>
      </c>
      <c r="AF16" s="2117">
        <v>0</v>
      </c>
      <c r="AG16" s="2117">
        <v>0</v>
      </c>
      <c r="AH16" s="2117">
        <v>0</v>
      </c>
      <c r="AI16" s="2117">
        <v>0</v>
      </c>
    </row>
    <row r="17" spans="1:36" ht="14.5">
      <c r="A17" s="990">
        <v>17</v>
      </c>
      <c r="B17" s="990">
        <v>1</v>
      </c>
      <c r="C17" s="990">
        <v>17</v>
      </c>
      <c r="D17" s="1121" t="s">
        <v>999</v>
      </c>
      <c r="E17" s="1243">
        <v>1</v>
      </c>
      <c r="F17" s="93"/>
      <c r="G17" s="93"/>
      <c r="H17" s="14"/>
      <c r="I17" s="175"/>
      <c r="J17" s="40"/>
      <c r="K17" s="39"/>
      <c r="L17" s="39"/>
      <c r="M17" s="40"/>
      <c r="N17" s="40"/>
      <c r="O17" s="40"/>
      <c r="P17" s="39" t="s">
        <v>135</v>
      </c>
      <c r="Q17" s="864">
        <v>0</v>
      </c>
      <c r="R17" s="864">
        <v>0</v>
      </c>
      <c r="S17" s="864">
        <v>0</v>
      </c>
      <c r="T17" s="864">
        <v>0</v>
      </c>
      <c r="U17" s="864">
        <v>0</v>
      </c>
      <c r="V17" s="864">
        <v>0</v>
      </c>
      <c r="W17" s="864">
        <v>0</v>
      </c>
      <c r="X17" s="864">
        <v>0</v>
      </c>
      <c r="Y17" s="864">
        <v>0</v>
      </c>
      <c r="Z17" s="864">
        <v>0</v>
      </c>
      <c r="AA17" s="864">
        <v>0</v>
      </c>
      <c r="AB17" s="864">
        <v>0</v>
      </c>
      <c r="AC17" s="1509">
        <v>0</v>
      </c>
      <c r="AD17" s="864">
        <v>0</v>
      </c>
      <c r="AE17" s="864">
        <v>0</v>
      </c>
      <c r="AF17" s="864">
        <v>0</v>
      </c>
      <c r="AG17" s="864">
        <v>0</v>
      </c>
      <c r="AH17" s="864">
        <v>0</v>
      </c>
      <c r="AI17" s="864">
        <v>0</v>
      </c>
      <c r="AJ17" s="619"/>
    </row>
    <row r="18" spans="1:36">
      <c r="A18" s="990">
        <v>18</v>
      </c>
      <c r="B18" s="990">
        <v>1</v>
      </c>
      <c r="C18" s="990">
        <v>18</v>
      </c>
      <c r="D18" s="1121" t="s">
        <v>999</v>
      </c>
      <c r="E18" s="1243">
        <v>1</v>
      </c>
      <c r="F18" s="93"/>
      <c r="G18" s="93"/>
      <c r="H18" s="14"/>
      <c r="I18" s="175"/>
      <c r="J18" s="123" t="s">
        <v>143</v>
      </c>
      <c r="K18" s="123"/>
      <c r="L18" s="178"/>
      <c r="M18" s="123"/>
      <c r="N18" s="123"/>
      <c r="O18" s="123"/>
      <c r="P18" s="178"/>
      <c r="Q18" s="44">
        <v>0</v>
      </c>
      <c r="R18" s="44">
        <v>0</v>
      </c>
      <c r="S18" s="44">
        <v>0</v>
      </c>
      <c r="T18" s="44">
        <v>0</v>
      </c>
      <c r="U18" s="44">
        <v>0</v>
      </c>
      <c r="V18" s="44">
        <v>0</v>
      </c>
      <c r="W18" s="44">
        <v>0</v>
      </c>
      <c r="X18" s="44">
        <v>0</v>
      </c>
      <c r="Y18" s="44">
        <v>0</v>
      </c>
      <c r="Z18" s="44">
        <v>0</v>
      </c>
      <c r="AA18" s="44">
        <v>0</v>
      </c>
      <c r="AB18" s="44">
        <v>0</v>
      </c>
      <c r="AC18" s="1510">
        <v>0</v>
      </c>
      <c r="AD18" s="176">
        <v>0</v>
      </c>
      <c r="AE18" s="176">
        <v>0</v>
      </c>
      <c r="AF18" s="176">
        <v>0</v>
      </c>
      <c r="AG18" s="176">
        <v>0</v>
      </c>
      <c r="AH18" s="176">
        <v>0</v>
      </c>
      <c r="AI18" s="176">
        <v>0</v>
      </c>
    </row>
    <row r="19" spans="1:36">
      <c r="A19" s="990">
        <v>19</v>
      </c>
      <c r="B19" s="990">
        <v>1</v>
      </c>
      <c r="C19" s="990">
        <v>19</v>
      </c>
      <c r="D19" s="1121" t="s">
        <v>999</v>
      </c>
      <c r="E19" s="1243">
        <v>1</v>
      </c>
      <c r="F19" s="93"/>
      <c r="G19" s="93"/>
      <c r="H19" s="14"/>
      <c r="I19" s="175"/>
      <c r="J19" s="40" t="s">
        <v>96</v>
      </c>
      <c r="K19" s="40"/>
      <c r="L19" s="39"/>
      <c r="M19" s="40"/>
      <c r="N19" s="40"/>
      <c r="O19" s="40"/>
      <c r="P19" s="39"/>
      <c r="Q19" s="44">
        <v>0</v>
      </c>
      <c r="R19" s="44">
        <v>0</v>
      </c>
      <c r="S19" s="44">
        <v>0</v>
      </c>
      <c r="T19" s="44">
        <v>0</v>
      </c>
      <c r="U19" s="44">
        <v>0</v>
      </c>
      <c r="V19" s="44">
        <v>0</v>
      </c>
      <c r="W19" s="44">
        <v>0</v>
      </c>
      <c r="X19" s="44">
        <v>0</v>
      </c>
      <c r="Y19" s="44">
        <v>0</v>
      </c>
      <c r="Z19" s="44">
        <v>0</v>
      </c>
      <c r="AA19" s="44">
        <v>0</v>
      </c>
      <c r="AB19" s="44">
        <v>0</v>
      </c>
      <c r="AC19" s="1511">
        <v>0</v>
      </c>
      <c r="AD19" s="44">
        <v>0</v>
      </c>
      <c r="AE19" s="44">
        <v>0</v>
      </c>
      <c r="AF19" s="44">
        <v>0</v>
      </c>
      <c r="AG19" s="44">
        <v>0</v>
      </c>
      <c r="AH19" s="44">
        <v>0</v>
      </c>
      <c r="AI19" s="44">
        <v>0</v>
      </c>
    </row>
    <row r="20" spans="1:36">
      <c r="A20" s="990">
        <v>20</v>
      </c>
      <c r="B20" s="990">
        <v>1</v>
      </c>
      <c r="C20" s="990">
        <v>20</v>
      </c>
      <c r="D20" s="1121" t="s">
        <v>999</v>
      </c>
      <c r="E20" s="1243">
        <v>1</v>
      </c>
      <c r="F20" s="93"/>
      <c r="G20" s="93"/>
      <c r="H20" s="14"/>
      <c r="I20" s="175"/>
      <c r="J20" s="40" t="s">
        <v>142</v>
      </c>
      <c r="K20" s="40"/>
      <c r="L20" s="39"/>
      <c r="M20" s="40"/>
      <c r="N20" s="40"/>
      <c r="O20" s="40"/>
      <c r="P20" s="39"/>
      <c r="Q20" s="44">
        <v>0</v>
      </c>
      <c r="R20" s="44">
        <v>0</v>
      </c>
      <c r="S20" s="44">
        <v>0</v>
      </c>
      <c r="T20" s="44">
        <v>0</v>
      </c>
      <c r="U20" s="44">
        <v>0</v>
      </c>
      <c r="V20" s="44">
        <v>0</v>
      </c>
      <c r="W20" s="44">
        <v>0</v>
      </c>
      <c r="X20" s="44">
        <v>0</v>
      </c>
      <c r="Y20" s="44">
        <v>0</v>
      </c>
      <c r="Z20" s="44">
        <v>0</v>
      </c>
      <c r="AA20" s="44">
        <v>0</v>
      </c>
      <c r="AB20" s="44">
        <v>0</v>
      </c>
      <c r="AC20" s="1511">
        <v>0</v>
      </c>
      <c r="AD20" s="44">
        <v>0</v>
      </c>
      <c r="AE20" s="44">
        <v>0</v>
      </c>
      <c r="AF20" s="44">
        <v>0</v>
      </c>
      <c r="AG20" s="44">
        <v>0</v>
      </c>
      <c r="AH20" s="44">
        <v>0</v>
      </c>
      <c r="AI20" s="44">
        <v>0</v>
      </c>
    </row>
    <row r="21" spans="1:36">
      <c r="A21" s="990">
        <v>21</v>
      </c>
      <c r="B21" s="990">
        <v>1</v>
      </c>
      <c r="C21" s="990">
        <v>21</v>
      </c>
      <c r="D21" s="1121" t="s">
        <v>999</v>
      </c>
      <c r="E21" s="1243">
        <v>1</v>
      </c>
      <c r="F21" s="93"/>
      <c r="G21" s="93"/>
      <c r="H21" s="14"/>
      <c r="I21" s="183" t="s">
        <v>136</v>
      </c>
      <c r="J21" s="1497"/>
      <c r="K21" s="1497"/>
      <c r="L21" s="1497"/>
      <c r="M21" s="1497"/>
      <c r="N21" s="1497"/>
      <c r="O21" s="1497"/>
      <c r="P21" s="1497"/>
      <c r="Q21" s="2117">
        <v>0</v>
      </c>
      <c r="R21" s="2117">
        <v>0</v>
      </c>
      <c r="S21" s="2117">
        <v>0</v>
      </c>
      <c r="T21" s="2117">
        <v>0</v>
      </c>
      <c r="U21" s="2117">
        <v>0</v>
      </c>
      <c r="V21" s="2117">
        <v>0</v>
      </c>
      <c r="W21" s="2117">
        <v>0</v>
      </c>
      <c r="X21" s="2117">
        <v>0</v>
      </c>
      <c r="Y21" s="2117">
        <v>0</v>
      </c>
      <c r="Z21" s="2117">
        <v>0</v>
      </c>
      <c r="AA21" s="2117">
        <v>0</v>
      </c>
      <c r="AB21" s="2117">
        <v>0</v>
      </c>
      <c r="AC21" s="181">
        <v>0</v>
      </c>
      <c r="AD21" s="2117">
        <v>0</v>
      </c>
      <c r="AE21" s="2117">
        <v>0</v>
      </c>
      <c r="AF21" s="2117">
        <v>0</v>
      </c>
      <c r="AG21" s="2117">
        <v>0</v>
      </c>
      <c r="AH21" s="2117">
        <v>0</v>
      </c>
      <c r="AI21" s="2117">
        <v>0</v>
      </c>
    </row>
    <row r="22" spans="1:36" ht="14.5">
      <c r="A22" s="990">
        <v>22</v>
      </c>
      <c r="B22" s="990">
        <v>1</v>
      </c>
      <c r="C22" s="990">
        <v>22</v>
      </c>
      <c r="D22" s="1121" t="s">
        <v>999</v>
      </c>
      <c r="E22" s="1243">
        <v>1</v>
      </c>
      <c r="F22" s="93"/>
      <c r="G22" s="93"/>
      <c r="H22" s="14"/>
      <c r="I22" s="175"/>
      <c r="J22" s="40"/>
      <c r="K22" s="39"/>
      <c r="L22" s="39"/>
      <c r="M22" s="40"/>
      <c r="N22" s="40"/>
      <c r="O22" s="40"/>
      <c r="P22" s="39" t="s">
        <v>135</v>
      </c>
      <c r="Q22" s="865">
        <v>0</v>
      </c>
      <c r="R22" s="865">
        <v>0</v>
      </c>
      <c r="S22" s="865">
        <v>0</v>
      </c>
      <c r="T22" s="865">
        <v>0</v>
      </c>
      <c r="U22" s="865">
        <v>0</v>
      </c>
      <c r="V22" s="865">
        <v>0</v>
      </c>
      <c r="W22" s="865">
        <v>0</v>
      </c>
      <c r="X22" s="865">
        <v>0</v>
      </c>
      <c r="Y22" s="865">
        <v>0</v>
      </c>
      <c r="Z22" s="865">
        <v>0</v>
      </c>
      <c r="AA22" s="865">
        <v>0</v>
      </c>
      <c r="AB22" s="865">
        <v>0</v>
      </c>
      <c r="AC22" s="1512">
        <v>0</v>
      </c>
      <c r="AD22" s="865">
        <v>0</v>
      </c>
      <c r="AE22" s="865">
        <v>0</v>
      </c>
      <c r="AF22" s="865">
        <v>0</v>
      </c>
      <c r="AG22" s="865">
        <v>0</v>
      </c>
      <c r="AH22" s="865">
        <v>0</v>
      </c>
      <c r="AI22" s="865">
        <v>0</v>
      </c>
      <c r="AJ22" s="619"/>
    </row>
    <row r="23" spans="1:36">
      <c r="A23" s="990">
        <v>23</v>
      </c>
      <c r="B23" s="990">
        <v>1</v>
      </c>
      <c r="C23" s="990">
        <v>23</v>
      </c>
      <c r="D23" s="1121" t="s">
        <v>999</v>
      </c>
      <c r="E23" s="1243">
        <v>1</v>
      </c>
      <c r="F23" s="39"/>
      <c r="G23" s="39"/>
      <c r="H23" s="5"/>
      <c r="I23" s="175" t="s">
        <v>504</v>
      </c>
      <c r="J23" s="40"/>
      <c r="K23" s="39"/>
      <c r="L23" s="39"/>
      <c r="M23" s="40"/>
      <c r="N23" s="40"/>
      <c r="O23" s="40"/>
      <c r="P23" s="40"/>
      <c r="Q23" s="63">
        <v>0</v>
      </c>
      <c r="R23" s="63">
        <v>0</v>
      </c>
      <c r="S23" s="63">
        <v>0</v>
      </c>
      <c r="T23" s="63">
        <v>0</v>
      </c>
      <c r="U23" s="63">
        <v>0</v>
      </c>
      <c r="V23" s="63">
        <v>0</v>
      </c>
      <c r="W23" s="63">
        <v>0</v>
      </c>
      <c r="X23" s="63">
        <v>0</v>
      </c>
      <c r="Y23" s="63">
        <v>0</v>
      </c>
      <c r="Z23" s="63">
        <v>0</v>
      </c>
      <c r="AA23" s="63">
        <v>0</v>
      </c>
      <c r="AB23" s="63">
        <v>0</v>
      </c>
      <c r="AC23" s="1513">
        <v>0</v>
      </c>
      <c r="AD23" s="63">
        <v>0</v>
      </c>
      <c r="AE23" s="63">
        <v>0</v>
      </c>
      <c r="AF23" s="63">
        <v>0</v>
      </c>
      <c r="AG23" s="63">
        <v>0</v>
      </c>
      <c r="AH23" s="63">
        <v>0</v>
      </c>
      <c r="AI23" s="63">
        <v>0</v>
      </c>
    </row>
    <row r="24" spans="1:36">
      <c r="A24" s="990">
        <v>24</v>
      </c>
      <c r="B24" s="990">
        <v>1</v>
      </c>
      <c r="C24" s="990">
        <v>24</v>
      </c>
      <c r="D24" s="1121" t="s">
        <v>999</v>
      </c>
      <c r="E24" s="1243">
        <v>1</v>
      </c>
      <c r="F24" s="39"/>
      <c r="G24" s="39"/>
      <c r="H24" s="5"/>
      <c r="I24" s="121" t="s">
        <v>1002</v>
      </c>
      <c r="J24" s="119"/>
      <c r="K24" s="120"/>
      <c r="L24" s="120"/>
      <c r="M24" s="119"/>
      <c r="N24" s="119"/>
      <c r="O24" s="119"/>
      <c r="P24" s="119"/>
      <c r="Q24" s="184">
        <v>0</v>
      </c>
      <c r="R24" s="184">
        <v>0</v>
      </c>
      <c r="S24" s="184">
        <v>0</v>
      </c>
      <c r="T24" s="184">
        <v>0</v>
      </c>
      <c r="U24" s="184">
        <v>0</v>
      </c>
      <c r="V24" s="184">
        <v>0</v>
      </c>
      <c r="W24" s="184">
        <v>0</v>
      </c>
      <c r="X24" s="184">
        <v>0</v>
      </c>
      <c r="Y24" s="184">
        <v>0</v>
      </c>
      <c r="Z24" s="184">
        <v>0</v>
      </c>
      <c r="AA24" s="184">
        <v>0</v>
      </c>
      <c r="AB24" s="184">
        <v>0</v>
      </c>
      <c r="AC24" s="1514">
        <v>0</v>
      </c>
      <c r="AD24" s="184">
        <v>0</v>
      </c>
      <c r="AE24" s="184">
        <v>0</v>
      </c>
      <c r="AF24" s="184">
        <v>0</v>
      </c>
      <c r="AG24" s="184">
        <v>0</v>
      </c>
      <c r="AH24" s="184">
        <v>0</v>
      </c>
      <c r="AI24" s="184">
        <v>0</v>
      </c>
    </row>
    <row r="25" spans="1:36">
      <c r="A25" s="990">
        <v>25</v>
      </c>
      <c r="B25" s="990">
        <v>1</v>
      </c>
      <c r="C25" s="990">
        <v>25</v>
      </c>
      <c r="D25" s="1121" t="s">
        <v>999</v>
      </c>
      <c r="E25" s="1243">
        <v>1</v>
      </c>
      <c r="F25" s="39"/>
      <c r="G25" s="39"/>
      <c r="H25" s="5"/>
      <c r="I25" s="183" t="s">
        <v>10</v>
      </c>
      <c r="J25" s="1497"/>
      <c r="K25" s="1497"/>
      <c r="L25" s="1497"/>
      <c r="M25" s="1497"/>
      <c r="N25" s="1497"/>
      <c r="O25" s="1497"/>
      <c r="P25" s="1497"/>
      <c r="Q25" s="2117">
        <v>0</v>
      </c>
      <c r="R25" s="2117">
        <v>0</v>
      </c>
      <c r="S25" s="2117">
        <v>0</v>
      </c>
      <c r="T25" s="2117">
        <v>0</v>
      </c>
      <c r="U25" s="2117">
        <v>0</v>
      </c>
      <c r="V25" s="2117">
        <v>0</v>
      </c>
      <c r="W25" s="2117">
        <v>0</v>
      </c>
      <c r="X25" s="2117">
        <v>0</v>
      </c>
      <c r="Y25" s="2117">
        <v>0</v>
      </c>
      <c r="Z25" s="2117">
        <v>0</v>
      </c>
      <c r="AA25" s="2117">
        <v>0</v>
      </c>
      <c r="AB25" s="2117">
        <v>0</v>
      </c>
      <c r="AC25" s="181">
        <v>0</v>
      </c>
      <c r="AD25" s="2117">
        <v>0</v>
      </c>
      <c r="AE25" s="2117">
        <v>0</v>
      </c>
      <c r="AF25" s="2117">
        <v>0</v>
      </c>
      <c r="AG25" s="2117">
        <v>0</v>
      </c>
      <c r="AH25" s="2117">
        <v>0</v>
      </c>
      <c r="AI25" s="2117">
        <v>0</v>
      </c>
    </row>
    <row r="26" spans="1:36" ht="14.5">
      <c r="A26" s="990">
        <v>26</v>
      </c>
      <c r="B26" s="990">
        <v>1</v>
      </c>
      <c r="C26" s="990">
        <v>26</v>
      </c>
      <c r="D26" s="1121" t="s">
        <v>999</v>
      </c>
      <c r="E26" s="1243">
        <v>1</v>
      </c>
      <c r="F26" s="39"/>
      <c r="G26" s="39"/>
      <c r="H26" s="5"/>
      <c r="I26" s="121"/>
      <c r="J26" s="119"/>
      <c r="K26" s="120"/>
      <c r="L26" s="120"/>
      <c r="M26" s="119"/>
      <c r="N26" s="119"/>
      <c r="O26" s="119"/>
      <c r="P26" s="120" t="s">
        <v>135</v>
      </c>
      <c r="Q26" s="863">
        <v>0</v>
      </c>
      <c r="R26" s="863">
        <v>0</v>
      </c>
      <c r="S26" s="863">
        <v>0</v>
      </c>
      <c r="T26" s="863">
        <v>0</v>
      </c>
      <c r="U26" s="863">
        <v>0</v>
      </c>
      <c r="V26" s="863">
        <v>0</v>
      </c>
      <c r="W26" s="863">
        <v>0</v>
      </c>
      <c r="X26" s="863">
        <v>0</v>
      </c>
      <c r="Y26" s="863">
        <v>0</v>
      </c>
      <c r="Z26" s="863">
        <v>0</v>
      </c>
      <c r="AA26" s="863">
        <v>0</v>
      </c>
      <c r="AB26" s="863">
        <v>0</v>
      </c>
      <c r="AC26" s="1508">
        <v>0</v>
      </c>
      <c r="AD26" s="863">
        <v>0</v>
      </c>
      <c r="AE26" s="863">
        <v>0</v>
      </c>
      <c r="AF26" s="863">
        <v>0</v>
      </c>
      <c r="AG26" s="863">
        <v>0</v>
      </c>
      <c r="AH26" s="863">
        <v>0</v>
      </c>
      <c r="AI26" s="863">
        <v>0</v>
      </c>
      <c r="AJ26" s="619"/>
    </row>
    <row r="27" spans="1:36">
      <c r="A27" s="990">
        <v>27</v>
      </c>
      <c r="B27" s="990">
        <v>1</v>
      </c>
      <c r="C27" s="990">
        <v>27</v>
      </c>
      <c r="D27" s="1121" t="s">
        <v>999</v>
      </c>
      <c r="E27" s="1243">
        <v>1</v>
      </c>
      <c r="F27" s="39"/>
      <c r="G27" s="39"/>
      <c r="H27" s="5"/>
      <c r="I27" s="175" t="s">
        <v>1003</v>
      </c>
      <c r="J27" s="40"/>
      <c r="K27" s="39"/>
      <c r="L27" s="39"/>
      <c r="M27" s="40"/>
      <c r="N27" s="40"/>
      <c r="O27" s="40"/>
      <c r="P27" s="39"/>
      <c r="Q27" s="63">
        <v>0</v>
      </c>
      <c r="R27" s="63">
        <v>0</v>
      </c>
      <c r="S27" s="63">
        <v>0</v>
      </c>
      <c r="T27" s="63">
        <v>0</v>
      </c>
      <c r="U27" s="63">
        <v>0</v>
      </c>
      <c r="V27" s="63">
        <v>0</v>
      </c>
      <c r="W27" s="63">
        <v>0</v>
      </c>
      <c r="X27" s="63">
        <v>0</v>
      </c>
      <c r="Y27" s="63">
        <v>0</v>
      </c>
      <c r="Z27" s="63">
        <v>0</v>
      </c>
      <c r="AA27" s="63">
        <v>0</v>
      </c>
      <c r="AB27" s="63">
        <v>0</v>
      </c>
      <c r="AC27" s="1513">
        <v>0</v>
      </c>
      <c r="AD27" s="63">
        <v>0</v>
      </c>
      <c r="AE27" s="63">
        <v>0</v>
      </c>
      <c r="AF27" s="63">
        <v>0</v>
      </c>
      <c r="AG27" s="63">
        <v>0</v>
      </c>
      <c r="AH27" s="63">
        <v>0</v>
      </c>
      <c r="AI27" s="63">
        <v>0</v>
      </c>
    </row>
    <row r="28" spans="1:36">
      <c r="A28" s="990">
        <v>28</v>
      </c>
      <c r="B28" s="990">
        <v>1</v>
      </c>
      <c r="C28" s="990">
        <v>28</v>
      </c>
      <c r="D28" s="1121" t="s">
        <v>999</v>
      </c>
      <c r="E28" s="1243">
        <v>1</v>
      </c>
      <c r="F28" s="93"/>
      <c r="G28" s="93"/>
      <c r="H28" s="14"/>
      <c r="I28" s="175"/>
      <c r="J28" s="123" t="s">
        <v>280</v>
      </c>
      <c r="K28" s="123"/>
      <c r="L28" s="178"/>
      <c r="M28" s="123"/>
      <c r="N28" s="123"/>
      <c r="O28" s="123"/>
      <c r="P28" s="123"/>
      <c r="Q28" s="2045"/>
      <c r="R28" s="2045"/>
      <c r="S28" s="2045"/>
      <c r="T28" s="2045"/>
      <c r="U28" s="2045"/>
      <c r="V28" s="2045"/>
      <c r="W28" s="2045"/>
      <c r="X28" s="2045"/>
      <c r="Y28" s="2045"/>
      <c r="Z28" s="2045"/>
      <c r="AA28" s="2045"/>
      <c r="AB28" s="2045"/>
      <c r="AC28" s="1510">
        <v>0</v>
      </c>
      <c r="AD28" s="176">
        <v>0</v>
      </c>
      <c r="AE28" s="176">
        <v>0</v>
      </c>
      <c r="AF28" s="176">
        <v>0</v>
      </c>
      <c r="AG28" s="176">
        <v>0</v>
      </c>
      <c r="AH28" s="176">
        <v>0</v>
      </c>
      <c r="AI28" s="176">
        <v>0</v>
      </c>
    </row>
    <row r="29" spans="1:36">
      <c r="A29" s="990">
        <v>29</v>
      </c>
      <c r="B29" s="990">
        <v>1</v>
      </c>
      <c r="C29" s="990">
        <v>29</v>
      </c>
      <c r="D29" s="1121" t="s">
        <v>999</v>
      </c>
      <c r="E29" s="1243">
        <v>1</v>
      </c>
      <c r="F29" s="93"/>
      <c r="G29" s="93"/>
      <c r="H29" s="14"/>
      <c r="I29" s="175"/>
      <c r="J29" s="40" t="s">
        <v>281</v>
      </c>
      <c r="K29" s="40"/>
      <c r="L29" s="39"/>
      <c r="M29" s="40"/>
      <c r="N29" s="40"/>
      <c r="O29" s="40"/>
      <c r="P29" s="40"/>
      <c r="Q29" s="2030"/>
      <c r="R29" s="2030"/>
      <c r="S29" s="2030"/>
      <c r="T29" s="2030"/>
      <c r="U29" s="2030"/>
      <c r="V29" s="2030"/>
      <c r="W29" s="2030"/>
      <c r="X29" s="2030"/>
      <c r="Y29" s="2030"/>
      <c r="Z29" s="2030"/>
      <c r="AA29" s="2030"/>
      <c r="AB29" s="2030"/>
      <c r="AC29" s="1511">
        <v>0</v>
      </c>
      <c r="AD29" s="44">
        <v>0</v>
      </c>
      <c r="AE29" s="44">
        <v>0</v>
      </c>
      <c r="AF29" s="44">
        <v>0</v>
      </c>
      <c r="AG29" s="44">
        <v>0</v>
      </c>
      <c r="AH29" s="44">
        <v>0</v>
      </c>
      <c r="AI29" s="44">
        <v>0</v>
      </c>
    </row>
    <row r="30" spans="1:36">
      <c r="A30" s="990">
        <v>30</v>
      </c>
      <c r="B30" s="990">
        <v>1</v>
      </c>
      <c r="C30" s="990">
        <v>30</v>
      </c>
      <c r="D30" s="1121" t="s">
        <v>999</v>
      </c>
      <c r="E30" s="1243">
        <v>1</v>
      </c>
      <c r="F30" s="39"/>
      <c r="G30" s="39"/>
      <c r="H30" s="5"/>
      <c r="I30" s="2592" t="s">
        <v>144</v>
      </c>
      <c r="J30" s="2593"/>
      <c r="K30" s="2593"/>
      <c r="L30" s="2593"/>
      <c r="M30" s="2593"/>
      <c r="N30" s="2593"/>
      <c r="O30" s="2593"/>
      <c r="P30" s="2593"/>
      <c r="Q30" s="2101">
        <v>0</v>
      </c>
      <c r="R30" s="2101">
        <v>0</v>
      </c>
      <c r="S30" s="2101">
        <v>0</v>
      </c>
      <c r="T30" s="2101">
        <v>0</v>
      </c>
      <c r="U30" s="2101">
        <v>0</v>
      </c>
      <c r="V30" s="2101">
        <v>0</v>
      </c>
      <c r="W30" s="2101">
        <v>0</v>
      </c>
      <c r="X30" s="2101">
        <v>0</v>
      </c>
      <c r="Y30" s="2101">
        <v>0</v>
      </c>
      <c r="Z30" s="2101">
        <v>0</v>
      </c>
      <c r="AA30" s="2101">
        <v>0</v>
      </c>
      <c r="AB30" s="2101">
        <v>0</v>
      </c>
      <c r="AC30" s="2100">
        <v>0</v>
      </c>
      <c r="AD30" s="2101">
        <v>0</v>
      </c>
      <c r="AE30" s="2101">
        <v>0</v>
      </c>
      <c r="AF30" s="2101">
        <v>0</v>
      </c>
      <c r="AG30" s="2101">
        <v>0</v>
      </c>
      <c r="AH30" s="2101">
        <v>0</v>
      </c>
      <c r="AI30" s="2101">
        <v>0</v>
      </c>
    </row>
    <row r="31" spans="1:36">
      <c r="A31" s="990">
        <v>31</v>
      </c>
      <c r="B31" s="990">
        <v>1</v>
      </c>
      <c r="C31" s="990">
        <v>31</v>
      </c>
      <c r="D31" s="1121" t="s">
        <v>999</v>
      </c>
      <c r="E31" s="1243">
        <v>1</v>
      </c>
      <c r="F31" s="39"/>
      <c r="G31" s="39"/>
      <c r="H31" s="5"/>
      <c r="I31" s="58" t="s">
        <v>1004</v>
      </c>
      <c r="J31" s="555"/>
      <c r="K31" s="636"/>
      <c r="L31" s="636"/>
      <c r="M31" s="555"/>
      <c r="N31" s="555"/>
      <c r="O31" s="555"/>
      <c r="P31" s="555"/>
      <c r="Q31" s="2199"/>
      <c r="R31" s="2199"/>
      <c r="S31" s="2199"/>
      <c r="T31" s="2199"/>
      <c r="U31" s="2199"/>
      <c r="V31" s="2199"/>
      <c r="W31" s="2199"/>
      <c r="X31" s="2199"/>
      <c r="Y31" s="2199"/>
      <c r="Z31" s="2199"/>
      <c r="AA31" s="2199"/>
      <c r="AB31" s="2199"/>
      <c r="AC31" s="2597">
        <v>0</v>
      </c>
      <c r="AD31" s="2470">
        <v>0</v>
      </c>
      <c r="AE31" s="2470">
        <v>0</v>
      </c>
      <c r="AF31" s="2470">
        <v>0</v>
      </c>
      <c r="AG31" s="2470">
        <v>0</v>
      </c>
      <c r="AH31" s="2470">
        <v>0</v>
      </c>
      <c r="AI31" s="2470">
        <v>0</v>
      </c>
    </row>
    <row r="32" spans="1:36">
      <c r="A32" s="990">
        <v>32</v>
      </c>
      <c r="B32" s="990">
        <v>1</v>
      </c>
      <c r="C32" s="990">
        <v>32</v>
      </c>
      <c r="D32" s="1121" t="s">
        <v>999</v>
      </c>
      <c r="E32" s="1243">
        <v>1</v>
      </c>
      <c r="F32" s="39"/>
      <c r="G32" s="39"/>
      <c r="H32" s="5"/>
      <c r="I32" s="2592" t="s">
        <v>285</v>
      </c>
      <c r="J32" s="2593"/>
      <c r="K32" s="2593"/>
      <c r="L32" s="2593"/>
      <c r="M32" s="2593"/>
      <c r="N32" s="2593"/>
      <c r="O32" s="2593"/>
      <c r="P32" s="2593"/>
      <c r="Q32" s="2101">
        <v>0</v>
      </c>
      <c r="R32" s="2101">
        <v>0</v>
      </c>
      <c r="S32" s="2101">
        <v>0</v>
      </c>
      <c r="T32" s="2101">
        <v>0</v>
      </c>
      <c r="U32" s="2101">
        <v>0</v>
      </c>
      <c r="V32" s="2101">
        <v>0</v>
      </c>
      <c r="W32" s="2101">
        <v>0</v>
      </c>
      <c r="X32" s="2101">
        <v>0</v>
      </c>
      <c r="Y32" s="2101">
        <v>0</v>
      </c>
      <c r="Z32" s="2101">
        <v>0</v>
      </c>
      <c r="AA32" s="2101">
        <v>0</v>
      </c>
      <c r="AB32" s="2101">
        <v>0</v>
      </c>
      <c r="AC32" s="2100">
        <v>0</v>
      </c>
      <c r="AD32" s="2101">
        <v>0</v>
      </c>
      <c r="AE32" s="2101">
        <v>0</v>
      </c>
      <c r="AF32" s="2101">
        <v>0</v>
      </c>
      <c r="AG32" s="2101">
        <v>0</v>
      </c>
      <c r="AH32" s="2101">
        <v>0</v>
      </c>
      <c r="AI32" s="2101">
        <v>0</v>
      </c>
    </row>
    <row r="33" spans="1:36" ht="14.5">
      <c r="A33" s="990">
        <v>33</v>
      </c>
      <c r="B33" s="990">
        <v>1</v>
      </c>
      <c r="C33" s="990">
        <v>33</v>
      </c>
      <c r="D33" s="1121" t="s">
        <v>999</v>
      </c>
      <c r="E33" s="1243">
        <v>1</v>
      </c>
      <c r="F33" s="39"/>
      <c r="G33" s="39"/>
      <c r="H33" s="5"/>
      <c r="I33" s="121"/>
      <c r="J33" s="119"/>
      <c r="K33" s="120"/>
      <c r="L33" s="120"/>
      <c r="M33" s="119"/>
      <c r="N33" s="119"/>
      <c r="O33" s="119"/>
      <c r="P33" s="120" t="s">
        <v>135</v>
      </c>
      <c r="Q33" s="863">
        <v>0</v>
      </c>
      <c r="R33" s="863">
        <v>0</v>
      </c>
      <c r="S33" s="863">
        <v>0</v>
      </c>
      <c r="T33" s="863">
        <v>0</v>
      </c>
      <c r="U33" s="863">
        <v>0</v>
      </c>
      <c r="V33" s="863">
        <v>0</v>
      </c>
      <c r="W33" s="863">
        <v>0</v>
      </c>
      <c r="X33" s="863">
        <v>0</v>
      </c>
      <c r="Y33" s="863">
        <v>0</v>
      </c>
      <c r="Z33" s="863">
        <v>0</v>
      </c>
      <c r="AA33" s="863">
        <v>0</v>
      </c>
      <c r="AB33" s="863">
        <v>0</v>
      </c>
      <c r="AC33" s="1508">
        <v>0</v>
      </c>
      <c r="AD33" s="863">
        <v>0</v>
      </c>
      <c r="AE33" s="863">
        <v>0</v>
      </c>
      <c r="AF33" s="863">
        <v>0</v>
      </c>
      <c r="AG33" s="863">
        <v>0</v>
      </c>
      <c r="AH33" s="863">
        <v>0</v>
      </c>
      <c r="AI33" s="863">
        <v>0</v>
      </c>
      <c r="AJ33" s="619"/>
    </row>
    <row r="34" spans="1:36">
      <c r="A34" s="990">
        <v>34</v>
      </c>
      <c r="B34" s="990">
        <v>1</v>
      </c>
      <c r="C34" s="990">
        <v>34</v>
      </c>
      <c r="E34" s="1243">
        <v>1</v>
      </c>
      <c r="Q34" s="2200"/>
      <c r="Z34" s="163"/>
      <c r="AA34" s="163"/>
      <c r="AB34" s="2201"/>
      <c r="AC34" s="163"/>
      <c r="AD34" s="163"/>
      <c r="AE34" s="163"/>
      <c r="AF34" s="163"/>
      <c r="AG34" s="163"/>
      <c r="AH34" s="163"/>
      <c r="AI34" s="868"/>
    </row>
    <row r="35" spans="1:36">
      <c r="A35" s="990">
        <v>35</v>
      </c>
      <c r="B35" s="990">
        <v>1</v>
      </c>
      <c r="C35" s="990">
        <v>35</v>
      </c>
      <c r="E35" s="1243">
        <v>1</v>
      </c>
      <c r="Q35" s="2200"/>
      <c r="Z35" s="163"/>
      <c r="AA35" s="163"/>
      <c r="AB35" s="2201"/>
      <c r="AC35" s="163"/>
      <c r="AD35" s="163"/>
      <c r="AE35" s="163"/>
      <c r="AF35" s="163"/>
      <c r="AG35" s="163"/>
      <c r="AH35" s="163"/>
      <c r="AI35" s="868"/>
    </row>
    <row r="36" spans="1:36" s="75" customFormat="1" ht="15.5">
      <c r="A36" s="990">
        <v>36</v>
      </c>
      <c r="B36" s="990">
        <v>1</v>
      </c>
      <c r="C36" s="990">
        <v>36</v>
      </c>
      <c r="E36" s="1243">
        <v>1</v>
      </c>
      <c r="G36" s="315" t="s">
        <v>93</v>
      </c>
      <c r="I36" s="30"/>
      <c r="K36" s="24"/>
      <c r="L36" s="24"/>
      <c r="Q36" s="1926"/>
      <c r="R36" s="2176"/>
      <c r="S36" s="2176"/>
      <c r="T36" s="2176"/>
      <c r="U36" s="2176"/>
      <c r="V36" s="2176"/>
      <c r="W36" s="2176"/>
      <c r="X36" s="2176"/>
      <c r="Y36" s="2176"/>
      <c r="Z36" s="287"/>
      <c r="AA36" s="287"/>
      <c r="AB36" s="2202"/>
      <c r="AC36" s="287"/>
      <c r="AD36" s="287"/>
      <c r="AE36" s="287"/>
      <c r="AF36" s="287"/>
      <c r="AG36" s="287"/>
      <c r="AH36" s="287"/>
      <c r="AI36" s="869"/>
    </row>
    <row r="37" spans="1:36">
      <c r="A37" s="990">
        <v>37</v>
      </c>
      <c r="B37" s="990">
        <v>1</v>
      </c>
      <c r="C37" s="990">
        <v>37</v>
      </c>
      <c r="E37" s="1243">
        <v>1</v>
      </c>
      <c r="I37" s="2598" t="s">
        <v>143</v>
      </c>
      <c r="J37" s="2343"/>
      <c r="K37" s="2599"/>
      <c r="L37" s="2599"/>
      <c r="M37" s="2343"/>
      <c r="N37" s="2343"/>
      <c r="O37" s="2343"/>
      <c r="P37" s="2343"/>
      <c r="Q37" s="2203">
        <v>0</v>
      </c>
      <c r="R37" s="2203">
        <v>0</v>
      </c>
      <c r="S37" s="2203">
        <v>0</v>
      </c>
      <c r="T37" s="2203">
        <v>0</v>
      </c>
      <c r="U37" s="2203">
        <v>0</v>
      </c>
      <c r="V37" s="2203">
        <v>0</v>
      </c>
      <c r="W37" s="2203">
        <v>0</v>
      </c>
      <c r="X37" s="2203">
        <v>0</v>
      </c>
      <c r="Y37" s="2203">
        <v>0</v>
      </c>
      <c r="Z37" s="2203">
        <v>0</v>
      </c>
      <c r="AA37" s="2203">
        <v>0</v>
      </c>
      <c r="AB37" s="2058">
        <v>0</v>
      </c>
      <c r="AC37" s="2600">
        <v>0</v>
      </c>
      <c r="AD37" s="2058">
        <v>0</v>
      </c>
      <c r="AE37" s="2058">
        <v>0</v>
      </c>
      <c r="AF37" s="2058">
        <v>0</v>
      </c>
      <c r="AG37" s="2058">
        <v>0</v>
      </c>
      <c r="AH37" s="2058">
        <v>0</v>
      </c>
      <c r="AI37" s="2058">
        <v>0</v>
      </c>
    </row>
    <row r="38" spans="1:36">
      <c r="A38" s="990">
        <v>38</v>
      </c>
      <c r="B38" s="990">
        <v>1</v>
      </c>
      <c r="C38" s="990">
        <v>38</v>
      </c>
      <c r="E38" s="1243">
        <v>1</v>
      </c>
      <c r="I38" s="195"/>
      <c r="J38" s="9" t="s">
        <v>14</v>
      </c>
      <c r="Q38" s="2103"/>
      <c r="R38" s="2103"/>
      <c r="S38" s="2103"/>
      <c r="T38" s="2103"/>
      <c r="U38" s="2103"/>
      <c r="V38" s="2103"/>
      <c r="W38" s="2103"/>
      <c r="X38" s="2103"/>
      <c r="Y38" s="2103"/>
      <c r="Z38" s="2103"/>
      <c r="AA38" s="2103"/>
      <c r="AB38" s="2091"/>
      <c r="AC38" s="2601">
        <v>0</v>
      </c>
      <c r="AD38" s="2081">
        <v>0</v>
      </c>
      <c r="AE38" s="2081">
        <v>0</v>
      </c>
      <c r="AF38" s="2081">
        <v>0</v>
      </c>
      <c r="AG38" s="2081">
        <v>0</v>
      </c>
      <c r="AH38" s="2081">
        <v>0</v>
      </c>
      <c r="AI38" s="2081">
        <v>0</v>
      </c>
    </row>
    <row r="39" spans="1:36">
      <c r="A39" s="990">
        <v>39</v>
      </c>
      <c r="B39" s="990">
        <v>1</v>
      </c>
      <c r="C39" s="990">
        <v>39</v>
      </c>
      <c r="E39" s="1243">
        <v>1</v>
      </c>
      <c r="I39" s="195"/>
      <c r="J39" s="9" t="s">
        <v>15</v>
      </c>
      <c r="Q39" s="2103"/>
      <c r="R39" s="2103"/>
      <c r="S39" s="2103"/>
      <c r="T39" s="2103"/>
      <c r="U39" s="2103"/>
      <c r="V39" s="2103"/>
      <c r="W39" s="2103"/>
      <c r="X39" s="2103"/>
      <c r="Y39" s="2103"/>
      <c r="Z39" s="2103"/>
      <c r="AA39" s="2103"/>
      <c r="AB39" s="2091"/>
      <c r="AC39" s="100">
        <v>0</v>
      </c>
      <c r="AD39" s="19">
        <v>0</v>
      </c>
      <c r="AE39" s="19">
        <v>0</v>
      </c>
      <c r="AF39" s="19">
        <v>0</v>
      </c>
      <c r="AG39" s="19">
        <v>0</v>
      </c>
      <c r="AH39" s="19">
        <v>0</v>
      </c>
      <c r="AI39" s="19">
        <v>0</v>
      </c>
    </row>
    <row r="40" spans="1:36">
      <c r="A40" s="990">
        <v>40</v>
      </c>
      <c r="B40" s="990">
        <v>1</v>
      </c>
      <c r="C40" s="990">
        <v>40</v>
      </c>
      <c r="E40" s="1243">
        <v>1</v>
      </c>
      <c r="I40" s="195"/>
      <c r="J40" s="9" t="s">
        <v>16</v>
      </c>
      <c r="Q40" s="2103"/>
      <c r="R40" s="2103"/>
      <c r="S40" s="2103"/>
      <c r="T40" s="2103"/>
      <c r="U40" s="2103"/>
      <c r="V40" s="2103"/>
      <c r="W40" s="2103"/>
      <c r="X40" s="2103"/>
      <c r="Y40" s="2103"/>
      <c r="Z40" s="2103"/>
      <c r="AA40" s="2103"/>
      <c r="AB40" s="2091"/>
      <c r="AC40" s="99">
        <v>0</v>
      </c>
      <c r="AD40" s="17">
        <v>0</v>
      </c>
      <c r="AE40" s="17">
        <v>0</v>
      </c>
      <c r="AF40" s="17">
        <v>0</v>
      </c>
      <c r="AG40" s="17">
        <v>0</v>
      </c>
      <c r="AH40" s="17">
        <v>0</v>
      </c>
      <c r="AI40" s="17">
        <v>0</v>
      </c>
    </row>
    <row r="41" spans="1:36">
      <c r="A41" s="990">
        <v>41</v>
      </c>
      <c r="B41" s="990">
        <v>1</v>
      </c>
      <c r="C41" s="990">
        <v>41</v>
      </c>
      <c r="E41" s="1243">
        <v>1</v>
      </c>
      <c r="I41" s="2602" t="s">
        <v>96</v>
      </c>
      <c r="J41" s="2343"/>
      <c r="K41" s="2599"/>
      <c r="L41" s="2599"/>
      <c r="M41" s="2343"/>
      <c r="N41" s="2343"/>
      <c r="O41" s="2343"/>
      <c r="P41" s="2343"/>
      <c r="Q41" s="2203">
        <v>0</v>
      </c>
      <c r="R41" s="2203">
        <v>0</v>
      </c>
      <c r="S41" s="2203">
        <v>0</v>
      </c>
      <c r="T41" s="2203">
        <v>0</v>
      </c>
      <c r="U41" s="2203">
        <v>0</v>
      </c>
      <c r="V41" s="2203">
        <v>0</v>
      </c>
      <c r="W41" s="2203">
        <v>0</v>
      </c>
      <c r="X41" s="2203">
        <v>0</v>
      </c>
      <c r="Y41" s="2203">
        <v>0</v>
      </c>
      <c r="Z41" s="2203">
        <v>0</v>
      </c>
      <c r="AA41" s="2203">
        <v>0</v>
      </c>
      <c r="AB41" s="2058">
        <v>0</v>
      </c>
      <c r="AC41" s="2600">
        <v>0</v>
      </c>
      <c r="AD41" s="2058">
        <v>0</v>
      </c>
      <c r="AE41" s="2058">
        <v>0</v>
      </c>
      <c r="AF41" s="2058">
        <v>0</v>
      </c>
      <c r="AG41" s="2058">
        <v>0</v>
      </c>
      <c r="AH41" s="2058">
        <v>0</v>
      </c>
      <c r="AI41" s="2058">
        <v>0</v>
      </c>
    </row>
    <row r="42" spans="1:36">
      <c r="A42" s="990">
        <v>42</v>
      </c>
      <c r="B42" s="990">
        <v>1</v>
      </c>
      <c r="C42" s="990">
        <v>42</v>
      </c>
      <c r="E42" s="1243">
        <v>1</v>
      </c>
      <c r="I42" s="61"/>
      <c r="J42" s="9" t="s">
        <v>17</v>
      </c>
      <c r="Q42" s="2103"/>
      <c r="R42" s="2103"/>
      <c r="S42" s="2103"/>
      <c r="T42" s="2103"/>
      <c r="U42" s="2103"/>
      <c r="V42" s="2103"/>
      <c r="W42" s="2103"/>
      <c r="X42" s="2103"/>
      <c r="Y42" s="2103"/>
      <c r="Z42" s="2103"/>
      <c r="AA42" s="2103"/>
      <c r="AB42" s="2091"/>
      <c r="AC42" s="2601">
        <v>0</v>
      </c>
      <c r="AD42" s="2081">
        <v>0</v>
      </c>
      <c r="AE42" s="2081">
        <v>0</v>
      </c>
      <c r="AF42" s="2081">
        <v>0</v>
      </c>
      <c r="AG42" s="2081">
        <v>0</v>
      </c>
      <c r="AH42" s="2081">
        <v>0</v>
      </c>
      <c r="AI42" s="2081">
        <v>0</v>
      </c>
    </row>
    <row r="43" spans="1:36">
      <c r="A43" s="990">
        <v>43</v>
      </c>
      <c r="B43" s="990">
        <v>1</v>
      </c>
      <c r="C43" s="990">
        <v>43</v>
      </c>
      <c r="E43" s="1243">
        <v>1</v>
      </c>
      <c r="I43" s="195"/>
      <c r="J43" s="9" t="s">
        <v>18</v>
      </c>
      <c r="Q43" s="2103"/>
      <c r="R43" s="2103"/>
      <c r="S43" s="2103"/>
      <c r="T43" s="2103"/>
      <c r="U43" s="2103"/>
      <c r="V43" s="2103"/>
      <c r="W43" s="2103"/>
      <c r="X43" s="2103"/>
      <c r="Y43" s="2103"/>
      <c r="Z43" s="2103"/>
      <c r="AA43" s="2103"/>
      <c r="AB43" s="2091"/>
      <c r="AC43" s="100">
        <v>0</v>
      </c>
      <c r="AD43" s="19">
        <v>0</v>
      </c>
      <c r="AE43" s="19">
        <v>0</v>
      </c>
      <c r="AF43" s="19">
        <v>0</v>
      </c>
      <c r="AG43" s="19">
        <v>0</v>
      </c>
      <c r="AH43" s="19">
        <v>0</v>
      </c>
      <c r="AI43" s="19">
        <v>0</v>
      </c>
    </row>
    <row r="44" spans="1:36">
      <c r="A44" s="990">
        <v>44</v>
      </c>
      <c r="B44" s="990">
        <v>1</v>
      </c>
      <c r="C44" s="990">
        <v>44</v>
      </c>
      <c r="E44" s="1243">
        <v>1</v>
      </c>
      <c r="I44" s="194"/>
      <c r="J44" s="12" t="s">
        <v>19</v>
      </c>
      <c r="K44" s="18"/>
      <c r="L44" s="18"/>
      <c r="M44" s="12"/>
      <c r="N44" s="12"/>
      <c r="O44" s="12"/>
      <c r="P44" s="12"/>
      <c r="Q44" s="2103"/>
      <c r="R44" s="2103"/>
      <c r="S44" s="2103"/>
      <c r="T44" s="2103"/>
      <c r="U44" s="2103"/>
      <c r="V44" s="2103"/>
      <c r="W44" s="2103"/>
      <c r="X44" s="2103"/>
      <c r="Y44" s="2103"/>
      <c r="Z44" s="2103"/>
      <c r="AA44" s="2103"/>
      <c r="AB44" s="2091"/>
      <c r="AC44" s="99">
        <v>0</v>
      </c>
      <c r="AD44" s="17">
        <v>0</v>
      </c>
      <c r="AE44" s="17">
        <v>0</v>
      </c>
      <c r="AF44" s="17">
        <v>0</v>
      </c>
      <c r="AG44" s="17">
        <v>0</v>
      </c>
      <c r="AH44" s="17">
        <v>0</v>
      </c>
      <c r="AI44" s="17">
        <v>0</v>
      </c>
    </row>
    <row r="45" spans="1:36">
      <c r="A45" s="990">
        <v>45</v>
      </c>
      <c r="B45" s="990">
        <v>1</v>
      </c>
      <c r="C45" s="990">
        <v>45</v>
      </c>
      <c r="E45" s="1243">
        <v>1</v>
      </c>
      <c r="I45" s="2603" t="s">
        <v>142</v>
      </c>
      <c r="J45" s="2343"/>
      <c r="K45" s="2599"/>
      <c r="L45" s="2599"/>
      <c r="M45" s="2343"/>
      <c r="N45" s="2343"/>
      <c r="O45" s="2343"/>
      <c r="P45" s="2343"/>
      <c r="Q45" s="2203">
        <v>0</v>
      </c>
      <c r="R45" s="2203">
        <v>0</v>
      </c>
      <c r="S45" s="2203">
        <v>0</v>
      </c>
      <c r="T45" s="2203">
        <v>0</v>
      </c>
      <c r="U45" s="2203">
        <v>0</v>
      </c>
      <c r="V45" s="2203">
        <v>0</v>
      </c>
      <c r="W45" s="2203">
        <v>0</v>
      </c>
      <c r="X45" s="2203">
        <v>0</v>
      </c>
      <c r="Y45" s="2203">
        <v>0</v>
      </c>
      <c r="Z45" s="2203">
        <v>0</v>
      </c>
      <c r="AA45" s="2203">
        <v>0</v>
      </c>
      <c r="AB45" s="2058">
        <v>0</v>
      </c>
      <c r="AC45" s="2600">
        <v>0</v>
      </c>
      <c r="AD45" s="2058">
        <v>0</v>
      </c>
      <c r="AE45" s="2058">
        <v>0</v>
      </c>
      <c r="AF45" s="2058">
        <v>0</v>
      </c>
      <c r="AG45" s="2058">
        <v>0</v>
      </c>
      <c r="AH45" s="2058">
        <v>0</v>
      </c>
      <c r="AI45" s="2058">
        <v>0</v>
      </c>
    </row>
    <row r="46" spans="1:36">
      <c r="A46" s="990">
        <v>46</v>
      </c>
      <c r="B46" s="990">
        <v>1</v>
      </c>
      <c r="C46" s="990">
        <v>46</v>
      </c>
      <c r="E46" s="1243">
        <v>1</v>
      </c>
      <c r="I46" s="195"/>
      <c r="J46" s="9" t="s">
        <v>1005</v>
      </c>
      <c r="Q46" s="2103"/>
      <c r="R46" s="2103"/>
      <c r="S46" s="2103"/>
      <c r="T46" s="2103"/>
      <c r="U46" s="2103"/>
      <c r="V46" s="2103"/>
      <c r="W46" s="2103"/>
      <c r="X46" s="2103"/>
      <c r="Y46" s="2103"/>
      <c r="Z46" s="2103"/>
      <c r="AA46" s="2103"/>
      <c r="AB46" s="2091"/>
      <c r="AC46" s="2601">
        <v>0</v>
      </c>
      <c r="AD46" s="2081">
        <v>0</v>
      </c>
      <c r="AE46" s="2081">
        <v>0</v>
      </c>
      <c r="AF46" s="2081">
        <v>0</v>
      </c>
      <c r="AG46" s="2081">
        <v>0</v>
      </c>
      <c r="AH46" s="2081">
        <v>0</v>
      </c>
      <c r="AI46" s="2081">
        <v>0</v>
      </c>
    </row>
    <row r="47" spans="1:36">
      <c r="A47" s="990">
        <v>47</v>
      </c>
      <c r="B47" s="990">
        <v>1</v>
      </c>
      <c r="C47" s="990">
        <v>47</v>
      </c>
      <c r="E47" s="1243">
        <v>1</v>
      </c>
      <c r="I47" s="195"/>
      <c r="J47" s="9" t="s">
        <v>1006</v>
      </c>
      <c r="Q47" s="2103"/>
      <c r="R47" s="2103"/>
      <c r="S47" s="2103"/>
      <c r="T47" s="2103"/>
      <c r="U47" s="2103"/>
      <c r="V47" s="2103"/>
      <c r="W47" s="2103"/>
      <c r="X47" s="2103"/>
      <c r="Y47" s="2103"/>
      <c r="Z47" s="2103"/>
      <c r="AA47" s="2103"/>
      <c r="AB47" s="2091"/>
      <c r="AC47" s="100">
        <v>0</v>
      </c>
      <c r="AD47" s="19">
        <v>0</v>
      </c>
      <c r="AE47" s="19">
        <v>0</v>
      </c>
      <c r="AF47" s="19">
        <v>0</v>
      </c>
      <c r="AG47" s="19">
        <v>0</v>
      </c>
      <c r="AH47" s="19">
        <v>0</v>
      </c>
      <c r="AI47" s="19">
        <v>0</v>
      </c>
    </row>
    <row r="48" spans="1:36">
      <c r="A48" s="990">
        <v>48</v>
      </c>
      <c r="B48" s="990">
        <v>1</v>
      </c>
      <c r="C48" s="990">
        <v>48</v>
      </c>
      <c r="E48" s="1243">
        <v>1</v>
      </c>
      <c r="I48" s="195"/>
      <c r="J48" s="9" t="s">
        <v>20</v>
      </c>
      <c r="Q48" s="2103"/>
      <c r="R48" s="2103"/>
      <c r="S48" s="2103"/>
      <c r="T48" s="2103"/>
      <c r="U48" s="2103"/>
      <c r="V48" s="2103"/>
      <c r="W48" s="2103"/>
      <c r="X48" s="2103"/>
      <c r="Y48" s="2103"/>
      <c r="Z48" s="2103"/>
      <c r="AA48" s="2103"/>
      <c r="AB48" s="2091"/>
      <c r="AC48" s="100">
        <v>0</v>
      </c>
      <c r="AD48" s="19">
        <v>0</v>
      </c>
      <c r="AE48" s="19">
        <v>0</v>
      </c>
      <c r="AF48" s="19">
        <v>0</v>
      </c>
      <c r="AG48" s="19">
        <v>0</v>
      </c>
      <c r="AH48" s="19">
        <v>0</v>
      </c>
      <c r="AI48" s="19">
        <v>0</v>
      </c>
    </row>
    <row r="49" spans="1:35">
      <c r="A49" s="990">
        <v>49</v>
      </c>
      <c r="B49" s="990">
        <v>1</v>
      </c>
      <c r="C49" s="990">
        <v>49</v>
      </c>
      <c r="E49" s="1243">
        <v>1</v>
      </c>
      <c r="I49" s="195"/>
      <c r="J49" s="9" t="s">
        <v>21</v>
      </c>
      <c r="Q49" s="2103"/>
      <c r="R49" s="2103"/>
      <c r="S49" s="2103"/>
      <c r="T49" s="2103"/>
      <c r="U49" s="2103"/>
      <c r="V49" s="2103"/>
      <c r="W49" s="2103"/>
      <c r="X49" s="2103"/>
      <c r="Y49" s="2103"/>
      <c r="Z49" s="2103"/>
      <c r="AA49" s="2103"/>
      <c r="AB49" s="2091"/>
      <c r="AC49" s="100">
        <v>0</v>
      </c>
      <c r="AD49" s="19">
        <v>0</v>
      </c>
      <c r="AE49" s="19">
        <v>0</v>
      </c>
      <c r="AF49" s="19">
        <v>0</v>
      </c>
      <c r="AG49" s="19">
        <v>0</v>
      </c>
      <c r="AH49" s="19">
        <v>0</v>
      </c>
      <c r="AI49" s="19">
        <v>0</v>
      </c>
    </row>
    <row r="50" spans="1:35">
      <c r="A50" s="990">
        <v>50</v>
      </c>
      <c r="B50" s="990">
        <v>1</v>
      </c>
      <c r="C50" s="990">
        <v>50</v>
      </c>
      <c r="E50" s="1243">
        <v>1</v>
      </c>
      <c r="I50" s="195"/>
      <c r="J50" s="9" t="s">
        <v>1007</v>
      </c>
      <c r="Q50" s="2103"/>
      <c r="R50" s="2103"/>
      <c r="S50" s="2103"/>
      <c r="T50" s="2103"/>
      <c r="U50" s="2103"/>
      <c r="V50" s="2103"/>
      <c r="W50" s="2103"/>
      <c r="X50" s="2103"/>
      <c r="Y50" s="2103"/>
      <c r="Z50" s="2103"/>
      <c r="AA50" s="2103"/>
      <c r="AB50" s="2091"/>
      <c r="AC50" s="100">
        <v>0</v>
      </c>
      <c r="AD50" s="19">
        <v>0</v>
      </c>
      <c r="AE50" s="19">
        <v>0</v>
      </c>
      <c r="AF50" s="19">
        <v>0</v>
      </c>
      <c r="AG50" s="19">
        <v>0</v>
      </c>
      <c r="AH50" s="19">
        <v>0</v>
      </c>
      <c r="AI50" s="19">
        <v>0</v>
      </c>
    </row>
    <row r="51" spans="1:35">
      <c r="A51" s="990">
        <v>51</v>
      </c>
      <c r="B51" s="990">
        <v>1</v>
      </c>
      <c r="C51" s="990">
        <v>51</v>
      </c>
      <c r="E51" s="1243">
        <v>1</v>
      </c>
      <c r="I51" s="194"/>
      <c r="J51" s="12" t="s">
        <v>1002</v>
      </c>
      <c r="K51" s="18"/>
      <c r="L51" s="18"/>
      <c r="M51" s="12"/>
      <c r="N51" s="12"/>
      <c r="O51" s="12"/>
      <c r="P51" s="12"/>
      <c r="Q51" s="2104"/>
      <c r="R51" s="2104"/>
      <c r="S51" s="2104"/>
      <c r="T51" s="2104"/>
      <c r="U51" s="2104"/>
      <c r="V51" s="2104"/>
      <c r="W51" s="2104"/>
      <c r="X51" s="2104"/>
      <c r="Y51" s="2104"/>
      <c r="Z51" s="2104"/>
      <c r="AA51" s="2104"/>
      <c r="AB51" s="2092"/>
      <c r="AC51" s="99">
        <v>0</v>
      </c>
      <c r="AD51" s="17">
        <v>0</v>
      </c>
      <c r="AE51" s="17">
        <v>0</v>
      </c>
      <c r="AF51" s="17">
        <v>0</v>
      </c>
      <c r="AG51" s="17">
        <v>0</v>
      </c>
      <c r="AH51" s="17">
        <v>0</v>
      </c>
      <c r="AI51" s="17">
        <v>0</v>
      </c>
    </row>
    <row r="52" spans="1:35">
      <c r="A52" s="990">
        <v>52</v>
      </c>
      <c r="B52" s="990">
        <v>1</v>
      </c>
      <c r="C52" s="990">
        <v>52</v>
      </c>
      <c r="E52" s="1243">
        <v>1</v>
      </c>
      <c r="I52" s="289"/>
      <c r="Q52" s="2204"/>
      <c r="R52" s="2044"/>
      <c r="S52" s="2044"/>
      <c r="T52" s="2044"/>
      <c r="U52" s="2044"/>
      <c r="V52" s="2044"/>
      <c r="W52" s="2044"/>
      <c r="X52" s="2044"/>
      <c r="Y52" s="2044"/>
      <c r="Z52" s="2044"/>
      <c r="AA52" s="2044"/>
      <c r="AB52" s="2205"/>
      <c r="AC52" s="163"/>
      <c r="AD52" s="163"/>
      <c r="AE52" s="163"/>
      <c r="AF52" s="163"/>
      <c r="AG52" s="163"/>
      <c r="AH52" s="163"/>
      <c r="AI52" s="868"/>
    </row>
    <row r="53" spans="1:35" ht="15.5">
      <c r="A53" s="990">
        <v>53</v>
      </c>
      <c r="B53" s="990">
        <v>1</v>
      </c>
      <c r="C53" s="990">
        <v>53</v>
      </c>
      <c r="D53" s="1121" t="s">
        <v>999</v>
      </c>
      <c r="E53" s="1243">
        <v>1</v>
      </c>
      <c r="G53" s="462" t="s">
        <v>1008</v>
      </c>
      <c r="I53" s="152"/>
      <c r="J53" s="152"/>
      <c r="Q53" s="2200"/>
      <c r="Z53" s="163"/>
      <c r="AA53" s="163"/>
      <c r="AB53" s="2201"/>
      <c r="AC53" s="163"/>
      <c r="AD53" s="163"/>
      <c r="AE53" s="163"/>
      <c r="AF53" s="163"/>
      <c r="AG53" s="163"/>
      <c r="AH53" s="163"/>
      <c r="AI53" s="868"/>
    </row>
    <row r="54" spans="1:35">
      <c r="A54" s="990">
        <v>54</v>
      </c>
      <c r="B54" s="990">
        <v>1</v>
      </c>
      <c r="C54" s="990">
        <v>54</v>
      </c>
      <c r="D54" s="1121" t="s">
        <v>999</v>
      </c>
      <c r="E54" s="1243">
        <v>1</v>
      </c>
      <c r="I54" s="2604" t="s">
        <v>141</v>
      </c>
      <c r="J54" s="2605"/>
      <c r="K54" s="2599"/>
      <c r="L54" s="2599"/>
      <c r="M54" s="2343"/>
      <c r="N54" s="2343"/>
      <c r="O54" s="2343"/>
      <c r="P54" s="2343"/>
      <c r="Q54" s="2058">
        <v>0</v>
      </c>
      <c r="R54" s="2058">
        <v>0</v>
      </c>
      <c r="S54" s="2058">
        <v>0</v>
      </c>
      <c r="T54" s="2058">
        <v>0</v>
      </c>
      <c r="U54" s="2058">
        <v>0</v>
      </c>
      <c r="V54" s="2058">
        <v>0</v>
      </c>
      <c r="W54" s="2058">
        <v>0</v>
      </c>
      <c r="X54" s="2058">
        <v>0</v>
      </c>
      <c r="Y54" s="2058">
        <v>0</v>
      </c>
      <c r="Z54" s="2115">
        <v>0</v>
      </c>
      <c r="AA54" s="2115">
        <v>0</v>
      </c>
      <c r="AB54" s="2115">
        <v>0</v>
      </c>
      <c r="AC54" s="2481">
        <v>0</v>
      </c>
      <c r="AD54" s="2115">
        <v>0</v>
      </c>
      <c r="AE54" s="2115">
        <v>0</v>
      </c>
      <c r="AF54" s="2115">
        <v>0</v>
      </c>
      <c r="AG54" s="2115">
        <v>0</v>
      </c>
      <c r="AH54" s="2115">
        <v>0</v>
      </c>
      <c r="AI54" s="2115">
        <v>0</v>
      </c>
    </row>
    <row r="55" spans="1:35">
      <c r="A55" s="990">
        <v>55</v>
      </c>
      <c r="B55" s="990">
        <v>1</v>
      </c>
      <c r="C55" s="990">
        <v>55</v>
      </c>
      <c r="D55" s="1121" t="s">
        <v>999</v>
      </c>
      <c r="E55" s="1243">
        <v>1</v>
      </c>
      <c r="I55" s="160"/>
      <c r="J55" s="785" t="s">
        <v>1009</v>
      </c>
      <c r="K55" s="786"/>
      <c r="L55" s="786"/>
      <c r="M55" s="596"/>
      <c r="N55" s="596"/>
      <c r="O55" s="596"/>
      <c r="P55" s="596"/>
      <c r="Q55" s="2206">
        <v>0</v>
      </c>
      <c r="R55" s="2206">
        <v>0</v>
      </c>
      <c r="S55" s="2206">
        <v>0</v>
      </c>
      <c r="T55" s="2206">
        <v>0</v>
      </c>
      <c r="U55" s="2206">
        <v>0</v>
      </c>
      <c r="V55" s="2206">
        <v>0</v>
      </c>
      <c r="W55" s="2206">
        <v>0</v>
      </c>
      <c r="X55" s="2206">
        <v>0</v>
      </c>
      <c r="Y55" s="2206">
        <v>0</v>
      </c>
      <c r="Z55" s="2207">
        <v>0</v>
      </c>
      <c r="AA55" s="2207">
        <v>0</v>
      </c>
      <c r="AB55" s="2207">
        <v>0</v>
      </c>
      <c r="AC55" s="2606">
        <v>0</v>
      </c>
      <c r="AD55" s="2207">
        <v>0</v>
      </c>
      <c r="AE55" s="2207">
        <v>0</v>
      </c>
      <c r="AF55" s="2207">
        <v>0</v>
      </c>
      <c r="AG55" s="2207">
        <v>0</v>
      </c>
      <c r="AH55" s="2207">
        <v>0</v>
      </c>
      <c r="AI55" s="2207">
        <v>0</v>
      </c>
    </row>
    <row r="56" spans="1:35">
      <c r="A56" s="990">
        <v>56</v>
      </c>
      <c r="B56" s="990">
        <v>1</v>
      </c>
      <c r="C56" s="990">
        <v>56</v>
      </c>
      <c r="D56" s="1121" t="s">
        <v>999</v>
      </c>
      <c r="E56" s="1243">
        <v>1</v>
      </c>
      <c r="I56" s="156"/>
      <c r="J56" s="155" t="s">
        <v>1010</v>
      </c>
      <c r="K56" s="18"/>
      <c r="L56" s="18"/>
      <c r="M56" s="12"/>
      <c r="N56" s="12"/>
      <c r="O56" s="12"/>
      <c r="P56" s="12"/>
      <c r="Q56" s="17">
        <v>0</v>
      </c>
      <c r="R56" s="17">
        <v>0</v>
      </c>
      <c r="S56" s="17">
        <v>0</v>
      </c>
      <c r="T56" s="17">
        <v>0</v>
      </c>
      <c r="U56" s="17">
        <v>0</v>
      </c>
      <c r="V56" s="17">
        <v>0</v>
      </c>
      <c r="W56" s="17">
        <v>0</v>
      </c>
      <c r="X56" s="17">
        <v>0</v>
      </c>
      <c r="Y56" s="17">
        <v>0</v>
      </c>
      <c r="Z56" s="142">
        <v>0</v>
      </c>
      <c r="AA56" s="142">
        <v>0</v>
      </c>
      <c r="AB56" s="142">
        <v>0</v>
      </c>
      <c r="AC56" s="141">
        <v>0</v>
      </c>
      <c r="AD56" s="142">
        <v>0</v>
      </c>
      <c r="AE56" s="142">
        <v>0</v>
      </c>
      <c r="AF56" s="142">
        <v>0</v>
      </c>
      <c r="AG56" s="142">
        <v>0</v>
      </c>
      <c r="AH56" s="142">
        <v>0</v>
      </c>
      <c r="AI56" s="142">
        <v>0</v>
      </c>
    </row>
    <row r="57" spans="1:35">
      <c r="A57" s="990">
        <v>57</v>
      </c>
      <c r="B57" s="990">
        <v>1</v>
      </c>
      <c r="C57" s="990">
        <v>57</v>
      </c>
      <c r="D57" s="1121" t="s">
        <v>999</v>
      </c>
      <c r="E57" s="1243">
        <v>1</v>
      </c>
      <c r="I57" s="289"/>
      <c r="Q57" s="2200"/>
      <c r="Z57" s="163"/>
      <c r="AA57" s="163"/>
      <c r="AB57" s="2201"/>
      <c r="AC57" s="163"/>
      <c r="AD57" s="163"/>
      <c r="AE57" s="163"/>
      <c r="AF57" s="163"/>
      <c r="AG57" s="163"/>
      <c r="AH57" s="163"/>
      <c r="AI57" s="868"/>
    </row>
    <row r="58" spans="1:35" ht="16.5" customHeight="1">
      <c r="A58" s="990">
        <v>58</v>
      </c>
      <c r="B58" s="990">
        <v>1</v>
      </c>
      <c r="C58" s="990">
        <v>58</v>
      </c>
      <c r="D58" s="1121" t="s">
        <v>999</v>
      </c>
      <c r="E58" s="1243">
        <v>1</v>
      </c>
      <c r="G58" s="462" t="s">
        <v>1011</v>
      </c>
      <c r="I58" s="152"/>
      <c r="J58" s="152"/>
      <c r="K58" s="152"/>
      <c r="L58" s="152"/>
      <c r="M58" s="152"/>
      <c r="N58" s="152"/>
      <c r="O58" s="152"/>
      <c r="P58" s="152"/>
      <c r="Q58" s="2208"/>
      <c r="Z58" s="163"/>
      <c r="AA58" s="163"/>
      <c r="AB58" s="2201"/>
      <c r="AC58" s="163"/>
      <c r="AD58" s="163"/>
      <c r="AE58" s="163"/>
      <c r="AF58" s="163"/>
      <c r="AG58" s="163"/>
      <c r="AH58" s="163"/>
      <c r="AI58" s="868"/>
    </row>
    <row r="59" spans="1:35">
      <c r="A59" s="990">
        <v>59</v>
      </c>
      <c r="B59" s="990">
        <v>1</v>
      </c>
      <c r="C59" s="990">
        <v>59</v>
      </c>
      <c r="D59" s="1121" t="s">
        <v>999</v>
      </c>
      <c r="E59" s="1243">
        <v>1</v>
      </c>
      <c r="I59" s="2345" t="s">
        <v>1012</v>
      </c>
      <c r="J59" s="2607"/>
      <c r="K59" s="2607"/>
      <c r="L59" s="2607"/>
      <c r="M59" s="2607"/>
      <c r="N59" s="2607"/>
      <c r="O59" s="2607"/>
      <c r="P59" s="2607"/>
      <c r="Q59" s="2058">
        <v>0</v>
      </c>
      <c r="R59" s="2058">
        <v>0</v>
      </c>
      <c r="S59" s="2058">
        <v>0</v>
      </c>
      <c r="T59" s="2058">
        <v>0</v>
      </c>
      <c r="U59" s="2058">
        <v>0</v>
      </c>
      <c r="V59" s="2058">
        <v>0</v>
      </c>
      <c r="W59" s="2058">
        <v>0</v>
      </c>
      <c r="X59" s="2058">
        <v>0</v>
      </c>
      <c r="Y59" s="2058">
        <v>0</v>
      </c>
      <c r="Z59" s="2058">
        <v>0</v>
      </c>
      <c r="AA59" s="2058">
        <v>0</v>
      </c>
      <c r="AB59" s="2058">
        <v>0</v>
      </c>
      <c r="AC59" s="2481">
        <v>0</v>
      </c>
      <c r="AD59" s="2115">
        <v>0</v>
      </c>
      <c r="AE59" s="2115">
        <v>0</v>
      </c>
      <c r="AF59" s="2115">
        <v>0</v>
      </c>
      <c r="AG59" s="2115">
        <v>0</v>
      </c>
      <c r="AH59" s="2115">
        <v>0</v>
      </c>
      <c r="AI59" s="2481">
        <v>0</v>
      </c>
    </row>
    <row r="60" spans="1:35">
      <c r="A60" s="990">
        <v>60</v>
      </c>
      <c r="B60" s="990">
        <v>1</v>
      </c>
      <c r="C60" s="990">
        <v>60</v>
      </c>
      <c r="D60" s="1121" t="s">
        <v>999</v>
      </c>
      <c r="E60" s="1243">
        <v>1</v>
      </c>
      <c r="I60" s="153"/>
      <c r="J60" s="9" t="s">
        <v>40</v>
      </c>
      <c r="K60" s="152"/>
      <c r="L60" s="152"/>
      <c r="M60" s="152"/>
      <c r="N60" s="152"/>
      <c r="O60" s="152"/>
      <c r="P60" s="152"/>
      <c r="Q60" s="2091"/>
      <c r="R60" s="2091"/>
      <c r="S60" s="2091"/>
      <c r="T60" s="2091"/>
      <c r="U60" s="2091"/>
      <c r="V60" s="2091"/>
      <c r="W60" s="2091"/>
      <c r="X60" s="2091"/>
      <c r="Y60" s="2091"/>
      <c r="Z60" s="2091"/>
      <c r="AA60" s="2091"/>
      <c r="AB60" s="2091"/>
      <c r="AC60" s="144">
        <v>0</v>
      </c>
      <c r="AD60" s="145">
        <v>0</v>
      </c>
      <c r="AE60" s="145">
        <v>0</v>
      </c>
      <c r="AF60" s="145">
        <v>0</v>
      </c>
      <c r="AG60" s="145">
        <v>0</v>
      </c>
      <c r="AH60" s="145">
        <v>0</v>
      </c>
      <c r="AI60" s="144">
        <v>0</v>
      </c>
    </row>
    <row r="61" spans="1:35">
      <c r="A61" s="990">
        <v>61</v>
      </c>
      <c r="B61" s="990">
        <v>1</v>
      </c>
      <c r="C61" s="990">
        <v>61</v>
      </c>
      <c r="D61" s="1121" t="s">
        <v>999</v>
      </c>
      <c r="E61" s="1243">
        <v>1</v>
      </c>
      <c r="I61" s="153"/>
      <c r="J61" s="9" t="s">
        <v>41</v>
      </c>
      <c r="K61" s="152"/>
      <c r="L61" s="152"/>
      <c r="M61" s="152"/>
      <c r="N61" s="152"/>
      <c r="O61" s="152"/>
      <c r="P61" s="152"/>
      <c r="Q61" s="2091"/>
      <c r="R61" s="2091"/>
      <c r="S61" s="2091"/>
      <c r="T61" s="2091"/>
      <c r="U61" s="2091"/>
      <c r="V61" s="2091"/>
      <c r="W61" s="2091"/>
      <c r="X61" s="2091"/>
      <c r="Y61" s="2091"/>
      <c r="Z61" s="2091"/>
      <c r="AA61" s="2091"/>
      <c r="AB61" s="2091"/>
      <c r="AC61" s="144">
        <v>0</v>
      </c>
      <c r="AD61" s="145">
        <v>0</v>
      </c>
      <c r="AE61" s="145">
        <v>0</v>
      </c>
      <c r="AF61" s="145">
        <v>0</v>
      </c>
      <c r="AG61" s="145">
        <v>0</v>
      </c>
      <c r="AH61" s="145">
        <v>0</v>
      </c>
      <c r="AI61" s="144">
        <v>0</v>
      </c>
    </row>
    <row r="62" spans="1:35">
      <c r="A62" s="990">
        <v>62</v>
      </c>
      <c r="B62" s="990">
        <v>1</v>
      </c>
      <c r="C62" s="990">
        <v>62</v>
      </c>
      <c r="D62" s="1121" t="s">
        <v>999</v>
      </c>
      <c r="E62" s="1243">
        <v>1</v>
      </c>
      <c r="I62" s="153"/>
      <c r="J62" s="9" t="s">
        <v>42</v>
      </c>
      <c r="K62" s="152"/>
      <c r="L62" s="152"/>
      <c r="M62" s="152"/>
      <c r="N62" s="152"/>
      <c r="O62" s="152"/>
      <c r="P62" s="152"/>
      <c r="Q62" s="2091"/>
      <c r="R62" s="2091"/>
      <c r="S62" s="2091"/>
      <c r="T62" s="2091"/>
      <c r="U62" s="2091"/>
      <c r="V62" s="2091"/>
      <c r="W62" s="2091"/>
      <c r="X62" s="2091"/>
      <c r="Y62" s="2091"/>
      <c r="Z62" s="2091"/>
      <c r="AA62" s="2091"/>
      <c r="AB62" s="2091"/>
      <c r="AC62" s="144">
        <v>0</v>
      </c>
      <c r="AD62" s="145">
        <v>0</v>
      </c>
      <c r="AE62" s="145">
        <v>0</v>
      </c>
      <c r="AF62" s="145">
        <v>0</v>
      </c>
      <c r="AG62" s="145">
        <v>0</v>
      </c>
      <c r="AH62" s="145">
        <v>0</v>
      </c>
      <c r="AI62" s="144">
        <v>0</v>
      </c>
    </row>
    <row r="63" spans="1:35">
      <c r="A63" s="990">
        <v>63</v>
      </c>
      <c r="B63" s="990">
        <v>1</v>
      </c>
      <c r="C63" s="990">
        <v>63</v>
      </c>
      <c r="D63" s="1121" t="s">
        <v>999</v>
      </c>
      <c r="E63" s="1255">
        <v>1</v>
      </c>
      <c r="F63" s="9"/>
      <c r="I63" s="153"/>
      <c r="J63" s="9" t="s">
        <v>1014</v>
      </c>
      <c r="K63" s="152"/>
      <c r="L63" s="152"/>
      <c r="M63" s="152"/>
      <c r="N63" s="152"/>
      <c r="O63" s="152"/>
      <c r="P63" s="152"/>
      <c r="Q63" s="2091"/>
      <c r="R63" s="2091"/>
      <c r="S63" s="2091"/>
      <c r="T63" s="2091"/>
      <c r="U63" s="2091"/>
      <c r="V63" s="2091"/>
      <c r="W63" s="2091"/>
      <c r="X63" s="2091"/>
      <c r="Y63" s="2091"/>
      <c r="Z63" s="2091"/>
      <c r="AA63" s="2091"/>
      <c r="AB63" s="2091"/>
      <c r="AC63" s="144">
        <v>0</v>
      </c>
      <c r="AD63" s="145">
        <v>0</v>
      </c>
      <c r="AE63" s="145">
        <v>0</v>
      </c>
      <c r="AF63" s="145">
        <v>0</v>
      </c>
      <c r="AG63" s="145">
        <v>0</v>
      </c>
      <c r="AH63" s="145">
        <v>0</v>
      </c>
      <c r="AI63" s="144">
        <v>0</v>
      </c>
    </row>
    <row r="64" spans="1:35">
      <c r="A64" s="990">
        <v>64</v>
      </c>
      <c r="B64" s="990">
        <v>1</v>
      </c>
      <c r="C64" s="990">
        <v>64</v>
      </c>
      <c r="D64" s="1121" t="s">
        <v>999</v>
      </c>
      <c r="E64" s="1243">
        <v>1</v>
      </c>
      <c r="I64" s="151"/>
      <c r="J64" s="12" t="s">
        <v>1012</v>
      </c>
      <c r="K64" s="150"/>
      <c r="L64" s="150"/>
      <c r="M64" s="150"/>
      <c r="N64" s="150"/>
      <c r="O64" s="150"/>
      <c r="P64" s="150"/>
      <c r="Q64" s="107">
        <v>0</v>
      </c>
      <c r="R64" s="107">
        <v>0</v>
      </c>
      <c r="S64" s="107">
        <v>0</v>
      </c>
      <c r="T64" s="107">
        <v>0</v>
      </c>
      <c r="U64" s="107">
        <v>0</v>
      </c>
      <c r="V64" s="107">
        <v>0</v>
      </c>
      <c r="W64" s="107">
        <v>0</v>
      </c>
      <c r="X64" s="107">
        <v>0</v>
      </c>
      <c r="Y64" s="107">
        <v>0</v>
      </c>
      <c r="Z64" s="107">
        <v>0</v>
      </c>
      <c r="AA64" s="107">
        <v>0</v>
      </c>
      <c r="AB64" s="107">
        <v>0</v>
      </c>
      <c r="AC64" s="144">
        <v>0</v>
      </c>
      <c r="AD64" s="145">
        <v>0</v>
      </c>
      <c r="AE64" s="145">
        <v>0</v>
      </c>
      <c r="AF64" s="145">
        <v>0</v>
      </c>
      <c r="AG64" s="145">
        <v>0</v>
      </c>
      <c r="AH64" s="145">
        <v>0</v>
      </c>
      <c r="AI64" s="144">
        <v>0</v>
      </c>
    </row>
    <row r="65" spans="1:35">
      <c r="A65" s="990">
        <v>65</v>
      </c>
      <c r="B65" s="990">
        <v>1</v>
      </c>
      <c r="C65" s="990">
        <v>65</v>
      </c>
      <c r="D65" s="1121" t="s">
        <v>999</v>
      </c>
      <c r="E65" s="1243">
        <v>1</v>
      </c>
      <c r="I65" s="2345" t="s">
        <v>1015</v>
      </c>
      <c r="J65" s="2343"/>
      <c r="K65" s="2599"/>
      <c r="L65" s="2599"/>
      <c r="M65" s="2343"/>
      <c r="N65" s="2343"/>
      <c r="O65" s="2343"/>
      <c r="P65" s="2343"/>
      <c r="Q65" s="2058">
        <v>0</v>
      </c>
      <c r="R65" s="2058">
        <v>0</v>
      </c>
      <c r="S65" s="2058">
        <v>0</v>
      </c>
      <c r="T65" s="2058">
        <v>0</v>
      </c>
      <c r="U65" s="2058">
        <v>0</v>
      </c>
      <c r="V65" s="2058">
        <v>0</v>
      </c>
      <c r="W65" s="2058">
        <v>0</v>
      </c>
      <c r="X65" s="2058">
        <v>0</v>
      </c>
      <c r="Y65" s="2058">
        <v>0</v>
      </c>
      <c r="Z65" s="2058">
        <v>0</v>
      </c>
      <c r="AA65" s="2058">
        <v>0</v>
      </c>
      <c r="AB65" s="2058">
        <v>0</v>
      </c>
      <c r="AC65" s="2481">
        <v>0</v>
      </c>
      <c r="AD65" s="2115">
        <v>0</v>
      </c>
      <c r="AE65" s="2115">
        <v>0</v>
      </c>
      <c r="AF65" s="2115">
        <v>0</v>
      </c>
      <c r="AG65" s="2115">
        <v>0</v>
      </c>
      <c r="AH65" s="2115">
        <v>0</v>
      </c>
      <c r="AI65" s="2481">
        <v>0</v>
      </c>
    </row>
    <row r="66" spans="1:35">
      <c r="A66" s="990">
        <v>66</v>
      </c>
      <c r="B66" s="990">
        <v>1</v>
      </c>
      <c r="C66" s="990">
        <v>66</v>
      </c>
      <c r="D66" s="1121" t="s">
        <v>999</v>
      </c>
      <c r="E66" s="1243">
        <v>1</v>
      </c>
      <c r="I66" s="146"/>
      <c r="J66" s="9" t="s">
        <v>1016</v>
      </c>
      <c r="Q66" s="2091"/>
      <c r="R66" s="2091"/>
      <c r="S66" s="2091"/>
      <c r="T66" s="2091"/>
      <c r="U66" s="2091"/>
      <c r="V66" s="2091"/>
      <c r="W66" s="2091"/>
      <c r="X66" s="2091"/>
      <c r="Y66" s="2091"/>
      <c r="Z66" s="2091"/>
      <c r="AA66" s="2091"/>
      <c r="AB66" s="2091"/>
      <c r="AC66" s="144">
        <v>0</v>
      </c>
      <c r="AD66" s="145">
        <v>0</v>
      </c>
      <c r="AE66" s="145">
        <v>0</v>
      </c>
      <c r="AF66" s="145">
        <v>0</v>
      </c>
      <c r="AG66" s="145">
        <v>0</v>
      </c>
      <c r="AH66" s="145">
        <v>0</v>
      </c>
      <c r="AI66" s="144">
        <v>0</v>
      </c>
    </row>
    <row r="67" spans="1:35">
      <c r="A67" s="990">
        <v>67</v>
      </c>
      <c r="B67" s="990">
        <v>1</v>
      </c>
      <c r="C67" s="990">
        <v>67</v>
      </c>
      <c r="D67" s="1121" t="s">
        <v>999</v>
      </c>
      <c r="E67" s="1243">
        <v>1</v>
      </c>
      <c r="I67" s="146"/>
      <c r="J67" s="9" t="s">
        <v>43</v>
      </c>
      <c r="Q67" s="2091"/>
      <c r="R67" s="2091"/>
      <c r="S67" s="2091"/>
      <c r="T67" s="2091"/>
      <c r="U67" s="2091"/>
      <c r="V67" s="2091"/>
      <c r="W67" s="2091"/>
      <c r="X67" s="2091"/>
      <c r="Y67" s="2091"/>
      <c r="Z67" s="2091"/>
      <c r="AA67" s="2091"/>
      <c r="AB67" s="2091"/>
      <c r="AC67" s="144">
        <v>0</v>
      </c>
      <c r="AD67" s="145">
        <v>0</v>
      </c>
      <c r="AE67" s="145">
        <v>0</v>
      </c>
      <c r="AF67" s="145">
        <v>0</v>
      </c>
      <c r="AG67" s="145">
        <v>0</v>
      </c>
      <c r="AH67" s="145">
        <v>0</v>
      </c>
      <c r="AI67" s="144">
        <v>0</v>
      </c>
    </row>
    <row r="68" spans="1:35">
      <c r="A68" s="990">
        <v>68</v>
      </c>
      <c r="B68" s="990">
        <v>1</v>
      </c>
      <c r="C68" s="990">
        <v>68</v>
      </c>
      <c r="D68" s="1121" t="s">
        <v>999</v>
      </c>
      <c r="E68" s="1243">
        <v>1</v>
      </c>
      <c r="I68" s="146"/>
      <c r="J68" s="9" t="s">
        <v>1017</v>
      </c>
      <c r="Q68" s="2091"/>
      <c r="R68" s="2091"/>
      <c r="S68" s="2091"/>
      <c r="T68" s="2091"/>
      <c r="U68" s="2091"/>
      <c r="V68" s="2091"/>
      <c r="W68" s="2091"/>
      <c r="X68" s="2091"/>
      <c r="Y68" s="2091"/>
      <c r="Z68" s="2091"/>
      <c r="AA68" s="2091"/>
      <c r="AB68" s="2091"/>
      <c r="AC68" s="144">
        <v>0</v>
      </c>
      <c r="AD68" s="145">
        <v>0</v>
      </c>
      <c r="AE68" s="145">
        <v>0</v>
      </c>
      <c r="AF68" s="145">
        <v>0</v>
      </c>
      <c r="AG68" s="145">
        <v>0</v>
      </c>
      <c r="AH68" s="145">
        <v>0</v>
      </c>
      <c r="AI68" s="144">
        <v>0</v>
      </c>
    </row>
    <row r="69" spans="1:35">
      <c r="A69" s="990">
        <v>69</v>
      </c>
      <c r="B69" s="990">
        <v>1</v>
      </c>
      <c r="C69" s="990">
        <v>69</v>
      </c>
      <c r="D69" s="1121" t="s">
        <v>999</v>
      </c>
      <c r="E69" s="1255">
        <v>1</v>
      </c>
      <c r="F69" s="9"/>
      <c r="I69" s="146"/>
      <c r="J69" s="9" t="s">
        <v>1018</v>
      </c>
      <c r="Q69" s="2091"/>
      <c r="R69" s="2091"/>
      <c r="S69" s="2091"/>
      <c r="T69" s="2091"/>
      <c r="U69" s="2091"/>
      <c r="V69" s="2091"/>
      <c r="W69" s="2091"/>
      <c r="X69" s="2091"/>
      <c r="Y69" s="2091"/>
      <c r="Z69" s="2091"/>
      <c r="AA69" s="2091"/>
      <c r="AB69" s="2091"/>
      <c r="AC69" s="144">
        <v>0</v>
      </c>
      <c r="AD69" s="145">
        <v>0</v>
      </c>
      <c r="AE69" s="145">
        <v>0</v>
      </c>
      <c r="AF69" s="145">
        <v>0</v>
      </c>
      <c r="AG69" s="145">
        <v>0</v>
      </c>
      <c r="AH69" s="145">
        <v>0</v>
      </c>
      <c r="AI69" s="144">
        <v>0</v>
      </c>
    </row>
    <row r="70" spans="1:35">
      <c r="A70" s="990">
        <v>70</v>
      </c>
      <c r="B70" s="990">
        <v>1</v>
      </c>
      <c r="C70" s="990">
        <v>70</v>
      </c>
      <c r="D70" s="1121" t="s">
        <v>999</v>
      </c>
      <c r="E70" s="1243">
        <v>1</v>
      </c>
      <c r="I70" s="143"/>
      <c r="J70" s="12" t="s">
        <v>1015</v>
      </c>
      <c r="K70" s="18"/>
      <c r="L70" s="18"/>
      <c r="M70" s="12"/>
      <c r="N70" s="12"/>
      <c r="O70" s="12"/>
      <c r="P70" s="12"/>
      <c r="Q70" s="113">
        <v>0</v>
      </c>
      <c r="R70" s="113">
        <v>0</v>
      </c>
      <c r="S70" s="113">
        <v>0</v>
      </c>
      <c r="T70" s="113">
        <v>0</v>
      </c>
      <c r="U70" s="113">
        <v>0</v>
      </c>
      <c r="V70" s="113">
        <v>0</v>
      </c>
      <c r="W70" s="113">
        <v>0</v>
      </c>
      <c r="X70" s="113">
        <v>0</v>
      </c>
      <c r="Y70" s="113">
        <v>0</v>
      </c>
      <c r="Z70" s="113">
        <v>0</v>
      </c>
      <c r="AA70" s="113">
        <v>0</v>
      </c>
      <c r="AB70" s="113">
        <v>0</v>
      </c>
      <c r="AC70" s="141">
        <v>0</v>
      </c>
      <c r="AD70" s="142">
        <v>0</v>
      </c>
      <c r="AE70" s="142">
        <v>0</v>
      </c>
      <c r="AF70" s="142">
        <v>0</v>
      </c>
      <c r="AG70" s="142">
        <v>0</v>
      </c>
      <c r="AH70" s="142">
        <v>0</v>
      </c>
      <c r="AI70" s="141">
        <v>0</v>
      </c>
    </row>
    <row r="71" spans="1:35">
      <c r="A71" s="990">
        <v>71</v>
      </c>
      <c r="B71" s="990">
        <v>1</v>
      </c>
      <c r="C71" s="990">
        <v>71</v>
      </c>
      <c r="D71" s="1121" t="s">
        <v>999</v>
      </c>
      <c r="E71" s="1243">
        <v>1</v>
      </c>
      <c r="J71" s="1411"/>
      <c r="Q71" s="2200"/>
      <c r="Z71" s="163"/>
      <c r="AA71" s="163"/>
      <c r="AB71" s="2201"/>
      <c r="AC71" s="163"/>
      <c r="AD71" s="163"/>
      <c r="AE71" s="163"/>
      <c r="AF71" s="163"/>
      <c r="AG71" s="163"/>
      <c r="AH71" s="163"/>
      <c r="AI71" s="868"/>
    </row>
    <row r="72" spans="1:35" ht="18">
      <c r="A72" s="990">
        <v>72</v>
      </c>
      <c r="B72" s="990">
        <v>1</v>
      </c>
      <c r="C72" s="990">
        <v>72</v>
      </c>
      <c r="D72" s="1121" t="s">
        <v>999</v>
      </c>
      <c r="E72" s="1243">
        <v>1</v>
      </c>
      <c r="F72" s="313" t="s">
        <v>1520</v>
      </c>
      <c r="G72" s="313"/>
      <c r="H72" s="14"/>
      <c r="Q72" s="2200"/>
      <c r="AA72" s="1"/>
      <c r="AB72" s="2209"/>
      <c r="AC72" s="1"/>
      <c r="AD72" s="1"/>
      <c r="AE72" s="1"/>
      <c r="AF72" s="1"/>
      <c r="AG72" s="1"/>
      <c r="AH72" s="1"/>
      <c r="AI72" s="1"/>
    </row>
    <row r="73" spans="1:35" ht="15.5">
      <c r="A73" s="990">
        <v>73</v>
      </c>
      <c r="B73" s="990">
        <v>1</v>
      </c>
      <c r="C73" s="990">
        <v>73</v>
      </c>
      <c r="D73" s="1121" t="s">
        <v>999</v>
      </c>
      <c r="E73" s="1243">
        <v>1</v>
      </c>
      <c r="F73" s="9"/>
      <c r="G73" s="460" t="s">
        <v>1020</v>
      </c>
      <c r="I73" s="39"/>
      <c r="J73" s="40"/>
      <c r="K73" s="39"/>
      <c r="L73" s="39"/>
      <c r="M73" s="40"/>
      <c r="N73" s="67"/>
      <c r="O73" s="40"/>
      <c r="P73" s="40"/>
      <c r="Q73" s="2225"/>
      <c r="R73" s="1151"/>
      <c r="S73" s="1151"/>
      <c r="T73" s="1151"/>
      <c r="U73" s="1151"/>
      <c r="V73" s="1151"/>
      <c r="AB73" s="86"/>
      <c r="AG73" s="186"/>
      <c r="AH73" s="186"/>
      <c r="AI73" s="186"/>
    </row>
    <row r="74" spans="1:35">
      <c r="A74" s="990">
        <v>74</v>
      </c>
      <c r="B74" s="990">
        <v>1</v>
      </c>
      <c r="C74" s="990">
        <v>74</v>
      </c>
      <c r="D74" s="1121" t="s">
        <v>999</v>
      </c>
      <c r="E74" s="1243">
        <v>1</v>
      </c>
      <c r="F74" s="5"/>
      <c r="G74" s="5"/>
      <c r="H74" s="5" t="s">
        <v>98</v>
      </c>
      <c r="I74" s="5"/>
      <c r="J74" s="4"/>
      <c r="K74" s="5"/>
      <c r="L74" s="4"/>
      <c r="M74" s="4"/>
      <c r="N74" s="4"/>
      <c r="O74" s="4"/>
      <c r="P74" s="4"/>
      <c r="Q74" s="2225"/>
      <c r="R74" s="1151"/>
      <c r="S74" s="1151"/>
      <c r="T74" s="1151"/>
      <c r="U74" s="1151"/>
      <c r="V74" s="1151"/>
      <c r="AA74" s="1"/>
      <c r="AB74" s="2209"/>
      <c r="AC74" s="1"/>
      <c r="AD74" s="1"/>
      <c r="AE74" s="1"/>
      <c r="AF74" s="1"/>
      <c r="AG74" s="1"/>
      <c r="AH74" s="1"/>
      <c r="AI74" s="1"/>
    </row>
    <row r="75" spans="1:35">
      <c r="A75" s="990">
        <v>75</v>
      </c>
      <c r="B75" s="990">
        <v>1</v>
      </c>
      <c r="C75" s="990">
        <v>75</v>
      </c>
      <c r="D75" s="1121" t="s">
        <v>999</v>
      </c>
      <c r="E75" s="1662" t="s">
        <v>1013</v>
      </c>
      <c r="F75" s="1690"/>
      <c r="G75" s="93"/>
      <c r="H75" s="14"/>
      <c r="I75" s="2608"/>
      <c r="J75" s="2609"/>
      <c r="K75" s="2610"/>
      <c r="L75" s="2610"/>
      <c r="M75" s="2609"/>
      <c r="N75" s="2609"/>
      <c r="O75" s="2609"/>
      <c r="P75" s="2611"/>
      <c r="Q75" s="2175">
        <v>44652</v>
      </c>
      <c r="R75" s="2175">
        <v>44682</v>
      </c>
      <c r="S75" s="2175">
        <v>44713</v>
      </c>
      <c r="T75" s="2175">
        <v>44743</v>
      </c>
      <c r="U75" s="2175">
        <v>44774</v>
      </c>
      <c r="V75" s="2175">
        <v>44805</v>
      </c>
      <c r="W75" s="2175">
        <v>44835</v>
      </c>
      <c r="X75" s="2175">
        <v>44866</v>
      </c>
      <c r="Y75" s="2175">
        <v>44896</v>
      </c>
      <c r="Z75" s="2175">
        <v>44927</v>
      </c>
      <c r="AA75" s="2175">
        <v>44958</v>
      </c>
      <c r="AB75" s="2175">
        <v>44986</v>
      </c>
      <c r="AC75" s="2590" t="s">
        <v>105</v>
      </c>
      <c r="AD75" s="2591" t="s">
        <v>104</v>
      </c>
      <c r="AE75" s="2591" t="s">
        <v>103</v>
      </c>
      <c r="AF75" s="2591" t="s">
        <v>102</v>
      </c>
      <c r="AG75" s="2591" t="s">
        <v>101</v>
      </c>
      <c r="AH75" s="2591" t="s">
        <v>100</v>
      </c>
      <c r="AI75" s="2591" t="s">
        <v>118</v>
      </c>
    </row>
    <row r="76" spans="1:35">
      <c r="A76" s="990">
        <v>1</v>
      </c>
      <c r="B76" s="990">
        <v>1</v>
      </c>
      <c r="C76" s="990">
        <v>1</v>
      </c>
      <c r="D76" s="1121" t="s">
        <v>999</v>
      </c>
      <c r="E76" s="1662" t="s">
        <v>1013</v>
      </c>
      <c r="F76" s="1677"/>
      <c r="G76" s="5"/>
      <c r="H76" s="5"/>
      <c r="I76" s="2612" t="s">
        <v>9</v>
      </c>
      <c r="J76" s="1640"/>
      <c r="K76" s="1640"/>
      <c r="L76" s="1640"/>
      <c r="M76" s="1641"/>
      <c r="N76" s="1641"/>
      <c r="O76" s="1641"/>
      <c r="P76" s="2613"/>
      <c r="Q76" s="2258">
        <v>0</v>
      </c>
      <c r="R76" s="2258">
        <v>0</v>
      </c>
      <c r="S76" s="2258">
        <v>0</v>
      </c>
      <c r="T76" s="2258">
        <v>0</v>
      </c>
      <c r="U76" s="2258">
        <v>0</v>
      </c>
      <c r="V76" s="2258">
        <v>0</v>
      </c>
      <c r="W76" s="2261">
        <v>0</v>
      </c>
      <c r="X76" s="2261">
        <v>0</v>
      </c>
      <c r="Y76" s="2261">
        <v>0</v>
      </c>
      <c r="Z76" s="2262">
        <v>0</v>
      </c>
      <c r="AA76" s="2262">
        <v>0</v>
      </c>
      <c r="AB76" s="2262">
        <v>0</v>
      </c>
      <c r="AC76" s="2262">
        <v>0</v>
      </c>
      <c r="AD76" s="2262">
        <v>0</v>
      </c>
      <c r="AE76" s="2262">
        <v>0</v>
      </c>
      <c r="AF76" s="2262">
        <v>0</v>
      </c>
      <c r="AG76" s="2262">
        <v>0</v>
      </c>
      <c r="AH76" s="2262">
        <v>0</v>
      </c>
      <c r="AI76" s="2262">
        <v>0</v>
      </c>
    </row>
    <row r="77" spans="1:35">
      <c r="A77" s="990">
        <v>1</v>
      </c>
      <c r="B77" s="990">
        <v>1</v>
      </c>
      <c r="C77" s="990">
        <v>1</v>
      </c>
      <c r="D77" s="1121" t="s">
        <v>999</v>
      </c>
      <c r="E77" s="1662" t="s">
        <v>1013</v>
      </c>
      <c r="F77" s="1677"/>
      <c r="G77" s="5"/>
      <c r="H77" s="5"/>
      <c r="I77" s="1642" t="s">
        <v>128</v>
      </c>
      <c r="J77" s="1643"/>
      <c r="K77" s="1643"/>
      <c r="L77" s="1643"/>
      <c r="M77" s="1644"/>
      <c r="N77" s="1644"/>
      <c r="O77" s="1644"/>
      <c r="P77" s="1656"/>
      <c r="Q77" s="2259">
        <v>0</v>
      </c>
      <c r="R77" s="2259">
        <v>0</v>
      </c>
      <c r="S77" s="2259">
        <v>0</v>
      </c>
      <c r="T77" s="2259">
        <v>0</v>
      </c>
      <c r="U77" s="2259">
        <v>0</v>
      </c>
      <c r="V77" s="2259">
        <v>0</v>
      </c>
      <c r="W77" s="2263">
        <v>0</v>
      </c>
      <c r="X77" s="2263">
        <v>0</v>
      </c>
      <c r="Y77" s="2263">
        <v>0</v>
      </c>
      <c r="Z77" s="1657">
        <v>0</v>
      </c>
      <c r="AA77" s="1657">
        <v>0</v>
      </c>
      <c r="AB77" s="1657">
        <v>0</v>
      </c>
      <c r="AC77" s="1657">
        <v>0</v>
      </c>
      <c r="AD77" s="1657">
        <v>0</v>
      </c>
      <c r="AE77" s="1657">
        <v>0</v>
      </c>
      <c r="AF77" s="1657">
        <v>0</v>
      </c>
      <c r="AG77" s="1657">
        <v>0</v>
      </c>
      <c r="AH77" s="1657">
        <v>0</v>
      </c>
      <c r="AI77" s="1657">
        <v>0</v>
      </c>
    </row>
    <row r="78" spans="1:35">
      <c r="A78" s="990">
        <v>1</v>
      </c>
      <c r="B78" s="990">
        <v>1</v>
      </c>
      <c r="C78" s="990">
        <v>1</v>
      </c>
      <c r="D78" s="1121" t="s">
        <v>999</v>
      </c>
      <c r="E78" s="1662" t="s">
        <v>1013</v>
      </c>
      <c r="F78" s="1677"/>
      <c r="G78" s="5"/>
      <c r="H78" s="5"/>
      <c r="I78" s="1642" t="s">
        <v>134</v>
      </c>
      <c r="J78" s="1643"/>
      <c r="K78" s="1643"/>
      <c r="L78" s="1643"/>
      <c r="M78" s="1644"/>
      <c r="N78" s="1644"/>
      <c r="O78" s="1644"/>
      <c r="P78" s="1656"/>
      <c r="Q78" s="2259">
        <v>0</v>
      </c>
      <c r="R78" s="2259">
        <v>0</v>
      </c>
      <c r="S78" s="2259">
        <v>0</v>
      </c>
      <c r="T78" s="2259">
        <v>0</v>
      </c>
      <c r="U78" s="2259">
        <v>0</v>
      </c>
      <c r="V78" s="2259">
        <v>0</v>
      </c>
      <c r="W78" s="2263">
        <v>0</v>
      </c>
      <c r="X78" s="2263">
        <v>0</v>
      </c>
      <c r="Y78" s="2263">
        <v>0</v>
      </c>
      <c r="Z78" s="1657">
        <v>0</v>
      </c>
      <c r="AA78" s="1657">
        <v>0</v>
      </c>
      <c r="AB78" s="1657">
        <v>0</v>
      </c>
      <c r="AC78" s="1657">
        <v>0</v>
      </c>
      <c r="AD78" s="1657">
        <v>0</v>
      </c>
      <c r="AE78" s="1657">
        <v>0</v>
      </c>
      <c r="AF78" s="1657">
        <v>0</v>
      </c>
      <c r="AG78" s="1657">
        <v>0</v>
      </c>
      <c r="AH78" s="1657">
        <v>0</v>
      </c>
      <c r="AI78" s="1657">
        <v>0</v>
      </c>
    </row>
    <row r="79" spans="1:35">
      <c r="A79" s="990">
        <v>1</v>
      </c>
      <c r="B79" s="990">
        <v>1</v>
      </c>
      <c r="C79" s="990">
        <v>1</v>
      </c>
      <c r="D79" s="1121" t="s">
        <v>999</v>
      </c>
      <c r="E79" s="1662" t="s">
        <v>1013</v>
      </c>
      <c r="F79" s="1677"/>
      <c r="G79" s="5"/>
      <c r="H79" s="5"/>
      <c r="I79" s="1642" t="s">
        <v>97</v>
      </c>
      <c r="J79" s="1645"/>
      <c r="K79" s="1645"/>
      <c r="L79" s="1645"/>
      <c r="M79" s="1646"/>
      <c r="N79" s="1646"/>
      <c r="O79" s="1646"/>
      <c r="P79" s="1658"/>
      <c r="Q79" s="2260">
        <v>0</v>
      </c>
      <c r="R79" s="2260">
        <v>0</v>
      </c>
      <c r="S79" s="2260">
        <v>0</v>
      </c>
      <c r="T79" s="2260">
        <v>0</v>
      </c>
      <c r="U79" s="2260">
        <v>0</v>
      </c>
      <c r="V79" s="2260">
        <v>0</v>
      </c>
      <c r="W79" s="2264">
        <v>0</v>
      </c>
      <c r="X79" s="2264">
        <v>0</v>
      </c>
      <c r="Y79" s="2264">
        <v>0</v>
      </c>
      <c r="Z79" s="1659">
        <v>0</v>
      </c>
      <c r="AA79" s="1659">
        <v>0</v>
      </c>
      <c r="AB79" s="1659">
        <v>0</v>
      </c>
      <c r="AC79" s="1659">
        <v>0</v>
      </c>
      <c r="AD79" s="1659">
        <v>0</v>
      </c>
      <c r="AE79" s="1659">
        <v>0</v>
      </c>
      <c r="AF79" s="1659">
        <v>0</v>
      </c>
      <c r="AG79" s="1659">
        <v>0</v>
      </c>
      <c r="AH79" s="1659">
        <v>0</v>
      </c>
      <c r="AI79" s="1659">
        <v>0</v>
      </c>
    </row>
    <row r="80" spans="1:35">
      <c r="A80" s="990">
        <v>1</v>
      </c>
      <c r="B80" s="990">
        <v>1</v>
      </c>
      <c r="C80" s="990">
        <v>1</v>
      </c>
      <c r="D80" s="1121" t="s">
        <v>999</v>
      </c>
      <c r="E80" s="1662" t="s">
        <v>1013</v>
      </c>
      <c r="F80" s="1677"/>
      <c r="G80" s="5"/>
      <c r="H80" s="5"/>
      <c r="I80" s="613"/>
      <c r="J80" s="4" t="s">
        <v>143</v>
      </c>
      <c r="K80" s="4"/>
      <c r="L80" s="4"/>
      <c r="M80" s="4"/>
      <c r="N80" s="4"/>
      <c r="O80" s="4"/>
      <c r="P80" s="29"/>
      <c r="Q80" s="2097">
        <v>0</v>
      </c>
      <c r="R80" s="2097">
        <v>0</v>
      </c>
      <c r="S80" s="2097">
        <v>0</v>
      </c>
      <c r="T80" s="2097">
        <v>0</v>
      </c>
      <c r="U80" s="2097">
        <v>0</v>
      </c>
      <c r="V80" s="2097">
        <v>0</v>
      </c>
      <c r="W80" s="107">
        <v>0</v>
      </c>
      <c r="X80" s="107">
        <v>0</v>
      </c>
      <c r="Y80" s="107">
        <v>0</v>
      </c>
      <c r="Z80" s="2266">
        <v>0</v>
      </c>
      <c r="AA80" s="2266">
        <v>0</v>
      </c>
      <c r="AB80" s="2266">
        <v>0</v>
      </c>
      <c r="AC80" s="145">
        <v>0</v>
      </c>
      <c r="AD80" s="145">
        <v>0</v>
      </c>
      <c r="AE80" s="145">
        <v>0</v>
      </c>
      <c r="AF80" s="145">
        <v>0</v>
      </c>
      <c r="AG80" s="145">
        <v>0</v>
      </c>
      <c r="AH80" s="145">
        <v>0</v>
      </c>
      <c r="AI80" s="145">
        <v>0</v>
      </c>
    </row>
    <row r="81" spans="1:35">
      <c r="A81" s="990">
        <v>1</v>
      </c>
      <c r="B81" s="990">
        <v>1</v>
      </c>
      <c r="C81" s="990">
        <v>1</v>
      </c>
      <c r="D81" s="1121" t="s">
        <v>999</v>
      </c>
      <c r="E81" s="1662" t="s">
        <v>1013</v>
      </c>
      <c r="F81" s="1677"/>
      <c r="G81" s="5"/>
      <c r="H81" s="5"/>
      <c r="I81" s="613"/>
      <c r="J81" s="4" t="s">
        <v>96</v>
      </c>
      <c r="K81" s="4"/>
      <c r="L81" s="4"/>
      <c r="M81" s="4"/>
      <c r="N81" s="4"/>
      <c r="O81" s="4"/>
      <c r="P81" s="29"/>
      <c r="Q81" s="2097">
        <v>0</v>
      </c>
      <c r="R81" s="2097">
        <v>0</v>
      </c>
      <c r="S81" s="2097">
        <v>0</v>
      </c>
      <c r="T81" s="2097">
        <v>0</v>
      </c>
      <c r="U81" s="2097">
        <v>0</v>
      </c>
      <c r="V81" s="2097">
        <v>0</v>
      </c>
      <c r="W81" s="107">
        <v>0</v>
      </c>
      <c r="X81" s="107">
        <v>0</v>
      </c>
      <c r="Y81" s="107">
        <v>0</v>
      </c>
      <c r="Z81" s="2266">
        <v>0</v>
      </c>
      <c r="AA81" s="2266">
        <v>0</v>
      </c>
      <c r="AB81" s="2266">
        <v>0</v>
      </c>
      <c r="AC81" s="145">
        <v>0</v>
      </c>
      <c r="AD81" s="145">
        <v>0</v>
      </c>
      <c r="AE81" s="145">
        <v>0</v>
      </c>
      <c r="AF81" s="145">
        <v>0</v>
      </c>
      <c r="AG81" s="145">
        <v>0</v>
      </c>
      <c r="AH81" s="145">
        <v>0</v>
      </c>
      <c r="AI81" s="145">
        <v>0</v>
      </c>
    </row>
    <row r="82" spans="1:35">
      <c r="A82" s="990">
        <v>1</v>
      </c>
      <c r="B82" s="990">
        <v>1</v>
      </c>
      <c r="C82" s="990">
        <v>1</v>
      </c>
      <c r="D82" s="1121" t="s">
        <v>999</v>
      </c>
      <c r="E82" s="1662" t="s">
        <v>1013</v>
      </c>
      <c r="F82" s="1677"/>
      <c r="G82" s="5"/>
      <c r="H82" s="5"/>
      <c r="I82" s="1627"/>
      <c r="J82" s="51" t="s">
        <v>142</v>
      </c>
      <c r="K82" s="51"/>
      <c r="L82" s="51"/>
      <c r="M82" s="51"/>
      <c r="N82" s="51"/>
      <c r="O82" s="51"/>
      <c r="P82" s="50"/>
      <c r="Q82" s="2059">
        <v>0</v>
      </c>
      <c r="R82" s="2059">
        <v>0</v>
      </c>
      <c r="S82" s="2059">
        <v>0</v>
      </c>
      <c r="T82" s="2059">
        <v>0</v>
      </c>
      <c r="U82" s="2059">
        <v>0</v>
      </c>
      <c r="V82" s="2059">
        <v>0</v>
      </c>
      <c r="W82" s="378">
        <v>0</v>
      </c>
      <c r="X82" s="378">
        <v>0</v>
      </c>
      <c r="Y82" s="378">
        <v>0</v>
      </c>
      <c r="Z82" s="2267">
        <v>0</v>
      </c>
      <c r="AA82" s="2267">
        <v>0</v>
      </c>
      <c r="AB82" s="2267">
        <v>0</v>
      </c>
      <c r="AC82" s="1626">
        <v>0</v>
      </c>
      <c r="AD82" s="1626">
        <v>0</v>
      </c>
      <c r="AE82" s="1626">
        <v>0</v>
      </c>
      <c r="AF82" s="1626">
        <v>0</v>
      </c>
      <c r="AG82" s="1626">
        <v>0</v>
      </c>
      <c r="AH82" s="1626">
        <v>0</v>
      </c>
      <c r="AI82" s="1626">
        <v>0</v>
      </c>
    </row>
    <row r="83" spans="1:35">
      <c r="A83" s="990">
        <v>1</v>
      </c>
      <c r="B83" s="990">
        <v>1</v>
      </c>
      <c r="C83" s="990">
        <v>1</v>
      </c>
      <c r="D83" s="1121" t="s">
        <v>999</v>
      </c>
      <c r="E83" s="1662" t="s">
        <v>1013</v>
      </c>
      <c r="F83" s="1677"/>
      <c r="G83" s="5"/>
      <c r="H83" s="5"/>
      <c r="I83" s="1647" t="s">
        <v>136</v>
      </c>
      <c r="J83" s="1648"/>
      <c r="K83" s="1648"/>
      <c r="L83" s="1648"/>
      <c r="M83" s="1649"/>
      <c r="N83" s="1649"/>
      <c r="O83" s="1649"/>
      <c r="P83" s="1660"/>
      <c r="Q83" s="2257">
        <v>0</v>
      </c>
      <c r="R83" s="2257">
        <v>0</v>
      </c>
      <c r="S83" s="2257">
        <v>0</v>
      </c>
      <c r="T83" s="2257">
        <v>0</v>
      </c>
      <c r="U83" s="2257">
        <v>0</v>
      </c>
      <c r="V83" s="2257">
        <v>0</v>
      </c>
      <c r="W83" s="2265">
        <v>0</v>
      </c>
      <c r="X83" s="2265">
        <v>0</v>
      </c>
      <c r="Y83" s="2265">
        <v>0</v>
      </c>
      <c r="Z83" s="1661">
        <v>0</v>
      </c>
      <c r="AA83" s="1661">
        <v>0</v>
      </c>
      <c r="AB83" s="1661">
        <v>0</v>
      </c>
      <c r="AC83" s="1661">
        <v>0</v>
      </c>
      <c r="AD83" s="1661">
        <v>0</v>
      </c>
      <c r="AE83" s="1661">
        <v>0</v>
      </c>
      <c r="AF83" s="1661">
        <v>0</v>
      </c>
      <c r="AG83" s="1661">
        <v>0</v>
      </c>
      <c r="AH83" s="1661">
        <v>0</v>
      </c>
      <c r="AI83" s="1661">
        <v>0</v>
      </c>
    </row>
    <row r="84" spans="1:35">
      <c r="A84" s="990">
        <v>1</v>
      </c>
      <c r="B84" s="990">
        <v>1</v>
      </c>
      <c r="C84" s="990">
        <v>1</v>
      </c>
      <c r="D84" s="9" t="s">
        <v>999</v>
      </c>
      <c r="E84" s="1662" t="s">
        <v>1013</v>
      </c>
      <c r="F84" s="1677"/>
      <c r="G84" s="5"/>
      <c r="H84" s="5"/>
      <c r="I84" s="58" t="s">
        <v>504</v>
      </c>
      <c r="J84" s="555"/>
      <c r="K84" s="636"/>
      <c r="L84" s="636"/>
      <c r="M84" s="555"/>
      <c r="N84" s="555"/>
      <c r="O84" s="555"/>
      <c r="P84" s="555"/>
      <c r="Q84" s="2268">
        <v>0</v>
      </c>
      <c r="R84" s="2491">
        <v>0</v>
      </c>
      <c r="S84" s="2491">
        <v>0</v>
      </c>
      <c r="T84" s="2491">
        <v>0</v>
      </c>
      <c r="U84" s="2491">
        <v>0</v>
      </c>
      <c r="V84" s="2491">
        <v>0</v>
      </c>
      <c r="W84" s="2491">
        <v>0</v>
      </c>
      <c r="X84" s="2491">
        <v>0</v>
      </c>
      <c r="Y84" s="2491">
        <v>0</v>
      </c>
      <c r="Z84" s="2491">
        <v>0</v>
      </c>
      <c r="AA84" s="2491">
        <v>0</v>
      </c>
      <c r="AB84" s="2491">
        <v>0</v>
      </c>
      <c r="AC84" s="122">
        <v>0</v>
      </c>
      <c r="AD84" s="122">
        <v>0</v>
      </c>
      <c r="AE84" s="122">
        <v>0</v>
      </c>
      <c r="AF84" s="122">
        <v>0</v>
      </c>
      <c r="AG84" s="122">
        <v>0</v>
      </c>
      <c r="AH84" s="122">
        <v>0</v>
      </c>
      <c r="AI84" s="122">
        <v>0</v>
      </c>
    </row>
    <row r="85" spans="1:35">
      <c r="A85" s="990">
        <v>1</v>
      </c>
      <c r="B85" s="990">
        <v>1</v>
      </c>
      <c r="C85" s="990">
        <v>1</v>
      </c>
      <c r="D85" s="9" t="s">
        <v>999</v>
      </c>
      <c r="E85" s="1662" t="s">
        <v>1013</v>
      </c>
      <c r="F85" s="1677"/>
      <c r="G85" s="5"/>
      <c r="H85" s="5"/>
      <c r="I85" s="121" t="s">
        <v>1002</v>
      </c>
      <c r="J85" s="119"/>
      <c r="K85" s="120"/>
      <c r="L85" s="120"/>
      <c r="M85" s="119"/>
      <c r="N85" s="119"/>
      <c r="O85" s="119"/>
      <c r="P85" s="119"/>
      <c r="Q85" s="2098">
        <v>0</v>
      </c>
      <c r="R85" s="285">
        <v>0</v>
      </c>
      <c r="S85" s="285">
        <v>0</v>
      </c>
      <c r="T85" s="285">
        <v>0</v>
      </c>
      <c r="U85" s="285">
        <v>0</v>
      </c>
      <c r="V85" s="285">
        <v>0</v>
      </c>
      <c r="W85" s="285">
        <v>0</v>
      </c>
      <c r="X85" s="285">
        <v>0</v>
      </c>
      <c r="Y85" s="285">
        <v>0</v>
      </c>
      <c r="Z85" s="285">
        <v>0</v>
      </c>
      <c r="AA85" s="285">
        <v>0</v>
      </c>
      <c r="AB85" s="285">
        <v>0</v>
      </c>
      <c r="AC85" s="92">
        <v>0</v>
      </c>
      <c r="AD85" s="92">
        <v>0</v>
      </c>
      <c r="AE85" s="92">
        <v>0</v>
      </c>
      <c r="AF85" s="92">
        <v>0</v>
      </c>
      <c r="AG85" s="92">
        <v>0</v>
      </c>
      <c r="AH85" s="92">
        <v>0</v>
      </c>
      <c r="AI85" s="92">
        <v>0</v>
      </c>
    </row>
    <row r="86" spans="1:35">
      <c r="A86" s="990">
        <v>1</v>
      </c>
      <c r="B86" s="990">
        <v>1</v>
      </c>
      <c r="C86" s="990">
        <v>1</v>
      </c>
      <c r="D86" s="9" t="s">
        <v>999</v>
      </c>
      <c r="E86" s="1662" t="s">
        <v>1013</v>
      </c>
      <c r="F86" s="1677"/>
      <c r="G86" s="5"/>
      <c r="H86" s="5"/>
      <c r="I86" s="2614" t="s">
        <v>10</v>
      </c>
      <c r="J86" s="2615"/>
      <c r="K86" s="2616"/>
      <c r="L86" s="2616"/>
      <c r="M86" s="2616"/>
      <c r="N86" s="2616"/>
      <c r="O86" s="2616"/>
      <c r="P86" s="2616"/>
      <c r="Q86" s="2255">
        <v>0</v>
      </c>
      <c r="R86" s="2256">
        <v>0</v>
      </c>
      <c r="S86" s="2256">
        <v>0</v>
      </c>
      <c r="T86" s="2256">
        <v>0</v>
      </c>
      <c r="U86" s="2256">
        <v>0</v>
      </c>
      <c r="V86" s="2256">
        <v>0</v>
      </c>
      <c r="W86" s="2256">
        <v>0</v>
      </c>
      <c r="X86" s="2256">
        <v>0</v>
      </c>
      <c r="Y86" s="2256">
        <v>0</v>
      </c>
      <c r="Z86" s="2256">
        <v>0</v>
      </c>
      <c r="AA86" s="2256">
        <v>0</v>
      </c>
      <c r="AB86" s="2256">
        <v>0</v>
      </c>
      <c r="AC86" s="2256">
        <v>0</v>
      </c>
      <c r="AD86" s="2256">
        <v>0</v>
      </c>
      <c r="AE86" s="2256">
        <v>0</v>
      </c>
      <c r="AF86" s="2256">
        <v>0</v>
      </c>
      <c r="AG86" s="2256">
        <v>0</v>
      </c>
      <c r="AH86" s="2256">
        <v>0</v>
      </c>
      <c r="AI86" s="2256">
        <v>0</v>
      </c>
    </row>
    <row r="87" spans="1:35" ht="14.5">
      <c r="A87" s="990">
        <v>115</v>
      </c>
      <c r="B87" s="990">
        <v>1</v>
      </c>
      <c r="C87" s="990">
        <v>87</v>
      </c>
      <c r="D87" s="9" t="s">
        <v>999</v>
      </c>
      <c r="E87" s="1463" t="s">
        <v>1521</v>
      </c>
      <c r="F87" s="1459"/>
      <c r="G87" s="1241"/>
      <c r="H87" s="5"/>
      <c r="I87" s="5"/>
      <c r="J87" s="4"/>
      <c r="K87" s="617" t="s">
        <v>1031</v>
      </c>
      <c r="L87" s="5"/>
      <c r="M87" s="4"/>
      <c r="N87" s="4"/>
      <c r="O87" s="4"/>
      <c r="P87" s="4"/>
      <c r="Q87" s="1638">
        <v>0</v>
      </c>
      <c r="R87" s="1638">
        <v>0</v>
      </c>
      <c r="S87" s="1638">
        <v>0</v>
      </c>
      <c r="T87" s="1638">
        <v>0</v>
      </c>
      <c r="U87" s="1638">
        <v>0</v>
      </c>
      <c r="V87" s="1638">
        <v>0</v>
      </c>
      <c r="W87" s="1638">
        <v>0</v>
      </c>
      <c r="X87" s="1638">
        <v>0</v>
      </c>
      <c r="Y87" s="1638">
        <v>0</v>
      </c>
      <c r="Z87" s="1638">
        <v>0</v>
      </c>
      <c r="AA87" s="1638">
        <v>0</v>
      </c>
      <c r="AB87" s="1638">
        <v>0</v>
      </c>
      <c r="AC87" s="938">
        <v>0</v>
      </c>
      <c r="AD87" s="1638">
        <v>0</v>
      </c>
      <c r="AE87" s="1638">
        <v>0</v>
      </c>
      <c r="AF87" s="1638">
        <v>0</v>
      </c>
      <c r="AG87" s="1638">
        <v>0</v>
      </c>
      <c r="AH87" s="1638">
        <v>0</v>
      </c>
      <c r="AI87" s="1638">
        <v>0</v>
      </c>
    </row>
    <row r="88" spans="1:35" ht="14.5">
      <c r="A88" s="990">
        <v>116</v>
      </c>
      <c r="B88" s="990">
        <v>1</v>
      </c>
      <c r="C88" s="990">
        <v>88</v>
      </c>
      <c r="D88" s="9" t="s">
        <v>999</v>
      </c>
      <c r="E88" s="1463" t="s">
        <v>1521</v>
      </c>
      <c r="F88" s="1459"/>
      <c r="G88" s="1241"/>
      <c r="H88" s="5"/>
      <c r="I88" s="5"/>
      <c r="J88" s="4"/>
      <c r="K88" s="30"/>
      <c r="L88" s="556" t="s">
        <v>884</v>
      </c>
      <c r="M88" s="323"/>
      <c r="N88" s="323"/>
      <c r="O88" s="323"/>
      <c r="P88" s="323"/>
      <c r="Q88" s="325">
        <v>0</v>
      </c>
      <c r="R88" s="325">
        <v>0</v>
      </c>
      <c r="S88" s="325">
        <v>0</v>
      </c>
      <c r="T88" s="325">
        <v>0</v>
      </c>
      <c r="U88" s="325">
        <v>0</v>
      </c>
      <c r="V88" s="325">
        <v>0</v>
      </c>
      <c r="W88" s="361">
        <v>0</v>
      </c>
      <c r="X88" s="361">
        <v>0</v>
      </c>
      <c r="Y88" s="361">
        <v>0</v>
      </c>
      <c r="Z88" s="1117">
        <v>0</v>
      </c>
      <c r="AA88" s="1117">
        <v>0</v>
      </c>
      <c r="AB88" s="1117">
        <v>0</v>
      </c>
      <c r="AC88" s="1523">
        <v>0</v>
      </c>
      <c r="AD88" s="1117">
        <v>0</v>
      </c>
      <c r="AE88" s="1117">
        <v>0</v>
      </c>
      <c r="AF88" s="1117">
        <v>0</v>
      </c>
      <c r="AG88" s="1117">
        <v>0</v>
      </c>
      <c r="AH88" s="1117">
        <v>0</v>
      </c>
      <c r="AI88" s="1117">
        <v>0</v>
      </c>
    </row>
    <row r="89" spans="1:35" ht="14.5">
      <c r="A89" s="990">
        <v>117</v>
      </c>
      <c r="B89" s="990">
        <v>1</v>
      </c>
      <c r="C89" s="990">
        <v>89</v>
      </c>
      <c r="D89" s="9" t="s">
        <v>999</v>
      </c>
      <c r="E89" s="1463" t="s">
        <v>1521</v>
      </c>
      <c r="F89" s="1459"/>
      <c r="G89" s="1241"/>
      <c r="H89" s="5"/>
      <c r="I89" s="5"/>
      <c r="J89" s="4"/>
      <c r="K89" s="30"/>
      <c r="L89" s="30"/>
      <c r="M89" s="40" t="s">
        <v>143</v>
      </c>
      <c r="N89" s="4"/>
      <c r="O89" s="4"/>
      <c r="P89" s="4"/>
      <c r="Q89" s="2159"/>
      <c r="R89" s="2159"/>
      <c r="S89" s="2159"/>
      <c r="T89" s="2159"/>
      <c r="U89" s="2159"/>
      <c r="V89" s="2159"/>
      <c r="W89" s="2091"/>
      <c r="X89" s="2091"/>
      <c r="Y89" s="2091"/>
      <c r="Z89" s="2160"/>
      <c r="AA89" s="2160"/>
      <c r="AB89" s="2160"/>
      <c r="AC89" s="144">
        <v>0</v>
      </c>
      <c r="AD89" s="145">
        <v>0</v>
      </c>
      <c r="AE89" s="145">
        <v>0</v>
      </c>
      <c r="AF89" s="145">
        <v>0</v>
      </c>
      <c r="AG89" s="145">
        <v>0</v>
      </c>
      <c r="AH89" s="145">
        <v>0</v>
      </c>
      <c r="AI89" s="145">
        <v>0</v>
      </c>
    </row>
    <row r="90" spans="1:35" ht="14.5">
      <c r="A90" s="990">
        <v>118</v>
      </c>
      <c r="B90" s="990">
        <v>1</v>
      </c>
      <c r="C90" s="990">
        <v>90</v>
      </c>
      <c r="D90" s="9" t="s">
        <v>999</v>
      </c>
      <c r="E90" s="1463" t="s">
        <v>1521</v>
      </c>
      <c r="F90" s="1459"/>
      <c r="G90" s="1241"/>
      <c r="H90" s="5"/>
      <c r="I90" s="5"/>
      <c r="J90" s="4"/>
      <c r="K90" s="30"/>
      <c r="L90" s="30"/>
      <c r="M90" s="40" t="s">
        <v>96</v>
      </c>
      <c r="N90" s="4"/>
      <c r="O90" s="4"/>
      <c r="P90" s="4"/>
      <c r="Q90" s="2159"/>
      <c r="R90" s="2159"/>
      <c r="S90" s="2159"/>
      <c r="T90" s="2159"/>
      <c r="U90" s="2159"/>
      <c r="V90" s="2159"/>
      <c r="W90" s="2091"/>
      <c r="X90" s="2091"/>
      <c r="Y90" s="2091"/>
      <c r="Z90" s="2160"/>
      <c r="AA90" s="2160"/>
      <c r="AB90" s="2160"/>
      <c r="AC90" s="144">
        <v>0</v>
      </c>
      <c r="AD90" s="145">
        <v>0</v>
      </c>
      <c r="AE90" s="145">
        <v>0</v>
      </c>
      <c r="AF90" s="145">
        <v>0</v>
      </c>
      <c r="AG90" s="145">
        <v>0</v>
      </c>
      <c r="AH90" s="145">
        <v>0</v>
      </c>
      <c r="AI90" s="145">
        <v>0</v>
      </c>
    </row>
    <row r="91" spans="1:35" ht="14.5">
      <c r="A91" s="990">
        <v>119</v>
      </c>
      <c r="B91" s="990">
        <v>1</v>
      </c>
      <c r="C91" s="990">
        <v>91</v>
      </c>
      <c r="D91" s="9" t="s">
        <v>999</v>
      </c>
      <c r="E91" s="1463" t="s">
        <v>1521</v>
      </c>
      <c r="F91" s="1459"/>
      <c r="G91" s="1241"/>
      <c r="H91" s="5"/>
      <c r="I91" s="5"/>
      <c r="J91" s="4"/>
      <c r="K91" s="30"/>
      <c r="L91" s="28"/>
      <c r="M91" s="119" t="s">
        <v>142</v>
      </c>
      <c r="N91" s="2"/>
      <c r="O91" s="2"/>
      <c r="P91" s="2"/>
      <c r="Q91" s="2161"/>
      <c r="R91" s="2161"/>
      <c r="S91" s="2161"/>
      <c r="T91" s="2161"/>
      <c r="U91" s="2161"/>
      <c r="V91" s="2161"/>
      <c r="W91" s="2092"/>
      <c r="X91" s="2092"/>
      <c r="Y91" s="2092"/>
      <c r="Z91" s="2162"/>
      <c r="AA91" s="2162"/>
      <c r="AB91" s="2162"/>
      <c r="AC91" s="141">
        <v>0</v>
      </c>
      <c r="AD91" s="142">
        <v>0</v>
      </c>
      <c r="AE91" s="142">
        <v>0</v>
      </c>
      <c r="AF91" s="142">
        <v>0</v>
      </c>
      <c r="AG91" s="142">
        <v>0</v>
      </c>
      <c r="AH91" s="142">
        <v>0</v>
      </c>
      <c r="AI91" s="142">
        <v>0</v>
      </c>
    </row>
    <row r="92" spans="1:35" ht="14.5">
      <c r="A92" s="990">
        <v>120</v>
      </c>
      <c r="B92" s="990">
        <v>1</v>
      </c>
      <c r="C92" s="990">
        <v>92</v>
      </c>
      <c r="D92" s="9" t="s">
        <v>999</v>
      </c>
      <c r="E92" s="1463" t="s">
        <v>1521</v>
      </c>
      <c r="F92" s="1459"/>
      <c r="G92" s="1241"/>
      <c r="H92" s="5"/>
      <c r="I92" s="5"/>
      <c r="J92" s="4"/>
      <c r="K92" s="30"/>
      <c r="L92" s="556" t="s">
        <v>1033</v>
      </c>
      <c r="M92" s="798"/>
      <c r="N92" s="798"/>
      <c r="O92" s="798"/>
      <c r="P92" s="798"/>
      <c r="Q92" s="2120">
        <v>0</v>
      </c>
      <c r="R92" s="2120">
        <v>0</v>
      </c>
      <c r="S92" s="2120">
        <v>0</v>
      </c>
      <c r="T92" s="2120">
        <v>0</v>
      </c>
      <c r="U92" s="2120">
        <v>0</v>
      </c>
      <c r="V92" s="2120">
        <v>0</v>
      </c>
      <c r="W92" s="2081">
        <v>0</v>
      </c>
      <c r="X92" s="2081">
        <v>0</v>
      </c>
      <c r="Y92" s="2081">
        <v>0</v>
      </c>
      <c r="Z92" s="2158">
        <v>0</v>
      </c>
      <c r="AA92" s="2158">
        <v>0</v>
      </c>
      <c r="AB92" s="2158">
        <v>0</v>
      </c>
      <c r="AC92" s="2617">
        <v>0</v>
      </c>
      <c r="AD92" s="2158">
        <v>0</v>
      </c>
      <c r="AE92" s="2158">
        <v>0</v>
      </c>
      <c r="AF92" s="2158">
        <v>0</v>
      </c>
      <c r="AG92" s="2158">
        <v>0</v>
      </c>
      <c r="AH92" s="2158">
        <v>0</v>
      </c>
      <c r="AI92" s="2158">
        <v>0</v>
      </c>
    </row>
    <row r="93" spans="1:35" ht="14.5">
      <c r="A93" s="990">
        <v>121</v>
      </c>
      <c r="B93" s="990">
        <v>1</v>
      </c>
      <c r="C93" s="990">
        <v>93</v>
      </c>
      <c r="D93" s="9" t="s">
        <v>999</v>
      </c>
      <c r="E93" s="1463" t="s">
        <v>1521</v>
      </c>
      <c r="F93" s="1459"/>
      <c r="G93" s="1241"/>
      <c r="H93" s="5"/>
      <c r="I93" s="5"/>
      <c r="J93" s="4"/>
      <c r="K93" s="30"/>
      <c r="L93" s="613"/>
      <c r="M93" s="676" t="s">
        <v>1034</v>
      </c>
      <c r="N93" s="51"/>
      <c r="O93" s="51"/>
      <c r="P93" s="51"/>
      <c r="Q93" s="1119">
        <v>0</v>
      </c>
      <c r="R93" s="1119">
        <v>0</v>
      </c>
      <c r="S93" s="1119">
        <v>0</v>
      </c>
      <c r="T93" s="1119">
        <v>0</v>
      </c>
      <c r="U93" s="1119">
        <v>0</v>
      </c>
      <c r="V93" s="1119">
        <v>0</v>
      </c>
      <c r="W93" s="1119">
        <v>0</v>
      </c>
      <c r="X93" s="1119">
        <v>0</v>
      </c>
      <c r="Y93" s="1119">
        <v>0</v>
      </c>
      <c r="Z93" s="1119">
        <v>0</v>
      </c>
      <c r="AA93" s="1119">
        <v>0</v>
      </c>
      <c r="AB93" s="1119">
        <v>0</v>
      </c>
      <c r="AC93" s="1525">
        <v>0</v>
      </c>
      <c r="AD93" s="1119">
        <v>0</v>
      </c>
      <c r="AE93" s="1119">
        <v>0</v>
      </c>
      <c r="AF93" s="1119">
        <v>0</v>
      </c>
      <c r="AG93" s="1119">
        <v>0</v>
      </c>
      <c r="AH93" s="1119">
        <v>0</v>
      </c>
      <c r="AI93" s="1119">
        <v>0</v>
      </c>
    </row>
    <row r="94" spans="1:35" ht="14.5">
      <c r="A94" s="990">
        <v>122</v>
      </c>
      <c r="B94" s="990">
        <v>1</v>
      </c>
      <c r="C94" s="990">
        <v>94</v>
      </c>
      <c r="D94" s="9" t="s">
        <v>999</v>
      </c>
      <c r="E94" s="1463" t="s">
        <v>1521</v>
      </c>
      <c r="F94" s="1459"/>
      <c r="G94" s="1241"/>
      <c r="H94" s="5"/>
      <c r="I94" s="5"/>
      <c r="J94" s="4"/>
      <c r="K94" s="30"/>
      <c r="L94" s="30"/>
      <c r="M94" s="40" t="s">
        <v>143</v>
      </c>
      <c r="N94" s="4"/>
      <c r="O94" s="4"/>
      <c r="P94" s="4"/>
      <c r="Q94" s="41">
        <v>0</v>
      </c>
      <c r="R94" s="41">
        <v>0</v>
      </c>
      <c r="S94" s="41">
        <v>0</v>
      </c>
      <c r="T94" s="41">
        <v>0</v>
      </c>
      <c r="U94" s="41">
        <v>0</v>
      </c>
      <c r="V94" s="41">
        <v>0</v>
      </c>
      <c r="W94" s="19">
        <v>0</v>
      </c>
      <c r="X94" s="19">
        <v>0</v>
      </c>
      <c r="Y94" s="19">
        <v>0</v>
      </c>
      <c r="Z94" s="145">
        <v>0</v>
      </c>
      <c r="AA94" s="145">
        <v>0</v>
      </c>
      <c r="AB94" s="145">
        <v>0</v>
      </c>
      <c r="AC94" s="144">
        <v>0</v>
      </c>
      <c r="AD94" s="145">
        <v>0</v>
      </c>
      <c r="AE94" s="145">
        <v>0</v>
      </c>
      <c r="AF94" s="145">
        <v>0</v>
      </c>
      <c r="AG94" s="145">
        <v>0</v>
      </c>
      <c r="AH94" s="145">
        <v>0</v>
      </c>
      <c r="AI94" s="145">
        <v>0</v>
      </c>
    </row>
    <row r="95" spans="1:35" ht="14.5">
      <c r="A95" s="990">
        <v>123</v>
      </c>
      <c r="B95" s="990">
        <v>1</v>
      </c>
      <c r="C95" s="990">
        <v>95</v>
      </c>
      <c r="D95" s="9" t="s">
        <v>999</v>
      </c>
      <c r="E95" s="1463" t="s">
        <v>1521</v>
      </c>
      <c r="F95" s="1459"/>
      <c r="G95" s="1241"/>
      <c r="H95" s="5"/>
      <c r="I95" s="5"/>
      <c r="J95" s="4"/>
      <c r="K95" s="30"/>
      <c r="L95" s="30"/>
      <c r="M95" s="40" t="s">
        <v>96</v>
      </c>
      <c r="N95" s="4"/>
      <c r="O95" s="4"/>
      <c r="P95" s="4"/>
      <c r="Q95" s="41">
        <v>0</v>
      </c>
      <c r="R95" s="41">
        <v>0</v>
      </c>
      <c r="S95" s="41">
        <v>0</v>
      </c>
      <c r="T95" s="41">
        <v>0</v>
      </c>
      <c r="U95" s="41">
        <v>0</v>
      </c>
      <c r="V95" s="41">
        <v>0</v>
      </c>
      <c r="W95" s="19">
        <v>0</v>
      </c>
      <c r="X95" s="19">
        <v>0</v>
      </c>
      <c r="Y95" s="19">
        <v>0</v>
      </c>
      <c r="Z95" s="145">
        <v>0</v>
      </c>
      <c r="AA95" s="145">
        <v>0</v>
      </c>
      <c r="AB95" s="145">
        <v>0</v>
      </c>
      <c r="AC95" s="144">
        <v>0</v>
      </c>
      <c r="AD95" s="145">
        <v>0</v>
      </c>
      <c r="AE95" s="145">
        <v>0</v>
      </c>
      <c r="AF95" s="145">
        <v>0</v>
      </c>
      <c r="AG95" s="145">
        <v>0</v>
      </c>
      <c r="AH95" s="145">
        <v>0</v>
      </c>
      <c r="AI95" s="145">
        <v>0</v>
      </c>
    </row>
    <row r="96" spans="1:35" ht="14.5">
      <c r="A96" s="990">
        <v>124</v>
      </c>
      <c r="B96" s="990">
        <v>1</v>
      </c>
      <c r="C96" s="990">
        <v>96</v>
      </c>
      <c r="D96" s="9" t="s">
        <v>999</v>
      </c>
      <c r="E96" s="1463" t="s">
        <v>1521</v>
      </c>
      <c r="F96" s="1459"/>
      <c r="G96" s="1241"/>
      <c r="H96" s="5"/>
      <c r="I96" s="5"/>
      <c r="J96" s="4"/>
      <c r="K96" s="28"/>
      <c r="L96" s="28"/>
      <c r="M96" s="119" t="s">
        <v>142</v>
      </c>
      <c r="N96" s="2"/>
      <c r="O96" s="2"/>
      <c r="P96" s="2"/>
      <c r="Q96" s="66">
        <v>0</v>
      </c>
      <c r="R96" s="66">
        <v>0</v>
      </c>
      <c r="S96" s="66">
        <v>0</v>
      </c>
      <c r="T96" s="66">
        <v>0</v>
      </c>
      <c r="U96" s="66">
        <v>0</v>
      </c>
      <c r="V96" s="66">
        <v>0</v>
      </c>
      <c r="W96" s="17">
        <v>0</v>
      </c>
      <c r="X96" s="17">
        <v>0</v>
      </c>
      <c r="Y96" s="17">
        <v>0</v>
      </c>
      <c r="Z96" s="142">
        <v>0</v>
      </c>
      <c r="AA96" s="142">
        <v>0</v>
      </c>
      <c r="AB96" s="142">
        <v>0</v>
      </c>
      <c r="AC96" s="141">
        <v>0</v>
      </c>
      <c r="AD96" s="142">
        <v>0</v>
      </c>
      <c r="AE96" s="142">
        <v>0</v>
      </c>
      <c r="AF96" s="142">
        <v>0</v>
      </c>
      <c r="AG96" s="142">
        <v>0</v>
      </c>
      <c r="AH96" s="142">
        <v>0</v>
      </c>
      <c r="AI96" s="142">
        <v>0</v>
      </c>
    </row>
    <row r="97" spans="1:36">
      <c r="A97" s="990">
        <v>1</v>
      </c>
      <c r="B97" s="990">
        <v>1</v>
      </c>
      <c r="C97" s="990">
        <v>1</v>
      </c>
      <c r="D97" s="1121" t="s">
        <v>999</v>
      </c>
      <c r="E97" s="1243">
        <v>1</v>
      </c>
      <c r="F97" s="5"/>
      <c r="G97" s="5"/>
      <c r="H97" s="5"/>
      <c r="I97" s="5"/>
      <c r="J97" s="4"/>
      <c r="K97" s="5"/>
      <c r="L97" s="5"/>
      <c r="M97" s="4"/>
      <c r="N97" s="4"/>
      <c r="O97" s="4"/>
      <c r="P97" s="4"/>
      <c r="Q97" s="2225"/>
      <c r="R97" s="1151"/>
      <c r="S97" s="1151"/>
      <c r="T97" s="1151"/>
      <c r="U97" s="1151"/>
      <c r="V97" s="1151"/>
      <c r="Z97" s="163"/>
      <c r="AA97" s="163"/>
      <c r="AB97" s="2201"/>
      <c r="AC97" s="163"/>
      <c r="AD97" s="163"/>
      <c r="AE97" s="163"/>
      <c r="AF97" s="163"/>
      <c r="AG97" s="163"/>
      <c r="AH97" s="163"/>
      <c r="AI97" s="868"/>
    </row>
    <row r="98" spans="1:36" s="619" customFormat="1">
      <c r="A98" s="990">
        <v>1</v>
      </c>
      <c r="B98" s="990">
        <v>1</v>
      </c>
      <c r="C98" s="990">
        <v>1</v>
      </c>
      <c r="D98" s="1121" t="s">
        <v>999</v>
      </c>
      <c r="E98" s="1243">
        <v>1</v>
      </c>
      <c r="F98" s="5"/>
      <c r="G98" s="5"/>
      <c r="H98" s="5" t="s">
        <v>1522</v>
      </c>
      <c r="I98" s="5"/>
      <c r="J98" s="4"/>
      <c r="K98" s="5"/>
      <c r="L98" s="5"/>
      <c r="M98" s="4"/>
      <c r="N98" s="4"/>
      <c r="O98" s="4"/>
      <c r="P98" s="4"/>
      <c r="Q98" s="2225"/>
      <c r="R98" s="1151"/>
      <c r="S98" s="1151"/>
      <c r="T98" s="1151"/>
      <c r="U98" s="1151"/>
      <c r="V98" s="1151"/>
      <c r="W98" s="1"/>
      <c r="X98" s="1"/>
      <c r="Y98" s="1"/>
      <c r="Z98" s="163"/>
      <c r="AA98" s="163"/>
      <c r="AB98" s="2201"/>
      <c r="AC98" s="163"/>
      <c r="AD98" s="163"/>
      <c r="AE98" s="163"/>
      <c r="AF98" s="163"/>
      <c r="AG98" s="163"/>
      <c r="AH98" s="163"/>
      <c r="AI98" s="868"/>
    </row>
    <row r="99" spans="1:36" s="619" customFormat="1" ht="14.5" hidden="1" outlineLevel="1">
      <c r="A99" s="990">
        <v>76</v>
      </c>
      <c r="B99" s="990">
        <v>1</v>
      </c>
      <c r="C99" s="990">
        <v>99</v>
      </c>
      <c r="D99" s="1121" t="s">
        <v>999</v>
      </c>
      <c r="E99" s="1243"/>
      <c r="F99" s="5"/>
      <c r="G99" s="5"/>
      <c r="H99" s="5"/>
      <c r="I99" s="140" t="s">
        <v>9</v>
      </c>
      <c r="J99" s="787"/>
      <c r="K99" s="1162"/>
      <c r="L99" s="1162"/>
      <c r="M99" s="1162"/>
      <c r="N99" s="1162"/>
      <c r="O99" s="1163" t="s">
        <v>530</v>
      </c>
      <c r="P99" s="1162"/>
      <c r="Q99" s="2062">
        <v>0</v>
      </c>
      <c r="R99" s="137">
        <v>0</v>
      </c>
      <c r="S99" s="137">
        <v>0</v>
      </c>
      <c r="T99" s="137">
        <v>0</v>
      </c>
      <c r="U99" s="137">
        <v>0</v>
      </c>
      <c r="V99" s="137">
        <v>0</v>
      </c>
      <c r="W99" s="137">
        <v>0</v>
      </c>
      <c r="X99" s="137">
        <v>0</v>
      </c>
      <c r="Y99" s="137">
        <v>0</v>
      </c>
      <c r="Z99" s="137">
        <v>0</v>
      </c>
      <c r="AA99" s="137">
        <v>0</v>
      </c>
      <c r="AB99" s="137">
        <v>0</v>
      </c>
      <c r="AC99" s="137">
        <v>0</v>
      </c>
      <c r="AD99" s="137">
        <v>0</v>
      </c>
      <c r="AE99" s="137">
        <v>0</v>
      </c>
      <c r="AF99" s="137">
        <v>0</v>
      </c>
      <c r="AG99" s="137">
        <v>0</v>
      </c>
      <c r="AH99" s="137">
        <v>0</v>
      </c>
      <c r="AI99" s="137">
        <v>0</v>
      </c>
    </row>
    <row r="100" spans="1:36" s="619" customFormat="1" hidden="1" outlineLevel="1">
      <c r="A100" s="990">
        <v>77</v>
      </c>
      <c r="B100" s="990">
        <v>1</v>
      </c>
      <c r="C100" s="990">
        <v>100</v>
      </c>
      <c r="D100" s="1121" t="s">
        <v>999</v>
      </c>
      <c r="E100" s="1243">
        <v>1</v>
      </c>
      <c r="F100" s="5"/>
      <c r="G100" s="5"/>
      <c r="H100" s="5"/>
      <c r="I100" s="30"/>
      <c r="J100" s="4"/>
      <c r="K100" s="5"/>
      <c r="L100" s="5"/>
      <c r="M100" s="4" t="s">
        <v>137</v>
      </c>
      <c r="N100" s="4"/>
      <c r="O100" s="4"/>
      <c r="P100" s="4"/>
      <c r="Q100" s="13">
        <v>0</v>
      </c>
      <c r="R100" s="89">
        <v>0</v>
      </c>
      <c r="S100" s="89">
        <v>0</v>
      </c>
      <c r="T100" s="89">
        <v>0</v>
      </c>
      <c r="U100" s="89">
        <v>0</v>
      </c>
      <c r="V100" s="89">
        <v>0</v>
      </c>
      <c r="W100" s="89">
        <v>0</v>
      </c>
      <c r="X100" s="89">
        <v>0</v>
      </c>
      <c r="Y100" s="89">
        <v>0</v>
      </c>
      <c r="Z100" s="89">
        <v>0</v>
      </c>
      <c r="AA100" s="89">
        <v>0</v>
      </c>
      <c r="AB100" s="89">
        <v>0</v>
      </c>
      <c r="AC100" s="89">
        <v>0</v>
      </c>
      <c r="AD100" s="89">
        <v>0</v>
      </c>
      <c r="AE100" s="89">
        <v>0</v>
      </c>
      <c r="AF100" s="89">
        <v>0</v>
      </c>
      <c r="AG100" s="89">
        <v>0</v>
      </c>
      <c r="AH100" s="89">
        <v>0</v>
      </c>
      <c r="AI100" s="89">
        <v>0</v>
      </c>
    </row>
    <row r="101" spans="1:36" s="619" customFormat="1" hidden="1" outlineLevel="1">
      <c r="A101" s="990">
        <v>78</v>
      </c>
      <c r="B101" s="990">
        <v>1</v>
      </c>
      <c r="C101" s="990">
        <v>101</v>
      </c>
      <c r="D101" s="1121" t="s">
        <v>999</v>
      </c>
      <c r="E101" s="1243">
        <v>1</v>
      </c>
      <c r="F101" s="5"/>
      <c r="G101" s="5"/>
      <c r="H101" s="5"/>
      <c r="I101" s="30"/>
      <c r="J101" s="4"/>
      <c r="K101" s="5"/>
      <c r="L101" s="5"/>
      <c r="M101" s="4" t="s">
        <v>95</v>
      </c>
      <c r="N101" s="4"/>
      <c r="O101" s="4"/>
      <c r="P101" s="4"/>
      <c r="Q101" s="13">
        <v>0</v>
      </c>
      <c r="R101" s="89">
        <v>0</v>
      </c>
      <c r="S101" s="89">
        <v>0</v>
      </c>
      <c r="T101" s="89">
        <v>0</v>
      </c>
      <c r="U101" s="89">
        <v>0</v>
      </c>
      <c r="V101" s="89">
        <v>0</v>
      </c>
      <c r="W101" s="89">
        <v>0</v>
      </c>
      <c r="X101" s="89">
        <v>0</v>
      </c>
      <c r="Y101" s="89">
        <v>0</v>
      </c>
      <c r="Z101" s="89">
        <v>0</v>
      </c>
      <c r="AA101" s="89">
        <v>0</v>
      </c>
      <c r="AB101" s="89">
        <v>0</v>
      </c>
      <c r="AC101" s="89">
        <v>0</v>
      </c>
      <c r="AD101" s="89">
        <v>0</v>
      </c>
      <c r="AE101" s="89">
        <v>0</v>
      </c>
      <c r="AF101" s="89">
        <v>0</v>
      </c>
      <c r="AG101" s="89">
        <v>0</v>
      </c>
      <c r="AH101" s="89">
        <v>0</v>
      </c>
      <c r="AI101" s="89">
        <v>0</v>
      </c>
    </row>
    <row r="102" spans="1:36" collapsed="1">
      <c r="A102" s="990">
        <v>79</v>
      </c>
      <c r="B102" s="990">
        <v>1</v>
      </c>
      <c r="C102" s="990">
        <v>102</v>
      </c>
      <c r="D102" s="1121" t="s">
        <v>999</v>
      </c>
      <c r="E102" s="1243">
        <v>1</v>
      </c>
      <c r="F102" s="5"/>
      <c r="G102" s="5"/>
      <c r="H102" s="5"/>
      <c r="I102" s="30"/>
      <c r="J102" s="4"/>
      <c r="K102" s="5"/>
      <c r="L102" s="5"/>
      <c r="M102" s="4" t="s">
        <v>11</v>
      </c>
      <c r="N102" s="4"/>
      <c r="O102" s="4"/>
      <c r="P102" s="4"/>
      <c r="Q102" s="13">
        <v>0</v>
      </c>
      <c r="R102" s="89">
        <v>0</v>
      </c>
      <c r="S102" s="89">
        <v>0</v>
      </c>
      <c r="T102" s="89">
        <v>0</v>
      </c>
      <c r="U102" s="89">
        <v>0</v>
      </c>
      <c r="V102" s="89">
        <v>0</v>
      </c>
      <c r="W102" s="89">
        <v>0</v>
      </c>
      <c r="X102" s="89">
        <v>0</v>
      </c>
      <c r="Y102" s="89">
        <v>0</v>
      </c>
      <c r="Z102" s="89">
        <v>0</v>
      </c>
      <c r="AA102" s="89">
        <v>0</v>
      </c>
      <c r="AB102" s="89">
        <v>0</v>
      </c>
      <c r="AC102" s="89">
        <v>0</v>
      </c>
      <c r="AD102" s="89">
        <v>0</v>
      </c>
      <c r="AE102" s="89">
        <v>0</v>
      </c>
      <c r="AF102" s="89">
        <v>0</v>
      </c>
      <c r="AG102" s="89">
        <v>0</v>
      </c>
      <c r="AH102" s="89">
        <v>0</v>
      </c>
      <c r="AI102" s="89">
        <v>0</v>
      </c>
    </row>
    <row r="103" spans="1:36" ht="14.5">
      <c r="A103" s="990">
        <v>80</v>
      </c>
      <c r="B103" s="990">
        <v>1</v>
      </c>
      <c r="C103" s="990">
        <v>103</v>
      </c>
      <c r="D103" s="1121" t="s">
        <v>999</v>
      </c>
      <c r="E103" s="1243">
        <v>1</v>
      </c>
      <c r="F103" s="5"/>
      <c r="G103" s="5"/>
      <c r="H103" s="5"/>
      <c r="I103" s="140" t="s">
        <v>128</v>
      </c>
      <c r="J103" s="787"/>
      <c r="K103" s="1162"/>
      <c r="L103" s="1162"/>
      <c r="M103" s="1162"/>
      <c r="N103" s="1162"/>
      <c r="O103" s="1163" t="s">
        <v>532</v>
      </c>
      <c r="P103" s="1162"/>
      <c r="Q103" s="2062">
        <v>0</v>
      </c>
      <c r="R103" s="137">
        <v>0</v>
      </c>
      <c r="S103" s="137">
        <v>0</v>
      </c>
      <c r="T103" s="137">
        <v>0</v>
      </c>
      <c r="U103" s="137">
        <v>0</v>
      </c>
      <c r="V103" s="137">
        <v>0</v>
      </c>
      <c r="W103" s="137">
        <v>0</v>
      </c>
      <c r="X103" s="137">
        <v>0</v>
      </c>
      <c r="Y103" s="137">
        <v>0</v>
      </c>
      <c r="Z103" s="137">
        <v>0</v>
      </c>
      <c r="AA103" s="137">
        <v>0</v>
      </c>
      <c r="AB103" s="137">
        <v>0</v>
      </c>
      <c r="AC103" s="137">
        <v>0</v>
      </c>
      <c r="AD103" s="137">
        <v>0</v>
      </c>
      <c r="AE103" s="137">
        <v>0</v>
      </c>
      <c r="AF103" s="137">
        <v>0</v>
      </c>
      <c r="AG103" s="137">
        <v>0</v>
      </c>
      <c r="AH103" s="137">
        <v>0</v>
      </c>
      <c r="AI103" s="137">
        <v>0</v>
      </c>
    </row>
    <row r="104" spans="1:36">
      <c r="A104" s="990">
        <v>81</v>
      </c>
      <c r="B104" s="990">
        <v>1</v>
      </c>
      <c r="C104" s="990">
        <v>104</v>
      </c>
      <c r="D104" s="1121" t="s">
        <v>999</v>
      </c>
      <c r="E104" s="1243">
        <v>1</v>
      </c>
      <c r="F104" s="5"/>
      <c r="G104" s="5"/>
      <c r="H104" s="5"/>
      <c r="I104" s="30"/>
      <c r="J104" s="4"/>
      <c r="K104" s="5"/>
      <c r="L104" s="5"/>
      <c r="M104" s="4" t="s">
        <v>137</v>
      </c>
      <c r="N104" s="4"/>
      <c r="O104" s="4"/>
      <c r="P104" s="4"/>
      <c r="Q104" s="2032"/>
      <c r="R104" s="2039"/>
      <c r="S104" s="2039"/>
      <c r="T104" s="2039"/>
      <c r="U104" s="2039"/>
      <c r="V104" s="2039"/>
      <c r="W104" s="2039"/>
      <c r="X104" s="2039"/>
      <c r="Y104" s="2039"/>
      <c r="Z104" s="2039"/>
      <c r="AA104" s="2039"/>
      <c r="AB104" s="2039"/>
      <c r="AC104" s="89">
        <v>0</v>
      </c>
      <c r="AD104" s="89">
        <v>0</v>
      </c>
      <c r="AE104" s="89">
        <v>0</v>
      </c>
      <c r="AF104" s="89">
        <v>0</v>
      </c>
      <c r="AG104" s="89">
        <v>0</v>
      </c>
      <c r="AH104" s="89">
        <v>0</v>
      </c>
      <c r="AI104" s="89">
        <v>0</v>
      </c>
    </row>
    <row r="105" spans="1:36">
      <c r="A105" s="990">
        <v>82</v>
      </c>
      <c r="B105" s="990">
        <v>1</v>
      </c>
      <c r="C105" s="990">
        <v>105</v>
      </c>
      <c r="D105" s="1121" t="s">
        <v>999</v>
      </c>
      <c r="E105" s="1243">
        <v>1</v>
      </c>
      <c r="F105" s="5"/>
      <c r="G105" s="5"/>
      <c r="H105" s="5"/>
      <c r="I105" s="30"/>
      <c r="J105" s="4"/>
      <c r="K105" s="5"/>
      <c r="L105" s="5"/>
      <c r="M105" s="4" t="s">
        <v>95</v>
      </c>
      <c r="N105" s="4"/>
      <c r="O105" s="4"/>
      <c r="P105" s="4"/>
      <c r="Q105" s="2032"/>
      <c r="R105" s="2039"/>
      <c r="S105" s="2039"/>
      <c r="T105" s="2039"/>
      <c r="U105" s="2039"/>
      <c r="V105" s="2039"/>
      <c r="W105" s="2039"/>
      <c r="X105" s="2039"/>
      <c r="Y105" s="2039"/>
      <c r="Z105" s="2039"/>
      <c r="AA105" s="2039"/>
      <c r="AB105" s="2039"/>
      <c r="AC105" s="89">
        <v>0</v>
      </c>
      <c r="AD105" s="89">
        <v>0</v>
      </c>
      <c r="AE105" s="89">
        <v>0</v>
      </c>
      <c r="AF105" s="89">
        <v>0</v>
      </c>
      <c r="AG105" s="89">
        <v>0</v>
      </c>
      <c r="AH105" s="89">
        <v>0</v>
      </c>
      <c r="AI105" s="89">
        <v>0</v>
      </c>
    </row>
    <row r="106" spans="1:36">
      <c r="A106" s="990">
        <v>83</v>
      </c>
      <c r="B106" s="990">
        <v>1</v>
      </c>
      <c r="C106" s="990">
        <v>106</v>
      </c>
      <c r="D106" s="1121" t="s">
        <v>999</v>
      </c>
      <c r="E106" s="1243">
        <v>1</v>
      </c>
      <c r="F106" s="5"/>
      <c r="G106" s="5"/>
      <c r="H106" s="5"/>
      <c r="I106" s="30"/>
      <c r="J106" s="4"/>
      <c r="K106" s="5"/>
      <c r="L106" s="5"/>
      <c r="M106" s="4" t="s">
        <v>11</v>
      </c>
      <c r="N106" s="4"/>
      <c r="O106" s="4"/>
      <c r="P106" s="4"/>
      <c r="Q106" s="2032"/>
      <c r="R106" s="2039"/>
      <c r="S106" s="2039"/>
      <c r="T106" s="2039"/>
      <c r="U106" s="2039"/>
      <c r="V106" s="2039"/>
      <c r="W106" s="2039"/>
      <c r="X106" s="2039"/>
      <c r="Y106" s="2039"/>
      <c r="Z106" s="2039"/>
      <c r="AA106" s="2039"/>
      <c r="AB106" s="2039"/>
      <c r="AC106" s="89">
        <v>0</v>
      </c>
      <c r="AD106" s="89">
        <v>0</v>
      </c>
      <c r="AE106" s="89">
        <v>0</v>
      </c>
      <c r="AF106" s="89">
        <v>0</v>
      </c>
      <c r="AG106" s="89">
        <v>0</v>
      </c>
      <c r="AH106" s="89">
        <v>0</v>
      </c>
      <c r="AI106" s="89">
        <v>0</v>
      </c>
    </row>
    <row r="107" spans="1:36">
      <c r="A107" s="990">
        <v>84</v>
      </c>
      <c r="B107" s="990">
        <v>1</v>
      </c>
      <c r="C107" s="990">
        <v>107</v>
      </c>
      <c r="D107" s="1121"/>
      <c r="E107" s="1243">
        <v>1</v>
      </c>
      <c r="F107" s="5"/>
      <c r="G107" s="5"/>
      <c r="H107" s="5"/>
      <c r="I107" s="140" t="s">
        <v>106</v>
      </c>
      <c r="J107" s="787"/>
      <c r="K107" s="1162"/>
      <c r="L107" s="1162"/>
      <c r="M107" s="1162"/>
      <c r="N107" s="1162"/>
      <c r="O107" s="1162"/>
      <c r="P107" s="1162"/>
      <c r="Q107" s="2062">
        <v>0</v>
      </c>
      <c r="R107" s="137">
        <v>0</v>
      </c>
      <c r="S107" s="137">
        <v>0</v>
      </c>
      <c r="T107" s="137">
        <v>0</v>
      </c>
      <c r="U107" s="137">
        <v>0</v>
      </c>
      <c r="V107" s="137">
        <v>0</v>
      </c>
      <c r="W107" s="137">
        <v>0</v>
      </c>
      <c r="X107" s="137">
        <v>0</v>
      </c>
      <c r="Y107" s="137">
        <v>0</v>
      </c>
      <c r="Z107" s="137">
        <v>0</v>
      </c>
      <c r="AA107" s="137">
        <v>0</v>
      </c>
      <c r="AB107" s="137">
        <v>0</v>
      </c>
      <c r="AC107" s="137">
        <v>0</v>
      </c>
      <c r="AD107" s="137">
        <v>0</v>
      </c>
      <c r="AE107" s="137">
        <v>0</v>
      </c>
      <c r="AF107" s="137">
        <v>0</v>
      </c>
      <c r="AG107" s="137">
        <v>0</v>
      </c>
      <c r="AH107" s="137">
        <v>0</v>
      </c>
      <c r="AI107" s="137">
        <v>0</v>
      </c>
    </row>
    <row r="108" spans="1:36">
      <c r="A108" s="990">
        <v>85</v>
      </c>
      <c r="B108" s="990">
        <v>1</v>
      </c>
      <c r="C108" s="990">
        <v>108</v>
      </c>
      <c r="D108" s="1121"/>
      <c r="E108" s="1243">
        <v>1</v>
      </c>
      <c r="F108" s="5"/>
      <c r="G108" s="5"/>
      <c r="H108" s="5"/>
      <c r="I108" s="30"/>
      <c r="J108" s="4"/>
      <c r="K108" s="5"/>
      <c r="L108" s="5"/>
      <c r="M108" s="277" t="s">
        <v>137</v>
      </c>
      <c r="N108" s="277"/>
      <c r="O108" s="278"/>
      <c r="P108" s="277"/>
      <c r="Q108" s="2118">
        <v>0</v>
      </c>
      <c r="R108" s="279">
        <v>0</v>
      </c>
      <c r="S108" s="279">
        <v>0</v>
      </c>
      <c r="T108" s="279">
        <v>0</v>
      </c>
      <c r="U108" s="279">
        <v>0</v>
      </c>
      <c r="V108" s="279">
        <v>0</v>
      </c>
      <c r="W108" s="279">
        <v>0</v>
      </c>
      <c r="X108" s="279">
        <v>0</v>
      </c>
      <c r="Y108" s="279">
        <v>0</v>
      </c>
      <c r="Z108" s="279">
        <v>0</v>
      </c>
      <c r="AA108" s="279">
        <v>0</v>
      </c>
      <c r="AB108" s="279">
        <v>0</v>
      </c>
      <c r="AC108" s="279">
        <v>0</v>
      </c>
      <c r="AD108" s="279">
        <v>0</v>
      </c>
      <c r="AE108" s="279">
        <v>0</v>
      </c>
      <c r="AF108" s="279">
        <v>0</v>
      </c>
      <c r="AG108" s="279">
        <v>0</v>
      </c>
      <c r="AH108" s="279">
        <v>0</v>
      </c>
      <c r="AI108" s="279">
        <v>0</v>
      </c>
    </row>
    <row r="109" spans="1:36">
      <c r="A109" s="990">
        <v>86</v>
      </c>
      <c r="B109" s="990">
        <v>1</v>
      </c>
      <c r="C109" s="990">
        <v>109</v>
      </c>
      <c r="D109" s="1121"/>
      <c r="E109" s="1243">
        <v>1</v>
      </c>
      <c r="F109" s="5"/>
      <c r="G109" s="5"/>
      <c r="H109" s="5"/>
      <c r="I109" s="30"/>
      <c r="J109" s="4"/>
      <c r="K109" s="5"/>
      <c r="L109" s="5"/>
      <c r="M109" s="4"/>
      <c r="N109" s="4"/>
      <c r="O109" s="4" t="s">
        <v>1021</v>
      </c>
      <c r="P109" s="4"/>
      <c r="Q109" s="13">
        <v>0</v>
      </c>
      <c r="R109" s="89">
        <v>0</v>
      </c>
      <c r="S109" s="89">
        <v>0</v>
      </c>
      <c r="T109" s="89">
        <v>0</v>
      </c>
      <c r="U109" s="89">
        <v>0</v>
      </c>
      <c r="V109" s="89">
        <v>0</v>
      </c>
      <c r="W109" s="89">
        <v>0</v>
      </c>
      <c r="X109" s="89">
        <v>0</v>
      </c>
      <c r="Y109" s="89">
        <v>0</v>
      </c>
      <c r="Z109" s="89">
        <v>0</v>
      </c>
      <c r="AA109" s="89">
        <v>0</v>
      </c>
      <c r="AB109" s="89">
        <v>0</v>
      </c>
      <c r="AC109" s="89">
        <v>0</v>
      </c>
      <c r="AD109" s="89">
        <v>0</v>
      </c>
      <c r="AE109" s="89">
        <v>0</v>
      </c>
      <c r="AF109" s="89">
        <v>0</v>
      </c>
      <c r="AG109" s="89">
        <v>0</v>
      </c>
      <c r="AH109" s="89">
        <v>0</v>
      </c>
      <c r="AI109" s="89">
        <v>0</v>
      </c>
      <c r="AJ109" s="290"/>
    </row>
    <row r="110" spans="1:36">
      <c r="A110" s="990">
        <v>87</v>
      </c>
      <c r="B110" s="990">
        <v>1</v>
      </c>
      <c r="C110" s="990">
        <v>110</v>
      </c>
      <c r="D110" s="1121"/>
      <c r="E110" s="1243">
        <v>1</v>
      </c>
      <c r="F110" s="5"/>
      <c r="G110" s="5"/>
      <c r="H110" s="5"/>
      <c r="I110" s="30"/>
      <c r="J110" s="4"/>
      <c r="K110" s="5"/>
      <c r="L110" s="5"/>
      <c r="M110" s="4"/>
      <c r="N110" s="4"/>
      <c r="O110" s="4" t="s">
        <v>146</v>
      </c>
      <c r="P110" s="4"/>
      <c r="Q110" s="13">
        <v>0</v>
      </c>
      <c r="R110" s="89">
        <v>0</v>
      </c>
      <c r="S110" s="89">
        <v>0</v>
      </c>
      <c r="T110" s="89">
        <v>0</v>
      </c>
      <c r="U110" s="89">
        <v>0</v>
      </c>
      <c r="V110" s="89">
        <v>0</v>
      </c>
      <c r="W110" s="89">
        <v>0</v>
      </c>
      <c r="X110" s="89">
        <v>0</v>
      </c>
      <c r="Y110" s="89">
        <v>0</v>
      </c>
      <c r="Z110" s="89">
        <v>0</v>
      </c>
      <c r="AA110" s="89">
        <v>0</v>
      </c>
      <c r="AB110" s="89">
        <v>0</v>
      </c>
      <c r="AC110" s="89">
        <v>0</v>
      </c>
      <c r="AD110" s="89">
        <v>0</v>
      </c>
      <c r="AE110" s="89">
        <v>0</v>
      </c>
      <c r="AF110" s="89">
        <v>0</v>
      </c>
      <c r="AG110" s="89">
        <v>0</v>
      </c>
      <c r="AH110" s="89">
        <v>0</v>
      </c>
      <c r="AI110" s="89">
        <v>0</v>
      </c>
      <c r="AJ110" s="619"/>
    </row>
    <row r="111" spans="1:36">
      <c r="A111" s="990">
        <v>88</v>
      </c>
      <c r="B111" s="990">
        <v>1</v>
      </c>
      <c r="C111" s="990">
        <v>111</v>
      </c>
      <c r="D111" s="1121"/>
      <c r="E111" s="1243">
        <v>1</v>
      </c>
      <c r="F111" s="5"/>
      <c r="G111" s="5"/>
      <c r="H111" s="5"/>
      <c r="I111" s="30"/>
      <c r="J111" s="4"/>
      <c r="K111" s="5"/>
      <c r="L111" s="5"/>
      <c r="M111" s="277" t="s">
        <v>95</v>
      </c>
      <c r="N111" s="277"/>
      <c r="O111" s="278"/>
      <c r="P111" s="277"/>
      <c r="Q111" s="2118">
        <v>0</v>
      </c>
      <c r="R111" s="279">
        <v>0</v>
      </c>
      <c r="S111" s="279">
        <v>0</v>
      </c>
      <c r="T111" s="279">
        <v>0</v>
      </c>
      <c r="U111" s="279">
        <v>0</v>
      </c>
      <c r="V111" s="279">
        <v>0</v>
      </c>
      <c r="W111" s="279">
        <v>0</v>
      </c>
      <c r="X111" s="279">
        <v>0</v>
      </c>
      <c r="Y111" s="279">
        <v>0</v>
      </c>
      <c r="Z111" s="279">
        <v>0</v>
      </c>
      <c r="AA111" s="279">
        <v>0</v>
      </c>
      <c r="AB111" s="279">
        <v>0</v>
      </c>
      <c r="AC111" s="279">
        <v>0</v>
      </c>
      <c r="AD111" s="279">
        <v>0</v>
      </c>
      <c r="AE111" s="279">
        <v>0</v>
      </c>
      <c r="AF111" s="279">
        <v>0</v>
      </c>
      <c r="AG111" s="279">
        <v>0</v>
      </c>
      <c r="AH111" s="279">
        <v>0</v>
      </c>
      <c r="AI111" s="279">
        <v>0</v>
      </c>
    </row>
    <row r="112" spans="1:36">
      <c r="A112" s="990">
        <v>89</v>
      </c>
      <c r="B112" s="990">
        <v>1</v>
      </c>
      <c r="C112" s="990">
        <v>112</v>
      </c>
      <c r="D112" s="1121"/>
      <c r="E112" s="1243">
        <v>1</v>
      </c>
      <c r="F112" s="5"/>
      <c r="G112" s="5"/>
      <c r="H112" s="5"/>
      <c r="I112" s="30"/>
      <c r="J112" s="4"/>
      <c r="K112" s="5"/>
      <c r="L112" s="5"/>
      <c r="M112" s="4"/>
      <c r="N112" s="4"/>
      <c r="O112" s="374" t="s">
        <v>461</v>
      </c>
      <c r="P112" s="1141"/>
      <c r="Q112" s="2210"/>
      <c r="R112" s="2087"/>
      <c r="S112" s="2087"/>
      <c r="T112" s="2087"/>
      <c r="U112" s="2087"/>
      <c r="V112" s="2087"/>
      <c r="W112" s="2087"/>
      <c r="X112" s="2087"/>
      <c r="Y112" s="2087"/>
      <c r="Z112" s="2087"/>
      <c r="AA112" s="2087"/>
      <c r="AB112" s="2087"/>
      <c r="AC112" s="581">
        <v>0</v>
      </c>
      <c r="AD112" s="581">
        <v>0</v>
      </c>
      <c r="AE112" s="581">
        <v>0</v>
      </c>
      <c r="AF112" s="581">
        <v>0</v>
      </c>
      <c r="AG112" s="581">
        <v>0</v>
      </c>
      <c r="AH112" s="581">
        <v>0</v>
      </c>
      <c r="AI112" s="581">
        <v>0</v>
      </c>
    </row>
    <row r="113" spans="1:36">
      <c r="A113" s="990">
        <v>90</v>
      </c>
      <c r="B113" s="990">
        <v>1</v>
      </c>
      <c r="C113" s="990">
        <v>113</v>
      </c>
      <c r="D113" s="1121"/>
      <c r="E113" s="1243">
        <v>1</v>
      </c>
      <c r="F113" s="5"/>
      <c r="G113" s="5"/>
      <c r="H113" s="5"/>
      <c r="I113" s="30"/>
      <c r="J113" s="4"/>
      <c r="K113" s="5"/>
      <c r="L113" s="5"/>
      <c r="M113" s="4"/>
      <c r="N113" s="4"/>
      <c r="O113" s="4"/>
      <c r="P113" s="4" t="s">
        <v>1022</v>
      </c>
      <c r="Q113" s="2032"/>
      <c r="R113" s="2039"/>
      <c r="S113" s="2039"/>
      <c r="T113" s="2039"/>
      <c r="U113" s="2039"/>
      <c r="V113" s="2039"/>
      <c r="W113" s="2039"/>
      <c r="X113" s="2039"/>
      <c r="Y113" s="2039"/>
      <c r="Z113" s="2039"/>
      <c r="AA113" s="2039"/>
      <c r="AB113" s="2039"/>
      <c r="AC113" s="89">
        <v>0</v>
      </c>
      <c r="AD113" s="89">
        <v>0</v>
      </c>
      <c r="AE113" s="89">
        <v>0</v>
      </c>
      <c r="AF113" s="89">
        <v>0</v>
      </c>
      <c r="AG113" s="89">
        <v>0</v>
      </c>
      <c r="AH113" s="89">
        <v>0</v>
      </c>
      <c r="AI113" s="89">
        <v>0</v>
      </c>
    </row>
    <row r="114" spans="1:36">
      <c r="A114" s="990">
        <v>91</v>
      </c>
      <c r="B114" s="990">
        <v>1</v>
      </c>
      <c r="C114" s="990">
        <v>114</v>
      </c>
      <c r="D114" s="1121"/>
      <c r="E114" s="1243">
        <v>1</v>
      </c>
      <c r="F114" s="5"/>
      <c r="G114" s="5"/>
      <c r="H114" s="5"/>
      <c r="I114" s="30"/>
      <c r="J114" s="4"/>
      <c r="K114" s="5"/>
      <c r="L114" s="5"/>
      <c r="M114" s="4"/>
      <c r="N114" s="4"/>
      <c r="O114" s="4"/>
      <c r="P114" s="51" t="s">
        <v>1023</v>
      </c>
      <c r="Q114" s="2061">
        <v>0</v>
      </c>
      <c r="R114" s="134">
        <v>0</v>
      </c>
      <c r="S114" s="134">
        <v>0</v>
      </c>
      <c r="T114" s="134">
        <v>0</v>
      </c>
      <c r="U114" s="134">
        <v>0</v>
      </c>
      <c r="V114" s="134">
        <v>0</v>
      </c>
      <c r="W114" s="134">
        <v>0</v>
      </c>
      <c r="X114" s="134">
        <v>0</v>
      </c>
      <c r="Y114" s="134">
        <v>0</v>
      </c>
      <c r="Z114" s="134">
        <v>0</v>
      </c>
      <c r="AA114" s="134">
        <v>0</v>
      </c>
      <c r="AB114" s="134">
        <v>0</v>
      </c>
      <c r="AC114" s="134">
        <v>0</v>
      </c>
      <c r="AD114" s="134">
        <v>0</v>
      </c>
      <c r="AE114" s="134">
        <v>0</v>
      </c>
      <c r="AF114" s="134">
        <v>0</v>
      </c>
      <c r="AG114" s="134">
        <v>0</v>
      </c>
      <c r="AH114" s="134">
        <v>0</v>
      </c>
      <c r="AI114" s="134">
        <v>0</v>
      </c>
      <c r="AJ114" s="619"/>
    </row>
    <row r="115" spans="1:36">
      <c r="A115" s="990">
        <v>92</v>
      </c>
      <c r="B115" s="990">
        <v>1</v>
      </c>
      <c r="C115" s="990">
        <v>115</v>
      </c>
      <c r="D115" s="1121"/>
      <c r="E115" s="1243">
        <v>1</v>
      </c>
      <c r="F115" s="5"/>
      <c r="G115" s="5"/>
      <c r="H115" s="5"/>
      <c r="I115" s="30"/>
      <c r="J115" s="4"/>
      <c r="K115" s="5"/>
      <c r="L115" s="5"/>
      <c r="M115" s="4"/>
      <c r="N115" s="4"/>
      <c r="O115" s="4" t="s">
        <v>1024</v>
      </c>
      <c r="P115" s="4"/>
      <c r="Q115" s="13">
        <v>0</v>
      </c>
      <c r="R115" s="89">
        <v>0</v>
      </c>
      <c r="S115" s="89">
        <v>0</v>
      </c>
      <c r="T115" s="89">
        <v>0</v>
      </c>
      <c r="U115" s="89">
        <v>0</v>
      </c>
      <c r="V115" s="89">
        <v>0</v>
      </c>
      <c r="W115" s="89">
        <v>0</v>
      </c>
      <c r="X115" s="89">
        <v>0</v>
      </c>
      <c r="Y115" s="89">
        <v>0</v>
      </c>
      <c r="Z115" s="89">
        <v>0</v>
      </c>
      <c r="AA115" s="89">
        <v>0</v>
      </c>
      <c r="AB115" s="89">
        <v>0</v>
      </c>
      <c r="AC115" s="89">
        <v>0</v>
      </c>
      <c r="AD115" s="89">
        <v>0</v>
      </c>
      <c r="AE115" s="89">
        <v>0</v>
      </c>
      <c r="AF115" s="89">
        <v>0</v>
      </c>
      <c r="AG115" s="89">
        <v>0</v>
      </c>
      <c r="AH115" s="89">
        <v>0</v>
      </c>
      <c r="AI115" s="89">
        <v>0</v>
      </c>
    </row>
    <row r="116" spans="1:36">
      <c r="A116" s="990">
        <v>93</v>
      </c>
      <c r="B116" s="990">
        <v>1</v>
      </c>
      <c r="C116" s="990">
        <v>116</v>
      </c>
      <c r="D116" s="1121"/>
      <c r="E116" s="1243">
        <v>1</v>
      </c>
      <c r="F116" s="5"/>
      <c r="G116" s="5"/>
      <c r="H116" s="5"/>
      <c r="I116" s="30"/>
      <c r="J116" s="4"/>
      <c r="K116" s="5"/>
      <c r="L116" s="5"/>
      <c r="M116" s="4"/>
      <c r="N116" s="4"/>
      <c r="O116" s="4" t="s">
        <v>1025</v>
      </c>
      <c r="P116" s="4"/>
      <c r="Q116" s="13">
        <v>0</v>
      </c>
      <c r="R116" s="89">
        <v>0</v>
      </c>
      <c r="S116" s="89">
        <v>0</v>
      </c>
      <c r="T116" s="89">
        <v>0</v>
      </c>
      <c r="U116" s="89">
        <v>0</v>
      </c>
      <c r="V116" s="89">
        <v>0</v>
      </c>
      <c r="W116" s="89">
        <v>0</v>
      </c>
      <c r="X116" s="89">
        <v>0</v>
      </c>
      <c r="Y116" s="89">
        <v>0</v>
      </c>
      <c r="Z116" s="89">
        <v>0</v>
      </c>
      <c r="AA116" s="89">
        <v>0</v>
      </c>
      <c r="AB116" s="89">
        <v>0</v>
      </c>
      <c r="AC116" s="89">
        <v>0</v>
      </c>
      <c r="AD116" s="89">
        <v>0</v>
      </c>
      <c r="AE116" s="89">
        <v>0</v>
      </c>
      <c r="AF116" s="89">
        <v>0</v>
      </c>
      <c r="AG116" s="89">
        <v>0</v>
      </c>
      <c r="AH116" s="89">
        <v>0</v>
      </c>
      <c r="AI116" s="89">
        <v>0</v>
      </c>
    </row>
    <row r="117" spans="1:36">
      <c r="A117" s="990">
        <v>94</v>
      </c>
      <c r="B117" s="990">
        <v>1</v>
      </c>
      <c r="C117" s="990">
        <v>117</v>
      </c>
      <c r="D117" s="1121"/>
      <c r="E117" s="1243">
        <v>1</v>
      </c>
      <c r="F117" s="5"/>
      <c r="G117" s="5"/>
      <c r="H117" s="5"/>
      <c r="I117" s="30"/>
      <c r="J117" s="4"/>
      <c r="K117" s="5"/>
      <c r="L117" s="5"/>
      <c r="M117" s="4"/>
      <c r="N117" s="4"/>
      <c r="O117" s="4" t="s">
        <v>49</v>
      </c>
      <c r="P117" s="4"/>
      <c r="Q117" s="13">
        <v>0</v>
      </c>
      <c r="R117" s="89">
        <v>0</v>
      </c>
      <c r="S117" s="89">
        <v>0</v>
      </c>
      <c r="T117" s="89">
        <v>0</v>
      </c>
      <c r="U117" s="89">
        <v>0</v>
      </c>
      <c r="V117" s="89">
        <v>0</v>
      </c>
      <c r="W117" s="89">
        <v>0</v>
      </c>
      <c r="X117" s="89">
        <v>0</v>
      </c>
      <c r="Y117" s="89">
        <v>0</v>
      </c>
      <c r="Z117" s="89">
        <v>0</v>
      </c>
      <c r="AA117" s="89">
        <v>0</v>
      </c>
      <c r="AB117" s="89">
        <v>0</v>
      </c>
      <c r="AC117" s="89">
        <v>0</v>
      </c>
      <c r="AD117" s="89">
        <v>0</v>
      </c>
      <c r="AE117" s="89">
        <v>0</v>
      </c>
      <c r="AF117" s="89">
        <v>0</v>
      </c>
      <c r="AG117" s="89">
        <v>0</v>
      </c>
      <c r="AH117" s="89">
        <v>0</v>
      </c>
      <c r="AI117" s="89">
        <v>0</v>
      </c>
    </row>
    <row r="118" spans="1:36">
      <c r="A118" s="990">
        <v>95</v>
      </c>
      <c r="B118" s="990">
        <v>1</v>
      </c>
      <c r="C118" s="990">
        <v>118</v>
      </c>
      <c r="D118" s="1121"/>
      <c r="E118" s="1243">
        <v>1</v>
      </c>
      <c r="F118" s="5"/>
      <c r="G118" s="5"/>
      <c r="H118" s="5"/>
      <c r="I118" s="30"/>
      <c r="J118" s="4"/>
      <c r="K118" s="5"/>
      <c r="L118" s="5"/>
      <c r="M118" s="4"/>
      <c r="N118" s="4"/>
      <c r="O118" s="4" t="s">
        <v>11</v>
      </c>
      <c r="P118" s="4"/>
      <c r="Q118" s="13">
        <v>0</v>
      </c>
      <c r="R118" s="89">
        <v>0</v>
      </c>
      <c r="S118" s="89">
        <v>0</v>
      </c>
      <c r="T118" s="89">
        <v>0</v>
      </c>
      <c r="U118" s="89">
        <v>0</v>
      </c>
      <c r="V118" s="89">
        <v>0</v>
      </c>
      <c r="W118" s="89">
        <v>0</v>
      </c>
      <c r="X118" s="89">
        <v>0</v>
      </c>
      <c r="Y118" s="89">
        <v>0</v>
      </c>
      <c r="Z118" s="89">
        <v>0</v>
      </c>
      <c r="AA118" s="89">
        <v>0</v>
      </c>
      <c r="AB118" s="89">
        <v>0</v>
      </c>
      <c r="AC118" s="89">
        <v>0</v>
      </c>
      <c r="AD118" s="89">
        <v>0</v>
      </c>
      <c r="AE118" s="89">
        <v>0</v>
      </c>
      <c r="AF118" s="89">
        <v>0</v>
      </c>
      <c r="AG118" s="89">
        <v>0</v>
      </c>
      <c r="AH118" s="89">
        <v>0</v>
      </c>
      <c r="AI118" s="89">
        <v>0</v>
      </c>
    </row>
    <row r="119" spans="1:36">
      <c r="A119" s="990">
        <v>96</v>
      </c>
      <c r="B119" s="990">
        <v>1</v>
      </c>
      <c r="C119" s="990">
        <v>119</v>
      </c>
      <c r="D119" s="1121"/>
      <c r="E119" s="1243">
        <v>1</v>
      </c>
      <c r="F119" s="5"/>
      <c r="G119" s="5"/>
      <c r="H119" s="5"/>
      <c r="I119" s="30"/>
      <c r="J119" s="4"/>
      <c r="K119" s="5"/>
      <c r="L119" s="5"/>
      <c r="M119" s="277" t="s">
        <v>11</v>
      </c>
      <c r="N119" s="277"/>
      <c r="O119" s="277" t="s">
        <v>1026</v>
      </c>
      <c r="P119" s="277"/>
      <c r="Q119" s="2118">
        <v>0</v>
      </c>
      <c r="R119" s="279">
        <v>0</v>
      </c>
      <c r="S119" s="279">
        <v>0</v>
      </c>
      <c r="T119" s="279">
        <v>0</v>
      </c>
      <c r="U119" s="279">
        <v>0</v>
      </c>
      <c r="V119" s="279">
        <v>0</v>
      </c>
      <c r="W119" s="279">
        <v>0</v>
      </c>
      <c r="X119" s="279">
        <v>0</v>
      </c>
      <c r="Y119" s="279">
        <v>0</v>
      </c>
      <c r="Z119" s="279">
        <v>0</v>
      </c>
      <c r="AA119" s="279">
        <v>0</v>
      </c>
      <c r="AB119" s="279">
        <v>0</v>
      </c>
      <c r="AC119" s="279">
        <v>0</v>
      </c>
      <c r="AD119" s="279">
        <v>0</v>
      </c>
      <c r="AE119" s="279">
        <v>0</v>
      </c>
      <c r="AF119" s="279">
        <v>0</v>
      </c>
      <c r="AG119" s="279">
        <v>0</v>
      </c>
      <c r="AH119" s="279">
        <v>0</v>
      </c>
      <c r="AI119" s="279">
        <v>0</v>
      </c>
    </row>
    <row r="120" spans="1:36">
      <c r="A120" s="990">
        <v>97</v>
      </c>
      <c r="B120" s="990">
        <v>1</v>
      </c>
      <c r="C120" s="990">
        <v>120</v>
      </c>
      <c r="D120" s="1121" t="s">
        <v>999</v>
      </c>
      <c r="E120" s="1243">
        <v>1</v>
      </c>
      <c r="F120" s="5"/>
      <c r="G120" s="5"/>
      <c r="H120" s="5"/>
      <c r="I120" s="140" t="s">
        <v>134</v>
      </c>
      <c r="J120" s="787"/>
      <c r="K120" s="1162"/>
      <c r="L120" s="1162"/>
      <c r="M120" s="1162"/>
      <c r="N120" s="1162"/>
      <c r="O120" s="1162"/>
      <c r="P120" s="1162"/>
      <c r="Q120" s="2062">
        <v>0</v>
      </c>
      <c r="R120" s="137">
        <v>0</v>
      </c>
      <c r="S120" s="137">
        <v>0</v>
      </c>
      <c r="T120" s="137">
        <v>0</v>
      </c>
      <c r="U120" s="137">
        <v>0</v>
      </c>
      <c r="V120" s="137">
        <v>0</v>
      </c>
      <c r="W120" s="137">
        <v>0</v>
      </c>
      <c r="X120" s="137">
        <v>0</v>
      </c>
      <c r="Y120" s="137">
        <v>0</v>
      </c>
      <c r="Z120" s="137">
        <v>0</v>
      </c>
      <c r="AA120" s="137">
        <v>0</v>
      </c>
      <c r="AB120" s="137">
        <v>0</v>
      </c>
      <c r="AC120" s="137">
        <v>0</v>
      </c>
      <c r="AD120" s="137">
        <v>0</v>
      </c>
      <c r="AE120" s="137">
        <v>0</v>
      </c>
      <c r="AF120" s="137">
        <v>0</v>
      </c>
      <c r="AG120" s="137">
        <v>0</v>
      </c>
      <c r="AH120" s="137">
        <v>0</v>
      </c>
      <c r="AI120" s="137">
        <v>0</v>
      </c>
    </row>
    <row r="121" spans="1:36" ht="14.5">
      <c r="A121" s="990">
        <v>98</v>
      </c>
      <c r="B121" s="990">
        <v>1</v>
      </c>
      <c r="C121" s="990">
        <v>121</v>
      </c>
      <c r="D121" s="1121" t="s">
        <v>999</v>
      </c>
      <c r="E121" s="1243">
        <v>1</v>
      </c>
      <c r="F121" s="5"/>
      <c r="G121" s="5"/>
      <c r="H121" s="616"/>
      <c r="I121" s="617"/>
      <c r="J121" s="618" t="s">
        <v>135</v>
      </c>
      <c r="K121" s="616"/>
      <c r="L121" s="616"/>
      <c r="M121" s="616"/>
      <c r="N121" s="616"/>
      <c r="O121" s="587" t="s">
        <v>1027</v>
      </c>
      <c r="P121" s="616"/>
      <c r="Q121" s="631">
        <v>0</v>
      </c>
      <c r="R121" s="631">
        <v>0</v>
      </c>
      <c r="S121" s="631">
        <v>0</v>
      </c>
      <c r="T121" s="631">
        <v>0</v>
      </c>
      <c r="U121" s="631">
        <v>0</v>
      </c>
      <c r="V121" s="631">
        <v>0</v>
      </c>
      <c r="W121" s="631">
        <v>0</v>
      </c>
      <c r="X121" s="631">
        <v>0</v>
      </c>
      <c r="Y121" s="631">
        <v>0</v>
      </c>
      <c r="Z121" s="631">
        <v>0</v>
      </c>
      <c r="AA121" s="631">
        <v>0</v>
      </c>
      <c r="AB121" s="631">
        <v>0</v>
      </c>
      <c r="AC121" s="1520">
        <v>0</v>
      </c>
      <c r="AD121" s="631">
        <v>0</v>
      </c>
      <c r="AE121" s="631">
        <v>0</v>
      </c>
      <c r="AF121" s="631">
        <v>0</v>
      </c>
      <c r="AG121" s="631">
        <v>0</v>
      </c>
      <c r="AH121" s="631">
        <v>0</v>
      </c>
      <c r="AI121" s="631">
        <v>0</v>
      </c>
    </row>
    <row r="122" spans="1:36" ht="14.5">
      <c r="A122" s="990">
        <v>99</v>
      </c>
      <c r="B122" s="990">
        <v>1</v>
      </c>
      <c r="C122" s="990">
        <v>122</v>
      </c>
      <c r="D122" s="1121" t="s">
        <v>999</v>
      </c>
      <c r="E122" s="1243">
        <v>1</v>
      </c>
      <c r="F122" s="5"/>
      <c r="G122" s="5"/>
      <c r="H122" s="616"/>
      <c r="I122" s="617"/>
      <c r="J122" s="620"/>
      <c r="K122" s="616"/>
      <c r="L122" s="616"/>
      <c r="M122" s="618" t="s">
        <v>1028</v>
      </c>
      <c r="N122" s="620"/>
      <c r="O122" s="620"/>
      <c r="P122" s="620"/>
      <c r="Q122" s="2119">
        <v>0</v>
      </c>
      <c r="R122" s="621">
        <v>0</v>
      </c>
      <c r="S122" s="621">
        <v>0</v>
      </c>
      <c r="T122" s="621">
        <v>0</v>
      </c>
      <c r="U122" s="621">
        <v>0</v>
      </c>
      <c r="V122" s="621">
        <v>0</v>
      </c>
      <c r="W122" s="621">
        <v>0</v>
      </c>
      <c r="X122" s="621">
        <v>0</v>
      </c>
      <c r="Y122" s="621">
        <v>0</v>
      </c>
      <c r="Z122" s="621">
        <v>0</v>
      </c>
      <c r="AA122" s="621">
        <v>0</v>
      </c>
      <c r="AB122" s="621">
        <v>0</v>
      </c>
      <c r="AC122" s="621">
        <v>0</v>
      </c>
      <c r="AD122" s="621">
        <v>0</v>
      </c>
      <c r="AE122" s="621">
        <v>0</v>
      </c>
      <c r="AF122" s="621">
        <v>0</v>
      </c>
      <c r="AG122" s="621">
        <v>0</v>
      </c>
      <c r="AH122" s="621">
        <v>0</v>
      </c>
      <c r="AI122" s="621">
        <v>0</v>
      </c>
    </row>
    <row r="123" spans="1:36" ht="14.5">
      <c r="A123" s="990">
        <v>100</v>
      </c>
      <c r="B123" s="990">
        <v>1</v>
      </c>
      <c r="C123" s="990">
        <v>123</v>
      </c>
      <c r="D123" s="1121" t="s">
        <v>999</v>
      </c>
      <c r="E123" s="1243">
        <v>1</v>
      </c>
      <c r="F123" s="5"/>
      <c r="G123" s="5"/>
      <c r="H123" s="616"/>
      <c r="I123" s="617"/>
      <c r="J123" s="620"/>
      <c r="K123" s="616"/>
      <c r="L123" s="616"/>
      <c r="M123" s="618" t="s">
        <v>1029</v>
      </c>
      <c r="N123" s="620"/>
      <c r="O123" s="620"/>
      <c r="P123" s="620"/>
      <c r="Q123" s="2119">
        <v>0</v>
      </c>
      <c r="R123" s="621">
        <v>0</v>
      </c>
      <c r="S123" s="621">
        <v>0</v>
      </c>
      <c r="T123" s="621">
        <v>0</v>
      </c>
      <c r="U123" s="621">
        <v>0</v>
      </c>
      <c r="V123" s="621">
        <v>0</v>
      </c>
      <c r="W123" s="621">
        <v>0</v>
      </c>
      <c r="X123" s="621">
        <v>0</v>
      </c>
      <c r="Y123" s="621">
        <v>0</v>
      </c>
      <c r="Z123" s="621">
        <v>0</v>
      </c>
      <c r="AA123" s="621">
        <v>0</v>
      </c>
      <c r="AB123" s="621">
        <v>0</v>
      </c>
      <c r="AC123" s="621">
        <v>0</v>
      </c>
      <c r="AD123" s="621">
        <v>0</v>
      </c>
      <c r="AE123" s="621">
        <v>0</v>
      </c>
      <c r="AF123" s="621">
        <v>0</v>
      </c>
      <c r="AG123" s="621">
        <v>0</v>
      </c>
      <c r="AH123" s="621">
        <v>0</v>
      </c>
      <c r="AI123" s="621">
        <v>0</v>
      </c>
    </row>
    <row r="124" spans="1:36" ht="14.5">
      <c r="A124" s="990">
        <v>101</v>
      </c>
      <c r="B124" s="990">
        <v>1</v>
      </c>
      <c r="C124" s="990">
        <v>124</v>
      </c>
      <c r="D124" s="1121" t="s">
        <v>999</v>
      </c>
      <c r="E124" s="1243">
        <v>1</v>
      </c>
      <c r="F124" s="5"/>
      <c r="G124" s="5"/>
      <c r="H124" s="616"/>
      <c r="I124" s="617"/>
      <c r="J124" s="620"/>
      <c r="K124" s="616"/>
      <c r="L124" s="616"/>
      <c r="M124" s="618" t="s">
        <v>1030</v>
      </c>
      <c r="N124" s="620"/>
      <c r="O124" s="620"/>
      <c r="P124" s="620"/>
      <c r="Q124" s="2119">
        <v>0</v>
      </c>
      <c r="R124" s="621">
        <v>0</v>
      </c>
      <c r="S124" s="621">
        <v>0</v>
      </c>
      <c r="T124" s="621">
        <v>0</v>
      </c>
      <c r="U124" s="621">
        <v>0</v>
      </c>
      <c r="V124" s="621">
        <v>0</v>
      </c>
      <c r="W124" s="621">
        <v>0</v>
      </c>
      <c r="X124" s="621">
        <v>0</v>
      </c>
      <c r="Y124" s="621">
        <v>0</v>
      </c>
      <c r="Z124" s="621">
        <v>0</v>
      </c>
      <c r="AA124" s="621">
        <v>0</v>
      </c>
      <c r="AB124" s="621">
        <v>0</v>
      </c>
      <c r="AC124" s="621">
        <v>0</v>
      </c>
      <c r="AD124" s="621">
        <v>0</v>
      </c>
      <c r="AE124" s="621">
        <v>0</v>
      </c>
      <c r="AF124" s="621">
        <v>0</v>
      </c>
      <c r="AG124" s="621">
        <v>0</v>
      </c>
      <c r="AH124" s="621">
        <v>0</v>
      </c>
      <c r="AI124" s="621">
        <v>0</v>
      </c>
    </row>
    <row r="125" spans="1:36">
      <c r="A125" s="990">
        <v>102</v>
      </c>
      <c r="B125" s="990">
        <v>1</v>
      </c>
      <c r="C125" s="990">
        <v>125</v>
      </c>
      <c r="D125" s="1121" t="s">
        <v>999</v>
      </c>
      <c r="E125" s="1243">
        <v>1</v>
      </c>
      <c r="F125" s="5"/>
      <c r="G125" s="5"/>
      <c r="H125" s="5"/>
      <c r="I125" s="30"/>
      <c r="J125" s="4"/>
      <c r="K125" s="5"/>
      <c r="L125" s="5"/>
      <c r="M125" s="4" t="s">
        <v>137</v>
      </c>
      <c r="N125" s="4"/>
      <c r="O125" s="4"/>
      <c r="P125" s="4"/>
      <c r="Q125" s="13">
        <v>0</v>
      </c>
      <c r="R125" s="89">
        <v>0</v>
      </c>
      <c r="S125" s="89">
        <v>0</v>
      </c>
      <c r="T125" s="89">
        <v>0</v>
      </c>
      <c r="U125" s="89">
        <v>0</v>
      </c>
      <c r="V125" s="89">
        <v>0</v>
      </c>
      <c r="W125" s="89">
        <v>0</v>
      </c>
      <c r="X125" s="89">
        <v>0</v>
      </c>
      <c r="Y125" s="89">
        <v>0</v>
      </c>
      <c r="Z125" s="89">
        <v>0</v>
      </c>
      <c r="AA125" s="89">
        <v>0</v>
      </c>
      <c r="AB125" s="89">
        <v>0</v>
      </c>
      <c r="AC125" s="89">
        <v>0</v>
      </c>
      <c r="AD125" s="89">
        <v>0</v>
      </c>
      <c r="AE125" s="89">
        <v>0</v>
      </c>
      <c r="AF125" s="89">
        <v>0</v>
      </c>
      <c r="AG125" s="89">
        <v>0</v>
      </c>
      <c r="AH125" s="89">
        <v>0</v>
      </c>
      <c r="AI125" s="89">
        <v>0</v>
      </c>
    </row>
    <row r="126" spans="1:36">
      <c r="A126" s="990">
        <v>103</v>
      </c>
      <c r="B126" s="990">
        <v>1</v>
      </c>
      <c r="C126" s="990">
        <v>126</v>
      </c>
      <c r="D126" s="1121" t="s">
        <v>999</v>
      </c>
      <c r="E126" s="1243">
        <v>1</v>
      </c>
      <c r="F126" s="5"/>
      <c r="G126" s="5"/>
      <c r="H126" s="5"/>
      <c r="I126" s="30"/>
      <c r="J126" s="4"/>
      <c r="K126" s="5"/>
      <c r="L126" s="5"/>
      <c r="M126" s="4" t="s">
        <v>95</v>
      </c>
      <c r="N126" s="4"/>
      <c r="O126" s="4"/>
      <c r="P126" s="4"/>
      <c r="Q126" s="13">
        <v>0</v>
      </c>
      <c r="R126" s="89">
        <v>0</v>
      </c>
      <c r="S126" s="89">
        <v>0</v>
      </c>
      <c r="T126" s="89">
        <v>0</v>
      </c>
      <c r="U126" s="89">
        <v>0</v>
      </c>
      <c r="V126" s="89">
        <v>0</v>
      </c>
      <c r="W126" s="89">
        <v>0</v>
      </c>
      <c r="X126" s="89">
        <v>0</v>
      </c>
      <c r="Y126" s="89">
        <v>0</v>
      </c>
      <c r="Z126" s="89">
        <v>0</v>
      </c>
      <c r="AA126" s="89">
        <v>0</v>
      </c>
      <c r="AB126" s="89">
        <v>0</v>
      </c>
      <c r="AC126" s="89">
        <v>0</v>
      </c>
      <c r="AD126" s="89">
        <v>0</v>
      </c>
      <c r="AE126" s="89">
        <v>0</v>
      </c>
      <c r="AF126" s="89">
        <v>0</v>
      </c>
      <c r="AG126" s="89">
        <v>0</v>
      </c>
      <c r="AH126" s="89">
        <v>0</v>
      </c>
      <c r="AI126" s="89">
        <v>0</v>
      </c>
    </row>
    <row r="127" spans="1:36">
      <c r="A127" s="990">
        <v>104</v>
      </c>
      <c r="B127" s="990">
        <v>1</v>
      </c>
      <c r="C127" s="990">
        <v>127</v>
      </c>
      <c r="D127" s="1121" t="s">
        <v>999</v>
      </c>
      <c r="E127" s="1243">
        <v>1</v>
      </c>
      <c r="F127" s="5"/>
      <c r="G127" s="5"/>
      <c r="H127" s="5"/>
      <c r="I127" s="30"/>
      <c r="J127" s="4"/>
      <c r="K127" s="5"/>
      <c r="L127" s="5"/>
      <c r="M127" s="4" t="s">
        <v>11</v>
      </c>
      <c r="N127" s="4"/>
      <c r="O127" s="4"/>
      <c r="P127" s="4"/>
      <c r="Q127" s="13">
        <v>0</v>
      </c>
      <c r="R127" s="89">
        <v>0</v>
      </c>
      <c r="S127" s="89">
        <v>0</v>
      </c>
      <c r="T127" s="89">
        <v>0</v>
      </c>
      <c r="U127" s="89">
        <v>0</v>
      </c>
      <c r="V127" s="89">
        <v>0</v>
      </c>
      <c r="W127" s="89">
        <v>0</v>
      </c>
      <c r="X127" s="89">
        <v>0</v>
      </c>
      <c r="Y127" s="89">
        <v>0</v>
      </c>
      <c r="Z127" s="89">
        <v>0</v>
      </c>
      <c r="AA127" s="89">
        <v>0</v>
      </c>
      <c r="AB127" s="89">
        <v>0</v>
      </c>
      <c r="AC127" s="89">
        <v>0</v>
      </c>
      <c r="AD127" s="89">
        <v>0</v>
      </c>
      <c r="AE127" s="89">
        <v>0</v>
      </c>
      <c r="AF127" s="89">
        <v>0</v>
      </c>
      <c r="AG127" s="89">
        <v>0</v>
      </c>
      <c r="AH127" s="89">
        <v>0</v>
      </c>
      <c r="AI127" s="89">
        <v>0</v>
      </c>
    </row>
    <row r="128" spans="1:36">
      <c r="A128" s="990">
        <v>105</v>
      </c>
      <c r="B128" s="990">
        <v>1</v>
      </c>
      <c r="C128" s="990">
        <v>128</v>
      </c>
      <c r="D128" s="1121" t="s">
        <v>999</v>
      </c>
      <c r="E128" s="1243">
        <v>1</v>
      </c>
      <c r="F128" s="5"/>
      <c r="G128" s="5"/>
      <c r="H128" s="5"/>
      <c r="I128" s="140" t="s">
        <v>97</v>
      </c>
      <c r="J128" s="787"/>
      <c r="K128" s="1162"/>
      <c r="L128" s="1162"/>
      <c r="M128" s="1162"/>
      <c r="N128" s="1162"/>
      <c r="O128" s="1162"/>
      <c r="P128" s="1162"/>
      <c r="Q128" s="2062">
        <v>0</v>
      </c>
      <c r="R128" s="137">
        <v>0</v>
      </c>
      <c r="S128" s="137">
        <v>0</v>
      </c>
      <c r="T128" s="137">
        <v>0</v>
      </c>
      <c r="U128" s="137">
        <v>0</v>
      </c>
      <c r="V128" s="137">
        <v>0</v>
      </c>
      <c r="W128" s="137">
        <v>0</v>
      </c>
      <c r="X128" s="137">
        <v>0</v>
      </c>
      <c r="Y128" s="137">
        <v>0</v>
      </c>
      <c r="Z128" s="137">
        <v>0</v>
      </c>
      <c r="AA128" s="137">
        <v>0</v>
      </c>
      <c r="AB128" s="137">
        <v>0</v>
      </c>
      <c r="AC128" s="137">
        <v>0</v>
      </c>
      <c r="AD128" s="137">
        <v>0</v>
      </c>
      <c r="AE128" s="137">
        <v>0</v>
      </c>
      <c r="AF128" s="137">
        <v>0</v>
      </c>
      <c r="AG128" s="137">
        <v>0</v>
      </c>
      <c r="AH128" s="137">
        <v>0</v>
      </c>
      <c r="AI128" s="137">
        <v>0</v>
      </c>
    </row>
    <row r="129" spans="1:35">
      <c r="A129" s="990">
        <v>106</v>
      </c>
      <c r="B129" s="990">
        <v>1</v>
      </c>
      <c r="C129" s="990">
        <v>129</v>
      </c>
      <c r="D129" s="1121" t="s">
        <v>999</v>
      </c>
      <c r="E129" s="1243">
        <v>1</v>
      </c>
      <c r="F129" s="5"/>
      <c r="G129" s="5"/>
      <c r="H129" s="5"/>
      <c r="I129" s="30"/>
      <c r="J129" s="40" t="s">
        <v>143</v>
      </c>
      <c r="K129" s="5"/>
      <c r="L129" s="5"/>
      <c r="M129" s="4"/>
      <c r="N129" s="4"/>
      <c r="O129" s="4"/>
      <c r="P129" s="4"/>
      <c r="Q129" s="2032"/>
      <c r="R129" s="2039"/>
      <c r="S129" s="2039"/>
      <c r="T129" s="2039"/>
      <c r="U129" s="2039"/>
      <c r="V129" s="2039"/>
      <c r="W129" s="2039"/>
      <c r="X129" s="2039"/>
      <c r="Y129" s="2039"/>
      <c r="Z129" s="2039"/>
      <c r="AA129" s="2039"/>
      <c r="AB129" s="2039"/>
      <c r="AC129" s="89">
        <v>0</v>
      </c>
      <c r="AD129" s="89">
        <v>0</v>
      </c>
      <c r="AE129" s="89">
        <v>0</v>
      </c>
      <c r="AF129" s="89">
        <v>0</v>
      </c>
      <c r="AG129" s="89">
        <v>0</v>
      </c>
      <c r="AH129" s="89">
        <v>0</v>
      </c>
      <c r="AI129" s="89">
        <v>0</v>
      </c>
    </row>
    <row r="130" spans="1:35">
      <c r="A130" s="990">
        <v>107</v>
      </c>
      <c r="B130" s="990">
        <v>1</v>
      </c>
      <c r="C130" s="990">
        <v>130</v>
      </c>
      <c r="D130" s="1121" t="s">
        <v>999</v>
      </c>
      <c r="E130" s="1243">
        <v>1</v>
      </c>
      <c r="F130" s="5"/>
      <c r="G130" s="5"/>
      <c r="H130" s="5"/>
      <c r="I130" s="30"/>
      <c r="J130" s="40" t="s">
        <v>96</v>
      </c>
      <c r="K130" s="5"/>
      <c r="L130" s="5"/>
      <c r="M130" s="4"/>
      <c r="N130" s="4"/>
      <c r="O130" s="4"/>
      <c r="P130" s="4"/>
      <c r="Q130" s="2032"/>
      <c r="R130" s="2039"/>
      <c r="S130" s="2039"/>
      <c r="T130" s="2039"/>
      <c r="U130" s="2039"/>
      <c r="V130" s="2039"/>
      <c r="W130" s="2039"/>
      <c r="X130" s="2039"/>
      <c r="Y130" s="2039"/>
      <c r="Z130" s="2039"/>
      <c r="AA130" s="2039"/>
      <c r="AB130" s="2039"/>
      <c r="AC130" s="89">
        <v>0</v>
      </c>
      <c r="AD130" s="89">
        <v>0</v>
      </c>
      <c r="AE130" s="89">
        <v>0</v>
      </c>
      <c r="AF130" s="89">
        <v>0</v>
      </c>
      <c r="AG130" s="89">
        <v>0</v>
      </c>
      <c r="AH130" s="89">
        <v>0</v>
      </c>
      <c r="AI130" s="89">
        <v>0</v>
      </c>
    </row>
    <row r="131" spans="1:35">
      <c r="A131" s="990">
        <v>108</v>
      </c>
      <c r="B131" s="990">
        <v>1</v>
      </c>
      <c r="C131" s="990">
        <v>131</v>
      </c>
      <c r="D131" s="1121" t="s">
        <v>999</v>
      </c>
      <c r="E131" s="1243">
        <v>1</v>
      </c>
      <c r="F131" s="5"/>
      <c r="G131" s="5"/>
      <c r="H131" s="5"/>
      <c r="I131" s="30"/>
      <c r="J131" s="40" t="s">
        <v>142</v>
      </c>
      <c r="K131" s="52"/>
      <c r="L131" s="52"/>
      <c r="M131" s="51"/>
      <c r="N131" s="51"/>
      <c r="O131" s="51"/>
      <c r="P131" s="51"/>
      <c r="Q131" s="2211"/>
      <c r="R131" s="2043"/>
      <c r="S131" s="2043"/>
      <c r="T131" s="2043"/>
      <c r="U131" s="2043"/>
      <c r="V131" s="2043"/>
      <c r="W131" s="2043"/>
      <c r="X131" s="2043"/>
      <c r="Y131" s="2043"/>
      <c r="Z131" s="2043"/>
      <c r="AA131" s="2043"/>
      <c r="AB131" s="2043"/>
      <c r="AC131" s="134">
        <v>0</v>
      </c>
      <c r="AD131" s="134">
        <v>0</v>
      </c>
      <c r="AE131" s="134">
        <v>0</v>
      </c>
      <c r="AF131" s="134">
        <v>0</v>
      </c>
      <c r="AG131" s="134">
        <v>0</v>
      </c>
      <c r="AH131" s="134">
        <v>0</v>
      </c>
      <c r="AI131" s="134">
        <v>0</v>
      </c>
    </row>
    <row r="132" spans="1:35">
      <c r="A132" s="990">
        <v>109</v>
      </c>
      <c r="B132" s="990">
        <v>1</v>
      </c>
      <c r="C132" s="990">
        <v>132</v>
      </c>
      <c r="D132" s="1121" t="s">
        <v>999</v>
      </c>
      <c r="E132" s="1243">
        <v>1</v>
      </c>
      <c r="F132" s="5"/>
      <c r="G132" s="5"/>
      <c r="H132" s="5"/>
      <c r="I132" s="140" t="s">
        <v>136</v>
      </c>
      <c r="J132" s="787"/>
      <c r="K132" s="1162"/>
      <c r="L132" s="1162"/>
      <c r="M132" s="787"/>
      <c r="N132" s="787"/>
      <c r="O132" s="787"/>
      <c r="P132" s="787"/>
      <c r="Q132" s="2062">
        <v>0</v>
      </c>
      <c r="R132" s="137">
        <v>0</v>
      </c>
      <c r="S132" s="137">
        <v>0</v>
      </c>
      <c r="T132" s="137">
        <v>0</v>
      </c>
      <c r="U132" s="137">
        <v>0</v>
      </c>
      <c r="V132" s="137">
        <v>0</v>
      </c>
      <c r="W132" s="137">
        <v>0</v>
      </c>
      <c r="X132" s="137">
        <v>0</v>
      </c>
      <c r="Y132" s="137">
        <v>0</v>
      </c>
      <c r="Z132" s="137">
        <v>0</v>
      </c>
      <c r="AA132" s="137">
        <v>0</v>
      </c>
      <c r="AB132" s="137">
        <v>0</v>
      </c>
      <c r="AC132" s="137">
        <v>0</v>
      </c>
      <c r="AD132" s="137">
        <v>0</v>
      </c>
      <c r="AE132" s="137">
        <v>0</v>
      </c>
      <c r="AF132" s="137">
        <v>0</v>
      </c>
      <c r="AG132" s="137">
        <v>0</v>
      </c>
      <c r="AH132" s="137">
        <v>0</v>
      </c>
      <c r="AI132" s="137">
        <v>0</v>
      </c>
    </row>
    <row r="133" spans="1:35" ht="14.5">
      <c r="A133" s="990">
        <v>110</v>
      </c>
      <c r="B133" s="990">
        <v>1</v>
      </c>
      <c r="C133" s="990">
        <v>133</v>
      </c>
      <c r="D133" s="1121" t="s">
        <v>999</v>
      </c>
      <c r="E133" s="1243">
        <v>1</v>
      </c>
      <c r="F133" s="5"/>
      <c r="G133" s="5"/>
      <c r="H133" s="5"/>
      <c r="I133" s="28"/>
      <c r="J133" s="629" t="s">
        <v>135</v>
      </c>
      <c r="K133" s="3"/>
      <c r="L133" s="3"/>
      <c r="M133" s="2"/>
      <c r="N133" s="2"/>
      <c r="O133" s="2"/>
      <c r="P133" s="2"/>
      <c r="Q133" s="863">
        <v>0</v>
      </c>
      <c r="R133" s="863">
        <v>0</v>
      </c>
      <c r="S133" s="863">
        <v>0</v>
      </c>
      <c r="T133" s="863">
        <v>0</v>
      </c>
      <c r="U133" s="863">
        <v>0</v>
      </c>
      <c r="V133" s="863">
        <v>0</v>
      </c>
      <c r="W133" s="863">
        <v>0</v>
      </c>
      <c r="X133" s="863">
        <v>0</v>
      </c>
      <c r="Y133" s="863">
        <v>0</v>
      </c>
      <c r="Z133" s="863">
        <v>0</v>
      </c>
      <c r="AA133" s="863">
        <v>0</v>
      </c>
      <c r="AB133" s="863">
        <v>0</v>
      </c>
      <c r="AC133" s="1508">
        <v>0</v>
      </c>
      <c r="AD133" s="863">
        <v>0</v>
      </c>
      <c r="AE133" s="863">
        <v>0</v>
      </c>
      <c r="AF133" s="863">
        <v>0</v>
      </c>
      <c r="AG133" s="863">
        <v>0</v>
      </c>
      <c r="AH133" s="863">
        <v>0</v>
      </c>
      <c r="AI133" s="863">
        <v>0</v>
      </c>
    </row>
    <row r="134" spans="1:35">
      <c r="A134" s="990">
        <v>111</v>
      </c>
      <c r="B134" s="990">
        <v>1</v>
      </c>
      <c r="C134" s="990">
        <v>134</v>
      </c>
      <c r="D134" s="1121" t="s">
        <v>999</v>
      </c>
      <c r="E134" s="1243">
        <v>1</v>
      </c>
      <c r="F134" s="5"/>
      <c r="G134" s="5"/>
      <c r="H134" s="5"/>
      <c r="I134" s="58" t="s">
        <v>504</v>
      </c>
      <c r="J134" s="555"/>
      <c r="K134" s="636"/>
      <c r="L134" s="636"/>
      <c r="M134" s="555"/>
      <c r="N134" s="555"/>
      <c r="O134" s="555"/>
      <c r="P134" s="555"/>
      <c r="Q134" s="2212"/>
      <c r="R134" s="2618"/>
      <c r="S134" s="2618"/>
      <c r="T134" s="2618"/>
      <c r="U134" s="2618"/>
      <c r="V134" s="2618"/>
      <c r="W134" s="2618"/>
      <c r="X134" s="2618"/>
      <c r="Y134" s="2618"/>
      <c r="Z134" s="2618"/>
      <c r="AA134" s="2618"/>
      <c r="AB134" s="2618"/>
      <c r="AC134" s="122">
        <v>0</v>
      </c>
      <c r="AD134" s="122">
        <v>0</v>
      </c>
      <c r="AE134" s="122">
        <v>0</v>
      </c>
      <c r="AF134" s="122">
        <v>0</v>
      </c>
      <c r="AG134" s="122">
        <v>0</v>
      </c>
      <c r="AH134" s="122">
        <v>0</v>
      </c>
      <c r="AI134" s="122">
        <v>0</v>
      </c>
    </row>
    <row r="135" spans="1:35">
      <c r="A135" s="990">
        <v>112</v>
      </c>
      <c r="B135" s="990">
        <v>1</v>
      </c>
      <c r="C135" s="990">
        <v>135</v>
      </c>
      <c r="D135" s="1121" t="s">
        <v>999</v>
      </c>
      <c r="E135" s="1243">
        <v>1</v>
      </c>
      <c r="F135" s="5"/>
      <c r="G135" s="5"/>
      <c r="H135" s="5"/>
      <c r="I135" s="121" t="s">
        <v>1002</v>
      </c>
      <c r="J135" s="119"/>
      <c r="K135" s="120"/>
      <c r="L135" s="120"/>
      <c r="M135" s="119"/>
      <c r="N135" s="119"/>
      <c r="O135" s="119"/>
      <c r="P135" s="119"/>
      <c r="Q135" s="2031"/>
      <c r="R135" s="2035"/>
      <c r="S135" s="2035"/>
      <c r="T135" s="2035"/>
      <c r="U135" s="2035"/>
      <c r="V135" s="2035"/>
      <c r="W135" s="2035"/>
      <c r="X135" s="2035"/>
      <c r="Y135" s="2035"/>
      <c r="Z135" s="2035"/>
      <c r="AA135" s="2035"/>
      <c r="AB135" s="2035"/>
      <c r="AC135" s="92">
        <v>0</v>
      </c>
      <c r="AD135" s="92">
        <v>0</v>
      </c>
      <c r="AE135" s="92">
        <v>0</v>
      </c>
      <c r="AF135" s="92">
        <v>0</v>
      </c>
      <c r="AG135" s="92">
        <v>0</v>
      </c>
      <c r="AH135" s="92">
        <v>0</v>
      </c>
      <c r="AI135" s="92">
        <v>0</v>
      </c>
    </row>
    <row r="136" spans="1:35">
      <c r="A136" s="990">
        <v>113</v>
      </c>
      <c r="B136" s="990">
        <v>1</v>
      </c>
      <c r="C136" s="990">
        <v>136</v>
      </c>
      <c r="D136" s="1121" t="s">
        <v>999</v>
      </c>
      <c r="E136" s="1243">
        <v>1</v>
      </c>
      <c r="F136" s="5"/>
      <c r="G136" s="5"/>
      <c r="H136" s="5"/>
      <c r="I136" s="140" t="s">
        <v>10</v>
      </c>
      <c r="J136" s="787"/>
      <c r="K136" s="1162"/>
      <c r="L136" s="1162"/>
      <c r="M136" s="1162"/>
      <c r="N136" s="1162"/>
      <c r="O136" s="1162"/>
      <c r="P136" s="1162"/>
      <c r="Q136" s="2062">
        <v>0</v>
      </c>
      <c r="R136" s="137">
        <v>0</v>
      </c>
      <c r="S136" s="137">
        <v>0</v>
      </c>
      <c r="T136" s="137">
        <v>0</v>
      </c>
      <c r="U136" s="137">
        <v>0</v>
      </c>
      <c r="V136" s="137">
        <v>0</v>
      </c>
      <c r="W136" s="137">
        <v>0</v>
      </c>
      <c r="X136" s="137">
        <v>0</v>
      </c>
      <c r="Y136" s="137">
        <v>0</v>
      </c>
      <c r="Z136" s="137">
        <v>0</v>
      </c>
      <c r="AA136" s="137">
        <v>0</v>
      </c>
      <c r="AB136" s="137">
        <v>0</v>
      </c>
      <c r="AC136" s="137">
        <v>0</v>
      </c>
      <c r="AD136" s="137">
        <v>0</v>
      </c>
      <c r="AE136" s="137">
        <v>0</v>
      </c>
      <c r="AF136" s="137">
        <v>0</v>
      </c>
      <c r="AG136" s="137">
        <v>0</v>
      </c>
      <c r="AH136" s="137">
        <v>0</v>
      </c>
      <c r="AI136" s="137">
        <v>0</v>
      </c>
    </row>
    <row r="137" spans="1:35" ht="14.5">
      <c r="A137" s="990">
        <v>114</v>
      </c>
      <c r="B137" s="990">
        <v>1</v>
      </c>
      <c r="C137" s="990">
        <v>137</v>
      </c>
      <c r="D137" s="9" t="s">
        <v>999</v>
      </c>
      <c r="E137" s="1243">
        <v>1</v>
      </c>
      <c r="F137" s="5"/>
      <c r="G137" s="5"/>
      <c r="H137" s="5"/>
      <c r="I137" s="28"/>
      <c r="J137" s="629" t="s">
        <v>135</v>
      </c>
      <c r="K137" s="3"/>
      <c r="L137" s="3"/>
      <c r="M137" s="2"/>
      <c r="N137" s="2"/>
      <c r="O137" s="2"/>
      <c r="P137" s="2"/>
      <c r="Q137" s="863">
        <v>0</v>
      </c>
      <c r="R137" s="863">
        <v>0</v>
      </c>
      <c r="S137" s="863">
        <v>0</v>
      </c>
      <c r="T137" s="863">
        <v>0</v>
      </c>
      <c r="U137" s="863">
        <v>0</v>
      </c>
      <c r="V137" s="863">
        <v>0</v>
      </c>
      <c r="W137" s="863">
        <v>0</v>
      </c>
      <c r="X137" s="863">
        <v>0</v>
      </c>
      <c r="Y137" s="863">
        <v>0</v>
      </c>
      <c r="Z137" s="863">
        <v>0</v>
      </c>
      <c r="AA137" s="863">
        <v>0</v>
      </c>
      <c r="AB137" s="863">
        <v>0</v>
      </c>
      <c r="AC137" s="1508">
        <v>0</v>
      </c>
      <c r="AD137" s="863">
        <v>0</v>
      </c>
      <c r="AE137" s="863">
        <v>0</v>
      </c>
      <c r="AF137" s="863">
        <v>0</v>
      </c>
      <c r="AG137" s="863">
        <v>0</v>
      </c>
      <c r="AH137" s="863">
        <v>0</v>
      </c>
      <c r="AI137" s="863">
        <v>0</v>
      </c>
    </row>
    <row r="138" spans="1:35">
      <c r="A138" s="990">
        <v>1</v>
      </c>
      <c r="B138" s="990">
        <v>1</v>
      </c>
      <c r="C138" s="990">
        <v>138</v>
      </c>
      <c r="D138" s="9" t="s">
        <v>999</v>
      </c>
      <c r="E138" s="1243">
        <v>1</v>
      </c>
      <c r="F138" s="5"/>
      <c r="G138" s="5"/>
      <c r="H138" s="5"/>
      <c r="I138" s="5"/>
      <c r="J138" s="4"/>
      <c r="K138" s="5"/>
      <c r="L138" s="5"/>
      <c r="M138" s="4"/>
      <c r="N138" s="4"/>
      <c r="O138" s="4"/>
      <c r="P138" s="4"/>
      <c r="Q138" s="2225"/>
      <c r="R138" s="1151"/>
      <c r="S138" s="1151"/>
      <c r="T138" s="1151"/>
      <c r="U138" s="1151"/>
      <c r="V138" s="1151"/>
      <c r="Z138" s="163"/>
      <c r="AA138" s="163"/>
      <c r="AB138" s="2201"/>
      <c r="AC138" s="163"/>
      <c r="AD138" s="163"/>
      <c r="AE138" s="163"/>
      <c r="AF138" s="163"/>
      <c r="AG138" s="163"/>
      <c r="AH138" s="163"/>
      <c r="AI138" s="868"/>
    </row>
    <row r="139" spans="1:35">
      <c r="A139" s="990">
        <v>1</v>
      </c>
      <c r="B139" s="990">
        <v>1</v>
      </c>
      <c r="D139" s="9" t="s">
        <v>999</v>
      </c>
      <c r="E139" s="1662" t="s">
        <v>1013</v>
      </c>
      <c r="F139" s="5"/>
      <c r="G139" s="5"/>
      <c r="H139" s="5" t="s">
        <v>1523</v>
      </c>
      <c r="I139" s="5"/>
      <c r="J139" s="4"/>
      <c r="K139" s="5"/>
      <c r="L139" s="5"/>
      <c r="M139" s="4"/>
      <c r="N139" s="4"/>
      <c r="O139" s="4"/>
      <c r="P139" s="4"/>
      <c r="Q139" s="2225"/>
      <c r="R139" s="1151"/>
      <c r="S139" s="1151"/>
      <c r="T139" s="1151"/>
      <c r="U139" s="1151"/>
      <c r="V139" s="1151"/>
      <c r="Z139" s="163"/>
      <c r="AA139" s="163"/>
      <c r="AB139" s="2201"/>
      <c r="AC139" s="163"/>
      <c r="AD139" s="163"/>
      <c r="AE139" s="163"/>
      <c r="AF139" s="163"/>
      <c r="AG139" s="163"/>
      <c r="AH139" s="163"/>
      <c r="AI139" s="868"/>
    </row>
    <row r="140" spans="1:35">
      <c r="A140" s="990">
        <v>1</v>
      </c>
      <c r="B140" s="990">
        <v>1</v>
      </c>
      <c r="D140" s="9" t="s">
        <v>999</v>
      </c>
      <c r="E140" s="1662" t="s">
        <v>1013</v>
      </c>
      <c r="F140" s="5"/>
      <c r="G140" s="5"/>
      <c r="H140" s="5"/>
      <c r="I140" s="2619" t="s">
        <v>9</v>
      </c>
      <c r="J140" s="1207"/>
      <c r="K140" s="1207"/>
      <c r="L140" s="1207"/>
      <c r="M140" s="1207"/>
      <c r="N140" s="1207"/>
      <c r="O140" s="1207"/>
      <c r="P140" s="1727"/>
      <c r="Q140" s="2268">
        <v>0</v>
      </c>
      <c r="R140" s="2268">
        <v>0</v>
      </c>
      <c r="S140" s="2268">
        <v>0</v>
      </c>
      <c r="T140" s="2268">
        <v>0</v>
      </c>
      <c r="U140" s="2268">
        <v>0</v>
      </c>
      <c r="V140" s="2268">
        <v>0</v>
      </c>
      <c r="W140" s="2206">
        <v>0</v>
      </c>
      <c r="X140" s="2206">
        <v>0</v>
      </c>
      <c r="Y140" s="2206">
        <v>0</v>
      </c>
      <c r="Z140" s="2207">
        <v>0</v>
      </c>
      <c r="AA140" s="2207">
        <v>0</v>
      </c>
      <c r="AB140" s="2207">
        <v>0</v>
      </c>
      <c r="AC140" s="2158">
        <v>0</v>
      </c>
      <c r="AD140" s="2158">
        <v>0</v>
      </c>
      <c r="AE140" s="2158">
        <v>0</v>
      </c>
      <c r="AF140" s="2158">
        <v>0</v>
      </c>
      <c r="AG140" s="2158">
        <v>0</v>
      </c>
      <c r="AH140" s="2158">
        <v>0</v>
      </c>
      <c r="AI140" s="2158">
        <v>0</v>
      </c>
    </row>
    <row r="141" spans="1:35">
      <c r="A141" s="990">
        <v>1</v>
      </c>
      <c r="B141" s="990">
        <v>1</v>
      </c>
      <c r="D141" s="9" t="s">
        <v>999</v>
      </c>
      <c r="E141" s="1662" t="s">
        <v>1013</v>
      </c>
      <c r="F141" s="5"/>
      <c r="G141" s="5"/>
      <c r="H141" s="5"/>
      <c r="I141" s="1630" t="s">
        <v>128</v>
      </c>
      <c r="J141" s="1631"/>
      <c r="K141" s="1631"/>
      <c r="L141" s="1631"/>
      <c r="M141" s="1631"/>
      <c r="N141" s="1631"/>
      <c r="O141" s="1631"/>
      <c r="P141" s="1632"/>
      <c r="Q141" s="2032"/>
      <c r="R141" s="2032"/>
      <c r="S141" s="2032"/>
      <c r="T141" s="2032"/>
      <c r="U141" s="2032"/>
      <c r="V141" s="2032"/>
      <c r="W141" s="2036"/>
      <c r="X141" s="2036"/>
      <c r="Y141" s="2036"/>
      <c r="Z141" s="2253"/>
      <c r="AA141" s="2253"/>
      <c r="AB141" s="2253"/>
      <c r="AC141" s="145">
        <v>0</v>
      </c>
      <c r="AD141" s="145">
        <v>0</v>
      </c>
      <c r="AE141" s="145">
        <v>0</v>
      </c>
      <c r="AF141" s="145">
        <v>0</v>
      </c>
      <c r="AG141" s="145">
        <v>0</v>
      </c>
      <c r="AH141" s="145">
        <v>0</v>
      </c>
      <c r="AI141" s="145">
        <v>0</v>
      </c>
    </row>
    <row r="142" spans="1:35">
      <c r="A142" s="990">
        <v>1</v>
      </c>
      <c r="B142" s="990">
        <v>1</v>
      </c>
      <c r="D142" s="9" t="s">
        <v>999</v>
      </c>
      <c r="E142" s="1662" t="s">
        <v>1013</v>
      </c>
      <c r="F142" s="5"/>
      <c r="G142" s="5"/>
      <c r="H142" s="5"/>
      <c r="I142" s="1630" t="s">
        <v>134</v>
      </c>
      <c r="J142" s="1631"/>
      <c r="K142" s="1631"/>
      <c r="L142" s="1631"/>
      <c r="M142" s="1631"/>
      <c r="N142" s="1631"/>
      <c r="O142" s="1631"/>
      <c r="P142" s="1632"/>
      <c r="Q142" s="2097">
        <v>0</v>
      </c>
      <c r="R142" s="2097">
        <v>0</v>
      </c>
      <c r="S142" s="2097">
        <v>0</v>
      </c>
      <c r="T142" s="2097">
        <v>0</v>
      </c>
      <c r="U142" s="2097">
        <v>0</v>
      </c>
      <c r="V142" s="2097">
        <v>0</v>
      </c>
      <c r="W142" s="107">
        <v>0</v>
      </c>
      <c r="X142" s="107">
        <v>0</v>
      </c>
      <c r="Y142" s="107">
        <v>0</v>
      </c>
      <c r="Z142" s="2266">
        <v>0</v>
      </c>
      <c r="AA142" s="2266">
        <v>0</v>
      </c>
      <c r="AB142" s="2266">
        <v>0</v>
      </c>
      <c r="AC142" s="145">
        <v>0</v>
      </c>
      <c r="AD142" s="145">
        <v>0</v>
      </c>
      <c r="AE142" s="145">
        <v>0</v>
      </c>
      <c r="AF142" s="145">
        <v>0</v>
      </c>
      <c r="AG142" s="145">
        <v>0</v>
      </c>
      <c r="AH142" s="145">
        <v>0</v>
      </c>
      <c r="AI142" s="145">
        <v>0</v>
      </c>
    </row>
    <row r="143" spans="1:35" ht="14.5">
      <c r="A143" s="990">
        <v>1</v>
      </c>
      <c r="B143" s="990">
        <v>1</v>
      </c>
      <c r="D143" s="9" t="s">
        <v>999</v>
      </c>
      <c r="E143" s="1662" t="s">
        <v>1013</v>
      </c>
      <c r="F143" s="5"/>
      <c r="G143" s="5"/>
      <c r="H143" s="5"/>
      <c r="I143" s="1630" t="s">
        <v>97</v>
      </c>
      <c r="J143" s="1633"/>
      <c r="K143" s="1633"/>
      <c r="L143" s="1633"/>
      <c r="M143" s="1633"/>
      <c r="N143" s="1681" t="s">
        <v>1524</v>
      </c>
      <c r="O143" s="1633"/>
      <c r="P143" s="1634"/>
      <c r="Q143" s="49">
        <v>0</v>
      </c>
      <c r="R143" s="49">
        <v>0</v>
      </c>
      <c r="S143" s="49">
        <v>0</v>
      </c>
      <c r="T143" s="49">
        <v>0</v>
      </c>
      <c r="U143" s="49">
        <v>0</v>
      </c>
      <c r="V143" s="49">
        <v>0</v>
      </c>
      <c r="W143" s="365">
        <v>0</v>
      </c>
      <c r="X143" s="365">
        <v>0</v>
      </c>
      <c r="Y143" s="365">
        <v>0</v>
      </c>
      <c r="Z143" s="1626">
        <v>0</v>
      </c>
      <c r="AA143" s="1626">
        <v>0</v>
      </c>
      <c r="AB143" s="1626">
        <v>0</v>
      </c>
      <c r="AC143" s="1626">
        <v>0</v>
      </c>
      <c r="AD143" s="1626">
        <v>0</v>
      </c>
      <c r="AE143" s="1626">
        <v>0</v>
      </c>
      <c r="AF143" s="1626">
        <v>0</v>
      </c>
      <c r="AG143" s="1626">
        <v>0</v>
      </c>
      <c r="AH143" s="1626">
        <v>0</v>
      </c>
      <c r="AI143" s="1626">
        <v>0</v>
      </c>
    </row>
    <row r="144" spans="1:35">
      <c r="A144" s="990">
        <v>1</v>
      </c>
      <c r="B144" s="990">
        <v>1</v>
      </c>
      <c r="D144" s="9" t="s">
        <v>999</v>
      </c>
      <c r="E144" s="1662" t="s">
        <v>1013</v>
      </c>
      <c r="F144" s="5"/>
      <c r="G144" s="5"/>
      <c r="H144" s="5"/>
      <c r="I144" s="613"/>
      <c r="J144" s="4" t="s">
        <v>143</v>
      </c>
      <c r="K144" s="4"/>
      <c r="L144" s="4"/>
      <c r="M144" s="4"/>
      <c r="N144" s="4"/>
      <c r="O144" s="4"/>
      <c r="P144" s="29"/>
      <c r="Q144" s="2032"/>
      <c r="R144" s="2032"/>
      <c r="S144" s="2032"/>
      <c r="T144" s="2032"/>
      <c r="U144" s="2032"/>
      <c r="V144" s="2032"/>
      <c r="W144" s="2036"/>
      <c r="X144" s="2036"/>
      <c r="Y144" s="2036"/>
      <c r="Z144" s="2253"/>
      <c r="AA144" s="2253"/>
      <c r="AB144" s="2253"/>
      <c r="AC144" s="145">
        <v>0</v>
      </c>
      <c r="AD144" s="145">
        <v>0</v>
      </c>
      <c r="AE144" s="145">
        <v>0</v>
      </c>
      <c r="AF144" s="145">
        <v>0</v>
      </c>
      <c r="AG144" s="145">
        <v>0</v>
      </c>
      <c r="AH144" s="145">
        <v>0</v>
      </c>
      <c r="AI144" s="145">
        <v>0</v>
      </c>
    </row>
    <row r="145" spans="1:36">
      <c r="A145" s="990">
        <v>1</v>
      </c>
      <c r="B145" s="990">
        <v>1</v>
      </c>
      <c r="D145" s="9" t="s">
        <v>999</v>
      </c>
      <c r="E145" s="1662" t="s">
        <v>1013</v>
      </c>
      <c r="F145" s="5"/>
      <c r="G145" s="5"/>
      <c r="H145" s="5"/>
      <c r="I145" s="613"/>
      <c r="J145" s="4" t="s">
        <v>96</v>
      </c>
      <c r="K145" s="4"/>
      <c r="L145" s="4"/>
      <c r="M145" s="4"/>
      <c r="N145" s="4"/>
      <c r="O145" s="4"/>
      <c r="P145" s="29"/>
      <c r="Q145" s="2032"/>
      <c r="R145" s="2032"/>
      <c r="S145" s="2032"/>
      <c r="T145" s="2032"/>
      <c r="U145" s="2032"/>
      <c r="V145" s="2032"/>
      <c r="W145" s="2036"/>
      <c r="X145" s="2036"/>
      <c r="Y145" s="2036"/>
      <c r="Z145" s="2253"/>
      <c r="AA145" s="2253"/>
      <c r="AB145" s="2253"/>
      <c r="AC145" s="145">
        <v>0</v>
      </c>
      <c r="AD145" s="145">
        <v>0</v>
      </c>
      <c r="AE145" s="145">
        <v>0</v>
      </c>
      <c r="AF145" s="145">
        <v>0</v>
      </c>
      <c r="AG145" s="145">
        <v>0</v>
      </c>
      <c r="AH145" s="145">
        <v>0</v>
      </c>
      <c r="AI145" s="145">
        <v>0</v>
      </c>
    </row>
    <row r="146" spans="1:36">
      <c r="A146" s="990">
        <v>1</v>
      </c>
      <c r="B146" s="990">
        <v>1</v>
      </c>
      <c r="D146" s="9" t="s">
        <v>999</v>
      </c>
      <c r="E146" s="1662" t="s">
        <v>1013</v>
      </c>
      <c r="F146" s="5"/>
      <c r="G146" s="5"/>
      <c r="H146" s="5"/>
      <c r="I146" s="1627"/>
      <c r="J146" s="51" t="s">
        <v>142</v>
      </c>
      <c r="K146" s="51"/>
      <c r="L146" s="51"/>
      <c r="M146" s="51"/>
      <c r="N146" s="51"/>
      <c r="O146" s="51"/>
      <c r="P146" s="50"/>
      <c r="Q146" s="2211"/>
      <c r="R146" s="2211"/>
      <c r="S146" s="2211"/>
      <c r="T146" s="2211"/>
      <c r="U146" s="2211"/>
      <c r="V146" s="2211"/>
      <c r="W146" s="2052"/>
      <c r="X146" s="2052"/>
      <c r="Y146" s="2052"/>
      <c r="Z146" s="2254"/>
      <c r="AA146" s="2254"/>
      <c r="AB146" s="2254"/>
      <c r="AC146" s="1626">
        <v>0</v>
      </c>
      <c r="AD146" s="1626">
        <v>0</v>
      </c>
      <c r="AE146" s="1626">
        <v>0</v>
      </c>
      <c r="AF146" s="1626">
        <v>0</v>
      </c>
      <c r="AG146" s="1626">
        <v>0</v>
      </c>
      <c r="AH146" s="1626">
        <v>0</v>
      </c>
      <c r="AI146" s="1626">
        <v>0</v>
      </c>
    </row>
    <row r="147" spans="1:36">
      <c r="A147" s="990">
        <v>1</v>
      </c>
      <c r="B147" s="990">
        <v>1</v>
      </c>
      <c r="D147" s="9" t="s">
        <v>999</v>
      </c>
      <c r="E147" s="1662" t="s">
        <v>1013</v>
      </c>
      <c r="F147" s="5"/>
      <c r="G147" s="5"/>
      <c r="H147" s="5"/>
      <c r="I147" s="1630" t="s">
        <v>136</v>
      </c>
      <c r="J147" s="1631"/>
      <c r="K147" s="1631"/>
      <c r="L147" s="1631"/>
      <c r="M147" s="1631"/>
      <c r="N147" s="1631"/>
      <c r="O147" s="1631"/>
      <c r="P147" s="1632"/>
      <c r="Q147" s="41">
        <v>0</v>
      </c>
      <c r="R147" s="41">
        <v>0</v>
      </c>
      <c r="S147" s="41">
        <v>0</v>
      </c>
      <c r="T147" s="41">
        <v>0</v>
      </c>
      <c r="U147" s="41">
        <v>0</v>
      </c>
      <c r="V147" s="41">
        <v>0</v>
      </c>
      <c r="W147" s="19">
        <v>0</v>
      </c>
      <c r="X147" s="19">
        <v>0</v>
      </c>
      <c r="Y147" s="19">
        <v>0</v>
      </c>
      <c r="Z147" s="145">
        <v>0</v>
      </c>
      <c r="AA147" s="145">
        <v>0</v>
      </c>
      <c r="AB147" s="145">
        <v>0</v>
      </c>
      <c r="AC147" s="145">
        <v>0</v>
      </c>
      <c r="AD147" s="145">
        <v>0</v>
      </c>
      <c r="AE147" s="145">
        <v>0</v>
      </c>
      <c r="AF147" s="145">
        <v>0</v>
      </c>
      <c r="AG147" s="145">
        <v>0</v>
      </c>
      <c r="AH147" s="145">
        <v>0</v>
      </c>
      <c r="AI147" s="145">
        <v>0</v>
      </c>
    </row>
    <row r="148" spans="1:36">
      <c r="A148" s="990">
        <v>1</v>
      </c>
      <c r="B148" s="990">
        <v>1</v>
      </c>
      <c r="D148" s="9" t="s">
        <v>999</v>
      </c>
      <c r="E148" s="1662" t="s">
        <v>1013</v>
      </c>
      <c r="F148" s="5"/>
      <c r="G148" s="5"/>
      <c r="H148" s="5"/>
      <c r="I148" s="1635" t="s">
        <v>1525</v>
      </c>
      <c r="J148" s="1636"/>
      <c r="K148" s="1636"/>
      <c r="L148" s="1636"/>
      <c r="M148" s="1636"/>
      <c r="N148" s="1636"/>
      <c r="O148" s="1636"/>
      <c r="P148" s="1637"/>
      <c r="Q148" s="66">
        <v>0</v>
      </c>
      <c r="R148" s="66">
        <v>0</v>
      </c>
      <c r="S148" s="66">
        <v>0</v>
      </c>
      <c r="T148" s="66">
        <v>0</v>
      </c>
      <c r="U148" s="66">
        <v>0</v>
      </c>
      <c r="V148" s="66">
        <v>0</v>
      </c>
      <c r="W148" s="17">
        <v>0</v>
      </c>
      <c r="X148" s="17">
        <v>0</v>
      </c>
      <c r="Y148" s="17">
        <v>0</v>
      </c>
      <c r="Z148" s="142">
        <v>0</v>
      </c>
      <c r="AA148" s="142">
        <v>0</v>
      </c>
      <c r="AB148" s="142">
        <v>0</v>
      </c>
      <c r="AC148" s="142">
        <v>0</v>
      </c>
      <c r="AD148" s="142">
        <v>0</v>
      </c>
      <c r="AE148" s="142">
        <v>0</v>
      </c>
      <c r="AF148" s="142">
        <v>0</v>
      </c>
      <c r="AG148" s="142">
        <v>0</v>
      </c>
      <c r="AH148" s="142">
        <v>0</v>
      </c>
      <c r="AI148" s="142">
        <v>0</v>
      </c>
    </row>
    <row r="149" spans="1:36">
      <c r="A149" s="990">
        <v>1</v>
      </c>
      <c r="B149" s="990">
        <v>1</v>
      </c>
      <c r="D149" s="1121" t="s">
        <v>999</v>
      </c>
      <c r="E149" s="1243">
        <v>1</v>
      </c>
      <c r="F149" s="5"/>
      <c r="G149" s="5"/>
      <c r="H149" s="5"/>
      <c r="I149" s="5"/>
      <c r="J149" s="4"/>
      <c r="K149" s="5"/>
      <c r="L149" s="5"/>
      <c r="M149" s="4"/>
      <c r="N149" s="4"/>
      <c r="O149" s="4"/>
      <c r="P149" s="4"/>
      <c r="Q149" s="2225"/>
      <c r="R149" s="1151"/>
      <c r="S149" s="1151"/>
      <c r="T149" s="1151"/>
      <c r="U149" s="1151"/>
      <c r="V149" s="1151"/>
      <c r="Z149" s="163"/>
      <c r="AA149" s="163"/>
      <c r="AB149" s="2201"/>
      <c r="AC149" s="163"/>
      <c r="AD149" s="163"/>
      <c r="AE149" s="163"/>
      <c r="AF149" s="163"/>
      <c r="AG149" s="163"/>
      <c r="AH149" s="163"/>
      <c r="AI149" s="868"/>
    </row>
    <row r="150" spans="1:36">
      <c r="A150" s="990">
        <v>126</v>
      </c>
      <c r="B150" s="990">
        <v>1</v>
      </c>
      <c r="C150" s="990">
        <v>150</v>
      </c>
      <c r="D150" s="1121" t="s">
        <v>999</v>
      </c>
      <c r="E150" s="1243">
        <v>1</v>
      </c>
      <c r="F150" s="5"/>
      <c r="G150" s="5"/>
      <c r="H150" s="5" t="s">
        <v>1035</v>
      </c>
      <c r="I150" s="5"/>
      <c r="J150" s="4"/>
      <c r="K150" s="5"/>
      <c r="L150" s="5"/>
      <c r="M150" s="4"/>
      <c r="N150" s="4"/>
      <c r="O150" s="4"/>
      <c r="P150" s="4"/>
      <c r="Q150" s="2225"/>
      <c r="R150" s="1151"/>
      <c r="S150" s="1151"/>
      <c r="T150" s="1151"/>
      <c r="U150" s="1151"/>
      <c r="V150" s="1151"/>
      <c r="AA150" s="1"/>
      <c r="AB150" s="2209"/>
      <c r="AC150" s="1"/>
      <c r="AD150" s="1"/>
      <c r="AE150" s="1"/>
      <c r="AF150" s="1"/>
      <c r="AG150" s="1"/>
      <c r="AH150" s="1"/>
      <c r="AI150" s="1"/>
      <c r="AJ150" s="619"/>
    </row>
    <row r="151" spans="1:36" s="619" customFormat="1" ht="14.5" hidden="1" outlineLevel="1">
      <c r="A151" s="990">
        <v>127</v>
      </c>
      <c r="B151" s="990">
        <v>1</v>
      </c>
      <c r="C151" s="990">
        <v>151</v>
      </c>
      <c r="D151" s="1121" t="s">
        <v>999</v>
      </c>
      <c r="E151" s="1243">
        <v>1</v>
      </c>
      <c r="F151" s="5"/>
      <c r="G151" s="5"/>
      <c r="H151" s="5"/>
      <c r="I151" s="132" t="s">
        <v>9</v>
      </c>
      <c r="J151" s="1171"/>
      <c r="K151" s="1172"/>
      <c r="L151" s="1172"/>
      <c r="M151" s="1172"/>
      <c r="N151" s="1172"/>
      <c r="O151" s="1173" t="s">
        <v>530</v>
      </c>
      <c r="P151" s="1172"/>
      <c r="Q151" s="1990">
        <v>0</v>
      </c>
      <c r="R151" s="1713">
        <v>0</v>
      </c>
      <c r="S151" s="1713">
        <v>0</v>
      </c>
      <c r="T151" s="1713">
        <v>0</v>
      </c>
      <c r="U151" s="1713">
        <v>0</v>
      </c>
      <c r="V151" s="1713">
        <v>0</v>
      </c>
      <c r="W151" s="1713">
        <v>0</v>
      </c>
      <c r="X151" s="1713">
        <v>0</v>
      </c>
      <c r="Y151" s="1713">
        <v>0</v>
      </c>
      <c r="Z151" s="1713">
        <v>0</v>
      </c>
      <c r="AA151" s="1713">
        <v>0</v>
      </c>
      <c r="AB151" s="1713">
        <v>0</v>
      </c>
      <c r="AC151" s="129">
        <v>0</v>
      </c>
      <c r="AD151" s="129">
        <v>0</v>
      </c>
      <c r="AE151" s="129">
        <v>0</v>
      </c>
      <c r="AF151" s="129">
        <v>0</v>
      </c>
      <c r="AG151" s="129">
        <v>0</v>
      </c>
      <c r="AH151" s="129">
        <v>0</v>
      </c>
      <c r="AI151" s="129">
        <v>0</v>
      </c>
    </row>
    <row r="152" spans="1:36" s="619" customFormat="1" hidden="1" outlineLevel="1">
      <c r="A152" s="990">
        <v>128</v>
      </c>
      <c r="B152" s="990">
        <v>1</v>
      </c>
      <c r="C152" s="990">
        <v>152</v>
      </c>
      <c r="D152" s="1121" t="s">
        <v>999</v>
      </c>
      <c r="E152" s="1243">
        <v>1</v>
      </c>
      <c r="F152" s="5"/>
      <c r="G152" s="5"/>
      <c r="H152" s="5"/>
      <c r="I152" s="30"/>
      <c r="J152" s="4"/>
      <c r="K152" s="5"/>
      <c r="L152" s="5"/>
      <c r="M152" s="4" t="s">
        <v>137</v>
      </c>
      <c r="N152" s="4"/>
      <c r="O152" s="4"/>
      <c r="P152" s="4"/>
      <c r="Q152" s="1927">
        <v>0</v>
      </c>
      <c r="R152" s="29">
        <v>0</v>
      </c>
      <c r="S152" s="29">
        <v>0</v>
      </c>
      <c r="T152" s="29">
        <v>0</v>
      </c>
      <c r="U152" s="29">
        <v>0</v>
      </c>
      <c r="V152" s="29">
        <v>0</v>
      </c>
      <c r="W152" s="29">
        <v>0</v>
      </c>
      <c r="X152" s="29">
        <v>0</v>
      </c>
      <c r="Y152" s="29">
        <v>0</v>
      </c>
      <c r="Z152" s="29">
        <v>0</v>
      </c>
      <c r="AA152" s="29">
        <v>0</v>
      </c>
      <c r="AB152" s="29">
        <v>0</v>
      </c>
      <c r="AC152" s="89">
        <v>0</v>
      </c>
      <c r="AD152" s="89">
        <v>0</v>
      </c>
      <c r="AE152" s="89">
        <v>0</v>
      </c>
      <c r="AF152" s="89">
        <v>0</v>
      </c>
      <c r="AG152" s="89">
        <v>0</v>
      </c>
      <c r="AH152" s="89">
        <v>0</v>
      </c>
      <c r="AI152" s="89">
        <v>0</v>
      </c>
    </row>
    <row r="153" spans="1:36" s="619" customFormat="1" hidden="1" outlineLevel="1">
      <c r="A153" s="990">
        <v>129</v>
      </c>
      <c r="B153" s="990">
        <v>1</v>
      </c>
      <c r="C153" s="990">
        <v>153</v>
      </c>
      <c r="D153" s="1121" t="s">
        <v>999</v>
      </c>
      <c r="E153" s="1243">
        <v>1</v>
      </c>
      <c r="F153" s="5"/>
      <c r="G153" s="5"/>
      <c r="H153" s="5"/>
      <c r="I153" s="30"/>
      <c r="J153" s="4"/>
      <c r="K153" s="5"/>
      <c r="L153" s="5"/>
      <c r="M153" s="4" t="s">
        <v>95</v>
      </c>
      <c r="N153" s="4"/>
      <c r="O153" s="4"/>
      <c r="P153" s="4"/>
      <c r="Q153" s="1927">
        <v>0</v>
      </c>
      <c r="R153" s="29">
        <v>0</v>
      </c>
      <c r="S153" s="29">
        <v>0</v>
      </c>
      <c r="T153" s="29">
        <v>0</v>
      </c>
      <c r="U153" s="29">
        <v>0</v>
      </c>
      <c r="V153" s="29">
        <v>0</v>
      </c>
      <c r="W153" s="29">
        <v>0</v>
      </c>
      <c r="X153" s="29">
        <v>0</v>
      </c>
      <c r="Y153" s="29">
        <v>0</v>
      </c>
      <c r="Z153" s="29">
        <v>0</v>
      </c>
      <c r="AA153" s="29">
        <v>0</v>
      </c>
      <c r="AB153" s="29">
        <v>0</v>
      </c>
      <c r="AC153" s="89">
        <v>0</v>
      </c>
      <c r="AD153" s="89">
        <v>0</v>
      </c>
      <c r="AE153" s="89">
        <v>0</v>
      </c>
      <c r="AF153" s="89">
        <v>0</v>
      </c>
      <c r="AG153" s="89">
        <v>0</v>
      </c>
      <c r="AH153" s="89">
        <v>0</v>
      </c>
      <c r="AI153" s="89">
        <v>0</v>
      </c>
    </row>
    <row r="154" spans="1:36" s="619" customFormat="1" hidden="1" outlineLevel="1">
      <c r="A154" s="990">
        <v>130</v>
      </c>
      <c r="B154" s="990">
        <v>1</v>
      </c>
      <c r="C154" s="990">
        <v>154</v>
      </c>
      <c r="D154" s="1121" t="s">
        <v>999</v>
      </c>
      <c r="E154" s="1243">
        <v>1</v>
      </c>
      <c r="F154" s="5"/>
      <c r="G154" s="5"/>
      <c r="H154" s="5"/>
      <c r="I154" s="30"/>
      <c r="J154" s="4"/>
      <c r="K154" s="5"/>
      <c r="L154" s="5"/>
      <c r="M154" s="4" t="s">
        <v>85</v>
      </c>
      <c r="N154" s="4"/>
      <c r="O154" s="4"/>
      <c r="P154" s="4"/>
      <c r="Q154" s="1927">
        <v>0</v>
      </c>
      <c r="R154" s="29">
        <v>0</v>
      </c>
      <c r="S154" s="29">
        <v>0</v>
      </c>
      <c r="T154" s="29">
        <v>0</v>
      </c>
      <c r="U154" s="29">
        <v>0</v>
      </c>
      <c r="V154" s="29">
        <v>0</v>
      </c>
      <c r="W154" s="29">
        <v>0</v>
      </c>
      <c r="X154" s="29">
        <v>0</v>
      </c>
      <c r="Y154" s="29">
        <v>0</v>
      </c>
      <c r="Z154" s="29">
        <v>0</v>
      </c>
      <c r="AA154" s="29">
        <v>0</v>
      </c>
      <c r="AB154" s="29">
        <v>0</v>
      </c>
      <c r="AC154" s="89">
        <v>0</v>
      </c>
      <c r="AD154" s="89">
        <v>0</v>
      </c>
      <c r="AE154" s="89">
        <v>0</v>
      </c>
      <c r="AF154" s="89">
        <v>0</v>
      </c>
      <c r="AG154" s="89">
        <v>0</v>
      </c>
      <c r="AH154" s="89">
        <v>0</v>
      </c>
      <c r="AI154" s="89">
        <v>0</v>
      </c>
    </row>
    <row r="155" spans="1:36" collapsed="1">
      <c r="A155" s="990">
        <v>131</v>
      </c>
      <c r="B155" s="990">
        <v>1</v>
      </c>
      <c r="C155" s="990">
        <v>155</v>
      </c>
      <c r="D155" s="1121" t="s">
        <v>999</v>
      </c>
      <c r="E155" s="1243">
        <v>1</v>
      </c>
      <c r="F155" s="5"/>
      <c r="G155" s="5"/>
      <c r="H155" s="5"/>
      <c r="I155" s="30"/>
      <c r="J155" s="4"/>
      <c r="K155" s="5"/>
      <c r="L155" s="5"/>
      <c r="M155" s="4" t="s">
        <v>11</v>
      </c>
      <c r="N155" s="4"/>
      <c r="O155" s="4"/>
      <c r="P155" s="4"/>
      <c r="Q155" s="1927">
        <v>0</v>
      </c>
      <c r="R155" s="29">
        <v>0</v>
      </c>
      <c r="S155" s="29">
        <v>0</v>
      </c>
      <c r="T155" s="29">
        <v>0</v>
      </c>
      <c r="U155" s="29">
        <v>0</v>
      </c>
      <c r="V155" s="29">
        <v>0</v>
      </c>
      <c r="W155" s="29">
        <v>0</v>
      </c>
      <c r="X155" s="29">
        <v>0</v>
      </c>
      <c r="Y155" s="29">
        <v>0</v>
      </c>
      <c r="Z155" s="29">
        <v>0</v>
      </c>
      <c r="AA155" s="29">
        <v>0</v>
      </c>
      <c r="AB155" s="29">
        <v>0</v>
      </c>
      <c r="AC155" s="89">
        <v>0</v>
      </c>
      <c r="AD155" s="89">
        <v>0</v>
      </c>
      <c r="AE155" s="89">
        <v>0</v>
      </c>
      <c r="AF155" s="89">
        <v>0</v>
      </c>
      <c r="AG155" s="89">
        <v>0</v>
      </c>
      <c r="AH155" s="89">
        <v>0</v>
      </c>
      <c r="AI155" s="89">
        <v>0</v>
      </c>
    </row>
    <row r="156" spans="1:36" ht="14.5">
      <c r="A156" s="990">
        <v>132</v>
      </c>
      <c r="B156" s="990">
        <v>1</v>
      </c>
      <c r="C156" s="990">
        <v>156</v>
      </c>
      <c r="D156" s="1121" t="s">
        <v>999</v>
      </c>
      <c r="E156" s="1243">
        <v>1</v>
      </c>
      <c r="F156" s="5"/>
      <c r="G156" s="5"/>
      <c r="H156" s="5"/>
      <c r="I156" s="132" t="s">
        <v>128</v>
      </c>
      <c r="J156" s="1171"/>
      <c r="K156" s="1172"/>
      <c r="L156" s="1172"/>
      <c r="M156" s="1172"/>
      <c r="N156" s="1172"/>
      <c r="O156" s="1173" t="s">
        <v>532</v>
      </c>
      <c r="P156" s="1172"/>
      <c r="Q156" s="1990">
        <v>0</v>
      </c>
      <c r="R156" s="1713">
        <v>0</v>
      </c>
      <c r="S156" s="1713">
        <v>0</v>
      </c>
      <c r="T156" s="1713">
        <v>0</v>
      </c>
      <c r="U156" s="1713">
        <v>0</v>
      </c>
      <c r="V156" s="1713">
        <v>0</v>
      </c>
      <c r="W156" s="1713">
        <v>0</v>
      </c>
      <c r="X156" s="1713">
        <v>0</v>
      </c>
      <c r="Y156" s="1713">
        <v>0</v>
      </c>
      <c r="Z156" s="1713">
        <v>0</v>
      </c>
      <c r="AA156" s="1713">
        <v>0</v>
      </c>
      <c r="AB156" s="1713">
        <v>0</v>
      </c>
      <c r="AC156" s="129">
        <v>0</v>
      </c>
      <c r="AD156" s="129">
        <v>0</v>
      </c>
      <c r="AE156" s="129">
        <v>0</v>
      </c>
      <c r="AF156" s="129">
        <v>0</v>
      </c>
      <c r="AG156" s="129">
        <v>0</v>
      </c>
      <c r="AH156" s="129">
        <v>0</v>
      </c>
      <c r="AI156" s="129">
        <v>0</v>
      </c>
    </row>
    <row r="157" spans="1:36">
      <c r="A157" s="990">
        <v>133</v>
      </c>
      <c r="B157" s="990">
        <v>1</v>
      </c>
      <c r="C157" s="990">
        <v>157</v>
      </c>
      <c r="D157" s="1121" t="s">
        <v>999</v>
      </c>
      <c r="E157" s="1243">
        <v>1</v>
      </c>
      <c r="F157" s="5"/>
      <c r="G157" s="5"/>
      <c r="H157" s="5"/>
      <c r="I157" s="30"/>
      <c r="J157" s="4"/>
      <c r="K157" s="5"/>
      <c r="L157" s="5"/>
      <c r="M157" s="4" t="s">
        <v>137</v>
      </c>
      <c r="N157" s="4"/>
      <c r="O157" s="4"/>
      <c r="P157" s="4"/>
      <c r="Q157" s="2032"/>
      <c r="R157" s="2039"/>
      <c r="S157" s="2039"/>
      <c r="T157" s="2039"/>
      <c r="U157" s="2039"/>
      <c r="V157" s="2039"/>
      <c r="W157" s="2039"/>
      <c r="X157" s="2039"/>
      <c r="Y157" s="2039"/>
      <c r="Z157" s="2039"/>
      <c r="AA157" s="2039"/>
      <c r="AB157" s="2039"/>
      <c r="AC157" s="89">
        <v>0</v>
      </c>
      <c r="AD157" s="89">
        <v>0</v>
      </c>
      <c r="AE157" s="89">
        <v>0</v>
      </c>
      <c r="AF157" s="89">
        <v>0</v>
      </c>
      <c r="AG157" s="89">
        <v>0</v>
      </c>
      <c r="AH157" s="89">
        <v>0</v>
      </c>
      <c r="AI157" s="89">
        <v>0</v>
      </c>
    </row>
    <row r="158" spans="1:36">
      <c r="A158" s="990">
        <v>134</v>
      </c>
      <c r="B158" s="990">
        <v>1</v>
      </c>
      <c r="C158" s="990">
        <v>158</v>
      </c>
      <c r="D158" s="1121" t="s">
        <v>999</v>
      </c>
      <c r="E158" s="1243">
        <v>1</v>
      </c>
      <c r="F158" s="5"/>
      <c r="G158" s="5"/>
      <c r="H158" s="5"/>
      <c r="I158" s="30"/>
      <c r="J158" s="4"/>
      <c r="K158" s="5"/>
      <c r="L158" s="5"/>
      <c r="M158" s="4" t="s">
        <v>95</v>
      </c>
      <c r="N158" s="4"/>
      <c r="O158" s="4"/>
      <c r="P158" s="4"/>
      <c r="Q158" s="2032"/>
      <c r="R158" s="2039"/>
      <c r="S158" s="2039"/>
      <c r="T158" s="2039"/>
      <c r="U158" s="2039"/>
      <c r="V158" s="2039"/>
      <c r="W158" s="2039"/>
      <c r="X158" s="2039"/>
      <c r="Y158" s="2039"/>
      <c r="Z158" s="2039"/>
      <c r="AA158" s="2039"/>
      <c r="AB158" s="2039"/>
      <c r="AC158" s="89">
        <v>0</v>
      </c>
      <c r="AD158" s="89">
        <v>0</v>
      </c>
      <c r="AE158" s="89">
        <v>0</v>
      </c>
      <c r="AF158" s="89">
        <v>0</v>
      </c>
      <c r="AG158" s="89">
        <v>0</v>
      </c>
      <c r="AH158" s="89">
        <v>0</v>
      </c>
      <c r="AI158" s="89">
        <v>0</v>
      </c>
    </row>
    <row r="159" spans="1:36">
      <c r="A159" s="990">
        <v>135</v>
      </c>
      <c r="B159" s="990">
        <v>1</v>
      </c>
      <c r="C159" s="990">
        <v>159</v>
      </c>
      <c r="D159" s="1121" t="s">
        <v>999</v>
      </c>
      <c r="E159" s="1243">
        <v>1</v>
      </c>
      <c r="F159" s="5"/>
      <c r="G159" s="5"/>
      <c r="H159" s="5"/>
      <c r="I159" s="30"/>
      <c r="J159" s="4"/>
      <c r="K159" s="5"/>
      <c r="L159" s="5"/>
      <c r="M159" s="4" t="s">
        <v>85</v>
      </c>
      <c r="N159" s="4"/>
      <c r="O159" s="4"/>
      <c r="P159" s="4"/>
      <c r="Q159" s="2032"/>
      <c r="R159" s="2039"/>
      <c r="S159" s="2039"/>
      <c r="T159" s="2039"/>
      <c r="U159" s="2039"/>
      <c r="V159" s="2039"/>
      <c r="W159" s="2039"/>
      <c r="X159" s="2039"/>
      <c r="Y159" s="2039"/>
      <c r="Z159" s="2039"/>
      <c r="AA159" s="2039"/>
      <c r="AB159" s="2039"/>
      <c r="AC159" s="89">
        <v>0</v>
      </c>
      <c r="AD159" s="89">
        <v>0</v>
      </c>
      <c r="AE159" s="89">
        <v>0</v>
      </c>
      <c r="AF159" s="89">
        <v>0</v>
      </c>
      <c r="AG159" s="89">
        <v>0</v>
      </c>
      <c r="AH159" s="89">
        <v>0</v>
      </c>
      <c r="AI159" s="89">
        <v>0</v>
      </c>
    </row>
    <row r="160" spans="1:36">
      <c r="A160" s="990">
        <v>136</v>
      </c>
      <c r="B160" s="990">
        <v>1</v>
      </c>
      <c r="C160" s="990">
        <v>160</v>
      </c>
      <c r="D160" s="1121" t="s">
        <v>999</v>
      </c>
      <c r="E160" s="1243">
        <v>1</v>
      </c>
      <c r="F160" s="5"/>
      <c r="G160" s="5"/>
      <c r="H160" s="5"/>
      <c r="I160" s="30"/>
      <c r="J160" s="4"/>
      <c r="K160" s="5"/>
      <c r="L160" s="5"/>
      <c r="M160" s="4" t="s">
        <v>11</v>
      </c>
      <c r="N160" s="4"/>
      <c r="O160" s="4"/>
      <c r="P160" s="4"/>
      <c r="Q160" s="2032"/>
      <c r="R160" s="2039"/>
      <c r="S160" s="2039"/>
      <c r="T160" s="2039"/>
      <c r="U160" s="2039"/>
      <c r="V160" s="2039"/>
      <c r="W160" s="2039"/>
      <c r="X160" s="2039"/>
      <c r="Y160" s="2039"/>
      <c r="Z160" s="2039"/>
      <c r="AA160" s="2039"/>
      <c r="AB160" s="2039"/>
      <c r="AC160" s="89">
        <v>0</v>
      </c>
      <c r="AD160" s="89">
        <v>0</v>
      </c>
      <c r="AE160" s="89">
        <v>0</v>
      </c>
      <c r="AF160" s="89">
        <v>0</v>
      </c>
      <c r="AG160" s="89">
        <v>0</v>
      </c>
      <c r="AH160" s="89">
        <v>0</v>
      </c>
      <c r="AI160" s="89">
        <v>0</v>
      </c>
    </row>
    <row r="161" spans="1:36">
      <c r="A161" s="990">
        <v>137</v>
      </c>
      <c r="B161" s="990">
        <v>1</v>
      </c>
      <c r="C161" s="990">
        <v>161</v>
      </c>
      <c r="D161" s="1121"/>
      <c r="E161" s="1243">
        <v>1</v>
      </c>
      <c r="F161" s="5"/>
      <c r="G161" s="5"/>
      <c r="H161" s="5"/>
      <c r="I161" s="132" t="s">
        <v>106</v>
      </c>
      <c r="J161" s="1171"/>
      <c r="K161" s="1172"/>
      <c r="L161" s="1172"/>
      <c r="M161" s="1172"/>
      <c r="N161" s="1172"/>
      <c r="O161" s="1172"/>
      <c r="P161" s="1172"/>
      <c r="Q161" s="1990">
        <v>0</v>
      </c>
      <c r="R161" s="1713">
        <v>0</v>
      </c>
      <c r="S161" s="1713">
        <v>0</v>
      </c>
      <c r="T161" s="1713">
        <v>0</v>
      </c>
      <c r="U161" s="1713">
        <v>0</v>
      </c>
      <c r="V161" s="1713">
        <v>0</v>
      </c>
      <c r="W161" s="1713">
        <v>0</v>
      </c>
      <c r="X161" s="1713">
        <v>0</v>
      </c>
      <c r="Y161" s="1713">
        <v>0</v>
      </c>
      <c r="Z161" s="1713">
        <v>0</v>
      </c>
      <c r="AA161" s="1713">
        <v>0</v>
      </c>
      <c r="AB161" s="1713">
        <v>0</v>
      </c>
      <c r="AC161" s="129">
        <v>0</v>
      </c>
      <c r="AD161" s="129">
        <v>0</v>
      </c>
      <c r="AE161" s="129">
        <v>0</v>
      </c>
      <c r="AF161" s="129">
        <v>0</v>
      </c>
      <c r="AG161" s="129">
        <v>0</v>
      </c>
      <c r="AH161" s="129">
        <v>0</v>
      </c>
      <c r="AI161" s="129">
        <v>0</v>
      </c>
    </row>
    <row r="162" spans="1:36">
      <c r="A162" s="990">
        <v>138</v>
      </c>
      <c r="B162" s="990">
        <v>1</v>
      </c>
      <c r="C162" s="990">
        <v>162</v>
      </c>
      <c r="D162" s="1121"/>
      <c r="E162" s="1243">
        <v>1</v>
      </c>
      <c r="F162" s="5"/>
      <c r="G162" s="5"/>
      <c r="H162" s="5"/>
      <c r="I162" s="30"/>
      <c r="J162" s="4"/>
      <c r="K162" s="5"/>
      <c r="L162" s="5"/>
      <c r="M162" s="4" t="s">
        <v>137</v>
      </c>
      <c r="N162" s="4"/>
      <c r="O162" s="4"/>
      <c r="P162" s="4"/>
      <c r="Q162" s="1927">
        <v>0</v>
      </c>
      <c r="R162" s="29">
        <v>0</v>
      </c>
      <c r="S162" s="29">
        <v>0</v>
      </c>
      <c r="T162" s="29">
        <v>0</v>
      </c>
      <c r="U162" s="29">
        <v>0</v>
      </c>
      <c r="V162" s="29">
        <v>0</v>
      </c>
      <c r="W162" s="29">
        <v>0</v>
      </c>
      <c r="X162" s="29">
        <v>0</v>
      </c>
      <c r="Y162" s="29">
        <v>0</v>
      </c>
      <c r="Z162" s="29">
        <v>0</v>
      </c>
      <c r="AA162" s="29">
        <v>0</v>
      </c>
      <c r="AB162" s="29">
        <v>0</v>
      </c>
      <c r="AC162" s="89">
        <v>0</v>
      </c>
      <c r="AD162" s="89">
        <v>0</v>
      </c>
      <c r="AE162" s="89">
        <v>0</v>
      </c>
      <c r="AF162" s="89">
        <v>0</v>
      </c>
      <c r="AG162" s="89">
        <v>0</v>
      </c>
      <c r="AH162" s="89">
        <v>0</v>
      </c>
      <c r="AI162" s="89">
        <v>0</v>
      </c>
    </row>
    <row r="163" spans="1:36">
      <c r="A163" s="990">
        <v>139</v>
      </c>
      <c r="B163" s="990">
        <v>1</v>
      </c>
      <c r="C163" s="990">
        <v>163</v>
      </c>
      <c r="D163" s="1121"/>
      <c r="E163" s="1243">
        <v>1</v>
      </c>
      <c r="F163" s="5"/>
      <c r="G163" s="5"/>
      <c r="H163" s="5"/>
      <c r="I163" s="30"/>
      <c r="J163" s="4"/>
      <c r="K163" s="5"/>
      <c r="L163" s="5"/>
      <c r="M163" s="4" t="s">
        <v>95</v>
      </c>
      <c r="N163" s="4"/>
      <c r="O163" s="4"/>
      <c r="P163" s="4"/>
      <c r="Q163" s="2213">
        <v>0</v>
      </c>
      <c r="R163" s="2089">
        <v>0</v>
      </c>
      <c r="S163" s="2089">
        <v>0</v>
      </c>
      <c r="T163" s="2089">
        <v>0</v>
      </c>
      <c r="U163" s="2089">
        <v>0</v>
      </c>
      <c r="V163" s="2089">
        <v>0</v>
      </c>
      <c r="W163" s="2089">
        <v>0</v>
      </c>
      <c r="X163" s="2089">
        <v>0</v>
      </c>
      <c r="Y163" s="2089">
        <v>0</v>
      </c>
      <c r="Z163" s="2089">
        <v>0</v>
      </c>
      <c r="AA163" s="2089">
        <v>0</v>
      </c>
      <c r="AB163" s="2089">
        <v>0</v>
      </c>
      <c r="AC163" s="89">
        <v>0</v>
      </c>
      <c r="AD163" s="89">
        <v>0</v>
      </c>
      <c r="AE163" s="89">
        <v>0</v>
      </c>
      <c r="AF163" s="89">
        <v>0</v>
      </c>
      <c r="AG163" s="89">
        <v>0</v>
      </c>
      <c r="AH163" s="89">
        <v>0</v>
      </c>
      <c r="AI163" s="89">
        <v>0</v>
      </c>
    </row>
    <row r="164" spans="1:36">
      <c r="A164" s="990">
        <v>140</v>
      </c>
      <c r="B164" s="990">
        <v>1</v>
      </c>
      <c r="C164" s="990">
        <v>164</v>
      </c>
      <c r="D164" s="1121"/>
      <c r="E164" s="1243">
        <v>1</v>
      </c>
      <c r="F164" s="5"/>
      <c r="G164" s="5"/>
      <c r="H164" s="5"/>
      <c r="I164" s="30"/>
      <c r="J164" s="4"/>
      <c r="K164" s="5"/>
      <c r="L164" s="5"/>
      <c r="M164" s="4"/>
      <c r="N164" s="4"/>
      <c r="O164" s="374" t="s">
        <v>461</v>
      </c>
      <c r="P164" s="1141"/>
      <c r="Q164" s="2210"/>
      <c r="R164" s="2087"/>
      <c r="S164" s="2087"/>
      <c r="T164" s="2087"/>
      <c r="U164" s="2087"/>
      <c r="V164" s="2087"/>
      <c r="W164" s="2087"/>
      <c r="X164" s="2087"/>
      <c r="Y164" s="2087"/>
      <c r="Z164" s="2087"/>
      <c r="AA164" s="2087"/>
      <c r="AB164" s="2087"/>
      <c r="AC164" s="581">
        <v>0</v>
      </c>
      <c r="AD164" s="581">
        <v>0</v>
      </c>
      <c r="AE164" s="581">
        <v>0</v>
      </c>
      <c r="AF164" s="581">
        <v>0</v>
      </c>
      <c r="AG164" s="581">
        <v>0</v>
      </c>
      <c r="AH164" s="581">
        <v>0</v>
      </c>
      <c r="AI164" s="581">
        <v>0</v>
      </c>
      <c r="AJ164" s="619"/>
    </row>
    <row r="165" spans="1:36">
      <c r="A165" s="990">
        <v>141</v>
      </c>
      <c r="B165" s="990">
        <v>1</v>
      </c>
      <c r="C165" s="990">
        <v>165</v>
      </c>
      <c r="D165" s="1121"/>
      <c r="E165" s="1243">
        <v>1</v>
      </c>
      <c r="F165" s="5"/>
      <c r="G165" s="5"/>
      <c r="H165" s="5"/>
      <c r="I165" s="30"/>
      <c r="J165" s="4"/>
      <c r="K165" s="5"/>
      <c r="L165" s="5"/>
      <c r="M165" s="4"/>
      <c r="N165" s="4"/>
      <c r="O165" s="4"/>
      <c r="P165" s="4" t="s">
        <v>1022</v>
      </c>
      <c r="Q165" s="2032"/>
      <c r="R165" s="2039"/>
      <c r="S165" s="2039"/>
      <c r="T165" s="2039"/>
      <c r="U165" s="2039"/>
      <c r="V165" s="2039"/>
      <c r="W165" s="2039"/>
      <c r="X165" s="2039"/>
      <c r="Y165" s="2039"/>
      <c r="Z165" s="2039"/>
      <c r="AA165" s="2039"/>
      <c r="AB165" s="2039"/>
      <c r="AC165" s="89">
        <v>0</v>
      </c>
      <c r="AD165" s="89">
        <v>0</v>
      </c>
      <c r="AE165" s="89">
        <v>0</v>
      </c>
      <c r="AF165" s="89">
        <v>0</v>
      </c>
      <c r="AG165" s="89">
        <v>0</v>
      </c>
      <c r="AH165" s="89">
        <v>0</v>
      </c>
      <c r="AI165" s="89">
        <v>0</v>
      </c>
    </row>
    <row r="166" spans="1:36">
      <c r="A166" s="990">
        <v>142</v>
      </c>
      <c r="B166" s="990">
        <v>1</v>
      </c>
      <c r="C166" s="990">
        <v>166</v>
      </c>
      <c r="D166" s="1121"/>
      <c r="E166" s="1243">
        <v>1</v>
      </c>
      <c r="F166" s="5"/>
      <c r="G166" s="5"/>
      <c r="H166" s="5"/>
      <c r="I166" s="30"/>
      <c r="J166" s="4"/>
      <c r="K166" s="5"/>
      <c r="L166" s="5"/>
      <c r="M166" s="4"/>
      <c r="N166" s="4"/>
      <c r="O166" s="4"/>
      <c r="P166" s="51" t="s">
        <v>1023</v>
      </c>
      <c r="Q166" s="2214">
        <v>0</v>
      </c>
      <c r="R166" s="2090">
        <v>0</v>
      </c>
      <c r="S166" s="2090">
        <v>0</v>
      </c>
      <c r="T166" s="2090">
        <v>0</v>
      </c>
      <c r="U166" s="2090">
        <v>0</v>
      </c>
      <c r="V166" s="2090">
        <v>0</v>
      </c>
      <c r="W166" s="2090">
        <v>0</v>
      </c>
      <c r="X166" s="2090">
        <v>0</v>
      </c>
      <c r="Y166" s="2090">
        <v>0</v>
      </c>
      <c r="Z166" s="2090">
        <v>0</v>
      </c>
      <c r="AA166" s="2090">
        <v>0</v>
      </c>
      <c r="AB166" s="2090">
        <v>0</v>
      </c>
      <c r="AC166" s="134">
        <v>0</v>
      </c>
      <c r="AD166" s="134">
        <v>0</v>
      </c>
      <c r="AE166" s="134">
        <v>0</v>
      </c>
      <c r="AF166" s="134">
        <v>0</v>
      </c>
      <c r="AG166" s="134">
        <v>0</v>
      </c>
      <c r="AH166" s="134">
        <v>0</v>
      </c>
      <c r="AI166" s="134">
        <v>0</v>
      </c>
    </row>
    <row r="167" spans="1:36">
      <c r="A167" s="990">
        <v>143</v>
      </c>
      <c r="B167" s="990">
        <v>1</v>
      </c>
      <c r="C167" s="990">
        <v>167</v>
      </c>
      <c r="D167" s="1121"/>
      <c r="E167" s="1243">
        <v>1</v>
      </c>
      <c r="F167" s="5"/>
      <c r="G167" s="5"/>
      <c r="H167" s="5"/>
      <c r="I167" s="30"/>
      <c r="J167" s="4"/>
      <c r="K167" s="5"/>
      <c r="L167" s="5"/>
      <c r="M167" s="4"/>
      <c r="N167" s="4"/>
      <c r="O167" s="4" t="s">
        <v>1024</v>
      </c>
      <c r="P167" s="4"/>
      <c r="Q167" s="2213">
        <v>0</v>
      </c>
      <c r="R167" s="2089">
        <v>0</v>
      </c>
      <c r="S167" s="2089">
        <v>0</v>
      </c>
      <c r="T167" s="2089">
        <v>0</v>
      </c>
      <c r="U167" s="2089">
        <v>0</v>
      </c>
      <c r="V167" s="2089">
        <v>0</v>
      </c>
      <c r="W167" s="2089">
        <v>0</v>
      </c>
      <c r="X167" s="2089">
        <v>0</v>
      </c>
      <c r="Y167" s="2089">
        <v>0</v>
      </c>
      <c r="Z167" s="2089">
        <v>0</v>
      </c>
      <c r="AA167" s="2089">
        <v>0</v>
      </c>
      <c r="AB167" s="2089">
        <v>0</v>
      </c>
      <c r="AC167" s="89">
        <v>0</v>
      </c>
      <c r="AD167" s="89">
        <v>0</v>
      </c>
      <c r="AE167" s="89">
        <v>0</v>
      </c>
      <c r="AF167" s="89">
        <v>0</v>
      </c>
      <c r="AG167" s="89">
        <v>0</v>
      </c>
      <c r="AH167" s="89">
        <v>0</v>
      </c>
      <c r="AI167" s="89">
        <v>0</v>
      </c>
    </row>
    <row r="168" spans="1:36">
      <c r="A168" s="990">
        <v>144</v>
      </c>
      <c r="B168" s="990">
        <v>1</v>
      </c>
      <c r="C168" s="990">
        <v>168</v>
      </c>
      <c r="D168" s="1121"/>
      <c r="E168" s="1243">
        <v>1</v>
      </c>
      <c r="F168" s="5"/>
      <c r="G168" s="5"/>
      <c r="H168" s="5"/>
      <c r="I168" s="30"/>
      <c r="J168" s="4"/>
      <c r="K168" s="5"/>
      <c r="L168" s="5"/>
      <c r="M168" s="4"/>
      <c r="N168" s="4"/>
      <c r="O168" s="4" t="s">
        <v>1025</v>
      </c>
      <c r="P168" s="4"/>
      <c r="Q168" s="2213">
        <v>0</v>
      </c>
      <c r="R168" s="2089">
        <v>0</v>
      </c>
      <c r="S168" s="2089">
        <v>0</v>
      </c>
      <c r="T168" s="2089">
        <v>0</v>
      </c>
      <c r="U168" s="2089">
        <v>0</v>
      </c>
      <c r="V168" s="2089">
        <v>0</v>
      </c>
      <c r="W168" s="2089">
        <v>0</v>
      </c>
      <c r="X168" s="2089">
        <v>0</v>
      </c>
      <c r="Y168" s="2089">
        <v>0</v>
      </c>
      <c r="Z168" s="2089">
        <v>0</v>
      </c>
      <c r="AA168" s="2089">
        <v>0</v>
      </c>
      <c r="AB168" s="2089">
        <v>0</v>
      </c>
      <c r="AC168" s="89">
        <v>0</v>
      </c>
      <c r="AD168" s="89">
        <v>0</v>
      </c>
      <c r="AE168" s="89">
        <v>0</v>
      </c>
      <c r="AF168" s="89">
        <v>0</v>
      </c>
      <c r="AG168" s="89">
        <v>0</v>
      </c>
      <c r="AH168" s="89">
        <v>0</v>
      </c>
      <c r="AI168" s="89">
        <v>0</v>
      </c>
      <c r="AJ168" s="619"/>
    </row>
    <row r="169" spans="1:36">
      <c r="A169" s="990">
        <v>145</v>
      </c>
      <c r="B169" s="990">
        <v>1</v>
      </c>
      <c r="C169" s="990">
        <v>169</v>
      </c>
      <c r="D169" s="1121"/>
      <c r="E169" s="1243">
        <v>1</v>
      </c>
      <c r="F169" s="5"/>
      <c r="G169" s="5"/>
      <c r="H169" s="5"/>
      <c r="I169" s="30"/>
      <c r="J169" s="4"/>
      <c r="K169" s="5"/>
      <c r="L169" s="5"/>
      <c r="M169" s="4"/>
      <c r="N169" s="4"/>
      <c r="O169" s="4" t="s">
        <v>49</v>
      </c>
      <c r="P169" s="4"/>
      <c r="Q169" s="2213">
        <v>0</v>
      </c>
      <c r="R169" s="2089">
        <v>0</v>
      </c>
      <c r="S169" s="2089">
        <v>0</v>
      </c>
      <c r="T169" s="2089">
        <v>0</v>
      </c>
      <c r="U169" s="2089">
        <v>0</v>
      </c>
      <c r="V169" s="2089">
        <v>0</v>
      </c>
      <c r="W169" s="2089">
        <v>0</v>
      </c>
      <c r="X169" s="2089">
        <v>0</v>
      </c>
      <c r="Y169" s="2089">
        <v>0</v>
      </c>
      <c r="Z169" s="2089">
        <v>0</v>
      </c>
      <c r="AA169" s="2089">
        <v>0</v>
      </c>
      <c r="AB169" s="2089">
        <v>0</v>
      </c>
      <c r="AC169" s="89">
        <v>0</v>
      </c>
      <c r="AD169" s="89">
        <v>0</v>
      </c>
      <c r="AE169" s="89">
        <v>0</v>
      </c>
      <c r="AF169" s="89">
        <v>0</v>
      </c>
      <c r="AG169" s="89">
        <v>0</v>
      </c>
      <c r="AH169" s="89">
        <v>0</v>
      </c>
      <c r="AI169" s="89">
        <v>0</v>
      </c>
    </row>
    <row r="170" spans="1:36">
      <c r="A170" s="990">
        <v>146</v>
      </c>
      <c r="B170" s="990">
        <v>1</v>
      </c>
      <c r="C170" s="990">
        <v>170</v>
      </c>
      <c r="D170" s="1121"/>
      <c r="E170" s="1243">
        <v>1</v>
      </c>
      <c r="F170" s="5"/>
      <c r="G170" s="5"/>
      <c r="H170" s="5"/>
      <c r="I170" s="30"/>
      <c r="J170" s="4"/>
      <c r="K170" s="5"/>
      <c r="L170" s="5"/>
      <c r="M170" s="4"/>
      <c r="N170" s="4"/>
      <c r="O170" s="4" t="s">
        <v>11</v>
      </c>
      <c r="P170" s="4"/>
      <c r="Q170" s="2213">
        <v>0</v>
      </c>
      <c r="R170" s="2089">
        <v>0</v>
      </c>
      <c r="S170" s="2089">
        <v>0</v>
      </c>
      <c r="T170" s="2089">
        <v>0</v>
      </c>
      <c r="U170" s="2089">
        <v>0</v>
      </c>
      <c r="V170" s="2089">
        <v>0</v>
      </c>
      <c r="W170" s="2089">
        <v>0</v>
      </c>
      <c r="X170" s="2089">
        <v>0</v>
      </c>
      <c r="Y170" s="2089">
        <v>0</v>
      </c>
      <c r="Z170" s="2089">
        <v>0</v>
      </c>
      <c r="AA170" s="2089">
        <v>0</v>
      </c>
      <c r="AB170" s="2089">
        <v>0</v>
      </c>
      <c r="AC170" s="89">
        <v>0</v>
      </c>
      <c r="AD170" s="89">
        <v>0</v>
      </c>
      <c r="AE170" s="89">
        <v>0</v>
      </c>
      <c r="AF170" s="89">
        <v>0</v>
      </c>
      <c r="AG170" s="89">
        <v>0</v>
      </c>
      <c r="AH170" s="89">
        <v>0</v>
      </c>
      <c r="AI170" s="89">
        <v>0</v>
      </c>
    </row>
    <row r="171" spans="1:36">
      <c r="A171" s="990">
        <v>147</v>
      </c>
      <c r="B171" s="990">
        <v>1</v>
      </c>
      <c r="C171" s="990">
        <v>171</v>
      </c>
      <c r="D171" s="1121"/>
      <c r="E171" s="1243">
        <v>1</v>
      </c>
      <c r="F171" s="5"/>
      <c r="G171" s="5"/>
      <c r="H171" s="5"/>
      <c r="I171" s="30"/>
      <c r="J171" s="4"/>
      <c r="K171" s="5"/>
      <c r="L171" s="5"/>
      <c r="M171" s="4" t="s">
        <v>85</v>
      </c>
      <c r="N171" s="4"/>
      <c r="O171" s="4"/>
      <c r="P171" s="4"/>
      <c r="Q171" s="1928">
        <v>0</v>
      </c>
      <c r="R171" s="2177">
        <v>0</v>
      </c>
      <c r="S171" s="2177">
        <v>0</v>
      </c>
      <c r="T171" s="2177">
        <v>0</v>
      </c>
      <c r="U171" s="2177">
        <v>0</v>
      </c>
      <c r="V171" s="2177">
        <v>0</v>
      </c>
      <c r="W171" s="2177">
        <v>0</v>
      </c>
      <c r="X171" s="2177">
        <v>0</v>
      </c>
      <c r="Y171" s="2177">
        <v>0</v>
      </c>
      <c r="Z171" s="2177">
        <v>0</v>
      </c>
      <c r="AA171" s="2177">
        <v>0</v>
      </c>
      <c r="AB171" s="2177">
        <v>0</v>
      </c>
      <c r="AC171" s="89">
        <v>0</v>
      </c>
      <c r="AD171" s="89">
        <v>0</v>
      </c>
      <c r="AE171" s="89">
        <v>0</v>
      </c>
      <c r="AF171" s="89">
        <v>0</v>
      </c>
      <c r="AG171" s="89">
        <v>0</v>
      </c>
      <c r="AH171" s="89">
        <v>0</v>
      </c>
      <c r="AI171" s="89">
        <v>0</v>
      </c>
    </row>
    <row r="172" spans="1:36">
      <c r="A172" s="990">
        <v>148</v>
      </c>
      <c r="B172" s="990">
        <v>1</v>
      </c>
      <c r="C172" s="990">
        <v>172</v>
      </c>
      <c r="D172" s="1121"/>
      <c r="E172" s="1243">
        <v>1</v>
      </c>
      <c r="F172" s="5"/>
      <c r="G172" s="5"/>
      <c r="H172" s="5"/>
      <c r="I172" s="30"/>
      <c r="J172" s="4"/>
      <c r="K172" s="5"/>
      <c r="L172" s="5"/>
      <c r="M172" s="4" t="s">
        <v>11</v>
      </c>
      <c r="N172" s="4"/>
      <c r="O172" s="4"/>
      <c r="P172" s="4"/>
      <c r="Q172" s="1927">
        <v>0</v>
      </c>
      <c r="R172" s="29">
        <v>0</v>
      </c>
      <c r="S172" s="29">
        <v>0</v>
      </c>
      <c r="T172" s="29">
        <v>0</v>
      </c>
      <c r="U172" s="29">
        <v>0</v>
      </c>
      <c r="V172" s="29">
        <v>0</v>
      </c>
      <c r="W172" s="29">
        <v>0</v>
      </c>
      <c r="X172" s="29">
        <v>0</v>
      </c>
      <c r="Y172" s="29">
        <v>0</v>
      </c>
      <c r="Z172" s="29">
        <v>0</v>
      </c>
      <c r="AA172" s="29">
        <v>0</v>
      </c>
      <c r="AB172" s="29">
        <v>0</v>
      </c>
      <c r="AC172" s="89">
        <v>0</v>
      </c>
      <c r="AD172" s="89">
        <v>0</v>
      </c>
      <c r="AE172" s="89">
        <v>0</v>
      </c>
      <c r="AF172" s="89">
        <v>0</v>
      </c>
      <c r="AG172" s="89">
        <v>0</v>
      </c>
      <c r="AH172" s="89">
        <v>0</v>
      </c>
      <c r="AI172" s="89">
        <v>0</v>
      </c>
    </row>
    <row r="173" spans="1:36">
      <c r="A173" s="990">
        <v>149</v>
      </c>
      <c r="B173" s="990">
        <v>1</v>
      </c>
      <c r="C173" s="990">
        <v>173</v>
      </c>
      <c r="D173" s="1121" t="s">
        <v>999</v>
      </c>
      <c r="E173" s="1243">
        <v>1</v>
      </c>
      <c r="F173" s="5"/>
      <c r="G173" s="5"/>
      <c r="H173" s="5"/>
      <c r="I173" s="132" t="s">
        <v>134</v>
      </c>
      <c r="J173" s="1171"/>
      <c r="K173" s="1172"/>
      <c r="L173" s="1172"/>
      <c r="M173" s="1172"/>
      <c r="N173" s="1172"/>
      <c r="O173" s="1172"/>
      <c r="P173" s="1172"/>
      <c r="Q173" s="1990">
        <v>0</v>
      </c>
      <c r="R173" s="1713">
        <v>0</v>
      </c>
      <c r="S173" s="1713">
        <v>0</v>
      </c>
      <c r="T173" s="1713">
        <v>0</v>
      </c>
      <c r="U173" s="1713">
        <v>0</v>
      </c>
      <c r="V173" s="1713">
        <v>0</v>
      </c>
      <c r="W173" s="1713">
        <v>0</v>
      </c>
      <c r="X173" s="1713">
        <v>0</v>
      </c>
      <c r="Y173" s="1713">
        <v>0</v>
      </c>
      <c r="Z173" s="1713">
        <v>0</v>
      </c>
      <c r="AA173" s="1713">
        <v>0</v>
      </c>
      <c r="AB173" s="1713">
        <v>0</v>
      </c>
      <c r="AC173" s="129">
        <v>0</v>
      </c>
      <c r="AD173" s="129">
        <v>0</v>
      </c>
      <c r="AE173" s="129">
        <v>0</v>
      </c>
      <c r="AF173" s="129">
        <v>0</v>
      </c>
      <c r="AG173" s="129">
        <v>0</v>
      </c>
      <c r="AH173" s="129">
        <v>0</v>
      </c>
      <c r="AI173" s="129">
        <v>0</v>
      </c>
    </row>
    <row r="174" spans="1:36" ht="14.5">
      <c r="A174" s="990">
        <v>150</v>
      </c>
      <c r="B174" s="990">
        <v>1</v>
      </c>
      <c r="C174" s="990">
        <v>174</v>
      </c>
      <c r="D174" s="1121" t="s">
        <v>999</v>
      </c>
      <c r="E174" s="1243">
        <v>1</v>
      </c>
      <c r="F174" s="5"/>
      <c r="G174" s="5"/>
      <c r="H174" s="5"/>
      <c r="I174" s="617"/>
      <c r="J174" s="618" t="s">
        <v>135</v>
      </c>
      <c r="K174" s="616"/>
      <c r="L174" s="616"/>
      <c r="M174" s="616"/>
      <c r="N174" s="616"/>
      <c r="O174" s="587" t="s">
        <v>1027</v>
      </c>
      <c r="P174" s="5"/>
      <c r="Q174" s="2122">
        <v>0</v>
      </c>
      <c r="R174" s="622">
        <v>0</v>
      </c>
      <c r="S174" s="622">
        <v>0</v>
      </c>
      <c r="T174" s="622">
        <v>0</v>
      </c>
      <c r="U174" s="622">
        <v>0</v>
      </c>
      <c r="V174" s="622">
        <v>0</v>
      </c>
      <c r="W174" s="622">
        <v>0</v>
      </c>
      <c r="X174" s="622">
        <v>0</v>
      </c>
      <c r="Y174" s="622">
        <v>0</v>
      </c>
      <c r="Z174" s="622">
        <v>0</v>
      </c>
      <c r="AA174" s="622">
        <v>0</v>
      </c>
      <c r="AB174" s="622">
        <v>0</v>
      </c>
      <c r="AC174" s="622">
        <v>0</v>
      </c>
      <c r="AD174" s="622">
        <v>0</v>
      </c>
      <c r="AE174" s="622">
        <v>0</v>
      </c>
      <c r="AF174" s="622">
        <v>0</v>
      </c>
      <c r="AG174" s="622">
        <v>0</v>
      </c>
      <c r="AH174" s="622">
        <v>0</v>
      </c>
      <c r="AI174" s="622">
        <v>0</v>
      </c>
    </row>
    <row r="175" spans="1:36" ht="14.5">
      <c r="A175" s="990">
        <v>151</v>
      </c>
      <c r="B175" s="990">
        <v>1</v>
      </c>
      <c r="C175" s="990">
        <v>175</v>
      </c>
      <c r="D175" s="1121" t="s">
        <v>999</v>
      </c>
      <c r="E175" s="1243">
        <v>1</v>
      </c>
      <c r="F175" s="5"/>
      <c r="G175" s="5"/>
      <c r="H175" s="616"/>
      <c r="I175" s="617"/>
      <c r="J175" s="620"/>
      <c r="K175" s="616"/>
      <c r="L175" s="616"/>
      <c r="M175" s="618" t="s">
        <v>1028</v>
      </c>
      <c r="N175" s="620"/>
      <c r="O175" s="620"/>
      <c r="P175" s="620"/>
      <c r="Q175" s="2119">
        <v>0</v>
      </c>
      <c r="R175" s="621">
        <v>0</v>
      </c>
      <c r="S175" s="621">
        <v>0</v>
      </c>
      <c r="T175" s="621">
        <v>0</v>
      </c>
      <c r="U175" s="621">
        <v>0</v>
      </c>
      <c r="V175" s="621">
        <v>0</v>
      </c>
      <c r="W175" s="621">
        <v>0</v>
      </c>
      <c r="X175" s="621">
        <v>0</v>
      </c>
      <c r="Y175" s="621">
        <v>0</v>
      </c>
      <c r="Z175" s="621">
        <v>0</v>
      </c>
      <c r="AA175" s="621">
        <v>0</v>
      </c>
      <c r="AB175" s="621">
        <v>0</v>
      </c>
      <c r="AC175" s="621">
        <v>0</v>
      </c>
      <c r="AD175" s="621">
        <v>0</v>
      </c>
      <c r="AE175" s="621">
        <v>0</v>
      </c>
      <c r="AF175" s="621">
        <v>0</v>
      </c>
      <c r="AG175" s="621">
        <v>0</v>
      </c>
      <c r="AH175" s="621">
        <v>0</v>
      </c>
      <c r="AI175" s="621">
        <v>0</v>
      </c>
    </row>
    <row r="176" spans="1:36" ht="14.5">
      <c r="A176" s="990">
        <v>152</v>
      </c>
      <c r="B176" s="990">
        <v>1</v>
      </c>
      <c r="C176" s="990">
        <v>176</v>
      </c>
      <c r="D176" s="1121" t="s">
        <v>999</v>
      </c>
      <c r="E176" s="1243">
        <v>1</v>
      </c>
      <c r="F176" s="5"/>
      <c r="G176" s="5"/>
      <c r="H176" s="616"/>
      <c r="I176" s="617"/>
      <c r="J176" s="620"/>
      <c r="K176" s="616"/>
      <c r="L176" s="616"/>
      <c r="M176" s="618" t="s">
        <v>1029</v>
      </c>
      <c r="N176" s="620"/>
      <c r="O176" s="620"/>
      <c r="P176" s="620"/>
      <c r="Q176" s="2119">
        <v>0</v>
      </c>
      <c r="R176" s="621">
        <v>0</v>
      </c>
      <c r="S176" s="621">
        <v>0</v>
      </c>
      <c r="T176" s="621">
        <v>0</v>
      </c>
      <c r="U176" s="621">
        <v>0</v>
      </c>
      <c r="V176" s="621">
        <v>0</v>
      </c>
      <c r="W176" s="621">
        <v>0</v>
      </c>
      <c r="X176" s="621">
        <v>0</v>
      </c>
      <c r="Y176" s="621">
        <v>0</v>
      </c>
      <c r="Z176" s="621">
        <v>0</v>
      </c>
      <c r="AA176" s="621">
        <v>0</v>
      </c>
      <c r="AB176" s="621">
        <v>0</v>
      </c>
      <c r="AC176" s="621">
        <v>0</v>
      </c>
      <c r="AD176" s="621">
        <v>0</v>
      </c>
      <c r="AE176" s="621">
        <v>0</v>
      </c>
      <c r="AF176" s="621">
        <v>0</v>
      </c>
      <c r="AG176" s="621">
        <v>0</v>
      </c>
      <c r="AH176" s="621">
        <v>0</v>
      </c>
      <c r="AI176" s="621">
        <v>0</v>
      </c>
    </row>
    <row r="177" spans="1:35" ht="14.5">
      <c r="A177" s="990">
        <v>153</v>
      </c>
      <c r="B177" s="990">
        <v>1</v>
      </c>
      <c r="C177" s="990">
        <v>177</v>
      </c>
      <c r="D177" s="1121" t="s">
        <v>999</v>
      </c>
      <c r="E177" s="1243">
        <v>1</v>
      </c>
      <c r="F177" s="5"/>
      <c r="G177" s="5"/>
      <c r="H177" s="616"/>
      <c r="I177" s="617"/>
      <c r="J177" s="620"/>
      <c r="K177" s="616"/>
      <c r="L177" s="616"/>
      <c r="M177" s="618" t="s">
        <v>1036</v>
      </c>
      <c r="N177" s="620"/>
      <c r="O177" s="620"/>
      <c r="P177" s="620"/>
      <c r="Q177" s="2119">
        <v>0</v>
      </c>
      <c r="R177" s="621">
        <v>0</v>
      </c>
      <c r="S177" s="621">
        <v>0</v>
      </c>
      <c r="T177" s="621">
        <v>0</v>
      </c>
      <c r="U177" s="621">
        <v>0</v>
      </c>
      <c r="V177" s="621">
        <v>0</v>
      </c>
      <c r="W177" s="621">
        <v>0</v>
      </c>
      <c r="X177" s="621">
        <v>0</v>
      </c>
      <c r="Y177" s="621">
        <v>0</v>
      </c>
      <c r="Z177" s="621">
        <v>0</v>
      </c>
      <c r="AA177" s="621">
        <v>0</v>
      </c>
      <c r="AB177" s="621">
        <v>0</v>
      </c>
      <c r="AC177" s="621">
        <v>0</v>
      </c>
      <c r="AD177" s="621">
        <v>0</v>
      </c>
      <c r="AE177" s="621">
        <v>0</v>
      </c>
      <c r="AF177" s="621">
        <v>0</v>
      </c>
      <c r="AG177" s="621">
        <v>0</v>
      </c>
      <c r="AH177" s="621">
        <v>0</v>
      </c>
      <c r="AI177" s="621">
        <v>0</v>
      </c>
    </row>
    <row r="178" spans="1:35" ht="14.5">
      <c r="A178" s="990">
        <v>154</v>
      </c>
      <c r="B178" s="990">
        <v>1</v>
      </c>
      <c r="C178" s="990">
        <v>178</v>
      </c>
      <c r="D178" s="1121" t="s">
        <v>999</v>
      </c>
      <c r="E178" s="1243">
        <v>1</v>
      </c>
      <c r="F178" s="5"/>
      <c r="G178" s="5"/>
      <c r="H178" s="616"/>
      <c r="I178" s="617"/>
      <c r="J178" s="620"/>
      <c r="K178" s="616"/>
      <c r="L178" s="616"/>
      <c r="M178" s="618" t="s">
        <v>1030</v>
      </c>
      <c r="N178" s="620"/>
      <c r="O178" s="620"/>
      <c r="P178" s="620"/>
      <c r="Q178" s="2119">
        <v>0</v>
      </c>
      <c r="R178" s="621">
        <v>0</v>
      </c>
      <c r="S178" s="621">
        <v>0</v>
      </c>
      <c r="T178" s="621">
        <v>0</v>
      </c>
      <c r="U178" s="621">
        <v>0</v>
      </c>
      <c r="V178" s="621">
        <v>0</v>
      </c>
      <c r="W178" s="621">
        <v>0</v>
      </c>
      <c r="X178" s="621">
        <v>0</v>
      </c>
      <c r="Y178" s="621">
        <v>0</v>
      </c>
      <c r="Z178" s="621">
        <v>0</v>
      </c>
      <c r="AA178" s="621">
        <v>0</v>
      </c>
      <c r="AB178" s="621">
        <v>0</v>
      </c>
      <c r="AC178" s="621">
        <v>0</v>
      </c>
      <c r="AD178" s="621">
        <v>0</v>
      </c>
      <c r="AE178" s="621">
        <v>0</v>
      </c>
      <c r="AF178" s="621">
        <v>0</v>
      </c>
      <c r="AG178" s="621">
        <v>0</v>
      </c>
      <c r="AH178" s="621">
        <v>0</v>
      </c>
      <c r="AI178" s="621">
        <v>0</v>
      </c>
    </row>
    <row r="179" spans="1:35">
      <c r="A179" s="990">
        <v>155</v>
      </c>
      <c r="B179" s="990">
        <v>1</v>
      </c>
      <c r="C179" s="990">
        <v>179</v>
      </c>
      <c r="D179" s="1121" t="s">
        <v>999</v>
      </c>
      <c r="E179" s="1243">
        <v>1</v>
      </c>
      <c r="F179" s="5"/>
      <c r="G179" s="5"/>
      <c r="H179" s="5"/>
      <c r="I179" s="30"/>
      <c r="J179" s="4"/>
      <c r="K179" s="5"/>
      <c r="L179" s="5"/>
      <c r="M179" s="4" t="s">
        <v>137</v>
      </c>
      <c r="N179" s="4"/>
      <c r="O179" s="4"/>
      <c r="P179" s="4"/>
      <c r="Q179" s="1927">
        <v>0</v>
      </c>
      <c r="R179" s="29">
        <v>0</v>
      </c>
      <c r="S179" s="29">
        <v>0</v>
      </c>
      <c r="T179" s="29">
        <v>0</v>
      </c>
      <c r="U179" s="29">
        <v>0</v>
      </c>
      <c r="V179" s="29">
        <v>0</v>
      </c>
      <c r="W179" s="29">
        <v>0</v>
      </c>
      <c r="X179" s="29">
        <v>0</v>
      </c>
      <c r="Y179" s="29">
        <v>0</v>
      </c>
      <c r="Z179" s="29">
        <v>0</v>
      </c>
      <c r="AA179" s="29">
        <v>0</v>
      </c>
      <c r="AB179" s="29">
        <v>0</v>
      </c>
      <c r="AC179" s="89">
        <v>0</v>
      </c>
      <c r="AD179" s="89">
        <v>0</v>
      </c>
      <c r="AE179" s="89">
        <v>0</v>
      </c>
      <c r="AF179" s="89">
        <v>0</v>
      </c>
      <c r="AG179" s="89">
        <v>0</v>
      </c>
      <c r="AH179" s="89">
        <v>0</v>
      </c>
      <c r="AI179" s="89">
        <v>0</v>
      </c>
    </row>
    <row r="180" spans="1:35">
      <c r="A180" s="990">
        <v>156</v>
      </c>
      <c r="B180" s="990">
        <v>1</v>
      </c>
      <c r="C180" s="990">
        <v>180</v>
      </c>
      <c r="D180" s="1121" t="s">
        <v>999</v>
      </c>
      <c r="E180" s="1243">
        <v>1</v>
      </c>
      <c r="F180" s="5"/>
      <c r="G180" s="5"/>
      <c r="H180" s="5"/>
      <c r="I180" s="30"/>
      <c r="J180" s="4"/>
      <c r="K180" s="5"/>
      <c r="L180" s="5"/>
      <c r="M180" s="4" t="s">
        <v>95</v>
      </c>
      <c r="N180" s="4"/>
      <c r="O180" s="4"/>
      <c r="P180" s="4"/>
      <c r="Q180" s="1927">
        <v>0</v>
      </c>
      <c r="R180" s="29">
        <v>0</v>
      </c>
      <c r="S180" s="29">
        <v>0</v>
      </c>
      <c r="T180" s="29">
        <v>0</v>
      </c>
      <c r="U180" s="29">
        <v>0</v>
      </c>
      <c r="V180" s="29">
        <v>0</v>
      </c>
      <c r="W180" s="29">
        <v>0</v>
      </c>
      <c r="X180" s="29">
        <v>0</v>
      </c>
      <c r="Y180" s="29">
        <v>0</v>
      </c>
      <c r="Z180" s="29">
        <v>0</v>
      </c>
      <c r="AA180" s="29">
        <v>0</v>
      </c>
      <c r="AB180" s="29">
        <v>0</v>
      </c>
      <c r="AC180" s="89">
        <v>0</v>
      </c>
      <c r="AD180" s="89">
        <v>0</v>
      </c>
      <c r="AE180" s="89">
        <v>0</v>
      </c>
      <c r="AF180" s="89">
        <v>0</v>
      </c>
      <c r="AG180" s="89">
        <v>0</v>
      </c>
      <c r="AH180" s="89">
        <v>0</v>
      </c>
      <c r="AI180" s="89">
        <v>0</v>
      </c>
    </row>
    <row r="181" spans="1:35">
      <c r="A181" s="990">
        <v>157</v>
      </c>
      <c r="B181" s="990">
        <v>1</v>
      </c>
      <c r="C181" s="990">
        <v>181</v>
      </c>
      <c r="D181" s="1121" t="s">
        <v>999</v>
      </c>
      <c r="E181" s="1243">
        <v>1</v>
      </c>
      <c r="F181" s="5"/>
      <c r="G181" s="5"/>
      <c r="H181" s="5"/>
      <c r="I181" s="30"/>
      <c r="J181" s="4"/>
      <c r="K181" s="5"/>
      <c r="L181" s="5"/>
      <c r="M181" s="4" t="s">
        <v>85</v>
      </c>
      <c r="N181" s="4"/>
      <c r="O181" s="4"/>
      <c r="P181" s="4"/>
      <c r="Q181" s="1927">
        <v>0</v>
      </c>
      <c r="R181" s="29">
        <v>0</v>
      </c>
      <c r="S181" s="29">
        <v>0</v>
      </c>
      <c r="T181" s="29">
        <v>0</v>
      </c>
      <c r="U181" s="29">
        <v>0</v>
      </c>
      <c r="V181" s="29">
        <v>0</v>
      </c>
      <c r="W181" s="29">
        <v>0</v>
      </c>
      <c r="X181" s="29">
        <v>0</v>
      </c>
      <c r="Y181" s="29">
        <v>0</v>
      </c>
      <c r="Z181" s="29">
        <v>0</v>
      </c>
      <c r="AA181" s="29">
        <v>0</v>
      </c>
      <c r="AB181" s="29">
        <v>0</v>
      </c>
      <c r="AC181" s="89">
        <v>0</v>
      </c>
      <c r="AD181" s="89">
        <v>0</v>
      </c>
      <c r="AE181" s="89">
        <v>0</v>
      </c>
      <c r="AF181" s="89">
        <v>0</v>
      </c>
      <c r="AG181" s="89">
        <v>0</v>
      </c>
      <c r="AH181" s="89">
        <v>0</v>
      </c>
      <c r="AI181" s="89">
        <v>0</v>
      </c>
    </row>
    <row r="182" spans="1:35" s="75" customFormat="1">
      <c r="A182" s="990">
        <v>158</v>
      </c>
      <c r="B182" s="990">
        <v>1</v>
      </c>
      <c r="C182" s="990">
        <v>182</v>
      </c>
      <c r="D182" s="1121" t="s">
        <v>999</v>
      </c>
      <c r="E182" s="1243">
        <v>1</v>
      </c>
      <c r="F182" s="5"/>
      <c r="G182" s="5"/>
      <c r="H182" s="5"/>
      <c r="I182" s="30"/>
      <c r="J182" s="4"/>
      <c r="K182" s="5"/>
      <c r="L182" s="5"/>
      <c r="M182" s="4" t="s">
        <v>11</v>
      </c>
      <c r="N182" s="4"/>
      <c r="O182" s="4"/>
      <c r="P182" s="4"/>
      <c r="Q182" s="1927">
        <v>0</v>
      </c>
      <c r="R182" s="29">
        <v>0</v>
      </c>
      <c r="S182" s="29">
        <v>0</v>
      </c>
      <c r="T182" s="29">
        <v>0</v>
      </c>
      <c r="U182" s="29">
        <v>0</v>
      </c>
      <c r="V182" s="29">
        <v>0</v>
      </c>
      <c r="W182" s="29">
        <v>0</v>
      </c>
      <c r="X182" s="29">
        <v>0</v>
      </c>
      <c r="Y182" s="29">
        <v>0</v>
      </c>
      <c r="Z182" s="29">
        <v>0</v>
      </c>
      <c r="AA182" s="29">
        <v>0</v>
      </c>
      <c r="AB182" s="29">
        <v>0</v>
      </c>
      <c r="AC182" s="89">
        <v>0</v>
      </c>
      <c r="AD182" s="89">
        <v>0</v>
      </c>
      <c r="AE182" s="89">
        <v>0</v>
      </c>
      <c r="AF182" s="89">
        <v>0</v>
      </c>
      <c r="AG182" s="89">
        <v>0</v>
      </c>
      <c r="AH182" s="89">
        <v>0</v>
      </c>
      <c r="AI182" s="89">
        <v>0</v>
      </c>
    </row>
    <row r="183" spans="1:35" s="75" customFormat="1">
      <c r="A183" s="990">
        <v>159</v>
      </c>
      <c r="B183" s="990">
        <v>1</v>
      </c>
      <c r="C183" s="990">
        <v>183</v>
      </c>
      <c r="D183" s="1121" t="s">
        <v>999</v>
      </c>
      <c r="E183" s="1243">
        <v>1</v>
      </c>
      <c r="F183" s="5"/>
      <c r="G183" s="5"/>
      <c r="H183" s="5"/>
      <c r="I183" s="132" t="s">
        <v>97</v>
      </c>
      <c r="J183" s="1171"/>
      <c r="K183" s="1172"/>
      <c r="L183" s="1172"/>
      <c r="M183" s="1172"/>
      <c r="N183" s="1172"/>
      <c r="O183" s="1172"/>
      <c r="P183" s="1172"/>
      <c r="Q183" s="1990">
        <v>0</v>
      </c>
      <c r="R183" s="1713">
        <v>0</v>
      </c>
      <c r="S183" s="1713">
        <v>0</v>
      </c>
      <c r="T183" s="1713">
        <v>0</v>
      </c>
      <c r="U183" s="1713">
        <v>0</v>
      </c>
      <c r="V183" s="1713">
        <v>0</v>
      </c>
      <c r="W183" s="1713">
        <v>0</v>
      </c>
      <c r="X183" s="1713">
        <v>0</v>
      </c>
      <c r="Y183" s="1713">
        <v>0</v>
      </c>
      <c r="Z183" s="1713">
        <v>0</v>
      </c>
      <c r="AA183" s="1713">
        <v>0</v>
      </c>
      <c r="AB183" s="1713">
        <v>0</v>
      </c>
      <c r="AC183" s="129">
        <v>0</v>
      </c>
      <c r="AD183" s="129">
        <v>0</v>
      </c>
      <c r="AE183" s="129">
        <v>0</v>
      </c>
      <c r="AF183" s="129">
        <v>0</v>
      </c>
      <c r="AG183" s="129">
        <v>0</v>
      </c>
      <c r="AH183" s="129">
        <v>0</v>
      </c>
      <c r="AI183" s="129">
        <v>0</v>
      </c>
    </row>
    <row r="184" spans="1:35" s="75" customFormat="1">
      <c r="A184" s="990">
        <v>160</v>
      </c>
      <c r="B184" s="990">
        <v>1</v>
      </c>
      <c r="C184" s="990">
        <v>184</v>
      </c>
      <c r="D184" s="1121" t="s">
        <v>999</v>
      </c>
      <c r="E184" s="1243">
        <v>1</v>
      </c>
      <c r="F184" s="5"/>
      <c r="G184" s="5"/>
      <c r="H184" s="5"/>
      <c r="I184" s="30"/>
      <c r="J184" s="123" t="s">
        <v>143</v>
      </c>
      <c r="K184" s="5"/>
      <c r="L184" s="5"/>
      <c r="M184" s="4"/>
      <c r="N184" s="4"/>
      <c r="O184" s="4"/>
      <c r="P184" s="4"/>
      <c r="Q184" s="2032"/>
      <c r="R184" s="2039"/>
      <c r="S184" s="2039"/>
      <c r="T184" s="2039"/>
      <c r="U184" s="2039"/>
      <c r="V184" s="2039"/>
      <c r="W184" s="2039"/>
      <c r="X184" s="2039"/>
      <c r="Y184" s="2039"/>
      <c r="Z184" s="2039"/>
      <c r="AA184" s="2039"/>
      <c r="AB184" s="2039"/>
      <c r="AC184" s="89">
        <v>0</v>
      </c>
      <c r="AD184" s="89">
        <v>0</v>
      </c>
      <c r="AE184" s="89">
        <v>0</v>
      </c>
      <c r="AF184" s="89">
        <v>0</v>
      </c>
      <c r="AG184" s="89">
        <v>0</v>
      </c>
      <c r="AH184" s="89">
        <v>0</v>
      </c>
      <c r="AI184" s="89">
        <v>0</v>
      </c>
    </row>
    <row r="185" spans="1:35" s="75" customFormat="1">
      <c r="A185" s="990">
        <v>161</v>
      </c>
      <c r="B185" s="990">
        <v>1</v>
      </c>
      <c r="C185" s="990">
        <v>185</v>
      </c>
      <c r="D185" s="1121" t="s">
        <v>999</v>
      </c>
      <c r="E185" s="1243">
        <v>1</v>
      </c>
      <c r="F185" s="5"/>
      <c r="G185" s="5"/>
      <c r="H185" s="5"/>
      <c r="I185" s="30"/>
      <c r="J185" s="40" t="s">
        <v>96</v>
      </c>
      <c r="K185" s="5"/>
      <c r="L185" s="5"/>
      <c r="M185" s="4"/>
      <c r="N185" s="4"/>
      <c r="O185" s="4"/>
      <c r="P185" s="4"/>
      <c r="Q185" s="2032"/>
      <c r="R185" s="2039"/>
      <c r="S185" s="2039"/>
      <c r="T185" s="2039"/>
      <c r="U185" s="2039"/>
      <c r="V185" s="2039"/>
      <c r="W185" s="2039"/>
      <c r="X185" s="2039"/>
      <c r="Y185" s="2039"/>
      <c r="Z185" s="2039"/>
      <c r="AA185" s="2039"/>
      <c r="AB185" s="2039"/>
      <c r="AC185" s="89">
        <v>0</v>
      </c>
      <c r="AD185" s="89">
        <v>0</v>
      </c>
      <c r="AE185" s="89">
        <v>0</v>
      </c>
      <c r="AF185" s="89">
        <v>0</v>
      </c>
      <c r="AG185" s="89">
        <v>0</v>
      </c>
      <c r="AH185" s="89">
        <v>0</v>
      </c>
      <c r="AI185" s="89">
        <v>0</v>
      </c>
    </row>
    <row r="186" spans="1:35" s="75" customFormat="1">
      <c r="A186" s="990">
        <v>162</v>
      </c>
      <c r="B186" s="990">
        <v>1</v>
      </c>
      <c r="C186" s="990">
        <v>186</v>
      </c>
      <c r="D186" s="1121" t="s">
        <v>999</v>
      </c>
      <c r="E186" s="1243">
        <v>1</v>
      </c>
      <c r="F186" s="5"/>
      <c r="G186" s="5"/>
      <c r="H186" s="5"/>
      <c r="I186" s="30"/>
      <c r="J186" s="40" t="s">
        <v>142</v>
      </c>
      <c r="K186" s="5"/>
      <c r="L186" s="5"/>
      <c r="M186" s="4"/>
      <c r="N186" s="4"/>
      <c r="O186" s="4"/>
      <c r="P186" s="4"/>
      <c r="Q186" s="2032"/>
      <c r="R186" s="2039"/>
      <c r="S186" s="2039"/>
      <c r="T186" s="2039"/>
      <c r="U186" s="2039"/>
      <c r="V186" s="2039"/>
      <c r="W186" s="2039"/>
      <c r="X186" s="2039"/>
      <c r="Y186" s="2039"/>
      <c r="Z186" s="2039"/>
      <c r="AA186" s="2039"/>
      <c r="AB186" s="2039"/>
      <c r="AC186" s="89">
        <v>0</v>
      </c>
      <c r="AD186" s="89">
        <v>0</v>
      </c>
      <c r="AE186" s="89">
        <v>0</v>
      </c>
      <c r="AF186" s="89">
        <v>0</v>
      </c>
      <c r="AG186" s="89">
        <v>0</v>
      </c>
      <c r="AH186" s="89">
        <v>0</v>
      </c>
      <c r="AI186" s="89">
        <v>0</v>
      </c>
    </row>
    <row r="187" spans="1:35" s="75" customFormat="1">
      <c r="A187" s="990">
        <v>163</v>
      </c>
      <c r="B187" s="990">
        <v>1</v>
      </c>
      <c r="C187" s="990">
        <v>187</v>
      </c>
      <c r="D187" s="1121" t="s">
        <v>999</v>
      </c>
      <c r="E187" s="1243">
        <v>1</v>
      </c>
      <c r="F187" s="5"/>
      <c r="G187" s="5"/>
      <c r="H187" s="5"/>
      <c r="I187" s="132" t="s">
        <v>136</v>
      </c>
      <c r="J187" s="1171"/>
      <c r="K187" s="1172"/>
      <c r="L187" s="1172"/>
      <c r="M187" s="1172"/>
      <c r="N187" s="1172"/>
      <c r="O187" s="1172"/>
      <c r="P187" s="1172"/>
      <c r="Q187" s="1990">
        <v>0</v>
      </c>
      <c r="R187" s="1713">
        <v>0</v>
      </c>
      <c r="S187" s="1713">
        <v>0</v>
      </c>
      <c r="T187" s="1713">
        <v>0</v>
      </c>
      <c r="U187" s="1713">
        <v>0</v>
      </c>
      <c r="V187" s="1713">
        <v>0</v>
      </c>
      <c r="W187" s="1713">
        <v>0</v>
      </c>
      <c r="X187" s="1713">
        <v>0</v>
      </c>
      <c r="Y187" s="1713">
        <v>0</v>
      </c>
      <c r="Z187" s="1713">
        <v>0</v>
      </c>
      <c r="AA187" s="1713">
        <v>0</v>
      </c>
      <c r="AB187" s="1713">
        <v>0</v>
      </c>
      <c r="AC187" s="129">
        <v>0</v>
      </c>
      <c r="AD187" s="129">
        <v>0</v>
      </c>
      <c r="AE187" s="129">
        <v>0</v>
      </c>
      <c r="AF187" s="129">
        <v>0</v>
      </c>
      <c r="AG187" s="129">
        <v>0</v>
      </c>
      <c r="AH187" s="129">
        <v>0</v>
      </c>
      <c r="AI187" s="129">
        <v>0</v>
      </c>
    </row>
    <row r="188" spans="1:35" s="75" customFormat="1" ht="14.5">
      <c r="A188" s="990">
        <v>164</v>
      </c>
      <c r="B188" s="990">
        <v>1</v>
      </c>
      <c r="C188" s="990">
        <v>188</v>
      </c>
      <c r="D188" s="1121" t="s">
        <v>999</v>
      </c>
      <c r="E188" s="1243">
        <v>1</v>
      </c>
      <c r="F188" s="5"/>
      <c r="G188" s="5"/>
      <c r="H188" s="5"/>
      <c r="I188" s="28"/>
      <c r="J188" s="629" t="s">
        <v>135</v>
      </c>
      <c r="K188" s="3"/>
      <c r="L188" s="3"/>
      <c r="M188" s="2"/>
      <c r="N188" s="2"/>
      <c r="O188" s="2"/>
      <c r="P188" s="2"/>
      <c r="Q188" s="2138">
        <v>0</v>
      </c>
      <c r="R188" s="866">
        <v>0</v>
      </c>
      <c r="S188" s="866">
        <v>0</v>
      </c>
      <c r="T188" s="866">
        <v>0</v>
      </c>
      <c r="U188" s="866">
        <v>0</v>
      </c>
      <c r="V188" s="866">
        <v>0</v>
      </c>
      <c r="W188" s="866">
        <v>0</v>
      </c>
      <c r="X188" s="866">
        <v>0</v>
      </c>
      <c r="Y188" s="866">
        <v>0</v>
      </c>
      <c r="Z188" s="866">
        <v>0</v>
      </c>
      <c r="AA188" s="866">
        <v>0</v>
      </c>
      <c r="AB188" s="866">
        <v>0</v>
      </c>
      <c r="AC188" s="866">
        <v>0</v>
      </c>
      <c r="AD188" s="866">
        <v>0</v>
      </c>
      <c r="AE188" s="866">
        <v>0</v>
      </c>
      <c r="AF188" s="866">
        <v>0</v>
      </c>
      <c r="AG188" s="866">
        <v>0</v>
      </c>
      <c r="AH188" s="866">
        <v>0</v>
      </c>
      <c r="AI188" s="866">
        <v>0</v>
      </c>
    </row>
    <row r="189" spans="1:35" s="75" customFormat="1">
      <c r="A189" s="990">
        <v>165</v>
      </c>
      <c r="B189" s="990">
        <v>1</v>
      </c>
      <c r="C189" s="990">
        <v>189</v>
      </c>
      <c r="D189" s="1121" t="s">
        <v>999</v>
      </c>
      <c r="E189" s="1243">
        <v>1</v>
      </c>
      <c r="F189" s="5"/>
      <c r="G189" s="5"/>
      <c r="H189" s="5"/>
      <c r="I189" s="58" t="s">
        <v>504</v>
      </c>
      <c r="J189" s="555"/>
      <c r="K189" s="636"/>
      <c r="L189" s="636"/>
      <c r="M189" s="555"/>
      <c r="N189" s="555"/>
      <c r="O189" s="555"/>
      <c r="P189" s="555"/>
      <c r="Q189" s="2212"/>
      <c r="R189" s="2618"/>
      <c r="S189" s="2618"/>
      <c r="T189" s="2618"/>
      <c r="U189" s="2618"/>
      <c r="V189" s="2618"/>
      <c r="W189" s="2618"/>
      <c r="X189" s="2618"/>
      <c r="Y189" s="2618"/>
      <c r="Z189" s="2618"/>
      <c r="AA189" s="2618"/>
      <c r="AB189" s="2618"/>
      <c r="AC189" s="122">
        <v>0</v>
      </c>
      <c r="AD189" s="122">
        <v>0</v>
      </c>
      <c r="AE189" s="122">
        <v>0</v>
      </c>
      <c r="AF189" s="122">
        <v>0</v>
      </c>
      <c r="AG189" s="122">
        <v>0</v>
      </c>
      <c r="AH189" s="122">
        <v>0</v>
      </c>
      <c r="AI189" s="122">
        <v>0</v>
      </c>
    </row>
    <row r="190" spans="1:35" s="75" customFormat="1">
      <c r="A190" s="990">
        <v>166</v>
      </c>
      <c r="B190" s="990">
        <v>1</v>
      </c>
      <c r="C190" s="990">
        <v>190</v>
      </c>
      <c r="D190" s="1121" t="s">
        <v>999</v>
      </c>
      <c r="E190" s="1243">
        <v>1</v>
      </c>
      <c r="F190" s="5"/>
      <c r="G190" s="5"/>
      <c r="H190" s="5"/>
      <c r="I190" s="121" t="s">
        <v>1002</v>
      </c>
      <c r="J190" s="119"/>
      <c r="K190" s="120"/>
      <c r="L190" s="120"/>
      <c r="M190" s="119"/>
      <c r="N190" s="119"/>
      <c r="O190" s="119"/>
      <c r="P190" s="119"/>
      <c r="Q190" s="2031"/>
      <c r="R190" s="2035"/>
      <c r="S190" s="2035"/>
      <c r="T190" s="2035"/>
      <c r="U190" s="2035"/>
      <c r="V190" s="2035"/>
      <c r="W190" s="2035"/>
      <c r="X190" s="2035"/>
      <c r="Y190" s="2035"/>
      <c r="Z190" s="2035"/>
      <c r="AA190" s="2035"/>
      <c r="AB190" s="2035"/>
      <c r="AC190" s="92">
        <v>0</v>
      </c>
      <c r="AD190" s="92">
        <v>0</v>
      </c>
      <c r="AE190" s="92">
        <v>0</v>
      </c>
      <c r="AF190" s="92">
        <v>0</v>
      </c>
      <c r="AG190" s="92">
        <v>0</v>
      </c>
      <c r="AH190" s="92">
        <v>0</v>
      </c>
      <c r="AI190" s="92">
        <v>0</v>
      </c>
    </row>
    <row r="191" spans="1:35" s="75" customFormat="1">
      <c r="A191" s="990">
        <v>167</v>
      </c>
      <c r="B191" s="990">
        <v>1</v>
      </c>
      <c r="C191" s="990">
        <v>191</v>
      </c>
      <c r="D191" s="1121" t="s">
        <v>999</v>
      </c>
      <c r="E191" s="1243">
        <v>1</v>
      </c>
      <c r="F191" s="5"/>
      <c r="G191" s="5"/>
      <c r="H191" s="5"/>
      <c r="I191" s="132" t="s">
        <v>10</v>
      </c>
      <c r="J191" s="1171"/>
      <c r="K191" s="1172"/>
      <c r="L191" s="1172"/>
      <c r="M191" s="1172"/>
      <c r="N191" s="1172"/>
      <c r="O191" s="1172"/>
      <c r="P191" s="1172"/>
      <c r="Q191" s="1990">
        <v>0</v>
      </c>
      <c r="R191" s="1713">
        <v>0</v>
      </c>
      <c r="S191" s="1713">
        <v>0</v>
      </c>
      <c r="T191" s="1713">
        <v>0</v>
      </c>
      <c r="U191" s="1713">
        <v>0</v>
      </c>
      <c r="V191" s="1713">
        <v>0</v>
      </c>
      <c r="W191" s="1713">
        <v>0</v>
      </c>
      <c r="X191" s="1713">
        <v>0</v>
      </c>
      <c r="Y191" s="1713">
        <v>0</v>
      </c>
      <c r="Z191" s="1713">
        <v>0</v>
      </c>
      <c r="AA191" s="1713">
        <v>0</v>
      </c>
      <c r="AB191" s="1713">
        <v>0</v>
      </c>
      <c r="AC191" s="129">
        <v>0</v>
      </c>
      <c r="AD191" s="129">
        <v>0</v>
      </c>
      <c r="AE191" s="129">
        <v>0</v>
      </c>
      <c r="AF191" s="129">
        <v>0</v>
      </c>
      <c r="AG191" s="129">
        <v>0</v>
      </c>
      <c r="AH191" s="129">
        <v>0</v>
      </c>
      <c r="AI191" s="129">
        <v>0</v>
      </c>
    </row>
    <row r="192" spans="1:35" s="75" customFormat="1" ht="14.5">
      <c r="A192" s="990">
        <v>168</v>
      </c>
      <c r="B192" s="990">
        <v>1</v>
      </c>
      <c r="C192" s="990">
        <v>192</v>
      </c>
      <c r="D192" s="1121" t="s">
        <v>999</v>
      </c>
      <c r="E192" s="1243">
        <v>1</v>
      </c>
      <c r="F192" s="5"/>
      <c r="G192" s="5"/>
      <c r="H192" s="5"/>
      <c r="I192" s="28"/>
      <c r="J192" s="629" t="s">
        <v>135</v>
      </c>
      <c r="K192" s="3"/>
      <c r="L192" s="3"/>
      <c r="M192" s="2"/>
      <c r="N192" s="2"/>
      <c r="O192" s="2"/>
      <c r="P192" s="2"/>
      <c r="Q192" s="2138">
        <v>0</v>
      </c>
      <c r="R192" s="866">
        <v>0</v>
      </c>
      <c r="S192" s="866">
        <v>0</v>
      </c>
      <c r="T192" s="866">
        <v>0</v>
      </c>
      <c r="U192" s="866">
        <v>0</v>
      </c>
      <c r="V192" s="866">
        <v>0</v>
      </c>
      <c r="W192" s="866">
        <v>0</v>
      </c>
      <c r="X192" s="866">
        <v>0</v>
      </c>
      <c r="Y192" s="866">
        <v>0</v>
      </c>
      <c r="Z192" s="866">
        <v>0</v>
      </c>
      <c r="AA192" s="866">
        <v>0</v>
      </c>
      <c r="AB192" s="866">
        <v>0</v>
      </c>
      <c r="AC192" s="866">
        <v>0</v>
      </c>
      <c r="AD192" s="866">
        <v>0</v>
      </c>
      <c r="AE192" s="866">
        <v>0</v>
      </c>
      <c r="AF192" s="866">
        <v>0</v>
      </c>
      <c r="AG192" s="866">
        <v>0</v>
      </c>
      <c r="AH192" s="866">
        <v>0</v>
      </c>
      <c r="AI192" s="866">
        <v>0</v>
      </c>
    </row>
    <row r="193" spans="1:35" s="75" customFormat="1">
      <c r="A193" s="990">
        <v>169</v>
      </c>
      <c r="B193" s="990">
        <v>1</v>
      </c>
      <c r="C193" s="990">
        <v>193</v>
      </c>
      <c r="D193" s="1121" t="s">
        <v>999</v>
      </c>
      <c r="E193" s="1255">
        <v>1</v>
      </c>
      <c r="F193" s="9"/>
      <c r="G193" s="1241"/>
      <c r="H193" s="5"/>
      <c r="I193" s="5"/>
      <c r="J193" s="4"/>
      <c r="K193" s="2620" t="s">
        <v>1037</v>
      </c>
      <c r="L193" s="1116"/>
      <c r="M193" s="798"/>
      <c r="N193" s="798"/>
      <c r="O193" s="798"/>
      <c r="P193" s="798"/>
      <c r="Q193" s="2186">
        <v>0</v>
      </c>
      <c r="R193" s="2186">
        <v>0</v>
      </c>
      <c r="S193" s="2186">
        <v>0</v>
      </c>
      <c r="T193" s="2186">
        <v>0</v>
      </c>
      <c r="U193" s="2186">
        <v>0</v>
      </c>
      <c r="V193" s="2186">
        <v>0</v>
      </c>
      <c r="W193" s="2186">
        <v>0</v>
      </c>
      <c r="X193" s="2186">
        <v>0</v>
      </c>
      <c r="Y193" s="2186">
        <v>0</v>
      </c>
      <c r="Z193" s="2186">
        <v>0</v>
      </c>
      <c r="AA193" s="2186">
        <v>0</v>
      </c>
      <c r="AB193" s="2186">
        <v>0</v>
      </c>
      <c r="AC193" s="2621">
        <v>0</v>
      </c>
      <c r="AD193" s="2186">
        <v>0</v>
      </c>
      <c r="AE193" s="2186">
        <v>0</v>
      </c>
      <c r="AF193" s="2186">
        <v>0</v>
      </c>
      <c r="AG193" s="2186">
        <v>0</v>
      </c>
      <c r="AH193" s="2186">
        <v>0</v>
      </c>
      <c r="AI193" s="2186">
        <v>0</v>
      </c>
    </row>
    <row r="194" spans="1:35" s="75" customFormat="1">
      <c r="A194" s="990">
        <v>170</v>
      </c>
      <c r="B194" s="990">
        <v>1</v>
      </c>
      <c r="C194" s="990">
        <v>194</v>
      </c>
      <c r="D194" s="1121" t="s">
        <v>999</v>
      </c>
      <c r="E194" s="1255">
        <v>1</v>
      </c>
      <c r="F194" s="9"/>
      <c r="G194" s="1241"/>
      <c r="H194" s="5"/>
      <c r="I194" s="5"/>
      <c r="J194" s="4"/>
      <c r="K194" s="30"/>
      <c r="L194" s="556" t="s">
        <v>884</v>
      </c>
      <c r="M194" s="323"/>
      <c r="N194" s="323"/>
      <c r="O194" s="323"/>
      <c r="P194" s="323"/>
      <c r="Q194" s="325">
        <v>0</v>
      </c>
      <c r="R194" s="325">
        <v>0</v>
      </c>
      <c r="S194" s="325">
        <v>0</v>
      </c>
      <c r="T194" s="325">
        <v>0</v>
      </c>
      <c r="U194" s="325">
        <v>0</v>
      </c>
      <c r="V194" s="325">
        <v>0</v>
      </c>
      <c r="W194" s="361">
        <v>0</v>
      </c>
      <c r="X194" s="361">
        <v>0</v>
      </c>
      <c r="Y194" s="361">
        <v>0</v>
      </c>
      <c r="Z194" s="1117">
        <v>0</v>
      </c>
      <c r="AA194" s="1117">
        <v>0</v>
      </c>
      <c r="AB194" s="1117">
        <v>0</v>
      </c>
      <c r="AC194" s="1523">
        <v>0</v>
      </c>
      <c r="AD194" s="1117">
        <v>0</v>
      </c>
      <c r="AE194" s="1117">
        <v>0</v>
      </c>
      <c r="AF194" s="1117">
        <v>0</v>
      </c>
      <c r="AG194" s="1117">
        <v>0</v>
      </c>
      <c r="AH194" s="1117">
        <v>0</v>
      </c>
      <c r="AI194" s="1117">
        <v>0</v>
      </c>
    </row>
    <row r="195" spans="1:35" s="75" customFormat="1">
      <c r="A195" s="990">
        <v>171</v>
      </c>
      <c r="B195" s="990">
        <v>1</v>
      </c>
      <c r="C195" s="990">
        <v>195</v>
      </c>
      <c r="D195" s="1121" t="s">
        <v>999</v>
      </c>
      <c r="E195" s="1255">
        <v>1</v>
      </c>
      <c r="F195" s="9"/>
      <c r="G195" s="1241"/>
      <c r="H195" s="5"/>
      <c r="I195" s="5"/>
      <c r="J195" s="4"/>
      <c r="K195" s="30"/>
      <c r="L195" s="30"/>
      <c r="M195" s="40" t="s">
        <v>143</v>
      </c>
      <c r="N195" s="4"/>
      <c r="O195" s="4"/>
      <c r="P195" s="4"/>
      <c r="Q195" s="2159"/>
      <c r="R195" s="2159"/>
      <c r="S195" s="2159"/>
      <c r="T195" s="2159"/>
      <c r="U195" s="2159"/>
      <c r="V195" s="2159"/>
      <c r="W195" s="2091"/>
      <c r="X195" s="2091"/>
      <c r="Y195" s="2091"/>
      <c r="Z195" s="2160"/>
      <c r="AA195" s="2160"/>
      <c r="AB195" s="2160"/>
      <c r="AC195" s="144">
        <v>0</v>
      </c>
      <c r="AD195" s="145">
        <v>0</v>
      </c>
      <c r="AE195" s="145">
        <v>0</v>
      </c>
      <c r="AF195" s="145">
        <v>0</v>
      </c>
      <c r="AG195" s="145">
        <v>0</v>
      </c>
      <c r="AH195" s="145">
        <v>0</v>
      </c>
      <c r="AI195" s="145">
        <v>0</v>
      </c>
    </row>
    <row r="196" spans="1:35">
      <c r="A196" s="990">
        <v>172</v>
      </c>
      <c r="B196" s="990">
        <v>1</v>
      </c>
      <c r="C196" s="990">
        <v>196</v>
      </c>
      <c r="D196" s="1121" t="s">
        <v>999</v>
      </c>
      <c r="E196" s="1255">
        <v>1</v>
      </c>
      <c r="F196" s="9"/>
      <c r="G196" s="1241"/>
      <c r="H196" s="5"/>
      <c r="I196" s="5"/>
      <c r="J196" s="4"/>
      <c r="K196" s="30"/>
      <c r="L196" s="30"/>
      <c r="M196" s="40" t="s">
        <v>96</v>
      </c>
      <c r="N196" s="4"/>
      <c r="O196" s="4"/>
      <c r="P196" s="4"/>
      <c r="Q196" s="2159"/>
      <c r="R196" s="2159"/>
      <c r="S196" s="2159"/>
      <c r="T196" s="2159"/>
      <c r="U196" s="2159"/>
      <c r="V196" s="2159"/>
      <c r="W196" s="2091"/>
      <c r="X196" s="2091"/>
      <c r="Y196" s="2091"/>
      <c r="Z196" s="2160"/>
      <c r="AA196" s="2160"/>
      <c r="AB196" s="2160"/>
      <c r="AC196" s="144">
        <v>0</v>
      </c>
      <c r="AD196" s="145">
        <v>0</v>
      </c>
      <c r="AE196" s="145">
        <v>0</v>
      </c>
      <c r="AF196" s="145">
        <v>0</v>
      </c>
      <c r="AG196" s="145">
        <v>0</v>
      </c>
      <c r="AH196" s="145">
        <v>0</v>
      </c>
      <c r="AI196" s="145">
        <v>0</v>
      </c>
    </row>
    <row r="197" spans="1:35" s="75" customFormat="1">
      <c r="A197" s="990">
        <v>173</v>
      </c>
      <c r="B197" s="990">
        <v>1</v>
      </c>
      <c r="C197" s="990">
        <v>197</v>
      </c>
      <c r="D197" s="1121" t="s">
        <v>999</v>
      </c>
      <c r="E197" s="1255">
        <v>1</v>
      </c>
      <c r="F197" s="9"/>
      <c r="G197" s="1241"/>
      <c r="H197" s="5"/>
      <c r="I197" s="5"/>
      <c r="J197" s="4"/>
      <c r="K197" s="30"/>
      <c r="L197" s="28"/>
      <c r="M197" s="119" t="s">
        <v>142</v>
      </c>
      <c r="N197" s="2"/>
      <c r="O197" s="2"/>
      <c r="P197" s="2"/>
      <c r="Q197" s="2161"/>
      <c r="R197" s="2161"/>
      <c r="S197" s="2161"/>
      <c r="T197" s="2161"/>
      <c r="U197" s="2161"/>
      <c r="V197" s="2161"/>
      <c r="W197" s="2092"/>
      <c r="X197" s="2092"/>
      <c r="Y197" s="2092"/>
      <c r="Z197" s="2162"/>
      <c r="AA197" s="2162"/>
      <c r="AB197" s="2162"/>
      <c r="AC197" s="141">
        <v>0</v>
      </c>
      <c r="AD197" s="142">
        <v>0</v>
      </c>
      <c r="AE197" s="142">
        <v>0</v>
      </c>
      <c r="AF197" s="142">
        <v>0</v>
      </c>
      <c r="AG197" s="142">
        <v>0</v>
      </c>
      <c r="AH197" s="142">
        <v>0</v>
      </c>
      <c r="AI197" s="142">
        <v>0</v>
      </c>
    </row>
    <row r="198" spans="1:35" s="75" customFormat="1">
      <c r="A198" s="990">
        <v>174</v>
      </c>
      <c r="B198" s="990">
        <v>1</v>
      </c>
      <c r="C198" s="990">
        <v>198</v>
      </c>
      <c r="D198" s="1121" t="s">
        <v>999</v>
      </c>
      <c r="E198" s="1255">
        <v>1</v>
      </c>
      <c r="F198" s="9"/>
      <c r="G198" s="1241"/>
      <c r="H198" s="5"/>
      <c r="I198" s="5"/>
      <c r="J198" s="4"/>
      <c r="K198" s="30"/>
      <c r="L198" s="556" t="s">
        <v>1033</v>
      </c>
      <c r="M198" s="798"/>
      <c r="N198" s="798"/>
      <c r="O198" s="798"/>
      <c r="P198" s="798"/>
      <c r="Q198" s="2120">
        <v>0</v>
      </c>
      <c r="R198" s="2120">
        <v>0</v>
      </c>
      <c r="S198" s="2120">
        <v>0</v>
      </c>
      <c r="T198" s="2120">
        <v>0</v>
      </c>
      <c r="U198" s="2120">
        <v>0</v>
      </c>
      <c r="V198" s="2120">
        <v>0</v>
      </c>
      <c r="W198" s="2081">
        <v>0</v>
      </c>
      <c r="X198" s="2081">
        <v>0</v>
      </c>
      <c r="Y198" s="2081">
        <v>0</v>
      </c>
      <c r="Z198" s="2158">
        <v>0</v>
      </c>
      <c r="AA198" s="2158">
        <v>0</v>
      </c>
      <c r="AB198" s="2158">
        <v>0</v>
      </c>
      <c r="AC198" s="2617">
        <v>0</v>
      </c>
      <c r="AD198" s="2158">
        <v>0</v>
      </c>
      <c r="AE198" s="2158">
        <v>0</v>
      </c>
      <c r="AF198" s="2158">
        <v>0</v>
      </c>
      <c r="AG198" s="2158">
        <v>0</v>
      </c>
      <c r="AH198" s="2158">
        <v>0</v>
      </c>
      <c r="AI198" s="2158">
        <v>0</v>
      </c>
    </row>
    <row r="199" spans="1:35" s="75" customFormat="1">
      <c r="A199" s="990">
        <v>175</v>
      </c>
      <c r="B199" s="990">
        <v>1</v>
      </c>
      <c r="C199" s="990">
        <v>199</v>
      </c>
      <c r="D199" s="1121" t="s">
        <v>999</v>
      </c>
      <c r="E199" s="1255">
        <v>1</v>
      </c>
      <c r="F199" s="9"/>
      <c r="G199" s="1241"/>
      <c r="H199" s="5"/>
      <c r="I199" s="5"/>
      <c r="J199" s="4"/>
      <c r="K199" s="30"/>
      <c r="L199" s="613"/>
      <c r="M199" s="676" t="s">
        <v>1034</v>
      </c>
      <c r="N199" s="51"/>
      <c r="O199" s="51"/>
      <c r="P199" s="51"/>
      <c r="Q199" s="1119">
        <v>0</v>
      </c>
      <c r="R199" s="1119">
        <v>0</v>
      </c>
      <c r="S199" s="1119">
        <v>0</v>
      </c>
      <c r="T199" s="1119">
        <v>0</v>
      </c>
      <c r="U199" s="1119">
        <v>0</v>
      </c>
      <c r="V199" s="1119">
        <v>0</v>
      </c>
      <c r="W199" s="1119">
        <v>0</v>
      </c>
      <c r="X199" s="1119">
        <v>0</v>
      </c>
      <c r="Y199" s="1119">
        <v>0</v>
      </c>
      <c r="Z199" s="1119">
        <v>0</v>
      </c>
      <c r="AA199" s="1119">
        <v>0</v>
      </c>
      <c r="AB199" s="1119">
        <v>0</v>
      </c>
      <c r="AC199" s="1525">
        <v>0</v>
      </c>
      <c r="AD199" s="1119">
        <v>0</v>
      </c>
      <c r="AE199" s="1119">
        <v>0</v>
      </c>
      <c r="AF199" s="1119">
        <v>0</v>
      </c>
      <c r="AG199" s="1119">
        <v>0</v>
      </c>
      <c r="AH199" s="1119">
        <v>0</v>
      </c>
      <c r="AI199" s="1119">
        <v>0</v>
      </c>
    </row>
    <row r="200" spans="1:35" s="75" customFormat="1">
      <c r="A200" s="990">
        <v>176</v>
      </c>
      <c r="B200" s="990">
        <v>1</v>
      </c>
      <c r="C200" s="990">
        <v>200</v>
      </c>
      <c r="D200" s="1121" t="s">
        <v>999</v>
      </c>
      <c r="E200" s="1255">
        <v>1</v>
      </c>
      <c r="F200" s="9"/>
      <c r="G200" s="1241"/>
      <c r="H200" s="5"/>
      <c r="I200" s="5"/>
      <c r="J200" s="4"/>
      <c r="K200" s="30"/>
      <c r="L200" s="30"/>
      <c r="M200" s="40" t="s">
        <v>143</v>
      </c>
      <c r="N200" s="4"/>
      <c r="O200" s="4"/>
      <c r="P200" s="4"/>
      <c r="Q200" s="41">
        <v>0</v>
      </c>
      <c r="R200" s="41">
        <v>0</v>
      </c>
      <c r="S200" s="41">
        <v>0</v>
      </c>
      <c r="T200" s="41">
        <v>0</v>
      </c>
      <c r="U200" s="41">
        <v>0</v>
      </c>
      <c r="V200" s="41">
        <v>0</v>
      </c>
      <c r="W200" s="19">
        <v>0</v>
      </c>
      <c r="X200" s="19">
        <v>0</v>
      </c>
      <c r="Y200" s="19">
        <v>0</v>
      </c>
      <c r="Z200" s="145">
        <v>0</v>
      </c>
      <c r="AA200" s="145">
        <v>0</v>
      </c>
      <c r="AB200" s="145">
        <v>0</v>
      </c>
      <c r="AC200" s="144">
        <v>0</v>
      </c>
      <c r="AD200" s="145">
        <v>0</v>
      </c>
      <c r="AE200" s="145">
        <v>0</v>
      </c>
      <c r="AF200" s="145">
        <v>0</v>
      </c>
      <c r="AG200" s="145">
        <v>0</v>
      </c>
      <c r="AH200" s="145">
        <v>0</v>
      </c>
      <c r="AI200" s="145">
        <v>0</v>
      </c>
    </row>
    <row r="201" spans="1:35" s="75" customFormat="1">
      <c r="A201" s="990">
        <v>177</v>
      </c>
      <c r="B201" s="990">
        <v>1</v>
      </c>
      <c r="C201" s="990">
        <v>201</v>
      </c>
      <c r="D201" s="1121" t="s">
        <v>999</v>
      </c>
      <c r="E201" s="1255">
        <v>1</v>
      </c>
      <c r="F201" s="9"/>
      <c r="G201" s="1241"/>
      <c r="H201" s="5"/>
      <c r="I201" s="5"/>
      <c r="J201" s="4"/>
      <c r="K201" s="30"/>
      <c r="L201" s="30"/>
      <c r="M201" s="40" t="s">
        <v>96</v>
      </c>
      <c r="N201" s="4"/>
      <c r="O201" s="4"/>
      <c r="P201" s="4"/>
      <c r="Q201" s="41">
        <v>0</v>
      </c>
      <c r="R201" s="41">
        <v>0</v>
      </c>
      <c r="S201" s="41">
        <v>0</v>
      </c>
      <c r="T201" s="41">
        <v>0</v>
      </c>
      <c r="U201" s="41">
        <v>0</v>
      </c>
      <c r="V201" s="41">
        <v>0</v>
      </c>
      <c r="W201" s="19">
        <v>0</v>
      </c>
      <c r="X201" s="19">
        <v>0</v>
      </c>
      <c r="Y201" s="19">
        <v>0</v>
      </c>
      <c r="Z201" s="145">
        <v>0</v>
      </c>
      <c r="AA201" s="145">
        <v>0</v>
      </c>
      <c r="AB201" s="145">
        <v>0</v>
      </c>
      <c r="AC201" s="144">
        <v>0</v>
      </c>
      <c r="AD201" s="145">
        <v>0</v>
      </c>
      <c r="AE201" s="145">
        <v>0</v>
      </c>
      <c r="AF201" s="145">
        <v>0</v>
      </c>
      <c r="AG201" s="145">
        <v>0</v>
      </c>
      <c r="AH201" s="145">
        <v>0</v>
      </c>
      <c r="AI201" s="145">
        <v>0</v>
      </c>
    </row>
    <row r="202" spans="1:35" s="75" customFormat="1">
      <c r="A202" s="990">
        <v>178</v>
      </c>
      <c r="B202" s="990">
        <v>1</v>
      </c>
      <c r="C202" s="990">
        <v>202</v>
      </c>
      <c r="D202" s="1121" t="s">
        <v>999</v>
      </c>
      <c r="E202" s="1255">
        <v>1</v>
      </c>
      <c r="F202" s="9"/>
      <c r="G202" s="1241"/>
      <c r="H202" s="5"/>
      <c r="I202" s="5"/>
      <c r="J202" s="4"/>
      <c r="K202" s="28"/>
      <c r="L202" s="28"/>
      <c r="M202" s="119" t="s">
        <v>142</v>
      </c>
      <c r="N202" s="2"/>
      <c r="O202" s="2"/>
      <c r="P202" s="2"/>
      <c r="Q202" s="66">
        <v>0</v>
      </c>
      <c r="R202" s="66">
        <v>0</v>
      </c>
      <c r="S202" s="66">
        <v>0</v>
      </c>
      <c r="T202" s="66">
        <v>0</v>
      </c>
      <c r="U202" s="66">
        <v>0</v>
      </c>
      <c r="V202" s="66">
        <v>0</v>
      </c>
      <c r="W202" s="17">
        <v>0</v>
      </c>
      <c r="X202" s="17">
        <v>0</v>
      </c>
      <c r="Y202" s="17">
        <v>0</v>
      </c>
      <c r="Z202" s="142">
        <v>0</v>
      </c>
      <c r="AA202" s="142">
        <v>0</v>
      </c>
      <c r="AB202" s="142">
        <v>0</v>
      </c>
      <c r="AC202" s="141">
        <v>0</v>
      </c>
      <c r="AD202" s="142">
        <v>0</v>
      </c>
      <c r="AE202" s="142">
        <v>0</v>
      </c>
      <c r="AF202" s="142">
        <v>0</v>
      </c>
      <c r="AG202" s="142">
        <v>0</v>
      </c>
      <c r="AH202" s="142">
        <v>0</v>
      </c>
      <c r="AI202" s="142">
        <v>0</v>
      </c>
    </row>
    <row r="203" spans="1:35" s="75" customFormat="1">
      <c r="A203" s="990">
        <v>179</v>
      </c>
      <c r="B203" s="990">
        <v>1</v>
      </c>
      <c r="C203" s="990">
        <v>203</v>
      </c>
      <c r="D203" s="1121" t="s">
        <v>999</v>
      </c>
      <c r="E203" s="1243">
        <v>1</v>
      </c>
      <c r="F203" s="5"/>
      <c r="G203" s="5"/>
      <c r="H203" s="5"/>
      <c r="I203" s="5"/>
      <c r="J203" s="4"/>
      <c r="K203" s="5"/>
      <c r="L203" s="5"/>
      <c r="M203" s="4"/>
      <c r="N203" s="4"/>
      <c r="O203" s="4"/>
      <c r="P203" s="4"/>
      <c r="Q203" s="2225"/>
      <c r="R203" s="1151"/>
      <c r="S203" s="1151"/>
      <c r="T203" s="1151"/>
      <c r="U203" s="1151"/>
      <c r="V203" s="1151"/>
      <c r="W203" s="1"/>
      <c r="X203" s="1"/>
      <c r="Y203" s="1"/>
      <c r="Z203" s="163"/>
      <c r="AA203" s="163"/>
      <c r="AB203" s="2201"/>
      <c r="AC203" s="163"/>
      <c r="AD203" s="163"/>
      <c r="AE203" s="163"/>
      <c r="AF203" s="163"/>
      <c r="AG203" s="163"/>
      <c r="AH203" s="163"/>
      <c r="AI203" s="868"/>
    </row>
    <row r="204" spans="1:35" s="75" customFormat="1">
      <c r="A204" s="990">
        <v>180</v>
      </c>
      <c r="B204" s="990">
        <v>1</v>
      </c>
      <c r="C204" s="990">
        <v>204</v>
      </c>
      <c r="D204" s="1121" t="s">
        <v>999</v>
      </c>
      <c r="E204" s="1243">
        <v>1</v>
      </c>
      <c r="F204" s="5"/>
      <c r="G204" s="5"/>
      <c r="H204" s="5" t="s">
        <v>1038</v>
      </c>
      <c r="I204" s="5"/>
      <c r="J204" s="4"/>
      <c r="K204" s="5"/>
      <c r="L204" s="5"/>
      <c r="M204" s="4"/>
      <c r="N204" s="4"/>
      <c r="O204" s="4"/>
      <c r="P204" s="4"/>
      <c r="Q204" s="2225"/>
      <c r="R204" s="1151"/>
      <c r="S204" s="1151"/>
      <c r="T204" s="1151"/>
      <c r="U204" s="1151"/>
      <c r="V204" s="1151"/>
      <c r="W204" s="1"/>
      <c r="X204" s="1"/>
      <c r="Y204" s="1"/>
      <c r="Z204" s="1"/>
      <c r="AA204" s="1"/>
      <c r="AB204" s="2209"/>
      <c r="AC204" s="1"/>
      <c r="AD204" s="1"/>
      <c r="AE204" s="1"/>
      <c r="AF204" s="1"/>
      <c r="AG204" s="1"/>
      <c r="AH204" s="1"/>
      <c r="AI204" s="1"/>
    </row>
    <row r="205" spans="1:35" s="75" customFormat="1" ht="14.5">
      <c r="A205" s="990">
        <v>181</v>
      </c>
      <c r="B205" s="990">
        <v>1</v>
      </c>
      <c r="C205" s="990">
        <v>205</v>
      </c>
      <c r="D205" s="1121" t="s">
        <v>999</v>
      </c>
      <c r="E205" s="1243">
        <v>1</v>
      </c>
      <c r="F205" s="5"/>
      <c r="G205" s="5"/>
      <c r="H205" s="5"/>
      <c r="I205" s="443" t="s">
        <v>9</v>
      </c>
      <c r="J205" s="604"/>
      <c r="K205" s="788"/>
      <c r="L205" s="788"/>
      <c r="M205" s="604"/>
      <c r="N205" s="604"/>
      <c r="O205" s="1175" t="s">
        <v>530</v>
      </c>
      <c r="P205" s="604"/>
      <c r="Q205" s="2123">
        <v>0</v>
      </c>
      <c r="R205" s="455">
        <v>0</v>
      </c>
      <c r="S205" s="455">
        <v>0</v>
      </c>
      <c r="T205" s="455">
        <v>0</v>
      </c>
      <c r="U205" s="455">
        <v>0</v>
      </c>
      <c r="V205" s="455">
        <v>0</v>
      </c>
      <c r="W205" s="455">
        <v>0</v>
      </c>
      <c r="X205" s="455">
        <v>0</v>
      </c>
      <c r="Y205" s="455">
        <v>0</v>
      </c>
      <c r="Z205" s="455">
        <v>0</v>
      </c>
      <c r="AA205" s="455">
        <v>0</v>
      </c>
      <c r="AB205" s="455">
        <v>0</v>
      </c>
      <c r="AC205" s="455">
        <v>0</v>
      </c>
      <c r="AD205" s="455">
        <v>0</v>
      </c>
      <c r="AE205" s="455">
        <v>0</v>
      </c>
      <c r="AF205" s="455">
        <v>0</v>
      </c>
      <c r="AG205" s="455">
        <v>0</v>
      </c>
      <c r="AH205" s="455">
        <v>0</v>
      </c>
      <c r="AI205" s="455">
        <v>0</v>
      </c>
    </row>
    <row r="206" spans="1:35" s="75" customFormat="1">
      <c r="A206" s="990">
        <v>182</v>
      </c>
      <c r="B206" s="990">
        <v>1</v>
      </c>
      <c r="C206" s="990">
        <v>206</v>
      </c>
      <c r="D206" s="1121" t="s">
        <v>999</v>
      </c>
      <c r="E206" s="1243">
        <v>1</v>
      </c>
      <c r="F206" s="5"/>
      <c r="G206" s="5"/>
      <c r="H206" s="5"/>
      <c r="I206" s="30"/>
      <c r="J206" s="4"/>
      <c r="K206" s="5"/>
      <c r="L206" s="5"/>
      <c r="M206" s="389" t="s">
        <v>1039</v>
      </c>
      <c r="N206" s="389"/>
      <c r="O206" s="389"/>
      <c r="P206" s="389"/>
      <c r="Q206" s="2124">
        <v>0</v>
      </c>
      <c r="R206" s="390">
        <v>0</v>
      </c>
      <c r="S206" s="390">
        <v>0</v>
      </c>
      <c r="T206" s="390">
        <v>0</v>
      </c>
      <c r="U206" s="390">
        <v>0</v>
      </c>
      <c r="V206" s="390">
        <v>0</v>
      </c>
      <c r="W206" s="390">
        <v>0</v>
      </c>
      <c r="X206" s="390">
        <v>0</v>
      </c>
      <c r="Y206" s="390">
        <v>0</v>
      </c>
      <c r="Z206" s="390">
        <v>0</v>
      </c>
      <c r="AA206" s="390">
        <v>0</v>
      </c>
      <c r="AB206" s="390">
        <v>0</v>
      </c>
      <c r="AC206" s="390">
        <v>0</v>
      </c>
      <c r="AD206" s="390">
        <v>0</v>
      </c>
      <c r="AE206" s="390">
        <v>0</v>
      </c>
      <c r="AF206" s="390">
        <v>0</v>
      </c>
      <c r="AG206" s="390">
        <v>0</v>
      </c>
      <c r="AH206" s="390">
        <v>0</v>
      </c>
      <c r="AI206" s="390">
        <v>0</v>
      </c>
    </row>
    <row r="207" spans="1:35" s="75" customFormat="1">
      <c r="A207" s="990">
        <v>183</v>
      </c>
      <c r="B207" s="990">
        <v>1</v>
      </c>
      <c r="C207" s="990">
        <v>207</v>
      </c>
      <c r="D207" s="1121" t="s">
        <v>999</v>
      </c>
      <c r="E207" s="1243">
        <v>1</v>
      </c>
      <c r="F207" s="5"/>
      <c r="G207" s="5"/>
      <c r="H207" s="5"/>
      <c r="I207" s="30"/>
      <c r="J207" s="4"/>
      <c r="K207" s="5"/>
      <c r="L207" s="5"/>
      <c r="M207" s="5"/>
      <c r="N207" s="4" t="s">
        <v>989</v>
      </c>
      <c r="O207" s="4"/>
      <c r="P207" s="4"/>
      <c r="Q207" s="2097">
        <v>0</v>
      </c>
      <c r="R207" s="135">
        <v>0</v>
      </c>
      <c r="S207" s="135">
        <v>0</v>
      </c>
      <c r="T207" s="135">
        <v>0</v>
      </c>
      <c r="U207" s="135">
        <v>0</v>
      </c>
      <c r="V207" s="135">
        <v>0</v>
      </c>
      <c r="W207" s="135">
        <v>0</v>
      </c>
      <c r="X207" s="135">
        <v>0</v>
      </c>
      <c r="Y207" s="135">
        <v>0</v>
      </c>
      <c r="Z207" s="135">
        <v>0</v>
      </c>
      <c r="AA207" s="135">
        <v>0</v>
      </c>
      <c r="AB207" s="135">
        <v>0</v>
      </c>
      <c r="AC207" s="135">
        <v>0</v>
      </c>
      <c r="AD207" s="135">
        <v>0</v>
      </c>
      <c r="AE207" s="135">
        <v>0</v>
      </c>
      <c r="AF207" s="135">
        <v>0</v>
      </c>
      <c r="AG207" s="135">
        <v>0</v>
      </c>
      <c r="AH207" s="135">
        <v>0</v>
      </c>
      <c r="AI207" s="135">
        <v>0</v>
      </c>
    </row>
    <row r="208" spans="1:35" s="75" customFormat="1">
      <c r="A208" s="990">
        <v>184</v>
      </c>
      <c r="B208" s="990">
        <v>1</v>
      </c>
      <c r="C208" s="990">
        <v>208</v>
      </c>
      <c r="D208" s="1121" t="s">
        <v>999</v>
      </c>
      <c r="E208" s="1243">
        <v>1</v>
      </c>
      <c r="F208" s="5"/>
      <c r="G208" s="5"/>
      <c r="H208" s="5"/>
      <c r="I208" s="30"/>
      <c r="J208" s="4"/>
      <c r="K208" s="5"/>
      <c r="L208" s="5"/>
      <c r="M208" s="5"/>
      <c r="N208" s="4" t="s">
        <v>1040</v>
      </c>
      <c r="O208" s="4"/>
      <c r="P208" s="4"/>
      <c r="Q208" s="2097">
        <v>0</v>
      </c>
      <c r="R208" s="135">
        <v>0</v>
      </c>
      <c r="S208" s="135">
        <v>0</v>
      </c>
      <c r="T208" s="135">
        <v>0</v>
      </c>
      <c r="U208" s="135">
        <v>0</v>
      </c>
      <c r="V208" s="135">
        <v>0</v>
      </c>
      <c r="W208" s="135">
        <v>0</v>
      </c>
      <c r="X208" s="135">
        <v>0</v>
      </c>
      <c r="Y208" s="135">
        <v>0</v>
      </c>
      <c r="Z208" s="135">
        <v>0</v>
      </c>
      <c r="AA208" s="135">
        <v>0</v>
      </c>
      <c r="AB208" s="135">
        <v>0</v>
      </c>
      <c r="AC208" s="135">
        <v>0</v>
      </c>
      <c r="AD208" s="135">
        <v>0</v>
      </c>
      <c r="AE208" s="135">
        <v>0</v>
      </c>
      <c r="AF208" s="135">
        <v>0</v>
      </c>
      <c r="AG208" s="135">
        <v>0</v>
      </c>
      <c r="AH208" s="135">
        <v>0</v>
      </c>
      <c r="AI208" s="135">
        <v>0</v>
      </c>
    </row>
    <row r="209" spans="1:35" s="75" customFormat="1">
      <c r="A209" s="990">
        <v>185</v>
      </c>
      <c r="B209" s="990">
        <v>1</v>
      </c>
      <c r="C209" s="990">
        <v>209</v>
      </c>
      <c r="D209" s="1121" t="s">
        <v>999</v>
      </c>
      <c r="E209" s="1243">
        <v>1</v>
      </c>
      <c r="F209" s="5"/>
      <c r="G209" s="5"/>
      <c r="H209" s="5"/>
      <c r="I209" s="30"/>
      <c r="J209" s="4"/>
      <c r="K209" s="5"/>
      <c r="L209" s="5"/>
      <c r="M209" s="5"/>
      <c r="N209" s="4" t="s">
        <v>1041</v>
      </c>
      <c r="O209" s="4"/>
      <c r="P209" s="4"/>
      <c r="Q209" s="2097">
        <v>0</v>
      </c>
      <c r="R209" s="135">
        <v>0</v>
      </c>
      <c r="S209" s="135">
        <v>0</v>
      </c>
      <c r="T209" s="135">
        <v>0</v>
      </c>
      <c r="U209" s="135">
        <v>0</v>
      </c>
      <c r="V209" s="135">
        <v>0</v>
      </c>
      <c r="W209" s="135">
        <v>0</v>
      </c>
      <c r="X209" s="135">
        <v>0</v>
      </c>
      <c r="Y209" s="135">
        <v>0</v>
      </c>
      <c r="Z209" s="135">
        <v>0</v>
      </c>
      <c r="AA209" s="135">
        <v>0</v>
      </c>
      <c r="AB209" s="135">
        <v>0</v>
      </c>
      <c r="AC209" s="135">
        <v>0</v>
      </c>
      <c r="AD209" s="135">
        <v>0</v>
      </c>
      <c r="AE209" s="135">
        <v>0</v>
      </c>
      <c r="AF209" s="135">
        <v>0</v>
      </c>
      <c r="AG209" s="135">
        <v>0</v>
      </c>
      <c r="AH209" s="135">
        <v>0</v>
      </c>
      <c r="AI209" s="135">
        <v>0</v>
      </c>
    </row>
    <row r="210" spans="1:35" s="75" customFormat="1">
      <c r="A210" s="990">
        <v>186</v>
      </c>
      <c r="B210" s="990">
        <v>1</v>
      </c>
      <c r="C210" s="990">
        <v>210</v>
      </c>
      <c r="D210" s="1121" t="s">
        <v>999</v>
      </c>
      <c r="E210" s="1243">
        <v>1</v>
      </c>
      <c r="F210" s="5"/>
      <c r="G210" s="5"/>
      <c r="H210" s="5"/>
      <c r="I210" s="30"/>
      <c r="J210" s="4"/>
      <c r="K210" s="5"/>
      <c r="L210" s="5"/>
      <c r="M210" s="5"/>
      <c r="N210" s="4" t="s">
        <v>1042</v>
      </c>
      <c r="O210" s="4"/>
      <c r="P210" s="4"/>
      <c r="Q210" s="2097">
        <v>0</v>
      </c>
      <c r="R210" s="135">
        <v>0</v>
      </c>
      <c r="S210" s="135">
        <v>0</v>
      </c>
      <c r="T210" s="135">
        <v>0</v>
      </c>
      <c r="U210" s="135">
        <v>0</v>
      </c>
      <c r="V210" s="135">
        <v>0</v>
      </c>
      <c r="W210" s="135">
        <v>0</v>
      </c>
      <c r="X210" s="135">
        <v>0</v>
      </c>
      <c r="Y210" s="135">
        <v>0</v>
      </c>
      <c r="Z210" s="135">
        <v>0</v>
      </c>
      <c r="AA210" s="135">
        <v>0</v>
      </c>
      <c r="AB210" s="135">
        <v>0</v>
      </c>
      <c r="AC210" s="135">
        <v>0</v>
      </c>
      <c r="AD210" s="135">
        <v>0</v>
      </c>
      <c r="AE210" s="135">
        <v>0</v>
      </c>
      <c r="AF210" s="135">
        <v>0</v>
      </c>
      <c r="AG210" s="135">
        <v>0</v>
      </c>
      <c r="AH210" s="135">
        <v>0</v>
      </c>
      <c r="AI210" s="135">
        <v>0</v>
      </c>
    </row>
    <row r="211" spans="1:35">
      <c r="A211" s="990">
        <v>187</v>
      </c>
      <c r="B211" s="990">
        <v>1</v>
      </c>
      <c r="C211" s="990">
        <v>211</v>
      </c>
      <c r="D211" s="1121" t="s">
        <v>999</v>
      </c>
      <c r="E211" s="1243">
        <v>1</v>
      </c>
      <c r="F211" s="5"/>
      <c r="G211" s="5"/>
      <c r="H211" s="5"/>
      <c r="I211" s="30"/>
      <c r="J211" s="4"/>
      <c r="K211" s="5"/>
      <c r="L211" s="5"/>
      <c r="M211" s="5"/>
      <c r="N211" s="4" t="s">
        <v>852</v>
      </c>
      <c r="O211" s="4"/>
      <c r="P211" s="4"/>
      <c r="Q211" s="2097">
        <v>0</v>
      </c>
      <c r="R211" s="135">
        <v>0</v>
      </c>
      <c r="S211" s="135">
        <v>0</v>
      </c>
      <c r="T211" s="135">
        <v>0</v>
      </c>
      <c r="U211" s="135">
        <v>0</v>
      </c>
      <c r="V211" s="135">
        <v>0</v>
      </c>
      <c r="W211" s="135">
        <v>0</v>
      </c>
      <c r="X211" s="135">
        <v>0</v>
      </c>
      <c r="Y211" s="135">
        <v>0</v>
      </c>
      <c r="Z211" s="135">
        <v>0</v>
      </c>
      <c r="AA211" s="135">
        <v>0</v>
      </c>
      <c r="AB211" s="135">
        <v>0</v>
      </c>
      <c r="AC211" s="135">
        <v>0</v>
      </c>
      <c r="AD211" s="135">
        <v>0</v>
      </c>
      <c r="AE211" s="135">
        <v>0</v>
      </c>
      <c r="AF211" s="135">
        <v>0</v>
      </c>
      <c r="AG211" s="135">
        <v>0</v>
      </c>
      <c r="AH211" s="135">
        <v>0</v>
      </c>
      <c r="AI211" s="135">
        <v>0</v>
      </c>
    </row>
    <row r="212" spans="1:35" s="619" customFormat="1">
      <c r="A212" s="990">
        <v>188</v>
      </c>
      <c r="B212" s="990">
        <v>1</v>
      </c>
      <c r="C212" s="990">
        <v>212</v>
      </c>
      <c r="D212" s="1121" t="s">
        <v>999</v>
      </c>
      <c r="E212" s="1243">
        <v>1</v>
      </c>
      <c r="F212" s="5"/>
      <c r="G212" s="5"/>
      <c r="H212" s="5"/>
      <c r="I212" s="30"/>
      <c r="J212" s="4"/>
      <c r="K212" s="5"/>
      <c r="L212" s="5"/>
      <c r="M212" s="51"/>
      <c r="N212" s="51" t="s">
        <v>11</v>
      </c>
      <c r="O212" s="51"/>
      <c r="P212" s="51"/>
      <c r="Q212" s="2059">
        <v>0</v>
      </c>
      <c r="R212" s="284">
        <v>0</v>
      </c>
      <c r="S212" s="284">
        <v>0</v>
      </c>
      <c r="T212" s="284">
        <v>0</v>
      </c>
      <c r="U212" s="284">
        <v>0</v>
      </c>
      <c r="V212" s="284">
        <v>0</v>
      </c>
      <c r="W212" s="284">
        <v>0</v>
      </c>
      <c r="X212" s="284">
        <v>0</v>
      </c>
      <c r="Y212" s="284">
        <v>0</v>
      </c>
      <c r="Z212" s="284">
        <v>0</v>
      </c>
      <c r="AA212" s="284">
        <v>0</v>
      </c>
      <c r="AB212" s="284">
        <v>0</v>
      </c>
      <c r="AC212" s="284">
        <v>0</v>
      </c>
      <c r="AD212" s="284">
        <v>0</v>
      </c>
      <c r="AE212" s="284">
        <v>0</v>
      </c>
      <c r="AF212" s="284">
        <v>0</v>
      </c>
      <c r="AG212" s="284">
        <v>0</v>
      </c>
      <c r="AH212" s="284">
        <v>0</v>
      </c>
      <c r="AI212" s="284">
        <v>0</v>
      </c>
    </row>
    <row r="213" spans="1:35" s="627" customFormat="1" ht="14.5" hidden="1" outlineLevel="1">
      <c r="A213" s="990">
        <v>189</v>
      </c>
      <c r="B213" s="990">
        <v>1</v>
      </c>
      <c r="C213" s="990">
        <v>213</v>
      </c>
      <c r="D213" s="1121" t="s">
        <v>999</v>
      </c>
      <c r="E213" s="1243">
        <v>1</v>
      </c>
      <c r="F213" s="5"/>
      <c r="G213" s="5"/>
      <c r="H213" s="5"/>
      <c r="I213" s="30"/>
      <c r="J213" s="4"/>
      <c r="K213" s="5"/>
      <c r="L213" s="5"/>
      <c r="M213" s="387" t="s">
        <v>95</v>
      </c>
      <c r="N213" s="387"/>
      <c r="O213" s="387"/>
      <c r="P213" s="387"/>
      <c r="Q213" s="2125">
        <v>0</v>
      </c>
      <c r="R213" s="388">
        <v>0</v>
      </c>
      <c r="S213" s="388">
        <v>0</v>
      </c>
      <c r="T213" s="388">
        <v>0</v>
      </c>
      <c r="U213" s="388">
        <v>0</v>
      </c>
      <c r="V213" s="388">
        <v>0</v>
      </c>
      <c r="W213" s="388">
        <v>0</v>
      </c>
      <c r="X213" s="388">
        <v>0</v>
      </c>
      <c r="Y213" s="388">
        <v>0</v>
      </c>
      <c r="Z213" s="388">
        <v>0</v>
      </c>
      <c r="AA213" s="388">
        <v>0</v>
      </c>
      <c r="AB213" s="388">
        <v>0</v>
      </c>
      <c r="AC213" s="388">
        <v>0</v>
      </c>
      <c r="AD213" s="388">
        <v>0</v>
      </c>
      <c r="AE213" s="388">
        <v>0</v>
      </c>
      <c r="AF213" s="388">
        <v>0</v>
      </c>
      <c r="AG213" s="388">
        <v>0</v>
      </c>
      <c r="AH213" s="388">
        <v>0</v>
      </c>
      <c r="AI213" s="388">
        <v>0</v>
      </c>
    </row>
    <row r="214" spans="1:35" s="627" customFormat="1" ht="14.5" hidden="1" outlineLevel="1">
      <c r="A214" s="990">
        <v>190</v>
      </c>
      <c r="B214" s="990">
        <v>1</v>
      </c>
      <c r="C214" s="990">
        <v>214</v>
      </c>
      <c r="D214" s="1121" t="s">
        <v>999</v>
      </c>
      <c r="E214" s="1243">
        <v>1</v>
      </c>
      <c r="F214" s="5"/>
      <c r="G214" s="5"/>
      <c r="H214" s="5"/>
      <c r="I214" s="30"/>
      <c r="J214" s="4"/>
      <c r="K214" s="5"/>
      <c r="L214" s="5"/>
      <c r="M214" s="5"/>
      <c r="N214" s="4" t="s">
        <v>989</v>
      </c>
      <c r="O214" s="4"/>
      <c r="P214" s="4"/>
      <c r="Q214" s="2097">
        <v>0</v>
      </c>
      <c r="R214" s="135">
        <v>0</v>
      </c>
      <c r="S214" s="135">
        <v>0</v>
      </c>
      <c r="T214" s="135">
        <v>0</v>
      </c>
      <c r="U214" s="135">
        <v>0</v>
      </c>
      <c r="V214" s="135">
        <v>0</v>
      </c>
      <c r="W214" s="135">
        <v>0</v>
      </c>
      <c r="X214" s="135">
        <v>0</v>
      </c>
      <c r="Y214" s="135">
        <v>0</v>
      </c>
      <c r="Z214" s="135">
        <v>0</v>
      </c>
      <c r="AA214" s="135">
        <v>0</v>
      </c>
      <c r="AB214" s="135">
        <v>0</v>
      </c>
      <c r="AC214" s="135">
        <v>0</v>
      </c>
      <c r="AD214" s="135">
        <v>0</v>
      </c>
      <c r="AE214" s="135">
        <v>0</v>
      </c>
      <c r="AF214" s="135">
        <v>0</v>
      </c>
      <c r="AG214" s="135">
        <v>0</v>
      </c>
      <c r="AH214" s="135">
        <v>0</v>
      </c>
      <c r="AI214" s="135">
        <v>0</v>
      </c>
    </row>
    <row r="215" spans="1:35" s="627" customFormat="1" ht="14.5" hidden="1" outlineLevel="1">
      <c r="A215" s="990">
        <v>191</v>
      </c>
      <c r="B215" s="990">
        <v>1</v>
      </c>
      <c r="C215" s="990">
        <v>215</v>
      </c>
      <c r="D215" s="1121" t="s">
        <v>999</v>
      </c>
      <c r="E215" s="1243">
        <v>1</v>
      </c>
      <c r="F215" s="5"/>
      <c r="G215" s="5"/>
      <c r="H215" s="5"/>
      <c r="I215" s="30"/>
      <c r="J215" s="4"/>
      <c r="K215" s="5"/>
      <c r="L215" s="5"/>
      <c r="M215" s="5"/>
      <c r="N215" s="4" t="s">
        <v>1040</v>
      </c>
      <c r="O215" s="4"/>
      <c r="P215" s="4"/>
      <c r="Q215" s="2097">
        <v>0</v>
      </c>
      <c r="R215" s="135">
        <v>0</v>
      </c>
      <c r="S215" s="135">
        <v>0</v>
      </c>
      <c r="T215" s="135">
        <v>0</v>
      </c>
      <c r="U215" s="135">
        <v>0</v>
      </c>
      <c r="V215" s="135">
        <v>0</v>
      </c>
      <c r="W215" s="135">
        <v>0</v>
      </c>
      <c r="X215" s="135">
        <v>0</v>
      </c>
      <c r="Y215" s="135">
        <v>0</v>
      </c>
      <c r="Z215" s="135">
        <v>0</v>
      </c>
      <c r="AA215" s="135">
        <v>0</v>
      </c>
      <c r="AB215" s="135">
        <v>0</v>
      </c>
      <c r="AC215" s="135">
        <v>0</v>
      </c>
      <c r="AD215" s="135">
        <v>0</v>
      </c>
      <c r="AE215" s="135">
        <v>0</v>
      </c>
      <c r="AF215" s="135">
        <v>0</v>
      </c>
      <c r="AG215" s="135">
        <v>0</v>
      </c>
      <c r="AH215" s="135">
        <v>0</v>
      </c>
      <c r="AI215" s="135">
        <v>0</v>
      </c>
    </row>
    <row r="216" spans="1:35" s="627" customFormat="1" ht="14.5" hidden="1" outlineLevel="1">
      <c r="A216" s="990">
        <v>192</v>
      </c>
      <c r="B216" s="990">
        <v>1</v>
      </c>
      <c r="C216" s="990">
        <v>216</v>
      </c>
      <c r="D216" s="1121" t="s">
        <v>999</v>
      </c>
      <c r="E216" s="1243">
        <v>1</v>
      </c>
      <c r="F216" s="5"/>
      <c r="G216" s="5"/>
      <c r="H216" s="5"/>
      <c r="I216" s="30"/>
      <c r="J216" s="4"/>
      <c r="K216" s="5"/>
      <c r="L216" s="5"/>
      <c r="M216" s="5"/>
      <c r="N216" s="4" t="s">
        <v>1041</v>
      </c>
      <c r="O216" s="4"/>
      <c r="P216" s="1498"/>
      <c r="Q216" s="2097">
        <v>0</v>
      </c>
      <c r="R216" s="135">
        <v>0</v>
      </c>
      <c r="S216" s="135">
        <v>0</v>
      </c>
      <c r="T216" s="135">
        <v>0</v>
      </c>
      <c r="U216" s="135">
        <v>0</v>
      </c>
      <c r="V216" s="135">
        <v>0</v>
      </c>
      <c r="W216" s="135">
        <v>0</v>
      </c>
      <c r="X216" s="135">
        <v>0</v>
      </c>
      <c r="Y216" s="135">
        <v>0</v>
      </c>
      <c r="Z216" s="135">
        <v>0</v>
      </c>
      <c r="AA216" s="135">
        <v>0</v>
      </c>
      <c r="AB216" s="135">
        <v>0</v>
      </c>
      <c r="AC216" s="135">
        <v>0</v>
      </c>
      <c r="AD216" s="135">
        <v>0</v>
      </c>
      <c r="AE216" s="135">
        <v>0</v>
      </c>
      <c r="AF216" s="135">
        <v>0</v>
      </c>
      <c r="AG216" s="135">
        <v>0</v>
      </c>
      <c r="AH216" s="135">
        <v>0</v>
      </c>
      <c r="AI216" s="135">
        <v>0</v>
      </c>
    </row>
    <row r="217" spans="1:35" s="627" customFormat="1" ht="14.5" hidden="1" outlineLevel="1">
      <c r="A217" s="990">
        <v>193</v>
      </c>
      <c r="B217" s="990">
        <v>1</v>
      </c>
      <c r="C217" s="990">
        <v>217</v>
      </c>
      <c r="D217" s="1121" t="s">
        <v>999</v>
      </c>
      <c r="E217" s="1243">
        <v>1</v>
      </c>
      <c r="F217" s="5"/>
      <c r="G217" s="5"/>
      <c r="H217" s="5"/>
      <c r="I217" s="30"/>
      <c r="J217" s="4"/>
      <c r="K217" s="5"/>
      <c r="L217" s="5"/>
      <c r="M217" s="5"/>
      <c r="N217" s="4" t="s">
        <v>1042</v>
      </c>
      <c r="O217" s="4"/>
      <c r="P217" s="4"/>
      <c r="Q217" s="2097">
        <v>0</v>
      </c>
      <c r="R217" s="135">
        <v>0</v>
      </c>
      <c r="S217" s="135">
        <v>0</v>
      </c>
      <c r="T217" s="135">
        <v>0</v>
      </c>
      <c r="U217" s="135">
        <v>0</v>
      </c>
      <c r="V217" s="135">
        <v>0</v>
      </c>
      <c r="W217" s="135">
        <v>0</v>
      </c>
      <c r="X217" s="135">
        <v>0</v>
      </c>
      <c r="Y217" s="135">
        <v>0</v>
      </c>
      <c r="Z217" s="135">
        <v>0</v>
      </c>
      <c r="AA217" s="135">
        <v>0</v>
      </c>
      <c r="AB217" s="135">
        <v>0</v>
      </c>
      <c r="AC217" s="135">
        <v>0</v>
      </c>
      <c r="AD217" s="135">
        <v>0</v>
      </c>
      <c r="AE217" s="135">
        <v>0</v>
      </c>
      <c r="AF217" s="135">
        <v>0</v>
      </c>
      <c r="AG217" s="135">
        <v>0</v>
      </c>
      <c r="AH217" s="135">
        <v>0</v>
      </c>
      <c r="AI217" s="135">
        <v>0</v>
      </c>
    </row>
    <row r="218" spans="1:35" s="627" customFormat="1" ht="14.5" hidden="1" outlineLevel="1">
      <c r="A218" s="990">
        <v>194</v>
      </c>
      <c r="B218" s="990">
        <v>1</v>
      </c>
      <c r="C218" s="990">
        <v>218</v>
      </c>
      <c r="D218" s="1121" t="s">
        <v>999</v>
      </c>
      <c r="E218" s="1243">
        <v>1</v>
      </c>
      <c r="F218" s="5"/>
      <c r="G218" s="5"/>
      <c r="H218" s="5"/>
      <c r="I218" s="30"/>
      <c r="J218" s="4"/>
      <c r="K218" s="5"/>
      <c r="L218" s="5"/>
      <c r="M218" s="5"/>
      <c r="N218" s="4" t="s">
        <v>852</v>
      </c>
      <c r="O218" s="4"/>
      <c r="P218" s="4"/>
      <c r="Q218" s="2097">
        <v>0</v>
      </c>
      <c r="R218" s="135">
        <v>0</v>
      </c>
      <c r="S218" s="135">
        <v>0</v>
      </c>
      <c r="T218" s="135">
        <v>0</v>
      </c>
      <c r="U218" s="135">
        <v>0</v>
      </c>
      <c r="V218" s="135">
        <v>0</v>
      </c>
      <c r="W218" s="135">
        <v>0</v>
      </c>
      <c r="X218" s="135">
        <v>0</v>
      </c>
      <c r="Y218" s="135">
        <v>0</v>
      </c>
      <c r="Z218" s="135">
        <v>0</v>
      </c>
      <c r="AA218" s="135">
        <v>0</v>
      </c>
      <c r="AB218" s="135">
        <v>0</v>
      </c>
      <c r="AC218" s="135">
        <v>0</v>
      </c>
      <c r="AD218" s="135">
        <v>0</v>
      </c>
      <c r="AE218" s="135">
        <v>0</v>
      </c>
      <c r="AF218" s="135">
        <v>0</v>
      </c>
      <c r="AG218" s="135">
        <v>0</v>
      </c>
      <c r="AH218" s="135">
        <v>0</v>
      </c>
      <c r="AI218" s="135">
        <v>0</v>
      </c>
    </row>
    <row r="219" spans="1:35" s="627" customFormat="1" ht="14.5" hidden="1" outlineLevel="1">
      <c r="A219" s="990">
        <v>195</v>
      </c>
      <c r="B219" s="990">
        <v>1</v>
      </c>
      <c r="C219" s="990">
        <v>219</v>
      </c>
      <c r="D219" s="1121" t="s">
        <v>999</v>
      </c>
      <c r="E219" s="1243">
        <v>1</v>
      </c>
      <c r="F219" s="5"/>
      <c r="G219" s="5"/>
      <c r="H219" s="5"/>
      <c r="I219" s="28"/>
      <c r="J219" s="2"/>
      <c r="K219" s="3"/>
      <c r="L219" s="3"/>
      <c r="M219" s="3"/>
      <c r="N219" s="2" t="s">
        <v>11</v>
      </c>
      <c r="O219" s="2"/>
      <c r="P219" s="2"/>
      <c r="Q219" s="2098">
        <v>0</v>
      </c>
      <c r="R219" s="285">
        <v>0</v>
      </c>
      <c r="S219" s="285">
        <v>0</v>
      </c>
      <c r="T219" s="285">
        <v>0</v>
      </c>
      <c r="U219" s="285">
        <v>0</v>
      </c>
      <c r="V219" s="285">
        <v>0</v>
      </c>
      <c r="W219" s="285">
        <v>0</v>
      </c>
      <c r="X219" s="285">
        <v>0</v>
      </c>
      <c r="Y219" s="285">
        <v>0</v>
      </c>
      <c r="Z219" s="285">
        <v>0</v>
      </c>
      <c r="AA219" s="285">
        <v>0</v>
      </c>
      <c r="AB219" s="285">
        <v>0</v>
      </c>
      <c r="AC219" s="285">
        <v>0</v>
      </c>
      <c r="AD219" s="285">
        <v>0</v>
      </c>
      <c r="AE219" s="285">
        <v>0</v>
      </c>
      <c r="AF219" s="285">
        <v>0</v>
      </c>
      <c r="AG219" s="285">
        <v>0</v>
      </c>
      <c r="AH219" s="285">
        <v>0</v>
      </c>
      <c r="AI219" s="285">
        <v>0</v>
      </c>
    </row>
    <row r="220" spans="1:35" s="627" customFormat="1" ht="14.5" hidden="1" outlineLevel="1">
      <c r="A220" s="990">
        <v>196</v>
      </c>
      <c r="B220" s="990">
        <v>1</v>
      </c>
      <c r="C220" s="990">
        <v>220</v>
      </c>
      <c r="D220" s="1121" t="s">
        <v>999</v>
      </c>
      <c r="E220" s="1243">
        <v>1</v>
      </c>
      <c r="F220" s="5"/>
      <c r="G220" s="5"/>
      <c r="H220" s="5"/>
      <c r="I220" s="443" t="s">
        <v>128</v>
      </c>
      <c r="J220" s="604"/>
      <c r="K220" s="788"/>
      <c r="L220" s="788"/>
      <c r="M220" s="604"/>
      <c r="N220" s="604"/>
      <c r="O220" s="1175" t="s">
        <v>532</v>
      </c>
      <c r="P220" s="604"/>
      <c r="Q220" s="2123">
        <v>0</v>
      </c>
      <c r="R220" s="455">
        <v>0</v>
      </c>
      <c r="S220" s="455">
        <v>0</v>
      </c>
      <c r="T220" s="455">
        <v>0</v>
      </c>
      <c r="U220" s="455">
        <v>0</v>
      </c>
      <c r="V220" s="455">
        <v>0</v>
      </c>
      <c r="W220" s="455">
        <v>0</v>
      </c>
      <c r="X220" s="455">
        <v>0</v>
      </c>
      <c r="Y220" s="455">
        <v>0</v>
      </c>
      <c r="Z220" s="455">
        <v>0</v>
      </c>
      <c r="AA220" s="455">
        <v>0</v>
      </c>
      <c r="AB220" s="455">
        <v>0</v>
      </c>
      <c r="AC220" s="455">
        <v>0</v>
      </c>
      <c r="AD220" s="455">
        <v>0</v>
      </c>
      <c r="AE220" s="455">
        <v>0</v>
      </c>
      <c r="AF220" s="455">
        <v>0</v>
      </c>
      <c r="AG220" s="455">
        <v>0</v>
      </c>
      <c r="AH220" s="455">
        <v>0</v>
      </c>
      <c r="AI220" s="455">
        <v>0</v>
      </c>
    </row>
    <row r="221" spans="1:35" s="627" customFormat="1" ht="14.5" hidden="1" outlineLevel="1">
      <c r="A221" s="990">
        <v>197</v>
      </c>
      <c r="B221" s="990">
        <v>1</v>
      </c>
      <c r="C221" s="990">
        <v>221</v>
      </c>
      <c r="D221" s="1121" t="s">
        <v>999</v>
      </c>
      <c r="E221" s="1243">
        <v>1</v>
      </c>
      <c r="F221" s="5"/>
      <c r="G221" s="5"/>
      <c r="H221" s="5"/>
      <c r="I221" s="30"/>
      <c r="J221" s="4"/>
      <c r="K221" s="5"/>
      <c r="L221" s="5"/>
      <c r="M221" s="389" t="s">
        <v>1039</v>
      </c>
      <c r="N221" s="389"/>
      <c r="O221" s="389"/>
      <c r="P221" s="389"/>
      <c r="Q221" s="2124">
        <v>0</v>
      </c>
      <c r="R221" s="390">
        <v>0</v>
      </c>
      <c r="S221" s="390">
        <v>0</v>
      </c>
      <c r="T221" s="390">
        <v>0</v>
      </c>
      <c r="U221" s="390">
        <v>0</v>
      </c>
      <c r="V221" s="390">
        <v>0</v>
      </c>
      <c r="W221" s="390">
        <v>0</v>
      </c>
      <c r="X221" s="390">
        <v>0</v>
      </c>
      <c r="Y221" s="390">
        <v>0</v>
      </c>
      <c r="Z221" s="390">
        <v>0</v>
      </c>
      <c r="AA221" s="390">
        <v>0</v>
      </c>
      <c r="AB221" s="390">
        <v>0</v>
      </c>
      <c r="AC221" s="390">
        <v>0</v>
      </c>
      <c r="AD221" s="390">
        <v>0</v>
      </c>
      <c r="AE221" s="390">
        <v>0</v>
      </c>
      <c r="AF221" s="390">
        <v>0</v>
      </c>
      <c r="AG221" s="390">
        <v>0</v>
      </c>
      <c r="AH221" s="390">
        <v>0</v>
      </c>
      <c r="AI221" s="390">
        <v>0</v>
      </c>
    </row>
    <row r="222" spans="1:35" s="627" customFormat="1" ht="14.5" hidden="1" outlineLevel="1">
      <c r="A222" s="990">
        <v>198</v>
      </c>
      <c r="B222" s="990">
        <v>1</v>
      </c>
      <c r="C222" s="990">
        <v>222</v>
      </c>
      <c r="D222" s="1121" t="s">
        <v>999</v>
      </c>
      <c r="E222" s="1243">
        <v>1</v>
      </c>
      <c r="F222" s="5"/>
      <c r="G222" s="5"/>
      <c r="H222" s="5"/>
      <c r="I222" s="30"/>
      <c r="J222" s="4"/>
      <c r="K222" s="5"/>
      <c r="L222" s="5"/>
      <c r="M222" s="5"/>
      <c r="N222" s="4" t="s">
        <v>989</v>
      </c>
      <c r="O222" s="4"/>
      <c r="P222" s="4"/>
      <c r="Q222" s="2032"/>
      <c r="R222" s="2039"/>
      <c r="S222" s="2039"/>
      <c r="T222" s="2039"/>
      <c r="U222" s="2039"/>
      <c r="V222" s="2039"/>
      <c r="W222" s="2039"/>
      <c r="X222" s="2039"/>
      <c r="Y222" s="2039"/>
      <c r="Z222" s="2039"/>
      <c r="AA222" s="2039"/>
      <c r="AB222" s="2039"/>
      <c r="AC222" s="135">
        <v>0</v>
      </c>
      <c r="AD222" s="135">
        <v>0</v>
      </c>
      <c r="AE222" s="135">
        <v>0</v>
      </c>
      <c r="AF222" s="135">
        <v>0</v>
      </c>
      <c r="AG222" s="135">
        <v>0</v>
      </c>
      <c r="AH222" s="135">
        <v>0</v>
      </c>
      <c r="AI222" s="135">
        <v>0</v>
      </c>
    </row>
    <row r="223" spans="1:35" s="627" customFormat="1" ht="14.5" hidden="1" outlineLevel="1">
      <c r="A223" s="990">
        <v>199</v>
      </c>
      <c r="B223" s="990">
        <v>1</v>
      </c>
      <c r="C223" s="990">
        <v>223</v>
      </c>
      <c r="D223" s="1121" t="s">
        <v>999</v>
      </c>
      <c r="E223" s="1243">
        <v>1</v>
      </c>
      <c r="F223" s="5"/>
      <c r="G223" s="5"/>
      <c r="H223" s="5"/>
      <c r="I223" s="30"/>
      <c r="J223" s="4"/>
      <c r="K223" s="5"/>
      <c r="L223" s="5"/>
      <c r="M223" s="5"/>
      <c r="N223" s="4" t="s">
        <v>1040</v>
      </c>
      <c r="O223" s="4"/>
      <c r="P223" s="4"/>
      <c r="Q223" s="2032"/>
      <c r="R223" s="2039"/>
      <c r="S223" s="2039"/>
      <c r="T223" s="2039"/>
      <c r="U223" s="2039"/>
      <c r="V223" s="2039"/>
      <c r="W223" s="2039"/>
      <c r="X223" s="2039"/>
      <c r="Y223" s="2039"/>
      <c r="Z223" s="2039"/>
      <c r="AA223" s="2039"/>
      <c r="AB223" s="2039"/>
      <c r="AC223" s="135">
        <v>0</v>
      </c>
      <c r="AD223" s="135">
        <v>0</v>
      </c>
      <c r="AE223" s="135">
        <v>0</v>
      </c>
      <c r="AF223" s="135">
        <v>0</v>
      </c>
      <c r="AG223" s="135">
        <v>0</v>
      </c>
      <c r="AH223" s="135">
        <v>0</v>
      </c>
      <c r="AI223" s="135">
        <v>0</v>
      </c>
    </row>
    <row r="224" spans="1:35" s="627" customFormat="1" ht="14.5" hidden="1" outlineLevel="1">
      <c r="A224" s="990">
        <v>200</v>
      </c>
      <c r="B224" s="990">
        <v>1</v>
      </c>
      <c r="C224" s="990">
        <v>224</v>
      </c>
      <c r="D224" s="1121" t="s">
        <v>999</v>
      </c>
      <c r="E224" s="1243">
        <v>1</v>
      </c>
      <c r="F224" s="5"/>
      <c r="G224" s="5"/>
      <c r="H224" s="5"/>
      <c r="I224" s="30"/>
      <c r="J224" s="4"/>
      <c r="K224" s="5"/>
      <c r="L224" s="5"/>
      <c r="M224" s="5"/>
      <c r="N224" s="4" t="s">
        <v>1041</v>
      </c>
      <c r="O224" s="4"/>
      <c r="P224" s="4"/>
      <c r="Q224" s="2032"/>
      <c r="R224" s="2039"/>
      <c r="S224" s="2039"/>
      <c r="T224" s="2039"/>
      <c r="U224" s="2039"/>
      <c r="V224" s="2039"/>
      <c r="W224" s="2039"/>
      <c r="X224" s="2039"/>
      <c r="Y224" s="2039"/>
      <c r="Z224" s="2039"/>
      <c r="AA224" s="2039"/>
      <c r="AB224" s="2039"/>
      <c r="AC224" s="135">
        <v>0</v>
      </c>
      <c r="AD224" s="135">
        <v>0</v>
      </c>
      <c r="AE224" s="135">
        <v>0</v>
      </c>
      <c r="AF224" s="135">
        <v>0</v>
      </c>
      <c r="AG224" s="135">
        <v>0</v>
      </c>
      <c r="AH224" s="135">
        <v>0</v>
      </c>
      <c r="AI224" s="135">
        <v>0</v>
      </c>
    </row>
    <row r="225" spans="1:35" s="627" customFormat="1" ht="14.5" hidden="1" outlineLevel="1">
      <c r="A225" s="990">
        <v>201</v>
      </c>
      <c r="B225" s="990">
        <v>1</v>
      </c>
      <c r="C225" s="990">
        <v>225</v>
      </c>
      <c r="D225" s="1121" t="s">
        <v>999</v>
      </c>
      <c r="E225" s="1243">
        <v>1</v>
      </c>
      <c r="F225" s="5"/>
      <c r="G225" s="5"/>
      <c r="H225" s="5"/>
      <c r="I225" s="30"/>
      <c r="J225" s="4"/>
      <c r="K225" s="5"/>
      <c r="L225" s="5"/>
      <c r="M225" s="5"/>
      <c r="N225" s="4" t="s">
        <v>1042</v>
      </c>
      <c r="O225" s="4"/>
      <c r="P225" s="4"/>
      <c r="Q225" s="2032"/>
      <c r="R225" s="2039"/>
      <c r="S225" s="2039"/>
      <c r="T225" s="2039"/>
      <c r="U225" s="2039"/>
      <c r="V225" s="2039"/>
      <c r="W225" s="2039"/>
      <c r="X225" s="2039"/>
      <c r="Y225" s="2039"/>
      <c r="Z225" s="2039"/>
      <c r="AA225" s="2039"/>
      <c r="AB225" s="2039"/>
      <c r="AC225" s="135">
        <v>0</v>
      </c>
      <c r="AD225" s="135">
        <v>0</v>
      </c>
      <c r="AE225" s="135">
        <v>0</v>
      </c>
      <c r="AF225" s="135">
        <v>0</v>
      </c>
      <c r="AG225" s="135">
        <v>0</v>
      </c>
      <c r="AH225" s="135">
        <v>0</v>
      </c>
      <c r="AI225" s="135">
        <v>0</v>
      </c>
    </row>
    <row r="226" spans="1:35" s="627" customFormat="1" ht="14.5" hidden="1" outlineLevel="1">
      <c r="A226" s="990">
        <v>202</v>
      </c>
      <c r="B226" s="990">
        <v>1</v>
      </c>
      <c r="C226" s="990">
        <v>226</v>
      </c>
      <c r="D226" s="1121" t="s">
        <v>999</v>
      </c>
      <c r="E226" s="1243">
        <v>1</v>
      </c>
      <c r="F226" s="5"/>
      <c r="G226" s="5"/>
      <c r="H226" s="5"/>
      <c r="I226" s="30"/>
      <c r="J226" s="4"/>
      <c r="K226" s="5"/>
      <c r="L226" s="5"/>
      <c r="M226" s="5"/>
      <c r="N226" s="4" t="s">
        <v>852</v>
      </c>
      <c r="O226" s="4"/>
      <c r="P226" s="4"/>
      <c r="Q226" s="2032"/>
      <c r="R226" s="2039"/>
      <c r="S226" s="2039"/>
      <c r="T226" s="2039"/>
      <c r="U226" s="2039"/>
      <c r="V226" s="2039"/>
      <c r="W226" s="2039"/>
      <c r="X226" s="2039"/>
      <c r="Y226" s="2039"/>
      <c r="Z226" s="2039"/>
      <c r="AA226" s="2039"/>
      <c r="AB226" s="2039"/>
      <c r="AC226" s="135">
        <v>0</v>
      </c>
      <c r="AD226" s="135">
        <v>0</v>
      </c>
      <c r="AE226" s="135">
        <v>0</v>
      </c>
      <c r="AF226" s="135">
        <v>0</v>
      </c>
      <c r="AG226" s="135">
        <v>0</v>
      </c>
      <c r="AH226" s="135">
        <v>0</v>
      </c>
      <c r="AI226" s="135">
        <v>0</v>
      </c>
    </row>
    <row r="227" spans="1:35" s="75" customFormat="1" collapsed="1">
      <c r="A227" s="990">
        <v>203</v>
      </c>
      <c r="B227" s="990">
        <v>1</v>
      </c>
      <c r="C227" s="990">
        <v>227</v>
      </c>
      <c r="D227" s="1121" t="s">
        <v>999</v>
      </c>
      <c r="E227" s="1243">
        <v>1</v>
      </c>
      <c r="F227" s="5"/>
      <c r="G227" s="5"/>
      <c r="H227" s="5"/>
      <c r="I227" s="30"/>
      <c r="J227" s="4"/>
      <c r="K227" s="5"/>
      <c r="L227" s="5"/>
      <c r="M227" s="51"/>
      <c r="N227" s="51" t="s">
        <v>11</v>
      </c>
      <c r="O227" s="51"/>
      <c r="P227" s="51"/>
      <c r="Q227" s="2211"/>
      <c r="R227" s="2043"/>
      <c r="S227" s="2043"/>
      <c r="T227" s="2043"/>
      <c r="U227" s="2043"/>
      <c r="V227" s="2043"/>
      <c r="W227" s="2043"/>
      <c r="X227" s="2043"/>
      <c r="Y227" s="2043"/>
      <c r="Z227" s="2043"/>
      <c r="AA227" s="2043"/>
      <c r="AB227" s="2043"/>
      <c r="AC227" s="284">
        <v>0</v>
      </c>
      <c r="AD227" s="284">
        <v>0</v>
      </c>
      <c r="AE227" s="284">
        <v>0</v>
      </c>
      <c r="AF227" s="284">
        <v>0</v>
      </c>
      <c r="AG227" s="284">
        <v>0</v>
      </c>
      <c r="AH227" s="284">
        <v>0</v>
      </c>
      <c r="AI227" s="284">
        <v>0</v>
      </c>
    </row>
    <row r="228" spans="1:35" s="75" customFormat="1">
      <c r="A228" s="990">
        <v>204</v>
      </c>
      <c r="B228" s="990">
        <v>1</v>
      </c>
      <c r="C228" s="990">
        <v>228</v>
      </c>
      <c r="D228" s="1121" t="s">
        <v>999</v>
      </c>
      <c r="E228" s="1243">
        <v>1</v>
      </c>
      <c r="F228" s="5"/>
      <c r="G228" s="5"/>
      <c r="H228" s="5"/>
      <c r="I228" s="30"/>
      <c r="J228" s="4"/>
      <c r="K228" s="5"/>
      <c r="L228" s="5"/>
      <c r="M228" s="387" t="s">
        <v>95</v>
      </c>
      <c r="N228" s="387"/>
      <c r="O228" s="387"/>
      <c r="P228" s="387"/>
      <c r="Q228" s="2125">
        <v>0</v>
      </c>
      <c r="R228" s="388">
        <v>0</v>
      </c>
      <c r="S228" s="388">
        <v>0</v>
      </c>
      <c r="T228" s="388">
        <v>0</v>
      </c>
      <c r="U228" s="388">
        <v>0</v>
      </c>
      <c r="V228" s="388">
        <v>0</v>
      </c>
      <c r="W228" s="388">
        <v>0</v>
      </c>
      <c r="X228" s="388">
        <v>0</v>
      </c>
      <c r="Y228" s="388">
        <v>0</v>
      </c>
      <c r="Z228" s="388">
        <v>0</v>
      </c>
      <c r="AA228" s="388">
        <v>0</v>
      </c>
      <c r="AB228" s="388">
        <v>0</v>
      </c>
      <c r="AC228" s="388">
        <v>0</v>
      </c>
      <c r="AD228" s="388">
        <v>0</v>
      </c>
      <c r="AE228" s="388">
        <v>0</v>
      </c>
      <c r="AF228" s="388">
        <v>0</v>
      </c>
      <c r="AG228" s="388">
        <v>0</v>
      </c>
      <c r="AH228" s="388">
        <v>0</v>
      </c>
      <c r="AI228" s="388">
        <v>0</v>
      </c>
    </row>
    <row r="229" spans="1:35" s="75" customFormat="1">
      <c r="A229" s="990">
        <v>205</v>
      </c>
      <c r="B229" s="990">
        <v>1</v>
      </c>
      <c r="C229" s="990">
        <v>229</v>
      </c>
      <c r="D229" s="1121" t="s">
        <v>999</v>
      </c>
      <c r="E229" s="1243">
        <v>1</v>
      </c>
      <c r="F229" s="5"/>
      <c r="G229" s="5"/>
      <c r="H229" s="5"/>
      <c r="I229" s="30"/>
      <c r="J229" s="4"/>
      <c r="K229" s="5"/>
      <c r="L229" s="5"/>
      <c r="M229" s="5"/>
      <c r="N229" s="4" t="s">
        <v>989</v>
      </c>
      <c r="O229" s="4"/>
      <c r="P229" s="4"/>
      <c r="Q229" s="2032"/>
      <c r="R229" s="2039"/>
      <c r="S229" s="2039"/>
      <c r="T229" s="2039"/>
      <c r="U229" s="2039"/>
      <c r="V229" s="2039"/>
      <c r="W229" s="2039"/>
      <c r="X229" s="2039"/>
      <c r="Y229" s="2039"/>
      <c r="Z229" s="2039"/>
      <c r="AA229" s="2039"/>
      <c r="AB229" s="2039"/>
      <c r="AC229" s="135">
        <v>0</v>
      </c>
      <c r="AD229" s="135">
        <v>0</v>
      </c>
      <c r="AE229" s="135">
        <v>0</v>
      </c>
      <c r="AF229" s="135">
        <v>0</v>
      </c>
      <c r="AG229" s="135">
        <v>0</v>
      </c>
      <c r="AH229" s="135">
        <v>0</v>
      </c>
      <c r="AI229" s="135">
        <v>0</v>
      </c>
    </row>
    <row r="230" spans="1:35" s="75" customFormat="1">
      <c r="A230" s="990">
        <v>206</v>
      </c>
      <c r="B230" s="990">
        <v>1</v>
      </c>
      <c r="C230" s="990">
        <v>230</v>
      </c>
      <c r="D230" s="1121" t="s">
        <v>999</v>
      </c>
      <c r="E230" s="1243">
        <v>1</v>
      </c>
      <c r="F230" s="5"/>
      <c r="G230" s="5"/>
      <c r="H230" s="5"/>
      <c r="I230" s="30"/>
      <c r="J230" s="4"/>
      <c r="K230" s="5"/>
      <c r="L230" s="5"/>
      <c r="M230" s="5"/>
      <c r="N230" s="4" t="s">
        <v>1040</v>
      </c>
      <c r="O230" s="4"/>
      <c r="P230" s="4"/>
      <c r="Q230" s="2032"/>
      <c r="R230" s="2039"/>
      <c r="S230" s="2039"/>
      <c r="T230" s="2039"/>
      <c r="U230" s="2039"/>
      <c r="V230" s="2039"/>
      <c r="W230" s="2039"/>
      <c r="X230" s="2039"/>
      <c r="Y230" s="2039"/>
      <c r="Z230" s="2039"/>
      <c r="AA230" s="2039"/>
      <c r="AB230" s="2039"/>
      <c r="AC230" s="135">
        <v>0</v>
      </c>
      <c r="AD230" s="135">
        <v>0</v>
      </c>
      <c r="AE230" s="135">
        <v>0</v>
      </c>
      <c r="AF230" s="135">
        <v>0</v>
      </c>
      <c r="AG230" s="135">
        <v>0</v>
      </c>
      <c r="AH230" s="135">
        <v>0</v>
      </c>
      <c r="AI230" s="135">
        <v>0</v>
      </c>
    </row>
    <row r="231" spans="1:35" s="75" customFormat="1">
      <c r="A231" s="990">
        <v>207</v>
      </c>
      <c r="B231" s="990">
        <v>1</v>
      </c>
      <c r="C231" s="990">
        <v>231</v>
      </c>
      <c r="D231" s="1121" t="s">
        <v>999</v>
      </c>
      <c r="E231" s="1243">
        <v>1</v>
      </c>
      <c r="F231" s="5"/>
      <c r="G231" s="5"/>
      <c r="H231" s="5"/>
      <c r="I231" s="30"/>
      <c r="J231" s="4"/>
      <c r="K231" s="5"/>
      <c r="L231" s="5"/>
      <c r="M231" s="5"/>
      <c r="N231" s="4" t="s">
        <v>1041</v>
      </c>
      <c r="O231" s="4"/>
      <c r="P231" s="1498"/>
      <c r="Q231" s="2032"/>
      <c r="R231" s="2039"/>
      <c r="S231" s="2039"/>
      <c r="T231" s="2039"/>
      <c r="U231" s="2039"/>
      <c r="V231" s="2039"/>
      <c r="W231" s="2039"/>
      <c r="X231" s="2039"/>
      <c r="Y231" s="2039"/>
      <c r="Z231" s="2039"/>
      <c r="AA231" s="2039"/>
      <c r="AB231" s="2039"/>
      <c r="AC231" s="135">
        <v>0</v>
      </c>
      <c r="AD231" s="135">
        <v>0</v>
      </c>
      <c r="AE231" s="135">
        <v>0</v>
      </c>
      <c r="AF231" s="135">
        <v>0</v>
      </c>
      <c r="AG231" s="135">
        <v>0</v>
      </c>
      <c r="AH231" s="135">
        <v>0</v>
      </c>
      <c r="AI231" s="135">
        <v>0</v>
      </c>
    </row>
    <row r="232" spans="1:35" s="75" customFormat="1">
      <c r="A232" s="990">
        <v>208</v>
      </c>
      <c r="B232" s="990">
        <v>1</v>
      </c>
      <c r="C232" s="990">
        <v>232</v>
      </c>
      <c r="D232" s="1121" t="s">
        <v>999</v>
      </c>
      <c r="E232" s="1243">
        <v>1</v>
      </c>
      <c r="F232" s="5"/>
      <c r="G232" s="5"/>
      <c r="H232" s="5"/>
      <c r="I232" s="30"/>
      <c r="J232" s="4"/>
      <c r="K232" s="5"/>
      <c r="L232" s="5"/>
      <c r="M232" s="5"/>
      <c r="N232" s="4" t="s">
        <v>1042</v>
      </c>
      <c r="O232" s="4"/>
      <c r="P232" s="4"/>
      <c r="Q232" s="2032"/>
      <c r="R232" s="2039"/>
      <c r="S232" s="2039"/>
      <c r="T232" s="2039"/>
      <c r="U232" s="2039"/>
      <c r="V232" s="2039"/>
      <c r="W232" s="2039"/>
      <c r="X232" s="2039"/>
      <c r="Y232" s="2039"/>
      <c r="Z232" s="2039"/>
      <c r="AA232" s="2039"/>
      <c r="AB232" s="2039"/>
      <c r="AC232" s="135">
        <v>0</v>
      </c>
      <c r="AD232" s="135">
        <v>0</v>
      </c>
      <c r="AE232" s="135">
        <v>0</v>
      </c>
      <c r="AF232" s="135">
        <v>0</v>
      </c>
      <c r="AG232" s="135">
        <v>0</v>
      </c>
      <c r="AH232" s="135">
        <v>0</v>
      </c>
      <c r="AI232" s="135">
        <v>0</v>
      </c>
    </row>
    <row r="233" spans="1:35" s="75" customFormat="1">
      <c r="A233" s="990">
        <v>209</v>
      </c>
      <c r="B233" s="990">
        <v>1</v>
      </c>
      <c r="C233" s="990">
        <v>233</v>
      </c>
      <c r="D233" s="1121" t="s">
        <v>999</v>
      </c>
      <c r="E233" s="1243">
        <v>1</v>
      </c>
      <c r="F233" s="5"/>
      <c r="G233" s="5"/>
      <c r="H233" s="5"/>
      <c r="I233" s="30"/>
      <c r="J233" s="4"/>
      <c r="K233" s="5"/>
      <c r="L233" s="5"/>
      <c r="M233" s="5"/>
      <c r="N233" s="4" t="s">
        <v>852</v>
      </c>
      <c r="O233" s="4"/>
      <c r="P233" s="4"/>
      <c r="Q233" s="2032"/>
      <c r="R233" s="2039"/>
      <c r="S233" s="2039"/>
      <c r="T233" s="2039"/>
      <c r="U233" s="2039"/>
      <c r="V233" s="2039"/>
      <c r="W233" s="2039"/>
      <c r="X233" s="2039"/>
      <c r="Y233" s="2039"/>
      <c r="Z233" s="2039"/>
      <c r="AA233" s="2039"/>
      <c r="AB233" s="2039"/>
      <c r="AC233" s="135">
        <v>0</v>
      </c>
      <c r="AD233" s="135">
        <v>0</v>
      </c>
      <c r="AE233" s="135">
        <v>0</v>
      </c>
      <c r="AF233" s="135">
        <v>0</v>
      </c>
      <c r="AG233" s="135">
        <v>0</v>
      </c>
      <c r="AH233" s="135">
        <v>0</v>
      </c>
      <c r="AI233" s="135">
        <v>0</v>
      </c>
    </row>
    <row r="234" spans="1:35" s="75" customFormat="1">
      <c r="A234" s="990">
        <v>210</v>
      </c>
      <c r="B234" s="990">
        <v>1</v>
      </c>
      <c r="C234" s="990">
        <v>234</v>
      </c>
      <c r="D234" s="1121" t="s">
        <v>999</v>
      </c>
      <c r="E234" s="1243">
        <v>1</v>
      </c>
      <c r="F234" s="5"/>
      <c r="G234" s="5"/>
      <c r="H234" s="5"/>
      <c r="I234" s="28"/>
      <c r="J234" s="2"/>
      <c r="K234" s="3"/>
      <c r="L234" s="3"/>
      <c r="M234" s="3"/>
      <c r="N234" s="2" t="s">
        <v>11</v>
      </c>
      <c r="O234" s="2"/>
      <c r="P234" s="2"/>
      <c r="Q234" s="2211"/>
      <c r="R234" s="2043"/>
      <c r="S234" s="2043"/>
      <c r="T234" s="2043"/>
      <c r="U234" s="2043"/>
      <c r="V234" s="2043"/>
      <c r="W234" s="2043"/>
      <c r="X234" s="2043"/>
      <c r="Y234" s="2043"/>
      <c r="Z234" s="2043"/>
      <c r="AA234" s="2043"/>
      <c r="AB234" s="2043"/>
      <c r="AC234" s="285">
        <v>0</v>
      </c>
      <c r="AD234" s="285">
        <v>0</v>
      </c>
      <c r="AE234" s="285">
        <v>0</v>
      </c>
      <c r="AF234" s="285">
        <v>0</v>
      </c>
      <c r="AG234" s="285">
        <v>0</v>
      </c>
      <c r="AH234" s="285">
        <v>0</v>
      </c>
      <c r="AI234" s="285">
        <v>0</v>
      </c>
    </row>
    <row r="235" spans="1:35" s="75" customFormat="1">
      <c r="A235" s="990">
        <v>211</v>
      </c>
      <c r="B235" s="990">
        <v>1</v>
      </c>
      <c r="C235" s="990">
        <v>235</v>
      </c>
      <c r="D235" s="1121" t="s">
        <v>999</v>
      </c>
      <c r="E235" s="1243">
        <v>1</v>
      </c>
      <c r="F235" s="5"/>
      <c r="G235" s="5"/>
      <c r="H235" s="5"/>
      <c r="I235" s="443" t="s">
        <v>134</v>
      </c>
      <c r="J235" s="604"/>
      <c r="K235" s="788"/>
      <c r="L235" s="788"/>
      <c r="M235" s="604"/>
      <c r="N235" s="604"/>
      <c r="O235" s="604"/>
      <c r="P235" s="604"/>
      <c r="Q235" s="2123">
        <v>0</v>
      </c>
      <c r="R235" s="455">
        <v>0</v>
      </c>
      <c r="S235" s="455">
        <v>0</v>
      </c>
      <c r="T235" s="455">
        <v>0</v>
      </c>
      <c r="U235" s="455">
        <v>0</v>
      </c>
      <c r="V235" s="455">
        <v>0</v>
      </c>
      <c r="W235" s="455">
        <v>0</v>
      </c>
      <c r="X235" s="455">
        <v>0</v>
      </c>
      <c r="Y235" s="455">
        <v>0</v>
      </c>
      <c r="Z235" s="455">
        <v>0</v>
      </c>
      <c r="AA235" s="455">
        <v>0</v>
      </c>
      <c r="AB235" s="455">
        <v>0</v>
      </c>
      <c r="AC235" s="455">
        <v>0</v>
      </c>
      <c r="AD235" s="455">
        <v>0</v>
      </c>
      <c r="AE235" s="455">
        <v>0</v>
      </c>
      <c r="AF235" s="455">
        <v>0</v>
      </c>
      <c r="AG235" s="455">
        <v>0</v>
      </c>
      <c r="AH235" s="455">
        <v>0</v>
      </c>
      <c r="AI235" s="455">
        <v>0</v>
      </c>
    </row>
    <row r="236" spans="1:35" s="75" customFormat="1" ht="14.5">
      <c r="A236" s="990">
        <v>212</v>
      </c>
      <c r="B236" s="990">
        <v>1</v>
      </c>
      <c r="C236" s="990">
        <v>236</v>
      </c>
      <c r="D236" s="1121" t="s">
        <v>999</v>
      </c>
      <c r="E236" s="1243">
        <v>1</v>
      </c>
      <c r="F236" s="5"/>
      <c r="G236" s="5"/>
      <c r="H236" s="616"/>
      <c r="I236" s="617"/>
      <c r="J236" s="618" t="s">
        <v>135</v>
      </c>
      <c r="K236" s="616"/>
      <c r="L236" s="616"/>
      <c r="M236" s="616"/>
      <c r="N236" s="616"/>
      <c r="O236" s="587" t="s">
        <v>1027</v>
      </c>
      <c r="P236" s="616"/>
      <c r="Q236" s="2122">
        <v>0</v>
      </c>
      <c r="R236" s="622">
        <v>0</v>
      </c>
      <c r="S236" s="622">
        <v>0</v>
      </c>
      <c r="T236" s="622">
        <v>0</v>
      </c>
      <c r="U236" s="622">
        <v>0</v>
      </c>
      <c r="V236" s="622">
        <v>0</v>
      </c>
      <c r="W236" s="622">
        <v>0</v>
      </c>
      <c r="X236" s="622">
        <v>0</v>
      </c>
      <c r="Y236" s="622">
        <v>0</v>
      </c>
      <c r="Z236" s="622">
        <v>0</v>
      </c>
      <c r="AA236" s="622">
        <v>0</v>
      </c>
      <c r="AB236" s="622">
        <v>0</v>
      </c>
      <c r="AC236" s="622">
        <v>0</v>
      </c>
      <c r="AD236" s="622">
        <v>0</v>
      </c>
      <c r="AE236" s="622">
        <v>0</v>
      </c>
      <c r="AF236" s="622">
        <v>0</v>
      </c>
      <c r="AG236" s="622">
        <v>0</v>
      </c>
      <c r="AH236" s="622">
        <v>0</v>
      </c>
      <c r="AI236" s="622">
        <v>0</v>
      </c>
    </row>
    <row r="237" spans="1:35" s="75" customFormat="1" ht="14.5">
      <c r="A237" s="990">
        <v>213</v>
      </c>
      <c r="B237" s="990">
        <v>1</v>
      </c>
      <c r="C237" s="990">
        <v>237</v>
      </c>
      <c r="D237" s="1121" t="s">
        <v>999</v>
      </c>
      <c r="E237" s="1243">
        <v>1</v>
      </c>
      <c r="F237" s="5"/>
      <c r="G237" s="5"/>
      <c r="H237" s="624"/>
      <c r="I237" s="625"/>
      <c r="J237" s="618"/>
      <c r="K237" s="624"/>
      <c r="L237" s="624"/>
      <c r="M237" s="626" t="s">
        <v>1043</v>
      </c>
      <c r="N237" s="626"/>
      <c r="O237" s="626"/>
      <c r="P237" s="626"/>
      <c r="Q237" s="2126">
        <v>0</v>
      </c>
      <c r="R237" s="632">
        <v>0</v>
      </c>
      <c r="S237" s="632">
        <v>0</v>
      </c>
      <c r="T237" s="632">
        <v>0</v>
      </c>
      <c r="U237" s="632">
        <v>0</v>
      </c>
      <c r="V237" s="632">
        <v>0</v>
      </c>
      <c r="W237" s="632">
        <v>0</v>
      </c>
      <c r="X237" s="632">
        <v>0</v>
      </c>
      <c r="Y237" s="632">
        <v>0</v>
      </c>
      <c r="Z237" s="632">
        <v>0</v>
      </c>
      <c r="AA237" s="632">
        <v>0</v>
      </c>
      <c r="AB237" s="632">
        <v>0</v>
      </c>
      <c r="AC237" s="632">
        <v>0</v>
      </c>
      <c r="AD237" s="632">
        <v>0</v>
      </c>
      <c r="AE237" s="632">
        <v>0</v>
      </c>
      <c r="AF237" s="632">
        <v>0</v>
      </c>
      <c r="AG237" s="632">
        <v>0</v>
      </c>
      <c r="AH237" s="632">
        <v>0</v>
      </c>
      <c r="AI237" s="632">
        <v>0</v>
      </c>
    </row>
    <row r="238" spans="1:35" s="75" customFormat="1" ht="14.5">
      <c r="A238" s="990">
        <v>214</v>
      </c>
      <c r="B238" s="990">
        <v>1</v>
      </c>
      <c r="C238" s="990">
        <v>238</v>
      </c>
      <c r="D238" s="1121" t="s">
        <v>999</v>
      </c>
      <c r="E238" s="1243">
        <v>1</v>
      </c>
      <c r="F238" s="5"/>
      <c r="G238" s="5"/>
      <c r="H238" s="624"/>
      <c r="I238" s="625"/>
      <c r="J238" s="618"/>
      <c r="K238" s="624"/>
      <c r="L238" s="624"/>
      <c r="M238" s="624"/>
      <c r="N238" s="618" t="s">
        <v>990</v>
      </c>
      <c r="O238" s="618"/>
      <c r="P238" s="618"/>
      <c r="Q238" s="2127">
        <v>0</v>
      </c>
      <c r="R238" s="623">
        <v>0</v>
      </c>
      <c r="S238" s="623">
        <v>0</v>
      </c>
      <c r="T238" s="623">
        <v>0</v>
      </c>
      <c r="U238" s="623">
        <v>0</v>
      </c>
      <c r="V238" s="623">
        <v>0</v>
      </c>
      <c r="W238" s="623">
        <v>0</v>
      </c>
      <c r="X238" s="623">
        <v>0</v>
      </c>
      <c r="Y238" s="623">
        <v>0</v>
      </c>
      <c r="Z238" s="623">
        <v>0</v>
      </c>
      <c r="AA238" s="623">
        <v>0</v>
      </c>
      <c r="AB238" s="623">
        <v>0</v>
      </c>
      <c r="AC238" s="623">
        <v>0</v>
      </c>
      <c r="AD238" s="623">
        <v>0</v>
      </c>
      <c r="AE238" s="623">
        <v>0</v>
      </c>
      <c r="AF238" s="623">
        <v>0</v>
      </c>
      <c r="AG238" s="623">
        <v>0</v>
      </c>
      <c r="AH238" s="623">
        <v>0</v>
      </c>
      <c r="AI238" s="623">
        <v>0</v>
      </c>
    </row>
    <row r="239" spans="1:35" s="75" customFormat="1" ht="14.5">
      <c r="A239" s="990">
        <v>215</v>
      </c>
      <c r="B239" s="990">
        <v>1</v>
      </c>
      <c r="C239" s="990">
        <v>239</v>
      </c>
      <c r="D239" s="1121" t="s">
        <v>999</v>
      </c>
      <c r="E239" s="1243">
        <v>1</v>
      </c>
      <c r="F239" s="5"/>
      <c r="G239" s="5"/>
      <c r="H239" s="624"/>
      <c r="I239" s="625"/>
      <c r="J239" s="618"/>
      <c r="K239" s="624"/>
      <c r="L239" s="624"/>
      <c r="M239" s="624"/>
      <c r="N239" s="618" t="s">
        <v>1045</v>
      </c>
      <c r="O239" s="618"/>
      <c r="P239" s="618"/>
      <c r="Q239" s="2127">
        <v>0</v>
      </c>
      <c r="R239" s="623">
        <v>0</v>
      </c>
      <c r="S239" s="623">
        <v>0</v>
      </c>
      <c r="T239" s="623">
        <v>0</v>
      </c>
      <c r="U239" s="623">
        <v>0</v>
      </c>
      <c r="V239" s="623">
        <v>0</v>
      </c>
      <c r="W239" s="623">
        <v>0</v>
      </c>
      <c r="X239" s="623">
        <v>0</v>
      </c>
      <c r="Y239" s="623">
        <v>0</v>
      </c>
      <c r="Z239" s="623">
        <v>0</v>
      </c>
      <c r="AA239" s="623">
        <v>0</v>
      </c>
      <c r="AB239" s="623">
        <v>0</v>
      </c>
      <c r="AC239" s="623">
        <v>0</v>
      </c>
      <c r="AD239" s="623">
        <v>0</v>
      </c>
      <c r="AE239" s="623">
        <v>0</v>
      </c>
      <c r="AF239" s="623">
        <v>0</v>
      </c>
      <c r="AG239" s="623">
        <v>0</v>
      </c>
      <c r="AH239" s="623">
        <v>0</v>
      </c>
      <c r="AI239" s="623">
        <v>0</v>
      </c>
    </row>
    <row r="240" spans="1:35" s="75" customFormat="1" ht="14.5">
      <c r="A240" s="990">
        <v>216</v>
      </c>
      <c r="B240" s="990">
        <v>1</v>
      </c>
      <c r="C240" s="990">
        <v>240</v>
      </c>
      <c r="D240" s="1121" t="s">
        <v>999</v>
      </c>
      <c r="E240" s="1243">
        <v>1</v>
      </c>
      <c r="F240" s="5"/>
      <c r="G240" s="5"/>
      <c r="H240" s="624"/>
      <c r="I240" s="625"/>
      <c r="J240" s="618"/>
      <c r="K240" s="624"/>
      <c r="L240" s="624"/>
      <c r="M240" s="624"/>
      <c r="N240" s="618" t="s">
        <v>1046</v>
      </c>
      <c r="O240" s="618"/>
      <c r="P240" s="618"/>
      <c r="Q240" s="2127">
        <v>0</v>
      </c>
      <c r="R240" s="623">
        <v>0</v>
      </c>
      <c r="S240" s="623">
        <v>0</v>
      </c>
      <c r="T240" s="623">
        <v>0</v>
      </c>
      <c r="U240" s="623">
        <v>0</v>
      </c>
      <c r="V240" s="623">
        <v>0</v>
      </c>
      <c r="W240" s="623">
        <v>0</v>
      </c>
      <c r="X240" s="623">
        <v>0</v>
      </c>
      <c r="Y240" s="623">
        <v>0</v>
      </c>
      <c r="Z240" s="623">
        <v>0</v>
      </c>
      <c r="AA240" s="623">
        <v>0</v>
      </c>
      <c r="AB240" s="623">
        <v>0</v>
      </c>
      <c r="AC240" s="623">
        <v>0</v>
      </c>
      <c r="AD240" s="623">
        <v>0</v>
      </c>
      <c r="AE240" s="623">
        <v>0</v>
      </c>
      <c r="AF240" s="623">
        <v>0</v>
      </c>
      <c r="AG240" s="623">
        <v>0</v>
      </c>
      <c r="AH240" s="623">
        <v>0</v>
      </c>
      <c r="AI240" s="623">
        <v>0</v>
      </c>
    </row>
    <row r="241" spans="1:36" ht="14.5">
      <c r="A241" s="990">
        <v>217</v>
      </c>
      <c r="B241" s="990">
        <v>1</v>
      </c>
      <c r="C241" s="990">
        <v>241</v>
      </c>
      <c r="D241" s="1121" t="s">
        <v>999</v>
      </c>
      <c r="E241" s="1243">
        <v>1</v>
      </c>
      <c r="F241" s="5"/>
      <c r="G241" s="5"/>
      <c r="H241" s="624"/>
      <c r="I241" s="625"/>
      <c r="J241" s="618"/>
      <c r="K241" s="624"/>
      <c r="L241" s="624"/>
      <c r="M241" s="624"/>
      <c r="N241" s="618" t="s">
        <v>1047</v>
      </c>
      <c r="O241" s="618"/>
      <c r="P241" s="618"/>
      <c r="Q241" s="2127">
        <v>0</v>
      </c>
      <c r="R241" s="623">
        <v>0</v>
      </c>
      <c r="S241" s="623">
        <v>0</v>
      </c>
      <c r="T241" s="623">
        <v>0</v>
      </c>
      <c r="U241" s="623">
        <v>0</v>
      </c>
      <c r="V241" s="623">
        <v>0</v>
      </c>
      <c r="W241" s="623">
        <v>0</v>
      </c>
      <c r="X241" s="623">
        <v>0</v>
      </c>
      <c r="Y241" s="623">
        <v>0</v>
      </c>
      <c r="Z241" s="623">
        <v>0</v>
      </c>
      <c r="AA241" s="623">
        <v>0</v>
      </c>
      <c r="AB241" s="623">
        <v>0</v>
      </c>
      <c r="AC241" s="623">
        <v>0</v>
      </c>
      <c r="AD241" s="623">
        <v>0</v>
      </c>
      <c r="AE241" s="623">
        <v>0</v>
      </c>
      <c r="AF241" s="623">
        <v>0</v>
      </c>
      <c r="AG241" s="623">
        <v>0</v>
      </c>
      <c r="AH241" s="623">
        <v>0</v>
      </c>
      <c r="AI241" s="623">
        <v>0</v>
      </c>
    </row>
    <row r="242" spans="1:36" ht="14.5">
      <c r="A242" s="990">
        <v>218</v>
      </c>
      <c r="B242" s="990">
        <v>1</v>
      </c>
      <c r="C242" s="990">
        <v>242</v>
      </c>
      <c r="D242" s="1121" t="s">
        <v>999</v>
      </c>
      <c r="E242" s="1243">
        <v>1</v>
      </c>
      <c r="F242" s="5"/>
      <c r="G242" s="5"/>
      <c r="H242" s="624"/>
      <c r="I242" s="625"/>
      <c r="J242" s="618"/>
      <c r="K242" s="624"/>
      <c r="L242" s="624"/>
      <c r="M242" s="624"/>
      <c r="N242" s="618" t="s">
        <v>1048</v>
      </c>
      <c r="O242" s="618"/>
      <c r="P242" s="618"/>
      <c r="Q242" s="2127">
        <v>0</v>
      </c>
      <c r="R242" s="623">
        <v>0</v>
      </c>
      <c r="S242" s="623">
        <v>0</v>
      </c>
      <c r="T242" s="623">
        <v>0</v>
      </c>
      <c r="U242" s="623">
        <v>0</v>
      </c>
      <c r="V242" s="623">
        <v>0</v>
      </c>
      <c r="W242" s="623">
        <v>0</v>
      </c>
      <c r="X242" s="623">
        <v>0</v>
      </c>
      <c r="Y242" s="623">
        <v>0</v>
      </c>
      <c r="Z242" s="623">
        <v>0</v>
      </c>
      <c r="AA242" s="623">
        <v>0</v>
      </c>
      <c r="AB242" s="623">
        <v>0</v>
      </c>
      <c r="AC242" s="623">
        <v>0</v>
      </c>
      <c r="AD242" s="623">
        <v>0</v>
      </c>
      <c r="AE242" s="623">
        <v>0</v>
      </c>
      <c r="AF242" s="623">
        <v>0</v>
      </c>
      <c r="AG242" s="623">
        <v>0</v>
      </c>
      <c r="AH242" s="623">
        <v>0</v>
      </c>
      <c r="AI242" s="623">
        <v>0</v>
      </c>
    </row>
    <row r="243" spans="1:36" ht="14.5">
      <c r="A243" s="990">
        <v>219</v>
      </c>
      <c r="B243" s="990">
        <v>1</v>
      </c>
      <c r="C243" s="990">
        <v>243</v>
      </c>
      <c r="D243" s="1121" t="s">
        <v>999</v>
      </c>
      <c r="E243" s="1243">
        <v>1</v>
      </c>
      <c r="F243" s="5"/>
      <c r="G243" s="5"/>
      <c r="H243" s="624"/>
      <c r="I243" s="625"/>
      <c r="J243" s="618"/>
      <c r="K243" s="624"/>
      <c r="L243" s="624"/>
      <c r="M243" s="628"/>
      <c r="N243" s="628" t="s">
        <v>1030</v>
      </c>
      <c r="O243" s="628"/>
      <c r="P243" s="628"/>
      <c r="Q243" s="2128">
        <v>0</v>
      </c>
      <c r="R243" s="633">
        <v>0</v>
      </c>
      <c r="S243" s="633">
        <v>0</v>
      </c>
      <c r="T243" s="633">
        <v>0</v>
      </c>
      <c r="U243" s="633">
        <v>0</v>
      </c>
      <c r="V243" s="633">
        <v>0</v>
      </c>
      <c r="W243" s="633">
        <v>0</v>
      </c>
      <c r="X243" s="633">
        <v>0</v>
      </c>
      <c r="Y243" s="633">
        <v>0</v>
      </c>
      <c r="Z243" s="633">
        <v>0</v>
      </c>
      <c r="AA243" s="633">
        <v>0</v>
      </c>
      <c r="AB243" s="633">
        <v>0</v>
      </c>
      <c r="AC243" s="633">
        <v>0</v>
      </c>
      <c r="AD243" s="633">
        <v>0</v>
      </c>
      <c r="AE243" s="633">
        <v>0</v>
      </c>
      <c r="AF243" s="633">
        <v>0</v>
      </c>
      <c r="AG243" s="633">
        <v>0</v>
      </c>
      <c r="AH243" s="633">
        <v>0</v>
      </c>
      <c r="AI243" s="633">
        <v>0</v>
      </c>
    </row>
    <row r="244" spans="1:36" ht="14.5">
      <c r="A244" s="990">
        <v>220</v>
      </c>
      <c r="B244" s="990">
        <v>1</v>
      </c>
      <c r="C244" s="990">
        <v>244</v>
      </c>
      <c r="D244" s="1121" t="s">
        <v>999</v>
      </c>
      <c r="E244" s="1243">
        <v>1</v>
      </c>
      <c r="F244" s="5"/>
      <c r="G244" s="5"/>
      <c r="H244" s="624"/>
      <c r="I244" s="625"/>
      <c r="J244" s="618"/>
      <c r="K244" s="624"/>
      <c r="L244" s="624"/>
      <c r="M244" s="626" t="s">
        <v>1029</v>
      </c>
      <c r="N244" s="626"/>
      <c r="O244" s="626"/>
      <c r="P244" s="626"/>
      <c r="Q244" s="2126">
        <v>0</v>
      </c>
      <c r="R244" s="632">
        <v>0</v>
      </c>
      <c r="S244" s="632">
        <v>0</v>
      </c>
      <c r="T244" s="632">
        <v>0</v>
      </c>
      <c r="U244" s="632">
        <v>0</v>
      </c>
      <c r="V244" s="632">
        <v>0</v>
      </c>
      <c r="W244" s="632">
        <v>0</v>
      </c>
      <c r="X244" s="632">
        <v>0</v>
      </c>
      <c r="Y244" s="632">
        <v>0</v>
      </c>
      <c r="Z244" s="632">
        <v>0</v>
      </c>
      <c r="AA244" s="632">
        <v>0</v>
      </c>
      <c r="AB244" s="632">
        <v>0</v>
      </c>
      <c r="AC244" s="632">
        <v>0</v>
      </c>
      <c r="AD244" s="632">
        <v>0</v>
      </c>
      <c r="AE244" s="632">
        <v>0</v>
      </c>
      <c r="AF244" s="632">
        <v>0</v>
      </c>
      <c r="AG244" s="632">
        <v>0</v>
      </c>
      <c r="AH244" s="632">
        <v>0</v>
      </c>
      <c r="AI244" s="632">
        <v>0</v>
      </c>
    </row>
    <row r="245" spans="1:36" ht="14.5">
      <c r="A245" s="990">
        <v>221</v>
      </c>
      <c r="B245" s="990">
        <v>1</v>
      </c>
      <c r="C245" s="990">
        <v>245</v>
      </c>
      <c r="D245" s="1121" t="s">
        <v>999</v>
      </c>
      <c r="E245" s="1243">
        <v>1</v>
      </c>
      <c r="F245" s="5"/>
      <c r="G245" s="5"/>
      <c r="H245" s="624"/>
      <c r="I245" s="625"/>
      <c r="J245" s="618"/>
      <c r="K245" s="624"/>
      <c r="L245" s="624"/>
      <c r="M245" s="624"/>
      <c r="N245" s="618" t="s">
        <v>990</v>
      </c>
      <c r="O245" s="618"/>
      <c r="P245" s="618"/>
      <c r="Q245" s="2127">
        <v>0</v>
      </c>
      <c r="R245" s="623">
        <v>0</v>
      </c>
      <c r="S245" s="623">
        <v>0</v>
      </c>
      <c r="T245" s="623">
        <v>0</v>
      </c>
      <c r="U245" s="623">
        <v>0</v>
      </c>
      <c r="V245" s="623">
        <v>0</v>
      </c>
      <c r="W245" s="623">
        <v>0</v>
      </c>
      <c r="X245" s="623">
        <v>0</v>
      </c>
      <c r="Y245" s="623">
        <v>0</v>
      </c>
      <c r="Z245" s="623">
        <v>0</v>
      </c>
      <c r="AA245" s="623">
        <v>0</v>
      </c>
      <c r="AB245" s="623">
        <v>0</v>
      </c>
      <c r="AC245" s="623">
        <v>0</v>
      </c>
      <c r="AD245" s="623">
        <v>0</v>
      </c>
      <c r="AE245" s="623">
        <v>0</v>
      </c>
      <c r="AF245" s="623">
        <v>0</v>
      </c>
      <c r="AG245" s="623">
        <v>0</v>
      </c>
      <c r="AH245" s="623">
        <v>0</v>
      </c>
      <c r="AI245" s="623">
        <v>0</v>
      </c>
    </row>
    <row r="246" spans="1:36" ht="14.5">
      <c r="A246" s="990">
        <v>222</v>
      </c>
      <c r="B246" s="990">
        <v>1</v>
      </c>
      <c r="C246" s="990">
        <v>246</v>
      </c>
      <c r="D246" s="1121" t="s">
        <v>999</v>
      </c>
      <c r="E246" s="1243">
        <v>1</v>
      </c>
      <c r="F246" s="5"/>
      <c r="G246" s="5"/>
      <c r="H246" s="624"/>
      <c r="I246" s="625"/>
      <c r="J246" s="618"/>
      <c r="K246" s="624"/>
      <c r="L246" s="624"/>
      <c r="M246" s="624"/>
      <c r="N246" s="618" t="s">
        <v>1045</v>
      </c>
      <c r="O246" s="618"/>
      <c r="P246" s="618"/>
      <c r="Q246" s="2127">
        <v>0</v>
      </c>
      <c r="R246" s="623">
        <v>0</v>
      </c>
      <c r="S246" s="623">
        <v>0</v>
      </c>
      <c r="T246" s="623">
        <v>0</v>
      </c>
      <c r="U246" s="623">
        <v>0</v>
      </c>
      <c r="V246" s="623">
        <v>0</v>
      </c>
      <c r="W246" s="623">
        <v>0</v>
      </c>
      <c r="X246" s="623">
        <v>0</v>
      </c>
      <c r="Y246" s="623">
        <v>0</v>
      </c>
      <c r="Z246" s="623">
        <v>0</v>
      </c>
      <c r="AA246" s="623">
        <v>0</v>
      </c>
      <c r="AB246" s="623">
        <v>0</v>
      </c>
      <c r="AC246" s="623">
        <v>0</v>
      </c>
      <c r="AD246" s="623">
        <v>0</v>
      </c>
      <c r="AE246" s="623">
        <v>0</v>
      </c>
      <c r="AF246" s="623">
        <v>0</v>
      </c>
      <c r="AG246" s="623">
        <v>0</v>
      </c>
      <c r="AH246" s="623">
        <v>0</v>
      </c>
      <c r="AI246" s="623">
        <v>0</v>
      </c>
      <c r="AJ246" s="619"/>
    </row>
    <row r="247" spans="1:36" ht="14.5">
      <c r="A247" s="990">
        <v>223</v>
      </c>
      <c r="B247" s="990">
        <v>1</v>
      </c>
      <c r="C247" s="990">
        <v>247</v>
      </c>
      <c r="D247" s="1121" t="s">
        <v>999</v>
      </c>
      <c r="E247" s="1243">
        <v>1</v>
      </c>
      <c r="F247" s="5"/>
      <c r="G247" s="5"/>
      <c r="H247" s="624"/>
      <c r="I247" s="625"/>
      <c r="J247" s="618"/>
      <c r="K247" s="624"/>
      <c r="L247" s="624"/>
      <c r="M247" s="624"/>
      <c r="N247" s="618" t="s">
        <v>1046</v>
      </c>
      <c r="O247" s="618"/>
      <c r="P247" s="1499"/>
      <c r="Q247" s="2127">
        <v>0</v>
      </c>
      <c r="R247" s="623">
        <v>0</v>
      </c>
      <c r="S247" s="623">
        <v>0</v>
      </c>
      <c r="T247" s="623">
        <v>0</v>
      </c>
      <c r="U247" s="623">
        <v>0</v>
      </c>
      <c r="V247" s="623">
        <v>0</v>
      </c>
      <c r="W247" s="623">
        <v>0</v>
      </c>
      <c r="X247" s="623">
        <v>0</v>
      </c>
      <c r="Y247" s="623">
        <v>0</v>
      </c>
      <c r="Z247" s="623">
        <v>0</v>
      </c>
      <c r="AA247" s="623">
        <v>0</v>
      </c>
      <c r="AB247" s="623">
        <v>0</v>
      </c>
      <c r="AC247" s="623">
        <v>0</v>
      </c>
      <c r="AD247" s="623">
        <v>0</v>
      </c>
      <c r="AE247" s="623">
        <v>0</v>
      </c>
      <c r="AF247" s="623">
        <v>0</v>
      </c>
      <c r="AG247" s="623">
        <v>0</v>
      </c>
      <c r="AH247" s="623">
        <v>0</v>
      </c>
      <c r="AI247" s="623">
        <v>0</v>
      </c>
    </row>
    <row r="248" spans="1:36" ht="14.5">
      <c r="A248" s="990">
        <v>224</v>
      </c>
      <c r="B248" s="990">
        <v>1</v>
      </c>
      <c r="C248" s="990">
        <v>248</v>
      </c>
      <c r="D248" s="1121" t="s">
        <v>999</v>
      </c>
      <c r="E248" s="1243">
        <v>1</v>
      </c>
      <c r="F248" s="5"/>
      <c r="G248" s="5"/>
      <c r="H248" s="624"/>
      <c r="I248" s="625"/>
      <c r="J248" s="618"/>
      <c r="K248" s="624"/>
      <c r="L248" s="624"/>
      <c r="M248" s="624"/>
      <c r="N248" s="618" t="s">
        <v>1047</v>
      </c>
      <c r="O248" s="618"/>
      <c r="P248" s="618"/>
      <c r="Q248" s="2127">
        <v>0</v>
      </c>
      <c r="R248" s="623">
        <v>0</v>
      </c>
      <c r="S248" s="623">
        <v>0</v>
      </c>
      <c r="T248" s="623">
        <v>0</v>
      </c>
      <c r="U248" s="623">
        <v>0</v>
      </c>
      <c r="V248" s="623">
        <v>0</v>
      </c>
      <c r="W248" s="623">
        <v>0</v>
      </c>
      <c r="X248" s="623">
        <v>0</v>
      </c>
      <c r="Y248" s="623">
        <v>0</v>
      </c>
      <c r="Z248" s="623">
        <v>0</v>
      </c>
      <c r="AA248" s="623">
        <v>0</v>
      </c>
      <c r="AB248" s="623">
        <v>0</v>
      </c>
      <c r="AC248" s="623">
        <v>0</v>
      </c>
      <c r="AD248" s="623">
        <v>0</v>
      </c>
      <c r="AE248" s="623">
        <v>0</v>
      </c>
      <c r="AF248" s="623">
        <v>0</v>
      </c>
      <c r="AG248" s="623">
        <v>0</v>
      </c>
      <c r="AH248" s="623">
        <v>0</v>
      </c>
      <c r="AI248" s="623">
        <v>0</v>
      </c>
    </row>
    <row r="249" spans="1:36" ht="14.5">
      <c r="A249" s="990">
        <v>225</v>
      </c>
      <c r="B249" s="990">
        <v>1</v>
      </c>
      <c r="C249" s="990">
        <v>249</v>
      </c>
      <c r="D249" s="1121" t="s">
        <v>999</v>
      </c>
      <c r="E249" s="1243">
        <v>1</v>
      </c>
      <c r="F249" s="5"/>
      <c r="G249" s="5"/>
      <c r="H249" s="624"/>
      <c r="I249" s="625"/>
      <c r="J249" s="618"/>
      <c r="K249" s="624"/>
      <c r="L249" s="624"/>
      <c r="M249" s="624"/>
      <c r="N249" s="618" t="s">
        <v>1048</v>
      </c>
      <c r="O249" s="618"/>
      <c r="P249" s="618"/>
      <c r="Q249" s="2127">
        <v>0</v>
      </c>
      <c r="R249" s="623">
        <v>0</v>
      </c>
      <c r="S249" s="623">
        <v>0</v>
      </c>
      <c r="T249" s="623">
        <v>0</v>
      </c>
      <c r="U249" s="623">
        <v>0</v>
      </c>
      <c r="V249" s="623">
        <v>0</v>
      </c>
      <c r="W249" s="623">
        <v>0</v>
      </c>
      <c r="X249" s="623">
        <v>0</v>
      </c>
      <c r="Y249" s="623">
        <v>0</v>
      </c>
      <c r="Z249" s="623">
        <v>0</v>
      </c>
      <c r="AA249" s="623">
        <v>0</v>
      </c>
      <c r="AB249" s="623">
        <v>0</v>
      </c>
      <c r="AC249" s="623">
        <v>0</v>
      </c>
      <c r="AD249" s="623">
        <v>0</v>
      </c>
      <c r="AE249" s="623">
        <v>0</v>
      </c>
      <c r="AF249" s="623">
        <v>0</v>
      </c>
      <c r="AG249" s="623">
        <v>0</v>
      </c>
      <c r="AH249" s="623">
        <v>0</v>
      </c>
      <c r="AI249" s="623">
        <v>0</v>
      </c>
    </row>
    <row r="250" spans="1:36" ht="14.5">
      <c r="A250" s="990">
        <v>226</v>
      </c>
      <c r="B250" s="990">
        <v>1</v>
      </c>
      <c r="C250" s="990">
        <v>250</v>
      </c>
      <c r="D250" s="1121" t="s">
        <v>999</v>
      </c>
      <c r="E250" s="1243">
        <v>1</v>
      </c>
      <c r="F250" s="5"/>
      <c r="G250" s="5"/>
      <c r="H250" s="624"/>
      <c r="I250" s="625"/>
      <c r="J250" s="618"/>
      <c r="K250" s="624"/>
      <c r="L250" s="624"/>
      <c r="M250" s="630"/>
      <c r="N250" s="629" t="s">
        <v>1030</v>
      </c>
      <c r="O250" s="629"/>
      <c r="P250" s="629"/>
      <c r="Q250" s="2129">
        <v>0</v>
      </c>
      <c r="R250" s="634">
        <v>0</v>
      </c>
      <c r="S250" s="634">
        <v>0</v>
      </c>
      <c r="T250" s="634">
        <v>0</v>
      </c>
      <c r="U250" s="634">
        <v>0</v>
      </c>
      <c r="V250" s="634">
        <v>0</v>
      </c>
      <c r="W250" s="634">
        <v>0</v>
      </c>
      <c r="X250" s="634">
        <v>0</v>
      </c>
      <c r="Y250" s="634">
        <v>0</v>
      </c>
      <c r="Z250" s="634">
        <v>0</v>
      </c>
      <c r="AA250" s="634">
        <v>0</v>
      </c>
      <c r="AB250" s="634">
        <v>0</v>
      </c>
      <c r="AC250" s="634">
        <v>0</v>
      </c>
      <c r="AD250" s="634">
        <v>0</v>
      </c>
      <c r="AE250" s="634">
        <v>0</v>
      </c>
      <c r="AF250" s="634">
        <v>0</v>
      </c>
      <c r="AG250" s="634">
        <v>0</v>
      </c>
      <c r="AH250" s="634">
        <v>0</v>
      </c>
      <c r="AI250" s="634">
        <v>0</v>
      </c>
      <c r="AJ250" s="619"/>
    </row>
    <row r="251" spans="1:36" ht="14.5">
      <c r="A251" s="990">
        <v>227</v>
      </c>
      <c r="B251" s="990">
        <v>1</v>
      </c>
      <c r="C251" s="990">
        <v>251</v>
      </c>
      <c r="D251" s="1121" t="s">
        <v>999</v>
      </c>
      <c r="E251" s="1243">
        <v>1</v>
      </c>
      <c r="F251" s="5"/>
      <c r="G251" s="5"/>
      <c r="H251" s="5"/>
      <c r="I251" s="625"/>
      <c r="J251" s="618"/>
      <c r="K251" s="624"/>
      <c r="L251" s="624"/>
      <c r="M251" s="387" t="s">
        <v>1039</v>
      </c>
      <c r="N251" s="389"/>
      <c r="O251" s="387"/>
      <c r="P251" s="387"/>
      <c r="Q251" s="2125">
        <v>0</v>
      </c>
      <c r="R251" s="388">
        <v>0</v>
      </c>
      <c r="S251" s="388">
        <v>0</v>
      </c>
      <c r="T251" s="388">
        <v>0</v>
      </c>
      <c r="U251" s="388">
        <v>0</v>
      </c>
      <c r="V251" s="388">
        <v>0</v>
      </c>
      <c r="W251" s="388">
        <v>0</v>
      </c>
      <c r="X251" s="388">
        <v>0</v>
      </c>
      <c r="Y251" s="388">
        <v>0</v>
      </c>
      <c r="Z251" s="388">
        <v>0</v>
      </c>
      <c r="AA251" s="388">
        <v>0</v>
      </c>
      <c r="AB251" s="388">
        <v>0</v>
      </c>
      <c r="AC251" s="388">
        <v>0</v>
      </c>
      <c r="AD251" s="388">
        <v>0</v>
      </c>
      <c r="AE251" s="388">
        <v>0</v>
      </c>
      <c r="AF251" s="388">
        <v>0</v>
      </c>
      <c r="AG251" s="388">
        <v>0</v>
      </c>
      <c r="AH251" s="388">
        <v>0</v>
      </c>
      <c r="AI251" s="388">
        <v>0</v>
      </c>
    </row>
    <row r="252" spans="1:36" ht="14.5">
      <c r="A252" s="990">
        <v>228</v>
      </c>
      <c r="B252" s="990">
        <v>1</v>
      </c>
      <c r="C252" s="990">
        <v>252</v>
      </c>
      <c r="D252" s="1121" t="s">
        <v>999</v>
      </c>
      <c r="E252" s="1243">
        <v>1</v>
      </c>
      <c r="F252" s="5"/>
      <c r="G252" s="5"/>
      <c r="H252" s="5"/>
      <c r="I252" s="625"/>
      <c r="J252" s="618"/>
      <c r="K252" s="624"/>
      <c r="L252" s="624"/>
      <c r="M252" s="5"/>
      <c r="N252" s="4" t="s">
        <v>989</v>
      </c>
      <c r="O252" s="4"/>
      <c r="P252" s="4"/>
      <c r="Q252" s="2097">
        <v>0</v>
      </c>
      <c r="R252" s="135">
        <v>0</v>
      </c>
      <c r="S252" s="135">
        <v>0</v>
      </c>
      <c r="T252" s="135">
        <v>0</v>
      </c>
      <c r="U252" s="135">
        <v>0</v>
      </c>
      <c r="V252" s="135">
        <v>0</v>
      </c>
      <c r="W252" s="135">
        <v>0</v>
      </c>
      <c r="X252" s="135">
        <v>0</v>
      </c>
      <c r="Y252" s="135">
        <v>0</v>
      </c>
      <c r="Z252" s="135">
        <v>0</v>
      </c>
      <c r="AA252" s="135">
        <v>0</v>
      </c>
      <c r="AB252" s="135">
        <v>0</v>
      </c>
      <c r="AC252" s="135">
        <v>0</v>
      </c>
      <c r="AD252" s="135">
        <v>0</v>
      </c>
      <c r="AE252" s="135">
        <v>0</v>
      </c>
      <c r="AF252" s="135">
        <v>0</v>
      </c>
      <c r="AG252" s="135">
        <v>0</v>
      </c>
      <c r="AH252" s="135">
        <v>0</v>
      </c>
      <c r="AI252" s="135">
        <v>0</v>
      </c>
    </row>
    <row r="253" spans="1:36" ht="14.5">
      <c r="A253" s="990">
        <v>229</v>
      </c>
      <c r="B253" s="990">
        <v>1</v>
      </c>
      <c r="C253" s="990">
        <v>253</v>
      </c>
      <c r="D253" s="1121" t="s">
        <v>999</v>
      </c>
      <c r="E253" s="1243">
        <v>1</v>
      </c>
      <c r="F253" s="5"/>
      <c r="G253" s="5"/>
      <c r="H253" s="5"/>
      <c r="I253" s="625"/>
      <c r="J253" s="618"/>
      <c r="K253" s="624"/>
      <c r="L253" s="624"/>
      <c r="M253" s="5"/>
      <c r="N253" s="4" t="s">
        <v>1040</v>
      </c>
      <c r="O253" s="4"/>
      <c r="P253" s="4"/>
      <c r="Q253" s="2097">
        <v>0</v>
      </c>
      <c r="R253" s="135">
        <v>0</v>
      </c>
      <c r="S253" s="135">
        <v>0</v>
      </c>
      <c r="T253" s="135">
        <v>0</v>
      </c>
      <c r="U253" s="135">
        <v>0</v>
      </c>
      <c r="V253" s="135">
        <v>0</v>
      </c>
      <c r="W253" s="135">
        <v>0</v>
      </c>
      <c r="X253" s="135">
        <v>0</v>
      </c>
      <c r="Y253" s="135">
        <v>0</v>
      </c>
      <c r="Z253" s="135">
        <v>0</v>
      </c>
      <c r="AA253" s="135">
        <v>0</v>
      </c>
      <c r="AB253" s="135">
        <v>0</v>
      </c>
      <c r="AC253" s="135">
        <v>0</v>
      </c>
      <c r="AD253" s="135">
        <v>0</v>
      </c>
      <c r="AE253" s="135">
        <v>0</v>
      </c>
      <c r="AF253" s="135">
        <v>0</v>
      </c>
      <c r="AG253" s="135">
        <v>0</v>
      </c>
      <c r="AH253" s="135">
        <v>0</v>
      </c>
      <c r="AI253" s="135">
        <v>0</v>
      </c>
    </row>
    <row r="254" spans="1:36" ht="14.5">
      <c r="A254" s="990">
        <v>230</v>
      </c>
      <c r="B254" s="990">
        <v>1</v>
      </c>
      <c r="C254" s="990">
        <v>254</v>
      </c>
      <c r="D254" s="1121" t="s">
        <v>999</v>
      </c>
      <c r="E254" s="1243">
        <v>1</v>
      </c>
      <c r="F254" s="5"/>
      <c r="G254" s="5"/>
      <c r="H254" s="5"/>
      <c r="I254" s="625"/>
      <c r="J254" s="618"/>
      <c r="K254" s="624"/>
      <c r="L254" s="624"/>
      <c r="M254" s="5"/>
      <c r="N254" s="4" t="s">
        <v>1041</v>
      </c>
      <c r="O254" s="4"/>
      <c r="P254" s="4"/>
      <c r="Q254" s="2097">
        <v>0</v>
      </c>
      <c r="R254" s="135">
        <v>0</v>
      </c>
      <c r="S254" s="135">
        <v>0</v>
      </c>
      <c r="T254" s="135">
        <v>0</v>
      </c>
      <c r="U254" s="135">
        <v>0</v>
      </c>
      <c r="V254" s="135">
        <v>0</v>
      </c>
      <c r="W254" s="135">
        <v>0</v>
      </c>
      <c r="X254" s="135">
        <v>0</v>
      </c>
      <c r="Y254" s="135">
        <v>0</v>
      </c>
      <c r="Z254" s="135">
        <v>0</v>
      </c>
      <c r="AA254" s="135">
        <v>0</v>
      </c>
      <c r="AB254" s="135">
        <v>0</v>
      </c>
      <c r="AC254" s="135">
        <v>0</v>
      </c>
      <c r="AD254" s="135">
        <v>0</v>
      </c>
      <c r="AE254" s="135">
        <v>0</v>
      </c>
      <c r="AF254" s="135">
        <v>0</v>
      </c>
      <c r="AG254" s="135">
        <v>0</v>
      </c>
      <c r="AH254" s="135">
        <v>0</v>
      </c>
      <c r="AI254" s="135">
        <v>0</v>
      </c>
    </row>
    <row r="255" spans="1:36">
      <c r="A255" s="990">
        <v>231</v>
      </c>
      <c r="B255" s="990">
        <v>1</v>
      </c>
      <c r="C255" s="990">
        <v>255</v>
      </c>
      <c r="D255" s="1121" t="s">
        <v>999</v>
      </c>
      <c r="E255" s="1243">
        <v>1</v>
      </c>
      <c r="F255" s="5"/>
      <c r="G255" s="5"/>
      <c r="H255" s="5"/>
      <c r="I255" s="30"/>
      <c r="J255" s="4"/>
      <c r="K255" s="5"/>
      <c r="L255" s="5"/>
      <c r="M255" s="5"/>
      <c r="N255" s="4" t="s">
        <v>1042</v>
      </c>
      <c r="O255" s="4"/>
      <c r="P255" s="4"/>
      <c r="Q255" s="2097">
        <v>0</v>
      </c>
      <c r="R255" s="135">
        <v>0</v>
      </c>
      <c r="S255" s="135">
        <v>0</v>
      </c>
      <c r="T255" s="135">
        <v>0</v>
      </c>
      <c r="U255" s="135">
        <v>0</v>
      </c>
      <c r="V255" s="135">
        <v>0</v>
      </c>
      <c r="W255" s="135">
        <v>0</v>
      </c>
      <c r="X255" s="135">
        <v>0</v>
      </c>
      <c r="Y255" s="135">
        <v>0</v>
      </c>
      <c r="Z255" s="135">
        <v>0</v>
      </c>
      <c r="AA255" s="135">
        <v>0</v>
      </c>
      <c r="AB255" s="135">
        <v>0</v>
      </c>
      <c r="AC255" s="135">
        <v>0</v>
      </c>
      <c r="AD255" s="135">
        <v>0</v>
      </c>
      <c r="AE255" s="135">
        <v>0</v>
      </c>
      <c r="AF255" s="135">
        <v>0</v>
      </c>
      <c r="AG255" s="135">
        <v>0</v>
      </c>
      <c r="AH255" s="135">
        <v>0</v>
      </c>
      <c r="AI255" s="135">
        <v>0</v>
      </c>
    </row>
    <row r="256" spans="1:36">
      <c r="A256" s="990">
        <v>232</v>
      </c>
      <c r="B256" s="990">
        <v>1</v>
      </c>
      <c r="C256" s="990">
        <v>256</v>
      </c>
      <c r="D256" s="1121" t="s">
        <v>999</v>
      </c>
      <c r="E256" s="1243">
        <v>1</v>
      </c>
      <c r="F256" s="5"/>
      <c r="G256" s="5"/>
      <c r="H256" s="5"/>
      <c r="I256" s="30"/>
      <c r="J256" s="4"/>
      <c r="K256" s="5"/>
      <c r="L256" s="5"/>
      <c r="M256" s="5"/>
      <c r="N256" s="4" t="s">
        <v>852</v>
      </c>
      <c r="O256" s="4"/>
      <c r="P256" s="4"/>
      <c r="Q256" s="2097">
        <v>0</v>
      </c>
      <c r="R256" s="135">
        <v>0</v>
      </c>
      <c r="S256" s="135">
        <v>0</v>
      </c>
      <c r="T256" s="135">
        <v>0</v>
      </c>
      <c r="U256" s="135">
        <v>0</v>
      </c>
      <c r="V256" s="135">
        <v>0</v>
      </c>
      <c r="W256" s="135">
        <v>0</v>
      </c>
      <c r="X256" s="135">
        <v>0</v>
      </c>
      <c r="Y256" s="135">
        <v>0</v>
      </c>
      <c r="Z256" s="135">
        <v>0</v>
      </c>
      <c r="AA256" s="135">
        <v>0</v>
      </c>
      <c r="AB256" s="135">
        <v>0</v>
      </c>
      <c r="AC256" s="135">
        <v>0</v>
      </c>
      <c r="AD256" s="135">
        <v>0</v>
      </c>
      <c r="AE256" s="135">
        <v>0</v>
      </c>
      <c r="AF256" s="135">
        <v>0</v>
      </c>
      <c r="AG256" s="135">
        <v>0</v>
      </c>
      <c r="AH256" s="135">
        <v>0</v>
      </c>
      <c r="AI256" s="135">
        <v>0</v>
      </c>
    </row>
    <row r="257" spans="1:35">
      <c r="A257" s="990">
        <v>233</v>
      </c>
      <c r="B257" s="990">
        <v>1</v>
      </c>
      <c r="C257" s="990">
        <v>257</v>
      </c>
      <c r="D257" s="1121" t="s">
        <v>999</v>
      </c>
      <c r="E257" s="1243">
        <v>1</v>
      </c>
      <c r="F257" s="5"/>
      <c r="G257" s="5"/>
      <c r="H257" s="5"/>
      <c r="I257" s="30"/>
      <c r="J257" s="4"/>
      <c r="K257" s="5"/>
      <c r="L257" s="5"/>
      <c r="M257" s="51"/>
      <c r="N257" s="51" t="s">
        <v>11</v>
      </c>
      <c r="O257" s="51"/>
      <c r="P257" s="51"/>
      <c r="Q257" s="2059">
        <v>0</v>
      </c>
      <c r="R257" s="284">
        <v>0</v>
      </c>
      <c r="S257" s="284">
        <v>0</v>
      </c>
      <c r="T257" s="284">
        <v>0</v>
      </c>
      <c r="U257" s="284">
        <v>0</v>
      </c>
      <c r="V257" s="284">
        <v>0</v>
      </c>
      <c r="W257" s="284">
        <v>0</v>
      </c>
      <c r="X257" s="284">
        <v>0</v>
      </c>
      <c r="Y257" s="284">
        <v>0</v>
      </c>
      <c r="Z257" s="284">
        <v>0</v>
      </c>
      <c r="AA257" s="284">
        <v>0</v>
      </c>
      <c r="AB257" s="284">
        <v>0</v>
      </c>
      <c r="AC257" s="284">
        <v>0</v>
      </c>
      <c r="AD257" s="284">
        <v>0</v>
      </c>
      <c r="AE257" s="284">
        <v>0</v>
      </c>
      <c r="AF257" s="284">
        <v>0</v>
      </c>
      <c r="AG257" s="284">
        <v>0</v>
      </c>
      <c r="AH257" s="284">
        <v>0</v>
      </c>
      <c r="AI257" s="284">
        <v>0</v>
      </c>
    </row>
    <row r="258" spans="1:35">
      <c r="A258" s="990">
        <v>234</v>
      </c>
      <c r="B258" s="990">
        <v>1</v>
      </c>
      <c r="C258" s="990">
        <v>258</v>
      </c>
      <c r="D258" s="1121" t="s">
        <v>999</v>
      </c>
      <c r="E258" s="1243">
        <v>1</v>
      </c>
      <c r="F258" s="5"/>
      <c r="G258" s="5"/>
      <c r="H258" s="5"/>
      <c r="I258" s="30"/>
      <c r="J258" s="4"/>
      <c r="K258" s="5"/>
      <c r="L258" s="5"/>
      <c r="M258" s="387" t="s">
        <v>95</v>
      </c>
      <c r="N258" s="387"/>
      <c r="O258" s="387"/>
      <c r="P258" s="387"/>
      <c r="Q258" s="2125">
        <v>0</v>
      </c>
      <c r="R258" s="388">
        <v>0</v>
      </c>
      <c r="S258" s="388">
        <v>0</v>
      </c>
      <c r="T258" s="388">
        <v>0</v>
      </c>
      <c r="U258" s="388">
        <v>0</v>
      </c>
      <c r="V258" s="388">
        <v>0</v>
      </c>
      <c r="W258" s="388">
        <v>0</v>
      </c>
      <c r="X258" s="388">
        <v>0</v>
      </c>
      <c r="Y258" s="388">
        <v>0</v>
      </c>
      <c r="Z258" s="388">
        <v>0</v>
      </c>
      <c r="AA258" s="388">
        <v>0</v>
      </c>
      <c r="AB258" s="388">
        <v>0</v>
      </c>
      <c r="AC258" s="388">
        <v>0</v>
      </c>
      <c r="AD258" s="388">
        <v>0</v>
      </c>
      <c r="AE258" s="388">
        <v>0</v>
      </c>
      <c r="AF258" s="388">
        <v>0</v>
      </c>
      <c r="AG258" s="388">
        <v>0</v>
      </c>
      <c r="AH258" s="388">
        <v>0</v>
      </c>
      <c r="AI258" s="388">
        <v>0</v>
      </c>
    </row>
    <row r="259" spans="1:35">
      <c r="A259" s="990">
        <v>235</v>
      </c>
      <c r="B259" s="990">
        <v>1</v>
      </c>
      <c r="C259" s="990">
        <v>259</v>
      </c>
      <c r="D259" s="1121" t="s">
        <v>999</v>
      </c>
      <c r="E259" s="1243">
        <v>1</v>
      </c>
      <c r="F259" s="5"/>
      <c r="G259" s="5"/>
      <c r="H259" s="5"/>
      <c r="I259" s="30"/>
      <c r="J259" s="4"/>
      <c r="K259" s="5"/>
      <c r="L259" s="5"/>
      <c r="M259" s="5"/>
      <c r="N259" s="4" t="s">
        <v>989</v>
      </c>
      <c r="O259" s="4"/>
      <c r="P259" s="4"/>
      <c r="Q259" s="2097">
        <v>0</v>
      </c>
      <c r="R259" s="135">
        <v>0</v>
      </c>
      <c r="S259" s="135">
        <v>0</v>
      </c>
      <c r="T259" s="135">
        <v>0</v>
      </c>
      <c r="U259" s="135">
        <v>0</v>
      </c>
      <c r="V259" s="135">
        <v>0</v>
      </c>
      <c r="W259" s="135">
        <v>0</v>
      </c>
      <c r="X259" s="135">
        <v>0</v>
      </c>
      <c r="Y259" s="135">
        <v>0</v>
      </c>
      <c r="Z259" s="135">
        <v>0</v>
      </c>
      <c r="AA259" s="135">
        <v>0</v>
      </c>
      <c r="AB259" s="135">
        <v>0</v>
      </c>
      <c r="AC259" s="135">
        <v>0</v>
      </c>
      <c r="AD259" s="135">
        <v>0</v>
      </c>
      <c r="AE259" s="135">
        <v>0</v>
      </c>
      <c r="AF259" s="135">
        <v>0</v>
      </c>
      <c r="AG259" s="135">
        <v>0</v>
      </c>
      <c r="AH259" s="135">
        <v>0</v>
      </c>
      <c r="AI259" s="135">
        <v>0</v>
      </c>
    </row>
    <row r="260" spans="1:35">
      <c r="A260" s="990">
        <v>236</v>
      </c>
      <c r="B260" s="990">
        <v>1</v>
      </c>
      <c r="C260" s="990">
        <v>260</v>
      </c>
      <c r="D260" s="1121" t="s">
        <v>999</v>
      </c>
      <c r="E260" s="1243">
        <v>1</v>
      </c>
      <c r="F260" s="5"/>
      <c r="G260" s="5"/>
      <c r="H260" s="5"/>
      <c r="I260" s="30"/>
      <c r="J260" s="4"/>
      <c r="K260" s="5"/>
      <c r="L260" s="5"/>
      <c r="M260" s="5"/>
      <c r="N260" s="4" t="s">
        <v>1040</v>
      </c>
      <c r="O260" s="4"/>
      <c r="P260" s="4"/>
      <c r="Q260" s="2097">
        <v>0</v>
      </c>
      <c r="R260" s="135">
        <v>0</v>
      </c>
      <c r="S260" s="135">
        <v>0</v>
      </c>
      <c r="T260" s="135">
        <v>0</v>
      </c>
      <c r="U260" s="135">
        <v>0</v>
      </c>
      <c r="V260" s="135">
        <v>0</v>
      </c>
      <c r="W260" s="135">
        <v>0</v>
      </c>
      <c r="X260" s="135">
        <v>0</v>
      </c>
      <c r="Y260" s="135">
        <v>0</v>
      </c>
      <c r="Z260" s="135">
        <v>0</v>
      </c>
      <c r="AA260" s="135">
        <v>0</v>
      </c>
      <c r="AB260" s="135">
        <v>0</v>
      </c>
      <c r="AC260" s="135">
        <v>0</v>
      </c>
      <c r="AD260" s="135">
        <v>0</v>
      </c>
      <c r="AE260" s="135">
        <v>0</v>
      </c>
      <c r="AF260" s="135">
        <v>0</v>
      </c>
      <c r="AG260" s="135">
        <v>0</v>
      </c>
      <c r="AH260" s="135">
        <v>0</v>
      </c>
      <c r="AI260" s="135">
        <v>0</v>
      </c>
    </row>
    <row r="261" spans="1:35">
      <c r="A261" s="990">
        <v>237</v>
      </c>
      <c r="B261" s="990">
        <v>1</v>
      </c>
      <c r="C261" s="990">
        <v>261</v>
      </c>
      <c r="D261" s="1121" t="s">
        <v>999</v>
      </c>
      <c r="E261" s="1243">
        <v>1</v>
      </c>
      <c r="F261" s="5"/>
      <c r="G261" s="5"/>
      <c r="H261" s="5"/>
      <c r="I261" s="30"/>
      <c r="J261" s="4"/>
      <c r="K261" s="5"/>
      <c r="L261" s="5"/>
      <c r="M261" s="5"/>
      <c r="N261" s="4" t="s">
        <v>1041</v>
      </c>
      <c r="O261" s="4"/>
      <c r="P261" s="1498"/>
      <c r="Q261" s="2097">
        <v>0</v>
      </c>
      <c r="R261" s="135">
        <v>0</v>
      </c>
      <c r="S261" s="135">
        <v>0</v>
      </c>
      <c r="T261" s="135">
        <v>0</v>
      </c>
      <c r="U261" s="135">
        <v>0</v>
      </c>
      <c r="V261" s="135">
        <v>0</v>
      </c>
      <c r="W261" s="135">
        <v>0</v>
      </c>
      <c r="X261" s="135">
        <v>0</v>
      </c>
      <c r="Y261" s="135">
        <v>0</v>
      </c>
      <c r="Z261" s="135">
        <v>0</v>
      </c>
      <c r="AA261" s="135">
        <v>0</v>
      </c>
      <c r="AB261" s="135">
        <v>0</v>
      </c>
      <c r="AC261" s="135">
        <v>0</v>
      </c>
      <c r="AD261" s="135">
        <v>0</v>
      </c>
      <c r="AE261" s="135">
        <v>0</v>
      </c>
      <c r="AF261" s="135">
        <v>0</v>
      </c>
      <c r="AG261" s="135">
        <v>0</v>
      </c>
      <c r="AH261" s="135">
        <v>0</v>
      </c>
      <c r="AI261" s="135">
        <v>0</v>
      </c>
    </row>
    <row r="262" spans="1:35">
      <c r="A262" s="990">
        <v>238</v>
      </c>
      <c r="B262" s="990">
        <v>1</v>
      </c>
      <c r="C262" s="990">
        <v>262</v>
      </c>
      <c r="D262" s="1121" t="s">
        <v>999</v>
      </c>
      <c r="E262" s="1243">
        <v>1</v>
      </c>
      <c r="F262" s="5"/>
      <c r="G262" s="5"/>
      <c r="H262" s="5"/>
      <c r="I262" s="30"/>
      <c r="J262" s="4"/>
      <c r="K262" s="5"/>
      <c r="L262" s="5"/>
      <c r="M262" s="5"/>
      <c r="N262" s="4" t="s">
        <v>1042</v>
      </c>
      <c r="O262" s="4"/>
      <c r="P262" s="4"/>
      <c r="Q262" s="2097">
        <v>0</v>
      </c>
      <c r="R262" s="135">
        <v>0</v>
      </c>
      <c r="S262" s="135">
        <v>0</v>
      </c>
      <c r="T262" s="135">
        <v>0</v>
      </c>
      <c r="U262" s="135">
        <v>0</v>
      </c>
      <c r="V262" s="135">
        <v>0</v>
      </c>
      <c r="W262" s="135">
        <v>0</v>
      </c>
      <c r="X262" s="135">
        <v>0</v>
      </c>
      <c r="Y262" s="135">
        <v>0</v>
      </c>
      <c r="Z262" s="135">
        <v>0</v>
      </c>
      <c r="AA262" s="135">
        <v>0</v>
      </c>
      <c r="AB262" s="135">
        <v>0</v>
      </c>
      <c r="AC262" s="135">
        <v>0</v>
      </c>
      <c r="AD262" s="135">
        <v>0</v>
      </c>
      <c r="AE262" s="135">
        <v>0</v>
      </c>
      <c r="AF262" s="135">
        <v>0</v>
      </c>
      <c r="AG262" s="135">
        <v>0</v>
      </c>
      <c r="AH262" s="135">
        <v>0</v>
      </c>
      <c r="AI262" s="135">
        <v>0</v>
      </c>
    </row>
    <row r="263" spans="1:35">
      <c r="A263" s="990">
        <v>239</v>
      </c>
      <c r="B263" s="990">
        <v>1</v>
      </c>
      <c r="C263" s="990">
        <v>263</v>
      </c>
      <c r="D263" s="1121" t="s">
        <v>999</v>
      </c>
      <c r="E263" s="1243">
        <v>1</v>
      </c>
      <c r="F263" s="5"/>
      <c r="G263" s="5"/>
      <c r="H263" s="5"/>
      <c r="I263" s="30"/>
      <c r="J263" s="4"/>
      <c r="K263" s="5"/>
      <c r="L263" s="5"/>
      <c r="M263" s="5"/>
      <c r="N263" s="4" t="s">
        <v>852</v>
      </c>
      <c r="O263" s="4"/>
      <c r="P263" s="4"/>
      <c r="Q263" s="2097">
        <v>0</v>
      </c>
      <c r="R263" s="135">
        <v>0</v>
      </c>
      <c r="S263" s="135">
        <v>0</v>
      </c>
      <c r="T263" s="135">
        <v>0</v>
      </c>
      <c r="U263" s="135">
        <v>0</v>
      </c>
      <c r="V263" s="135">
        <v>0</v>
      </c>
      <c r="W263" s="135">
        <v>0</v>
      </c>
      <c r="X263" s="135">
        <v>0</v>
      </c>
      <c r="Y263" s="135">
        <v>0</v>
      </c>
      <c r="Z263" s="135">
        <v>0</v>
      </c>
      <c r="AA263" s="135">
        <v>0</v>
      </c>
      <c r="AB263" s="135">
        <v>0</v>
      </c>
      <c r="AC263" s="135">
        <v>0</v>
      </c>
      <c r="AD263" s="135">
        <v>0</v>
      </c>
      <c r="AE263" s="135">
        <v>0</v>
      </c>
      <c r="AF263" s="135">
        <v>0</v>
      </c>
      <c r="AG263" s="135">
        <v>0</v>
      </c>
      <c r="AH263" s="135">
        <v>0</v>
      </c>
      <c r="AI263" s="135">
        <v>0</v>
      </c>
    </row>
    <row r="264" spans="1:35">
      <c r="A264" s="990">
        <v>240</v>
      </c>
      <c r="B264" s="990">
        <v>1</v>
      </c>
      <c r="C264" s="990">
        <v>264</v>
      </c>
      <c r="D264" s="1121" t="s">
        <v>999</v>
      </c>
      <c r="E264" s="1243">
        <v>1</v>
      </c>
      <c r="F264" s="5"/>
      <c r="G264" s="5"/>
      <c r="H264" s="5"/>
      <c r="I264" s="28"/>
      <c r="J264" s="2"/>
      <c r="K264" s="3"/>
      <c r="L264" s="3"/>
      <c r="M264" s="3"/>
      <c r="N264" s="2" t="s">
        <v>11</v>
      </c>
      <c r="O264" s="2"/>
      <c r="P264" s="2"/>
      <c r="Q264" s="2098">
        <v>0</v>
      </c>
      <c r="R264" s="285">
        <v>0</v>
      </c>
      <c r="S264" s="285">
        <v>0</v>
      </c>
      <c r="T264" s="285">
        <v>0</v>
      </c>
      <c r="U264" s="285">
        <v>0</v>
      </c>
      <c r="V264" s="285">
        <v>0</v>
      </c>
      <c r="W264" s="285">
        <v>0</v>
      </c>
      <c r="X264" s="285">
        <v>0</v>
      </c>
      <c r="Y264" s="285">
        <v>0</v>
      </c>
      <c r="Z264" s="285">
        <v>0</v>
      </c>
      <c r="AA264" s="285">
        <v>0</v>
      </c>
      <c r="AB264" s="285">
        <v>0</v>
      </c>
      <c r="AC264" s="285">
        <v>0</v>
      </c>
      <c r="AD264" s="285">
        <v>0</v>
      </c>
      <c r="AE264" s="285">
        <v>0</v>
      </c>
      <c r="AF264" s="285">
        <v>0</v>
      </c>
      <c r="AG264" s="285">
        <v>0</v>
      </c>
      <c r="AH264" s="285">
        <v>0</v>
      </c>
      <c r="AI264" s="285">
        <v>0</v>
      </c>
    </row>
    <row r="265" spans="1:35" ht="15" customHeight="1">
      <c r="A265" s="990">
        <v>241</v>
      </c>
      <c r="B265" s="990">
        <v>1</v>
      </c>
      <c r="C265" s="990">
        <v>265</v>
      </c>
      <c r="D265" s="1121" t="s">
        <v>999</v>
      </c>
      <c r="E265" s="1243">
        <v>1</v>
      </c>
      <c r="F265" s="5"/>
      <c r="G265" s="5"/>
      <c r="H265" s="5"/>
      <c r="I265" s="443" t="s">
        <v>97</v>
      </c>
      <c r="J265" s="604"/>
      <c r="K265" s="788"/>
      <c r="L265" s="788"/>
      <c r="M265" s="604"/>
      <c r="N265" s="604"/>
      <c r="O265" s="604"/>
      <c r="P265" s="604"/>
      <c r="Q265" s="2123">
        <v>0</v>
      </c>
      <c r="R265" s="455">
        <v>0</v>
      </c>
      <c r="S265" s="455">
        <v>0</v>
      </c>
      <c r="T265" s="455">
        <v>0</v>
      </c>
      <c r="U265" s="455">
        <v>0</v>
      </c>
      <c r="V265" s="455">
        <v>0</v>
      </c>
      <c r="W265" s="455">
        <v>0</v>
      </c>
      <c r="X265" s="455">
        <v>0</v>
      </c>
      <c r="Y265" s="455">
        <v>0</v>
      </c>
      <c r="Z265" s="455">
        <v>0</v>
      </c>
      <c r="AA265" s="455">
        <v>0</v>
      </c>
      <c r="AB265" s="455">
        <v>0</v>
      </c>
      <c r="AC265" s="455">
        <v>0</v>
      </c>
      <c r="AD265" s="455">
        <v>0</v>
      </c>
      <c r="AE265" s="455">
        <v>0</v>
      </c>
      <c r="AF265" s="455">
        <v>0</v>
      </c>
      <c r="AG265" s="455">
        <v>0</v>
      </c>
      <c r="AH265" s="455">
        <v>0</v>
      </c>
      <c r="AI265" s="455">
        <v>0</v>
      </c>
    </row>
    <row r="266" spans="1:35" ht="15" customHeight="1">
      <c r="A266" s="990">
        <v>242</v>
      </c>
      <c r="B266" s="990">
        <v>1</v>
      </c>
      <c r="C266" s="990">
        <v>266</v>
      </c>
      <c r="D266" s="1121" t="s">
        <v>999</v>
      </c>
      <c r="E266" s="1243">
        <v>1</v>
      </c>
      <c r="F266" s="5"/>
      <c r="G266" s="5"/>
      <c r="H266" s="5"/>
      <c r="I266" s="30"/>
      <c r="J266" s="123" t="s">
        <v>143</v>
      </c>
      <c r="K266" s="5"/>
      <c r="L266" s="5"/>
      <c r="M266" s="4"/>
      <c r="N266" s="4"/>
      <c r="O266" s="4"/>
      <c r="P266" s="4"/>
      <c r="Q266" s="2032"/>
      <c r="R266" s="2039"/>
      <c r="S266" s="2039"/>
      <c r="T266" s="2039"/>
      <c r="U266" s="2039"/>
      <c r="V266" s="2039"/>
      <c r="W266" s="2039"/>
      <c r="X266" s="2039"/>
      <c r="Y266" s="2039"/>
      <c r="Z266" s="2039"/>
      <c r="AA266" s="2039"/>
      <c r="AB266" s="2039"/>
      <c r="AC266" s="89">
        <v>0</v>
      </c>
      <c r="AD266" s="89">
        <v>0</v>
      </c>
      <c r="AE266" s="89">
        <v>0</v>
      </c>
      <c r="AF266" s="89">
        <v>0</v>
      </c>
      <c r="AG266" s="89">
        <v>0</v>
      </c>
      <c r="AH266" s="89">
        <v>0</v>
      </c>
      <c r="AI266" s="89">
        <v>0</v>
      </c>
    </row>
    <row r="267" spans="1:35" ht="15" customHeight="1">
      <c r="A267" s="990">
        <v>243</v>
      </c>
      <c r="B267" s="990">
        <v>1</v>
      </c>
      <c r="C267" s="990">
        <v>267</v>
      </c>
      <c r="D267" s="1121" t="s">
        <v>999</v>
      </c>
      <c r="E267" s="1243">
        <v>1</v>
      </c>
      <c r="F267" s="5"/>
      <c r="G267" s="5"/>
      <c r="H267" s="5"/>
      <c r="I267" s="30"/>
      <c r="J267" s="40" t="s">
        <v>96</v>
      </c>
      <c r="K267" s="5"/>
      <c r="L267" s="5"/>
      <c r="M267" s="4"/>
      <c r="N267" s="4"/>
      <c r="O267" s="4"/>
      <c r="P267" s="4"/>
      <c r="Q267" s="2032"/>
      <c r="R267" s="2039"/>
      <c r="S267" s="2039"/>
      <c r="T267" s="2039"/>
      <c r="U267" s="2039"/>
      <c r="V267" s="2039"/>
      <c r="W267" s="2039"/>
      <c r="X267" s="2039"/>
      <c r="Y267" s="2039"/>
      <c r="Z267" s="2039"/>
      <c r="AA267" s="2039"/>
      <c r="AB267" s="2039"/>
      <c r="AC267" s="89">
        <v>0</v>
      </c>
      <c r="AD267" s="89">
        <v>0</v>
      </c>
      <c r="AE267" s="89">
        <v>0</v>
      </c>
      <c r="AF267" s="89">
        <v>0</v>
      </c>
      <c r="AG267" s="89">
        <v>0</v>
      </c>
      <c r="AH267" s="89">
        <v>0</v>
      </c>
      <c r="AI267" s="89">
        <v>0</v>
      </c>
    </row>
    <row r="268" spans="1:35" ht="15" customHeight="1">
      <c r="A268" s="990">
        <v>244</v>
      </c>
      <c r="B268" s="990">
        <v>1</v>
      </c>
      <c r="C268" s="990">
        <v>268</v>
      </c>
      <c r="D268" s="1121" t="s">
        <v>999</v>
      </c>
      <c r="E268" s="1243">
        <v>1</v>
      </c>
      <c r="F268" s="5"/>
      <c r="G268" s="5"/>
      <c r="H268" s="5"/>
      <c r="I268" s="30"/>
      <c r="J268" s="40" t="s">
        <v>142</v>
      </c>
      <c r="K268" s="5"/>
      <c r="L268" s="5"/>
      <c r="M268" s="4"/>
      <c r="N268" s="4"/>
      <c r="O268" s="4"/>
      <c r="P268" s="4"/>
      <c r="Q268" s="2032"/>
      <c r="R268" s="2039"/>
      <c r="S268" s="2039"/>
      <c r="T268" s="2039"/>
      <c r="U268" s="2039"/>
      <c r="V268" s="2039"/>
      <c r="W268" s="2039"/>
      <c r="X268" s="2039"/>
      <c r="Y268" s="2039"/>
      <c r="Z268" s="2039"/>
      <c r="AA268" s="2039"/>
      <c r="AB268" s="2039"/>
      <c r="AC268" s="89">
        <v>0</v>
      </c>
      <c r="AD268" s="89">
        <v>0</v>
      </c>
      <c r="AE268" s="89">
        <v>0</v>
      </c>
      <c r="AF268" s="89">
        <v>0</v>
      </c>
      <c r="AG268" s="89">
        <v>0</v>
      </c>
      <c r="AH268" s="89">
        <v>0</v>
      </c>
      <c r="AI268" s="89">
        <v>0</v>
      </c>
    </row>
    <row r="269" spans="1:35" ht="15" customHeight="1">
      <c r="A269" s="990">
        <v>245</v>
      </c>
      <c r="B269" s="990">
        <v>1</v>
      </c>
      <c r="C269" s="990">
        <v>269</v>
      </c>
      <c r="D269" s="1121" t="s">
        <v>999</v>
      </c>
      <c r="E269" s="1243">
        <v>1</v>
      </c>
      <c r="F269" s="5"/>
      <c r="G269" s="5"/>
      <c r="H269" s="5"/>
      <c r="I269" s="443" t="s">
        <v>136</v>
      </c>
      <c r="J269" s="604"/>
      <c r="K269" s="788"/>
      <c r="L269" s="788"/>
      <c r="M269" s="788"/>
      <c r="N269" s="788"/>
      <c r="O269" s="788"/>
      <c r="P269" s="788"/>
      <c r="Q269" s="2123">
        <v>0</v>
      </c>
      <c r="R269" s="455">
        <v>0</v>
      </c>
      <c r="S269" s="455">
        <v>0</v>
      </c>
      <c r="T269" s="455">
        <v>0</v>
      </c>
      <c r="U269" s="455">
        <v>0</v>
      </c>
      <c r="V269" s="455">
        <v>0</v>
      </c>
      <c r="W269" s="455">
        <v>0</v>
      </c>
      <c r="X269" s="455">
        <v>0</v>
      </c>
      <c r="Y269" s="455">
        <v>0</v>
      </c>
      <c r="Z269" s="455">
        <v>0</v>
      </c>
      <c r="AA269" s="455">
        <v>0</v>
      </c>
      <c r="AB269" s="455">
        <v>0</v>
      </c>
      <c r="AC269" s="455">
        <v>0</v>
      </c>
      <c r="AD269" s="455">
        <v>0</v>
      </c>
      <c r="AE269" s="455">
        <v>0</v>
      </c>
      <c r="AF269" s="455">
        <v>0</v>
      </c>
      <c r="AG269" s="455">
        <v>0</v>
      </c>
      <c r="AH269" s="455">
        <v>0</v>
      </c>
      <c r="AI269" s="455">
        <v>0</v>
      </c>
    </row>
    <row r="270" spans="1:35" ht="15" customHeight="1">
      <c r="A270" s="990">
        <v>246</v>
      </c>
      <c r="B270" s="990">
        <v>1</v>
      </c>
      <c r="C270" s="990">
        <v>270</v>
      </c>
      <c r="D270" s="1121" t="s">
        <v>999</v>
      </c>
      <c r="E270" s="1243">
        <v>1</v>
      </c>
      <c r="F270" s="5"/>
      <c r="G270" s="5"/>
      <c r="H270" s="5"/>
      <c r="I270" s="28"/>
      <c r="J270" s="629" t="s">
        <v>135</v>
      </c>
      <c r="K270" s="3"/>
      <c r="L270" s="3"/>
      <c r="M270" s="2"/>
      <c r="N270" s="2"/>
      <c r="O270" s="2"/>
      <c r="P270" s="2"/>
      <c r="Q270" s="2138">
        <v>0</v>
      </c>
      <c r="R270" s="866">
        <v>0</v>
      </c>
      <c r="S270" s="866">
        <v>0</v>
      </c>
      <c r="T270" s="866">
        <v>0</v>
      </c>
      <c r="U270" s="866">
        <v>0</v>
      </c>
      <c r="V270" s="866">
        <v>0</v>
      </c>
      <c r="W270" s="866">
        <v>0</v>
      </c>
      <c r="X270" s="866">
        <v>0</v>
      </c>
      <c r="Y270" s="866">
        <v>0</v>
      </c>
      <c r="Z270" s="866">
        <v>0</v>
      </c>
      <c r="AA270" s="866">
        <v>0</v>
      </c>
      <c r="AB270" s="866">
        <v>0</v>
      </c>
      <c r="AC270" s="866">
        <v>0</v>
      </c>
      <c r="AD270" s="866">
        <v>0</v>
      </c>
      <c r="AE270" s="866">
        <v>0</v>
      </c>
      <c r="AF270" s="866">
        <v>0</v>
      </c>
      <c r="AG270" s="866">
        <v>0</v>
      </c>
      <c r="AH270" s="866">
        <v>0</v>
      </c>
      <c r="AI270" s="866">
        <v>0</v>
      </c>
    </row>
    <row r="271" spans="1:35" ht="15" customHeight="1">
      <c r="A271" s="990">
        <v>247</v>
      </c>
      <c r="B271" s="990">
        <v>1</v>
      </c>
      <c r="C271" s="990">
        <v>271</v>
      </c>
      <c r="D271" s="1121" t="s">
        <v>999</v>
      </c>
      <c r="E271" s="1243">
        <v>1</v>
      </c>
      <c r="F271" s="5"/>
      <c r="G271" s="5"/>
      <c r="H271" s="5"/>
      <c r="I271" s="58" t="s">
        <v>504</v>
      </c>
      <c r="J271" s="555"/>
      <c r="K271" s="636"/>
      <c r="L271" s="636"/>
      <c r="M271" s="555"/>
      <c r="N271" s="555"/>
      <c r="O271" s="555"/>
      <c r="P271" s="555"/>
      <c r="Q271" s="2212"/>
      <c r="R271" s="2618"/>
      <c r="S271" s="2618"/>
      <c r="T271" s="2618"/>
      <c r="U271" s="2618"/>
      <c r="V271" s="2618"/>
      <c r="W271" s="2618"/>
      <c r="X271" s="2618"/>
      <c r="Y271" s="2618"/>
      <c r="Z271" s="2618"/>
      <c r="AA271" s="2618"/>
      <c r="AB271" s="2618"/>
      <c r="AC271" s="122">
        <v>0</v>
      </c>
      <c r="AD271" s="122">
        <v>0</v>
      </c>
      <c r="AE271" s="122">
        <v>0</v>
      </c>
      <c r="AF271" s="122">
        <v>0</v>
      </c>
      <c r="AG271" s="122">
        <v>0</v>
      </c>
      <c r="AH271" s="122">
        <v>0</v>
      </c>
      <c r="AI271" s="122">
        <v>0</v>
      </c>
    </row>
    <row r="272" spans="1:35" ht="15" customHeight="1">
      <c r="A272" s="990">
        <v>248</v>
      </c>
      <c r="B272" s="990">
        <v>1</v>
      </c>
      <c r="C272" s="990">
        <v>272</v>
      </c>
      <c r="D272" s="1121" t="s">
        <v>999</v>
      </c>
      <c r="E272" s="1243">
        <v>1</v>
      </c>
      <c r="F272" s="5"/>
      <c r="G272" s="5"/>
      <c r="H272" s="5"/>
      <c r="I272" s="121" t="s">
        <v>1002</v>
      </c>
      <c r="J272" s="119"/>
      <c r="K272" s="120"/>
      <c r="L272" s="120"/>
      <c r="M272" s="119"/>
      <c r="N272" s="119"/>
      <c r="O272" s="119"/>
      <c r="P272" s="119"/>
      <c r="Q272" s="2031"/>
      <c r="R272" s="2035"/>
      <c r="S272" s="2035"/>
      <c r="T272" s="2035"/>
      <c r="U272" s="2035"/>
      <c r="V272" s="2035"/>
      <c r="W272" s="2035"/>
      <c r="X272" s="2035"/>
      <c r="Y272" s="2035"/>
      <c r="Z272" s="2035"/>
      <c r="AA272" s="2035"/>
      <c r="AB272" s="2035"/>
      <c r="AC272" s="92">
        <v>0</v>
      </c>
      <c r="AD272" s="92">
        <v>0</v>
      </c>
      <c r="AE272" s="92">
        <v>0</v>
      </c>
      <c r="AF272" s="92">
        <v>0</v>
      </c>
      <c r="AG272" s="92">
        <v>0</v>
      </c>
      <c r="AH272" s="92">
        <v>0</v>
      </c>
      <c r="AI272" s="92">
        <v>0</v>
      </c>
    </row>
    <row r="273" spans="1:36">
      <c r="A273" s="990">
        <v>249</v>
      </c>
      <c r="B273" s="990">
        <v>1</v>
      </c>
      <c r="C273" s="990">
        <v>273</v>
      </c>
      <c r="D273" s="1121" t="s">
        <v>999</v>
      </c>
      <c r="E273" s="1243">
        <v>1</v>
      </c>
      <c r="F273" s="5"/>
      <c r="G273" s="5"/>
      <c r="H273" s="5"/>
      <c r="I273" s="443" t="s">
        <v>10</v>
      </c>
      <c r="J273" s="604"/>
      <c r="K273" s="788"/>
      <c r="L273" s="788"/>
      <c r="M273" s="788"/>
      <c r="N273" s="788"/>
      <c r="O273" s="788"/>
      <c r="P273" s="788"/>
      <c r="Q273" s="2123">
        <v>0</v>
      </c>
      <c r="R273" s="455">
        <v>0</v>
      </c>
      <c r="S273" s="455">
        <v>0</v>
      </c>
      <c r="T273" s="455">
        <v>0</v>
      </c>
      <c r="U273" s="455">
        <v>0</v>
      </c>
      <c r="V273" s="455">
        <v>0</v>
      </c>
      <c r="W273" s="455">
        <v>0</v>
      </c>
      <c r="X273" s="455">
        <v>0</v>
      </c>
      <c r="Y273" s="455">
        <v>0</v>
      </c>
      <c r="Z273" s="455">
        <v>0</v>
      </c>
      <c r="AA273" s="455">
        <v>0</v>
      </c>
      <c r="AB273" s="455">
        <v>0</v>
      </c>
      <c r="AC273" s="455">
        <v>0</v>
      </c>
      <c r="AD273" s="455">
        <v>0</v>
      </c>
      <c r="AE273" s="455">
        <v>0</v>
      </c>
      <c r="AF273" s="455">
        <v>0</v>
      </c>
      <c r="AG273" s="455">
        <v>0</v>
      </c>
      <c r="AH273" s="455">
        <v>0</v>
      </c>
      <c r="AI273" s="455">
        <v>0</v>
      </c>
    </row>
    <row r="274" spans="1:36" ht="14.5">
      <c r="A274" s="990">
        <v>250</v>
      </c>
      <c r="B274" s="990">
        <v>1</v>
      </c>
      <c r="C274" s="990">
        <v>274</v>
      </c>
      <c r="D274" s="1121" t="s">
        <v>999</v>
      </c>
      <c r="E274" s="1243">
        <v>1</v>
      </c>
      <c r="F274" s="5"/>
      <c r="G274" s="5"/>
      <c r="H274" s="5"/>
      <c r="I274" s="28"/>
      <c r="J274" s="629" t="s">
        <v>135</v>
      </c>
      <c r="K274" s="3"/>
      <c r="L274" s="3"/>
      <c r="M274" s="2"/>
      <c r="N274" s="2"/>
      <c r="O274" s="2"/>
      <c r="P274" s="2"/>
      <c r="Q274" s="2138">
        <v>0</v>
      </c>
      <c r="R274" s="866">
        <v>0</v>
      </c>
      <c r="S274" s="866">
        <v>0</v>
      </c>
      <c r="T274" s="866">
        <v>0</v>
      </c>
      <c r="U274" s="866">
        <v>0</v>
      </c>
      <c r="V274" s="866">
        <v>0</v>
      </c>
      <c r="W274" s="866">
        <v>0</v>
      </c>
      <c r="X274" s="866">
        <v>0</v>
      </c>
      <c r="Y274" s="866">
        <v>0</v>
      </c>
      <c r="Z274" s="866">
        <v>0</v>
      </c>
      <c r="AA274" s="866">
        <v>0</v>
      </c>
      <c r="AB274" s="866">
        <v>0</v>
      </c>
      <c r="AC274" s="866">
        <v>0</v>
      </c>
      <c r="AD274" s="866">
        <v>0</v>
      </c>
      <c r="AE274" s="866">
        <v>0</v>
      </c>
      <c r="AF274" s="866">
        <v>0</v>
      </c>
      <c r="AG274" s="866">
        <v>0</v>
      </c>
      <c r="AH274" s="866">
        <v>0</v>
      </c>
      <c r="AI274" s="866">
        <v>0</v>
      </c>
    </row>
    <row r="275" spans="1:36" ht="15" customHeight="1">
      <c r="A275" s="990">
        <v>251</v>
      </c>
      <c r="B275" s="990">
        <v>1</v>
      </c>
      <c r="C275" s="990">
        <v>275</v>
      </c>
      <c r="D275" s="1121" t="s">
        <v>999</v>
      </c>
      <c r="E275" s="1255">
        <v>1</v>
      </c>
      <c r="F275" s="9"/>
      <c r="G275" s="1241"/>
      <c r="H275" s="5"/>
      <c r="I275" s="5"/>
      <c r="J275" s="4"/>
      <c r="K275" s="2620" t="s">
        <v>1049</v>
      </c>
      <c r="L275" s="1116"/>
      <c r="M275" s="798"/>
      <c r="N275" s="798"/>
      <c r="O275" s="798"/>
      <c r="P275" s="798"/>
      <c r="Q275" s="2186">
        <v>0</v>
      </c>
      <c r="R275" s="2186">
        <v>0</v>
      </c>
      <c r="S275" s="2186">
        <v>0</v>
      </c>
      <c r="T275" s="2186">
        <v>0</v>
      </c>
      <c r="U275" s="2186">
        <v>0</v>
      </c>
      <c r="V275" s="2186">
        <v>0</v>
      </c>
      <c r="W275" s="2186">
        <v>0</v>
      </c>
      <c r="X275" s="2186">
        <v>0</v>
      </c>
      <c r="Y275" s="2186">
        <v>0</v>
      </c>
      <c r="Z275" s="2186">
        <v>0</v>
      </c>
      <c r="AA275" s="2186">
        <v>0</v>
      </c>
      <c r="AB275" s="2186">
        <v>0</v>
      </c>
      <c r="AC275" s="2621">
        <v>0</v>
      </c>
      <c r="AD275" s="2186">
        <v>0</v>
      </c>
      <c r="AE275" s="2186">
        <v>0</v>
      </c>
      <c r="AF275" s="2186">
        <v>0</v>
      </c>
      <c r="AG275" s="2186">
        <v>0</v>
      </c>
      <c r="AH275" s="2186">
        <v>0</v>
      </c>
      <c r="AI275" s="2186">
        <v>0</v>
      </c>
    </row>
    <row r="276" spans="1:36" ht="15" customHeight="1">
      <c r="A276" s="990">
        <v>252</v>
      </c>
      <c r="B276" s="990">
        <v>1</v>
      </c>
      <c r="C276" s="990">
        <v>276</v>
      </c>
      <c r="D276" s="1121" t="s">
        <v>999</v>
      </c>
      <c r="E276" s="1255">
        <v>1</v>
      </c>
      <c r="F276" s="9"/>
      <c r="G276" s="1241"/>
      <c r="H276" s="5"/>
      <c r="I276" s="5"/>
      <c r="J276" s="4"/>
      <c r="K276" s="30"/>
      <c r="L276" s="556" t="s">
        <v>884</v>
      </c>
      <c r="M276" s="323"/>
      <c r="N276" s="323"/>
      <c r="O276" s="323"/>
      <c r="P276" s="323"/>
      <c r="Q276" s="325">
        <v>0</v>
      </c>
      <c r="R276" s="325">
        <v>0</v>
      </c>
      <c r="S276" s="325">
        <v>0</v>
      </c>
      <c r="T276" s="325">
        <v>0</v>
      </c>
      <c r="U276" s="325">
        <v>0</v>
      </c>
      <c r="V276" s="325">
        <v>0</v>
      </c>
      <c r="W276" s="361">
        <v>0</v>
      </c>
      <c r="X276" s="361">
        <v>0</v>
      </c>
      <c r="Y276" s="361">
        <v>0</v>
      </c>
      <c r="Z276" s="1117">
        <v>0</v>
      </c>
      <c r="AA276" s="1117">
        <v>0</v>
      </c>
      <c r="AB276" s="1117">
        <v>0</v>
      </c>
      <c r="AC276" s="1523">
        <v>0</v>
      </c>
      <c r="AD276" s="1117">
        <v>0</v>
      </c>
      <c r="AE276" s="1117">
        <v>0</v>
      </c>
      <c r="AF276" s="1117">
        <v>0</v>
      </c>
      <c r="AG276" s="1117">
        <v>0</v>
      </c>
      <c r="AH276" s="1117">
        <v>0</v>
      </c>
      <c r="AI276" s="1117">
        <v>0</v>
      </c>
    </row>
    <row r="277" spans="1:36" ht="15" customHeight="1">
      <c r="A277" s="990">
        <v>253</v>
      </c>
      <c r="B277" s="990">
        <v>1</v>
      </c>
      <c r="C277" s="990">
        <v>277</v>
      </c>
      <c r="D277" s="1121" t="s">
        <v>999</v>
      </c>
      <c r="E277" s="1255">
        <v>1</v>
      </c>
      <c r="F277" s="9"/>
      <c r="G277" s="1241"/>
      <c r="H277" s="5"/>
      <c r="I277" s="5"/>
      <c r="J277" s="4"/>
      <c r="K277" s="30"/>
      <c r="L277" s="30"/>
      <c r="M277" s="40" t="s">
        <v>143</v>
      </c>
      <c r="N277" s="4"/>
      <c r="O277" s="4"/>
      <c r="P277" s="4"/>
      <c r="Q277" s="2159"/>
      <c r="R277" s="2159"/>
      <c r="S277" s="2159"/>
      <c r="T277" s="2159"/>
      <c r="U277" s="2159"/>
      <c r="V277" s="2159"/>
      <c r="W277" s="2091"/>
      <c r="X277" s="2091"/>
      <c r="Y277" s="2091"/>
      <c r="Z277" s="2160"/>
      <c r="AA277" s="2160"/>
      <c r="AB277" s="2160"/>
      <c r="AC277" s="144">
        <v>0</v>
      </c>
      <c r="AD277" s="145">
        <v>0</v>
      </c>
      <c r="AE277" s="145">
        <v>0</v>
      </c>
      <c r="AF277" s="145">
        <v>0</v>
      </c>
      <c r="AG277" s="145">
        <v>0</v>
      </c>
      <c r="AH277" s="145">
        <v>0</v>
      </c>
      <c r="AI277" s="145">
        <v>0</v>
      </c>
    </row>
    <row r="278" spans="1:36" ht="15" customHeight="1">
      <c r="A278" s="990">
        <v>254</v>
      </c>
      <c r="B278" s="990">
        <v>1</v>
      </c>
      <c r="C278" s="990">
        <v>278</v>
      </c>
      <c r="D278" s="1121" t="s">
        <v>999</v>
      </c>
      <c r="E278" s="1255">
        <v>1</v>
      </c>
      <c r="F278" s="9"/>
      <c r="G278" s="1241"/>
      <c r="H278" s="5"/>
      <c r="I278" s="5"/>
      <c r="J278" s="4"/>
      <c r="K278" s="30"/>
      <c r="L278" s="30"/>
      <c r="M278" s="40" t="s">
        <v>96</v>
      </c>
      <c r="N278" s="4"/>
      <c r="O278" s="4"/>
      <c r="P278" s="4"/>
      <c r="Q278" s="2159"/>
      <c r="R278" s="2159"/>
      <c r="S278" s="2159"/>
      <c r="T278" s="2159"/>
      <c r="U278" s="2159"/>
      <c r="V278" s="2159"/>
      <c r="W278" s="2091"/>
      <c r="X278" s="2091"/>
      <c r="Y278" s="2091"/>
      <c r="Z278" s="2160"/>
      <c r="AA278" s="2160"/>
      <c r="AB278" s="2160"/>
      <c r="AC278" s="144">
        <v>0</v>
      </c>
      <c r="AD278" s="145">
        <v>0</v>
      </c>
      <c r="AE278" s="145">
        <v>0</v>
      </c>
      <c r="AF278" s="145">
        <v>0</v>
      </c>
      <c r="AG278" s="145">
        <v>0</v>
      </c>
      <c r="AH278" s="145">
        <v>0</v>
      </c>
      <c r="AI278" s="145">
        <v>0</v>
      </c>
    </row>
    <row r="279" spans="1:36" ht="15" customHeight="1">
      <c r="A279" s="990">
        <v>255</v>
      </c>
      <c r="B279" s="990">
        <v>1</v>
      </c>
      <c r="C279" s="990">
        <v>279</v>
      </c>
      <c r="D279" s="1121" t="s">
        <v>999</v>
      </c>
      <c r="E279" s="1255">
        <v>1</v>
      </c>
      <c r="F279" s="9"/>
      <c r="G279" s="1241"/>
      <c r="H279" s="5"/>
      <c r="I279" s="5"/>
      <c r="J279" s="4"/>
      <c r="K279" s="30"/>
      <c r="L279" s="28"/>
      <c r="M279" s="119" t="s">
        <v>142</v>
      </c>
      <c r="N279" s="2"/>
      <c r="O279" s="2"/>
      <c r="P279" s="2"/>
      <c r="Q279" s="2161"/>
      <c r="R279" s="2161"/>
      <c r="S279" s="2161"/>
      <c r="T279" s="2161"/>
      <c r="U279" s="2161"/>
      <c r="V279" s="2161"/>
      <c r="W279" s="2092"/>
      <c r="X279" s="2092"/>
      <c r="Y279" s="2092"/>
      <c r="Z279" s="2162"/>
      <c r="AA279" s="2162"/>
      <c r="AB279" s="2162"/>
      <c r="AC279" s="141">
        <v>0</v>
      </c>
      <c r="AD279" s="142">
        <v>0</v>
      </c>
      <c r="AE279" s="142">
        <v>0</v>
      </c>
      <c r="AF279" s="142">
        <v>0</v>
      </c>
      <c r="AG279" s="142">
        <v>0</v>
      </c>
      <c r="AH279" s="142">
        <v>0</v>
      </c>
      <c r="AI279" s="142">
        <v>0</v>
      </c>
    </row>
    <row r="280" spans="1:36" ht="15" customHeight="1">
      <c r="A280" s="990">
        <v>256</v>
      </c>
      <c r="B280" s="990">
        <v>1</v>
      </c>
      <c r="C280" s="990">
        <v>280</v>
      </c>
      <c r="D280" s="1121" t="s">
        <v>999</v>
      </c>
      <c r="E280" s="1255">
        <v>1</v>
      </c>
      <c r="F280" s="9"/>
      <c r="G280" s="1241"/>
      <c r="H280" s="5"/>
      <c r="I280" s="5"/>
      <c r="J280" s="4"/>
      <c r="K280" s="30"/>
      <c r="L280" s="556" t="s">
        <v>1033</v>
      </c>
      <c r="M280" s="798"/>
      <c r="N280" s="798"/>
      <c r="O280" s="798"/>
      <c r="P280" s="798"/>
      <c r="Q280" s="2120">
        <v>0</v>
      </c>
      <c r="R280" s="2120">
        <v>0</v>
      </c>
      <c r="S280" s="2120">
        <v>0</v>
      </c>
      <c r="T280" s="2120">
        <v>0</v>
      </c>
      <c r="U280" s="2120">
        <v>0</v>
      </c>
      <c r="V280" s="2120">
        <v>0</v>
      </c>
      <c r="W280" s="2081">
        <v>0</v>
      </c>
      <c r="X280" s="2081">
        <v>0</v>
      </c>
      <c r="Y280" s="2081">
        <v>0</v>
      </c>
      <c r="Z280" s="2158">
        <v>0</v>
      </c>
      <c r="AA280" s="2158">
        <v>0</v>
      </c>
      <c r="AB280" s="2158">
        <v>0</v>
      </c>
      <c r="AC280" s="2617">
        <v>0</v>
      </c>
      <c r="AD280" s="2158">
        <v>0</v>
      </c>
      <c r="AE280" s="2158">
        <v>0</v>
      </c>
      <c r="AF280" s="2158">
        <v>0</v>
      </c>
      <c r="AG280" s="2158">
        <v>0</v>
      </c>
      <c r="AH280" s="2158">
        <v>0</v>
      </c>
      <c r="AI280" s="2158">
        <v>0</v>
      </c>
    </row>
    <row r="281" spans="1:36" ht="15" customHeight="1">
      <c r="A281" s="990">
        <v>257</v>
      </c>
      <c r="B281" s="990">
        <v>1</v>
      </c>
      <c r="C281" s="990">
        <v>281</v>
      </c>
      <c r="D281" s="1121" t="s">
        <v>999</v>
      </c>
      <c r="E281" s="1255">
        <v>1</v>
      </c>
      <c r="F281" s="9"/>
      <c r="G281" s="1241"/>
      <c r="H281" s="5"/>
      <c r="I281" s="5"/>
      <c r="J281" s="4"/>
      <c r="K281" s="30"/>
      <c r="L281" s="613"/>
      <c r="M281" s="676" t="s">
        <v>1034</v>
      </c>
      <c r="N281" s="51"/>
      <c r="O281" s="51"/>
      <c r="P281" s="51"/>
      <c r="Q281" s="1119">
        <v>0</v>
      </c>
      <c r="R281" s="1119">
        <v>0</v>
      </c>
      <c r="S281" s="1119">
        <v>0</v>
      </c>
      <c r="T281" s="1119">
        <v>0</v>
      </c>
      <c r="U281" s="1119">
        <v>0</v>
      </c>
      <c r="V281" s="1119">
        <v>0</v>
      </c>
      <c r="W281" s="1119">
        <v>0</v>
      </c>
      <c r="X281" s="1119">
        <v>0</v>
      </c>
      <c r="Y281" s="1119">
        <v>0</v>
      </c>
      <c r="Z281" s="1119">
        <v>0</v>
      </c>
      <c r="AA281" s="1119">
        <v>0</v>
      </c>
      <c r="AB281" s="1119">
        <v>0</v>
      </c>
      <c r="AC281" s="1525">
        <v>0</v>
      </c>
      <c r="AD281" s="1119">
        <v>0</v>
      </c>
      <c r="AE281" s="1119">
        <v>0</v>
      </c>
      <c r="AF281" s="1119">
        <v>0</v>
      </c>
      <c r="AG281" s="1119">
        <v>0</v>
      </c>
      <c r="AH281" s="1119">
        <v>0</v>
      </c>
      <c r="AI281" s="1119">
        <v>0</v>
      </c>
    </row>
    <row r="282" spans="1:36" ht="15" customHeight="1">
      <c r="A282" s="990">
        <v>258</v>
      </c>
      <c r="B282" s="990">
        <v>1</v>
      </c>
      <c r="C282" s="990">
        <v>282</v>
      </c>
      <c r="D282" s="1121" t="s">
        <v>999</v>
      </c>
      <c r="E282" s="1255">
        <v>1</v>
      </c>
      <c r="F282" s="9"/>
      <c r="G282" s="1241"/>
      <c r="H282" s="5"/>
      <c r="I282" s="5"/>
      <c r="J282" s="4"/>
      <c r="K282" s="30"/>
      <c r="L282" s="30"/>
      <c r="M282" s="40" t="s">
        <v>143</v>
      </c>
      <c r="N282" s="4"/>
      <c r="O282" s="4"/>
      <c r="P282" s="4"/>
      <c r="Q282" s="41">
        <v>0</v>
      </c>
      <c r="R282" s="41">
        <v>0</v>
      </c>
      <c r="S282" s="41">
        <v>0</v>
      </c>
      <c r="T282" s="41">
        <v>0</v>
      </c>
      <c r="U282" s="41">
        <v>0</v>
      </c>
      <c r="V282" s="41">
        <v>0</v>
      </c>
      <c r="W282" s="19">
        <v>0</v>
      </c>
      <c r="X282" s="19">
        <v>0</v>
      </c>
      <c r="Y282" s="19">
        <v>0</v>
      </c>
      <c r="Z282" s="145">
        <v>0</v>
      </c>
      <c r="AA282" s="145">
        <v>0</v>
      </c>
      <c r="AB282" s="145">
        <v>0</v>
      </c>
      <c r="AC282" s="144">
        <v>0</v>
      </c>
      <c r="AD282" s="145">
        <v>0</v>
      </c>
      <c r="AE282" s="145">
        <v>0</v>
      </c>
      <c r="AF282" s="145">
        <v>0</v>
      </c>
      <c r="AG282" s="145">
        <v>0</v>
      </c>
      <c r="AH282" s="145">
        <v>0</v>
      </c>
      <c r="AI282" s="145">
        <v>0</v>
      </c>
    </row>
    <row r="283" spans="1:36">
      <c r="A283" s="990">
        <v>259</v>
      </c>
      <c r="B283" s="990">
        <v>1</v>
      </c>
      <c r="C283" s="990">
        <v>283</v>
      </c>
      <c r="D283" s="1121" t="s">
        <v>999</v>
      </c>
      <c r="E283" s="1255">
        <v>1</v>
      </c>
      <c r="F283" s="9"/>
      <c r="G283" s="1241"/>
      <c r="H283" s="5"/>
      <c r="I283" s="5"/>
      <c r="J283" s="4"/>
      <c r="K283" s="30"/>
      <c r="L283" s="30"/>
      <c r="M283" s="40" t="s">
        <v>96</v>
      </c>
      <c r="N283" s="4"/>
      <c r="O283" s="4"/>
      <c r="P283" s="4"/>
      <c r="Q283" s="41">
        <v>0</v>
      </c>
      <c r="R283" s="41">
        <v>0</v>
      </c>
      <c r="S283" s="41">
        <v>0</v>
      </c>
      <c r="T283" s="41">
        <v>0</v>
      </c>
      <c r="U283" s="41">
        <v>0</v>
      </c>
      <c r="V283" s="41">
        <v>0</v>
      </c>
      <c r="W283" s="19">
        <v>0</v>
      </c>
      <c r="X283" s="19">
        <v>0</v>
      </c>
      <c r="Y283" s="19">
        <v>0</v>
      </c>
      <c r="Z283" s="145">
        <v>0</v>
      </c>
      <c r="AA283" s="145">
        <v>0</v>
      </c>
      <c r="AB283" s="145">
        <v>0</v>
      </c>
      <c r="AC283" s="144">
        <v>0</v>
      </c>
      <c r="AD283" s="145">
        <v>0</v>
      </c>
      <c r="AE283" s="145">
        <v>0</v>
      </c>
      <c r="AF283" s="145">
        <v>0</v>
      </c>
      <c r="AG283" s="145">
        <v>0</v>
      </c>
      <c r="AH283" s="145">
        <v>0</v>
      </c>
      <c r="AI283" s="145">
        <v>0</v>
      </c>
    </row>
    <row r="284" spans="1:36">
      <c r="A284" s="990">
        <v>260</v>
      </c>
      <c r="B284" s="990">
        <v>1</v>
      </c>
      <c r="C284" s="990">
        <v>284</v>
      </c>
      <c r="D284" s="1121" t="s">
        <v>999</v>
      </c>
      <c r="E284" s="1255">
        <v>1</v>
      </c>
      <c r="F284" s="9"/>
      <c r="G284" s="1241"/>
      <c r="H284" s="5"/>
      <c r="I284" s="5"/>
      <c r="J284" s="4"/>
      <c r="K284" s="28"/>
      <c r="L284" s="28"/>
      <c r="M284" s="119" t="s">
        <v>142</v>
      </c>
      <c r="N284" s="2"/>
      <c r="O284" s="2"/>
      <c r="P284" s="2"/>
      <c r="Q284" s="66">
        <v>0</v>
      </c>
      <c r="R284" s="66">
        <v>0</v>
      </c>
      <c r="S284" s="66">
        <v>0</v>
      </c>
      <c r="T284" s="66">
        <v>0</v>
      </c>
      <c r="U284" s="66">
        <v>0</v>
      </c>
      <c r="V284" s="66">
        <v>0</v>
      </c>
      <c r="W284" s="17">
        <v>0</v>
      </c>
      <c r="X284" s="17">
        <v>0</v>
      </c>
      <c r="Y284" s="17">
        <v>0</v>
      </c>
      <c r="Z284" s="142">
        <v>0</v>
      </c>
      <c r="AA284" s="142">
        <v>0</v>
      </c>
      <c r="AB284" s="142">
        <v>0</v>
      </c>
      <c r="AC284" s="141">
        <v>0</v>
      </c>
      <c r="AD284" s="142">
        <v>0</v>
      </c>
      <c r="AE284" s="142">
        <v>0</v>
      </c>
      <c r="AF284" s="142">
        <v>0</v>
      </c>
      <c r="AG284" s="142">
        <v>0</v>
      </c>
      <c r="AH284" s="142">
        <v>0</v>
      </c>
      <c r="AI284" s="142">
        <v>0</v>
      </c>
      <c r="AJ284" s="619"/>
    </row>
    <row r="285" spans="1:36" s="619" customFormat="1" hidden="1" outlineLevel="1">
      <c r="A285" s="990">
        <v>261</v>
      </c>
      <c r="B285" s="990">
        <v>1</v>
      </c>
      <c r="C285" s="990">
        <v>285</v>
      </c>
      <c r="D285" s="1121" t="s">
        <v>999</v>
      </c>
      <c r="E285" s="1243">
        <v>1</v>
      </c>
      <c r="F285" s="5"/>
      <c r="G285" s="5"/>
      <c r="H285" s="5"/>
      <c r="I285" s="5"/>
      <c r="J285" s="4"/>
      <c r="K285" s="5"/>
      <c r="L285" s="5"/>
      <c r="M285" s="4"/>
      <c r="N285" s="4"/>
      <c r="O285" s="4"/>
      <c r="P285" s="4"/>
      <c r="Q285" s="2225"/>
      <c r="R285" s="1151"/>
      <c r="S285" s="1151"/>
      <c r="T285" s="1151"/>
      <c r="U285" s="1151"/>
      <c r="V285" s="1151"/>
      <c r="W285" s="1"/>
      <c r="X285" s="1"/>
      <c r="Y285" s="1"/>
      <c r="Z285" s="163"/>
      <c r="AA285" s="163"/>
      <c r="AB285" s="2201"/>
      <c r="AC285" s="163"/>
      <c r="AD285" s="163"/>
      <c r="AE285" s="163"/>
      <c r="AF285" s="163"/>
      <c r="AG285" s="163"/>
      <c r="AH285" s="163"/>
      <c r="AI285" s="868"/>
    </row>
    <row r="286" spans="1:36" s="619" customFormat="1" hidden="1" outlineLevel="1">
      <c r="A286" s="990">
        <v>262</v>
      </c>
      <c r="B286" s="990">
        <v>1</v>
      </c>
      <c r="C286" s="990">
        <v>286</v>
      </c>
      <c r="D286" s="1121" t="s">
        <v>999</v>
      </c>
      <c r="E286" s="1243">
        <v>1</v>
      </c>
      <c r="F286" s="5"/>
      <c r="G286" s="5"/>
      <c r="H286" s="5" t="s">
        <v>1050</v>
      </c>
      <c r="I286" s="5"/>
      <c r="J286" s="4"/>
      <c r="K286" s="5"/>
      <c r="L286" s="5"/>
      <c r="M286" s="4"/>
      <c r="N286" s="4"/>
      <c r="O286" s="4"/>
      <c r="P286" s="4"/>
      <c r="Q286" s="2225"/>
      <c r="R286" s="1151"/>
      <c r="S286" s="1151"/>
      <c r="T286" s="1151"/>
      <c r="U286" s="1151"/>
      <c r="V286" s="1151"/>
      <c r="W286" s="1"/>
      <c r="X286" s="1"/>
      <c r="Y286" s="1"/>
      <c r="Z286" s="1"/>
      <c r="AA286" s="1"/>
      <c r="AB286" s="2209"/>
      <c r="AC286" s="1"/>
      <c r="AD286" s="1"/>
      <c r="AE286" s="1"/>
      <c r="AF286" s="1"/>
      <c r="AG286" s="1"/>
      <c r="AH286" s="1"/>
      <c r="AI286" s="1"/>
    </row>
    <row r="287" spans="1:36" s="619" customFormat="1" ht="14.5" hidden="1" outlineLevel="1">
      <c r="A287" s="990">
        <v>263</v>
      </c>
      <c r="B287" s="990">
        <v>1</v>
      </c>
      <c r="C287" s="990">
        <v>287</v>
      </c>
      <c r="D287" s="1121" t="s">
        <v>999</v>
      </c>
      <c r="E287" s="1243">
        <v>1</v>
      </c>
      <c r="F287" s="5"/>
      <c r="G287" s="5"/>
      <c r="H287" s="5"/>
      <c r="I287" s="128" t="s">
        <v>9</v>
      </c>
      <c r="J287" s="829"/>
      <c r="K287" s="1186"/>
      <c r="L287" s="1186"/>
      <c r="M287" s="829"/>
      <c r="N287" s="829"/>
      <c r="O287" s="1187" t="s">
        <v>530</v>
      </c>
      <c r="P287" s="829"/>
      <c r="Q287" s="1991">
        <v>0</v>
      </c>
      <c r="R287" s="1716">
        <v>0</v>
      </c>
      <c r="S287" s="1716">
        <v>0</v>
      </c>
      <c r="T287" s="1716">
        <v>0</v>
      </c>
      <c r="U287" s="1716">
        <v>0</v>
      </c>
      <c r="V287" s="1716">
        <v>0</v>
      </c>
      <c r="W287" s="1716">
        <v>0</v>
      </c>
      <c r="X287" s="1716">
        <v>0</v>
      </c>
      <c r="Y287" s="1716">
        <v>0</v>
      </c>
      <c r="Z287" s="1716">
        <v>0</v>
      </c>
      <c r="AA287" s="1716">
        <v>0</v>
      </c>
      <c r="AB287" s="1716">
        <v>0</v>
      </c>
      <c r="AC287" s="125">
        <v>0</v>
      </c>
      <c r="AD287" s="125">
        <v>0</v>
      </c>
      <c r="AE287" s="125">
        <v>0</v>
      </c>
      <c r="AF287" s="125">
        <v>0</v>
      </c>
      <c r="AG287" s="125">
        <v>0</v>
      </c>
      <c r="AH287" s="125">
        <v>0</v>
      </c>
      <c r="AI287" s="125">
        <v>0</v>
      </c>
    </row>
    <row r="288" spans="1:36" s="619" customFormat="1" hidden="1" outlineLevel="1">
      <c r="A288" s="990">
        <v>264</v>
      </c>
      <c r="B288" s="990">
        <v>1</v>
      </c>
      <c r="C288" s="990">
        <v>288</v>
      </c>
      <c r="D288" s="1121" t="s">
        <v>999</v>
      </c>
      <c r="E288" s="1243">
        <v>1</v>
      </c>
      <c r="F288" s="5"/>
      <c r="G288" s="5"/>
      <c r="H288" s="5"/>
      <c r="I288" s="30"/>
      <c r="J288" s="4"/>
      <c r="K288" s="5"/>
      <c r="L288" s="389" t="s">
        <v>1051</v>
      </c>
      <c r="M288" s="389"/>
      <c r="N288" s="389"/>
      <c r="O288" s="389"/>
      <c r="P288" s="389"/>
      <c r="Q288" s="1929">
        <v>0</v>
      </c>
      <c r="R288" s="1177">
        <v>0</v>
      </c>
      <c r="S288" s="1177">
        <v>0</v>
      </c>
      <c r="T288" s="1177">
        <v>0</v>
      </c>
      <c r="U288" s="1177">
        <v>0</v>
      </c>
      <c r="V288" s="1177">
        <v>0</v>
      </c>
      <c r="W288" s="1177">
        <v>0</v>
      </c>
      <c r="X288" s="1177">
        <v>0</v>
      </c>
      <c r="Y288" s="1177">
        <v>0</v>
      </c>
      <c r="Z288" s="1177">
        <v>0</v>
      </c>
      <c r="AA288" s="1177">
        <v>0</v>
      </c>
      <c r="AB288" s="1177">
        <v>0</v>
      </c>
      <c r="AC288" s="390">
        <v>0</v>
      </c>
      <c r="AD288" s="390">
        <v>0</v>
      </c>
      <c r="AE288" s="390">
        <v>0</v>
      </c>
      <c r="AF288" s="390">
        <v>0</v>
      </c>
      <c r="AG288" s="390">
        <v>0</v>
      </c>
      <c r="AH288" s="390">
        <v>0</v>
      </c>
      <c r="AI288" s="390">
        <v>0</v>
      </c>
    </row>
    <row r="289" spans="1:35" s="619" customFormat="1" hidden="1" outlineLevel="1">
      <c r="A289" s="990">
        <v>265</v>
      </c>
      <c r="B289" s="990">
        <v>1</v>
      </c>
      <c r="C289" s="990">
        <v>289</v>
      </c>
      <c r="D289" s="1121" t="s">
        <v>999</v>
      </c>
      <c r="E289" s="1243">
        <v>1</v>
      </c>
      <c r="F289" s="5"/>
      <c r="G289" s="5"/>
      <c r="H289" s="5"/>
      <c r="I289" s="30"/>
      <c r="J289" s="4"/>
      <c r="K289" s="5"/>
      <c r="L289" s="5"/>
      <c r="M289" s="4" t="s">
        <v>57</v>
      </c>
      <c r="N289" s="4"/>
      <c r="O289" s="4"/>
      <c r="P289" s="4"/>
      <c r="Q289" s="1930"/>
      <c r="R289" s="2039"/>
      <c r="S289" s="2039"/>
      <c r="T289" s="2039"/>
      <c r="U289" s="2039"/>
      <c r="V289" s="2039"/>
      <c r="W289" s="2039"/>
      <c r="X289" s="2039"/>
      <c r="Y289" s="2039"/>
      <c r="Z289" s="2039"/>
      <c r="AA289" s="2039"/>
      <c r="AB289" s="2039"/>
      <c r="AC289" s="89">
        <v>0</v>
      </c>
      <c r="AD289" s="89">
        <v>0</v>
      </c>
      <c r="AE289" s="89">
        <v>0</v>
      </c>
      <c r="AF289" s="89">
        <v>0</v>
      </c>
      <c r="AG289" s="89">
        <v>0</v>
      </c>
      <c r="AH289" s="89">
        <v>0</v>
      </c>
      <c r="AI289" s="89">
        <v>0</v>
      </c>
    </row>
    <row r="290" spans="1:35" s="619" customFormat="1" hidden="1" outlineLevel="1">
      <c r="A290" s="990">
        <v>266</v>
      </c>
      <c r="B290" s="990">
        <v>1</v>
      </c>
      <c r="C290" s="990">
        <v>290</v>
      </c>
      <c r="D290" s="1121" t="s">
        <v>999</v>
      </c>
      <c r="E290" s="1243">
        <v>1</v>
      </c>
      <c r="F290" s="5"/>
      <c r="G290" s="5"/>
      <c r="H290" s="5"/>
      <c r="I290" s="30"/>
      <c r="J290" s="4"/>
      <c r="K290" s="5"/>
      <c r="L290" s="5"/>
      <c r="M290" s="4" t="s">
        <v>58</v>
      </c>
      <c r="N290" s="4"/>
      <c r="O290" s="4"/>
      <c r="P290" s="4"/>
      <c r="Q290" s="1930"/>
      <c r="R290" s="2039"/>
      <c r="S290" s="2039"/>
      <c r="T290" s="2039"/>
      <c r="U290" s="2039"/>
      <c r="V290" s="2039"/>
      <c r="W290" s="2039"/>
      <c r="X290" s="2039"/>
      <c r="Y290" s="2039"/>
      <c r="Z290" s="2039"/>
      <c r="AA290" s="2039"/>
      <c r="AB290" s="2039"/>
      <c r="AC290" s="89">
        <v>0</v>
      </c>
      <c r="AD290" s="89">
        <v>0</v>
      </c>
      <c r="AE290" s="89">
        <v>0</v>
      </c>
      <c r="AF290" s="89">
        <v>0</v>
      </c>
      <c r="AG290" s="89">
        <v>0</v>
      </c>
      <c r="AH290" s="89">
        <v>0</v>
      </c>
      <c r="AI290" s="89">
        <v>0</v>
      </c>
    </row>
    <row r="291" spans="1:35" s="619" customFormat="1" hidden="1" outlineLevel="1">
      <c r="A291" s="990">
        <v>267</v>
      </c>
      <c r="B291" s="990">
        <v>1</v>
      </c>
      <c r="C291" s="990">
        <v>291</v>
      </c>
      <c r="D291" s="1121" t="s">
        <v>999</v>
      </c>
      <c r="E291" s="1243">
        <v>1</v>
      </c>
      <c r="F291" s="5"/>
      <c r="G291" s="5"/>
      <c r="H291" s="5"/>
      <c r="I291" s="30"/>
      <c r="J291" s="4"/>
      <c r="K291" s="5"/>
      <c r="L291" s="52"/>
      <c r="M291" s="51" t="s">
        <v>85</v>
      </c>
      <c r="N291" s="51"/>
      <c r="O291" s="51"/>
      <c r="P291" s="51"/>
      <c r="Q291" s="1931"/>
      <c r="R291" s="2043"/>
      <c r="S291" s="2043"/>
      <c r="T291" s="2043"/>
      <c r="U291" s="2043"/>
      <c r="V291" s="2043"/>
      <c r="W291" s="2043"/>
      <c r="X291" s="2043"/>
      <c r="Y291" s="2043"/>
      <c r="Z291" s="2043"/>
      <c r="AA291" s="2043"/>
      <c r="AB291" s="2043"/>
      <c r="AC291" s="134">
        <v>0</v>
      </c>
      <c r="AD291" s="134">
        <v>0</v>
      </c>
      <c r="AE291" s="134">
        <v>0</v>
      </c>
      <c r="AF291" s="134">
        <v>0</v>
      </c>
      <c r="AG291" s="134">
        <v>0</v>
      </c>
      <c r="AH291" s="134">
        <v>0</v>
      </c>
      <c r="AI291" s="134">
        <v>0</v>
      </c>
    </row>
    <row r="292" spans="1:35" s="619" customFormat="1" hidden="1" outlineLevel="1">
      <c r="A292" s="990">
        <v>268</v>
      </c>
      <c r="B292" s="990">
        <v>1</v>
      </c>
      <c r="C292" s="990">
        <v>292</v>
      </c>
      <c r="D292" s="1121" t="s">
        <v>999</v>
      </c>
      <c r="E292" s="1243">
        <v>1</v>
      </c>
      <c r="F292" s="5"/>
      <c r="G292" s="5"/>
      <c r="H292" s="5"/>
      <c r="I292" s="30"/>
      <c r="J292" s="4"/>
      <c r="K292" s="5"/>
      <c r="L292" s="389" t="s">
        <v>1052</v>
      </c>
      <c r="M292" s="389"/>
      <c r="N292" s="389"/>
      <c r="O292" s="389"/>
      <c r="P292" s="389"/>
      <c r="Q292" s="1929">
        <v>0</v>
      </c>
      <c r="R292" s="1177">
        <v>0</v>
      </c>
      <c r="S292" s="1177">
        <v>0</v>
      </c>
      <c r="T292" s="1177">
        <v>0</v>
      </c>
      <c r="U292" s="1177">
        <v>0</v>
      </c>
      <c r="V292" s="1177">
        <v>0</v>
      </c>
      <c r="W292" s="1177">
        <v>0</v>
      </c>
      <c r="X292" s="1177">
        <v>0</v>
      </c>
      <c r="Y292" s="1177">
        <v>0</v>
      </c>
      <c r="Z292" s="1177">
        <v>0</v>
      </c>
      <c r="AA292" s="1177">
        <v>0</v>
      </c>
      <c r="AB292" s="1177">
        <v>0</v>
      </c>
      <c r="AC292" s="390">
        <v>0</v>
      </c>
      <c r="AD292" s="390">
        <v>0</v>
      </c>
      <c r="AE292" s="390">
        <v>0</v>
      </c>
      <c r="AF292" s="390">
        <v>0</v>
      </c>
      <c r="AG292" s="390">
        <v>0</v>
      </c>
      <c r="AH292" s="390">
        <v>0</v>
      </c>
      <c r="AI292" s="390">
        <v>0</v>
      </c>
    </row>
    <row r="293" spans="1:35" s="619" customFormat="1" hidden="1" outlineLevel="1">
      <c r="A293" s="990">
        <v>269</v>
      </c>
      <c r="B293" s="990">
        <v>1</v>
      </c>
      <c r="C293" s="990">
        <v>293</v>
      </c>
      <c r="D293" s="1121" t="s">
        <v>999</v>
      </c>
      <c r="E293" s="1243">
        <v>1</v>
      </c>
      <c r="F293" s="5"/>
      <c r="G293" s="5"/>
      <c r="H293" s="5"/>
      <c r="I293" s="30"/>
      <c r="J293" s="4"/>
      <c r="K293" s="5"/>
      <c r="L293" s="5"/>
      <c r="M293" s="4" t="s">
        <v>59</v>
      </c>
      <c r="N293" s="4"/>
      <c r="O293" s="4"/>
      <c r="P293" s="4"/>
      <c r="Q293" s="1930"/>
      <c r="R293" s="2039"/>
      <c r="S293" s="2039"/>
      <c r="T293" s="2039"/>
      <c r="U293" s="2039"/>
      <c r="V293" s="2039"/>
      <c r="W293" s="2039"/>
      <c r="X293" s="2039"/>
      <c r="Y293" s="2039"/>
      <c r="Z293" s="2039"/>
      <c r="AA293" s="2039"/>
      <c r="AB293" s="2039"/>
      <c r="AC293" s="89">
        <v>0</v>
      </c>
      <c r="AD293" s="89">
        <v>0</v>
      </c>
      <c r="AE293" s="89">
        <v>0</v>
      </c>
      <c r="AF293" s="89">
        <v>0</v>
      </c>
      <c r="AG293" s="89">
        <v>0</v>
      </c>
      <c r="AH293" s="89">
        <v>0</v>
      </c>
      <c r="AI293" s="89">
        <v>0</v>
      </c>
    </row>
    <row r="294" spans="1:35" collapsed="1">
      <c r="A294" s="990">
        <v>270</v>
      </c>
      <c r="B294" s="990">
        <v>1</v>
      </c>
      <c r="C294" s="990">
        <v>294</v>
      </c>
      <c r="D294" s="1121" t="s">
        <v>999</v>
      </c>
      <c r="E294" s="1243">
        <v>1</v>
      </c>
      <c r="F294" s="423"/>
      <c r="G294" s="316"/>
      <c r="H294" s="5"/>
      <c r="I294" s="30"/>
      <c r="J294" s="4"/>
      <c r="K294" s="5"/>
      <c r="L294" s="5"/>
      <c r="M294" s="4" t="s">
        <v>683</v>
      </c>
      <c r="N294" s="4"/>
      <c r="O294" s="4"/>
      <c r="P294" s="4"/>
      <c r="Q294" s="1930"/>
      <c r="R294" s="2039"/>
      <c r="S294" s="2039"/>
      <c r="T294" s="2039"/>
      <c r="U294" s="2039"/>
      <c r="V294" s="2039"/>
      <c r="W294" s="2039"/>
      <c r="X294" s="2039"/>
      <c r="Y294" s="2039"/>
      <c r="Z294" s="2039"/>
      <c r="AA294" s="2039"/>
      <c r="AB294" s="2039"/>
      <c r="AC294" s="89">
        <v>0</v>
      </c>
      <c r="AD294" s="89">
        <v>0</v>
      </c>
      <c r="AE294" s="89">
        <v>0</v>
      </c>
      <c r="AF294" s="89">
        <v>0</v>
      </c>
      <c r="AG294" s="89">
        <v>0</v>
      </c>
      <c r="AH294" s="89">
        <v>0</v>
      </c>
      <c r="AI294" s="89">
        <v>0</v>
      </c>
    </row>
    <row r="295" spans="1:35" ht="15" customHeight="1">
      <c r="A295" s="990">
        <v>271</v>
      </c>
      <c r="B295" s="990">
        <v>1</v>
      </c>
      <c r="C295" s="990">
        <v>295</v>
      </c>
      <c r="D295" s="1121" t="s">
        <v>999</v>
      </c>
      <c r="E295" s="1243">
        <v>1</v>
      </c>
      <c r="F295" s="423"/>
      <c r="G295" s="316"/>
      <c r="H295" s="5"/>
      <c r="I295" s="30"/>
      <c r="J295" s="4"/>
      <c r="K295" s="5"/>
      <c r="L295" s="5"/>
      <c r="M295" s="4" t="s">
        <v>684</v>
      </c>
      <c r="N295" s="4"/>
      <c r="O295" s="4"/>
      <c r="P295" s="4"/>
      <c r="Q295" s="1930"/>
      <c r="R295" s="2039"/>
      <c r="S295" s="2039"/>
      <c r="T295" s="2039"/>
      <c r="U295" s="2039"/>
      <c r="V295" s="2039"/>
      <c r="W295" s="2039"/>
      <c r="X295" s="2039"/>
      <c r="Y295" s="2039"/>
      <c r="Z295" s="2039"/>
      <c r="AA295" s="2039"/>
      <c r="AB295" s="2039"/>
      <c r="AC295" s="89">
        <v>0</v>
      </c>
      <c r="AD295" s="89">
        <v>0</v>
      </c>
      <c r="AE295" s="89">
        <v>0</v>
      </c>
      <c r="AF295" s="89">
        <v>0</v>
      </c>
      <c r="AG295" s="89">
        <v>0</v>
      </c>
      <c r="AH295" s="89">
        <v>0</v>
      </c>
      <c r="AI295" s="89">
        <v>0</v>
      </c>
    </row>
    <row r="296" spans="1:35" ht="15" customHeight="1">
      <c r="A296" s="990">
        <v>272</v>
      </c>
      <c r="B296" s="990">
        <v>1</v>
      </c>
      <c r="C296" s="990">
        <v>296</v>
      </c>
      <c r="D296" s="1121" t="s">
        <v>999</v>
      </c>
      <c r="E296" s="1243">
        <v>1</v>
      </c>
      <c r="F296" s="423"/>
      <c r="G296" s="316"/>
      <c r="H296" s="5"/>
      <c r="I296" s="30"/>
      <c r="J296" s="4"/>
      <c r="K296" s="5"/>
      <c r="L296" s="5"/>
      <c r="M296" s="4" t="s">
        <v>685</v>
      </c>
      <c r="N296" s="4"/>
      <c r="O296" s="4"/>
      <c r="P296" s="4"/>
      <c r="Q296" s="1930"/>
      <c r="R296" s="2039"/>
      <c r="S296" s="2039"/>
      <c r="T296" s="2039"/>
      <c r="U296" s="2039"/>
      <c r="V296" s="2039"/>
      <c r="W296" s="2039"/>
      <c r="X296" s="2039"/>
      <c r="Y296" s="2039"/>
      <c r="Z296" s="2039"/>
      <c r="AA296" s="2039"/>
      <c r="AB296" s="2039"/>
      <c r="AC296" s="89">
        <v>0</v>
      </c>
      <c r="AD296" s="89">
        <v>0</v>
      </c>
      <c r="AE296" s="89">
        <v>0</v>
      </c>
      <c r="AF296" s="89">
        <v>0</v>
      </c>
      <c r="AG296" s="89">
        <v>0</v>
      </c>
      <c r="AH296" s="89">
        <v>0</v>
      </c>
      <c r="AI296" s="89">
        <v>0</v>
      </c>
    </row>
    <row r="297" spans="1:35" ht="15" customHeight="1">
      <c r="A297" s="990">
        <v>273</v>
      </c>
      <c r="B297" s="990">
        <v>1</v>
      </c>
      <c r="C297" s="990">
        <v>297</v>
      </c>
      <c r="D297" s="1121" t="s">
        <v>999</v>
      </c>
      <c r="E297" s="1243">
        <v>1</v>
      </c>
      <c r="F297" s="5"/>
      <c r="G297" s="5"/>
      <c r="H297" s="5"/>
      <c r="I297" s="128" t="s">
        <v>128</v>
      </c>
      <c r="J297" s="829"/>
      <c r="K297" s="1186"/>
      <c r="L297" s="1186"/>
      <c r="M297" s="829"/>
      <c r="N297" s="829"/>
      <c r="O297" s="1187" t="s">
        <v>532</v>
      </c>
      <c r="P297" s="829"/>
      <c r="Q297" s="1991">
        <v>0</v>
      </c>
      <c r="R297" s="1716">
        <v>0</v>
      </c>
      <c r="S297" s="1716">
        <v>0</v>
      </c>
      <c r="T297" s="1716">
        <v>0</v>
      </c>
      <c r="U297" s="1716">
        <v>0</v>
      </c>
      <c r="V297" s="1716">
        <v>0</v>
      </c>
      <c r="W297" s="1716">
        <v>0</v>
      </c>
      <c r="X297" s="1716">
        <v>0</v>
      </c>
      <c r="Y297" s="1716">
        <v>0</v>
      </c>
      <c r="Z297" s="1716">
        <v>0</v>
      </c>
      <c r="AA297" s="1716">
        <v>0</v>
      </c>
      <c r="AB297" s="1716">
        <v>0</v>
      </c>
      <c r="AC297" s="125">
        <v>0</v>
      </c>
      <c r="AD297" s="125">
        <v>0</v>
      </c>
      <c r="AE297" s="125">
        <v>0</v>
      </c>
      <c r="AF297" s="125">
        <v>0</v>
      </c>
      <c r="AG297" s="125">
        <v>0</v>
      </c>
      <c r="AH297" s="125">
        <v>0</v>
      </c>
      <c r="AI297" s="125">
        <v>0</v>
      </c>
    </row>
    <row r="298" spans="1:35" ht="15" customHeight="1">
      <c r="A298" s="990">
        <v>274</v>
      </c>
      <c r="B298" s="990">
        <v>1</v>
      </c>
      <c r="C298" s="990">
        <v>298</v>
      </c>
      <c r="D298" s="1121" t="s">
        <v>999</v>
      </c>
      <c r="E298" s="1243">
        <v>1</v>
      </c>
      <c r="F298" s="5"/>
      <c r="G298" s="5"/>
      <c r="H298" s="5"/>
      <c r="I298" s="30"/>
      <c r="J298" s="4"/>
      <c r="K298" s="5"/>
      <c r="L298" s="389" t="s">
        <v>1051</v>
      </c>
      <c r="M298" s="389"/>
      <c r="N298" s="389"/>
      <c r="O298" s="389"/>
      <c r="P298" s="389"/>
      <c r="Q298" s="1929">
        <v>0</v>
      </c>
      <c r="R298" s="1177">
        <v>0</v>
      </c>
      <c r="S298" s="1177">
        <v>0</v>
      </c>
      <c r="T298" s="1177">
        <v>0</v>
      </c>
      <c r="U298" s="1177">
        <v>0</v>
      </c>
      <c r="V298" s="1177">
        <v>0</v>
      </c>
      <c r="W298" s="1177">
        <v>0</v>
      </c>
      <c r="X298" s="1177">
        <v>0</v>
      </c>
      <c r="Y298" s="1177">
        <v>0</v>
      </c>
      <c r="Z298" s="1177">
        <v>0</v>
      </c>
      <c r="AA298" s="1177">
        <v>0</v>
      </c>
      <c r="AB298" s="1177">
        <v>0</v>
      </c>
      <c r="AC298" s="390">
        <v>0</v>
      </c>
      <c r="AD298" s="390">
        <v>0</v>
      </c>
      <c r="AE298" s="390">
        <v>0</v>
      </c>
      <c r="AF298" s="390">
        <v>0</v>
      </c>
      <c r="AG298" s="390">
        <v>0</v>
      </c>
      <c r="AH298" s="390">
        <v>0</v>
      </c>
      <c r="AI298" s="390">
        <v>0</v>
      </c>
    </row>
    <row r="299" spans="1:35" ht="15" customHeight="1">
      <c r="A299" s="990">
        <v>275</v>
      </c>
      <c r="B299" s="990">
        <v>1</v>
      </c>
      <c r="C299" s="990">
        <v>299</v>
      </c>
      <c r="D299" s="1121" t="s">
        <v>999</v>
      </c>
      <c r="E299" s="1243">
        <v>1</v>
      </c>
      <c r="F299" s="5"/>
      <c r="G299" s="5"/>
      <c r="H299" s="5"/>
      <c r="I299" s="30"/>
      <c r="J299" s="4"/>
      <c r="K299" s="5"/>
      <c r="L299" s="5"/>
      <c r="M299" s="4" t="s">
        <v>57</v>
      </c>
      <c r="N299" s="4"/>
      <c r="O299" s="4"/>
      <c r="P299" s="4"/>
      <c r="Q299" s="1930"/>
      <c r="R299" s="2039"/>
      <c r="S299" s="2039"/>
      <c r="T299" s="2039"/>
      <c r="U299" s="2039"/>
      <c r="V299" s="2039"/>
      <c r="W299" s="2039"/>
      <c r="X299" s="2039"/>
      <c r="Y299" s="2039"/>
      <c r="Z299" s="2039"/>
      <c r="AA299" s="2039"/>
      <c r="AB299" s="2039"/>
      <c r="AC299" s="89">
        <v>0</v>
      </c>
      <c r="AD299" s="89">
        <v>0</v>
      </c>
      <c r="AE299" s="89">
        <v>0</v>
      </c>
      <c r="AF299" s="89">
        <v>0</v>
      </c>
      <c r="AG299" s="89">
        <v>0</v>
      </c>
      <c r="AH299" s="89">
        <v>0</v>
      </c>
      <c r="AI299" s="89">
        <v>0</v>
      </c>
    </row>
    <row r="300" spans="1:35" ht="15" customHeight="1">
      <c r="A300" s="990">
        <v>276</v>
      </c>
      <c r="B300" s="990">
        <v>1</v>
      </c>
      <c r="C300" s="990">
        <v>300</v>
      </c>
      <c r="D300" s="1121" t="s">
        <v>999</v>
      </c>
      <c r="E300" s="1243">
        <v>1</v>
      </c>
      <c r="F300" s="5"/>
      <c r="G300" s="5"/>
      <c r="H300" s="5"/>
      <c r="I300" s="30"/>
      <c r="J300" s="4"/>
      <c r="K300" s="5"/>
      <c r="L300" s="5"/>
      <c r="M300" s="4" t="s">
        <v>58</v>
      </c>
      <c r="N300" s="4"/>
      <c r="O300" s="4"/>
      <c r="P300" s="4"/>
      <c r="Q300" s="1930"/>
      <c r="R300" s="2039"/>
      <c r="S300" s="2039"/>
      <c r="T300" s="2039"/>
      <c r="U300" s="2039"/>
      <c r="V300" s="2039"/>
      <c r="W300" s="2039"/>
      <c r="X300" s="2039"/>
      <c r="Y300" s="2039"/>
      <c r="Z300" s="2039"/>
      <c r="AA300" s="2039"/>
      <c r="AB300" s="2039"/>
      <c r="AC300" s="89">
        <v>0</v>
      </c>
      <c r="AD300" s="89">
        <v>0</v>
      </c>
      <c r="AE300" s="89">
        <v>0</v>
      </c>
      <c r="AF300" s="89">
        <v>0</v>
      </c>
      <c r="AG300" s="89">
        <v>0</v>
      </c>
      <c r="AH300" s="89">
        <v>0</v>
      </c>
      <c r="AI300" s="89">
        <v>0</v>
      </c>
    </row>
    <row r="301" spans="1:35" ht="15" customHeight="1">
      <c r="A301" s="990">
        <v>277</v>
      </c>
      <c r="B301" s="990">
        <v>1</v>
      </c>
      <c r="C301" s="990">
        <v>301</v>
      </c>
      <c r="D301" s="1121" t="s">
        <v>999</v>
      </c>
      <c r="E301" s="1243">
        <v>1</v>
      </c>
      <c r="F301" s="5"/>
      <c r="G301" s="5"/>
      <c r="H301" s="5"/>
      <c r="I301" s="30"/>
      <c r="J301" s="4"/>
      <c r="K301" s="5"/>
      <c r="L301" s="52"/>
      <c r="M301" s="51" t="s">
        <v>85</v>
      </c>
      <c r="N301" s="51"/>
      <c r="O301" s="51"/>
      <c r="P301" s="51"/>
      <c r="Q301" s="1931"/>
      <c r="R301" s="2043"/>
      <c r="S301" s="2043"/>
      <c r="T301" s="2043"/>
      <c r="U301" s="2043"/>
      <c r="V301" s="2043"/>
      <c r="W301" s="2043"/>
      <c r="X301" s="2043"/>
      <c r="Y301" s="2043"/>
      <c r="Z301" s="2043"/>
      <c r="AA301" s="2043"/>
      <c r="AB301" s="2043"/>
      <c r="AC301" s="134">
        <v>0</v>
      </c>
      <c r="AD301" s="134">
        <v>0</v>
      </c>
      <c r="AE301" s="134">
        <v>0</v>
      </c>
      <c r="AF301" s="134">
        <v>0</v>
      </c>
      <c r="AG301" s="134">
        <v>0</v>
      </c>
      <c r="AH301" s="134">
        <v>0</v>
      </c>
      <c r="AI301" s="134">
        <v>0</v>
      </c>
    </row>
    <row r="302" spans="1:35" ht="15" customHeight="1">
      <c r="A302" s="990">
        <v>278</v>
      </c>
      <c r="B302" s="990">
        <v>1</v>
      </c>
      <c r="C302" s="990">
        <v>302</v>
      </c>
      <c r="D302" s="1121" t="s">
        <v>999</v>
      </c>
      <c r="E302" s="1243">
        <v>1</v>
      </c>
      <c r="F302" s="5"/>
      <c r="G302" s="5"/>
      <c r="H302" s="5"/>
      <c r="I302" s="30"/>
      <c r="J302" s="4"/>
      <c r="K302" s="5"/>
      <c r="L302" s="389" t="s">
        <v>1052</v>
      </c>
      <c r="M302" s="389"/>
      <c r="N302" s="389"/>
      <c r="O302" s="389"/>
      <c r="P302" s="389"/>
      <c r="Q302" s="1929">
        <v>0</v>
      </c>
      <c r="R302" s="1177">
        <v>0</v>
      </c>
      <c r="S302" s="1177">
        <v>0</v>
      </c>
      <c r="T302" s="1177">
        <v>0</v>
      </c>
      <c r="U302" s="1177">
        <v>0</v>
      </c>
      <c r="V302" s="1177">
        <v>0</v>
      </c>
      <c r="W302" s="1177">
        <v>0</v>
      </c>
      <c r="X302" s="1177">
        <v>0</v>
      </c>
      <c r="Y302" s="1177">
        <v>0</v>
      </c>
      <c r="Z302" s="1177">
        <v>0</v>
      </c>
      <c r="AA302" s="1177">
        <v>0</v>
      </c>
      <c r="AB302" s="1177">
        <v>0</v>
      </c>
      <c r="AC302" s="390">
        <v>0</v>
      </c>
      <c r="AD302" s="390">
        <v>0</v>
      </c>
      <c r="AE302" s="390">
        <v>0</v>
      </c>
      <c r="AF302" s="390">
        <v>0</v>
      </c>
      <c r="AG302" s="390">
        <v>0</v>
      </c>
      <c r="AH302" s="390">
        <v>0</v>
      </c>
      <c r="AI302" s="390">
        <v>0</v>
      </c>
    </row>
    <row r="303" spans="1:35" ht="15" customHeight="1">
      <c r="A303" s="990">
        <v>279</v>
      </c>
      <c r="B303" s="990">
        <v>1</v>
      </c>
      <c r="C303" s="990">
        <v>303</v>
      </c>
      <c r="D303" s="1121" t="s">
        <v>999</v>
      </c>
      <c r="E303" s="1243">
        <v>1</v>
      </c>
      <c r="F303" s="5"/>
      <c r="G303" s="5"/>
      <c r="H303" s="5"/>
      <c r="I303" s="30"/>
      <c r="J303" s="4"/>
      <c r="K303" s="5"/>
      <c r="L303" s="5"/>
      <c r="M303" s="4" t="s">
        <v>59</v>
      </c>
      <c r="N303" s="4"/>
      <c r="O303" s="4"/>
      <c r="P303" s="4"/>
      <c r="Q303" s="1930"/>
      <c r="R303" s="2039"/>
      <c r="S303" s="2039"/>
      <c r="T303" s="2039"/>
      <c r="U303" s="2039"/>
      <c r="V303" s="2039"/>
      <c r="W303" s="2039"/>
      <c r="X303" s="2039"/>
      <c r="Y303" s="2039"/>
      <c r="Z303" s="2039"/>
      <c r="AA303" s="2039"/>
      <c r="AB303" s="2039"/>
      <c r="AC303" s="89">
        <v>0</v>
      </c>
      <c r="AD303" s="89">
        <v>0</v>
      </c>
      <c r="AE303" s="89">
        <v>0</v>
      </c>
      <c r="AF303" s="89">
        <v>0</v>
      </c>
      <c r="AG303" s="89">
        <v>0</v>
      </c>
      <c r="AH303" s="89">
        <v>0</v>
      </c>
      <c r="AI303" s="89">
        <v>0</v>
      </c>
    </row>
    <row r="304" spans="1:35">
      <c r="A304" s="990">
        <v>280</v>
      </c>
      <c r="B304" s="990">
        <v>1</v>
      </c>
      <c r="C304" s="990">
        <v>304</v>
      </c>
      <c r="D304" s="1121" t="s">
        <v>999</v>
      </c>
      <c r="E304" s="1243">
        <v>1</v>
      </c>
      <c r="F304" s="423"/>
      <c r="G304" s="316"/>
      <c r="H304" s="5"/>
      <c r="I304" s="30"/>
      <c r="J304" s="4"/>
      <c r="K304" s="5"/>
      <c r="L304" s="5"/>
      <c r="M304" s="4" t="s">
        <v>683</v>
      </c>
      <c r="N304" s="4"/>
      <c r="O304" s="4"/>
      <c r="P304" s="4"/>
      <c r="Q304" s="1930"/>
      <c r="R304" s="2039"/>
      <c r="S304" s="2039"/>
      <c r="T304" s="2039"/>
      <c r="U304" s="2039"/>
      <c r="V304" s="2039"/>
      <c r="W304" s="2039"/>
      <c r="X304" s="2039"/>
      <c r="Y304" s="2039"/>
      <c r="Z304" s="2039"/>
      <c r="AA304" s="2039"/>
      <c r="AB304" s="2039"/>
      <c r="AC304" s="89">
        <v>0</v>
      </c>
      <c r="AD304" s="89">
        <v>0</v>
      </c>
      <c r="AE304" s="89">
        <v>0</v>
      </c>
      <c r="AF304" s="89">
        <v>0</v>
      </c>
      <c r="AG304" s="89">
        <v>0</v>
      </c>
      <c r="AH304" s="89">
        <v>0</v>
      </c>
      <c r="AI304" s="89">
        <v>0</v>
      </c>
    </row>
    <row r="305" spans="1:36">
      <c r="A305" s="990">
        <v>281</v>
      </c>
      <c r="B305" s="990">
        <v>1</v>
      </c>
      <c r="C305" s="990">
        <v>305</v>
      </c>
      <c r="D305" s="1121" t="s">
        <v>999</v>
      </c>
      <c r="E305" s="1243">
        <v>1</v>
      </c>
      <c r="F305" s="423"/>
      <c r="G305" s="316"/>
      <c r="H305" s="5"/>
      <c r="I305" s="30"/>
      <c r="J305" s="4"/>
      <c r="K305" s="5"/>
      <c r="L305" s="5"/>
      <c r="M305" s="4" t="s">
        <v>684</v>
      </c>
      <c r="N305" s="4"/>
      <c r="O305" s="4"/>
      <c r="P305" s="4"/>
      <c r="Q305" s="1930"/>
      <c r="R305" s="2039"/>
      <c r="S305" s="2039"/>
      <c r="T305" s="2039"/>
      <c r="U305" s="2039"/>
      <c r="V305" s="2039"/>
      <c r="W305" s="2039"/>
      <c r="X305" s="2039"/>
      <c r="Y305" s="2039"/>
      <c r="Z305" s="2039"/>
      <c r="AA305" s="2039"/>
      <c r="AB305" s="2039"/>
      <c r="AC305" s="89">
        <v>0</v>
      </c>
      <c r="AD305" s="89">
        <v>0</v>
      </c>
      <c r="AE305" s="89">
        <v>0</v>
      </c>
      <c r="AF305" s="89">
        <v>0</v>
      </c>
      <c r="AG305" s="89">
        <v>0</v>
      </c>
      <c r="AH305" s="89">
        <v>0</v>
      </c>
      <c r="AI305" s="89">
        <v>0</v>
      </c>
    </row>
    <row r="306" spans="1:36">
      <c r="A306" s="990">
        <v>282</v>
      </c>
      <c r="B306" s="990">
        <v>1</v>
      </c>
      <c r="C306" s="990">
        <v>306</v>
      </c>
      <c r="D306" s="1121" t="s">
        <v>999</v>
      </c>
      <c r="E306" s="1243">
        <v>1</v>
      </c>
      <c r="F306" s="423"/>
      <c r="G306" s="316"/>
      <c r="H306" s="5"/>
      <c r="I306" s="30"/>
      <c r="J306" s="4"/>
      <c r="K306" s="5"/>
      <c r="L306" s="5"/>
      <c r="M306" s="4" t="s">
        <v>685</v>
      </c>
      <c r="N306" s="4"/>
      <c r="O306" s="4"/>
      <c r="P306" s="4"/>
      <c r="Q306" s="1930"/>
      <c r="R306" s="2039"/>
      <c r="S306" s="2039"/>
      <c r="T306" s="2039"/>
      <c r="U306" s="2039"/>
      <c r="V306" s="2039"/>
      <c r="W306" s="2039"/>
      <c r="X306" s="2039"/>
      <c r="Y306" s="2039"/>
      <c r="Z306" s="2039"/>
      <c r="AA306" s="2039"/>
      <c r="AB306" s="2039"/>
      <c r="AC306" s="89">
        <v>0</v>
      </c>
      <c r="AD306" s="89">
        <v>0</v>
      </c>
      <c r="AE306" s="89">
        <v>0</v>
      </c>
      <c r="AF306" s="89">
        <v>0</v>
      </c>
      <c r="AG306" s="89">
        <v>0</v>
      </c>
      <c r="AH306" s="89">
        <v>0</v>
      </c>
      <c r="AI306" s="89">
        <v>0</v>
      </c>
    </row>
    <row r="307" spans="1:36">
      <c r="A307" s="990">
        <v>283</v>
      </c>
      <c r="B307" s="990">
        <v>1</v>
      </c>
      <c r="C307" s="990">
        <v>307</v>
      </c>
      <c r="D307" s="1121" t="s">
        <v>999</v>
      </c>
      <c r="E307" s="1243">
        <v>1</v>
      </c>
      <c r="F307" s="5"/>
      <c r="G307" s="5"/>
      <c r="H307" s="5"/>
      <c r="I307" s="128" t="s">
        <v>134</v>
      </c>
      <c r="J307" s="829"/>
      <c r="K307" s="1186"/>
      <c r="L307" s="1186"/>
      <c r="M307" s="829"/>
      <c r="N307" s="829"/>
      <c r="O307" s="829"/>
      <c r="P307" s="829"/>
      <c r="Q307" s="1991">
        <v>0</v>
      </c>
      <c r="R307" s="1716">
        <v>0</v>
      </c>
      <c r="S307" s="1716">
        <v>0</v>
      </c>
      <c r="T307" s="1716">
        <v>0</v>
      </c>
      <c r="U307" s="1716">
        <v>0</v>
      </c>
      <c r="V307" s="1716">
        <v>0</v>
      </c>
      <c r="W307" s="1716">
        <v>0</v>
      </c>
      <c r="X307" s="1716">
        <v>0</v>
      </c>
      <c r="Y307" s="1716">
        <v>0</v>
      </c>
      <c r="Z307" s="1716">
        <v>0</v>
      </c>
      <c r="AA307" s="1716">
        <v>0</v>
      </c>
      <c r="AB307" s="1716">
        <v>0</v>
      </c>
      <c r="AC307" s="125">
        <v>0</v>
      </c>
      <c r="AD307" s="125">
        <v>0</v>
      </c>
      <c r="AE307" s="125">
        <v>0</v>
      </c>
      <c r="AF307" s="125">
        <v>0</v>
      </c>
      <c r="AG307" s="125">
        <v>0</v>
      </c>
      <c r="AH307" s="125">
        <v>0</v>
      </c>
      <c r="AI307" s="125">
        <v>0</v>
      </c>
    </row>
    <row r="308" spans="1:36" ht="14.5">
      <c r="A308" s="990">
        <v>284</v>
      </c>
      <c r="B308" s="990">
        <v>1</v>
      </c>
      <c r="C308" s="990">
        <v>308</v>
      </c>
      <c r="D308" s="1121" t="s">
        <v>999</v>
      </c>
      <c r="E308" s="1243">
        <v>1</v>
      </c>
      <c r="F308" s="5"/>
      <c r="G308" s="5"/>
      <c r="H308" s="5"/>
      <c r="I308" s="625"/>
      <c r="J308" s="618" t="s">
        <v>135</v>
      </c>
      <c r="K308" s="5"/>
      <c r="L308" s="52"/>
      <c r="M308" s="52"/>
      <c r="N308" s="52"/>
      <c r="O308" s="674" t="s">
        <v>1027</v>
      </c>
      <c r="P308" s="52"/>
      <c r="Q308" s="2139">
        <v>0</v>
      </c>
      <c r="R308" s="867">
        <v>0</v>
      </c>
      <c r="S308" s="867">
        <v>0</v>
      </c>
      <c r="T308" s="867">
        <v>0</v>
      </c>
      <c r="U308" s="867">
        <v>0</v>
      </c>
      <c r="V308" s="867">
        <v>0</v>
      </c>
      <c r="W308" s="867">
        <v>0</v>
      </c>
      <c r="X308" s="867">
        <v>0</v>
      </c>
      <c r="Y308" s="867">
        <v>0</v>
      </c>
      <c r="Z308" s="867">
        <v>0</v>
      </c>
      <c r="AA308" s="867">
        <v>0</v>
      </c>
      <c r="AB308" s="867">
        <v>0</v>
      </c>
      <c r="AC308" s="867">
        <v>0</v>
      </c>
      <c r="AD308" s="867">
        <v>0</v>
      </c>
      <c r="AE308" s="867">
        <v>0</v>
      </c>
      <c r="AF308" s="867">
        <v>0</v>
      </c>
      <c r="AG308" s="867">
        <v>0</v>
      </c>
      <c r="AH308" s="867">
        <v>0</v>
      </c>
      <c r="AI308" s="867">
        <v>0</v>
      </c>
    </row>
    <row r="309" spans="1:36" ht="14.5">
      <c r="A309" s="990">
        <v>285</v>
      </c>
      <c r="B309" s="990">
        <v>1</v>
      </c>
      <c r="C309" s="990">
        <v>309</v>
      </c>
      <c r="D309" s="1121" t="s">
        <v>999</v>
      </c>
      <c r="E309" s="1243">
        <v>1</v>
      </c>
      <c r="F309" s="5"/>
      <c r="G309" s="5"/>
      <c r="H309" s="616"/>
      <c r="I309" s="617"/>
      <c r="J309" s="620"/>
      <c r="K309" s="616"/>
      <c r="L309" s="618" t="s">
        <v>1053</v>
      </c>
      <c r="M309" s="618"/>
      <c r="N309" s="620"/>
      <c r="O309" s="620"/>
      <c r="P309" s="620"/>
      <c r="Q309" s="2119">
        <v>0</v>
      </c>
      <c r="R309" s="621">
        <v>0</v>
      </c>
      <c r="S309" s="621">
        <v>0</v>
      </c>
      <c r="T309" s="621">
        <v>0</v>
      </c>
      <c r="U309" s="621">
        <v>0</v>
      </c>
      <c r="V309" s="621">
        <v>0</v>
      </c>
      <c r="W309" s="621">
        <v>0</v>
      </c>
      <c r="X309" s="621">
        <v>0</v>
      </c>
      <c r="Y309" s="621">
        <v>0</v>
      </c>
      <c r="Z309" s="621">
        <v>0</v>
      </c>
      <c r="AA309" s="621">
        <v>0</v>
      </c>
      <c r="AB309" s="621">
        <v>0</v>
      </c>
      <c r="AC309" s="621">
        <v>0</v>
      </c>
      <c r="AD309" s="621">
        <v>0</v>
      </c>
      <c r="AE309" s="621">
        <v>0</v>
      </c>
      <c r="AF309" s="621">
        <v>0</v>
      </c>
      <c r="AG309" s="621">
        <v>0</v>
      </c>
      <c r="AH309" s="621">
        <v>0</v>
      </c>
      <c r="AI309" s="621">
        <v>0</v>
      </c>
      <c r="AJ309" s="619"/>
    </row>
    <row r="310" spans="1:36" ht="14.5">
      <c r="A310" s="990">
        <v>286</v>
      </c>
      <c r="B310" s="990">
        <v>1</v>
      </c>
      <c r="C310" s="990">
        <v>310</v>
      </c>
      <c r="D310" s="1121" t="s">
        <v>999</v>
      </c>
      <c r="E310" s="1243">
        <v>1</v>
      </c>
      <c r="F310" s="5"/>
      <c r="G310" s="5"/>
      <c r="H310" s="616"/>
      <c r="I310" s="617"/>
      <c r="J310" s="620"/>
      <c r="K310" s="616"/>
      <c r="L310" s="616"/>
      <c r="M310" s="618" t="s">
        <v>1054</v>
      </c>
      <c r="N310" s="620"/>
      <c r="O310" s="620"/>
      <c r="P310" s="620"/>
      <c r="Q310" s="2119">
        <v>0</v>
      </c>
      <c r="R310" s="621">
        <v>0</v>
      </c>
      <c r="S310" s="621">
        <v>0</v>
      </c>
      <c r="T310" s="621">
        <v>0</v>
      </c>
      <c r="U310" s="621">
        <v>0</v>
      </c>
      <c r="V310" s="621">
        <v>0</v>
      </c>
      <c r="W310" s="621">
        <v>0</v>
      </c>
      <c r="X310" s="621">
        <v>0</v>
      </c>
      <c r="Y310" s="621">
        <v>0</v>
      </c>
      <c r="Z310" s="621">
        <v>0</v>
      </c>
      <c r="AA310" s="621">
        <v>0</v>
      </c>
      <c r="AB310" s="621">
        <v>0</v>
      </c>
      <c r="AC310" s="621">
        <v>0</v>
      </c>
      <c r="AD310" s="621">
        <v>0</v>
      </c>
      <c r="AE310" s="621">
        <v>0</v>
      </c>
      <c r="AF310" s="621">
        <v>0</v>
      </c>
      <c r="AG310" s="621">
        <v>0</v>
      </c>
      <c r="AH310" s="621">
        <v>0</v>
      </c>
      <c r="AI310" s="621">
        <v>0</v>
      </c>
    </row>
    <row r="311" spans="1:36" ht="14.5">
      <c r="A311" s="990">
        <v>287</v>
      </c>
      <c r="B311" s="990">
        <v>1</v>
      </c>
      <c r="C311" s="990">
        <v>311</v>
      </c>
      <c r="D311" s="1121" t="s">
        <v>999</v>
      </c>
      <c r="E311" s="1243">
        <v>1</v>
      </c>
      <c r="F311" s="5"/>
      <c r="G311" s="5"/>
      <c r="H311" s="616"/>
      <c r="I311" s="617"/>
      <c r="J311" s="620"/>
      <c r="K311" s="616"/>
      <c r="L311" s="616"/>
      <c r="M311" s="618" t="s">
        <v>1055</v>
      </c>
      <c r="N311" s="620"/>
      <c r="O311" s="620"/>
      <c r="P311" s="620"/>
      <c r="Q311" s="2119">
        <v>0</v>
      </c>
      <c r="R311" s="621">
        <v>0</v>
      </c>
      <c r="S311" s="621">
        <v>0</v>
      </c>
      <c r="T311" s="621">
        <v>0</v>
      </c>
      <c r="U311" s="621">
        <v>0</v>
      </c>
      <c r="V311" s="621">
        <v>0</v>
      </c>
      <c r="W311" s="621">
        <v>0</v>
      </c>
      <c r="X311" s="621">
        <v>0</v>
      </c>
      <c r="Y311" s="621">
        <v>0</v>
      </c>
      <c r="Z311" s="621">
        <v>0</v>
      </c>
      <c r="AA311" s="621">
        <v>0</v>
      </c>
      <c r="AB311" s="621">
        <v>0</v>
      </c>
      <c r="AC311" s="621">
        <v>0</v>
      </c>
      <c r="AD311" s="621">
        <v>0</v>
      </c>
      <c r="AE311" s="621">
        <v>0</v>
      </c>
      <c r="AF311" s="621">
        <v>0</v>
      </c>
      <c r="AG311" s="621">
        <v>0</v>
      </c>
      <c r="AH311" s="621">
        <v>0</v>
      </c>
      <c r="AI311" s="621">
        <v>0</v>
      </c>
    </row>
    <row r="312" spans="1:36" ht="14.5">
      <c r="A312" s="990">
        <v>288</v>
      </c>
      <c r="B312" s="990">
        <v>1</v>
      </c>
      <c r="C312" s="990">
        <v>312</v>
      </c>
      <c r="D312" s="1121" t="s">
        <v>999</v>
      </c>
      <c r="E312" s="1243">
        <v>1</v>
      </c>
      <c r="F312" s="5"/>
      <c r="G312" s="5"/>
      <c r="H312" s="616"/>
      <c r="I312" s="617"/>
      <c r="J312" s="620"/>
      <c r="K312" s="616"/>
      <c r="L312" s="675"/>
      <c r="M312" s="628" t="s">
        <v>1036</v>
      </c>
      <c r="N312" s="676"/>
      <c r="O312" s="676"/>
      <c r="P312" s="676"/>
      <c r="Q312" s="2131">
        <v>0</v>
      </c>
      <c r="R312" s="677">
        <v>0</v>
      </c>
      <c r="S312" s="677">
        <v>0</v>
      </c>
      <c r="T312" s="677">
        <v>0</v>
      </c>
      <c r="U312" s="677">
        <v>0</v>
      </c>
      <c r="V312" s="677">
        <v>0</v>
      </c>
      <c r="W312" s="677">
        <v>0</v>
      </c>
      <c r="X312" s="677">
        <v>0</v>
      </c>
      <c r="Y312" s="677">
        <v>0</v>
      </c>
      <c r="Z312" s="677">
        <v>0</v>
      </c>
      <c r="AA312" s="677">
        <v>0</v>
      </c>
      <c r="AB312" s="677">
        <v>0</v>
      </c>
      <c r="AC312" s="677">
        <v>0</v>
      </c>
      <c r="AD312" s="677">
        <v>0</v>
      </c>
      <c r="AE312" s="677">
        <v>0</v>
      </c>
      <c r="AF312" s="677">
        <v>0</v>
      </c>
      <c r="AG312" s="677">
        <v>0</v>
      </c>
      <c r="AH312" s="677">
        <v>0</v>
      </c>
      <c r="AI312" s="677">
        <v>0</v>
      </c>
    </row>
    <row r="313" spans="1:36" ht="14.5">
      <c r="A313" s="990">
        <v>289</v>
      </c>
      <c r="B313" s="990">
        <v>1</v>
      </c>
      <c r="C313" s="990">
        <v>313</v>
      </c>
      <c r="D313" s="1121" t="s">
        <v>999</v>
      </c>
      <c r="E313" s="1243">
        <v>1</v>
      </c>
      <c r="F313" s="5"/>
      <c r="G313" s="5"/>
      <c r="H313" s="616"/>
      <c r="I313" s="617"/>
      <c r="J313" s="620"/>
      <c r="K313" s="616"/>
      <c r="L313" s="618" t="s">
        <v>1056</v>
      </c>
      <c r="M313" s="618"/>
      <c r="N313" s="620"/>
      <c r="O313" s="620"/>
      <c r="P313" s="620"/>
      <c r="Q313" s="2119">
        <v>0</v>
      </c>
      <c r="R313" s="621">
        <v>0</v>
      </c>
      <c r="S313" s="621">
        <v>0</v>
      </c>
      <c r="T313" s="621">
        <v>0</v>
      </c>
      <c r="U313" s="621">
        <v>0</v>
      </c>
      <c r="V313" s="621">
        <v>0</v>
      </c>
      <c r="W313" s="621">
        <v>0</v>
      </c>
      <c r="X313" s="621">
        <v>0</v>
      </c>
      <c r="Y313" s="621">
        <v>0</v>
      </c>
      <c r="Z313" s="621">
        <v>0</v>
      </c>
      <c r="AA313" s="621">
        <v>0</v>
      </c>
      <c r="AB313" s="621">
        <v>0</v>
      </c>
      <c r="AC313" s="621">
        <v>0</v>
      </c>
      <c r="AD313" s="621">
        <v>0</v>
      </c>
      <c r="AE313" s="621">
        <v>0</v>
      </c>
      <c r="AF313" s="621">
        <v>0</v>
      </c>
      <c r="AG313" s="621">
        <v>0</v>
      </c>
      <c r="AH313" s="621">
        <v>0</v>
      </c>
      <c r="AI313" s="621">
        <v>0</v>
      </c>
      <c r="AJ313" s="619"/>
    </row>
    <row r="314" spans="1:36" ht="14.5">
      <c r="A314" s="990">
        <v>290</v>
      </c>
      <c r="B314" s="990">
        <v>1</v>
      </c>
      <c r="C314" s="990">
        <v>314</v>
      </c>
      <c r="D314" s="1121" t="s">
        <v>999</v>
      </c>
      <c r="E314" s="1243">
        <v>1</v>
      </c>
      <c r="F314" s="5"/>
      <c r="G314" s="5"/>
      <c r="H314" s="616"/>
      <c r="I314" s="617"/>
      <c r="J314" s="620"/>
      <c r="K314" s="616"/>
      <c r="L314" s="616"/>
      <c r="M314" s="618" t="s">
        <v>1057</v>
      </c>
      <c r="N314" s="620"/>
      <c r="O314" s="620"/>
      <c r="P314" s="620"/>
      <c r="Q314" s="2119">
        <v>0</v>
      </c>
      <c r="R314" s="621">
        <v>0</v>
      </c>
      <c r="S314" s="621">
        <v>0</v>
      </c>
      <c r="T314" s="621">
        <v>0</v>
      </c>
      <c r="U314" s="621">
        <v>0</v>
      </c>
      <c r="V314" s="621">
        <v>0</v>
      </c>
      <c r="W314" s="621">
        <v>0</v>
      </c>
      <c r="X314" s="621">
        <v>0</v>
      </c>
      <c r="Y314" s="621">
        <v>0</v>
      </c>
      <c r="Z314" s="621">
        <v>0</v>
      </c>
      <c r="AA314" s="621">
        <v>0</v>
      </c>
      <c r="AB314" s="621">
        <v>0</v>
      </c>
      <c r="AC314" s="621">
        <v>0</v>
      </c>
      <c r="AD314" s="621">
        <v>0</v>
      </c>
      <c r="AE314" s="621">
        <v>0</v>
      </c>
      <c r="AF314" s="621">
        <v>0</v>
      </c>
      <c r="AG314" s="621">
        <v>0</v>
      </c>
      <c r="AH314" s="621">
        <v>0</v>
      </c>
      <c r="AI314" s="621">
        <v>0</v>
      </c>
    </row>
    <row r="315" spans="1:36" ht="14.5">
      <c r="A315" s="990">
        <v>291</v>
      </c>
      <c r="B315" s="990">
        <v>1</v>
      </c>
      <c r="C315" s="990">
        <v>315</v>
      </c>
      <c r="D315" s="1121" t="s">
        <v>999</v>
      </c>
      <c r="E315" s="1243">
        <v>1</v>
      </c>
      <c r="F315" s="5"/>
      <c r="G315" s="5"/>
      <c r="H315" s="616"/>
      <c r="I315" s="617"/>
      <c r="J315" s="620"/>
      <c r="K315" s="616"/>
      <c r="L315" s="616"/>
      <c r="M315" s="618" t="s">
        <v>1058</v>
      </c>
      <c r="N315" s="620"/>
      <c r="O315" s="620"/>
      <c r="P315" s="620"/>
      <c r="Q315" s="2119">
        <v>0</v>
      </c>
      <c r="R315" s="621">
        <v>0</v>
      </c>
      <c r="S315" s="621">
        <v>0</v>
      </c>
      <c r="T315" s="621">
        <v>0</v>
      </c>
      <c r="U315" s="621">
        <v>0</v>
      </c>
      <c r="V315" s="621">
        <v>0</v>
      </c>
      <c r="W315" s="621">
        <v>0</v>
      </c>
      <c r="X315" s="621">
        <v>0</v>
      </c>
      <c r="Y315" s="621">
        <v>0</v>
      </c>
      <c r="Z315" s="621">
        <v>0</v>
      </c>
      <c r="AA315" s="621">
        <v>0</v>
      </c>
      <c r="AB315" s="621">
        <v>0</v>
      </c>
      <c r="AC315" s="621">
        <v>0</v>
      </c>
      <c r="AD315" s="621">
        <v>0</v>
      </c>
      <c r="AE315" s="621">
        <v>0</v>
      </c>
      <c r="AF315" s="621">
        <v>0</v>
      </c>
      <c r="AG315" s="621">
        <v>0</v>
      </c>
      <c r="AH315" s="621">
        <v>0</v>
      </c>
      <c r="AI315" s="621">
        <v>0</v>
      </c>
    </row>
    <row r="316" spans="1:36" ht="14.5">
      <c r="A316" s="990">
        <v>292</v>
      </c>
      <c r="B316" s="990">
        <v>1</v>
      </c>
      <c r="C316" s="990">
        <v>316</v>
      </c>
      <c r="D316" s="1121" t="s">
        <v>999</v>
      </c>
      <c r="E316" s="1243">
        <v>1</v>
      </c>
      <c r="F316" s="5"/>
      <c r="G316" s="5"/>
      <c r="H316" s="616"/>
      <c r="I316" s="617"/>
      <c r="J316" s="620"/>
      <c r="K316" s="616"/>
      <c r="L316" s="616"/>
      <c r="M316" s="618" t="s">
        <v>1059</v>
      </c>
      <c r="N316" s="620"/>
      <c r="O316" s="620"/>
      <c r="P316" s="620"/>
      <c r="Q316" s="2119">
        <v>0</v>
      </c>
      <c r="R316" s="621">
        <v>0</v>
      </c>
      <c r="S316" s="621">
        <v>0</v>
      </c>
      <c r="T316" s="621">
        <v>0</v>
      </c>
      <c r="U316" s="621">
        <v>0</v>
      </c>
      <c r="V316" s="621">
        <v>0</v>
      </c>
      <c r="W316" s="621">
        <v>0</v>
      </c>
      <c r="X316" s="621">
        <v>0</v>
      </c>
      <c r="Y316" s="621">
        <v>0</v>
      </c>
      <c r="Z316" s="621">
        <v>0</v>
      </c>
      <c r="AA316" s="621">
        <v>0</v>
      </c>
      <c r="AB316" s="621">
        <v>0</v>
      </c>
      <c r="AC316" s="621">
        <v>0</v>
      </c>
      <c r="AD316" s="621">
        <v>0</v>
      </c>
      <c r="AE316" s="621">
        <v>0</v>
      </c>
      <c r="AF316" s="621">
        <v>0</v>
      </c>
      <c r="AG316" s="621">
        <v>0</v>
      </c>
      <c r="AH316" s="621">
        <v>0</v>
      </c>
      <c r="AI316" s="621">
        <v>0</v>
      </c>
    </row>
    <row r="317" spans="1:36" ht="14.5">
      <c r="A317" s="990">
        <v>293</v>
      </c>
      <c r="B317" s="990">
        <v>1</v>
      </c>
      <c r="C317" s="990">
        <v>317</v>
      </c>
      <c r="D317" s="1121" t="s">
        <v>999</v>
      </c>
      <c r="E317" s="1243">
        <v>1</v>
      </c>
      <c r="F317" s="5"/>
      <c r="G317" s="5"/>
      <c r="H317" s="616"/>
      <c r="I317" s="617"/>
      <c r="J317" s="620"/>
      <c r="K317" s="616"/>
      <c r="L317" s="616"/>
      <c r="M317" s="618" t="s">
        <v>1060</v>
      </c>
      <c r="N317" s="620"/>
      <c r="O317" s="620"/>
      <c r="P317" s="620"/>
      <c r="Q317" s="2119">
        <v>0</v>
      </c>
      <c r="R317" s="621">
        <v>0</v>
      </c>
      <c r="S317" s="621">
        <v>0</v>
      </c>
      <c r="T317" s="621">
        <v>0</v>
      </c>
      <c r="U317" s="621">
        <v>0</v>
      </c>
      <c r="V317" s="621">
        <v>0</v>
      </c>
      <c r="W317" s="621">
        <v>0</v>
      </c>
      <c r="X317" s="621">
        <v>0</v>
      </c>
      <c r="Y317" s="621">
        <v>0</v>
      </c>
      <c r="Z317" s="621">
        <v>0</v>
      </c>
      <c r="AA317" s="621">
        <v>0</v>
      </c>
      <c r="AB317" s="621">
        <v>0</v>
      </c>
      <c r="AC317" s="621">
        <v>0</v>
      </c>
      <c r="AD317" s="621">
        <v>0</v>
      </c>
      <c r="AE317" s="621">
        <v>0</v>
      </c>
      <c r="AF317" s="621">
        <v>0</v>
      </c>
      <c r="AG317" s="621">
        <v>0</v>
      </c>
      <c r="AH317" s="621">
        <v>0</v>
      </c>
      <c r="AI317" s="621">
        <v>0</v>
      </c>
    </row>
    <row r="318" spans="1:36">
      <c r="A318" s="990">
        <v>294</v>
      </c>
      <c r="B318" s="990">
        <v>1</v>
      </c>
      <c r="C318" s="990">
        <v>318</v>
      </c>
      <c r="D318" s="1121" t="s">
        <v>999</v>
      </c>
      <c r="E318" s="1243">
        <v>1</v>
      </c>
      <c r="F318" s="5"/>
      <c r="G318" s="5"/>
      <c r="H318" s="5"/>
      <c r="I318" s="30"/>
      <c r="J318" s="4"/>
      <c r="K318" s="5"/>
      <c r="L318" s="389" t="s">
        <v>1051</v>
      </c>
      <c r="M318" s="389"/>
      <c r="N318" s="389"/>
      <c r="O318" s="389"/>
      <c r="P318" s="389"/>
      <c r="Q318" s="1929">
        <v>0</v>
      </c>
      <c r="R318" s="1177">
        <v>0</v>
      </c>
      <c r="S318" s="1177">
        <v>0</v>
      </c>
      <c r="T318" s="1177">
        <v>0</v>
      </c>
      <c r="U318" s="1177">
        <v>0</v>
      </c>
      <c r="V318" s="1177">
        <v>0</v>
      </c>
      <c r="W318" s="1177">
        <v>0</v>
      </c>
      <c r="X318" s="1177">
        <v>0</v>
      </c>
      <c r="Y318" s="1177">
        <v>0</v>
      </c>
      <c r="Z318" s="1177">
        <v>0</v>
      </c>
      <c r="AA318" s="1177">
        <v>0</v>
      </c>
      <c r="AB318" s="1177">
        <v>0</v>
      </c>
      <c r="AC318" s="390">
        <v>0</v>
      </c>
      <c r="AD318" s="390">
        <v>0</v>
      </c>
      <c r="AE318" s="390">
        <v>0</v>
      </c>
      <c r="AF318" s="390">
        <v>0</v>
      </c>
      <c r="AG318" s="390">
        <v>0</v>
      </c>
      <c r="AH318" s="390">
        <v>0</v>
      </c>
      <c r="AI318" s="390">
        <v>0</v>
      </c>
    </row>
    <row r="319" spans="1:36">
      <c r="A319" s="990">
        <v>295</v>
      </c>
      <c r="B319" s="990">
        <v>1</v>
      </c>
      <c r="C319" s="990">
        <v>319</v>
      </c>
      <c r="D319" s="1121" t="s">
        <v>999</v>
      </c>
      <c r="E319" s="1243">
        <v>1</v>
      </c>
      <c r="F319" s="5"/>
      <c r="G319" s="5"/>
      <c r="H319" s="5"/>
      <c r="I319" s="30"/>
      <c r="J319" s="4"/>
      <c r="K319" s="5"/>
      <c r="L319" s="5"/>
      <c r="M319" s="4" t="s">
        <v>57</v>
      </c>
      <c r="N319" s="4"/>
      <c r="O319" s="4"/>
      <c r="P319" s="4"/>
      <c r="Q319" s="1930"/>
      <c r="R319" s="2039"/>
      <c r="S319" s="2039"/>
      <c r="T319" s="2039"/>
      <c r="U319" s="2039"/>
      <c r="V319" s="2039"/>
      <c r="W319" s="2039"/>
      <c r="X319" s="2039"/>
      <c r="Y319" s="2039"/>
      <c r="Z319" s="2039"/>
      <c r="AA319" s="2039"/>
      <c r="AB319" s="2039"/>
      <c r="AC319" s="89">
        <v>0</v>
      </c>
      <c r="AD319" s="89">
        <v>0</v>
      </c>
      <c r="AE319" s="89">
        <v>0</v>
      </c>
      <c r="AF319" s="89">
        <v>0</v>
      </c>
      <c r="AG319" s="89">
        <v>0</v>
      </c>
      <c r="AH319" s="89">
        <v>0</v>
      </c>
      <c r="AI319" s="89">
        <v>0</v>
      </c>
    </row>
    <row r="320" spans="1:36">
      <c r="A320" s="990">
        <v>296</v>
      </c>
      <c r="B320" s="990">
        <v>1</v>
      </c>
      <c r="C320" s="990">
        <v>320</v>
      </c>
      <c r="D320" s="1121" t="s">
        <v>999</v>
      </c>
      <c r="E320" s="1243">
        <v>1</v>
      </c>
      <c r="F320" s="5"/>
      <c r="G320" s="5"/>
      <c r="H320" s="5"/>
      <c r="I320" s="30"/>
      <c r="J320" s="4"/>
      <c r="K320" s="5"/>
      <c r="L320" s="5"/>
      <c r="M320" s="4" t="s">
        <v>58</v>
      </c>
      <c r="N320" s="4"/>
      <c r="O320" s="4"/>
      <c r="P320" s="4"/>
      <c r="Q320" s="1930"/>
      <c r="R320" s="2039"/>
      <c r="S320" s="2039"/>
      <c r="T320" s="2039"/>
      <c r="U320" s="2039"/>
      <c r="V320" s="2039"/>
      <c r="W320" s="2039"/>
      <c r="X320" s="2039"/>
      <c r="Y320" s="2039"/>
      <c r="Z320" s="2039"/>
      <c r="AA320" s="2039"/>
      <c r="AB320" s="2039"/>
      <c r="AC320" s="89">
        <v>0</v>
      </c>
      <c r="AD320" s="89">
        <v>0</v>
      </c>
      <c r="AE320" s="89">
        <v>0</v>
      </c>
      <c r="AF320" s="89">
        <v>0</v>
      </c>
      <c r="AG320" s="89">
        <v>0</v>
      </c>
      <c r="AH320" s="89">
        <v>0</v>
      </c>
      <c r="AI320" s="89">
        <v>0</v>
      </c>
    </row>
    <row r="321" spans="1:35">
      <c r="A321" s="990">
        <v>297</v>
      </c>
      <c r="B321" s="990">
        <v>1</v>
      </c>
      <c r="C321" s="990">
        <v>321</v>
      </c>
      <c r="D321" s="1121" t="s">
        <v>999</v>
      </c>
      <c r="E321" s="1243">
        <v>1</v>
      </c>
      <c r="F321" s="5"/>
      <c r="G321" s="5"/>
      <c r="H321" s="5"/>
      <c r="I321" s="30"/>
      <c r="J321" s="4"/>
      <c r="K321" s="5"/>
      <c r="L321" s="52"/>
      <c r="M321" s="51" t="s">
        <v>85</v>
      </c>
      <c r="N321" s="51"/>
      <c r="O321" s="51"/>
      <c r="P321" s="51"/>
      <c r="Q321" s="1931"/>
      <c r="R321" s="2043"/>
      <c r="S321" s="2043"/>
      <c r="T321" s="2043"/>
      <c r="U321" s="2043"/>
      <c r="V321" s="2043"/>
      <c r="W321" s="2043"/>
      <c r="X321" s="2043"/>
      <c r="Y321" s="2043"/>
      <c r="Z321" s="2043"/>
      <c r="AA321" s="2043"/>
      <c r="AB321" s="2043"/>
      <c r="AC321" s="134">
        <v>0</v>
      </c>
      <c r="AD321" s="134">
        <v>0</v>
      </c>
      <c r="AE321" s="134">
        <v>0</v>
      </c>
      <c r="AF321" s="134">
        <v>0</v>
      </c>
      <c r="AG321" s="134">
        <v>0</v>
      </c>
      <c r="AH321" s="134">
        <v>0</v>
      </c>
      <c r="AI321" s="134">
        <v>0</v>
      </c>
    </row>
    <row r="322" spans="1:35">
      <c r="A322" s="990">
        <v>298</v>
      </c>
      <c r="B322" s="990">
        <v>1</v>
      </c>
      <c r="C322" s="990">
        <v>322</v>
      </c>
      <c r="D322" s="1121" t="s">
        <v>999</v>
      </c>
      <c r="E322" s="1243">
        <v>1</v>
      </c>
      <c r="F322" s="5"/>
      <c r="G322" s="5"/>
      <c r="H322" s="5"/>
      <c r="I322" s="30"/>
      <c r="J322" s="4"/>
      <c r="K322" s="5"/>
      <c r="L322" s="389" t="s">
        <v>1052</v>
      </c>
      <c r="M322" s="389"/>
      <c r="N322" s="389"/>
      <c r="O322" s="389"/>
      <c r="P322" s="389"/>
      <c r="Q322" s="1929">
        <v>0</v>
      </c>
      <c r="R322" s="1177">
        <v>0</v>
      </c>
      <c r="S322" s="1177">
        <v>0</v>
      </c>
      <c r="T322" s="1177">
        <v>0</v>
      </c>
      <c r="U322" s="1177">
        <v>0</v>
      </c>
      <c r="V322" s="1177">
        <v>0</v>
      </c>
      <c r="W322" s="1177">
        <v>0</v>
      </c>
      <c r="X322" s="1177">
        <v>0</v>
      </c>
      <c r="Y322" s="1177">
        <v>0</v>
      </c>
      <c r="Z322" s="1177">
        <v>0</v>
      </c>
      <c r="AA322" s="1177">
        <v>0</v>
      </c>
      <c r="AB322" s="1177">
        <v>0</v>
      </c>
      <c r="AC322" s="390">
        <v>0</v>
      </c>
      <c r="AD322" s="390">
        <v>0</v>
      </c>
      <c r="AE322" s="390">
        <v>0</v>
      </c>
      <c r="AF322" s="390">
        <v>0</v>
      </c>
      <c r="AG322" s="390">
        <v>0</v>
      </c>
      <c r="AH322" s="390">
        <v>0</v>
      </c>
      <c r="AI322" s="390">
        <v>0</v>
      </c>
    </row>
    <row r="323" spans="1:35">
      <c r="A323" s="990">
        <v>299</v>
      </c>
      <c r="B323" s="990">
        <v>1</v>
      </c>
      <c r="C323" s="990">
        <v>323</v>
      </c>
      <c r="D323" s="1121" t="s">
        <v>999</v>
      </c>
      <c r="E323" s="1243">
        <v>1</v>
      </c>
      <c r="F323" s="5"/>
      <c r="G323" s="5"/>
      <c r="H323" s="5"/>
      <c r="I323" s="30"/>
      <c r="J323" s="4"/>
      <c r="K323" s="5"/>
      <c r="L323" s="5"/>
      <c r="M323" s="4" t="s">
        <v>59</v>
      </c>
      <c r="N323" s="4"/>
      <c r="O323" s="4"/>
      <c r="P323" s="4"/>
      <c r="Q323" s="1930"/>
      <c r="R323" s="2039"/>
      <c r="S323" s="2039"/>
      <c r="T323" s="2039"/>
      <c r="U323" s="2039"/>
      <c r="V323" s="2039"/>
      <c r="W323" s="2039"/>
      <c r="X323" s="2039"/>
      <c r="Y323" s="2039"/>
      <c r="Z323" s="2039"/>
      <c r="AA323" s="2039"/>
      <c r="AB323" s="2039"/>
      <c r="AC323" s="89">
        <v>0</v>
      </c>
      <c r="AD323" s="89">
        <v>0</v>
      </c>
      <c r="AE323" s="89">
        <v>0</v>
      </c>
      <c r="AF323" s="89">
        <v>0</v>
      </c>
      <c r="AG323" s="89">
        <v>0</v>
      </c>
      <c r="AH323" s="89">
        <v>0</v>
      </c>
      <c r="AI323" s="89">
        <v>0</v>
      </c>
    </row>
    <row r="324" spans="1:35">
      <c r="A324" s="990">
        <v>300</v>
      </c>
      <c r="B324" s="990">
        <v>1</v>
      </c>
      <c r="C324" s="990">
        <v>324</v>
      </c>
      <c r="D324" s="1121" t="s">
        <v>999</v>
      </c>
      <c r="E324" s="1243">
        <v>1</v>
      </c>
      <c r="F324" s="423"/>
      <c r="G324" s="316"/>
      <c r="H324" s="5"/>
      <c r="I324" s="30"/>
      <c r="J324" s="4"/>
      <c r="K324" s="5"/>
      <c r="L324" s="5"/>
      <c r="M324" s="4" t="s">
        <v>683</v>
      </c>
      <c r="N324" s="4"/>
      <c r="O324" s="4"/>
      <c r="P324" s="4"/>
      <c r="Q324" s="1930"/>
      <c r="R324" s="2039"/>
      <c r="S324" s="2039"/>
      <c r="T324" s="2039"/>
      <c r="U324" s="2039"/>
      <c r="V324" s="2039"/>
      <c r="W324" s="2039"/>
      <c r="X324" s="2039"/>
      <c r="Y324" s="2039"/>
      <c r="Z324" s="2039"/>
      <c r="AA324" s="2039"/>
      <c r="AB324" s="2039"/>
      <c r="AC324" s="89">
        <v>0</v>
      </c>
      <c r="AD324" s="89">
        <v>0</v>
      </c>
      <c r="AE324" s="89">
        <v>0</v>
      </c>
      <c r="AF324" s="89">
        <v>0</v>
      </c>
      <c r="AG324" s="89">
        <v>0</v>
      </c>
      <c r="AH324" s="89">
        <v>0</v>
      </c>
      <c r="AI324" s="89">
        <v>0</v>
      </c>
    </row>
    <row r="325" spans="1:35">
      <c r="A325" s="990">
        <v>301</v>
      </c>
      <c r="B325" s="990">
        <v>1</v>
      </c>
      <c r="C325" s="990">
        <v>325</v>
      </c>
      <c r="D325" s="1121" t="s">
        <v>999</v>
      </c>
      <c r="E325" s="1243">
        <v>1</v>
      </c>
      <c r="F325" s="423"/>
      <c r="G325" s="316"/>
      <c r="H325" s="5"/>
      <c r="I325" s="30"/>
      <c r="J325" s="4"/>
      <c r="K325" s="5"/>
      <c r="L325" s="5"/>
      <c r="M325" s="4" t="s">
        <v>684</v>
      </c>
      <c r="N325" s="4"/>
      <c r="O325" s="4"/>
      <c r="P325" s="4"/>
      <c r="Q325" s="1930"/>
      <c r="R325" s="2039"/>
      <c r="S325" s="2039"/>
      <c r="T325" s="2039"/>
      <c r="U325" s="2039"/>
      <c r="V325" s="2039"/>
      <c r="W325" s="2039"/>
      <c r="X325" s="2039"/>
      <c r="Y325" s="2039"/>
      <c r="Z325" s="2039"/>
      <c r="AA325" s="2039"/>
      <c r="AB325" s="2039"/>
      <c r="AC325" s="89">
        <v>0</v>
      </c>
      <c r="AD325" s="89">
        <v>0</v>
      </c>
      <c r="AE325" s="89">
        <v>0</v>
      </c>
      <c r="AF325" s="89">
        <v>0</v>
      </c>
      <c r="AG325" s="89">
        <v>0</v>
      </c>
      <c r="AH325" s="89">
        <v>0</v>
      </c>
      <c r="AI325" s="89">
        <v>0</v>
      </c>
    </row>
    <row r="326" spans="1:35">
      <c r="A326" s="990">
        <v>302</v>
      </c>
      <c r="B326" s="990">
        <v>1</v>
      </c>
      <c r="C326" s="990">
        <v>326</v>
      </c>
      <c r="D326" s="1121" t="s">
        <v>999</v>
      </c>
      <c r="E326" s="1243">
        <v>1</v>
      </c>
      <c r="F326" s="423"/>
      <c r="G326" s="316"/>
      <c r="H326" s="5"/>
      <c r="I326" s="30"/>
      <c r="J326" s="4"/>
      <c r="K326" s="5"/>
      <c r="L326" s="5"/>
      <c r="M326" s="4" t="s">
        <v>685</v>
      </c>
      <c r="N326" s="4"/>
      <c r="O326" s="4"/>
      <c r="P326" s="4"/>
      <c r="Q326" s="1930"/>
      <c r="R326" s="2039"/>
      <c r="S326" s="2039"/>
      <c r="T326" s="2039"/>
      <c r="U326" s="2039"/>
      <c r="V326" s="2039"/>
      <c r="W326" s="2039"/>
      <c r="X326" s="2039"/>
      <c r="Y326" s="2039"/>
      <c r="Z326" s="2039"/>
      <c r="AA326" s="2039"/>
      <c r="AB326" s="2039"/>
      <c r="AC326" s="89">
        <v>0</v>
      </c>
      <c r="AD326" s="89">
        <v>0</v>
      </c>
      <c r="AE326" s="89">
        <v>0</v>
      </c>
      <c r="AF326" s="89">
        <v>0</v>
      </c>
      <c r="AG326" s="89">
        <v>0</v>
      </c>
      <c r="AH326" s="89">
        <v>0</v>
      </c>
      <c r="AI326" s="89">
        <v>0</v>
      </c>
    </row>
    <row r="327" spans="1:35">
      <c r="A327" s="990">
        <v>303</v>
      </c>
      <c r="B327" s="990">
        <v>1</v>
      </c>
      <c r="C327" s="990">
        <v>327</v>
      </c>
      <c r="D327" s="1121" t="s">
        <v>999</v>
      </c>
      <c r="E327" s="1243">
        <v>1</v>
      </c>
      <c r="F327" s="9"/>
      <c r="G327" s="9"/>
      <c r="H327" s="5"/>
      <c r="I327" s="30"/>
      <c r="J327" s="4"/>
      <c r="K327" s="5"/>
      <c r="L327" s="5"/>
      <c r="M327" s="4" t="s">
        <v>1061</v>
      </c>
      <c r="N327" s="4"/>
      <c r="O327" s="4"/>
      <c r="P327" s="4"/>
      <c r="Q327" s="1927">
        <v>0</v>
      </c>
      <c r="R327" s="29">
        <v>0</v>
      </c>
      <c r="S327" s="29">
        <v>0</v>
      </c>
      <c r="T327" s="29">
        <v>0</v>
      </c>
      <c r="U327" s="29">
        <v>0</v>
      </c>
      <c r="V327" s="29">
        <v>0</v>
      </c>
      <c r="W327" s="29">
        <v>0</v>
      </c>
      <c r="X327" s="29">
        <v>0</v>
      </c>
      <c r="Y327" s="29">
        <v>0</v>
      </c>
      <c r="Z327" s="29">
        <v>0</v>
      </c>
      <c r="AA327" s="29">
        <v>0</v>
      </c>
      <c r="AB327" s="29">
        <v>0</v>
      </c>
      <c r="AC327" s="89">
        <v>0</v>
      </c>
      <c r="AD327" s="89">
        <v>0</v>
      </c>
      <c r="AE327" s="89">
        <v>0</v>
      </c>
      <c r="AF327" s="89">
        <v>0</v>
      </c>
      <c r="AG327" s="89">
        <v>0</v>
      </c>
      <c r="AH327" s="89">
        <v>0</v>
      </c>
      <c r="AI327" s="89">
        <v>0</v>
      </c>
    </row>
    <row r="328" spans="1:35">
      <c r="A328" s="990">
        <v>304</v>
      </c>
      <c r="B328" s="990">
        <v>1</v>
      </c>
      <c r="C328" s="990">
        <v>328</v>
      </c>
      <c r="D328" s="1121" t="s">
        <v>999</v>
      </c>
      <c r="E328" s="1243">
        <v>1</v>
      </c>
      <c r="F328" s="5"/>
      <c r="G328" s="5"/>
      <c r="H328" s="5"/>
      <c r="I328" s="128" t="s">
        <v>97</v>
      </c>
      <c r="J328" s="829"/>
      <c r="K328" s="1186"/>
      <c r="L328" s="1186"/>
      <c r="M328" s="829"/>
      <c r="N328" s="829"/>
      <c r="O328" s="829"/>
      <c r="P328" s="829"/>
      <c r="Q328" s="1991">
        <v>0</v>
      </c>
      <c r="R328" s="1716">
        <v>0</v>
      </c>
      <c r="S328" s="1716">
        <v>0</v>
      </c>
      <c r="T328" s="1716">
        <v>0</v>
      </c>
      <c r="U328" s="1716">
        <v>0</v>
      </c>
      <c r="V328" s="1716">
        <v>0</v>
      </c>
      <c r="W328" s="1716">
        <v>0</v>
      </c>
      <c r="X328" s="1716">
        <v>0</v>
      </c>
      <c r="Y328" s="1716">
        <v>0</v>
      </c>
      <c r="Z328" s="1716">
        <v>0</v>
      </c>
      <c r="AA328" s="1716">
        <v>0</v>
      </c>
      <c r="AB328" s="1716">
        <v>0</v>
      </c>
      <c r="AC328" s="125">
        <v>0</v>
      </c>
      <c r="AD328" s="125">
        <v>0</v>
      </c>
      <c r="AE328" s="125">
        <v>0</v>
      </c>
      <c r="AF328" s="125">
        <v>0</v>
      </c>
      <c r="AG328" s="125">
        <v>0</v>
      </c>
      <c r="AH328" s="125">
        <v>0</v>
      </c>
      <c r="AI328" s="125">
        <v>0</v>
      </c>
    </row>
    <row r="329" spans="1:35">
      <c r="A329" s="990">
        <v>305</v>
      </c>
      <c r="B329" s="990">
        <v>1</v>
      </c>
      <c r="C329" s="990">
        <v>329</v>
      </c>
      <c r="D329" s="1121" t="s">
        <v>999</v>
      </c>
      <c r="E329" s="1243">
        <v>1</v>
      </c>
      <c r="F329" s="5"/>
      <c r="G329" s="5"/>
      <c r="H329" s="5"/>
      <c r="I329" s="30"/>
      <c r="J329" s="40" t="s">
        <v>143</v>
      </c>
      <c r="K329" s="5"/>
      <c r="L329" s="5"/>
      <c r="M329" s="4"/>
      <c r="N329" s="4"/>
      <c r="O329" s="4"/>
      <c r="P329" s="4"/>
      <c r="Q329" s="1930"/>
      <c r="R329" s="2039"/>
      <c r="S329" s="2039"/>
      <c r="T329" s="2039"/>
      <c r="U329" s="2039"/>
      <c r="V329" s="2039"/>
      <c r="W329" s="2039"/>
      <c r="X329" s="2039"/>
      <c r="Y329" s="2039"/>
      <c r="Z329" s="2039"/>
      <c r="AA329" s="2039"/>
      <c r="AB329" s="2039"/>
      <c r="AC329" s="89">
        <v>0</v>
      </c>
      <c r="AD329" s="89">
        <v>0</v>
      </c>
      <c r="AE329" s="89">
        <v>0</v>
      </c>
      <c r="AF329" s="89">
        <v>0</v>
      </c>
      <c r="AG329" s="89">
        <v>0</v>
      </c>
      <c r="AH329" s="89">
        <v>0</v>
      </c>
      <c r="AI329" s="89">
        <v>0</v>
      </c>
    </row>
    <row r="330" spans="1:35">
      <c r="A330" s="990">
        <v>306</v>
      </c>
      <c r="B330" s="990">
        <v>1</v>
      </c>
      <c r="C330" s="990">
        <v>330</v>
      </c>
      <c r="D330" s="1121" t="s">
        <v>999</v>
      </c>
      <c r="E330" s="1243">
        <v>1</v>
      </c>
      <c r="F330" s="5"/>
      <c r="G330" s="5"/>
      <c r="H330" s="5"/>
      <c r="I330" s="30"/>
      <c r="J330" s="40" t="s">
        <v>96</v>
      </c>
      <c r="K330" s="5"/>
      <c r="L330" s="5"/>
      <c r="M330" s="4"/>
      <c r="N330" s="4"/>
      <c r="O330" s="4"/>
      <c r="P330" s="4"/>
      <c r="Q330" s="1930"/>
      <c r="R330" s="2039"/>
      <c r="S330" s="2039"/>
      <c r="T330" s="2039"/>
      <c r="U330" s="2039"/>
      <c r="V330" s="2039"/>
      <c r="W330" s="2039"/>
      <c r="X330" s="2039"/>
      <c r="Y330" s="2039"/>
      <c r="Z330" s="2039"/>
      <c r="AA330" s="2039"/>
      <c r="AB330" s="2039"/>
      <c r="AC330" s="89">
        <v>0</v>
      </c>
      <c r="AD330" s="89">
        <v>0</v>
      </c>
      <c r="AE330" s="89">
        <v>0</v>
      </c>
      <c r="AF330" s="89">
        <v>0</v>
      </c>
      <c r="AG330" s="89">
        <v>0</v>
      </c>
      <c r="AH330" s="89">
        <v>0</v>
      </c>
      <c r="AI330" s="89">
        <v>0</v>
      </c>
    </row>
    <row r="331" spans="1:35">
      <c r="A331" s="990">
        <v>307</v>
      </c>
      <c r="B331" s="990">
        <v>1</v>
      </c>
      <c r="C331" s="990">
        <v>331</v>
      </c>
      <c r="D331" s="1121" t="s">
        <v>999</v>
      </c>
      <c r="E331" s="1243">
        <v>1</v>
      </c>
      <c r="F331" s="5"/>
      <c r="G331" s="5"/>
      <c r="H331" s="5"/>
      <c r="I331" s="30"/>
      <c r="J331" s="40" t="s">
        <v>142</v>
      </c>
      <c r="K331" s="5"/>
      <c r="L331" s="5"/>
      <c r="M331" s="4"/>
      <c r="N331" s="4"/>
      <c r="O331" s="4"/>
      <c r="P331" s="4"/>
      <c r="Q331" s="1930"/>
      <c r="R331" s="2039"/>
      <c r="S331" s="2039"/>
      <c r="T331" s="2039"/>
      <c r="U331" s="2039"/>
      <c r="V331" s="2039"/>
      <c r="W331" s="2039"/>
      <c r="X331" s="2039"/>
      <c r="Y331" s="2039"/>
      <c r="Z331" s="2039"/>
      <c r="AA331" s="2039"/>
      <c r="AB331" s="2039"/>
      <c r="AC331" s="89">
        <v>0</v>
      </c>
      <c r="AD331" s="89">
        <v>0</v>
      </c>
      <c r="AE331" s="89">
        <v>0</v>
      </c>
      <c r="AF331" s="89">
        <v>0</v>
      </c>
      <c r="AG331" s="89">
        <v>0</v>
      </c>
      <c r="AH331" s="89">
        <v>0</v>
      </c>
      <c r="AI331" s="89">
        <v>0</v>
      </c>
    </row>
    <row r="332" spans="1:35">
      <c r="A332" s="990">
        <v>308</v>
      </c>
      <c r="B332" s="990">
        <v>1</v>
      </c>
      <c r="C332" s="990">
        <v>332</v>
      </c>
      <c r="D332" s="1121" t="s">
        <v>999</v>
      </c>
      <c r="E332" s="1243">
        <v>1</v>
      </c>
      <c r="F332" s="5"/>
      <c r="G332" s="5"/>
      <c r="H332" s="5"/>
      <c r="I332" s="128" t="s">
        <v>136</v>
      </c>
      <c r="J332" s="829"/>
      <c r="K332" s="1186"/>
      <c r="L332" s="1186"/>
      <c r="M332" s="1186"/>
      <c r="N332" s="1186"/>
      <c r="O332" s="1186"/>
      <c r="P332" s="1186"/>
      <c r="Q332" s="1991">
        <v>0</v>
      </c>
      <c r="R332" s="1716">
        <v>0</v>
      </c>
      <c r="S332" s="1716">
        <v>0</v>
      </c>
      <c r="T332" s="1716">
        <v>0</v>
      </c>
      <c r="U332" s="1716">
        <v>0</v>
      </c>
      <c r="V332" s="1716">
        <v>0</v>
      </c>
      <c r="W332" s="1716">
        <v>0</v>
      </c>
      <c r="X332" s="1716">
        <v>0</v>
      </c>
      <c r="Y332" s="1716">
        <v>0</v>
      </c>
      <c r="Z332" s="1716">
        <v>0</v>
      </c>
      <c r="AA332" s="1716">
        <v>0</v>
      </c>
      <c r="AB332" s="1716">
        <v>0</v>
      </c>
      <c r="AC332" s="125">
        <v>0</v>
      </c>
      <c r="AD332" s="125">
        <v>0</v>
      </c>
      <c r="AE332" s="125">
        <v>0</v>
      </c>
      <c r="AF332" s="125">
        <v>0</v>
      </c>
      <c r="AG332" s="125">
        <v>0</v>
      </c>
      <c r="AH332" s="125">
        <v>0</v>
      </c>
      <c r="AI332" s="125">
        <v>0</v>
      </c>
    </row>
    <row r="333" spans="1:35" ht="14.5">
      <c r="A333" s="990">
        <v>309</v>
      </c>
      <c r="B333" s="990">
        <v>1</v>
      </c>
      <c r="C333" s="990">
        <v>333</v>
      </c>
      <c r="D333" s="1121" t="s">
        <v>999</v>
      </c>
      <c r="E333" s="1243">
        <v>1</v>
      </c>
      <c r="F333" s="5"/>
      <c r="G333" s="5"/>
      <c r="H333" s="5"/>
      <c r="I333" s="28"/>
      <c r="J333" s="629" t="s">
        <v>135</v>
      </c>
      <c r="K333" s="3"/>
      <c r="L333" s="3"/>
      <c r="M333" s="2"/>
      <c r="N333" s="2"/>
      <c r="O333" s="2"/>
      <c r="P333" s="2"/>
      <c r="Q333" s="2138">
        <v>0</v>
      </c>
      <c r="R333" s="866">
        <v>0</v>
      </c>
      <c r="S333" s="866">
        <v>0</v>
      </c>
      <c r="T333" s="866">
        <v>0</v>
      </c>
      <c r="U333" s="866">
        <v>0</v>
      </c>
      <c r="V333" s="866">
        <v>0</v>
      </c>
      <c r="W333" s="866">
        <v>0</v>
      </c>
      <c r="X333" s="866">
        <v>0</v>
      </c>
      <c r="Y333" s="866">
        <v>0</v>
      </c>
      <c r="Z333" s="866">
        <v>0</v>
      </c>
      <c r="AA333" s="866">
        <v>0</v>
      </c>
      <c r="AB333" s="866">
        <v>0</v>
      </c>
      <c r="AC333" s="866">
        <v>0</v>
      </c>
      <c r="AD333" s="866">
        <v>0</v>
      </c>
      <c r="AE333" s="866">
        <v>0</v>
      </c>
      <c r="AF333" s="866">
        <v>0</v>
      </c>
      <c r="AG333" s="866">
        <v>0</v>
      </c>
      <c r="AH333" s="866">
        <v>0</v>
      </c>
      <c r="AI333" s="866">
        <v>0</v>
      </c>
    </row>
    <row r="334" spans="1:35">
      <c r="A334" s="990">
        <v>310</v>
      </c>
      <c r="B334" s="990">
        <v>1</v>
      </c>
      <c r="C334" s="990">
        <v>334</v>
      </c>
      <c r="D334" s="1121" t="s">
        <v>999</v>
      </c>
      <c r="E334" s="1243">
        <v>1</v>
      </c>
      <c r="F334" s="5"/>
      <c r="G334" s="5"/>
      <c r="H334" s="5"/>
      <c r="I334" s="58" t="s">
        <v>504</v>
      </c>
      <c r="J334" s="555"/>
      <c r="K334" s="636"/>
      <c r="L334" s="636"/>
      <c r="M334" s="555"/>
      <c r="N334" s="555"/>
      <c r="O334" s="555"/>
      <c r="P334" s="555"/>
      <c r="Q334" s="1992"/>
      <c r="R334" s="2618"/>
      <c r="S334" s="2618"/>
      <c r="T334" s="2618"/>
      <c r="U334" s="2618"/>
      <c r="V334" s="2618"/>
      <c r="W334" s="2618"/>
      <c r="X334" s="2618"/>
      <c r="Y334" s="2618"/>
      <c r="Z334" s="2618"/>
      <c r="AA334" s="2618"/>
      <c r="AB334" s="2618"/>
      <c r="AC334" s="122">
        <v>0</v>
      </c>
      <c r="AD334" s="122">
        <v>0</v>
      </c>
      <c r="AE334" s="122">
        <v>0</v>
      </c>
      <c r="AF334" s="122">
        <v>0</v>
      </c>
      <c r="AG334" s="122">
        <v>0</v>
      </c>
      <c r="AH334" s="122">
        <v>0</v>
      </c>
      <c r="AI334" s="122">
        <v>0</v>
      </c>
    </row>
    <row r="335" spans="1:35">
      <c r="A335" s="990">
        <v>311</v>
      </c>
      <c r="B335" s="990">
        <v>1</v>
      </c>
      <c r="C335" s="990">
        <v>335</v>
      </c>
      <c r="D335" s="1121" t="s">
        <v>999</v>
      </c>
      <c r="E335" s="1243">
        <v>1</v>
      </c>
      <c r="F335" s="5"/>
      <c r="G335" s="5"/>
      <c r="H335" s="5"/>
      <c r="I335" s="121" t="s">
        <v>1002</v>
      </c>
      <c r="J335" s="119"/>
      <c r="K335" s="120"/>
      <c r="L335" s="120"/>
      <c r="M335" s="119"/>
      <c r="N335" s="119"/>
      <c r="O335" s="119"/>
      <c r="P335" s="119"/>
      <c r="Q335" s="1932"/>
      <c r="R335" s="2035"/>
      <c r="S335" s="2035"/>
      <c r="T335" s="2035"/>
      <c r="U335" s="2035"/>
      <c r="V335" s="2035"/>
      <c r="W335" s="2035"/>
      <c r="X335" s="2035"/>
      <c r="Y335" s="2035"/>
      <c r="Z335" s="2035"/>
      <c r="AA335" s="2035"/>
      <c r="AB335" s="2035"/>
      <c r="AC335" s="92">
        <v>0</v>
      </c>
      <c r="AD335" s="92">
        <v>0</v>
      </c>
      <c r="AE335" s="92">
        <v>0</v>
      </c>
      <c r="AF335" s="92">
        <v>0</v>
      </c>
      <c r="AG335" s="92">
        <v>0</v>
      </c>
      <c r="AH335" s="92">
        <v>0</v>
      </c>
      <c r="AI335" s="92">
        <v>0</v>
      </c>
    </row>
    <row r="336" spans="1:35">
      <c r="A336" s="990">
        <v>312</v>
      </c>
      <c r="B336" s="990">
        <v>1</v>
      </c>
      <c r="C336" s="990">
        <v>336</v>
      </c>
      <c r="D336" s="1121" t="s">
        <v>999</v>
      </c>
      <c r="E336" s="1243">
        <v>1</v>
      </c>
      <c r="F336" s="5"/>
      <c r="G336" s="5"/>
      <c r="H336" s="5"/>
      <c r="I336" s="128" t="s">
        <v>10</v>
      </c>
      <c r="J336" s="829"/>
      <c r="K336" s="1186"/>
      <c r="L336" s="1186"/>
      <c r="M336" s="1186"/>
      <c r="N336" s="1186"/>
      <c r="O336" s="1186"/>
      <c r="P336" s="1186"/>
      <c r="Q336" s="1991">
        <v>0</v>
      </c>
      <c r="R336" s="1716">
        <v>0</v>
      </c>
      <c r="S336" s="1716">
        <v>0</v>
      </c>
      <c r="T336" s="1716">
        <v>0</v>
      </c>
      <c r="U336" s="1716">
        <v>0</v>
      </c>
      <c r="V336" s="1716">
        <v>0</v>
      </c>
      <c r="W336" s="1716">
        <v>0</v>
      </c>
      <c r="X336" s="1716">
        <v>0</v>
      </c>
      <c r="Y336" s="1716">
        <v>0</v>
      </c>
      <c r="Z336" s="1716">
        <v>0</v>
      </c>
      <c r="AA336" s="1716">
        <v>0</v>
      </c>
      <c r="AB336" s="1716">
        <v>0</v>
      </c>
      <c r="AC336" s="125">
        <v>0</v>
      </c>
      <c r="AD336" s="125">
        <v>0</v>
      </c>
      <c r="AE336" s="125">
        <v>0</v>
      </c>
      <c r="AF336" s="125">
        <v>0</v>
      </c>
      <c r="AG336" s="125">
        <v>0</v>
      </c>
      <c r="AH336" s="125">
        <v>0</v>
      </c>
      <c r="AI336" s="125">
        <v>0</v>
      </c>
    </row>
    <row r="337" spans="1:36" ht="14.5">
      <c r="A337" s="990">
        <v>313</v>
      </c>
      <c r="B337" s="990">
        <v>1</v>
      </c>
      <c r="C337" s="990">
        <v>337</v>
      </c>
      <c r="D337" s="1121" t="s">
        <v>999</v>
      </c>
      <c r="E337" s="1243">
        <v>1</v>
      </c>
      <c r="F337" s="5"/>
      <c r="G337" s="5"/>
      <c r="H337" s="5"/>
      <c r="I337" s="28"/>
      <c r="J337" s="629" t="s">
        <v>135</v>
      </c>
      <c r="K337" s="3"/>
      <c r="L337" s="3"/>
      <c r="M337" s="2"/>
      <c r="N337" s="2"/>
      <c r="O337" s="2"/>
      <c r="P337" s="2"/>
      <c r="Q337" s="2138">
        <v>0</v>
      </c>
      <c r="R337" s="866">
        <v>0</v>
      </c>
      <c r="S337" s="866">
        <v>0</v>
      </c>
      <c r="T337" s="866">
        <v>0</v>
      </c>
      <c r="U337" s="866">
        <v>0</v>
      </c>
      <c r="V337" s="866">
        <v>0</v>
      </c>
      <c r="W337" s="866">
        <v>0</v>
      </c>
      <c r="X337" s="866">
        <v>0</v>
      </c>
      <c r="Y337" s="866">
        <v>0</v>
      </c>
      <c r="Z337" s="866">
        <v>0</v>
      </c>
      <c r="AA337" s="866">
        <v>0</v>
      </c>
      <c r="AB337" s="866">
        <v>0</v>
      </c>
      <c r="AC337" s="866">
        <v>0</v>
      </c>
      <c r="AD337" s="866">
        <v>0</v>
      </c>
      <c r="AE337" s="866">
        <v>0</v>
      </c>
      <c r="AF337" s="866">
        <v>0</v>
      </c>
      <c r="AG337" s="866">
        <v>0</v>
      </c>
      <c r="AH337" s="866">
        <v>0</v>
      </c>
      <c r="AI337" s="866">
        <v>0</v>
      </c>
    </row>
    <row r="338" spans="1:36">
      <c r="A338" s="990">
        <v>314</v>
      </c>
      <c r="B338" s="990">
        <v>1</v>
      </c>
      <c r="C338" s="990">
        <v>338</v>
      </c>
      <c r="D338" s="1121" t="s">
        <v>999</v>
      </c>
      <c r="E338" s="1255">
        <v>1</v>
      </c>
      <c r="F338" s="9"/>
      <c r="G338" s="1241"/>
      <c r="H338" s="5"/>
      <c r="I338" s="5"/>
      <c r="J338" s="4"/>
      <c r="K338" s="2620" t="s">
        <v>1062</v>
      </c>
      <c r="L338" s="1116"/>
      <c r="M338" s="798"/>
      <c r="N338" s="798"/>
      <c r="O338" s="798"/>
      <c r="P338" s="798"/>
      <c r="Q338" s="2186">
        <v>0</v>
      </c>
      <c r="R338" s="2186">
        <v>0</v>
      </c>
      <c r="S338" s="2186">
        <v>0</v>
      </c>
      <c r="T338" s="2186">
        <v>0</v>
      </c>
      <c r="U338" s="2186">
        <v>0</v>
      </c>
      <c r="V338" s="2186">
        <v>0</v>
      </c>
      <c r="W338" s="2186">
        <v>0</v>
      </c>
      <c r="X338" s="2186">
        <v>0</v>
      </c>
      <c r="Y338" s="2186">
        <v>0</v>
      </c>
      <c r="Z338" s="2186">
        <v>0</v>
      </c>
      <c r="AA338" s="2186">
        <v>0</v>
      </c>
      <c r="AB338" s="2186">
        <v>0</v>
      </c>
      <c r="AC338" s="2621">
        <v>0</v>
      </c>
      <c r="AD338" s="2186">
        <v>0</v>
      </c>
      <c r="AE338" s="2186">
        <v>0</v>
      </c>
      <c r="AF338" s="2186">
        <v>0</v>
      </c>
      <c r="AG338" s="2186">
        <v>0</v>
      </c>
      <c r="AH338" s="2186">
        <v>0</v>
      </c>
      <c r="AI338" s="2186">
        <v>0</v>
      </c>
    </row>
    <row r="339" spans="1:36">
      <c r="A339" s="990">
        <v>315</v>
      </c>
      <c r="B339" s="990">
        <v>1</v>
      </c>
      <c r="C339" s="990">
        <v>339</v>
      </c>
      <c r="D339" s="1121" t="s">
        <v>999</v>
      </c>
      <c r="E339" s="1255">
        <v>1</v>
      </c>
      <c r="F339" s="9"/>
      <c r="G339" s="1241"/>
      <c r="H339" s="5"/>
      <c r="I339" s="5"/>
      <c r="J339" s="4"/>
      <c r="K339" s="30"/>
      <c r="L339" s="556" t="s">
        <v>884</v>
      </c>
      <c r="M339" s="323"/>
      <c r="N339" s="323"/>
      <c r="O339" s="323"/>
      <c r="P339" s="323"/>
      <c r="Q339" s="325">
        <v>0</v>
      </c>
      <c r="R339" s="325">
        <v>0</v>
      </c>
      <c r="S339" s="325">
        <v>0</v>
      </c>
      <c r="T339" s="325">
        <v>0</v>
      </c>
      <c r="U339" s="325">
        <v>0</v>
      </c>
      <c r="V339" s="325">
        <v>0</v>
      </c>
      <c r="W339" s="361">
        <v>0</v>
      </c>
      <c r="X339" s="361">
        <v>0</v>
      </c>
      <c r="Y339" s="361">
        <v>0</v>
      </c>
      <c r="Z339" s="1117">
        <v>0</v>
      </c>
      <c r="AA339" s="1117">
        <v>0</v>
      </c>
      <c r="AB339" s="1117">
        <v>0</v>
      </c>
      <c r="AC339" s="1523">
        <v>0</v>
      </c>
      <c r="AD339" s="1117">
        <v>0</v>
      </c>
      <c r="AE339" s="1117">
        <v>0</v>
      </c>
      <c r="AF339" s="1117">
        <v>0</v>
      </c>
      <c r="AG339" s="1117">
        <v>0</v>
      </c>
      <c r="AH339" s="1117">
        <v>0</v>
      </c>
      <c r="AI339" s="1117">
        <v>0</v>
      </c>
      <c r="AJ339" s="619"/>
    </row>
    <row r="340" spans="1:36" s="619" customFormat="1" hidden="1" outlineLevel="1">
      <c r="A340" s="990">
        <v>316</v>
      </c>
      <c r="B340" s="990">
        <v>1</v>
      </c>
      <c r="C340" s="990">
        <v>340</v>
      </c>
      <c r="D340" s="1121" t="s">
        <v>999</v>
      </c>
      <c r="E340" s="1255">
        <v>1</v>
      </c>
      <c r="F340" s="9"/>
      <c r="G340" s="1241"/>
      <c r="H340" s="5"/>
      <c r="I340" s="5"/>
      <c r="J340" s="4"/>
      <c r="K340" s="30"/>
      <c r="L340" s="30"/>
      <c r="M340" s="40" t="s">
        <v>143</v>
      </c>
      <c r="N340" s="4"/>
      <c r="O340" s="4"/>
      <c r="P340" s="4"/>
      <c r="Q340" s="2159"/>
      <c r="R340" s="2159"/>
      <c r="S340" s="2159"/>
      <c r="T340" s="2159"/>
      <c r="U340" s="2159"/>
      <c r="V340" s="2159"/>
      <c r="W340" s="2091"/>
      <c r="X340" s="2091"/>
      <c r="Y340" s="2091"/>
      <c r="Z340" s="2160"/>
      <c r="AA340" s="2160"/>
      <c r="AB340" s="2160"/>
      <c r="AC340" s="144">
        <v>0</v>
      </c>
      <c r="AD340" s="145">
        <v>0</v>
      </c>
      <c r="AE340" s="145">
        <v>0</v>
      </c>
      <c r="AF340" s="145">
        <v>0</v>
      </c>
      <c r="AG340" s="145">
        <v>0</v>
      </c>
      <c r="AH340" s="145">
        <v>0</v>
      </c>
      <c r="AI340" s="145">
        <v>0</v>
      </c>
    </row>
    <row r="341" spans="1:36" s="619" customFormat="1" hidden="1" outlineLevel="1">
      <c r="A341" s="990">
        <v>317</v>
      </c>
      <c r="B341" s="990">
        <v>1</v>
      </c>
      <c r="C341" s="990">
        <v>341</v>
      </c>
      <c r="D341" s="1121" t="s">
        <v>999</v>
      </c>
      <c r="E341" s="1255">
        <v>1</v>
      </c>
      <c r="F341" s="9"/>
      <c r="G341" s="1241"/>
      <c r="H341" s="5"/>
      <c r="I341" s="5"/>
      <c r="J341" s="4"/>
      <c r="K341" s="30"/>
      <c r="L341" s="30"/>
      <c r="M341" s="40" t="s">
        <v>96</v>
      </c>
      <c r="N341" s="4"/>
      <c r="O341" s="4"/>
      <c r="P341" s="4"/>
      <c r="Q341" s="2159"/>
      <c r="R341" s="2159"/>
      <c r="S341" s="2159"/>
      <c r="T341" s="2159"/>
      <c r="U341" s="2159"/>
      <c r="V341" s="2159"/>
      <c r="W341" s="2091"/>
      <c r="X341" s="2091"/>
      <c r="Y341" s="2091"/>
      <c r="Z341" s="2160"/>
      <c r="AA341" s="2160"/>
      <c r="AB341" s="2160"/>
      <c r="AC341" s="144">
        <v>0</v>
      </c>
      <c r="AD341" s="145">
        <v>0</v>
      </c>
      <c r="AE341" s="145">
        <v>0</v>
      </c>
      <c r="AF341" s="145">
        <v>0</v>
      </c>
      <c r="AG341" s="145">
        <v>0</v>
      </c>
      <c r="AH341" s="145">
        <v>0</v>
      </c>
      <c r="AI341" s="145">
        <v>0</v>
      </c>
    </row>
    <row r="342" spans="1:36" s="619" customFormat="1" hidden="1" outlineLevel="1">
      <c r="A342" s="990">
        <v>318</v>
      </c>
      <c r="B342" s="990">
        <v>1</v>
      </c>
      <c r="C342" s="990">
        <v>342</v>
      </c>
      <c r="D342" s="1121" t="s">
        <v>999</v>
      </c>
      <c r="E342" s="1255">
        <v>1</v>
      </c>
      <c r="F342" s="9"/>
      <c r="G342" s="1241"/>
      <c r="H342" s="5"/>
      <c r="I342" s="5"/>
      <c r="J342" s="4"/>
      <c r="K342" s="30"/>
      <c r="L342" s="28"/>
      <c r="M342" s="119" t="s">
        <v>142</v>
      </c>
      <c r="N342" s="2"/>
      <c r="O342" s="2"/>
      <c r="P342" s="2"/>
      <c r="Q342" s="2161"/>
      <c r="R342" s="2161"/>
      <c r="S342" s="2161"/>
      <c r="T342" s="2161"/>
      <c r="U342" s="2161"/>
      <c r="V342" s="2161"/>
      <c r="W342" s="2092"/>
      <c r="X342" s="2092"/>
      <c r="Y342" s="2092"/>
      <c r="Z342" s="2162"/>
      <c r="AA342" s="2162"/>
      <c r="AB342" s="2162"/>
      <c r="AC342" s="141">
        <v>0</v>
      </c>
      <c r="AD342" s="142">
        <v>0</v>
      </c>
      <c r="AE342" s="142">
        <v>0</v>
      </c>
      <c r="AF342" s="142">
        <v>0</v>
      </c>
      <c r="AG342" s="142">
        <v>0</v>
      </c>
      <c r="AH342" s="142">
        <v>0</v>
      </c>
      <c r="AI342" s="142">
        <v>0</v>
      </c>
    </row>
    <row r="343" spans="1:36" s="619" customFormat="1" hidden="1" outlineLevel="1">
      <c r="A343" s="990">
        <v>319</v>
      </c>
      <c r="B343" s="990">
        <v>1</v>
      </c>
      <c r="C343" s="990">
        <v>343</v>
      </c>
      <c r="D343" s="1121" t="s">
        <v>999</v>
      </c>
      <c r="E343" s="1255">
        <v>1</v>
      </c>
      <c r="F343" s="9"/>
      <c r="G343" s="1241"/>
      <c r="H343" s="5"/>
      <c r="I343" s="5"/>
      <c r="J343" s="4"/>
      <c r="K343" s="30"/>
      <c r="L343" s="556" t="s">
        <v>1033</v>
      </c>
      <c r="M343" s="798"/>
      <c r="N343" s="798"/>
      <c r="O343" s="798"/>
      <c r="P343" s="798"/>
      <c r="Q343" s="2120">
        <v>0</v>
      </c>
      <c r="R343" s="2120">
        <v>0</v>
      </c>
      <c r="S343" s="2120">
        <v>0</v>
      </c>
      <c r="T343" s="2120">
        <v>0</v>
      </c>
      <c r="U343" s="2120">
        <v>0</v>
      </c>
      <c r="V343" s="2120">
        <v>0</v>
      </c>
      <c r="W343" s="2081">
        <v>0</v>
      </c>
      <c r="X343" s="2081">
        <v>0</v>
      </c>
      <c r="Y343" s="2081">
        <v>0</v>
      </c>
      <c r="Z343" s="2158">
        <v>0</v>
      </c>
      <c r="AA343" s="2158">
        <v>0</v>
      </c>
      <c r="AB343" s="2158">
        <v>0</v>
      </c>
      <c r="AC343" s="2617">
        <v>0</v>
      </c>
      <c r="AD343" s="2158">
        <v>0</v>
      </c>
      <c r="AE343" s="2158">
        <v>0</v>
      </c>
      <c r="AF343" s="2158">
        <v>0</v>
      </c>
      <c r="AG343" s="2158">
        <v>0</v>
      </c>
      <c r="AH343" s="2158">
        <v>0</v>
      </c>
      <c r="AI343" s="2158">
        <v>0</v>
      </c>
    </row>
    <row r="344" spans="1:36" s="619" customFormat="1" hidden="1" outlineLevel="1">
      <c r="A344" s="990">
        <v>320</v>
      </c>
      <c r="B344" s="990">
        <v>1</v>
      </c>
      <c r="C344" s="990">
        <v>344</v>
      </c>
      <c r="D344" s="1121" t="s">
        <v>999</v>
      </c>
      <c r="E344" s="1255">
        <v>1</v>
      </c>
      <c r="F344" s="9"/>
      <c r="G344" s="1241"/>
      <c r="H344" s="5"/>
      <c r="I344" s="5"/>
      <c r="J344" s="4"/>
      <c r="K344" s="30"/>
      <c r="L344" s="613"/>
      <c r="M344" s="676" t="s">
        <v>1034</v>
      </c>
      <c r="N344" s="51"/>
      <c r="O344" s="51"/>
      <c r="P344" s="51"/>
      <c r="Q344" s="1119">
        <v>0</v>
      </c>
      <c r="R344" s="1119">
        <v>0</v>
      </c>
      <c r="S344" s="1119">
        <v>0</v>
      </c>
      <c r="T344" s="1119">
        <v>0</v>
      </c>
      <c r="U344" s="1119">
        <v>0</v>
      </c>
      <c r="V344" s="1119">
        <v>0</v>
      </c>
      <c r="W344" s="1119">
        <v>0</v>
      </c>
      <c r="X344" s="1119">
        <v>0</v>
      </c>
      <c r="Y344" s="1119">
        <v>0</v>
      </c>
      <c r="Z344" s="1119">
        <v>0</v>
      </c>
      <c r="AA344" s="1119">
        <v>0</v>
      </c>
      <c r="AB344" s="1119">
        <v>0</v>
      </c>
      <c r="AC344" s="1525">
        <v>0</v>
      </c>
      <c r="AD344" s="1119">
        <v>0</v>
      </c>
      <c r="AE344" s="1119">
        <v>0</v>
      </c>
      <c r="AF344" s="1119">
        <v>0</v>
      </c>
      <c r="AG344" s="1119">
        <v>0</v>
      </c>
      <c r="AH344" s="1119">
        <v>0</v>
      </c>
      <c r="AI344" s="1119">
        <v>0</v>
      </c>
    </row>
    <row r="345" spans="1:36" collapsed="1">
      <c r="A345" s="990">
        <v>321</v>
      </c>
      <c r="B345" s="990">
        <v>1</v>
      </c>
      <c r="C345" s="990">
        <v>345</v>
      </c>
      <c r="D345" s="1121" t="s">
        <v>999</v>
      </c>
      <c r="E345" s="1255">
        <v>1</v>
      </c>
      <c r="F345" s="9"/>
      <c r="G345" s="1241"/>
      <c r="H345" s="5"/>
      <c r="I345" s="5"/>
      <c r="J345" s="4"/>
      <c r="K345" s="30"/>
      <c r="L345" s="30"/>
      <c r="M345" s="40" t="s">
        <v>143</v>
      </c>
      <c r="N345" s="4"/>
      <c r="O345" s="4"/>
      <c r="P345" s="4"/>
      <c r="Q345" s="41">
        <v>0</v>
      </c>
      <c r="R345" s="41">
        <v>0</v>
      </c>
      <c r="S345" s="41">
        <v>0</v>
      </c>
      <c r="T345" s="41">
        <v>0</v>
      </c>
      <c r="U345" s="41">
        <v>0</v>
      </c>
      <c r="V345" s="41">
        <v>0</v>
      </c>
      <c r="W345" s="19">
        <v>0</v>
      </c>
      <c r="X345" s="19">
        <v>0</v>
      </c>
      <c r="Y345" s="19">
        <v>0</v>
      </c>
      <c r="Z345" s="145">
        <v>0</v>
      </c>
      <c r="AA345" s="145">
        <v>0</v>
      </c>
      <c r="AB345" s="145">
        <v>0</v>
      </c>
      <c r="AC345" s="144">
        <v>0</v>
      </c>
      <c r="AD345" s="145">
        <v>0</v>
      </c>
      <c r="AE345" s="145">
        <v>0</v>
      </c>
      <c r="AF345" s="145">
        <v>0</v>
      </c>
      <c r="AG345" s="145">
        <v>0</v>
      </c>
      <c r="AH345" s="145">
        <v>0</v>
      </c>
      <c r="AI345" s="145">
        <v>0</v>
      </c>
    </row>
    <row r="346" spans="1:36">
      <c r="A346" s="990">
        <v>322</v>
      </c>
      <c r="B346" s="990">
        <v>1</v>
      </c>
      <c r="C346" s="990">
        <v>346</v>
      </c>
      <c r="D346" s="1121" t="s">
        <v>999</v>
      </c>
      <c r="E346" s="1255">
        <v>1</v>
      </c>
      <c r="F346" s="9"/>
      <c r="G346" s="1241"/>
      <c r="H346" s="5"/>
      <c r="I346" s="5"/>
      <c r="J346" s="4"/>
      <c r="K346" s="30"/>
      <c r="L346" s="30"/>
      <c r="M346" s="40" t="s">
        <v>96</v>
      </c>
      <c r="N346" s="4"/>
      <c r="O346" s="4"/>
      <c r="P346" s="4"/>
      <c r="Q346" s="41">
        <v>0</v>
      </c>
      <c r="R346" s="41">
        <v>0</v>
      </c>
      <c r="S346" s="41">
        <v>0</v>
      </c>
      <c r="T346" s="41">
        <v>0</v>
      </c>
      <c r="U346" s="41">
        <v>0</v>
      </c>
      <c r="V346" s="41">
        <v>0</v>
      </c>
      <c r="W346" s="19">
        <v>0</v>
      </c>
      <c r="X346" s="19">
        <v>0</v>
      </c>
      <c r="Y346" s="19">
        <v>0</v>
      </c>
      <c r="Z346" s="145">
        <v>0</v>
      </c>
      <c r="AA346" s="145">
        <v>0</v>
      </c>
      <c r="AB346" s="145">
        <v>0</v>
      </c>
      <c r="AC346" s="144">
        <v>0</v>
      </c>
      <c r="AD346" s="145">
        <v>0</v>
      </c>
      <c r="AE346" s="145">
        <v>0</v>
      </c>
      <c r="AF346" s="145">
        <v>0</v>
      </c>
      <c r="AG346" s="145">
        <v>0</v>
      </c>
      <c r="AH346" s="145">
        <v>0</v>
      </c>
      <c r="AI346" s="145">
        <v>0</v>
      </c>
    </row>
    <row r="347" spans="1:36">
      <c r="A347" s="990">
        <v>323</v>
      </c>
      <c r="B347" s="990">
        <v>1</v>
      </c>
      <c r="C347" s="990">
        <v>347</v>
      </c>
      <c r="D347" s="1121" t="s">
        <v>999</v>
      </c>
      <c r="E347" s="1255">
        <v>1</v>
      </c>
      <c r="F347" s="9"/>
      <c r="G347" s="1241"/>
      <c r="H347" s="5"/>
      <c r="I347" s="5"/>
      <c r="J347" s="4"/>
      <c r="K347" s="28"/>
      <c r="L347" s="28"/>
      <c r="M347" s="119" t="s">
        <v>142</v>
      </c>
      <c r="N347" s="2"/>
      <c r="O347" s="2"/>
      <c r="P347" s="2"/>
      <c r="Q347" s="66">
        <v>0</v>
      </c>
      <c r="R347" s="66">
        <v>0</v>
      </c>
      <c r="S347" s="66">
        <v>0</v>
      </c>
      <c r="T347" s="66">
        <v>0</v>
      </c>
      <c r="U347" s="66">
        <v>0</v>
      </c>
      <c r="V347" s="66">
        <v>0</v>
      </c>
      <c r="W347" s="17">
        <v>0</v>
      </c>
      <c r="X347" s="17">
        <v>0</v>
      </c>
      <c r="Y347" s="17">
        <v>0</v>
      </c>
      <c r="Z347" s="142">
        <v>0</v>
      </c>
      <c r="AA347" s="142">
        <v>0</v>
      </c>
      <c r="AB347" s="142">
        <v>0</v>
      </c>
      <c r="AC347" s="141">
        <v>0</v>
      </c>
      <c r="AD347" s="142">
        <v>0</v>
      </c>
      <c r="AE347" s="142">
        <v>0</v>
      </c>
      <c r="AF347" s="142">
        <v>0</v>
      </c>
      <c r="AG347" s="142">
        <v>0</v>
      </c>
      <c r="AH347" s="142">
        <v>0</v>
      </c>
      <c r="AI347" s="142">
        <v>0</v>
      </c>
    </row>
    <row r="348" spans="1:36">
      <c r="A348" s="990">
        <v>324</v>
      </c>
      <c r="B348" s="990">
        <v>1</v>
      </c>
      <c r="C348" s="990">
        <v>348</v>
      </c>
      <c r="D348" s="1121" t="s">
        <v>999</v>
      </c>
      <c r="E348" s="1243">
        <v>1</v>
      </c>
      <c r="F348" s="5"/>
      <c r="G348" s="5"/>
      <c r="H348" s="5"/>
      <c r="I348" s="5"/>
      <c r="J348" s="4"/>
      <c r="K348" s="5"/>
      <c r="L348" s="5"/>
      <c r="M348" s="4"/>
      <c r="N348" s="4"/>
      <c r="O348" s="4"/>
      <c r="P348" s="4"/>
      <c r="Q348" s="2225"/>
      <c r="R348" s="1151"/>
      <c r="S348" s="1151"/>
      <c r="T348" s="1151"/>
      <c r="U348" s="1151"/>
      <c r="V348" s="1151"/>
      <c r="Z348" s="163"/>
      <c r="AA348" s="163"/>
      <c r="AB348" s="2201"/>
      <c r="AC348" s="163"/>
      <c r="AD348" s="163"/>
      <c r="AE348" s="163"/>
      <c r="AF348" s="163"/>
      <c r="AG348" s="163"/>
      <c r="AH348" s="163"/>
      <c r="AI348" s="868"/>
    </row>
    <row r="349" spans="1:36">
      <c r="A349" s="990">
        <v>325</v>
      </c>
      <c r="B349" s="990">
        <v>1</v>
      </c>
      <c r="C349" s="990">
        <v>349</v>
      </c>
      <c r="D349" s="1121" t="s">
        <v>999</v>
      </c>
      <c r="E349" s="1255">
        <v>1</v>
      </c>
      <c r="F349" s="9"/>
      <c r="G349" s="5"/>
      <c r="H349" s="5" t="s">
        <v>1063</v>
      </c>
      <c r="I349" s="5"/>
      <c r="J349" s="4"/>
      <c r="K349" s="5"/>
      <c r="L349" s="5"/>
      <c r="M349" s="4"/>
      <c r="N349" s="4"/>
      <c r="O349" s="4"/>
      <c r="P349" s="4"/>
      <c r="Q349" s="2225"/>
      <c r="R349" s="1151"/>
      <c r="S349" s="1151"/>
      <c r="T349" s="1151"/>
      <c r="U349" s="1151"/>
      <c r="V349" s="1151"/>
      <c r="AA349" s="1"/>
      <c r="AB349" s="2209"/>
      <c r="AC349" s="1"/>
      <c r="AD349" s="1"/>
      <c r="AE349" s="1"/>
      <c r="AF349" s="1"/>
      <c r="AG349" s="1"/>
      <c r="AH349" s="1"/>
      <c r="AI349" s="1"/>
    </row>
    <row r="350" spans="1:36" ht="14.5">
      <c r="A350" s="990">
        <v>326</v>
      </c>
      <c r="B350" s="990">
        <v>1</v>
      </c>
      <c r="C350" s="990">
        <v>350</v>
      </c>
      <c r="D350" s="1121" t="s">
        <v>999</v>
      </c>
      <c r="E350" s="1243">
        <v>1</v>
      </c>
      <c r="F350" s="5"/>
      <c r="G350" s="5"/>
      <c r="H350" s="5"/>
      <c r="I350" s="16" t="s">
        <v>9</v>
      </c>
      <c r="J350" s="789"/>
      <c r="K350" s="580"/>
      <c r="L350" s="580"/>
      <c r="M350" s="580"/>
      <c r="N350" s="580"/>
      <c r="O350" s="790" t="s">
        <v>530</v>
      </c>
      <c r="P350" s="580"/>
      <c r="Q350" s="2063">
        <v>0</v>
      </c>
      <c r="R350" s="101">
        <v>0</v>
      </c>
      <c r="S350" s="101">
        <v>0</v>
      </c>
      <c r="T350" s="101">
        <v>0</v>
      </c>
      <c r="U350" s="101">
        <v>0</v>
      </c>
      <c r="V350" s="101">
        <v>0</v>
      </c>
      <c r="W350" s="101">
        <v>0</v>
      </c>
      <c r="X350" s="101">
        <v>0</v>
      </c>
      <c r="Y350" s="101">
        <v>0</v>
      </c>
      <c r="Z350" s="101">
        <v>0</v>
      </c>
      <c r="AA350" s="101">
        <v>0</v>
      </c>
      <c r="AB350" s="101">
        <v>0</v>
      </c>
      <c r="AC350" s="101">
        <v>0</v>
      </c>
      <c r="AD350" s="101">
        <v>0</v>
      </c>
      <c r="AE350" s="101">
        <v>0</v>
      </c>
      <c r="AF350" s="101">
        <v>0</v>
      </c>
      <c r="AG350" s="101">
        <v>0</v>
      </c>
      <c r="AH350" s="101">
        <v>0</v>
      </c>
      <c r="AI350" s="101">
        <v>0</v>
      </c>
    </row>
    <row r="351" spans="1:36" ht="14.5">
      <c r="B351" s="990">
        <v>1</v>
      </c>
      <c r="D351" s="1121" t="s">
        <v>999</v>
      </c>
      <c r="E351" s="1292" t="s">
        <v>1013</v>
      </c>
      <c r="F351" s="1757"/>
      <c r="G351" s="5"/>
      <c r="H351" s="5"/>
      <c r="I351" s="1348"/>
      <c r="J351" s="1758" t="s">
        <v>47</v>
      </c>
      <c r="K351" s="1758"/>
      <c r="L351" s="1759"/>
      <c r="M351" s="1759"/>
      <c r="N351" s="1759"/>
      <c r="O351" s="1760"/>
      <c r="P351" s="1759"/>
      <c r="Q351" s="2316">
        <v>0</v>
      </c>
      <c r="R351" s="1761">
        <v>0</v>
      </c>
      <c r="S351" s="1761">
        <v>0</v>
      </c>
      <c r="T351" s="1761">
        <v>0</v>
      </c>
      <c r="U351" s="1761">
        <v>0</v>
      </c>
      <c r="V351" s="1761">
        <v>0</v>
      </c>
      <c r="W351" s="1761">
        <v>0</v>
      </c>
      <c r="X351" s="1761">
        <v>0</v>
      </c>
      <c r="Y351" s="1761">
        <v>0</v>
      </c>
      <c r="Z351" s="1761">
        <v>0</v>
      </c>
      <c r="AA351" s="1761">
        <v>0</v>
      </c>
      <c r="AB351" s="1761">
        <v>0</v>
      </c>
      <c r="AC351" s="1761">
        <v>0</v>
      </c>
      <c r="AD351" s="1761">
        <v>0</v>
      </c>
      <c r="AE351" s="1761">
        <v>0</v>
      </c>
      <c r="AF351" s="1761">
        <v>0</v>
      </c>
      <c r="AG351" s="1761">
        <v>0</v>
      </c>
      <c r="AH351" s="1761">
        <v>0</v>
      </c>
      <c r="AI351" s="1761">
        <v>0</v>
      </c>
    </row>
    <row r="352" spans="1:36" ht="14.5">
      <c r="A352" s="990">
        <v>327</v>
      </c>
      <c r="B352" s="990">
        <v>1</v>
      </c>
      <c r="C352" s="990">
        <v>352</v>
      </c>
      <c r="D352" s="1121" t="s">
        <v>999</v>
      </c>
      <c r="E352" s="1463" t="s">
        <v>1521</v>
      </c>
      <c r="F352" s="1459"/>
      <c r="G352" s="5"/>
      <c r="H352" s="5"/>
      <c r="I352" s="613"/>
      <c r="J352" s="4"/>
      <c r="K352" s="4" t="s">
        <v>12</v>
      </c>
      <c r="L352" s="9"/>
      <c r="N352" s="4"/>
      <c r="O352" s="4"/>
      <c r="P352" s="4"/>
      <c r="Q352" s="13">
        <v>0</v>
      </c>
      <c r="R352" s="89">
        <v>0</v>
      </c>
      <c r="S352" s="89">
        <v>0</v>
      </c>
      <c r="T352" s="89">
        <v>0</v>
      </c>
      <c r="U352" s="89">
        <v>0</v>
      </c>
      <c r="V352" s="89">
        <v>0</v>
      </c>
      <c r="W352" s="89">
        <v>0</v>
      </c>
      <c r="X352" s="89">
        <v>0</v>
      </c>
      <c r="Y352" s="89">
        <v>0</v>
      </c>
      <c r="Z352" s="89">
        <v>0</v>
      </c>
      <c r="AA352" s="89">
        <v>0</v>
      </c>
      <c r="AB352" s="89">
        <v>0</v>
      </c>
      <c r="AC352" s="89">
        <v>0</v>
      </c>
      <c r="AD352" s="89">
        <v>0</v>
      </c>
      <c r="AE352" s="89">
        <v>0</v>
      </c>
      <c r="AF352" s="89">
        <v>0</v>
      </c>
      <c r="AG352" s="89">
        <v>0</v>
      </c>
      <c r="AH352" s="89">
        <v>0</v>
      </c>
      <c r="AI352" s="89">
        <v>0</v>
      </c>
    </row>
    <row r="353" spans="1:36" ht="14.5">
      <c r="A353" s="990">
        <v>329</v>
      </c>
      <c r="B353" s="990">
        <v>1</v>
      </c>
      <c r="C353" s="990">
        <v>353</v>
      </c>
      <c r="D353" s="1121" t="s">
        <v>999</v>
      </c>
      <c r="E353" s="1463" t="s">
        <v>1521</v>
      </c>
      <c r="F353" s="1459"/>
      <c r="G353" s="5"/>
      <c r="H353" s="5"/>
      <c r="I353" s="613"/>
      <c r="J353" s="4"/>
      <c r="K353" s="4" t="s">
        <v>13</v>
      </c>
      <c r="L353" s="9"/>
      <c r="N353" s="4"/>
      <c r="O353" s="4"/>
      <c r="P353" s="4"/>
      <c r="Q353" s="13">
        <v>0</v>
      </c>
      <c r="R353" s="89">
        <v>0</v>
      </c>
      <c r="S353" s="89">
        <v>0</v>
      </c>
      <c r="T353" s="89">
        <v>0</v>
      </c>
      <c r="U353" s="89">
        <v>0</v>
      </c>
      <c r="V353" s="89">
        <v>0</v>
      </c>
      <c r="W353" s="89">
        <v>0</v>
      </c>
      <c r="X353" s="89">
        <v>0</v>
      </c>
      <c r="Y353" s="89">
        <v>0</v>
      </c>
      <c r="Z353" s="89">
        <v>0</v>
      </c>
      <c r="AA353" s="89">
        <v>0</v>
      </c>
      <c r="AB353" s="89">
        <v>0</v>
      </c>
      <c r="AC353" s="89">
        <v>0</v>
      </c>
      <c r="AD353" s="89">
        <v>0</v>
      </c>
      <c r="AE353" s="89">
        <v>0</v>
      </c>
      <c r="AF353" s="89">
        <v>0</v>
      </c>
      <c r="AG353" s="89">
        <v>0</v>
      </c>
      <c r="AH353" s="89">
        <v>0</v>
      </c>
      <c r="AI353" s="89">
        <v>0</v>
      </c>
    </row>
    <row r="354" spans="1:36" ht="14.5">
      <c r="A354" s="990">
        <v>330</v>
      </c>
      <c r="B354" s="990">
        <v>1</v>
      </c>
      <c r="C354" s="990">
        <v>354</v>
      </c>
      <c r="D354" s="1121" t="s">
        <v>999</v>
      </c>
      <c r="E354" s="1463" t="s">
        <v>1521</v>
      </c>
      <c r="F354" s="1459"/>
      <c r="G354" s="5"/>
      <c r="H354" s="5"/>
      <c r="I354" s="613"/>
      <c r="J354" s="51"/>
      <c r="K354" s="51" t="s">
        <v>1156</v>
      </c>
      <c r="L354" s="363"/>
      <c r="M354" s="363"/>
      <c r="N354" s="51"/>
      <c r="O354" s="51"/>
      <c r="P354" s="51"/>
      <c r="Q354" s="2061">
        <v>0</v>
      </c>
      <c r="R354" s="134">
        <v>0</v>
      </c>
      <c r="S354" s="134">
        <v>0</v>
      </c>
      <c r="T354" s="134">
        <v>0</v>
      </c>
      <c r="U354" s="134">
        <v>0</v>
      </c>
      <c r="V354" s="134">
        <v>0</v>
      </c>
      <c r="W354" s="134">
        <v>0</v>
      </c>
      <c r="X354" s="134">
        <v>0</v>
      </c>
      <c r="Y354" s="134">
        <v>0</v>
      </c>
      <c r="Z354" s="134">
        <v>0</v>
      </c>
      <c r="AA354" s="134">
        <v>0</v>
      </c>
      <c r="AB354" s="134">
        <v>0</v>
      </c>
      <c r="AC354" s="134">
        <v>0</v>
      </c>
      <c r="AD354" s="134">
        <v>0</v>
      </c>
      <c r="AE354" s="134">
        <v>0</v>
      </c>
      <c r="AF354" s="134">
        <v>0</v>
      </c>
      <c r="AG354" s="134">
        <v>0</v>
      </c>
      <c r="AH354" s="134">
        <v>0</v>
      </c>
      <c r="AI354" s="134">
        <v>0</v>
      </c>
    </row>
    <row r="355" spans="1:36">
      <c r="D355" s="1121" t="s">
        <v>999</v>
      </c>
      <c r="E355" s="1292" t="s">
        <v>1013</v>
      </c>
      <c r="F355" s="1757"/>
      <c r="G355" s="5"/>
      <c r="H355" s="5"/>
      <c r="I355" s="613"/>
      <c r="J355" s="389" t="s">
        <v>1526</v>
      </c>
      <c r="K355" s="389"/>
      <c r="L355" s="72"/>
      <c r="M355" s="72"/>
      <c r="N355" s="389"/>
      <c r="O355" s="389"/>
      <c r="P355" s="1759"/>
      <c r="Q355" s="2316">
        <v>0</v>
      </c>
      <c r="R355" s="1761">
        <v>0</v>
      </c>
      <c r="S355" s="1761">
        <v>0</v>
      </c>
      <c r="T355" s="1761">
        <v>0</v>
      </c>
      <c r="U355" s="1761">
        <v>0</v>
      </c>
      <c r="V355" s="1761">
        <v>0</v>
      </c>
      <c r="W355" s="1761">
        <v>0</v>
      </c>
      <c r="X355" s="1761">
        <v>0</v>
      </c>
      <c r="Y355" s="1761">
        <v>0</v>
      </c>
      <c r="Z355" s="1761">
        <v>0</v>
      </c>
      <c r="AA355" s="1761">
        <v>0</v>
      </c>
      <c r="AB355" s="1761">
        <v>0</v>
      </c>
      <c r="AC355" s="1761">
        <v>0</v>
      </c>
      <c r="AD355" s="1761">
        <v>0</v>
      </c>
      <c r="AE355" s="1761">
        <v>0</v>
      </c>
      <c r="AF355" s="1761">
        <v>0</v>
      </c>
      <c r="AG355" s="1761">
        <v>0</v>
      </c>
      <c r="AH355" s="1761">
        <v>0</v>
      </c>
      <c r="AI355" s="1761">
        <v>0</v>
      </c>
    </row>
    <row r="356" spans="1:36" ht="14.5">
      <c r="A356" s="990">
        <v>328</v>
      </c>
      <c r="B356" s="990">
        <v>1</v>
      </c>
      <c r="C356" s="990">
        <v>356</v>
      </c>
      <c r="D356" s="1121" t="s">
        <v>999</v>
      </c>
      <c r="E356" s="1463" t="s">
        <v>1521</v>
      </c>
      <c r="F356" s="1459"/>
      <c r="G356" s="1241"/>
      <c r="H356" s="5"/>
      <c r="I356" s="30"/>
      <c r="J356" s="4"/>
      <c r="K356" s="4" t="s">
        <v>1527</v>
      </c>
      <c r="L356" s="9"/>
      <c r="N356" s="4"/>
      <c r="O356" s="4"/>
      <c r="P356" s="1144"/>
      <c r="Q356" s="13">
        <v>0</v>
      </c>
      <c r="R356" s="89">
        <v>0</v>
      </c>
      <c r="S356" s="89">
        <v>0</v>
      </c>
      <c r="T356" s="89">
        <v>0</v>
      </c>
      <c r="U356" s="89">
        <v>0</v>
      </c>
      <c r="V356" s="89">
        <v>0</v>
      </c>
      <c r="W356" s="89">
        <v>0</v>
      </c>
      <c r="X356" s="89">
        <v>0</v>
      </c>
      <c r="Y356" s="89">
        <v>0</v>
      </c>
      <c r="Z356" s="89">
        <v>0</v>
      </c>
      <c r="AA356" s="89">
        <v>0</v>
      </c>
      <c r="AB356" s="89">
        <v>0</v>
      </c>
      <c r="AC356" s="89">
        <v>0</v>
      </c>
      <c r="AD356" s="89">
        <v>0</v>
      </c>
      <c r="AE356" s="89">
        <v>0</v>
      </c>
      <c r="AF356" s="89">
        <v>0</v>
      </c>
      <c r="AG356" s="89">
        <v>0</v>
      </c>
      <c r="AH356" s="89">
        <v>0</v>
      </c>
      <c r="AI356" s="89">
        <v>0</v>
      </c>
    </row>
    <row r="357" spans="1:36" ht="14.5">
      <c r="A357" s="990">
        <v>1</v>
      </c>
      <c r="B357" s="990">
        <v>1</v>
      </c>
      <c r="C357" s="990">
        <v>357</v>
      </c>
      <c r="D357" s="1121" t="s">
        <v>999</v>
      </c>
      <c r="E357" s="1463" t="s">
        <v>1521</v>
      </c>
      <c r="F357" s="1459"/>
      <c r="G357" s="5"/>
      <c r="H357" s="5"/>
      <c r="I357" s="30"/>
      <c r="J357" s="4"/>
      <c r="K357" s="4" t="s">
        <v>1528</v>
      </c>
      <c r="L357" s="9"/>
      <c r="N357" s="4"/>
      <c r="O357" s="4"/>
      <c r="P357" s="4"/>
      <c r="Q357" s="13">
        <v>0</v>
      </c>
      <c r="R357" s="89">
        <v>0</v>
      </c>
      <c r="S357" s="89">
        <v>0</v>
      </c>
      <c r="T357" s="89">
        <v>0</v>
      </c>
      <c r="U357" s="89">
        <v>0</v>
      </c>
      <c r="V357" s="89">
        <v>0</v>
      </c>
      <c r="W357" s="89">
        <v>0</v>
      </c>
      <c r="X357" s="89">
        <v>0</v>
      </c>
      <c r="Y357" s="89">
        <v>0</v>
      </c>
      <c r="Z357" s="89">
        <v>0</v>
      </c>
      <c r="AA357" s="89">
        <v>0</v>
      </c>
      <c r="AB357" s="89">
        <v>0</v>
      </c>
      <c r="AC357" s="89">
        <v>0</v>
      </c>
      <c r="AD357" s="89">
        <v>0</v>
      </c>
      <c r="AE357" s="89">
        <v>0</v>
      </c>
      <c r="AF357" s="89">
        <v>0</v>
      </c>
      <c r="AG357" s="89">
        <v>0</v>
      </c>
      <c r="AH357" s="89">
        <v>0</v>
      </c>
      <c r="AI357" s="89">
        <v>0</v>
      </c>
    </row>
    <row r="358" spans="1:36" ht="14.5">
      <c r="A358" s="990">
        <v>1</v>
      </c>
      <c r="B358" s="990">
        <v>1</v>
      </c>
      <c r="C358" s="990">
        <v>358</v>
      </c>
      <c r="D358" s="1121" t="s">
        <v>999</v>
      </c>
      <c r="E358" s="1463" t="s">
        <v>1521</v>
      </c>
      <c r="F358" s="1459"/>
      <c r="G358" s="5"/>
      <c r="H358" s="5"/>
      <c r="I358" s="30"/>
      <c r="J358" s="4"/>
      <c r="K358" s="4" t="s">
        <v>1529</v>
      </c>
      <c r="L358" s="9"/>
      <c r="N358" s="4"/>
      <c r="O358" s="4"/>
      <c r="P358" s="4"/>
      <c r="Q358" s="13">
        <v>0</v>
      </c>
      <c r="R358" s="89">
        <v>0</v>
      </c>
      <c r="S358" s="89">
        <v>0</v>
      </c>
      <c r="T358" s="89">
        <v>0</v>
      </c>
      <c r="U358" s="89">
        <v>0</v>
      </c>
      <c r="V358" s="89">
        <v>0</v>
      </c>
      <c r="W358" s="89">
        <v>0</v>
      </c>
      <c r="X358" s="89">
        <v>0</v>
      </c>
      <c r="Y358" s="89">
        <v>0</v>
      </c>
      <c r="Z358" s="89">
        <v>0</v>
      </c>
      <c r="AA358" s="89">
        <v>0</v>
      </c>
      <c r="AB358" s="89">
        <v>0</v>
      </c>
      <c r="AC358" s="89">
        <v>0</v>
      </c>
      <c r="AD358" s="89">
        <v>0</v>
      </c>
      <c r="AE358" s="89">
        <v>0</v>
      </c>
      <c r="AF358" s="89">
        <v>0</v>
      </c>
      <c r="AG358" s="89">
        <v>0</v>
      </c>
      <c r="AH358" s="89">
        <v>0</v>
      </c>
      <c r="AI358" s="89">
        <v>0</v>
      </c>
    </row>
    <row r="359" spans="1:36" ht="14.5">
      <c r="A359" s="990">
        <v>332</v>
      </c>
      <c r="B359" s="990">
        <v>1</v>
      </c>
      <c r="C359" s="990">
        <v>359</v>
      </c>
      <c r="D359" s="1121" t="s">
        <v>999</v>
      </c>
      <c r="E359" s="1243">
        <v>1</v>
      </c>
      <c r="F359" s="5"/>
      <c r="G359" s="5"/>
      <c r="H359" s="5"/>
      <c r="I359" s="16" t="s">
        <v>128</v>
      </c>
      <c r="J359" s="789"/>
      <c r="K359" s="789"/>
      <c r="L359" s="580"/>
      <c r="M359" s="580"/>
      <c r="N359" s="580"/>
      <c r="O359" s="790" t="s">
        <v>532</v>
      </c>
      <c r="P359" s="580"/>
      <c r="Q359" s="2063">
        <v>0</v>
      </c>
      <c r="R359" s="101">
        <v>0</v>
      </c>
      <c r="S359" s="101">
        <v>0</v>
      </c>
      <c r="T359" s="101">
        <v>0</v>
      </c>
      <c r="U359" s="101">
        <v>0</v>
      </c>
      <c r="V359" s="101">
        <v>0</v>
      </c>
      <c r="W359" s="101">
        <v>0</v>
      </c>
      <c r="X359" s="101">
        <v>0</v>
      </c>
      <c r="Y359" s="101">
        <v>0</v>
      </c>
      <c r="Z359" s="101">
        <v>0</v>
      </c>
      <c r="AA359" s="101">
        <v>0</v>
      </c>
      <c r="AB359" s="101">
        <v>0</v>
      </c>
      <c r="AC359" s="101">
        <v>0</v>
      </c>
      <c r="AD359" s="101">
        <v>0</v>
      </c>
      <c r="AE359" s="101">
        <v>0</v>
      </c>
      <c r="AF359" s="101">
        <v>0</v>
      </c>
      <c r="AG359" s="101">
        <v>0</v>
      </c>
      <c r="AH359" s="101">
        <v>0</v>
      </c>
      <c r="AI359" s="101">
        <v>0</v>
      </c>
      <c r="AJ359" s="619"/>
    </row>
    <row r="360" spans="1:36" ht="14.5">
      <c r="A360" s="990">
        <v>1</v>
      </c>
      <c r="B360" s="990">
        <v>1</v>
      </c>
      <c r="C360" s="990">
        <v>1</v>
      </c>
      <c r="D360" s="1121" t="s">
        <v>999</v>
      </c>
      <c r="E360" s="1292" t="s">
        <v>1013</v>
      </c>
      <c r="F360" s="1757"/>
      <c r="G360" s="5"/>
      <c r="H360" s="5"/>
      <c r="I360" s="1348"/>
      <c r="J360" s="1758" t="s">
        <v>47</v>
      </c>
      <c r="K360" s="1758"/>
      <c r="L360" s="1759"/>
      <c r="M360" s="1759"/>
      <c r="N360" s="1759"/>
      <c r="O360" s="1760"/>
      <c r="P360" s="1759"/>
      <c r="Q360" s="2316">
        <v>0</v>
      </c>
      <c r="R360" s="1761">
        <v>0</v>
      </c>
      <c r="S360" s="1761">
        <v>0</v>
      </c>
      <c r="T360" s="1761">
        <v>0</v>
      </c>
      <c r="U360" s="1761">
        <v>0</v>
      </c>
      <c r="V360" s="1761">
        <v>0</v>
      </c>
      <c r="W360" s="1761">
        <v>0</v>
      </c>
      <c r="X360" s="1761">
        <v>0</v>
      </c>
      <c r="Y360" s="1761">
        <v>0</v>
      </c>
      <c r="Z360" s="1761">
        <v>0</v>
      </c>
      <c r="AA360" s="1761">
        <v>0</v>
      </c>
      <c r="AB360" s="1761">
        <v>0</v>
      </c>
      <c r="AC360" s="1761">
        <v>0</v>
      </c>
      <c r="AD360" s="1761">
        <v>0</v>
      </c>
      <c r="AE360" s="1761">
        <v>0</v>
      </c>
      <c r="AF360" s="1761">
        <v>0</v>
      </c>
      <c r="AG360" s="1761">
        <v>0</v>
      </c>
      <c r="AH360" s="1761">
        <v>0</v>
      </c>
      <c r="AI360" s="1761">
        <v>0</v>
      </c>
    </row>
    <row r="361" spans="1:36" ht="14.5">
      <c r="A361" s="990">
        <v>333</v>
      </c>
      <c r="B361" s="990">
        <v>1</v>
      </c>
      <c r="C361" s="990">
        <v>361</v>
      </c>
      <c r="D361" s="1121" t="s">
        <v>999</v>
      </c>
      <c r="E361" s="1463" t="s">
        <v>1521</v>
      </c>
      <c r="F361" s="1459"/>
      <c r="G361" s="1241"/>
      <c r="H361" s="5"/>
      <c r="I361" s="30"/>
      <c r="J361" s="4"/>
      <c r="K361" s="4" t="s">
        <v>12</v>
      </c>
      <c r="L361" s="9"/>
      <c r="N361" s="4"/>
      <c r="O361" s="4"/>
      <c r="P361" s="4"/>
      <c r="Q361" s="2032"/>
      <c r="R361" s="2039"/>
      <c r="S361" s="2039"/>
      <c r="T361" s="2039"/>
      <c r="U361" s="2039"/>
      <c r="V361" s="2039"/>
      <c r="W361" s="2039"/>
      <c r="X361" s="2039"/>
      <c r="Y361" s="2039"/>
      <c r="Z361" s="2039"/>
      <c r="AA361" s="2039"/>
      <c r="AB361" s="2039"/>
      <c r="AC361" s="89">
        <v>0</v>
      </c>
      <c r="AD361" s="89">
        <v>0</v>
      </c>
      <c r="AE361" s="89">
        <v>0</v>
      </c>
      <c r="AF361" s="89">
        <v>0</v>
      </c>
      <c r="AG361" s="89">
        <v>0</v>
      </c>
      <c r="AH361" s="89">
        <v>0</v>
      </c>
      <c r="AI361" s="89">
        <v>0</v>
      </c>
    </row>
    <row r="362" spans="1:36" ht="14.5">
      <c r="A362" s="990">
        <v>335</v>
      </c>
      <c r="B362" s="990">
        <v>1</v>
      </c>
      <c r="C362" s="990">
        <v>362</v>
      </c>
      <c r="D362" s="1121" t="s">
        <v>999</v>
      </c>
      <c r="E362" s="1463" t="s">
        <v>1521</v>
      </c>
      <c r="F362" s="1459"/>
      <c r="G362" s="5"/>
      <c r="H362" s="5"/>
      <c r="I362" s="30"/>
      <c r="J362" s="4"/>
      <c r="K362" s="4" t="s">
        <v>13</v>
      </c>
      <c r="L362" s="9"/>
      <c r="N362" s="4"/>
      <c r="O362" s="4"/>
      <c r="P362" s="4"/>
      <c r="Q362" s="2032"/>
      <c r="R362" s="2039"/>
      <c r="S362" s="2039"/>
      <c r="T362" s="2039"/>
      <c r="U362" s="2039"/>
      <c r="V362" s="2039"/>
      <c r="W362" s="2039"/>
      <c r="X362" s="2039"/>
      <c r="Y362" s="2039"/>
      <c r="Z362" s="2039"/>
      <c r="AA362" s="2039"/>
      <c r="AB362" s="2039"/>
      <c r="AC362" s="89">
        <v>0</v>
      </c>
      <c r="AD362" s="89">
        <v>0</v>
      </c>
      <c r="AE362" s="89">
        <v>0</v>
      </c>
      <c r="AF362" s="89">
        <v>0</v>
      </c>
      <c r="AG362" s="89">
        <v>0</v>
      </c>
      <c r="AH362" s="89">
        <v>0</v>
      </c>
      <c r="AI362" s="89">
        <v>0</v>
      </c>
    </row>
    <row r="363" spans="1:36" ht="14.15" customHeight="1">
      <c r="A363" s="990">
        <v>336</v>
      </c>
      <c r="B363" s="990">
        <v>1</v>
      </c>
      <c r="C363" s="990">
        <v>363</v>
      </c>
      <c r="D363" s="1121" t="s">
        <v>999</v>
      </c>
      <c r="E363" s="1463" t="s">
        <v>1521</v>
      </c>
      <c r="F363" s="1459"/>
      <c r="G363" s="5"/>
      <c r="H363" s="5"/>
      <c r="I363" s="613"/>
      <c r="J363" s="51"/>
      <c r="K363" s="51" t="s">
        <v>1156</v>
      </c>
      <c r="L363" s="363"/>
      <c r="M363" s="363"/>
      <c r="N363" s="51"/>
      <c r="O363" s="51"/>
      <c r="P363" s="51"/>
      <c r="Q363" s="2211"/>
      <c r="R363" s="2043"/>
      <c r="S363" s="2043"/>
      <c r="T363" s="2043"/>
      <c r="U363" s="2043"/>
      <c r="V363" s="2043"/>
      <c r="W363" s="2043"/>
      <c r="X363" s="2043"/>
      <c r="Y363" s="2043"/>
      <c r="Z363" s="2043"/>
      <c r="AA363" s="2043"/>
      <c r="AB363" s="2043"/>
      <c r="AC363" s="134">
        <v>0</v>
      </c>
      <c r="AD363" s="134">
        <v>0</v>
      </c>
      <c r="AE363" s="134">
        <v>0</v>
      </c>
      <c r="AF363" s="134">
        <v>0</v>
      </c>
      <c r="AG363" s="134">
        <v>0</v>
      </c>
      <c r="AH363" s="134">
        <v>0</v>
      </c>
      <c r="AI363" s="134">
        <v>0</v>
      </c>
      <c r="AJ363" s="619"/>
    </row>
    <row r="364" spans="1:36">
      <c r="A364" s="990">
        <v>1</v>
      </c>
      <c r="B364" s="990">
        <v>1</v>
      </c>
      <c r="C364" s="990">
        <v>1</v>
      </c>
      <c r="D364" s="1121" t="s">
        <v>999</v>
      </c>
      <c r="E364" s="1292" t="s">
        <v>1013</v>
      </c>
      <c r="F364" s="1757"/>
      <c r="G364" s="5"/>
      <c r="H364" s="5"/>
      <c r="I364" s="613"/>
      <c r="J364" s="389" t="s">
        <v>1526</v>
      </c>
      <c r="K364" s="389"/>
      <c r="L364" s="72"/>
      <c r="M364" s="72"/>
      <c r="N364" s="389"/>
      <c r="O364" s="389"/>
      <c r="P364" s="1759"/>
      <c r="Q364" s="2316">
        <v>0</v>
      </c>
      <c r="R364" s="1761">
        <v>0</v>
      </c>
      <c r="S364" s="1761">
        <v>0</v>
      </c>
      <c r="T364" s="1761">
        <v>0</v>
      </c>
      <c r="U364" s="1761">
        <v>0</v>
      </c>
      <c r="V364" s="1761">
        <v>0</v>
      </c>
      <c r="W364" s="1761">
        <v>0</v>
      </c>
      <c r="X364" s="1761">
        <v>0</v>
      </c>
      <c r="Y364" s="1761">
        <v>0</v>
      </c>
      <c r="Z364" s="1761">
        <v>0</v>
      </c>
      <c r="AA364" s="1761">
        <v>0</v>
      </c>
      <c r="AB364" s="1761">
        <v>0</v>
      </c>
      <c r="AC364" s="1761">
        <v>0</v>
      </c>
      <c r="AD364" s="1761">
        <v>0</v>
      </c>
      <c r="AE364" s="1761">
        <v>0</v>
      </c>
      <c r="AF364" s="1761">
        <v>0</v>
      </c>
      <c r="AG364" s="1761">
        <v>0</v>
      </c>
      <c r="AH364" s="1761">
        <v>0</v>
      </c>
      <c r="AI364" s="1761">
        <v>0</v>
      </c>
    </row>
    <row r="365" spans="1:36" ht="14.5">
      <c r="A365" s="990">
        <v>334</v>
      </c>
      <c r="B365" s="990">
        <v>1</v>
      </c>
      <c r="C365" s="990">
        <v>365</v>
      </c>
      <c r="D365" s="1121" t="s">
        <v>999</v>
      </c>
      <c r="E365" s="1463" t="s">
        <v>1521</v>
      </c>
      <c r="F365" s="1459"/>
      <c r="G365" s="5"/>
      <c r="H365" s="5"/>
      <c r="I365" s="30"/>
      <c r="J365" s="4"/>
      <c r="K365" s="4" t="s">
        <v>1527</v>
      </c>
      <c r="L365" s="9"/>
      <c r="N365" s="4"/>
      <c r="O365" s="4"/>
      <c r="P365" s="4"/>
      <c r="Q365" s="2032"/>
      <c r="R365" s="2039"/>
      <c r="S365" s="2039"/>
      <c r="T365" s="2039"/>
      <c r="U365" s="2039"/>
      <c r="V365" s="2039"/>
      <c r="W365" s="2039"/>
      <c r="X365" s="2039"/>
      <c r="Y365" s="2039"/>
      <c r="Z365" s="2039"/>
      <c r="AA365" s="2039"/>
      <c r="AB365" s="2039"/>
      <c r="AC365" s="89">
        <v>0</v>
      </c>
      <c r="AD365" s="89">
        <v>0</v>
      </c>
      <c r="AE365" s="89">
        <v>0</v>
      </c>
      <c r="AF365" s="89">
        <v>0</v>
      </c>
      <c r="AG365" s="89">
        <v>0</v>
      </c>
      <c r="AH365" s="89">
        <v>0</v>
      </c>
      <c r="AI365" s="89">
        <v>0</v>
      </c>
    </row>
    <row r="366" spans="1:36" ht="14.5">
      <c r="A366" s="990">
        <v>1</v>
      </c>
      <c r="B366" s="990">
        <v>1</v>
      </c>
      <c r="C366" s="990">
        <v>366</v>
      </c>
      <c r="D366" s="1121" t="s">
        <v>999</v>
      </c>
      <c r="E366" s="1463" t="s">
        <v>1521</v>
      </c>
      <c r="F366" s="1459"/>
      <c r="G366" s="5"/>
      <c r="H366" s="5"/>
      <c r="I366" s="30"/>
      <c r="J366" s="4"/>
      <c r="K366" s="4" t="s">
        <v>1528</v>
      </c>
      <c r="L366" s="9"/>
      <c r="N366" s="4"/>
      <c r="O366" s="4"/>
      <c r="P366" s="4"/>
      <c r="Q366" s="2032"/>
      <c r="R366" s="2039"/>
      <c r="S366" s="2039"/>
      <c r="T366" s="2039"/>
      <c r="U366" s="2039"/>
      <c r="V366" s="2039"/>
      <c r="W366" s="2039"/>
      <c r="X366" s="2039"/>
      <c r="Y366" s="2039"/>
      <c r="Z366" s="2039"/>
      <c r="AA366" s="2039"/>
      <c r="AB366" s="2039"/>
      <c r="AC366" s="89">
        <v>0</v>
      </c>
      <c r="AD366" s="89">
        <v>0</v>
      </c>
      <c r="AE366" s="89">
        <v>0</v>
      </c>
      <c r="AF366" s="89">
        <v>0</v>
      </c>
      <c r="AG366" s="89">
        <v>0</v>
      </c>
      <c r="AH366" s="89">
        <v>0</v>
      </c>
      <c r="AI366" s="89">
        <v>0</v>
      </c>
    </row>
    <row r="367" spans="1:36" ht="14.5">
      <c r="A367" s="990">
        <v>1</v>
      </c>
      <c r="B367" s="990">
        <v>1</v>
      </c>
      <c r="C367" s="990">
        <v>367</v>
      </c>
      <c r="D367" s="1121" t="s">
        <v>999</v>
      </c>
      <c r="E367" s="1463" t="s">
        <v>1521</v>
      </c>
      <c r="F367" s="1459"/>
      <c r="G367" s="5"/>
      <c r="H367" s="5"/>
      <c r="I367" s="30"/>
      <c r="J367" s="4"/>
      <c r="K367" s="4" t="s">
        <v>1529</v>
      </c>
      <c r="L367" s="9"/>
      <c r="N367" s="4"/>
      <c r="O367" s="4"/>
      <c r="P367" s="4"/>
      <c r="Q367" s="2032"/>
      <c r="R367" s="2039"/>
      <c r="S367" s="2039"/>
      <c r="T367" s="2039"/>
      <c r="U367" s="2039"/>
      <c r="V367" s="2039"/>
      <c r="W367" s="2039"/>
      <c r="X367" s="2039"/>
      <c r="Y367" s="2039"/>
      <c r="Z367" s="2039"/>
      <c r="AA367" s="2039"/>
      <c r="AB367" s="2039"/>
      <c r="AC367" s="89">
        <v>0</v>
      </c>
      <c r="AD367" s="89">
        <v>0</v>
      </c>
      <c r="AE367" s="89">
        <v>0</v>
      </c>
      <c r="AF367" s="89">
        <v>0</v>
      </c>
      <c r="AG367" s="89">
        <v>0</v>
      </c>
      <c r="AH367" s="89">
        <v>0</v>
      </c>
      <c r="AI367" s="89">
        <v>0</v>
      </c>
    </row>
    <row r="368" spans="1:36">
      <c r="A368" s="990">
        <v>368</v>
      </c>
      <c r="B368" s="990">
        <v>1</v>
      </c>
      <c r="C368" s="990">
        <v>368</v>
      </c>
      <c r="D368" s="1121" t="s">
        <v>999</v>
      </c>
      <c r="E368" s="1243">
        <v>1</v>
      </c>
      <c r="F368" s="5"/>
      <c r="G368" s="5"/>
      <c r="H368" s="5"/>
      <c r="I368" s="16" t="s">
        <v>134</v>
      </c>
      <c r="J368" s="789"/>
      <c r="K368" s="580"/>
      <c r="L368" s="580"/>
      <c r="M368" s="580"/>
      <c r="N368" s="580"/>
      <c r="O368" s="580"/>
      <c r="P368" s="580"/>
      <c r="Q368" s="2063">
        <v>0</v>
      </c>
      <c r="R368" s="101">
        <v>0</v>
      </c>
      <c r="S368" s="101">
        <v>0</v>
      </c>
      <c r="T368" s="101">
        <v>0</v>
      </c>
      <c r="U368" s="101">
        <v>0</v>
      </c>
      <c r="V368" s="101">
        <v>0</v>
      </c>
      <c r="W368" s="101">
        <v>0</v>
      </c>
      <c r="X368" s="101">
        <v>0</v>
      </c>
      <c r="Y368" s="101">
        <v>0</v>
      </c>
      <c r="Z368" s="101">
        <v>0</v>
      </c>
      <c r="AA368" s="101">
        <v>0</v>
      </c>
      <c r="AB368" s="101">
        <v>0</v>
      </c>
      <c r="AC368" s="101">
        <v>0</v>
      </c>
      <c r="AD368" s="101">
        <v>0</v>
      </c>
      <c r="AE368" s="101">
        <v>0</v>
      </c>
      <c r="AF368" s="101">
        <v>0</v>
      </c>
      <c r="AG368" s="101">
        <v>0</v>
      </c>
      <c r="AH368" s="101">
        <v>0</v>
      </c>
      <c r="AI368" s="101">
        <v>0</v>
      </c>
    </row>
    <row r="369" spans="1:35" ht="14.5">
      <c r="A369" s="990">
        <v>369</v>
      </c>
      <c r="B369" s="990">
        <v>1</v>
      </c>
      <c r="C369" s="990">
        <v>369</v>
      </c>
      <c r="D369" s="1121" t="s">
        <v>999</v>
      </c>
      <c r="E369" s="1243">
        <v>1</v>
      </c>
      <c r="F369" s="5"/>
      <c r="G369" s="5"/>
      <c r="H369" s="5"/>
      <c r="I369" s="30"/>
      <c r="J369" s="618"/>
      <c r="K369" s="618" t="s">
        <v>135</v>
      </c>
      <c r="L369" s="5"/>
      <c r="M369" s="5"/>
      <c r="N369" s="5"/>
      <c r="O369" s="587" t="s">
        <v>1027</v>
      </c>
      <c r="P369" s="5"/>
      <c r="Q369" s="2122">
        <v>0</v>
      </c>
      <c r="R369" s="622">
        <v>0</v>
      </c>
      <c r="S369" s="622">
        <v>0</v>
      </c>
      <c r="T369" s="622">
        <v>0</v>
      </c>
      <c r="U369" s="622">
        <v>0</v>
      </c>
      <c r="V369" s="622">
        <v>0</v>
      </c>
      <c r="W369" s="622">
        <v>0</v>
      </c>
      <c r="X369" s="622">
        <v>0</v>
      </c>
      <c r="Y369" s="622">
        <v>0</v>
      </c>
      <c r="Z369" s="622">
        <v>0</v>
      </c>
      <c r="AA369" s="622">
        <v>0</v>
      </c>
      <c r="AB369" s="622">
        <v>0</v>
      </c>
      <c r="AC369" s="622">
        <v>0</v>
      </c>
      <c r="AD369" s="622">
        <v>0</v>
      </c>
      <c r="AE369" s="622">
        <v>0</v>
      </c>
      <c r="AF369" s="622">
        <v>0</v>
      </c>
      <c r="AG369" s="622">
        <v>0</v>
      </c>
      <c r="AH369" s="622">
        <v>0</v>
      </c>
      <c r="AI369" s="622">
        <v>0</v>
      </c>
    </row>
    <row r="370" spans="1:35" ht="14.5">
      <c r="A370" s="990">
        <v>340</v>
      </c>
      <c r="B370" s="990">
        <v>1</v>
      </c>
      <c r="C370" s="990">
        <v>370</v>
      </c>
      <c r="D370" s="1121" t="s">
        <v>999</v>
      </c>
      <c r="E370" s="1292" t="s">
        <v>1013</v>
      </c>
      <c r="F370" s="1757"/>
      <c r="G370" s="1241"/>
      <c r="H370" s="616"/>
      <c r="I370" s="617"/>
      <c r="J370" s="1762" t="s">
        <v>1530</v>
      </c>
      <c r="K370" s="1763"/>
      <c r="L370" s="1764"/>
      <c r="M370" s="1765"/>
      <c r="N370" s="1766"/>
      <c r="O370" s="1766"/>
      <c r="P370" s="1766"/>
      <c r="Q370" s="2317">
        <v>0</v>
      </c>
      <c r="R370" s="1767">
        <v>0</v>
      </c>
      <c r="S370" s="1767">
        <v>0</v>
      </c>
      <c r="T370" s="1767">
        <v>0</v>
      </c>
      <c r="U370" s="1767">
        <v>0</v>
      </c>
      <c r="V370" s="1767">
        <v>0</v>
      </c>
      <c r="W370" s="1767">
        <v>0</v>
      </c>
      <c r="X370" s="1767">
        <v>0</v>
      </c>
      <c r="Y370" s="1767">
        <v>0</v>
      </c>
      <c r="Z370" s="1767">
        <v>0</v>
      </c>
      <c r="AA370" s="1767">
        <v>0</v>
      </c>
      <c r="AB370" s="1767">
        <v>0</v>
      </c>
      <c r="AC370" s="1767">
        <v>0</v>
      </c>
      <c r="AD370" s="1767">
        <v>0</v>
      </c>
      <c r="AE370" s="1767">
        <v>0</v>
      </c>
      <c r="AF370" s="1767">
        <v>0</v>
      </c>
      <c r="AG370" s="1767">
        <v>0</v>
      </c>
      <c r="AH370" s="1767">
        <v>0</v>
      </c>
      <c r="AI370" s="1767">
        <v>0</v>
      </c>
    </row>
    <row r="371" spans="1:35" ht="14.5">
      <c r="A371" s="990">
        <v>340</v>
      </c>
      <c r="B371" s="990">
        <v>1</v>
      </c>
      <c r="C371" s="990">
        <v>371</v>
      </c>
      <c r="D371" s="1121" t="s">
        <v>999</v>
      </c>
      <c r="E371" s="1463" t="s">
        <v>1521</v>
      </c>
      <c r="F371" s="1459"/>
      <c r="G371" s="1241"/>
      <c r="H371" s="616"/>
      <c r="I371" s="617"/>
      <c r="J371" s="618"/>
      <c r="K371" s="618" t="s">
        <v>1064</v>
      </c>
      <c r="L371" s="616"/>
      <c r="M371" s="1235"/>
      <c r="N371" s="620"/>
      <c r="O371" s="620"/>
      <c r="P371" s="620"/>
      <c r="Q371" s="2119">
        <v>0</v>
      </c>
      <c r="R371" s="621">
        <v>0</v>
      </c>
      <c r="S371" s="621">
        <v>0</v>
      </c>
      <c r="T371" s="621">
        <v>0</v>
      </c>
      <c r="U371" s="621">
        <v>0</v>
      </c>
      <c r="V371" s="621">
        <v>0</v>
      </c>
      <c r="W371" s="621">
        <v>0</v>
      </c>
      <c r="X371" s="621">
        <v>0</v>
      </c>
      <c r="Y371" s="621">
        <v>0</v>
      </c>
      <c r="Z371" s="621">
        <v>0</v>
      </c>
      <c r="AA371" s="621">
        <v>0</v>
      </c>
      <c r="AB371" s="621">
        <v>0</v>
      </c>
      <c r="AC371" s="621">
        <v>0</v>
      </c>
      <c r="AD371" s="621">
        <v>0</v>
      </c>
      <c r="AE371" s="621">
        <v>0</v>
      </c>
      <c r="AF371" s="621">
        <v>0</v>
      </c>
      <c r="AG371" s="621">
        <v>0</v>
      </c>
      <c r="AH371" s="621">
        <v>0</v>
      </c>
      <c r="AI371" s="621">
        <v>0</v>
      </c>
    </row>
    <row r="372" spans="1:35" ht="14.5">
      <c r="A372" s="990">
        <v>342</v>
      </c>
      <c r="B372" s="990">
        <v>1</v>
      </c>
      <c r="C372" s="990">
        <v>372</v>
      </c>
      <c r="D372" s="1121" t="s">
        <v>999</v>
      </c>
      <c r="E372" s="1463" t="s">
        <v>1521</v>
      </c>
      <c r="F372" s="1459"/>
      <c r="G372" s="5"/>
      <c r="H372" s="616"/>
      <c r="I372" s="617"/>
      <c r="J372" s="618"/>
      <c r="K372" s="618" t="s">
        <v>1066</v>
      </c>
      <c r="L372" s="616"/>
      <c r="M372" s="1235"/>
      <c r="N372" s="620"/>
      <c r="O372" s="620"/>
      <c r="P372" s="620"/>
      <c r="Q372" s="2119">
        <v>0</v>
      </c>
      <c r="R372" s="621">
        <v>0</v>
      </c>
      <c r="S372" s="621">
        <v>0</v>
      </c>
      <c r="T372" s="621">
        <v>0</v>
      </c>
      <c r="U372" s="621">
        <v>0</v>
      </c>
      <c r="V372" s="621">
        <v>0</v>
      </c>
      <c r="W372" s="621">
        <v>0</v>
      </c>
      <c r="X372" s="621">
        <v>0</v>
      </c>
      <c r="Y372" s="621">
        <v>0</v>
      </c>
      <c r="Z372" s="621">
        <v>0</v>
      </c>
      <c r="AA372" s="621">
        <v>0</v>
      </c>
      <c r="AB372" s="621">
        <v>0</v>
      </c>
      <c r="AC372" s="621">
        <v>0</v>
      </c>
      <c r="AD372" s="621">
        <v>0</v>
      </c>
      <c r="AE372" s="621">
        <v>0</v>
      </c>
      <c r="AF372" s="621">
        <v>0</v>
      </c>
      <c r="AG372" s="621">
        <v>0</v>
      </c>
      <c r="AH372" s="621">
        <v>0</v>
      </c>
      <c r="AI372" s="621">
        <v>0</v>
      </c>
    </row>
    <row r="373" spans="1:35" ht="14.5">
      <c r="A373" s="990">
        <v>343</v>
      </c>
      <c r="B373" s="990">
        <v>1</v>
      </c>
      <c r="C373" s="990">
        <v>373</v>
      </c>
      <c r="D373" s="1121" t="s">
        <v>999</v>
      </c>
      <c r="E373" s="1463" t="s">
        <v>1521</v>
      </c>
      <c r="F373" s="1459"/>
      <c r="G373" s="5"/>
      <c r="H373" s="616"/>
      <c r="I373" s="617"/>
      <c r="J373" s="618"/>
      <c r="K373" s="618" t="s">
        <v>1531</v>
      </c>
      <c r="L373" s="616"/>
      <c r="M373" s="618"/>
      <c r="N373" s="620"/>
      <c r="O373" s="620"/>
      <c r="P373" s="620"/>
      <c r="Q373" s="2119">
        <v>0</v>
      </c>
      <c r="R373" s="621">
        <v>0</v>
      </c>
      <c r="S373" s="621">
        <v>0</v>
      </c>
      <c r="T373" s="621">
        <v>0</v>
      </c>
      <c r="U373" s="621">
        <v>0</v>
      </c>
      <c r="V373" s="621">
        <v>0</v>
      </c>
      <c r="W373" s="621">
        <v>0</v>
      </c>
      <c r="X373" s="621">
        <v>0</v>
      </c>
      <c r="Y373" s="621">
        <v>0</v>
      </c>
      <c r="Z373" s="621">
        <v>0</v>
      </c>
      <c r="AA373" s="621">
        <v>0</v>
      </c>
      <c r="AB373" s="621">
        <v>0</v>
      </c>
      <c r="AC373" s="621">
        <v>0</v>
      </c>
      <c r="AD373" s="621">
        <v>0</v>
      </c>
      <c r="AE373" s="621">
        <v>0</v>
      </c>
      <c r="AF373" s="621">
        <v>0</v>
      </c>
      <c r="AG373" s="621">
        <v>0</v>
      </c>
      <c r="AH373" s="621">
        <v>0</v>
      </c>
      <c r="AI373" s="621">
        <v>0</v>
      </c>
    </row>
    <row r="374" spans="1:35" ht="14.5">
      <c r="A374" s="990">
        <v>341</v>
      </c>
      <c r="B374" s="990">
        <v>1</v>
      </c>
      <c r="C374" s="990">
        <v>374</v>
      </c>
      <c r="D374" s="1121" t="s">
        <v>999</v>
      </c>
      <c r="E374" s="1292" t="s">
        <v>1013</v>
      </c>
      <c r="F374" s="1757"/>
      <c r="G374" s="5"/>
      <c r="H374" s="616"/>
      <c r="I374" s="617"/>
      <c r="J374" s="1762" t="s">
        <v>1532</v>
      </c>
      <c r="K374" s="1763"/>
      <c r="L374" s="1764"/>
      <c r="M374" s="1768"/>
      <c r="N374" s="1766"/>
      <c r="O374" s="1766"/>
      <c r="P374" s="1766"/>
      <c r="Q374" s="2317">
        <v>0</v>
      </c>
      <c r="R374" s="1767">
        <v>0</v>
      </c>
      <c r="S374" s="1767">
        <v>0</v>
      </c>
      <c r="T374" s="1767">
        <v>0</v>
      </c>
      <c r="U374" s="1767">
        <v>0</v>
      </c>
      <c r="V374" s="1767">
        <v>0</v>
      </c>
      <c r="W374" s="1767">
        <v>0</v>
      </c>
      <c r="X374" s="1767">
        <v>0</v>
      </c>
      <c r="Y374" s="1767">
        <v>0</v>
      </c>
      <c r="Z374" s="1767">
        <v>0</v>
      </c>
      <c r="AA374" s="1767">
        <v>0</v>
      </c>
      <c r="AB374" s="1767">
        <v>0</v>
      </c>
      <c r="AC374" s="1767">
        <v>0</v>
      </c>
      <c r="AD374" s="1767">
        <v>0</v>
      </c>
      <c r="AE374" s="1767">
        <v>0</v>
      </c>
      <c r="AF374" s="1767">
        <v>0</v>
      </c>
      <c r="AG374" s="1767">
        <v>0</v>
      </c>
      <c r="AH374" s="1767">
        <v>0</v>
      </c>
      <c r="AI374" s="1767">
        <v>0</v>
      </c>
    </row>
    <row r="375" spans="1:35" ht="14.5">
      <c r="A375" s="990">
        <v>341</v>
      </c>
      <c r="B375" s="990">
        <v>1</v>
      </c>
      <c r="C375" s="990">
        <v>375</v>
      </c>
      <c r="D375" s="1121" t="s">
        <v>999</v>
      </c>
      <c r="E375" s="1463" t="s">
        <v>1521</v>
      </c>
      <c r="F375" s="1459"/>
      <c r="G375" s="5"/>
      <c r="H375" s="616"/>
      <c r="I375" s="617"/>
      <c r="J375" s="618"/>
      <c r="K375" s="618" t="s">
        <v>1533</v>
      </c>
      <c r="L375" s="616"/>
      <c r="M375" s="1770"/>
      <c r="N375" s="620"/>
      <c r="O375" s="620"/>
      <c r="P375" s="620"/>
      <c r="Q375" s="2119">
        <v>0</v>
      </c>
      <c r="R375" s="621">
        <v>0</v>
      </c>
      <c r="S375" s="621">
        <v>0</v>
      </c>
      <c r="T375" s="621">
        <v>0</v>
      </c>
      <c r="U375" s="621">
        <v>0</v>
      </c>
      <c r="V375" s="621">
        <v>0</v>
      </c>
      <c r="W375" s="621">
        <v>0</v>
      </c>
      <c r="X375" s="621">
        <v>0</v>
      </c>
      <c r="Y375" s="621">
        <v>0</v>
      </c>
      <c r="Z375" s="621">
        <v>0</v>
      </c>
      <c r="AA375" s="621">
        <v>0</v>
      </c>
      <c r="AB375" s="621">
        <v>0</v>
      </c>
      <c r="AC375" s="621">
        <v>0</v>
      </c>
      <c r="AD375" s="621">
        <v>0</v>
      </c>
      <c r="AE375" s="621">
        <v>0</v>
      </c>
      <c r="AF375" s="621">
        <v>0</v>
      </c>
      <c r="AG375" s="621">
        <v>0</v>
      </c>
      <c r="AH375" s="621">
        <v>0</v>
      </c>
      <c r="AI375" s="621">
        <v>0</v>
      </c>
    </row>
    <row r="376" spans="1:35" ht="14.5">
      <c r="A376" s="990">
        <v>1</v>
      </c>
      <c r="B376" s="990">
        <v>1</v>
      </c>
      <c r="C376" s="990">
        <v>376</v>
      </c>
      <c r="D376" s="1121" t="s">
        <v>999</v>
      </c>
      <c r="E376" s="1463" t="s">
        <v>1521</v>
      </c>
      <c r="F376" s="1459"/>
      <c r="G376" s="5"/>
      <c r="H376" s="616"/>
      <c r="I376" s="617"/>
      <c r="J376" s="618"/>
      <c r="K376" s="618" t="s">
        <v>1534</v>
      </c>
      <c r="L376" s="616"/>
      <c r="M376" s="1770"/>
      <c r="N376" s="620"/>
      <c r="O376" s="620"/>
      <c r="P376" s="620"/>
      <c r="Q376" s="2119">
        <v>0</v>
      </c>
      <c r="R376" s="621">
        <v>0</v>
      </c>
      <c r="S376" s="621">
        <v>0</v>
      </c>
      <c r="T376" s="621">
        <v>0</v>
      </c>
      <c r="U376" s="621">
        <v>0</v>
      </c>
      <c r="V376" s="621">
        <v>0</v>
      </c>
      <c r="W376" s="621">
        <v>0</v>
      </c>
      <c r="X376" s="621">
        <v>0</v>
      </c>
      <c r="Y376" s="621">
        <v>0</v>
      </c>
      <c r="Z376" s="621">
        <v>0</v>
      </c>
      <c r="AA376" s="621">
        <v>0</v>
      </c>
      <c r="AB376" s="621">
        <v>0</v>
      </c>
      <c r="AC376" s="621">
        <v>0</v>
      </c>
      <c r="AD376" s="621">
        <v>0</v>
      </c>
      <c r="AE376" s="621">
        <v>0</v>
      </c>
      <c r="AF376" s="621">
        <v>0</v>
      </c>
      <c r="AG376" s="621">
        <v>0</v>
      </c>
      <c r="AH376" s="621">
        <v>0</v>
      </c>
      <c r="AI376" s="621">
        <v>0</v>
      </c>
    </row>
    <row r="377" spans="1:35" ht="14.5">
      <c r="A377" s="990">
        <v>1</v>
      </c>
      <c r="B377" s="990">
        <v>1</v>
      </c>
      <c r="C377" s="990">
        <v>377</v>
      </c>
      <c r="D377" s="1121" t="s">
        <v>999</v>
      </c>
      <c r="E377" s="1463" t="s">
        <v>1521</v>
      </c>
      <c r="F377" s="1459"/>
      <c r="G377" s="5"/>
      <c r="H377" s="616"/>
      <c r="I377" s="617"/>
      <c r="J377" s="618"/>
      <c r="K377" s="618" t="s">
        <v>1535</v>
      </c>
      <c r="L377" s="616"/>
      <c r="M377" s="1770"/>
      <c r="N377" s="620"/>
      <c r="O377" s="620"/>
      <c r="P377" s="620"/>
      <c r="Q377" s="2119">
        <v>0</v>
      </c>
      <c r="R377" s="621">
        <v>0</v>
      </c>
      <c r="S377" s="621">
        <v>0</v>
      </c>
      <c r="T377" s="621">
        <v>0</v>
      </c>
      <c r="U377" s="621">
        <v>0</v>
      </c>
      <c r="V377" s="621">
        <v>0</v>
      </c>
      <c r="W377" s="621">
        <v>0</v>
      </c>
      <c r="X377" s="621">
        <v>0</v>
      </c>
      <c r="Y377" s="621">
        <v>0</v>
      </c>
      <c r="Z377" s="621">
        <v>0</v>
      </c>
      <c r="AA377" s="621">
        <v>0</v>
      </c>
      <c r="AB377" s="621">
        <v>0</v>
      </c>
      <c r="AC377" s="621">
        <v>0</v>
      </c>
      <c r="AD377" s="621">
        <v>0</v>
      </c>
      <c r="AE377" s="621">
        <v>0</v>
      </c>
      <c r="AF377" s="621">
        <v>0</v>
      </c>
      <c r="AG377" s="621">
        <v>0</v>
      </c>
      <c r="AH377" s="621">
        <v>0</v>
      </c>
      <c r="AI377" s="621">
        <v>0</v>
      </c>
    </row>
    <row r="378" spans="1:35" ht="14.5">
      <c r="A378" s="990">
        <v>1</v>
      </c>
      <c r="B378" s="990">
        <v>1</v>
      </c>
      <c r="C378" s="990">
        <v>1</v>
      </c>
      <c r="D378" s="1121" t="s">
        <v>999</v>
      </c>
      <c r="E378" s="1292" t="s">
        <v>1013</v>
      </c>
      <c r="F378" s="1757"/>
      <c r="G378" s="5"/>
      <c r="H378" s="5"/>
      <c r="I378" s="1348"/>
      <c r="J378" s="1758" t="s">
        <v>47</v>
      </c>
      <c r="K378" s="1758"/>
      <c r="L378" s="1759"/>
      <c r="M378" s="1759"/>
      <c r="N378" s="1759"/>
      <c r="O378" s="1760"/>
      <c r="P378" s="1759"/>
      <c r="Q378" s="2316">
        <v>0</v>
      </c>
      <c r="R378" s="1761">
        <v>0</v>
      </c>
      <c r="S378" s="1761">
        <v>0</v>
      </c>
      <c r="T378" s="1761">
        <v>0</v>
      </c>
      <c r="U378" s="1761">
        <v>0</v>
      </c>
      <c r="V378" s="1761">
        <v>0</v>
      </c>
      <c r="W378" s="1761">
        <v>0</v>
      </c>
      <c r="X378" s="1761">
        <v>0</v>
      </c>
      <c r="Y378" s="1761">
        <v>0</v>
      </c>
      <c r="Z378" s="1761">
        <v>0</v>
      </c>
      <c r="AA378" s="1761">
        <v>0</v>
      </c>
      <c r="AB378" s="1761">
        <v>0</v>
      </c>
      <c r="AC378" s="1761">
        <v>0</v>
      </c>
      <c r="AD378" s="1761">
        <v>0</v>
      </c>
      <c r="AE378" s="1761">
        <v>0</v>
      </c>
      <c r="AF378" s="1761">
        <v>0</v>
      </c>
      <c r="AG378" s="1761">
        <v>0</v>
      </c>
      <c r="AH378" s="1761">
        <v>0</v>
      </c>
      <c r="AI378" s="1761">
        <v>0</v>
      </c>
    </row>
    <row r="379" spans="1:35" ht="14.5">
      <c r="A379" s="990">
        <v>345</v>
      </c>
      <c r="B379" s="990">
        <v>1</v>
      </c>
      <c r="C379" s="990">
        <v>379</v>
      </c>
      <c r="D379" s="1121" t="s">
        <v>999</v>
      </c>
      <c r="E379" s="1463" t="s">
        <v>1521</v>
      </c>
      <c r="F379" s="1459"/>
      <c r="G379" s="1241"/>
      <c r="H379" s="5"/>
      <c r="I379" s="30"/>
      <c r="J379" s="4"/>
      <c r="K379" s="4" t="s">
        <v>12</v>
      </c>
      <c r="L379" s="5"/>
      <c r="M379" s="1144"/>
      <c r="N379" s="4"/>
      <c r="O379" s="4"/>
      <c r="P379" s="4"/>
      <c r="Q379" s="13">
        <v>0</v>
      </c>
      <c r="R379" s="89">
        <v>0</v>
      </c>
      <c r="S379" s="89">
        <v>0</v>
      </c>
      <c r="T379" s="89">
        <v>0</v>
      </c>
      <c r="U379" s="89">
        <v>0</v>
      </c>
      <c r="V379" s="89">
        <v>0</v>
      </c>
      <c r="W379" s="89">
        <v>0</v>
      </c>
      <c r="X379" s="89">
        <v>0</v>
      </c>
      <c r="Y379" s="89">
        <v>0</v>
      </c>
      <c r="Z379" s="89">
        <v>0</v>
      </c>
      <c r="AA379" s="89">
        <v>0</v>
      </c>
      <c r="AB379" s="89">
        <v>0</v>
      </c>
      <c r="AC379" s="89">
        <v>0</v>
      </c>
      <c r="AD379" s="89">
        <v>0</v>
      </c>
      <c r="AE379" s="89">
        <v>0</v>
      </c>
      <c r="AF379" s="89">
        <v>0</v>
      </c>
      <c r="AG379" s="89">
        <v>0</v>
      </c>
      <c r="AH379" s="89">
        <v>0</v>
      </c>
      <c r="AI379" s="89">
        <v>0</v>
      </c>
    </row>
    <row r="380" spans="1:35" ht="14.5">
      <c r="A380" s="990">
        <v>347</v>
      </c>
      <c r="B380" s="990">
        <v>1</v>
      </c>
      <c r="C380" s="990">
        <v>380</v>
      </c>
      <c r="D380" s="1121" t="s">
        <v>999</v>
      </c>
      <c r="E380" s="1463" t="s">
        <v>1521</v>
      </c>
      <c r="F380" s="1459"/>
      <c r="G380" s="5"/>
      <c r="H380" s="5"/>
      <c r="I380" s="30"/>
      <c r="J380" s="4"/>
      <c r="K380" s="4" t="s">
        <v>13</v>
      </c>
      <c r="L380" s="5"/>
      <c r="M380" s="1144"/>
      <c r="N380" s="4"/>
      <c r="O380" s="4"/>
      <c r="P380" s="4"/>
      <c r="Q380" s="13">
        <v>0</v>
      </c>
      <c r="R380" s="89">
        <v>0</v>
      </c>
      <c r="S380" s="89">
        <v>0</v>
      </c>
      <c r="T380" s="89">
        <v>0</v>
      </c>
      <c r="U380" s="89">
        <v>0</v>
      </c>
      <c r="V380" s="89">
        <v>0</v>
      </c>
      <c r="W380" s="89">
        <v>0</v>
      </c>
      <c r="X380" s="89">
        <v>0</v>
      </c>
      <c r="Y380" s="89">
        <v>0</v>
      </c>
      <c r="Z380" s="89">
        <v>0</v>
      </c>
      <c r="AA380" s="89">
        <v>0</v>
      </c>
      <c r="AB380" s="89">
        <v>0</v>
      </c>
      <c r="AC380" s="89">
        <v>0</v>
      </c>
      <c r="AD380" s="89">
        <v>0</v>
      </c>
      <c r="AE380" s="89">
        <v>0</v>
      </c>
      <c r="AF380" s="89">
        <v>0</v>
      </c>
      <c r="AG380" s="89">
        <v>0</v>
      </c>
      <c r="AH380" s="89">
        <v>0</v>
      </c>
      <c r="AI380" s="89">
        <v>0</v>
      </c>
    </row>
    <row r="381" spans="1:35" ht="14.5">
      <c r="A381" s="990">
        <v>348</v>
      </c>
      <c r="B381" s="990">
        <v>1</v>
      </c>
      <c r="C381" s="990">
        <v>381</v>
      </c>
      <c r="D381" s="1121" t="s">
        <v>999</v>
      </c>
      <c r="E381" s="1463" t="s">
        <v>1521</v>
      </c>
      <c r="F381" s="1459"/>
      <c r="G381" s="5"/>
      <c r="H381" s="5"/>
      <c r="I381" s="30"/>
      <c r="J381" s="4"/>
      <c r="K381" s="4" t="s">
        <v>1156</v>
      </c>
      <c r="L381" s="5"/>
      <c r="M381" s="1144"/>
      <c r="N381" s="4"/>
      <c r="O381" s="4"/>
      <c r="P381" s="4"/>
      <c r="Q381" s="13">
        <v>0</v>
      </c>
      <c r="R381" s="89">
        <v>0</v>
      </c>
      <c r="S381" s="89">
        <v>0</v>
      </c>
      <c r="T381" s="89">
        <v>0</v>
      </c>
      <c r="U381" s="89">
        <v>0</v>
      </c>
      <c r="V381" s="89">
        <v>0</v>
      </c>
      <c r="W381" s="89">
        <v>0</v>
      </c>
      <c r="X381" s="89">
        <v>0</v>
      </c>
      <c r="Y381" s="89">
        <v>0</v>
      </c>
      <c r="Z381" s="89">
        <v>0</v>
      </c>
      <c r="AA381" s="89">
        <v>0</v>
      </c>
      <c r="AB381" s="89">
        <v>0</v>
      </c>
      <c r="AC381" s="89">
        <v>0</v>
      </c>
      <c r="AD381" s="89">
        <v>0</v>
      </c>
      <c r="AE381" s="89">
        <v>0</v>
      </c>
      <c r="AF381" s="89">
        <v>0</v>
      </c>
      <c r="AG381" s="89">
        <v>0</v>
      </c>
      <c r="AH381" s="89">
        <v>0</v>
      </c>
      <c r="AI381" s="89">
        <v>0</v>
      </c>
    </row>
    <row r="382" spans="1:35">
      <c r="A382" s="990">
        <v>1</v>
      </c>
      <c r="B382" s="990">
        <v>1</v>
      </c>
      <c r="C382" s="990">
        <v>1</v>
      </c>
      <c r="D382" s="1121" t="s">
        <v>999</v>
      </c>
      <c r="E382" s="1292" t="s">
        <v>1013</v>
      </c>
      <c r="F382" s="1757"/>
      <c r="G382" s="5"/>
      <c r="H382" s="5"/>
      <c r="I382" s="613"/>
      <c r="J382" s="389" t="s">
        <v>1526</v>
      </c>
      <c r="K382" s="389"/>
      <c r="L382" s="72"/>
      <c r="M382" s="72"/>
      <c r="N382" s="389"/>
      <c r="O382" s="389"/>
      <c r="P382" s="1759"/>
      <c r="Q382" s="2316">
        <v>0</v>
      </c>
      <c r="R382" s="1761">
        <v>0</v>
      </c>
      <c r="S382" s="1761">
        <v>0</v>
      </c>
      <c r="T382" s="1761">
        <v>0</v>
      </c>
      <c r="U382" s="1761">
        <v>0</v>
      </c>
      <c r="V382" s="1761">
        <v>0</v>
      </c>
      <c r="W382" s="1761">
        <v>0</v>
      </c>
      <c r="X382" s="1761">
        <v>0</v>
      </c>
      <c r="Y382" s="1761">
        <v>0</v>
      </c>
      <c r="Z382" s="1761">
        <v>0</v>
      </c>
      <c r="AA382" s="1761">
        <v>0</v>
      </c>
      <c r="AB382" s="1761">
        <v>0</v>
      </c>
      <c r="AC382" s="1761">
        <v>0</v>
      </c>
      <c r="AD382" s="1761">
        <v>0</v>
      </c>
      <c r="AE382" s="1761">
        <v>0</v>
      </c>
      <c r="AF382" s="1761">
        <v>0</v>
      </c>
      <c r="AG382" s="1761">
        <v>0</v>
      </c>
      <c r="AH382" s="1761">
        <v>0</v>
      </c>
      <c r="AI382" s="1761">
        <v>0</v>
      </c>
    </row>
    <row r="383" spans="1:35" ht="14.5">
      <c r="A383" s="990">
        <v>346</v>
      </c>
      <c r="B383" s="990">
        <v>1</v>
      </c>
      <c r="C383" s="990">
        <v>383</v>
      </c>
      <c r="D383" s="1121" t="s">
        <v>999</v>
      </c>
      <c r="E383" s="1463" t="s">
        <v>1521</v>
      </c>
      <c r="F383" s="1459"/>
      <c r="G383" s="5"/>
      <c r="H383" s="5"/>
      <c r="I383" s="30"/>
      <c r="J383" s="4"/>
      <c r="K383" s="4" t="s">
        <v>1527</v>
      </c>
      <c r="L383" s="5"/>
      <c r="M383" s="4"/>
      <c r="N383" s="4"/>
      <c r="O383" s="4"/>
      <c r="P383" s="4"/>
      <c r="Q383" s="13">
        <v>0</v>
      </c>
      <c r="R383" s="89">
        <v>0</v>
      </c>
      <c r="S383" s="89">
        <v>0</v>
      </c>
      <c r="T383" s="89">
        <v>0</v>
      </c>
      <c r="U383" s="89">
        <v>0</v>
      </c>
      <c r="V383" s="89">
        <v>0</v>
      </c>
      <c r="W383" s="89">
        <v>0</v>
      </c>
      <c r="X383" s="89">
        <v>0</v>
      </c>
      <c r="Y383" s="89">
        <v>0</v>
      </c>
      <c r="Z383" s="89">
        <v>0</v>
      </c>
      <c r="AA383" s="89">
        <v>0</v>
      </c>
      <c r="AB383" s="89">
        <v>0</v>
      </c>
      <c r="AC383" s="89">
        <v>0</v>
      </c>
      <c r="AD383" s="89">
        <v>0</v>
      </c>
      <c r="AE383" s="89">
        <v>0</v>
      </c>
      <c r="AF383" s="89">
        <v>0</v>
      </c>
      <c r="AG383" s="89">
        <v>0</v>
      </c>
      <c r="AH383" s="89">
        <v>0</v>
      </c>
      <c r="AI383" s="89">
        <v>0</v>
      </c>
    </row>
    <row r="384" spans="1:35" ht="14.5">
      <c r="A384" s="990">
        <v>1</v>
      </c>
      <c r="B384" s="990">
        <v>1</v>
      </c>
      <c r="C384" s="990">
        <v>384</v>
      </c>
      <c r="D384" s="1121" t="s">
        <v>999</v>
      </c>
      <c r="E384" s="1463" t="s">
        <v>1521</v>
      </c>
      <c r="F384" s="1459"/>
      <c r="G384" s="5"/>
      <c r="H384" s="5"/>
      <c r="I384" s="30"/>
      <c r="J384" s="4"/>
      <c r="K384" s="4" t="s">
        <v>1528</v>
      </c>
      <c r="L384" s="5"/>
      <c r="M384" s="1144"/>
      <c r="N384" s="4"/>
      <c r="O384" s="4"/>
      <c r="P384" s="4"/>
      <c r="Q384" s="13">
        <v>0</v>
      </c>
      <c r="R384" s="89">
        <v>0</v>
      </c>
      <c r="S384" s="89">
        <v>0</v>
      </c>
      <c r="T384" s="89">
        <v>0</v>
      </c>
      <c r="U384" s="89">
        <v>0</v>
      </c>
      <c r="V384" s="89">
        <v>0</v>
      </c>
      <c r="W384" s="89">
        <v>0</v>
      </c>
      <c r="X384" s="89">
        <v>0</v>
      </c>
      <c r="Y384" s="89">
        <v>0</v>
      </c>
      <c r="Z384" s="89">
        <v>0</v>
      </c>
      <c r="AA384" s="89">
        <v>0</v>
      </c>
      <c r="AB384" s="89">
        <v>0</v>
      </c>
      <c r="AC384" s="89">
        <v>0</v>
      </c>
      <c r="AD384" s="89">
        <v>0</v>
      </c>
      <c r="AE384" s="89">
        <v>0</v>
      </c>
      <c r="AF384" s="89">
        <v>0</v>
      </c>
      <c r="AG384" s="89">
        <v>0</v>
      </c>
      <c r="AH384" s="89">
        <v>0</v>
      </c>
      <c r="AI384" s="89">
        <v>0</v>
      </c>
    </row>
    <row r="385" spans="1:35" ht="14.5">
      <c r="A385" s="990">
        <v>1</v>
      </c>
      <c r="B385" s="990">
        <v>1</v>
      </c>
      <c r="C385" s="990">
        <v>385</v>
      </c>
      <c r="D385" s="1121" t="s">
        <v>999</v>
      </c>
      <c r="E385" s="1463" t="s">
        <v>1521</v>
      </c>
      <c r="F385" s="1459"/>
      <c r="G385" s="5"/>
      <c r="H385" s="5"/>
      <c r="I385" s="30"/>
      <c r="J385" s="4"/>
      <c r="K385" s="4" t="s">
        <v>1529</v>
      </c>
      <c r="L385" s="5"/>
      <c r="M385" s="4"/>
      <c r="N385" s="4"/>
      <c r="O385" s="4"/>
      <c r="P385" s="4"/>
      <c r="Q385" s="13">
        <v>0</v>
      </c>
      <c r="R385" s="89">
        <v>0</v>
      </c>
      <c r="S385" s="89">
        <v>0</v>
      </c>
      <c r="T385" s="89">
        <v>0</v>
      </c>
      <c r="U385" s="89">
        <v>0</v>
      </c>
      <c r="V385" s="89">
        <v>0</v>
      </c>
      <c r="W385" s="89">
        <v>0</v>
      </c>
      <c r="X385" s="89">
        <v>0</v>
      </c>
      <c r="Y385" s="89">
        <v>0</v>
      </c>
      <c r="Z385" s="89">
        <v>0</v>
      </c>
      <c r="AA385" s="89">
        <v>0</v>
      </c>
      <c r="AB385" s="89">
        <v>0</v>
      </c>
      <c r="AC385" s="89">
        <v>0</v>
      </c>
      <c r="AD385" s="89">
        <v>0</v>
      </c>
      <c r="AE385" s="89">
        <v>0</v>
      </c>
      <c r="AF385" s="89">
        <v>0</v>
      </c>
      <c r="AG385" s="89">
        <v>0</v>
      </c>
      <c r="AH385" s="89">
        <v>0</v>
      </c>
      <c r="AI385" s="89">
        <v>0</v>
      </c>
    </row>
    <row r="386" spans="1:35">
      <c r="A386" s="990">
        <v>350</v>
      </c>
      <c r="B386" s="990">
        <v>1</v>
      </c>
      <c r="C386" s="990">
        <v>386</v>
      </c>
      <c r="D386" s="1121" t="s">
        <v>999</v>
      </c>
      <c r="E386" s="1243">
        <v>1</v>
      </c>
      <c r="F386" s="5"/>
      <c r="G386" s="5"/>
      <c r="H386" s="5"/>
      <c r="I386" s="16" t="s">
        <v>97</v>
      </c>
      <c r="J386" s="580"/>
      <c r="K386" s="580"/>
      <c r="L386" s="580"/>
      <c r="M386" s="580"/>
      <c r="N386" s="580"/>
      <c r="O386" s="580"/>
      <c r="P386" s="580"/>
      <c r="Q386" s="2063">
        <v>0</v>
      </c>
      <c r="R386" s="101">
        <v>0</v>
      </c>
      <c r="S386" s="101">
        <v>0</v>
      </c>
      <c r="T386" s="101">
        <v>0</v>
      </c>
      <c r="U386" s="101">
        <v>0</v>
      </c>
      <c r="V386" s="101">
        <v>0</v>
      </c>
      <c r="W386" s="101">
        <v>0</v>
      </c>
      <c r="X386" s="101">
        <v>0</v>
      </c>
      <c r="Y386" s="101">
        <v>0</v>
      </c>
      <c r="Z386" s="101">
        <v>0</v>
      </c>
      <c r="AA386" s="101">
        <v>0</v>
      </c>
      <c r="AB386" s="101">
        <v>0</v>
      </c>
      <c r="AC386" s="101">
        <v>0</v>
      </c>
      <c r="AD386" s="101">
        <v>0</v>
      </c>
      <c r="AE386" s="101">
        <v>0</v>
      </c>
      <c r="AF386" s="101">
        <v>0</v>
      </c>
      <c r="AG386" s="101">
        <v>0</v>
      </c>
      <c r="AH386" s="101">
        <v>0</v>
      </c>
      <c r="AI386" s="101">
        <v>0</v>
      </c>
    </row>
    <row r="387" spans="1:35">
      <c r="A387" s="990">
        <v>351</v>
      </c>
      <c r="B387" s="990">
        <v>1</v>
      </c>
      <c r="C387" s="990">
        <v>387</v>
      </c>
      <c r="D387" s="1121" t="s">
        <v>999</v>
      </c>
      <c r="E387" s="1243">
        <v>1</v>
      </c>
      <c r="F387" s="5"/>
      <c r="G387" s="5"/>
      <c r="H387" s="5"/>
      <c r="I387" s="30"/>
      <c r="J387" s="40"/>
      <c r="K387" s="1386" t="s">
        <v>143</v>
      </c>
      <c r="L387" s="1387"/>
      <c r="M387" s="1141"/>
      <c r="N387" s="1141"/>
      <c r="O387" s="1141"/>
      <c r="P387" s="1141"/>
      <c r="Q387" s="2210"/>
      <c r="R387" s="2087"/>
      <c r="S387" s="2087"/>
      <c r="T387" s="2087"/>
      <c r="U387" s="2087"/>
      <c r="V387" s="2087"/>
      <c r="W387" s="2087"/>
      <c r="X387" s="2087"/>
      <c r="Y387" s="2087"/>
      <c r="Z387" s="2087"/>
      <c r="AA387" s="2087"/>
      <c r="AB387" s="2087"/>
      <c r="AC387" s="581">
        <v>0</v>
      </c>
      <c r="AD387" s="581">
        <v>0</v>
      </c>
      <c r="AE387" s="581">
        <v>0</v>
      </c>
      <c r="AF387" s="581">
        <v>0</v>
      </c>
      <c r="AG387" s="581">
        <v>0</v>
      </c>
      <c r="AH387" s="581">
        <v>0</v>
      </c>
      <c r="AI387" s="581">
        <v>0</v>
      </c>
    </row>
    <row r="388" spans="1:35">
      <c r="A388" s="990">
        <v>352</v>
      </c>
      <c r="B388" s="990">
        <v>1</v>
      </c>
      <c r="C388" s="990">
        <v>388</v>
      </c>
      <c r="D388" s="1121" t="s">
        <v>999</v>
      </c>
      <c r="E388" s="1243">
        <v>1</v>
      </c>
      <c r="F388" s="5"/>
      <c r="G388" s="5"/>
      <c r="H388" s="5"/>
      <c r="I388" s="30"/>
      <c r="J388" s="40"/>
      <c r="K388" s="1139" t="s">
        <v>96</v>
      </c>
      <c r="L388" s="1140"/>
      <c r="M388" s="1141"/>
      <c r="N388" s="1141"/>
      <c r="O388" s="1141"/>
      <c r="P388" s="1141"/>
      <c r="Q388" s="2215">
        <v>0</v>
      </c>
      <c r="R388" s="2174">
        <v>0</v>
      </c>
      <c r="S388" s="2174">
        <v>0</v>
      </c>
      <c r="T388" s="2174">
        <v>0</v>
      </c>
      <c r="U388" s="2174">
        <v>0</v>
      </c>
      <c r="V388" s="2174">
        <v>0</v>
      </c>
      <c r="W388" s="2174">
        <v>0</v>
      </c>
      <c r="X388" s="2174">
        <v>0</v>
      </c>
      <c r="Y388" s="2174">
        <v>0</v>
      </c>
      <c r="Z388" s="2174">
        <v>0</v>
      </c>
      <c r="AA388" s="2174">
        <v>0</v>
      </c>
      <c r="AB388" s="2174">
        <v>0</v>
      </c>
      <c r="AC388" s="581">
        <v>0</v>
      </c>
      <c r="AD388" s="581">
        <v>0</v>
      </c>
      <c r="AE388" s="581">
        <v>0</v>
      </c>
      <c r="AF388" s="581">
        <v>0</v>
      </c>
      <c r="AG388" s="581">
        <v>0</v>
      </c>
      <c r="AH388" s="581">
        <v>0</v>
      </c>
      <c r="AI388" s="581">
        <v>0</v>
      </c>
    </row>
    <row r="389" spans="1:35">
      <c r="A389" s="990">
        <v>353</v>
      </c>
      <c r="B389" s="990">
        <v>1</v>
      </c>
      <c r="C389" s="990">
        <v>389</v>
      </c>
      <c r="D389" s="1121" t="s">
        <v>999</v>
      </c>
      <c r="E389" s="1243">
        <v>1</v>
      </c>
      <c r="F389" s="5"/>
      <c r="G389" s="5"/>
      <c r="H389" s="5"/>
      <c r="I389" s="30"/>
      <c r="J389" s="40"/>
      <c r="K389" s="1142"/>
      <c r="L389" s="5"/>
      <c r="M389" s="4" t="s">
        <v>899</v>
      </c>
      <c r="N389" s="4"/>
      <c r="O389" s="4"/>
      <c r="P389" s="4"/>
      <c r="Q389" s="2032"/>
      <c r="R389" s="2039"/>
      <c r="S389" s="2039"/>
      <c r="T389" s="2039"/>
      <c r="U389" s="2039"/>
      <c r="V389" s="2039"/>
      <c r="W389" s="2039"/>
      <c r="X389" s="2039"/>
      <c r="Y389" s="2039"/>
      <c r="Z389" s="2039"/>
      <c r="AA389" s="2039"/>
      <c r="AB389" s="2039"/>
      <c r="AC389" s="89">
        <v>0</v>
      </c>
      <c r="AD389" s="89">
        <v>0</v>
      </c>
      <c r="AE389" s="89">
        <v>0</v>
      </c>
      <c r="AF389" s="89">
        <v>0</v>
      </c>
      <c r="AG389" s="89">
        <v>0</v>
      </c>
      <c r="AH389" s="89">
        <v>0</v>
      </c>
      <c r="AI389" s="89">
        <v>0</v>
      </c>
    </row>
    <row r="390" spans="1:35">
      <c r="A390" s="990">
        <v>354</v>
      </c>
      <c r="B390" s="990">
        <v>1</v>
      </c>
      <c r="C390" s="990">
        <v>390</v>
      </c>
      <c r="D390" s="1121" t="s">
        <v>999</v>
      </c>
      <c r="E390" s="1243">
        <v>1</v>
      </c>
      <c r="F390" s="5"/>
      <c r="G390" s="5"/>
      <c r="H390" s="5"/>
      <c r="I390" s="30"/>
      <c r="J390" s="40"/>
      <c r="K390" s="1142"/>
      <c r="L390" s="5"/>
      <c r="M390" s="4" t="s">
        <v>900</v>
      </c>
      <c r="N390" s="4"/>
      <c r="O390" s="4"/>
      <c r="P390" s="4"/>
      <c r="Q390" s="2032"/>
      <c r="R390" s="2039"/>
      <c r="S390" s="2039"/>
      <c r="T390" s="2039"/>
      <c r="U390" s="2039"/>
      <c r="V390" s="2039"/>
      <c r="W390" s="2039"/>
      <c r="X390" s="2039"/>
      <c r="Y390" s="2039"/>
      <c r="Z390" s="2039"/>
      <c r="AA390" s="2039"/>
      <c r="AB390" s="2039"/>
      <c r="AC390" s="89">
        <v>0</v>
      </c>
      <c r="AD390" s="89">
        <v>0</v>
      </c>
      <c r="AE390" s="89">
        <v>0</v>
      </c>
      <c r="AF390" s="89">
        <v>0</v>
      </c>
      <c r="AG390" s="89">
        <v>0</v>
      </c>
      <c r="AH390" s="89">
        <v>0</v>
      </c>
      <c r="AI390" s="89">
        <v>0</v>
      </c>
    </row>
    <row r="391" spans="1:35">
      <c r="A391" s="990">
        <v>355</v>
      </c>
      <c r="B391" s="990">
        <v>1</v>
      </c>
      <c r="C391" s="990">
        <v>391</v>
      </c>
      <c r="D391" s="1121" t="s">
        <v>999</v>
      </c>
      <c r="E391" s="1243">
        <v>1</v>
      </c>
      <c r="F391" s="5"/>
      <c r="G391" s="5"/>
      <c r="H391" s="5"/>
      <c r="I391" s="30"/>
      <c r="J391" s="40"/>
      <c r="K391" s="1142"/>
      <c r="L391" s="5"/>
      <c r="M391" s="4" t="s">
        <v>901</v>
      </c>
      <c r="N391" s="4"/>
      <c r="O391" s="4"/>
      <c r="P391" s="4"/>
      <c r="Q391" s="2032"/>
      <c r="R391" s="2039"/>
      <c r="S391" s="2039"/>
      <c r="T391" s="2039"/>
      <c r="U391" s="2039"/>
      <c r="V391" s="2039"/>
      <c r="W391" s="2039"/>
      <c r="X391" s="2039"/>
      <c r="Y391" s="2039"/>
      <c r="Z391" s="2039"/>
      <c r="AA391" s="2039"/>
      <c r="AB391" s="2039"/>
      <c r="AC391" s="89">
        <v>0</v>
      </c>
      <c r="AD391" s="89">
        <v>0</v>
      </c>
      <c r="AE391" s="89">
        <v>0</v>
      </c>
      <c r="AF391" s="89">
        <v>0</v>
      </c>
      <c r="AG391" s="89">
        <v>0</v>
      </c>
      <c r="AH391" s="89">
        <v>0</v>
      </c>
      <c r="AI391" s="89">
        <v>0</v>
      </c>
    </row>
    <row r="392" spans="1:35">
      <c r="A392" s="990">
        <v>356</v>
      </c>
      <c r="B392" s="990">
        <v>1</v>
      </c>
      <c r="C392" s="990">
        <v>392</v>
      </c>
      <c r="D392" s="1121" t="s">
        <v>999</v>
      </c>
      <c r="E392" s="1243">
        <v>1</v>
      </c>
      <c r="F392" s="5"/>
      <c r="G392" s="5"/>
      <c r="H392" s="5"/>
      <c r="I392" s="30"/>
      <c r="J392" s="40"/>
      <c r="K392" s="1143"/>
      <c r="L392" s="52"/>
      <c r="M392" s="51" t="s">
        <v>902</v>
      </c>
      <c r="N392" s="51"/>
      <c r="O392" s="51"/>
      <c r="P392" s="51"/>
      <c r="Q392" s="2211"/>
      <c r="R392" s="2043"/>
      <c r="S392" s="2043"/>
      <c r="T392" s="2043"/>
      <c r="U392" s="2043"/>
      <c r="V392" s="2043"/>
      <c r="W392" s="2043"/>
      <c r="X392" s="2043"/>
      <c r="Y392" s="2043"/>
      <c r="Z392" s="2043"/>
      <c r="AA392" s="2043"/>
      <c r="AB392" s="2043"/>
      <c r="AC392" s="134">
        <v>0</v>
      </c>
      <c r="AD392" s="134">
        <v>0</v>
      </c>
      <c r="AE392" s="134">
        <v>0</v>
      </c>
      <c r="AF392" s="134">
        <v>0</v>
      </c>
      <c r="AG392" s="134">
        <v>0</v>
      </c>
      <c r="AH392" s="134">
        <v>0</v>
      </c>
      <c r="AI392" s="134">
        <v>0</v>
      </c>
    </row>
    <row r="393" spans="1:35">
      <c r="A393" s="990">
        <v>357</v>
      </c>
      <c r="B393" s="990">
        <v>1</v>
      </c>
      <c r="C393" s="990">
        <v>393</v>
      </c>
      <c r="D393" s="1121" t="s">
        <v>999</v>
      </c>
      <c r="E393" s="1243">
        <v>1</v>
      </c>
      <c r="F393" s="5"/>
      <c r="G393" s="5"/>
      <c r="H393" s="5"/>
      <c r="I393" s="30"/>
      <c r="J393" s="40"/>
      <c r="K393" s="1388" t="s">
        <v>142</v>
      </c>
      <c r="L393" s="1389"/>
      <c r="M393" s="1390"/>
      <c r="N393" s="1390"/>
      <c r="O393" s="1390"/>
      <c r="P393" s="1390"/>
      <c r="Q393" s="2216"/>
      <c r="R393" s="2194"/>
      <c r="S393" s="2194"/>
      <c r="T393" s="2194"/>
      <c r="U393" s="2194"/>
      <c r="V393" s="2194"/>
      <c r="W393" s="2194"/>
      <c r="X393" s="2194"/>
      <c r="Y393" s="2194"/>
      <c r="Z393" s="2194"/>
      <c r="AA393" s="2194"/>
      <c r="AB393" s="2194"/>
      <c r="AC393" s="1391">
        <v>0</v>
      </c>
      <c r="AD393" s="1391">
        <v>0</v>
      </c>
      <c r="AE393" s="1391">
        <v>0</v>
      </c>
      <c r="AF393" s="1391">
        <v>0</v>
      </c>
      <c r="AG393" s="1391">
        <v>0</v>
      </c>
      <c r="AH393" s="1391">
        <v>0</v>
      </c>
      <c r="AI393" s="1391">
        <v>0</v>
      </c>
    </row>
    <row r="394" spans="1:35">
      <c r="A394" s="990">
        <v>1</v>
      </c>
      <c r="B394" s="990">
        <v>1</v>
      </c>
      <c r="C394" s="990">
        <v>1</v>
      </c>
      <c r="D394" s="1121" t="s">
        <v>999</v>
      </c>
      <c r="E394" s="1292" t="s">
        <v>1013</v>
      </c>
      <c r="F394" s="1677"/>
      <c r="G394" s="5"/>
      <c r="H394" s="5"/>
      <c r="I394" s="30"/>
      <c r="J394" s="40"/>
      <c r="K394" s="1672" t="s">
        <v>1536</v>
      </c>
      <c r="L394" s="1078"/>
      <c r="M394" s="1079"/>
      <c r="N394" s="1079"/>
      <c r="O394" s="1079"/>
      <c r="P394" s="1079"/>
      <c r="Q394" s="2269">
        <v>0</v>
      </c>
      <c r="R394" s="2269">
        <v>0</v>
      </c>
      <c r="S394" s="2269">
        <v>0</v>
      </c>
      <c r="T394" s="2269">
        <v>0</v>
      </c>
      <c r="U394" s="2269">
        <v>0</v>
      </c>
      <c r="V394" s="2269">
        <v>0</v>
      </c>
      <c r="W394" s="2269">
        <v>0</v>
      </c>
      <c r="X394" s="2269">
        <v>0</v>
      </c>
      <c r="Y394" s="2269">
        <v>0</v>
      </c>
      <c r="Z394" s="2269">
        <v>0</v>
      </c>
      <c r="AA394" s="2269">
        <v>0</v>
      </c>
      <c r="AB394" s="2269">
        <v>0</v>
      </c>
      <c r="AC394" s="1673">
        <v>0</v>
      </c>
      <c r="AD394" s="1673">
        <v>0</v>
      </c>
      <c r="AE394" s="1673">
        <v>0</v>
      </c>
      <c r="AF394" s="1673">
        <v>0</v>
      </c>
      <c r="AG394" s="1673">
        <v>0</v>
      </c>
      <c r="AH394" s="1673">
        <v>0</v>
      </c>
      <c r="AI394" s="1673">
        <v>0</v>
      </c>
    </row>
    <row r="395" spans="1:35">
      <c r="A395" s="990">
        <v>1</v>
      </c>
      <c r="B395" s="990">
        <v>1</v>
      </c>
      <c r="C395" s="990">
        <v>1</v>
      </c>
      <c r="D395" s="1121" t="s">
        <v>999</v>
      </c>
      <c r="E395" s="1292" t="s">
        <v>1013</v>
      </c>
      <c r="F395" s="1677"/>
      <c r="G395" s="5"/>
      <c r="H395" s="5"/>
      <c r="I395" s="30"/>
      <c r="J395" s="40"/>
      <c r="K395" s="1022"/>
      <c r="L395" s="1022"/>
      <c r="M395" s="1022" t="s">
        <v>143</v>
      </c>
      <c r="N395" s="1079"/>
      <c r="O395" s="1079"/>
      <c r="P395" s="1079"/>
      <c r="Q395" s="2270"/>
      <c r="R395" s="2271"/>
      <c r="S395" s="2271"/>
      <c r="T395" s="2271"/>
      <c r="U395" s="2271"/>
      <c r="V395" s="2271"/>
      <c r="W395" s="2271"/>
      <c r="X395" s="2271"/>
      <c r="Y395" s="2271"/>
      <c r="Z395" s="2271"/>
      <c r="AA395" s="2271"/>
      <c r="AB395" s="2271"/>
      <c r="AC395" s="1673">
        <v>0</v>
      </c>
      <c r="AD395" s="1673">
        <v>0</v>
      </c>
      <c r="AE395" s="1673">
        <v>0</v>
      </c>
      <c r="AF395" s="1673">
        <v>0</v>
      </c>
      <c r="AG395" s="1673">
        <v>0</v>
      </c>
      <c r="AH395" s="1673">
        <v>0</v>
      </c>
      <c r="AI395" s="1673">
        <v>0</v>
      </c>
    </row>
    <row r="396" spans="1:35">
      <c r="A396" s="990">
        <v>1</v>
      </c>
      <c r="B396" s="990">
        <v>1</v>
      </c>
      <c r="C396" s="990">
        <v>1</v>
      </c>
      <c r="D396" s="1121" t="s">
        <v>999</v>
      </c>
      <c r="E396" s="1292" t="s">
        <v>1013</v>
      </c>
      <c r="F396" s="1677"/>
      <c r="G396" s="5"/>
      <c r="H396" s="5"/>
      <c r="I396" s="30"/>
      <c r="J396" s="40"/>
      <c r="K396" s="1022"/>
      <c r="L396" s="1022"/>
      <c r="M396" s="1022" t="s">
        <v>96</v>
      </c>
      <c r="N396" s="1079"/>
      <c r="O396" s="1079"/>
      <c r="P396" s="1079"/>
      <c r="Q396" s="2270"/>
      <c r="R396" s="2271"/>
      <c r="S396" s="2271"/>
      <c r="T396" s="2271"/>
      <c r="U396" s="2271"/>
      <c r="V396" s="2271"/>
      <c r="W396" s="2271"/>
      <c r="X396" s="2271"/>
      <c r="Y396" s="2271"/>
      <c r="Z396" s="2271"/>
      <c r="AA396" s="2271"/>
      <c r="AB396" s="2271"/>
      <c r="AC396" s="1673">
        <v>0</v>
      </c>
      <c r="AD396" s="1673">
        <v>0</v>
      </c>
      <c r="AE396" s="1673">
        <v>0</v>
      </c>
      <c r="AF396" s="1673">
        <v>0</v>
      </c>
      <c r="AG396" s="1673">
        <v>0</v>
      </c>
      <c r="AH396" s="1673">
        <v>0</v>
      </c>
      <c r="AI396" s="1673">
        <v>0</v>
      </c>
    </row>
    <row r="397" spans="1:35">
      <c r="A397" s="990">
        <v>1</v>
      </c>
      <c r="B397" s="990">
        <v>1</v>
      </c>
      <c r="C397" s="990">
        <v>1</v>
      </c>
      <c r="D397" s="1121" t="s">
        <v>999</v>
      </c>
      <c r="E397" s="1292" t="s">
        <v>1013</v>
      </c>
      <c r="F397" s="1677"/>
      <c r="G397" s="5"/>
      <c r="H397" s="5"/>
      <c r="I397" s="30"/>
      <c r="J397" s="40"/>
      <c r="K397" s="1674"/>
      <c r="L397" s="1674"/>
      <c r="M397" s="1674" t="s">
        <v>142</v>
      </c>
      <c r="N397" s="1675"/>
      <c r="O397" s="1675"/>
      <c r="P397" s="1675"/>
      <c r="Q397" s="2272"/>
      <c r="R397" s="2273"/>
      <c r="S397" s="2273"/>
      <c r="T397" s="2273"/>
      <c r="U397" s="2273"/>
      <c r="V397" s="2273"/>
      <c r="W397" s="2273"/>
      <c r="X397" s="2273"/>
      <c r="Y397" s="2273"/>
      <c r="Z397" s="2273"/>
      <c r="AA397" s="2273"/>
      <c r="AB397" s="2273"/>
      <c r="AC397" s="1676">
        <v>0</v>
      </c>
      <c r="AD397" s="1676">
        <v>0</v>
      </c>
      <c r="AE397" s="1676">
        <v>0</v>
      </c>
      <c r="AF397" s="1676">
        <v>0</v>
      </c>
      <c r="AG397" s="1676">
        <v>0</v>
      </c>
      <c r="AH397" s="1676">
        <v>0</v>
      </c>
      <c r="AI397" s="1676">
        <v>0</v>
      </c>
    </row>
    <row r="398" spans="1:35">
      <c r="A398" s="990">
        <v>1</v>
      </c>
      <c r="B398" s="990">
        <v>1</v>
      </c>
      <c r="C398" s="990">
        <v>1</v>
      </c>
      <c r="D398" s="1121" t="s">
        <v>999</v>
      </c>
      <c r="E398" s="1292" t="s">
        <v>1013</v>
      </c>
      <c r="F398" s="1677"/>
      <c r="G398" s="5"/>
      <c r="H398" s="5"/>
      <c r="I398" s="30"/>
      <c r="J398" s="40"/>
      <c r="K398" s="1672" t="s">
        <v>1537</v>
      </c>
      <c r="L398" s="1078"/>
      <c r="M398" s="1079"/>
      <c r="N398" s="1079"/>
      <c r="O398" s="1079"/>
      <c r="P398" s="1079"/>
      <c r="Q398" s="2274">
        <v>0</v>
      </c>
      <c r="R398" s="2274">
        <v>0</v>
      </c>
      <c r="S398" s="2274">
        <v>0</v>
      </c>
      <c r="T398" s="2274">
        <v>0</v>
      </c>
      <c r="U398" s="2274">
        <v>0</v>
      </c>
      <c r="V398" s="2274">
        <v>0</v>
      </c>
      <c r="W398" s="2274">
        <v>0</v>
      </c>
      <c r="X398" s="2274">
        <v>0</v>
      </c>
      <c r="Y398" s="2274">
        <v>0</v>
      </c>
      <c r="Z398" s="2274">
        <v>0</v>
      </c>
      <c r="AA398" s="2274">
        <v>0</v>
      </c>
      <c r="AB398" s="2274">
        <v>0</v>
      </c>
      <c r="AC398" s="1673">
        <v>0</v>
      </c>
      <c r="AD398" s="1673">
        <v>0</v>
      </c>
      <c r="AE398" s="1673">
        <v>0</v>
      </c>
      <c r="AF398" s="1673">
        <v>0</v>
      </c>
      <c r="AG398" s="1673">
        <v>0</v>
      </c>
      <c r="AH398" s="1673">
        <v>0</v>
      </c>
      <c r="AI398" s="1673">
        <v>0</v>
      </c>
    </row>
    <row r="399" spans="1:35">
      <c r="A399" s="990">
        <v>1</v>
      </c>
      <c r="B399" s="990">
        <v>1</v>
      </c>
      <c r="C399" s="990">
        <v>1</v>
      </c>
      <c r="D399" s="9" t="s">
        <v>999</v>
      </c>
      <c r="E399" s="1292" t="s">
        <v>1013</v>
      </c>
      <c r="F399" s="1677"/>
      <c r="G399" s="5"/>
      <c r="H399" s="5"/>
      <c r="I399" s="30"/>
      <c r="J399" s="40"/>
      <c r="K399" s="1022"/>
      <c r="L399" s="1022"/>
      <c r="M399" s="1022" t="s">
        <v>143</v>
      </c>
      <c r="N399" s="1079"/>
      <c r="O399" s="1079"/>
      <c r="P399" s="1079"/>
      <c r="Q399" s="1006">
        <v>0</v>
      </c>
      <c r="R399" s="2275">
        <v>0</v>
      </c>
      <c r="S399" s="2275">
        <v>0</v>
      </c>
      <c r="T399" s="2275">
        <v>0</v>
      </c>
      <c r="U399" s="2275">
        <v>0</v>
      </c>
      <c r="V399" s="2275">
        <v>0</v>
      </c>
      <c r="W399" s="2275">
        <v>0</v>
      </c>
      <c r="X399" s="2275">
        <v>0</v>
      </c>
      <c r="Y399" s="2275">
        <v>0</v>
      </c>
      <c r="Z399" s="2275">
        <v>0</v>
      </c>
      <c r="AA399" s="2275">
        <v>0</v>
      </c>
      <c r="AB399" s="2275">
        <v>0</v>
      </c>
      <c r="AC399" s="1673">
        <v>0</v>
      </c>
      <c r="AD399" s="1673">
        <v>0</v>
      </c>
      <c r="AE399" s="1673">
        <v>0</v>
      </c>
      <c r="AF399" s="1673">
        <v>0</v>
      </c>
      <c r="AG399" s="1673">
        <v>0</v>
      </c>
      <c r="AH399" s="1673">
        <v>0</v>
      </c>
      <c r="AI399" s="1673">
        <v>0</v>
      </c>
    </row>
    <row r="400" spans="1:35">
      <c r="A400" s="990">
        <v>1</v>
      </c>
      <c r="B400" s="990">
        <v>1</v>
      </c>
      <c r="C400" s="990">
        <v>1</v>
      </c>
      <c r="D400" s="9" t="s">
        <v>999</v>
      </c>
      <c r="E400" s="1292" t="s">
        <v>1013</v>
      </c>
      <c r="F400" s="1677"/>
      <c r="G400" s="5"/>
      <c r="H400" s="5"/>
      <c r="I400" s="30"/>
      <c r="J400" s="40"/>
      <c r="K400" s="1022"/>
      <c r="L400" s="1022"/>
      <c r="M400" s="1022" t="s">
        <v>96</v>
      </c>
      <c r="N400" s="1079"/>
      <c r="O400" s="1079"/>
      <c r="P400" s="1079"/>
      <c r="Q400" s="1006">
        <v>0</v>
      </c>
      <c r="R400" s="2275">
        <v>0</v>
      </c>
      <c r="S400" s="2275">
        <v>0</v>
      </c>
      <c r="T400" s="2275">
        <v>0</v>
      </c>
      <c r="U400" s="2275">
        <v>0</v>
      </c>
      <c r="V400" s="2275">
        <v>0</v>
      </c>
      <c r="W400" s="2275">
        <v>0</v>
      </c>
      <c r="X400" s="2275">
        <v>0</v>
      </c>
      <c r="Y400" s="2275">
        <v>0</v>
      </c>
      <c r="Z400" s="2275">
        <v>0</v>
      </c>
      <c r="AA400" s="2275">
        <v>0</v>
      </c>
      <c r="AB400" s="2275">
        <v>0</v>
      </c>
      <c r="AC400" s="1673">
        <v>0</v>
      </c>
      <c r="AD400" s="1673">
        <v>0</v>
      </c>
      <c r="AE400" s="1673">
        <v>0</v>
      </c>
      <c r="AF400" s="1673">
        <v>0</v>
      </c>
      <c r="AG400" s="1673">
        <v>0</v>
      </c>
      <c r="AH400" s="1673">
        <v>0</v>
      </c>
      <c r="AI400" s="1673">
        <v>0</v>
      </c>
    </row>
    <row r="401" spans="1:35">
      <c r="A401" s="990">
        <v>1</v>
      </c>
      <c r="B401" s="990">
        <v>1</v>
      </c>
      <c r="C401" s="990">
        <v>1</v>
      </c>
      <c r="D401" s="9" t="s">
        <v>999</v>
      </c>
      <c r="E401" s="1292" t="s">
        <v>1013</v>
      </c>
      <c r="F401" s="1677"/>
      <c r="G401" s="5"/>
      <c r="H401" s="5"/>
      <c r="I401" s="30"/>
      <c r="J401" s="40"/>
      <c r="K401" s="1022"/>
      <c r="L401" s="1022"/>
      <c r="M401" s="1022" t="s">
        <v>142</v>
      </c>
      <c r="N401" s="1079"/>
      <c r="O401" s="1079"/>
      <c r="P401" s="1079"/>
      <c r="Q401" s="1012">
        <v>0</v>
      </c>
      <c r="R401" s="2276">
        <v>0</v>
      </c>
      <c r="S401" s="2276">
        <v>0</v>
      </c>
      <c r="T401" s="2276">
        <v>0</v>
      </c>
      <c r="U401" s="2276">
        <v>0</v>
      </c>
      <c r="V401" s="2276">
        <v>0</v>
      </c>
      <c r="W401" s="2276">
        <v>0</v>
      </c>
      <c r="X401" s="2276">
        <v>0</v>
      </c>
      <c r="Y401" s="2276">
        <v>0</v>
      </c>
      <c r="Z401" s="2276">
        <v>0</v>
      </c>
      <c r="AA401" s="2276">
        <v>0</v>
      </c>
      <c r="AB401" s="2276">
        <v>0</v>
      </c>
      <c r="AC401" s="1673">
        <v>0</v>
      </c>
      <c r="AD401" s="1673">
        <v>0</v>
      </c>
      <c r="AE401" s="1673">
        <v>0</v>
      </c>
      <c r="AF401" s="1673">
        <v>0</v>
      </c>
      <c r="AG401" s="1673">
        <v>0</v>
      </c>
      <c r="AH401" s="1673">
        <v>0</v>
      </c>
      <c r="AI401" s="1673">
        <v>0</v>
      </c>
    </row>
    <row r="402" spans="1:35">
      <c r="A402" s="990">
        <v>358</v>
      </c>
      <c r="B402" s="990">
        <v>1</v>
      </c>
      <c r="C402" s="990">
        <v>402</v>
      </c>
      <c r="D402" s="9" t="s">
        <v>999</v>
      </c>
      <c r="E402" s="1243">
        <v>1</v>
      </c>
      <c r="F402" s="5"/>
      <c r="G402" s="5"/>
      <c r="H402" s="5"/>
      <c r="I402" s="2622" t="s">
        <v>136</v>
      </c>
      <c r="J402" s="1195"/>
      <c r="K402" s="1196"/>
      <c r="L402" s="1196"/>
      <c r="M402" s="1196"/>
      <c r="N402" s="1196"/>
      <c r="O402" s="1196"/>
      <c r="P402" s="1196"/>
      <c r="Q402" s="2132">
        <v>0</v>
      </c>
      <c r="R402" s="136">
        <v>0</v>
      </c>
      <c r="S402" s="136">
        <v>0</v>
      </c>
      <c r="T402" s="136">
        <v>0</v>
      </c>
      <c r="U402" s="136">
        <v>0</v>
      </c>
      <c r="V402" s="136">
        <v>0</v>
      </c>
      <c r="W402" s="136">
        <v>0</v>
      </c>
      <c r="X402" s="136">
        <v>0</v>
      </c>
      <c r="Y402" s="136">
        <v>0</v>
      </c>
      <c r="Z402" s="136">
        <v>0</v>
      </c>
      <c r="AA402" s="136">
        <v>0</v>
      </c>
      <c r="AB402" s="136">
        <v>0</v>
      </c>
      <c r="AC402" s="136">
        <v>0</v>
      </c>
      <c r="AD402" s="136">
        <v>0</v>
      </c>
      <c r="AE402" s="136">
        <v>0</v>
      </c>
      <c r="AF402" s="136">
        <v>0</v>
      </c>
      <c r="AG402" s="136">
        <v>0</v>
      </c>
      <c r="AH402" s="136">
        <v>0</v>
      </c>
      <c r="AI402" s="136">
        <v>0</v>
      </c>
    </row>
    <row r="403" spans="1:35" ht="14.5">
      <c r="A403" s="990">
        <v>359</v>
      </c>
      <c r="B403" s="990">
        <v>1</v>
      </c>
      <c r="C403" s="990">
        <v>403</v>
      </c>
      <c r="D403" s="9" t="s">
        <v>999</v>
      </c>
      <c r="E403" s="1243">
        <v>1</v>
      </c>
      <c r="F403" s="5"/>
      <c r="G403" s="5"/>
      <c r="H403" s="5"/>
      <c r="I403" s="30"/>
      <c r="J403" s="618" t="s">
        <v>135</v>
      </c>
      <c r="K403" s="5"/>
      <c r="L403" s="5"/>
      <c r="M403" s="4"/>
      <c r="N403" s="4"/>
      <c r="O403" s="4"/>
      <c r="P403" s="4"/>
      <c r="Q403" s="2119">
        <v>0</v>
      </c>
      <c r="R403" s="621">
        <v>0</v>
      </c>
      <c r="S403" s="621">
        <v>0</v>
      </c>
      <c r="T403" s="621">
        <v>0</v>
      </c>
      <c r="U403" s="621">
        <v>0</v>
      </c>
      <c r="V403" s="621">
        <v>0</v>
      </c>
      <c r="W403" s="621">
        <v>0</v>
      </c>
      <c r="X403" s="621">
        <v>0</v>
      </c>
      <c r="Y403" s="621">
        <v>0</v>
      </c>
      <c r="Z403" s="621">
        <v>0</v>
      </c>
      <c r="AA403" s="621">
        <v>0</v>
      </c>
      <c r="AB403" s="621">
        <v>0</v>
      </c>
      <c r="AC403" s="621">
        <v>0</v>
      </c>
      <c r="AD403" s="621">
        <v>0</v>
      </c>
      <c r="AE403" s="621">
        <v>0</v>
      </c>
      <c r="AF403" s="621">
        <v>0</v>
      </c>
      <c r="AG403" s="621">
        <v>0</v>
      </c>
      <c r="AH403" s="621">
        <v>0</v>
      </c>
      <c r="AI403" s="621">
        <v>0</v>
      </c>
    </row>
    <row r="404" spans="1:35">
      <c r="A404" s="990">
        <v>1</v>
      </c>
      <c r="B404" s="990">
        <v>1</v>
      </c>
      <c r="C404" s="990">
        <v>1</v>
      </c>
      <c r="D404" s="9" t="s">
        <v>999</v>
      </c>
      <c r="E404" s="1292" t="s">
        <v>1013</v>
      </c>
      <c r="F404" s="1677"/>
      <c r="G404" s="5"/>
      <c r="H404" s="5"/>
      <c r="I404" s="30"/>
      <c r="J404" s="389" t="s">
        <v>1538</v>
      </c>
      <c r="K404" s="1769"/>
      <c r="L404" s="1769"/>
      <c r="M404" s="389"/>
      <c r="N404" s="389"/>
      <c r="O404" s="389"/>
      <c r="P404" s="389"/>
      <c r="Q404" s="2318">
        <v>0</v>
      </c>
      <c r="R404" s="1771">
        <v>0</v>
      </c>
      <c r="S404" s="1771">
        <v>0</v>
      </c>
      <c r="T404" s="1771">
        <v>0</v>
      </c>
      <c r="U404" s="1771">
        <v>0</v>
      </c>
      <c r="V404" s="1771">
        <v>0</v>
      </c>
      <c r="W404" s="1771">
        <v>0</v>
      </c>
      <c r="X404" s="1771">
        <v>0</v>
      </c>
      <c r="Y404" s="1771">
        <v>0</v>
      </c>
      <c r="Z404" s="1771">
        <v>0</v>
      </c>
      <c r="AA404" s="1771">
        <v>0</v>
      </c>
      <c r="AB404" s="1771">
        <v>0</v>
      </c>
      <c r="AC404" s="1771">
        <v>0</v>
      </c>
      <c r="AD404" s="1771">
        <v>0</v>
      </c>
      <c r="AE404" s="1771">
        <v>0</v>
      </c>
      <c r="AF404" s="1771">
        <v>0</v>
      </c>
      <c r="AG404" s="1771">
        <v>0</v>
      </c>
      <c r="AH404" s="1771">
        <v>0</v>
      </c>
      <c r="AI404" s="1771">
        <v>0</v>
      </c>
    </row>
    <row r="405" spans="1:35">
      <c r="A405" s="990">
        <v>1</v>
      </c>
      <c r="B405" s="990">
        <v>1</v>
      </c>
      <c r="C405" s="990">
        <v>1</v>
      </c>
      <c r="D405" s="9" t="s">
        <v>999</v>
      </c>
      <c r="E405" s="1292" t="s">
        <v>1013</v>
      </c>
      <c r="F405" s="1677"/>
      <c r="G405" s="5"/>
      <c r="H405" s="5"/>
      <c r="I405" s="30"/>
      <c r="J405" s="389" t="s">
        <v>1539</v>
      </c>
      <c r="K405" s="1769"/>
      <c r="L405" s="1769"/>
      <c r="M405" s="389"/>
      <c r="N405" s="389"/>
      <c r="O405" s="389"/>
      <c r="P405" s="389"/>
      <c r="Q405" s="2318">
        <v>0</v>
      </c>
      <c r="R405" s="1771">
        <v>0</v>
      </c>
      <c r="S405" s="1771">
        <v>0</v>
      </c>
      <c r="T405" s="1771">
        <v>0</v>
      </c>
      <c r="U405" s="1771">
        <v>0</v>
      </c>
      <c r="V405" s="1771">
        <v>0</v>
      </c>
      <c r="W405" s="1771">
        <v>0</v>
      </c>
      <c r="X405" s="1771">
        <v>0</v>
      </c>
      <c r="Y405" s="1771">
        <v>0</v>
      </c>
      <c r="Z405" s="1771">
        <v>0</v>
      </c>
      <c r="AA405" s="1771">
        <v>0</v>
      </c>
      <c r="AB405" s="1771">
        <v>0</v>
      </c>
      <c r="AC405" s="1771">
        <v>0</v>
      </c>
      <c r="AD405" s="1771">
        <v>0</v>
      </c>
      <c r="AE405" s="1771">
        <v>0</v>
      </c>
      <c r="AF405" s="1771">
        <v>0</v>
      </c>
      <c r="AG405" s="1771">
        <v>0</v>
      </c>
      <c r="AH405" s="1771">
        <v>0</v>
      </c>
      <c r="AI405" s="1771">
        <v>0</v>
      </c>
    </row>
    <row r="406" spans="1:35">
      <c r="A406" s="990">
        <v>360</v>
      </c>
      <c r="B406" s="990">
        <v>1</v>
      </c>
      <c r="C406" s="990">
        <v>406</v>
      </c>
      <c r="D406" s="9" t="s">
        <v>999</v>
      </c>
      <c r="E406" s="1243">
        <v>1</v>
      </c>
      <c r="F406" s="5"/>
      <c r="G406" s="5"/>
      <c r="H406" s="5"/>
      <c r="I406" s="58" t="s">
        <v>504</v>
      </c>
      <c r="J406" s="555"/>
      <c r="K406" s="636"/>
      <c r="L406" s="636"/>
      <c r="M406" s="555"/>
      <c r="N406" s="555"/>
      <c r="O406" s="555"/>
      <c r="P406" s="555"/>
      <c r="Q406" s="2212"/>
      <c r="R406" s="2618"/>
      <c r="S406" s="2618"/>
      <c r="T406" s="2618"/>
      <c r="U406" s="2618"/>
      <c r="V406" s="2618"/>
      <c r="W406" s="2618"/>
      <c r="X406" s="2618"/>
      <c r="Y406" s="2618"/>
      <c r="Z406" s="2618"/>
      <c r="AA406" s="2618"/>
      <c r="AB406" s="2618"/>
      <c r="AC406" s="122">
        <v>0</v>
      </c>
      <c r="AD406" s="122">
        <v>0</v>
      </c>
      <c r="AE406" s="122">
        <v>0</v>
      </c>
      <c r="AF406" s="122">
        <v>0</v>
      </c>
      <c r="AG406" s="122">
        <v>0</v>
      </c>
      <c r="AH406" s="122">
        <v>0</v>
      </c>
      <c r="AI406" s="122">
        <v>0</v>
      </c>
    </row>
    <row r="407" spans="1:35">
      <c r="A407" s="990">
        <v>361</v>
      </c>
      <c r="B407" s="990">
        <v>1</v>
      </c>
      <c r="C407" s="990">
        <v>407</v>
      </c>
      <c r="D407" s="9" t="s">
        <v>999</v>
      </c>
      <c r="E407" s="1243">
        <v>1</v>
      </c>
      <c r="F407" s="5"/>
      <c r="G407" s="5"/>
      <c r="H407" s="5"/>
      <c r="I407" s="121" t="s">
        <v>1002</v>
      </c>
      <c r="J407" s="119"/>
      <c r="K407" s="120"/>
      <c r="L407" s="120"/>
      <c r="M407" s="119"/>
      <c r="N407" s="119"/>
      <c r="O407" s="119"/>
      <c r="P407" s="119"/>
      <c r="Q407" s="2031"/>
      <c r="R407" s="2035"/>
      <c r="S407" s="2035"/>
      <c r="T407" s="2035"/>
      <c r="U407" s="2035"/>
      <c r="V407" s="2035"/>
      <c r="W407" s="2035"/>
      <c r="X407" s="2035"/>
      <c r="Y407" s="2035"/>
      <c r="Z407" s="2035"/>
      <c r="AA407" s="2035"/>
      <c r="AB407" s="2035"/>
      <c r="AC407" s="92">
        <v>0</v>
      </c>
      <c r="AD407" s="92">
        <v>0</v>
      </c>
      <c r="AE407" s="92">
        <v>0</v>
      </c>
      <c r="AF407" s="92">
        <v>0</v>
      </c>
      <c r="AG407" s="92">
        <v>0</v>
      </c>
      <c r="AH407" s="92">
        <v>0</v>
      </c>
      <c r="AI407" s="92">
        <v>0</v>
      </c>
    </row>
    <row r="408" spans="1:35">
      <c r="A408" s="990">
        <v>362</v>
      </c>
      <c r="B408" s="990">
        <v>1</v>
      </c>
      <c r="C408" s="990">
        <v>408</v>
      </c>
      <c r="D408" s="9" t="s">
        <v>999</v>
      </c>
      <c r="E408" s="1243">
        <v>1</v>
      </c>
      <c r="F408" s="5"/>
      <c r="G408" s="5"/>
      <c r="H408" s="5"/>
      <c r="I408" s="2622" t="s">
        <v>10</v>
      </c>
      <c r="J408" s="1195"/>
      <c r="K408" s="1196"/>
      <c r="L408" s="1196"/>
      <c r="M408" s="1196"/>
      <c r="N408" s="1196"/>
      <c r="O408" s="1196"/>
      <c r="P408" s="1196"/>
      <c r="Q408" s="2132">
        <v>0</v>
      </c>
      <c r="R408" s="136">
        <v>0</v>
      </c>
      <c r="S408" s="136">
        <v>0</v>
      </c>
      <c r="T408" s="136">
        <v>0</v>
      </c>
      <c r="U408" s="136">
        <v>0</v>
      </c>
      <c r="V408" s="136">
        <v>0</v>
      </c>
      <c r="W408" s="136">
        <v>0</v>
      </c>
      <c r="X408" s="136">
        <v>0</v>
      </c>
      <c r="Y408" s="136">
        <v>0</v>
      </c>
      <c r="Z408" s="136">
        <v>0</v>
      </c>
      <c r="AA408" s="136">
        <v>0</v>
      </c>
      <c r="AB408" s="136">
        <v>0</v>
      </c>
      <c r="AC408" s="136">
        <v>0</v>
      </c>
      <c r="AD408" s="136">
        <v>0</v>
      </c>
      <c r="AE408" s="136">
        <v>0</v>
      </c>
      <c r="AF408" s="136">
        <v>0</v>
      </c>
      <c r="AG408" s="136">
        <v>0</v>
      </c>
      <c r="AH408" s="136">
        <v>0</v>
      </c>
      <c r="AI408" s="136">
        <v>0</v>
      </c>
    </row>
    <row r="409" spans="1:35" ht="14.5" collapsed="1">
      <c r="A409" s="990">
        <v>363</v>
      </c>
      <c r="B409" s="990">
        <v>1</v>
      </c>
      <c r="C409" s="990">
        <v>409</v>
      </c>
      <c r="D409" s="9" t="s">
        <v>999</v>
      </c>
      <c r="E409" s="1243">
        <v>1</v>
      </c>
      <c r="F409" s="5"/>
      <c r="G409" s="5"/>
      <c r="H409" s="5"/>
      <c r="I409" s="28"/>
      <c r="J409" s="629" t="s">
        <v>135</v>
      </c>
      <c r="K409" s="3"/>
      <c r="L409" s="3"/>
      <c r="M409" s="2"/>
      <c r="N409" s="2"/>
      <c r="O409" s="2"/>
      <c r="P409" s="2"/>
      <c r="Q409" s="2138">
        <v>0</v>
      </c>
      <c r="R409" s="866">
        <v>0</v>
      </c>
      <c r="S409" s="866">
        <v>0</v>
      </c>
      <c r="T409" s="866">
        <v>0</v>
      </c>
      <c r="U409" s="866">
        <v>0</v>
      </c>
      <c r="V409" s="866">
        <v>0</v>
      </c>
      <c r="W409" s="866">
        <v>0</v>
      </c>
      <c r="X409" s="866">
        <v>0</v>
      </c>
      <c r="Y409" s="866">
        <v>0</v>
      </c>
      <c r="Z409" s="866">
        <v>0</v>
      </c>
      <c r="AA409" s="866">
        <v>0</v>
      </c>
      <c r="AB409" s="866">
        <v>0</v>
      </c>
      <c r="AC409" s="866">
        <v>0</v>
      </c>
      <c r="AD409" s="866">
        <v>0</v>
      </c>
      <c r="AE409" s="866">
        <v>0</v>
      </c>
      <c r="AF409" s="866">
        <v>0</v>
      </c>
      <c r="AG409" s="866">
        <v>0</v>
      </c>
      <c r="AH409" s="866">
        <v>0</v>
      </c>
      <c r="AI409" s="866">
        <v>0</v>
      </c>
    </row>
    <row r="410" spans="1:35">
      <c r="A410" s="990">
        <v>364</v>
      </c>
      <c r="B410" s="990">
        <v>1</v>
      </c>
      <c r="C410" s="990">
        <v>410</v>
      </c>
      <c r="D410" s="9" t="s">
        <v>999</v>
      </c>
      <c r="E410" s="1255">
        <v>1</v>
      </c>
      <c r="F410" s="9"/>
      <c r="G410" s="1241"/>
      <c r="H410" s="5"/>
      <c r="I410" s="5"/>
      <c r="J410" s="4"/>
      <c r="K410" s="2620" t="s">
        <v>1069</v>
      </c>
      <c r="L410" s="1116"/>
      <c r="M410" s="798"/>
      <c r="N410" s="798"/>
      <c r="O410" s="798"/>
      <c r="P410" s="798"/>
      <c r="Q410" s="2186">
        <v>0</v>
      </c>
      <c r="R410" s="2186">
        <v>0</v>
      </c>
      <c r="S410" s="2186">
        <v>0</v>
      </c>
      <c r="T410" s="2186">
        <v>0</v>
      </c>
      <c r="U410" s="2186">
        <v>0</v>
      </c>
      <c r="V410" s="2186">
        <v>0</v>
      </c>
      <c r="W410" s="2186">
        <v>0</v>
      </c>
      <c r="X410" s="2186">
        <v>0</v>
      </c>
      <c r="Y410" s="2186">
        <v>0</v>
      </c>
      <c r="Z410" s="2186">
        <v>0</v>
      </c>
      <c r="AA410" s="2186">
        <v>0</v>
      </c>
      <c r="AB410" s="2186">
        <v>0</v>
      </c>
      <c r="AC410" s="2621">
        <v>0</v>
      </c>
      <c r="AD410" s="2186">
        <v>0</v>
      </c>
      <c r="AE410" s="2186">
        <v>0</v>
      </c>
      <c r="AF410" s="2186">
        <v>0</v>
      </c>
      <c r="AG410" s="2186">
        <v>0</v>
      </c>
      <c r="AH410" s="2186">
        <v>0</v>
      </c>
      <c r="AI410" s="2186">
        <v>0</v>
      </c>
    </row>
    <row r="411" spans="1:35">
      <c r="A411" s="990">
        <v>365</v>
      </c>
      <c r="B411" s="990">
        <v>1</v>
      </c>
      <c r="C411" s="990">
        <v>411</v>
      </c>
      <c r="D411" s="9" t="s">
        <v>999</v>
      </c>
      <c r="E411" s="1255">
        <v>1</v>
      </c>
      <c r="F411" s="9"/>
      <c r="G411" s="1241"/>
      <c r="H411" s="5"/>
      <c r="I411" s="5"/>
      <c r="J411" s="4"/>
      <c r="K411" s="30"/>
      <c r="L411" s="556" t="s">
        <v>884</v>
      </c>
      <c r="M411" s="323"/>
      <c r="N411" s="323"/>
      <c r="O411" s="323"/>
      <c r="P411" s="323"/>
      <c r="Q411" s="325">
        <v>0</v>
      </c>
      <c r="R411" s="325">
        <v>0</v>
      </c>
      <c r="S411" s="325">
        <v>0</v>
      </c>
      <c r="T411" s="325">
        <v>0</v>
      </c>
      <c r="U411" s="325">
        <v>0</v>
      </c>
      <c r="V411" s="325">
        <v>0</v>
      </c>
      <c r="W411" s="361">
        <v>0</v>
      </c>
      <c r="X411" s="361">
        <v>0</v>
      </c>
      <c r="Y411" s="361">
        <v>0</v>
      </c>
      <c r="Z411" s="1117">
        <v>0</v>
      </c>
      <c r="AA411" s="1117">
        <v>0</v>
      </c>
      <c r="AB411" s="1117">
        <v>0</v>
      </c>
      <c r="AC411" s="1523">
        <v>0</v>
      </c>
      <c r="AD411" s="1117">
        <v>0</v>
      </c>
      <c r="AE411" s="1117">
        <v>0</v>
      </c>
      <c r="AF411" s="1117">
        <v>0</v>
      </c>
      <c r="AG411" s="1117">
        <v>0</v>
      </c>
      <c r="AH411" s="1117">
        <v>0</v>
      </c>
      <c r="AI411" s="1117">
        <v>0</v>
      </c>
    </row>
    <row r="412" spans="1:35">
      <c r="A412" s="990">
        <v>366</v>
      </c>
      <c r="B412" s="990">
        <v>1</v>
      </c>
      <c r="C412" s="990">
        <v>412</v>
      </c>
      <c r="D412" s="9" t="s">
        <v>999</v>
      </c>
      <c r="E412" s="1255">
        <v>1</v>
      </c>
      <c r="F412" s="9"/>
      <c r="G412" s="1241"/>
      <c r="H412" s="5"/>
      <c r="I412" s="5"/>
      <c r="J412" s="4"/>
      <c r="K412" s="30"/>
      <c r="L412" s="30"/>
      <c r="M412" s="40" t="s">
        <v>143</v>
      </c>
      <c r="N412" s="4"/>
      <c r="O412" s="4"/>
      <c r="P412" s="4"/>
      <c r="Q412" s="2159"/>
      <c r="R412" s="2159"/>
      <c r="S412" s="2159"/>
      <c r="T412" s="2159"/>
      <c r="U412" s="2159"/>
      <c r="V412" s="2159"/>
      <c r="W412" s="2091"/>
      <c r="X412" s="2091"/>
      <c r="Y412" s="2091"/>
      <c r="Z412" s="2160"/>
      <c r="AA412" s="2160"/>
      <c r="AB412" s="2160"/>
      <c r="AC412" s="144">
        <v>0</v>
      </c>
      <c r="AD412" s="145">
        <v>0</v>
      </c>
      <c r="AE412" s="145">
        <v>0</v>
      </c>
      <c r="AF412" s="145">
        <v>0</v>
      </c>
      <c r="AG412" s="145">
        <v>0</v>
      </c>
      <c r="AH412" s="145">
        <v>0</v>
      </c>
      <c r="AI412" s="145">
        <v>0</v>
      </c>
    </row>
    <row r="413" spans="1:35">
      <c r="A413" s="990">
        <v>367</v>
      </c>
      <c r="B413" s="990">
        <v>1</v>
      </c>
      <c r="C413" s="990">
        <v>413</v>
      </c>
      <c r="D413" s="9" t="s">
        <v>999</v>
      </c>
      <c r="E413" s="1255">
        <v>1</v>
      </c>
      <c r="F413" s="9"/>
      <c r="G413" s="1241"/>
      <c r="H413" s="5"/>
      <c r="I413" s="5"/>
      <c r="J413" s="4"/>
      <c r="K413" s="30"/>
      <c r="L413" s="30"/>
      <c r="M413" s="40" t="s">
        <v>96</v>
      </c>
      <c r="N413" s="4"/>
      <c r="O413" s="4"/>
      <c r="P413" s="4"/>
      <c r="Q413" s="2159"/>
      <c r="R413" s="2159"/>
      <c r="S413" s="2159"/>
      <c r="T413" s="2159"/>
      <c r="U413" s="2159"/>
      <c r="V413" s="2159"/>
      <c r="W413" s="2091"/>
      <c r="X413" s="2091"/>
      <c r="Y413" s="2091"/>
      <c r="Z413" s="2160"/>
      <c r="AA413" s="2160"/>
      <c r="AB413" s="2160"/>
      <c r="AC413" s="144">
        <v>0</v>
      </c>
      <c r="AD413" s="145">
        <v>0</v>
      </c>
      <c r="AE413" s="145">
        <v>0</v>
      </c>
      <c r="AF413" s="145">
        <v>0</v>
      </c>
      <c r="AG413" s="145">
        <v>0</v>
      </c>
      <c r="AH413" s="145">
        <v>0</v>
      </c>
      <c r="AI413" s="145">
        <v>0</v>
      </c>
    </row>
    <row r="414" spans="1:35">
      <c r="A414" s="990">
        <v>368</v>
      </c>
      <c r="B414" s="990">
        <v>1</v>
      </c>
      <c r="C414" s="990">
        <v>414</v>
      </c>
      <c r="D414" s="9" t="s">
        <v>999</v>
      </c>
      <c r="E414" s="1255">
        <v>1</v>
      </c>
      <c r="F414" s="9"/>
      <c r="G414" s="1241"/>
      <c r="H414" s="5"/>
      <c r="I414" s="5"/>
      <c r="J414" s="4"/>
      <c r="K414" s="30"/>
      <c r="L414" s="28"/>
      <c r="M414" s="119" t="s">
        <v>142</v>
      </c>
      <c r="N414" s="2"/>
      <c r="O414" s="2"/>
      <c r="P414" s="2"/>
      <c r="Q414" s="2161"/>
      <c r="R414" s="2161"/>
      <c r="S414" s="2161"/>
      <c r="T414" s="2161"/>
      <c r="U414" s="2161"/>
      <c r="V414" s="2161"/>
      <c r="W414" s="2092"/>
      <c r="X414" s="2092"/>
      <c r="Y414" s="2092"/>
      <c r="Z414" s="2162"/>
      <c r="AA414" s="2162"/>
      <c r="AB414" s="2162"/>
      <c r="AC414" s="141">
        <v>0</v>
      </c>
      <c r="AD414" s="142">
        <v>0</v>
      </c>
      <c r="AE414" s="142">
        <v>0</v>
      </c>
      <c r="AF414" s="142">
        <v>0</v>
      </c>
      <c r="AG414" s="142">
        <v>0</v>
      </c>
      <c r="AH414" s="142">
        <v>0</v>
      </c>
      <c r="AI414" s="142">
        <v>0</v>
      </c>
    </row>
    <row r="415" spans="1:35">
      <c r="A415" s="990">
        <v>369</v>
      </c>
      <c r="B415" s="990">
        <v>1</v>
      </c>
      <c r="C415" s="990">
        <v>415</v>
      </c>
      <c r="D415" s="9" t="s">
        <v>999</v>
      </c>
      <c r="E415" s="1255">
        <v>1</v>
      </c>
      <c r="F415" s="9"/>
      <c r="G415" s="1241"/>
      <c r="H415" s="5"/>
      <c r="I415" s="5"/>
      <c r="J415" s="4"/>
      <c r="K415" s="30"/>
      <c r="L415" s="556" t="s">
        <v>1033</v>
      </c>
      <c r="M415" s="798"/>
      <c r="N415" s="798"/>
      <c r="O415" s="798"/>
      <c r="P415" s="798"/>
      <c r="Q415" s="2120">
        <v>0</v>
      </c>
      <c r="R415" s="2120">
        <v>0</v>
      </c>
      <c r="S415" s="2120">
        <v>0</v>
      </c>
      <c r="T415" s="2120">
        <v>0</v>
      </c>
      <c r="U415" s="2120">
        <v>0</v>
      </c>
      <c r="V415" s="2120">
        <v>0</v>
      </c>
      <c r="W415" s="2081">
        <v>0</v>
      </c>
      <c r="X415" s="2081">
        <v>0</v>
      </c>
      <c r="Y415" s="2081">
        <v>0</v>
      </c>
      <c r="Z415" s="2158">
        <v>0</v>
      </c>
      <c r="AA415" s="2158">
        <v>0</v>
      </c>
      <c r="AB415" s="2158">
        <v>0</v>
      </c>
      <c r="AC415" s="2617">
        <v>0</v>
      </c>
      <c r="AD415" s="2158">
        <v>0</v>
      </c>
      <c r="AE415" s="2158">
        <v>0</v>
      </c>
      <c r="AF415" s="2158">
        <v>0</v>
      </c>
      <c r="AG415" s="2158">
        <v>0</v>
      </c>
      <c r="AH415" s="2158">
        <v>0</v>
      </c>
      <c r="AI415" s="2158">
        <v>0</v>
      </c>
    </row>
    <row r="416" spans="1:35">
      <c r="A416" s="990">
        <v>370</v>
      </c>
      <c r="B416" s="990">
        <v>1</v>
      </c>
      <c r="C416" s="990">
        <v>416</v>
      </c>
      <c r="D416" s="9" t="s">
        <v>999</v>
      </c>
      <c r="E416" s="1255">
        <v>1</v>
      </c>
      <c r="F416" s="9"/>
      <c r="G416" s="1241"/>
      <c r="H416" s="5"/>
      <c r="I416" s="5"/>
      <c r="J416" s="4"/>
      <c r="K416" s="30"/>
      <c r="L416" s="613"/>
      <c r="M416" s="676" t="s">
        <v>1034</v>
      </c>
      <c r="N416" s="51"/>
      <c r="O416" s="51"/>
      <c r="P416" s="51"/>
      <c r="Q416" s="1119">
        <v>0</v>
      </c>
      <c r="R416" s="1119">
        <v>0</v>
      </c>
      <c r="S416" s="1119">
        <v>0</v>
      </c>
      <c r="T416" s="1119">
        <v>0</v>
      </c>
      <c r="U416" s="1119">
        <v>0</v>
      </c>
      <c r="V416" s="1119">
        <v>0</v>
      </c>
      <c r="W416" s="1119">
        <v>0</v>
      </c>
      <c r="X416" s="1119">
        <v>0</v>
      </c>
      <c r="Y416" s="1119">
        <v>0</v>
      </c>
      <c r="Z416" s="1119">
        <v>0</v>
      </c>
      <c r="AA416" s="1119">
        <v>0</v>
      </c>
      <c r="AB416" s="1119">
        <v>0</v>
      </c>
      <c r="AC416" s="1525">
        <v>0</v>
      </c>
      <c r="AD416" s="1119">
        <v>0</v>
      </c>
      <c r="AE416" s="1119">
        <v>0</v>
      </c>
      <c r="AF416" s="1119">
        <v>0</v>
      </c>
      <c r="AG416" s="1119">
        <v>0</v>
      </c>
      <c r="AH416" s="1119">
        <v>0</v>
      </c>
      <c r="AI416" s="1119">
        <v>0</v>
      </c>
    </row>
    <row r="417" spans="1:35">
      <c r="A417" s="990">
        <v>371</v>
      </c>
      <c r="B417" s="990">
        <v>1</v>
      </c>
      <c r="C417" s="990">
        <v>417</v>
      </c>
      <c r="D417" s="9" t="s">
        <v>999</v>
      </c>
      <c r="E417" s="1255">
        <v>1</v>
      </c>
      <c r="F417" s="9"/>
      <c r="G417" s="1241"/>
      <c r="H417" s="5"/>
      <c r="I417" s="5"/>
      <c r="J417" s="4"/>
      <c r="K417" s="30"/>
      <c r="L417" s="30"/>
      <c r="M417" s="40" t="s">
        <v>143</v>
      </c>
      <c r="N417" s="4"/>
      <c r="O417" s="4"/>
      <c r="P417" s="4"/>
      <c r="Q417" s="145">
        <v>0</v>
      </c>
      <c r="R417" s="145">
        <v>0</v>
      </c>
      <c r="S417" s="145">
        <v>0</v>
      </c>
      <c r="T417" s="145">
        <v>0</v>
      </c>
      <c r="U417" s="145">
        <v>0</v>
      </c>
      <c r="V417" s="145">
        <v>0</v>
      </c>
      <c r="W417" s="145">
        <v>0</v>
      </c>
      <c r="X417" s="145">
        <v>0</v>
      </c>
      <c r="Y417" s="145">
        <v>0</v>
      </c>
      <c r="Z417" s="145">
        <v>0</v>
      </c>
      <c r="AA417" s="145">
        <v>0</v>
      </c>
      <c r="AB417" s="145">
        <v>0</v>
      </c>
      <c r="AC417" s="144">
        <v>0</v>
      </c>
      <c r="AD417" s="145">
        <v>0</v>
      </c>
      <c r="AE417" s="145">
        <v>0</v>
      </c>
      <c r="AF417" s="145">
        <v>0</v>
      </c>
      <c r="AG417" s="145">
        <v>0</v>
      </c>
      <c r="AH417" s="145">
        <v>0</v>
      </c>
      <c r="AI417" s="145">
        <v>0</v>
      </c>
    </row>
    <row r="418" spans="1:35" collapsed="1">
      <c r="A418" s="990">
        <v>372</v>
      </c>
      <c r="B418" s="990">
        <v>1</v>
      </c>
      <c r="C418" s="990">
        <v>418</v>
      </c>
      <c r="D418" s="9" t="s">
        <v>999</v>
      </c>
      <c r="E418" s="1255">
        <v>1</v>
      </c>
      <c r="F418" s="9"/>
      <c r="G418" s="1241"/>
      <c r="H418" s="5"/>
      <c r="I418" s="5"/>
      <c r="J418" s="4"/>
      <c r="K418" s="30"/>
      <c r="L418" s="30"/>
      <c r="M418" s="40" t="s">
        <v>96</v>
      </c>
      <c r="N418" s="4"/>
      <c r="O418" s="4"/>
      <c r="P418" s="4"/>
      <c r="Q418" s="145">
        <v>0</v>
      </c>
      <c r="R418" s="145">
        <v>0</v>
      </c>
      <c r="S418" s="145">
        <v>0</v>
      </c>
      <c r="T418" s="145">
        <v>0</v>
      </c>
      <c r="U418" s="145">
        <v>0</v>
      </c>
      <c r="V418" s="145">
        <v>0</v>
      </c>
      <c r="W418" s="145">
        <v>0</v>
      </c>
      <c r="X418" s="145">
        <v>0</v>
      </c>
      <c r="Y418" s="145">
        <v>0</v>
      </c>
      <c r="Z418" s="145">
        <v>0</v>
      </c>
      <c r="AA418" s="145">
        <v>0</v>
      </c>
      <c r="AB418" s="145">
        <v>0</v>
      </c>
      <c r="AC418" s="144">
        <v>0</v>
      </c>
      <c r="AD418" s="145">
        <v>0</v>
      </c>
      <c r="AE418" s="145">
        <v>0</v>
      </c>
      <c r="AF418" s="145">
        <v>0</v>
      </c>
      <c r="AG418" s="145">
        <v>0</v>
      </c>
      <c r="AH418" s="145">
        <v>0</v>
      </c>
      <c r="AI418" s="145">
        <v>0</v>
      </c>
    </row>
    <row r="419" spans="1:35">
      <c r="A419" s="990">
        <v>373</v>
      </c>
      <c r="B419" s="990">
        <v>1</v>
      </c>
      <c r="C419" s="990">
        <v>419</v>
      </c>
      <c r="D419" s="9" t="s">
        <v>999</v>
      </c>
      <c r="E419" s="1255">
        <v>1</v>
      </c>
      <c r="F419" s="9"/>
      <c r="G419" s="1241"/>
      <c r="H419" s="5"/>
      <c r="I419" s="5"/>
      <c r="J419" s="4"/>
      <c r="K419" s="28"/>
      <c r="L419" s="28"/>
      <c r="M419" s="119" t="s">
        <v>142</v>
      </c>
      <c r="N419" s="2"/>
      <c r="O419" s="2"/>
      <c r="P419" s="2"/>
      <c r="Q419" s="142">
        <v>0</v>
      </c>
      <c r="R419" s="142">
        <v>0</v>
      </c>
      <c r="S419" s="142">
        <v>0</v>
      </c>
      <c r="T419" s="142">
        <v>0</v>
      </c>
      <c r="U419" s="142">
        <v>0</v>
      </c>
      <c r="V419" s="142">
        <v>0</v>
      </c>
      <c r="W419" s="142">
        <v>0</v>
      </c>
      <c r="X419" s="142">
        <v>0</v>
      </c>
      <c r="Y419" s="142">
        <v>0</v>
      </c>
      <c r="Z419" s="142">
        <v>0</v>
      </c>
      <c r="AA419" s="142">
        <v>0</v>
      </c>
      <c r="AB419" s="142">
        <v>0</v>
      </c>
      <c r="AC419" s="141">
        <v>0</v>
      </c>
      <c r="AD419" s="142">
        <v>0</v>
      </c>
      <c r="AE419" s="142">
        <v>0</v>
      </c>
      <c r="AF419" s="142">
        <v>0</v>
      </c>
      <c r="AG419" s="142">
        <v>0</v>
      </c>
      <c r="AH419" s="142">
        <v>0</v>
      </c>
      <c r="AI419" s="142">
        <v>0</v>
      </c>
    </row>
    <row r="420" spans="1:35">
      <c r="A420" s="990">
        <v>374</v>
      </c>
      <c r="B420" s="990">
        <v>1</v>
      </c>
      <c r="C420" s="990">
        <v>420</v>
      </c>
      <c r="D420" s="9" t="s">
        <v>999</v>
      </c>
      <c r="E420" s="1243">
        <v>1</v>
      </c>
      <c r="Q420" s="2200"/>
      <c r="Z420" s="163"/>
      <c r="AB420" s="86"/>
    </row>
    <row r="421" spans="1:35" ht="15.5">
      <c r="A421" s="990">
        <v>375</v>
      </c>
      <c r="B421" s="990">
        <v>1</v>
      </c>
      <c r="C421" s="990">
        <v>421</v>
      </c>
      <c r="D421" s="9" t="s">
        <v>999</v>
      </c>
      <c r="E421" s="1255">
        <v>1</v>
      </c>
      <c r="F421" s="9"/>
      <c r="G421" s="1242" t="s">
        <v>1070</v>
      </c>
      <c r="Q421" s="2200"/>
      <c r="Z421" s="163"/>
      <c r="AB421" s="86"/>
    </row>
    <row r="422" spans="1:35">
      <c r="A422" s="990">
        <v>376</v>
      </c>
      <c r="B422" s="990">
        <v>1</v>
      </c>
      <c r="C422" s="990">
        <v>422</v>
      </c>
      <c r="D422" s="9" t="s">
        <v>999</v>
      </c>
      <c r="E422" s="1255">
        <v>1</v>
      </c>
      <c r="F422" s="9"/>
      <c r="G422" s="1241"/>
      <c r="K422" s="2623" t="s">
        <v>99</v>
      </c>
      <c r="L422" s="2624"/>
      <c r="M422" s="2624"/>
      <c r="N422" s="2624"/>
      <c r="O422" s="2624"/>
      <c r="P422" s="2624"/>
      <c r="Q422" s="2171">
        <v>0</v>
      </c>
      <c r="R422" s="2171">
        <v>0</v>
      </c>
      <c r="S422" s="2171">
        <v>0</v>
      </c>
      <c r="T422" s="2171">
        <v>0</v>
      </c>
      <c r="U422" s="2171">
        <v>0</v>
      </c>
      <c r="V422" s="2171">
        <v>0</v>
      </c>
      <c r="W422" s="2172">
        <v>0</v>
      </c>
      <c r="X422" s="2172">
        <v>0</v>
      </c>
      <c r="Y422" s="2172">
        <v>0</v>
      </c>
      <c r="Z422" s="2173">
        <v>0</v>
      </c>
      <c r="AA422" s="2173">
        <v>0</v>
      </c>
      <c r="AB422" s="2173">
        <v>0</v>
      </c>
      <c r="AC422" s="2625">
        <v>0</v>
      </c>
      <c r="AD422" s="2173">
        <v>0</v>
      </c>
      <c r="AE422" s="2173">
        <v>0</v>
      </c>
      <c r="AF422" s="2173">
        <v>0</v>
      </c>
      <c r="AG422" s="2173">
        <v>0</v>
      </c>
      <c r="AH422" s="2173">
        <v>0</v>
      </c>
      <c r="AI422" s="2173">
        <v>0</v>
      </c>
    </row>
    <row r="423" spans="1:35">
      <c r="A423" s="990">
        <v>377</v>
      </c>
      <c r="B423" s="990">
        <v>1</v>
      </c>
      <c r="C423" s="990">
        <v>423</v>
      </c>
      <c r="D423" s="9" t="s">
        <v>999</v>
      </c>
      <c r="E423" s="1255">
        <v>1</v>
      </c>
      <c r="F423" s="9"/>
      <c r="G423" s="1241"/>
      <c r="K423" s="293"/>
      <c r="L423" s="40" t="s">
        <v>894</v>
      </c>
      <c r="M423" s="75"/>
      <c r="N423" s="75"/>
      <c r="O423" s="75"/>
      <c r="P423" s="75"/>
      <c r="Q423" s="2097">
        <v>0</v>
      </c>
      <c r="R423" s="135">
        <v>0</v>
      </c>
      <c r="S423" s="135">
        <v>0</v>
      </c>
      <c r="T423" s="135">
        <v>0</v>
      </c>
      <c r="U423" s="135">
        <v>0</v>
      </c>
      <c r="V423" s="135">
        <v>0</v>
      </c>
      <c r="W423" s="135">
        <v>0</v>
      </c>
      <c r="X423" s="135">
        <v>0</v>
      </c>
      <c r="Y423" s="135">
        <v>0</v>
      </c>
      <c r="Z423" s="135">
        <v>0</v>
      </c>
      <c r="AA423" s="135">
        <v>0</v>
      </c>
      <c r="AB423" s="135">
        <v>0</v>
      </c>
      <c r="AC423" s="144">
        <v>0</v>
      </c>
      <c r="AD423" s="145">
        <v>0</v>
      </c>
      <c r="AE423" s="145">
        <v>0</v>
      </c>
      <c r="AF423" s="145">
        <v>0</v>
      </c>
      <c r="AG423" s="145">
        <v>0</v>
      </c>
      <c r="AH423" s="145">
        <v>0</v>
      </c>
      <c r="AI423" s="145">
        <v>0</v>
      </c>
    </row>
    <row r="424" spans="1:35" ht="15" customHeight="1">
      <c r="A424" s="990">
        <v>378</v>
      </c>
      <c r="B424" s="990">
        <v>1</v>
      </c>
      <c r="C424" s="990">
        <v>424</v>
      </c>
      <c r="D424" s="9" t="s">
        <v>999</v>
      </c>
      <c r="E424" s="1255">
        <v>1</v>
      </c>
      <c r="F424" s="9"/>
      <c r="G424" s="1241"/>
      <c r="K424" s="293"/>
      <c r="L424" s="40" t="s">
        <v>1071</v>
      </c>
      <c r="M424" s="75"/>
      <c r="N424" s="75"/>
      <c r="O424" s="75"/>
      <c r="P424" s="75"/>
      <c r="Q424" s="2097">
        <v>0</v>
      </c>
      <c r="R424" s="135">
        <v>0</v>
      </c>
      <c r="S424" s="135">
        <v>0</v>
      </c>
      <c r="T424" s="135">
        <v>0</v>
      </c>
      <c r="U424" s="135">
        <v>0</v>
      </c>
      <c r="V424" s="135">
        <v>0</v>
      </c>
      <c r="W424" s="135">
        <v>0</v>
      </c>
      <c r="X424" s="135">
        <v>0</v>
      </c>
      <c r="Y424" s="135">
        <v>0</v>
      </c>
      <c r="Z424" s="135">
        <v>0</v>
      </c>
      <c r="AA424" s="135">
        <v>0</v>
      </c>
      <c r="AB424" s="135">
        <v>0</v>
      </c>
      <c r="AC424" s="144">
        <v>0</v>
      </c>
      <c r="AD424" s="145">
        <v>0</v>
      </c>
      <c r="AE424" s="145">
        <v>0</v>
      </c>
      <c r="AF424" s="145">
        <v>0</v>
      </c>
      <c r="AG424" s="145">
        <v>0</v>
      </c>
      <c r="AH424" s="145">
        <v>0</v>
      </c>
      <c r="AI424" s="145">
        <v>0</v>
      </c>
    </row>
    <row r="425" spans="1:35" collapsed="1">
      <c r="A425" s="990">
        <v>379</v>
      </c>
      <c r="B425" s="990">
        <v>1</v>
      </c>
      <c r="C425" s="990">
        <v>425</v>
      </c>
      <c r="D425" s="9" t="s">
        <v>999</v>
      </c>
      <c r="E425" s="1255">
        <v>1</v>
      </c>
      <c r="F425" s="9"/>
      <c r="G425" s="1241"/>
      <c r="K425" s="2626" t="s">
        <v>98</v>
      </c>
      <c r="L425" s="792"/>
      <c r="M425" s="792"/>
      <c r="N425" s="792"/>
      <c r="O425" s="792"/>
      <c r="P425" s="792"/>
      <c r="Q425" s="2068">
        <v>0</v>
      </c>
      <c r="R425" s="2068">
        <v>0</v>
      </c>
      <c r="S425" s="2068">
        <v>0</v>
      </c>
      <c r="T425" s="2068">
        <v>0</v>
      </c>
      <c r="U425" s="2068">
        <v>0</v>
      </c>
      <c r="V425" s="2068">
        <v>0</v>
      </c>
      <c r="W425" s="2163">
        <v>0</v>
      </c>
      <c r="X425" s="2163">
        <v>0</v>
      </c>
      <c r="Y425" s="2163">
        <v>0</v>
      </c>
      <c r="Z425" s="2164">
        <v>0</v>
      </c>
      <c r="AA425" s="2164">
        <v>0</v>
      </c>
      <c r="AB425" s="2164">
        <v>0</v>
      </c>
      <c r="AC425" s="2627">
        <v>0</v>
      </c>
      <c r="AD425" s="2164">
        <v>0</v>
      </c>
      <c r="AE425" s="2164">
        <v>0</v>
      </c>
      <c r="AF425" s="2164">
        <v>0</v>
      </c>
      <c r="AG425" s="2164">
        <v>0</v>
      </c>
      <c r="AH425" s="2164">
        <v>0</v>
      </c>
      <c r="AI425" s="2164">
        <v>0</v>
      </c>
    </row>
    <row r="426" spans="1:35">
      <c r="A426" s="990">
        <v>380</v>
      </c>
      <c r="B426" s="990">
        <v>1</v>
      </c>
      <c r="C426" s="990">
        <v>426</v>
      </c>
      <c r="D426" s="9" t="s">
        <v>999</v>
      </c>
      <c r="E426" s="1255">
        <v>1</v>
      </c>
      <c r="F426" s="9"/>
      <c r="G426" s="1241"/>
      <c r="K426" s="293"/>
      <c r="L426" s="40" t="s">
        <v>894</v>
      </c>
      <c r="Q426" s="2097">
        <v>0</v>
      </c>
      <c r="R426" s="135">
        <v>0</v>
      </c>
      <c r="S426" s="135">
        <v>0</v>
      </c>
      <c r="T426" s="135">
        <v>0</v>
      </c>
      <c r="U426" s="135">
        <v>0</v>
      </c>
      <c r="V426" s="135">
        <v>0</v>
      </c>
      <c r="W426" s="135">
        <v>0</v>
      </c>
      <c r="X426" s="135">
        <v>0</v>
      </c>
      <c r="Y426" s="135">
        <v>0</v>
      </c>
      <c r="Z426" s="135">
        <v>0</v>
      </c>
      <c r="AA426" s="135">
        <v>0</v>
      </c>
      <c r="AB426" s="135">
        <v>0</v>
      </c>
      <c r="AC426" s="144">
        <v>0</v>
      </c>
      <c r="AD426" s="145">
        <v>0</v>
      </c>
      <c r="AE426" s="145">
        <v>0</v>
      </c>
      <c r="AF426" s="145">
        <v>0</v>
      </c>
      <c r="AG426" s="145">
        <v>0</v>
      </c>
      <c r="AH426" s="145">
        <v>0</v>
      </c>
      <c r="AI426" s="145">
        <v>0</v>
      </c>
    </row>
    <row r="427" spans="1:35">
      <c r="A427" s="990">
        <v>381</v>
      </c>
      <c r="B427" s="990">
        <v>1</v>
      </c>
      <c r="C427" s="990">
        <v>427</v>
      </c>
      <c r="D427" s="9" t="s">
        <v>999</v>
      </c>
      <c r="E427" s="1255">
        <v>1</v>
      </c>
      <c r="F427" s="9"/>
      <c r="G427" s="1241"/>
      <c r="K427" s="293"/>
      <c r="L427" s="40" t="s">
        <v>1071</v>
      </c>
      <c r="Q427" s="2097">
        <v>0</v>
      </c>
      <c r="R427" s="135">
        <v>0</v>
      </c>
      <c r="S427" s="135">
        <v>0</v>
      </c>
      <c r="T427" s="135">
        <v>0</v>
      </c>
      <c r="U427" s="135">
        <v>0</v>
      </c>
      <c r="V427" s="135">
        <v>0</v>
      </c>
      <c r="W427" s="135">
        <v>0</v>
      </c>
      <c r="X427" s="135">
        <v>0</v>
      </c>
      <c r="Y427" s="135">
        <v>0</v>
      </c>
      <c r="Z427" s="135">
        <v>0</v>
      </c>
      <c r="AA427" s="135">
        <v>0</v>
      </c>
      <c r="AB427" s="135">
        <v>0</v>
      </c>
      <c r="AC427" s="144">
        <v>0</v>
      </c>
      <c r="AD427" s="145">
        <v>0</v>
      </c>
      <c r="AE427" s="145">
        <v>0</v>
      </c>
      <c r="AF427" s="145">
        <v>0</v>
      </c>
      <c r="AG427" s="145">
        <v>0</v>
      </c>
      <c r="AH427" s="145">
        <v>0</v>
      </c>
      <c r="AI427" s="145">
        <v>0</v>
      </c>
    </row>
    <row r="428" spans="1:35">
      <c r="A428" s="990">
        <v>382</v>
      </c>
      <c r="B428" s="990">
        <v>1</v>
      </c>
      <c r="C428" s="990">
        <v>428</v>
      </c>
      <c r="D428" s="9" t="s">
        <v>999</v>
      </c>
      <c r="E428" s="1255">
        <v>1</v>
      </c>
      <c r="F428" s="9"/>
      <c r="G428" s="1241"/>
      <c r="K428" s="1123"/>
      <c r="L428" s="1257" t="s">
        <v>1072</v>
      </c>
      <c r="M428" s="12"/>
      <c r="N428" s="12"/>
      <c r="O428" s="12"/>
      <c r="P428" s="12"/>
      <c r="Q428" s="2187">
        <v>0</v>
      </c>
      <c r="R428" s="1138">
        <v>0</v>
      </c>
      <c r="S428" s="1138">
        <v>0</v>
      </c>
      <c r="T428" s="1138">
        <v>0</v>
      </c>
      <c r="U428" s="1138">
        <v>0</v>
      </c>
      <c r="V428" s="1138">
        <v>0</v>
      </c>
      <c r="W428" s="1138">
        <v>0</v>
      </c>
      <c r="X428" s="1138">
        <v>0</v>
      </c>
      <c r="Y428" s="1138">
        <v>0</v>
      </c>
      <c r="Z428" s="1138">
        <v>0</v>
      </c>
      <c r="AA428" s="1138">
        <v>0</v>
      </c>
      <c r="AB428" s="1138">
        <v>0</v>
      </c>
      <c r="AC428" s="1138">
        <v>0</v>
      </c>
      <c r="AD428" s="1138">
        <v>0</v>
      </c>
      <c r="AE428" s="1138">
        <v>0</v>
      </c>
      <c r="AF428" s="1138">
        <v>0</v>
      </c>
      <c r="AG428" s="1138">
        <v>0</v>
      </c>
      <c r="AH428" s="1138">
        <v>0</v>
      </c>
      <c r="AI428" s="1138">
        <v>0</v>
      </c>
    </row>
    <row r="429" spans="1:35" ht="15" customHeight="1">
      <c r="A429" s="990">
        <v>383</v>
      </c>
      <c r="B429" s="990">
        <v>1</v>
      </c>
      <c r="C429" s="990">
        <v>429</v>
      </c>
      <c r="D429" s="9" t="s">
        <v>999</v>
      </c>
      <c r="E429" s="1255">
        <v>1</v>
      </c>
      <c r="F429" s="9"/>
      <c r="G429" s="1241"/>
      <c r="K429" s="2628" t="s">
        <v>1035</v>
      </c>
      <c r="L429" s="804"/>
      <c r="M429" s="805"/>
      <c r="N429" s="805"/>
      <c r="O429" s="805"/>
      <c r="P429" s="805"/>
      <c r="Q429" s="2067">
        <v>0</v>
      </c>
      <c r="R429" s="2067">
        <v>0</v>
      </c>
      <c r="S429" s="2067">
        <v>0</v>
      </c>
      <c r="T429" s="2067">
        <v>0</v>
      </c>
      <c r="U429" s="2067">
        <v>0</v>
      </c>
      <c r="V429" s="2067">
        <v>0</v>
      </c>
      <c r="W429" s="2051">
        <v>0</v>
      </c>
      <c r="X429" s="2051">
        <v>0</v>
      </c>
      <c r="Y429" s="2051">
        <v>0</v>
      </c>
      <c r="Z429" s="2165">
        <v>0</v>
      </c>
      <c r="AA429" s="2165">
        <v>0</v>
      </c>
      <c r="AB429" s="2165">
        <v>0</v>
      </c>
      <c r="AC429" s="2629">
        <v>0</v>
      </c>
      <c r="AD429" s="2165">
        <v>0</v>
      </c>
      <c r="AE429" s="2165">
        <v>0</v>
      </c>
      <c r="AF429" s="2165">
        <v>0</v>
      </c>
      <c r="AG429" s="2165">
        <v>0</v>
      </c>
      <c r="AH429" s="2165">
        <v>0</v>
      </c>
      <c r="AI429" s="2165">
        <v>0</v>
      </c>
    </row>
    <row r="430" spans="1:35">
      <c r="A430" s="990">
        <v>384</v>
      </c>
      <c r="B430" s="990">
        <v>1</v>
      </c>
      <c r="C430" s="990">
        <v>430</v>
      </c>
      <c r="D430" s="9" t="s">
        <v>999</v>
      </c>
      <c r="E430" s="1255">
        <v>1</v>
      </c>
      <c r="F430" s="9"/>
      <c r="G430" s="1241"/>
      <c r="K430" s="293"/>
      <c r="L430" s="40" t="s">
        <v>894</v>
      </c>
      <c r="Q430" s="2097">
        <v>0</v>
      </c>
      <c r="R430" s="135">
        <v>0</v>
      </c>
      <c r="S430" s="135">
        <v>0</v>
      </c>
      <c r="T430" s="135">
        <v>0</v>
      </c>
      <c r="U430" s="135">
        <v>0</v>
      </c>
      <c r="V430" s="135">
        <v>0</v>
      </c>
      <c r="W430" s="135">
        <v>0</v>
      </c>
      <c r="X430" s="135">
        <v>0</v>
      </c>
      <c r="Y430" s="135">
        <v>0</v>
      </c>
      <c r="Z430" s="135">
        <v>0</v>
      </c>
      <c r="AA430" s="135">
        <v>0</v>
      </c>
      <c r="AB430" s="135">
        <v>0</v>
      </c>
      <c r="AC430" s="144">
        <v>0</v>
      </c>
      <c r="AD430" s="145">
        <v>0</v>
      </c>
      <c r="AE430" s="145">
        <v>0</v>
      </c>
      <c r="AF430" s="145">
        <v>0</v>
      </c>
      <c r="AG430" s="145">
        <v>0</v>
      </c>
      <c r="AH430" s="145">
        <v>0</v>
      </c>
      <c r="AI430" s="145">
        <v>0</v>
      </c>
    </row>
    <row r="431" spans="1:35">
      <c r="A431" s="990">
        <v>385</v>
      </c>
      <c r="B431" s="990">
        <v>1</v>
      </c>
      <c r="C431" s="990">
        <v>431</v>
      </c>
      <c r="D431" s="9" t="s">
        <v>999</v>
      </c>
      <c r="E431" s="1255">
        <v>1</v>
      </c>
      <c r="F431" s="9"/>
      <c r="G431" s="1241"/>
      <c r="K431" s="293"/>
      <c r="L431" s="40" t="s">
        <v>1071</v>
      </c>
      <c r="Q431" s="2097">
        <v>0</v>
      </c>
      <c r="R431" s="135">
        <v>0</v>
      </c>
      <c r="S431" s="135">
        <v>0</v>
      </c>
      <c r="T431" s="135">
        <v>0</v>
      </c>
      <c r="U431" s="135">
        <v>0</v>
      </c>
      <c r="V431" s="135">
        <v>0</v>
      </c>
      <c r="W431" s="135">
        <v>0</v>
      </c>
      <c r="X431" s="135">
        <v>0</v>
      </c>
      <c r="Y431" s="135">
        <v>0</v>
      </c>
      <c r="Z431" s="135">
        <v>0</v>
      </c>
      <c r="AA431" s="135">
        <v>0</v>
      </c>
      <c r="AB431" s="135">
        <v>0</v>
      </c>
      <c r="AC431" s="144">
        <v>0</v>
      </c>
      <c r="AD431" s="145">
        <v>0</v>
      </c>
      <c r="AE431" s="145">
        <v>0</v>
      </c>
      <c r="AF431" s="145">
        <v>0</v>
      </c>
      <c r="AG431" s="145">
        <v>0</v>
      </c>
      <c r="AH431" s="145">
        <v>0</v>
      </c>
      <c r="AI431" s="145">
        <v>0</v>
      </c>
    </row>
    <row r="432" spans="1:35">
      <c r="A432" s="990">
        <v>386</v>
      </c>
      <c r="B432" s="990">
        <v>1</v>
      </c>
      <c r="C432" s="990">
        <v>432</v>
      </c>
      <c r="D432" s="9" t="s">
        <v>999</v>
      </c>
      <c r="E432" s="1255">
        <v>1</v>
      </c>
      <c r="F432" s="9"/>
      <c r="G432" s="1241"/>
      <c r="K432" s="1123"/>
      <c r="L432" s="1257" t="s">
        <v>1073</v>
      </c>
      <c r="M432" s="12"/>
      <c r="N432" s="12"/>
      <c r="O432" s="12"/>
      <c r="P432" s="12"/>
      <c r="Q432" s="2187">
        <v>0</v>
      </c>
      <c r="R432" s="1138">
        <v>0</v>
      </c>
      <c r="S432" s="1138">
        <v>0</v>
      </c>
      <c r="T432" s="1138">
        <v>0</v>
      </c>
      <c r="U432" s="1138">
        <v>0</v>
      </c>
      <c r="V432" s="1138">
        <v>0</v>
      </c>
      <c r="W432" s="1138">
        <v>0</v>
      </c>
      <c r="X432" s="1138">
        <v>0</v>
      </c>
      <c r="Y432" s="1138">
        <v>0</v>
      </c>
      <c r="Z432" s="1138">
        <v>0</v>
      </c>
      <c r="AA432" s="1138">
        <v>0</v>
      </c>
      <c r="AB432" s="1138">
        <v>0</v>
      </c>
      <c r="AC432" s="1138">
        <v>0</v>
      </c>
      <c r="AD432" s="1138">
        <v>0</v>
      </c>
      <c r="AE432" s="1138">
        <v>0</v>
      </c>
      <c r="AF432" s="1138">
        <v>0</v>
      </c>
      <c r="AG432" s="1138">
        <v>0</v>
      </c>
      <c r="AH432" s="1138">
        <v>0</v>
      </c>
      <c r="AI432" s="1138">
        <v>0</v>
      </c>
    </row>
    <row r="433" spans="1:35">
      <c r="A433" s="990">
        <v>387</v>
      </c>
      <c r="B433" s="990">
        <v>1</v>
      </c>
      <c r="C433" s="990">
        <v>433</v>
      </c>
      <c r="D433" s="9" t="s">
        <v>999</v>
      </c>
      <c r="E433" s="1255">
        <v>1</v>
      </c>
      <c r="F433" s="9"/>
      <c r="G433" s="1241"/>
      <c r="I433" s="9"/>
      <c r="K433" s="2630" t="s">
        <v>1038</v>
      </c>
      <c r="L433" s="807"/>
      <c r="M433" s="808"/>
      <c r="N433" s="808"/>
      <c r="O433" s="808"/>
      <c r="P433" s="808"/>
      <c r="Q433" s="2166">
        <v>0</v>
      </c>
      <c r="R433" s="2166">
        <v>0</v>
      </c>
      <c r="S433" s="2166">
        <v>0</v>
      </c>
      <c r="T433" s="2166">
        <v>0</v>
      </c>
      <c r="U433" s="2166">
        <v>0</v>
      </c>
      <c r="V433" s="2166">
        <v>0</v>
      </c>
      <c r="W433" s="2167">
        <v>0</v>
      </c>
      <c r="X433" s="2167">
        <v>0</v>
      </c>
      <c r="Y433" s="2167">
        <v>0</v>
      </c>
      <c r="Z433" s="2168">
        <v>0</v>
      </c>
      <c r="AA433" s="2168">
        <v>0</v>
      </c>
      <c r="AB433" s="2168">
        <v>0</v>
      </c>
      <c r="AC433" s="2631">
        <v>0</v>
      </c>
      <c r="AD433" s="2168">
        <v>0</v>
      </c>
      <c r="AE433" s="2168">
        <v>0</v>
      </c>
      <c r="AF433" s="2168">
        <v>0</v>
      </c>
      <c r="AG433" s="2168">
        <v>0</v>
      </c>
      <c r="AH433" s="2168">
        <v>0</v>
      </c>
      <c r="AI433" s="2168">
        <v>0</v>
      </c>
    </row>
    <row r="434" spans="1:35" collapsed="1">
      <c r="A434" s="990">
        <v>388</v>
      </c>
      <c r="B434" s="990">
        <v>1</v>
      </c>
      <c r="C434" s="990">
        <v>434</v>
      </c>
      <c r="D434" s="9" t="s">
        <v>999</v>
      </c>
      <c r="E434" s="1255">
        <v>1</v>
      </c>
      <c r="F434" s="9"/>
      <c r="G434" s="1241"/>
      <c r="I434" s="9"/>
      <c r="K434" s="293"/>
      <c r="L434" s="40" t="s">
        <v>894</v>
      </c>
      <c r="Q434" s="2097">
        <v>0</v>
      </c>
      <c r="R434" s="135">
        <v>0</v>
      </c>
      <c r="S434" s="135">
        <v>0</v>
      </c>
      <c r="T434" s="135">
        <v>0</v>
      </c>
      <c r="U434" s="135">
        <v>0</v>
      </c>
      <c r="V434" s="135">
        <v>0</v>
      </c>
      <c r="W434" s="135">
        <v>0</v>
      </c>
      <c r="X434" s="135">
        <v>0</v>
      </c>
      <c r="Y434" s="135">
        <v>0</v>
      </c>
      <c r="Z434" s="135">
        <v>0</v>
      </c>
      <c r="AA434" s="135">
        <v>0</v>
      </c>
      <c r="AB434" s="135">
        <v>0</v>
      </c>
      <c r="AC434" s="144">
        <v>0</v>
      </c>
      <c r="AD434" s="145">
        <v>0</v>
      </c>
      <c r="AE434" s="145">
        <v>0</v>
      </c>
      <c r="AF434" s="145">
        <v>0</v>
      </c>
      <c r="AG434" s="145">
        <v>0</v>
      </c>
      <c r="AH434" s="145">
        <v>0</v>
      </c>
      <c r="AI434" s="145">
        <v>0</v>
      </c>
    </row>
    <row r="435" spans="1:35">
      <c r="A435" s="990">
        <v>389</v>
      </c>
      <c r="B435" s="990">
        <v>1</v>
      </c>
      <c r="C435" s="990">
        <v>435</v>
      </c>
      <c r="D435" s="9" t="s">
        <v>999</v>
      </c>
      <c r="E435" s="1255">
        <v>1</v>
      </c>
      <c r="F435" s="9"/>
      <c r="G435" s="1241"/>
      <c r="I435" s="9"/>
      <c r="K435" s="293"/>
      <c r="L435" s="40" t="s">
        <v>1071</v>
      </c>
      <c r="Q435" s="2097">
        <v>0</v>
      </c>
      <c r="R435" s="135">
        <v>0</v>
      </c>
      <c r="S435" s="135">
        <v>0</v>
      </c>
      <c r="T435" s="135">
        <v>0</v>
      </c>
      <c r="U435" s="135">
        <v>0</v>
      </c>
      <c r="V435" s="135">
        <v>0</v>
      </c>
      <c r="W435" s="135">
        <v>0</v>
      </c>
      <c r="X435" s="135">
        <v>0</v>
      </c>
      <c r="Y435" s="135">
        <v>0</v>
      </c>
      <c r="Z435" s="135">
        <v>0</v>
      </c>
      <c r="AA435" s="135">
        <v>0</v>
      </c>
      <c r="AB435" s="135">
        <v>0</v>
      </c>
      <c r="AC435" s="144">
        <v>0</v>
      </c>
      <c r="AD435" s="145">
        <v>0</v>
      </c>
      <c r="AE435" s="145">
        <v>0</v>
      </c>
      <c r="AF435" s="145">
        <v>0</v>
      </c>
      <c r="AG435" s="145">
        <v>0</v>
      </c>
      <c r="AH435" s="145">
        <v>0</v>
      </c>
      <c r="AI435" s="145">
        <v>0</v>
      </c>
    </row>
    <row r="436" spans="1:35">
      <c r="A436" s="990">
        <v>390</v>
      </c>
      <c r="B436" s="990">
        <v>1</v>
      </c>
      <c r="C436" s="990">
        <v>436</v>
      </c>
      <c r="D436" s="9" t="s">
        <v>999</v>
      </c>
      <c r="E436" s="1255">
        <v>1</v>
      </c>
      <c r="F436" s="9"/>
      <c r="G436" s="1241"/>
      <c r="I436" s="9"/>
      <c r="K436" s="195"/>
      <c r="L436" s="1257" t="s">
        <v>1074</v>
      </c>
      <c r="M436" s="10"/>
      <c r="N436" s="10"/>
      <c r="O436" s="10"/>
      <c r="Q436" s="2187">
        <v>0</v>
      </c>
      <c r="R436" s="1138">
        <v>0</v>
      </c>
      <c r="S436" s="1138">
        <v>0</v>
      </c>
      <c r="T436" s="1138">
        <v>0</v>
      </c>
      <c r="U436" s="1138">
        <v>0</v>
      </c>
      <c r="V436" s="1138">
        <v>0</v>
      </c>
      <c r="W436" s="1138">
        <v>0</v>
      </c>
      <c r="X436" s="1138">
        <v>0</v>
      </c>
      <c r="Y436" s="1138">
        <v>0</v>
      </c>
      <c r="Z436" s="1138">
        <v>0</v>
      </c>
      <c r="AA436" s="1138">
        <v>0</v>
      </c>
      <c r="AB436" s="1138">
        <v>0</v>
      </c>
      <c r="AC436" s="1138">
        <v>0</v>
      </c>
      <c r="AD436" s="1138">
        <v>0</v>
      </c>
      <c r="AE436" s="1138">
        <v>0</v>
      </c>
      <c r="AF436" s="1138">
        <v>0</v>
      </c>
      <c r="AG436" s="1138">
        <v>0</v>
      </c>
      <c r="AH436" s="1138">
        <v>0</v>
      </c>
      <c r="AI436" s="1138">
        <v>0</v>
      </c>
    </row>
    <row r="437" spans="1:35">
      <c r="A437" s="990">
        <v>391</v>
      </c>
      <c r="B437" s="990">
        <v>1</v>
      </c>
      <c r="C437" s="990">
        <v>437</v>
      </c>
      <c r="D437" s="9" t="s">
        <v>999</v>
      </c>
      <c r="E437" s="1255">
        <v>1</v>
      </c>
      <c r="F437" s="9"/>
      <c r="G437" s="1241"/>
      <c r="I437" s="9"/>
      <c r="K437" s="2632" t="s">
        <v>1075</v>
      </c>
      <c r="L437" s="810"/>
      <c r="M437" s="810"/>
      <c r="N437" s="810"/>
      <c r="O437" s="810"/>
      <c r="P437" s="810"/>
      <c r="Q437" s="2066">
        <v>0</v>
      </c>
      <c r="R437" s="2066">
        <v>0</v>
      </c>
      <c r="S437" s="2066">
        <v>0</v>
      </c>
      <c r="T437" s="2066">
        <v>0</v>
      </c>
      <c r="U437" s="2066">
        <v>0</v>
      </c>
      <c r="V437" s="2066">
        <v>0</v>
      </c>
      <c r="W437" s="2169">
        <v>0</v>
      </c>
      <c r="X437" s="2169">
        <v>0</v>
      </c>
      <c r="Y437" s="2169">
        <v>0</v>
      </c>
      <c r="Z437" s="2170">
        <v>0</v>
      </c>
      <c r="AA437" s="2170">
        <v>0</v>
      </c>
      <c r="AB437" s="2170">
        <v>0</v>
      </c>
      <c r="AC437" s="2633">
        <v>0</v>
      </c>
      <c r="AD437" s="2170">
        <v>0</v>
      </c>
      <c r="AE437" s="2170">
        <v>0</v>
      </c>
      <c r="AF437" s="2170">
        <v>0</v>
      </c>
      <c r="AG437" s="2170">
        <v>0</v>
      </c>
      <c r="AH437" s="2170">
        <v>0</v>
      </c>
      <c r="AI437" s="2170">
        <v>0</v>
      </c>
    </row>
    <row r="438" spans="1:35" s="10" customFormat="1">
      <c r="A438" s="990">
        <v>392</v>
      </c>
      <c r="B438" s="990">
        <v>1</v>
      </c>
      <c r="C438" s="990">
        <v>438</v>
      </c>
      <c r="D438" s="10" t="s">
        <v>999</v>
      </c>
      <c r="E438" s="1255">
        <v>1</v>
      </c>
      <c r="F438" s="9"/>
      <c r="G438" s="1241"/>
      <c r="H438" s="24"/>
      <c r="I438" s="9"/>
      <c r="J438" s="9"/>
      <c r="K438" s="293"/>
      <c r="L438" s="40" t="s">
        <v>894</v>
      </c>
      <c r="M438" s="9"/>
      <c r="N438" s="9"/>
      <c r="O438" s="9"/>
      <c r="P438" s="9"/>
      <c r="Q438" s="2097">
        <v>0</v>
      </c>
      <c r="R438" s="135">
        <v>0</v>
      </c>
      <c r="S438" s="135">
        <v>0</v>
      </c>
      <c r="T438" s="135">
        <v>0</v>
      </c>
      <c r="U438" s="135">
        <v>0</v>
      </c>
      <c r="V438" s="135">
        <v>0</v>
      </c>
      <c r="W438" s="135">
        <v>0</v>
      </c>
      <c r="X438" s="135">
        <v>0</v>
      </c>
      <c r="Y438" s="135">
        <v>0</v>
      </c>
      <c r="Z438" s="135">
        <v>0</v>
      </c>
      <c r="AA438" s="135">
        <v>0</v>
      </c>
      <c r="AB438" s="135">
        <v>0</v>
      </c>
      <c r="AC438" s="144">
        <v>0</v>
      </c>
      <c r="AD438" s="145">
        <v>0</v>
      </c>
      <c r="AE438" s="145">
        <v>0</v>
      </c>
      <c r="AF438" s="145">
        <v>0</v>
      </c>
      <c r="AG438" s="145">
        <v>0</v>
      </c>
      <c r="AH438" s="145">
        <v>0</v>
      </c>
      <c r="AI438" s="145">
        <v>0</v>
      </c>
    </row>
    <row r="439" spans="1:35">
      <c r="A439" s="990">
        <v>393</v>
      </c>
      <c r="B439" s="990">
        <v>1</v>
      </c>
      <c r="C439" s="990">
        <v>439</v>
      </c>
      <c r="D439" s="9" t="s">
        <v>999</v>
      </c>
      <c r="E439" s="1255">
        <v>1</v>
      </c>
      <c r="F439" s="9"/>
      <c r="G439" s="1241"/>
      <c r="I439" s="9"/>
      <c r="K439" s="293"/>
      <c r="L439" s="40" t="s">
        <v>1071</v>
      </c>
      <c r="Q439" s="2097">
        <v>0</v>
      </c>
      <c r="R439" s="135">
        <v>0</v>
      </c>
      <c r="S439" s="135">
        <v>0</v>
      </c>
      <c r="T439" s="135">
        <v>0</v>
      </c>
      <c r="U439" s="135">
        <v>0</v>
      </c>
      <c r="V439" s="135">
        <v>0</v>
      </c>
      <c r="W439" s="135">
        <v>0</v>
      </c>
      <c r="X439" s="135">
        <v>0</v>
      </c>
      <c r="Y439" s="135">
        <v>0</v>
      </c>
      <c r="Z439" s="135">
        <v>0</v>
      </c>
      <c r="AA439" s="135">
        <v>0</v>
      </c>
      <c r="AB439" s="135">
        <v>0</v>
      </c>
      <c r="AC439" s="144">
        <v>0</v>
      </c>
      <c r="AD439" s="145">
        <v>0</v>
      </c>
      <c r="AE439" s="145">
        <v>0</v>
      </c>
      <c r="AF439" s="145">
        <v>0</v>
      </c>
      <c r="AG439" s="145">
        <v>0</v>
      </c>
      <c r="AH439" s="145">
        <v>0</v>
      </c>
      <c r="AI439" s="145">
        <v>0</v>
      </c>
    </row>
    <row r="440" spans="1:35">
      <c r="A440" s="990">
        <v>394</v>
      </c>
      <c r="B440" s="990">
        <v>1</v>
      </c>
      <c r="C440" s="990">
        <v>440</v>
      </c>
      <c r="D440" s="9" t="s">
        <v>999</v>
      </c>
      <c r="E440" s="1255">
        <v>1</v>
      </c>
      <c r="F440" s="9"/>
      <c r="G440" s="1241"/>
      <c r="I440" s="9"/>
      <c r="K440" s="195"/>
      <c r="L440" s="1257" t="s">
        <v>1076</v>
      </c>
      <c r="M440" s="10"/>
      <c r="N440" s="10"/>
      <c r="O440" s="10"/>
      <c r="Q440" s="2187">
        <v>0</v>
      </c>
      <c r="R440" s="1138">
        <v>0</v>
      </c>
      <c r="S440" s="1138">
        <v>0</v>
      </c>
      <c r="T440" s="1138">
        <v>0</v>
      </c>
      <c r="U440" s="1138">
        <v>0</v>
      </c>
      <c r="V440" s="1138">
        <v>0</v>
      </c>
      <c r="W440" s="1138">
        <v>0</v>
      </c>
      <c r="X440" s="1138">
        <v>0</v>
      </c>
      <c r="Y440" s="1138">
        <v>0</v>
      </c>
      <c r="Z440" s="1138">
        <v>0</v>
      </c>
      <c r="AA440" s="1138">
        <v>0</v>
      </c>
      <c r="AB440" s="1138">
        <v>0</v>
      </c>
      <c r="AC440" s="1138">
        <v>0</v>
      </c>
      <c r="AD440" s="1138">
        <v>0</v>
      </c>
      <c r="AE440" s="1138">
        <v>0</v>
      </c>
      <c r="AF440" s="1138">
        <v>0</v>
      </c>
      <c r="AG440" s="1138">
        <v>0</v>
      </c>
      <c r="AH440" s="1138">
        <v>0</v>
      </c>
      <c r="AI440" s="1138">
        <v>0</v>
      </c>
    </row>
    <row r="441" spans="1:35">
      <c r="A441" s="990">
        <v>395</v>
      </c>
      <c r="B441" s="990">
        <v>1</v>
      </c>
      <c r="C441" s="990">
        <v>441</v>
      </c>
      <c r="D441" s="9" t="s">
        <v>999</v>
      </c>
      <c r="E441" s="1255">
        <v>1</v>
      </c>
      <c r="F441" s="9"/>
      <c r="G441" s="1241"/>
      <c r="I441" s="9"/>
      <c r="K441" s="2634" t="s">
        <v>1063</v>
      </c>
      <c r="L441" s="812"/>
      <c r="M441" s="813"/>
      <c r="N441" s="813"/>
      <c r="O441" s="813"/>
      <c r="P441" s="814"/>
      <c r="Q441" s="2217">
        <v>0</v>
      </c>
      <c r="R441" s="2635">
        <v>0</v>
      </c>
      <c r="S441" s="2635">
        <v>0</v>
      </c>
      <c r="T441" s="2635">
        <v>0</v>
      </c>
      <c r="U441" s="2635">
        <v>0</v>
      </c>
      <c r="V441" s="2635">
        <v>0</v>
      </c>
      <c r="W441" s="2635">
        <v>0</v>
      </c>
      <c r="X441" s="2635">
        <v>0</v>
      </c>
      <c r="Y441" s="2635">
        <v>0</v>
      </c>
      <c r="Z441" s="2635">
        <v>0</v>
      </c>
      <c r="AA441" s="2635">
        <v>0</v>
      </c>
      <c r="AB441" s="2635">
        <v>0</v>
      </c>
      <c r="AC441" s="2635">
        <v>0</v>
      </c>
      <c r="AD441" s="2635">
        <v>0</v>
      </c>
      <c r="AE441" s="2635">
        <v>0</v>
      </c>
      <c r="AF441" s="2635">
        <v>0</v>
      </c>
      <c r="AG441" s="2635">
        <v>0</v>
      </c>
      <c r="AH441" s="2635">
        <v>0</v>
      </c>
      <c r="AI441" s="2635">
        <v>0</v>
      </c>
    </row>
    <row r="442" spans="1:35" collapsed="1">
      <c r="A442" s="990">
        <v>396</v>
      </c>
      <c r="B442" s="990">
        <v>1</v>
      </c>
      <c r="C442" s="990">
        <v>442</v>
      </c>
      <c r="D442" s="9" t="s">
        <v>999</v>
      </c>
      <c r="E442" s="1255">
        <v>1</v>
      </c>
      <c r="F442" s="9"/>
      <c r="G442" s="1241"/>
      <c r="I442" s="9"/>
      <c r="K442" s="293"/>
      <c r="L442" s="40" t="s">
        <v>894</v>
      </c>
      <c r="Q442" s="2097">
        <v>0</v>
      </c>
      <c r="R442" s="135">
        <v>0</v>
      </c>
      <c r="S442" s="135">
        <v>0</v>
      </c>
      <c r="T442" s="135">
        <v>0</v>
      </c>
      <c r="U442" s="135">
        <v>0</v>
      </c>
      <c r="V442" s="135">
        <v>0</v>
      </c>
      <c r="W442" s="135">
        <v>0</v>
      </c>
      <c r="X442" s="135">
        <v>0</v>
      </c>
      <c r="Y442" s="135">
        <v>0</v>
      </c>
      <c r="Z442" s="135">
        <v>0</v>
      </c>
      <c r="AA442" s="135">
        <v>0</v>
      </c>
      <c r="AB442" s="135">
        <v>0</v>
      </c>
      <c r="AC442" s="144">
        <v>0</v>
      </c>
      <c r="AD442" s="145">
        <v>0</v>
      </c>
      <c r="AE442" s="145">
        <v>0</v>
      </c>
      <c r="AF442" s="145">
        <v>0</v>
      </c>
      <c r="AG442" s="145">
        <v>0</v>
      </c>
      <c r="AH442" s="145">
        <v>0</v>
      </c>
      <c r="AI442" s="145">
        <v>0</v>
      </c>
    </row>
    <row r="443" spans="1:35" s="10" customFormat="1">
      <c r="A443" s="990">
        <v>397</v>
      </c>
      <c r="B443" s="990">
        <v>1</v>
      </c>
      <c r="C443" s="990">
        <v>443</v>
      </c>
      <c r="D443" s="10" t="s">
        <v>999</v>
      </c>
      <c r="E443" s="1255">
        <v>1</v>
      </c>
      <c r="F443" s="9"/>
      <c r="G443" s="1241"/>
      <c r="H443" s="24"/>
      <c r="I443" s="9"/>
      <c r="J443" s="9"/>
      <c r="K443" s="293"/>
      <c r="L443" s="40" t="s">
        <v>1071</v>
      </c>
      <c r="M443" s="9"/>
      <c r="N443" s="9"/>
      <c r="O443" s="9"/>
      <c r="P443" s="9"/>
      <c r="Q443" s="2097">
        <v>0</v>
      </c>
      <c r="R443" s="135">
        <v>0</v>
      </c>
      <c r="S443" s="135">
        <v>0</v>
      </c>
      <c r="T443" s="135">
        <v>0</v>
      </c>
      <c r="U443" s="135">
        <v>0</v>
      </c>
      <c r="V443" s="135">
        <v>0</v>
      </c>
      <c r="W443" s="135">
        <v>0</v>
      </c>
      <c r="X443" s="135">
        <v>0</v>
      </c>
      <c r="Y443" s="135">
        <v>0</v>
      </c>
      <c r="Z443" s="135">
        <v>0</v>
      </c>
      <c r="AA443" s="135">
        <v>0</v>
      </c>
      <c r="AB443" s="135">
        <v>0</v>
      </c>
      <c r="AC443" s="144">
        <v>0</v>
      </c>
      <c r="AD443" s="145">
        <v>0</v>
      </c>
      <c r="AE443" s="145">
        <v>0</v>
      </c>
      <c r="AF443" s="145">
        <v>0</v>
      </c>
      <c r="AG443" s="145">
        <v>0</v>
      </c>
      <c r="AH443" s="145">
        <v>0</v>
      </c>
      <c r="AI443" s="145">
        <v>0</v>
      </c>
    </row>
    <row r="444" spans="1:35">
      <c r="A444" s="990">
        <v>398</v>
      </c>
      <c r="B444" s="990">
        <v>1</v>
      </c>
      <c r="C444" s="990">
        <v>444</v>
      </c>
      <c r="D444" s="9" t="s">
        <v>999</v>
      </c>
      <c r="E444" s="1255">
        <v>1</v>
      </c>
      <c r="F444" s="9"/>
      <c r="G444" s="1241"/>
      <c r="I444" s="9"/>
      <c r="K444" s="194"/>
      <c r="L444" s="1257" t="s">
        <v>1077</v>
      </c>
      <c r="M444" s="18"/>
      <c r="N444" s="18"/>
      <c r="O444" s="18"/>
      <c r="P444" s="12"/>
      <c r="Q444" s="2187">
        <v>0</v>
      </c>
      <c r="R444" s="1138">
        <v>0</v>
      </c>
      <c r="S444" s="1138">
        <v>0</v>
      </c>
      <c r="T444" s="1138">
        <v>0</v>
      </c>
      <c r="U444" s="1138">
        <v>0</v>
      </c>
      <c r="V444" s="1138">
        <v>0</v>
      </c>
      <c r="W444" s="1138">
        <v>0</v>
      </c>
      <c r="X444" s="1138">
        <v>0</v>
      </c>
      <c r="Y444" s="1138">
        <v>0</v>
      </c>
      <c r="Z444" s="1138">
        <v>0</v>
      </c>
      <c r="AA444" s="1138">
        <v>0</v>
      </c>
      <c r="AB444" s="1138">
        <v>0</v>
      </c>
      <c r="AC444" s="1138">
        <v>0</v>
      </c>
      <c r="AD444" s="1138">
        <v>0</v>
      </c>
      <c r="AE444" s="1138">
        <v>0</v>
      </c>
      <c r="AF444" s="1138">
        <v>0</v>
      </c>
      <c r="AG444" s="1138">
        <v>0</v>
      </c>
      <c r="AH444" s="1138">
        <v>0</v>
      </c>
      <c r="AI444" s="1138">
        <v>0</v>
      </c>
    </row>
    <row r="445" spans="1:35">
      <c r="A445" s="990">
        <v>399</v>
      </c>
      <c r="B445" s="990">
        <v>1</v>
      </c>
      <c r="C445" s="990">
        <v>445</v>
      </c>
      <c r="E445" s="1243">
        <v>1</v>
      </c>
      <c r="Q445" s="2200"/>
      <c r="Z445" s="163"/>
      <c r="AB445" s="86"/>
    </row>
    <row r="446" spans="1:35" ht="15.5">
      <c r="A446" s="990">
        <v>400</v>
      </c>
      <c r="B446" s="990">
        <v>1</v>
      </c>
      <c r="C446" s="990">
        <v>446</v>
      </c>
      <c r="E446" s="1243">
        <v>1</v>
      </c>
      <c r="F446" s="9"/>
      <c r="G446" s="461" t="s">
        <v>1078</v>
      </c>
      <c r="Q446" s="2200"/>
      <c r="AB446" s="86"/>
    </row>
    <row r="447" spans="1:35">
      <c r="A447" s="990">
        <v>401</v>
      </c>
      <c r="B447" s="990">
        <v>1</v>
      </c>
      <c r="C447" s="990">
        <v>447</v>
      </c>
      <c r="E447" s="1243">
        <v>1</v>
      </c>
      <c r="H447" s="5" t="s">
        <v>1522</v>
      </c>
      <c r="L447" s="4"/>
      <c r="Q447" s="2200"/>
      <c r="AB447" s="86"/>
    </row>
    <row r="448" spans="1:35">
      <c r="A448" s="990">
        <v>402</v>
      </c>
      <c r="B448" s="990">
        <v>1</v>
      </c>
      <c r="C448" s="990">
        <v>448</v>
      </c>
      <c r="E448" s="1243">
        <v>1</v>
      </c>
      <c r="F448" s="93"/>
      <c r="G448" s="93"/>
      <c r="H448" s="14"/>
      <c r="I448" s="58"/>
      <c r="J448" s="555"/>
      <c r="K448" s="636"/>
      <c r="L448" s="636"/>
      <c r="M448" s="555"/>
      <c r="N448" s="555"/>
      <c r="O448" s="555"/>
      <c r="P448" s="555"/>
      <c r="Q448" s="2175">
        <v>44652</v>
      </c>
      <c r="R448" s="2175">
        <v>44682</v>
      </c>
      <c r="S448" s="2175">
        <v>44713</v>
      </c>
      <c r="T448" s="2175">
        <v>44743</v>
      </c>
      <c r="U448" s="2175">
        <v>44774</v>
      </c>
      <c r="V448" s="2175">
        <v>44805</v>
      </c>
      <c r="W448" s="2175">
        <v>44835</v>
      </c>
      <c r="X448" s="2175">
        <v>44866</v>
      </c>
      <c r="Y448" s="2175">
        <v>44896</v>
      </c>
      <c r="Z448" s="2175">
        <v>44927</v>
      </c>
      <c r="AA448" s="2175">
        <v>44958</v>
      </c>
      <c r="AB448" s="2175">
        <v>44986</v>
      </c>
      <c r="AC448" s="2590" t="s">
        <v>105</v>
      </c>
      <c r="AD448" s="2591" t="s">
        <v>104</v>
      </c>
      <c r="AE448" s="2591" t="s">
        <v>103</v>
      </c>
      <c r="AF448" s="2591" t="s">
        <v>102</v>
      </c>
      <c r="AG448" s="2591" t="s">
        <v>101</v>
      </c>
      <c r="AH448" s="2591" t="s">
        <v>100</v>
      </c>
      <c r="AI448" s="2591" t="s">
        <v>118</v>
      </c>
    </row>
    <row r="449" spans="1:35">
      <c r="A449" s="990">
        <v>403</v>
      </c>
      <c r="B449" s="990">
        <v>1</v>
      </c>
      <c r="C449" s="990">
        <v>449</v>
      </c>
      <c r="E449" s="1243">
        <v>1</v>
      </c>
      <c r="I449" s="115" t="s">
        <v>9</v>
      </c>
      <c r="J449" s="792"/>
      <c r="K449" s="793"/>
      <c r="L449" s="793"/>
      <c r="M449" s="792"/>
      <c r="N449" s="792"/>
      <c r="O449" s="792"/>
      <c r="P449" s="792"/>
      <c r="Q449" s="2133">
        <v>0</v>
      </c>
      <c r="R449" s="116">
        <v>0</v>
      </c>
      <c r="S449" s="116">
        <v>0</v>
      </c>
      <c r="T449" s="116">
        <v>0</v>
      </c>
      <c r="U449" s="116">
        <v>0</v>
      </c>
      <c r="V449" s="116">
        <v>0</v>
      </c>
      <c r="W449" s="116">
        <v>0</v>
      </c>
      <c r="X449" s="116">
        <v>0</v>
      </c>
      <c r="Y449" s="116">
        <v>0</v>
      </c>
      <c r="Z449" s="116">
        <v>0</v>
      </c>
      <c r="AA449" s="116">
        <v>0</v>
      </c>
      <c r="AB449" s="116">
        <v>0</v>
      </c>
      <c r="AC449" s="116">
        <v>0</v>
      </c>
      <c r="AD449" s="116">
        <v>0</v>
      </c>
      <c r="AE449" s="116">
        <v>0</v>
      </c>
      <c r="AF449" s="116">
        <v>0</v>
      </c>
      <c r="AG449" s="116">
        <v>0</v>
      </c>
      <c r="AH449" s="116">
        <v>0</v>
      </c>
      <c r="AI449" s="116">
        <v>0</v>
      </c>
    </row>
    <row r="450" spans="1:35">
      <c r="A450" s="990">
        <v>404</v>
      </c>
      <c r="B450" s="990">
        <v>1</v>
      </c>
      <c r="C450" s="990">
        <v>450</v>
      </c>
      <c r="E450" s="1243">
        <v>1</v>
      </c>
      <c r="I450" s="106"/>
      <c r="J450" s="105"/>
      <c r="K450" s="74" t="s">
        <v>1022</v>
      </c>
      <c r="L450" s="74"/>
      <c r="M450" s="357"/>
      <c r="N450" s="357"/>
      <c r="O450" s="357"/>
      <c r="P450" s="357"/>
      <c r="Q450" s="2134">
        <v>0</v>
      </c>
      <c r="R450" s="403">
        <v>0</v>
      </c>
      <c r="S450" s="403">
        <v>0</v>
      </c>
      <c r="T450" s="403">
        <v>0</v>
      </c>
      <c r="U450" s="403">
        <v>0</v>
      </c>
      <c r="V450" s="403">
        <v>0</v>
      </c>
      <c r="W450" s="403">
        <v>0</v>
      </c>
      <c r="X450" s="403">
        <v>0</v>
      </c>
      <c r="Y450" s="403">
        <v>0</v>
      </c>
      <c r="Z450" s="403">
        <v>0</v>
      </c>
      <c r="AA450" s="403">
        <v>0</v>
      </c>
      <c r="AB450" s="403">
        <v>0</v>
      </c>
      <c r="AC450" s="403">
        <v>0</v>
      </c>
      <c r="AD450" s="403">
        <v>0</v>
      </c>
      <c r="AE450" s="403">
        <v>0</v>
      </c>
      <c r="AF450" s="403">
        <v>0</v>
      </c>
      <c r="AG450" s="403">
        <v>0</v>
      </c>
      <c r="AH450" s="403">
        <v>0</v>
      </c>
      <c r="AI450" s="403">
        <v>0</v>
      </c>
    </row>
    <row r="451" spans="1:35" collapsed="1">
      <c r="A451" s="990">
        <v>405</v>
      </c>
      <c r="B451" s="990">
        <v>1</v>
      </c>
      <c r="C451" s="990">
        <v>451</v>
      </c>
      <c r="E451" s="1243">
        <v>1</v>
      </c>
      <c r="I451" s="106"/>
      <c r="J451" s="105"/>
      <c r="K451" s="74"/>
      <c r="L451" s="74"/>
      <c r="M451" s="9" t="s">
        <v>137</v>
      </c>
      <c r="N451" s="363"/>
      <c r="O451" s="363"/>
      <c r="P451" s="363"/>
      <c r="Q451" s="365">
        <v>0</v>
      </c>
      <c r="R451" s="365">
        <v>0</v>
      </c>
      <c r="S451" s="365">
        <v>0</v>
      </c>
      <c r="T451" s="365">
        <v>0</v>
      </c>
      <c r="U451" s="365">
        <v>0</v>
      </c>
      <c r="V451" s="365">
        <v>0</v>
      </c>
      <c r="W451" s="365">
        <v>0</v>
      </c>
      <c r="X451" s="365">
        <v>0</v>
      </c>
      <c r="Y451" s="365">
        <v>0</v>
      </c>
      <c r="Z451" s="365">
        <v>0</v>
      </c>
      <c r="AA451" s="365">
        <v>0</v>
      </c>
      <c r="AB451" s="365">
        <v>0</v>
      </c>
      <c r="AC451" s="1536">
        <v>0</v>
      </c>
      <c r="AD451" s="365">
        <v>0</v>
      </c>
      <c r="AE451" s="365">
        <v>0</v>
      </c>
      <c r="AF451" s="365">
        <v>0</v>
      </c>
      <c r="AG451" s="365">
        <v>0</v>
      </c>
      <c r="AH451" s="365">
        <v>0</v>
      </c>
      <c r="AI451" s="365">
        <v>0</v>
      </c>
    </row>
    <row r="452" spans="1:35">
      <c r="A452" s="990">
        <v>406</v>
      </c>
      <c r="B452" s="990">
        <v>1</v>
      </c>
      <c r="C452" s="990">
        <v>452</v>
      </c>
      <c r="E452" s="1243">
        <v>1</v>
      </c>
      <c r="I452" s="106"/>
      <c r="J452" s="105"/>
      <c r="K452" s="74"/>
      <c r="L452" s="74"/>
      <c r="N452" s="111" t="s">
        <v>1021</v>
      </c>
      <c r="O452" s="111"/>
      <c r="P452" s="111"/>
      <c r="Q452" s="109">
        <v>0</v>
      </c>
      <c r="R452" s="109">
        <v>0</v>
      </c>
      <c r="S452" s="109">
        <v>0</v>
      </c>
      <c r="T452" s="109">
        <v>0</v>
      </c>
      <c r="U452" s="109">
        <v>0</v>
      </c>
      <c r="V452" s="109">
        <v>0</v>
      </c>
      <c r="W452" s="109">
        <v>0</v>
      </c>
      <c r="X452" s="109">
        <v>0</v>
      </c>
      <c r="Y452" s="109">
        <v>0</v>
      </c>
      <c r="Z452" s="109">
        <v>0</v>
      </c>
      <c r="AA452" s="109">
        <v>0</v>
      </c>
      <c r="AB452" s="109">
        <v>0</v>
      </c>
      <c r="AC452" s="1537">
        <v>0</v>
      </c>
      <c r="AD452" s="109">
        <v>0</v>
      </c>
      <c r="AE452" s="109">
        <v>0</v>
      </c>
      <c r="AF452" s="109">
        <v>0</v>
      </c>
      <c r="AG452" s="109">
        <v>0</v>
      </c>
      <c r="AH452" s="109">
        <v>0</v>
      </c>
      <c r="AI452" s="109">
        <v>0</v>
      </c>
    </row>
    <row r="453" spans="1:35">
      <c r="A453" s="990">
        <v>407</v>
      </c>
      <c r="B453" s="990">
        <v>1</v>
      </c>
      <c r="C453" s="990">
        <v>453</v>
      </c>
      <c r="E453" s="1243">
        <v>1</v>
      </c>
      <c r="I453" s="106"/>
      <c r="J453" s="105"/>
      <c r="K453" s="74"/>
      <c r="L453" s="74"/>
      <c r="O453" s="111" t="s">
        <v>1079</v>
      </c>
      <c r="P453" s="111"/>
      <c r="Q453" s="2042"/>
      <c r="R453" s="2042"/>
      <c r="S453" s="2042"/>
      <c r="T453" s="2042"/>
      <c r="U453" s="2042"/>
      <c r="V453" s="2042"/>
      <c r="W453" s="2042"/>
      <c r="X453" s="2042"/>
      <c r="Y453" s="2042"/>
      <c r="Z453" s="2042"/>
      <c r="AA453" s="2042"/>
      <c r="AB453" s="2042"/>
      <c r="AC453" s="1537">
        <v>0</v>
      </c>
      <c r="AD453" s="108">
        <v>0</v>
      </c>
      <c r="AE453" s="108">
        <v>0</v>
      </c>
      <c r="AF453" s="108">
        <v>0</v>
      </c>
      <c r="AG453" s="108">
        <v>0</v>
      </c>
      <c r="AH453" s="108">
        <v>0</v>
      </c>
      <c r="AI453" s="108">
        <v>0</v>
      </c>
    </row>
    <row r="454" spans="1:35">
      <c r="A454" s="990">
        <v>408</v>
      </c>
      <c r="B454" s="990">
        <v>1</v>
      </c>
      <c r="C454" s="990">
        <v>454</v>
      </c>
      <c r="E454" s="1243">
        <v>1</v>
      </c>
      <c r="I454" s="106"/>
      <c r="J454" s="105"/>
      <c r="K454" s="74"/>
      <c r="L454" s="74"/>
      <c r="N454" s="363"/>
      <c r="O454" s="363" t="s">
        <v>1080</v>
      </c>
      <c r="P454" s="363"/>
      <c r="Q454" s="2052"/>
      <c r="R454" s="2052"/>
      <c r="S454" s="2052"/>
      <c r="T454" s="2052"/>
      <c r="U454" s="2052"/>
      <c r="V454" s="2052"/>
      <c r="W454" s="2052"/>
      <c r="X454" s="2052"/>
      <c r="Y454" s="2052"/>
      <c r="Z454" s="2052"/>
      <c r="AA454" s="2052"/>
      <c r="AB454" s="2052"/>
      <c r="AC454" s="1536">
        <v>0</v>
      </c>
      <c r="AD454" s="378">
        <v>0</v>
      </c>
      <c r="AE454" s="378">
        <v>0</v>
      </c>
      <c r="AF454" s="378">
        <v>0</v>
      </c>
      <c r="AG454" s="378">
        <v>0</v>
      </c>
      <c r="AH454" s="378">
        <v>0</v>
      </c>
      <c r="AI454" s="378">
        <v>0</v>
      </c>
    </row>
    <row r="455" spans="1:35">
      <c r="A455" s="990">
        <v>409</v>
      </c>
      <c r="B455" s="990">
        <v>1</v>
      </c>
      <c r="C455" s="990">
        <v>455</v>
      </c>
      <c r="E455" s="1243">
        <v>1</v>
      </c>
      <c r="I455" s="106"/>
      <c r="J455" s="105"/>
      <c r="K455" s="74"/>
      <c r="L455" s="74"/>
      <c r="M455" s="12"/>
      <c r="N455" s="366" t="s">
        <v>146</v>
      </c>
      <c r="O455" s="366"/>
      <c r="P455" s="366"/>
      <c r="Q455" s="2053"/>
      <c r="R455" s="2053"/>
      <c r="S455" s="2053"/>
      <c r="T455" s="2053"/>
      <c r="U455" s="2053"/>
      <c r="V455" s="2053"/>
      <c r="W455" s="2053"/>
      <c r="X455" s="2053"/>
      <c r="Y455" s="2053"/>
      <c r="Z455" s="2053"/>
      <c r="AA455" s="2053"/>
      <c r="AB455" s="2053"/>
      <c r="AC455" s="1538">
        <v>0</v>
      </c>
      <c r="AD455" s="379">
        <v>0</v>
      </c>
      <c r="AE455" s="379">
        <v>0</v>
      </c>
      <c r="AF455" s="379">
        <v>0</v>
      </c>
      <c r="AG455" s="379">
        <v>0</v>
      </c>
      <c r="AH455" s="379">
        <v>0</v>
      </c>
      <c r="AI455" s="379">
        <v>0</v>
      </c>
    </row>
    <row r="456" spans="1:35">
      <c r="A456" s="990">
        <v>410</v>
      </c>
      <c r="B456" s="990">
        <v>1</v>
      </c>
      <c r="C456" s="990">
        <v>456</v>
      </c>
      <c r="E456" s="1243">
        <v>1</v>
      </c>
      <c r="I456" s="106"/>
      <c r="J456" s="105"/>
      <c r="K456" s="74"/>
      <c r="L456" s="74"/>
      <c r="M456" s="9" t="s">
        <v>95</v>
      </c>
      <c r="N456" s="362"/>
      <c r="O456" s="362"/>
      <c r="P456" s="362"/>
      <c r="Q456" s="361">
        <v>0</v>
      </c>
      <c r="R456" s="361">
        <v>0</v>
      </c>
      <c r="S456" s="361">
        <v>0</v>
      </c>
      <c r="T456" s="361">
        <v>0</v>
      </c>
      <c r="U456" s="361">
        <v>0</v>
      </c>
      <c r="V456" s="361">
        <v>0</v>
      </c>
      <c r="W456" s="361">
        <v>0</v>
      </c>
      <c r="X456" s="361">
        <v>0</v>
      </c>
      <c r="Y456" s="361">
        <v>0</v>
      </c>
      <c r="Z456" s="361">
        <v>0</v>
      </c>
      <c r="AA456" s="361">
        <v>0</v>
      </c>
      <c r="AB456" s="361">
        <v>0</v>
      </c>
      <c r="AC456" s="1539">
        <v>0</v>
      </c>
      <c r="AD456" s="381">
        <v>0</v>
      </c>
      <c r="AE456" s="381">
        <v>0</v>
      </c>
      <c r="AF456" s="381">
        <v>0</v>
      </c>
      <c r="AG456" s="381">
        <v>0</v>
      </c>
      <c r="AH456" s="381">
        <v>0</v>
      </c>
      <c r="AI456" s="381">
        <v>0</v>
      </c>
    </row>
    <row r="457" spans="1:35">
      <c r="A457" s="990">
        <v>411</v>
      </c>
      <c r="B457" s="990">
        <v>1</v>
      </c>
      <c r="C457" s="990">
        <v>457</v>
      </c>
      <c r="E457" s="1243">
        <v>1</v>
      </c>
      <c r="I457" s="106"/>
      <c r="J457" s="105"/>
      <c r="K457" s="74"/>
      <c r="L457" s="74"/>
      <c r="N457" s="111" t="s">
        <v>1021</v>
      </c>
      <c r="O457" s="111"/>
      <c r="P457" s="111"/>
      <c r="Q457" s="109">
        <v>0</v>
      </c>
      <c r="R457" s="109">
        <v>0</v>
      </c>
      <c r="S457" s="109">
        <v>0</v>
      </c>
      <c r="T457" s="109">
        <v>0</v>
      </c>
      <c r="U457" s="109">
        <v>0</v>
      </c>
      <c r="V457" s="109">
        <v>0</v>
      </c>
      <c r="W457" s="109">
        <v>0</v>
      </c>
      <c r="X457" s="109">
        <v>0</v>
      </c>
      <c r="Y457" s="109">
        <v>0</v>
      </c>
      <c r="Z457" s="109">
        <v>0</v>
      </c>
      <c r="AA457" s="109">
        <v>0</v>
      </c>
      <c r="AB457" s="109">
        <v>0</v>
      </c>
      <c r="AC457" s="1537">
        <v>0</v>
      </c>
      <c r="AD457" s="108">
        <v>0</v>
      </c>
      <c r="AE457" s="108">
        <v>0</v>
      </c>
      <c r="AF457" s="108">
        <v>0</v>
      </c>
      <c r="AG457" s="108">
        <v>0</v>
      </c>
      <c r="AH457" s="108">
        <v>0</v>
      </c>
      <c r="AI457" s="108">
        <v>0</v>
      </c>
    </row>
    <row r="458" spans="1:35">
      <c r="A458" s="990">
        <v>412</v>
      </c>
      <c r="B458" s="990">
        <v>1</v>
      </c>
      <c r="C458" s="990">
        <v>458</v>
      </c>
      <c r="E458" s="1243">
        <v>1</v>
      </c>
      <c r="I458" s="106"/>
      <c r="J458" s="105"/>
      <c r="K458" s="74"/>
      <c r="L458" s="74"/>
      <c r="O458" s="111" t="s">
        <v>1079</v>
      </c>
      <c r="P458" s="1500"/>
      <c r="Q458" s="64">
        <v>0</v>
      </c>
      <c r="R458" s="64">
        <v>0</v>
      </c>
      <c r="S458" s="64">
        <v>0</v>
      </c>
      <c r="T458" s="64">
        <v>0</v>
      </c>
      <c r="U458" s="64">
        <v>0</v>
      </c>
      <c r="V458" s="64">
        <v>0</v>
      </c>
      <c r="W458" s="64">
        <v>0</v>
      </c>
      <c r="X458" s="64">
        <v>0</v>
      </c>
      <c r="Y458" s="64">
        <v>0</v>
      </c>
      <c r="Z458" s="64">
        <v>0</v>
      </c>
      <c r="AA458" s="64">
        <v>0</v>
      </c>
      <c r="AB458" s="64">
        <v>0</v>
      </c>
      <c r="AC458" s="1540">
        <v>0</v>
      </c>
      <c r="AD458" s="385">
        <v>0</v>
      </c>
      <c r="AE458" s="385">
        <v>0</v>
      </c>
      <c r="AF458" s="385">
        <v>0</v>
      </c>
      <c r="AG458" s="385">
        <v>0</v>
      </c>
      <c r="AH458" s="385">
        <v>0</v>
      </c>
      <c r="AI458" s="385">
        <v>0</v>
      </c>
    </row>
    <row r="459" spans="1:35">
      <c r="A459" s="990">
        <v>413</v>
      </c>
      <c r="B459" s="990">
        <v>1</v>
      </c>
      <c r="C459" s="990">
        <v>459</v>
      </c>
      <c r="E459" s="1243">
        <v>1</v>
      </c>
      <c r="I459" s="106"/>
      <c r="J459" s="105"/>
      <c r="K459" s="74"/>
      <c r="L459" s="74"/>
      <c r="P459" s="9" t="s">
        <v>1081</v>
      </c>
      <c r="Q459" s="2036"/>
      <c r="R459" s="2036"/>
      <c r="S459" s="2036"/>
      <c r="T459" s="2036"/>
      <c r="U459" s="2036"/>
      <c r="V459" s="2036"/>
      <c r="W459" s="2036"/>
      <c r="X459" s="2036"/>
      <c r="Y459" s="2036"/>
      <c r="Z459" s="2036"/>
      <c r="AA459" s="2036"/>
      <c r="AB459" s="2036"/>
      <c r="AC459" s="1380">
        <v>0</v>
      </c>
      <c r="AD459" s="107">
        <v>0</v>
      </c>
      <c r="AE459" s="107">
        <v>0</v>
      </c>
      <c r="AF459" s="107">
        <v>0</v>
      </c>
      <c r="AG459" s="107">
        <v>0</v>
      </c>
      <c r="AH459" s="107">
        <v>0</v>
      </c>
      <c r="AI459" s="107">
        <v>0</v>
      </c>
    </row>
    <row r="460" spans="1:35" s="10" customFormat="1">
      <c r="A460" s="990">
        <v>414</v>
      </c>
      <c r="B460" s="990">
        <v>1</v>
      </c>
      <c r="C460" s="990">
        <v>460</v>
      </c>
      <c r="E460" s="1243">
        <v>1</v>
      </c>
      <c r="H460" s="24"/>
      <c r="I460" s="106"/>
      <c r="J460" s="105"/>
      <c r="K460" s="74"/>
      <c r="L460" s="74"/>
      <c r="M460" s="9"/>
      <c r="N460" s="9"/>
      <c r="O460" s="9"/>
      <c r="P460" s="9" t="s">
        <v>1082</v>
      </c>
      <c r="Q460" s="2036"/>
      <c r="R460" s="2036"/>
      <c r="S460" s="2036"/>
      <c r="T460" s="2036"/>
      <c r="U460" s="2036"/>
      <c r="V460" s="2036"/>
      <c r="W460" s="2036"/>
      <c r="X460" s="2036"/>
      <c r="Y460" s="2036"/>
      <c r="Z460" s="2036"/>
      <c r="AA460" s="2036"/>
      <c r="AB460" s="2036"/>
      <c r="AC460" s="1380">
        <v>0</v>
      </c>
      <c r="AD460" s="107">
        <v>0</v>
      </c>
      <c r="AE460" s="107">
        <v>0</v>
      </c>
      <c r="AF460" s="107">
        <v>0</v>
      </c>
      <c r="AG460" s="107">
        <v>0</v>
      </c>
      <c r="AH460" s="107">
        <v>0</v>
      </c>
      <c r="AI460" s="107">
        <v>0</v>
      </c>
    </row>
    <row r="461" spans="1:35">
      <c r="A461" s="990">
        <v>415</v>
      </c>
      <c r="B461" s="990">
        <v>1</v>
      </c>
      <c r="C461" s="990">
        <v>461</v>
      </c>
      <c r="E461" s="1243">
        <v>1</v>
      </c>
      <c r="I461" s="106"/>
      <c r="J461" s="105"/>
      <c r="K461" s="74"/>
      <c r="L461" s="74"/>
      <c r="O461" s="111" t="s">
        <v>1080</v>
      </c>
      <c r="P461" s="1500"/>
      <c r="Q461" s="64">
        <v>0</v>
      </c>
      <c r="R461" s="64">
        <v>0</v>
      </c>
      <c r="S461" s="64">
        <v>0</v>
      </c>
      <c r="T461" s="64">
        <v>0</v>
      </c>
      <c r="U461" s="64">
        <v>0</v>
      </c>
      <c r="V461" s="64">
        <v>0</v>
      </c>
      <c r="W461" s="64">
        <v>0</v>
      </c>
      <c r="X461" s="64">
        <v>0</v>
      </c>
      <c r="Y461" s="64">
        <v>0</v>
      </c>
      <c r="Z461" s="64">
        <v>0</v>
      </c>
      <c r="AA461" s="64">
        <v>0</v>
      </c>
      <c r="AB461" s="64">
        <v>0</v>
      </c>
      <c r="AC461" s="1540">
        <v>0</v>
      </c>
      <c r="AD461" s="385">
        <v>0</v>
      </c>
      <c r="AE461" s="385">
        <v>0</v>
      </c>
      <c r="AF461" s="385">
        <v>0</v>
      </c>
      <c r="AG461" s="385">
        <v>0</v>
      </c>
      <c r="AH461" s="385">
        <v>0</v>
      </c>
      <c r="AI461" s="385">
        <v>0</v>
      </c>
    </row>
    <row r="462" spans="1:35" s="10" customFormat="1">
      <c r="A462" s="990">
        <v>416</v>
      </c>
      <c r="B462" s="990">
        <v>1</v>
      </c>
      <c r="C462" s="990">
        <v>462</v>
      </c>
      <c r="E462" s="1243">
        <v>1</v>
      </c>
      <c r="H462" s="24"/>
      <c r="I462" s="106"/>
      <c r="J462" s="105"/>
      <c r="K462" s="74"/>
      <c r="L462" s="74"/>
      <c r="M462" s="9"/>
      <c r="N462" s="9"/>
      <c r="O462" s="9"/>
      <c r="P462" s="9" t="s">
        <v>1081</v>
      </c>
      <c r="Q462" s="2036"/>
      <c r="R462" s="2036"/>
      <c r="S462" s="2036"/>
      <c r="T462" s="2036"/>
      <c r="U462" s="2036"/>
      <c r="V462" s="2036"/>
      <c r="W462" s="2036"/>
      <c r="X462" s="2036"/>
      <c r="Y462" s="2036"/>
      <c r="Z462" s="2036"/>
      <c r="AA462" s="2036"/>
      <c r="AB462" s="2036"/>
      <c r="AC462" s="1380">
        <v>0</v>
      </c>
      <c r="AD462" s="107">
        <v>0</v>
      </c>
      <c r="AE462" s="107">
        <v>0</v>
      </c>
      <c r="AF462" s="107">
        <v>0</v>
      </c>
      <c r="AG462" s="107">
        <v>0</v>
      </c>
      <c r="AH462" s="107">
        <v>0</v>
      </c>
      <c r="AI462" s="107">
        <v>0</v>
      </c>
    </row>
    <row r="463" spans="1:35">
      <c r="A463" s="990">
        <v>417</v>
      </c>
      <c r="B463" s="990">
        <v>1</v>
      </c>
      <c r="C463" s="990">
        <v>463</v>
      </c>
      <c r="E463" s="1243">
        <v>1</v>
      </c>
      <c r="I463" s="106"/>
      <c r="J463" s="105"/>
      <c r="K463" s="74"/>
      <c r="L463" s="74"/>
      <c r="N463" s="363"/>
      <c r="O463" s="363"/>
      <c r="P463" s="363" t="s">
        <v>1082</v>
      </c>
      <c r="Q463" s="2052"/>
      <c r="R463" s="2052"/>
      <c r="S463" s="2052"/>
      <c r="T463" s="2052"/>
      <c r="U463" s="2052"/>
      <c r="V463" s="2052"/>
      <c r="W463" s="2052"/>
      <c r="X463" s="2052"/>
      <c r="Y463" s="2052"/>
      <c r="Z463" s="2052"/>
      <c r="AA463" s="2052"/>
      <c r="AB463" s="2052"/>
      <c r="AC463" s="1536">
        <v>0</v>
      </c>
      <c r="AD463" s="378">
        <v>0</v>
      </c>
      <c r="AE463" s="378">
        <v>0</v>
      </c>
      <c r="AF463" s="378">
        <v>0</v>
      </c>
      <c r="AG463" s="378">
        <v>0</v>
      </c>
      <c r="AH463" s="378">
        <v>0</v>
      </c>
      <c r="AI463" s="378">
        <v>0</v>
      </c>
    </row>
    <row r="464" spans="1:35">
      <c r="A464" s="990">
        <v>418</v>
      </c>
      <c r="B464" s="990">
        <v>1</v>
      </c>
      <c r="C464" s="990">
        <v>464</v>
      </c>
      <c r="E464" s="1243">
        <v>1</v>
      </c>
      <c r="I464" s="106"/>
      <c r="J464" s="105"/>
      <c r="K464" s="74"/>
      <c r="L464" s="74"/>
      <c r="N464" s="366" t="s">
        <v>146</v>
      </c>
      <c r="O464" s="366"/>
      <c r="P464" s="366"/>
      <c r="Q464" s="2053"/>
      <c r="R464" s="2053"/>
      <c r="S464" s="2053"/>
      <c r="T464" s="2053"/>
      <c r="U464" s="2053"/>
      <c r="V464" s="2053"/>
      <c r="W464" s="2053"/>
      <c r="X464" s="2053"/>
      <c r="Y464" s="2053"/>
      <c r="Z464" s="2053"/>
      <c r="AA464" s="2053"/>
      <c r="AB464" s="2053"/>
      <c r="AC464" s="1538">
        <v>0</v>
      </c>
      <c r="AD464" s="379">
        <v>0</v>
      </c>
      <c r="AE464" s="379">
        <v>0</v>
      </c>
      <c r="AF464" s="379">
        <v>0</v>
      </c>
      <c r="AG464" s="379">
        <v>0</v>
      </c>
      <c r="AH464" s="379">
        <v>0</v>
      </c>
      <c r="AI464" s="379">
        <v>0</v>
      </c>
    </row>
    <row r="465" spans="1:35">
      <c r="A465" s="990">
        <v>419</v>
      </c>
      <c r="B465" s="990">
        <v>1</v>
      </c>
      <c r="C465" s="990">
        <v>465</v>
      </c>
      <c r="E465" s="1243">
        <v>1</v>
      </c>
      <c r="I465" s="106"/>
      <c r="J465" s="105"/>
      <c r="K465" s="73"/>
      <c r="L465" s="73"/>
      <c r="M465" s="2343" t="s">
        <v>11</v>
      </c>
      <c r="N465" s="2343"/>
      <c r="O465" s="2343"/>
      <c r="P465" s="2343"/>
      <c r="Q465" s="2088"/>
      <c r="R465" s="2088"/>
      <c r="S465" s="2088"/>
      <c r="T465" s="2088"/>
      <c r="U465" s="2088"/>
      <c r="V465" s="2088"/>
      <c r="W465" s="2088"/>
      <c r="X465" s="2088"/>
      <c r="Y465" s="2088"/>
      <c r="Z465" s="2088"/>
      <c r="AA465" s="2088"/>
      <c r="AB465" s="2088"/>
      <c r="AC465" s="2636">
        <v>0</v>
      </c>
      <c r="AD465" s="2534">
        <v>0</v>
      </c>
      <c r="AE465" s="2534">
        <v>0</v>
      </c>
      <c r="AF465" s="2534">
        <v>0</v>
      </c>
      <c r="AG465" s="2534">
        <v>0</v>
      </c>
      <c r="AH465" s="2534">
        <v>0</v>
      </c>
      <c r="AI465" s="2534">
        <v>0</v>
      </c>
    </row>
    <row r="466" spans="1:35" collapsed="1">
      <c r="A466" s="990">
        <v>420</v>
      </c>
      <c r="B466" s="990">
        <v>1</v>
      </c>
      <c r="C466" s="990">
        <v>466</v>
      </c>
      <c r="E466" s="1243">
        <v>1</v>
      </c>
      <c r="I466" s="106"/>
      <c r="J466" s="105"/>
      <c r="K466" s="794" t="s">
        <v>1023</v>
      </c>
      <c r="L466" s="794"/>
      <c r="M466" s="794"/>
      <c r="N466" s="794"/>
      <c r="O466" s="794"/>
      <c r="P466" s="794"/>
      <c r="Q466" s="2135">
        <v>0</v>
      </c>
      <c r="R466" s="112">
        <v>0</v>
      </c>
      <c r="S466" s="112">
        <v>0</v>
      </c>
      <c r="T466" s="112">
        <v>0</v>
      </c>
      <c r="U466" s="112">
        <v>0</v>
      </c>
      <c r="V466" s="112">
        <v>0</v>
      </c>
      <c r="W466" s="112">
        <v>0</v>
      </c>
      <c r="X466" s="112">
        <v>0</v>
      </c>
      <c r="Y466" s="112">
        <v>0</v>
      </c>
      <c r="Z466" s="112">
        <v>0</v>
      </c>
      <c r="AA466" s="112">
        <v>0</v>
      </c>
      <c r="AB466" s="112">
        <v>0</v>
      </c>
      <c r="AC466" s="112">
        <v>0</v>
      </c>
      <c r="AD466" s="112">
        <v>0</v>
      </c>
      <c r="AE466" s="112">
        <v>0</v>
      </c>
      <c r="AF466" s="112">
        <v>0</v>
      </c>
      <c r="AG466" s="112">
        <v>0</v>
      </c>
      <c r="AH466" s="112">
        <v>0</v>
      </c>
      <c r="AI466" s="112">
        <v>0</v>
      </c>
    </row>
    <row r="467" spans="1:35" s="10" customFormat="1">
      <c r="A467" s="990">
        <v>421</v>
      </c>
      <c r="B467" s="990">
        <v>1</v>
      </c>
      <c r="C467" s="990">
        <v>467</v>
      </c>
      <c r="E467" s="1243">
        <v>1</v>
      </c>
      <c r="H467" s="24"/>
      <c r="I467" s="106"/>
      <c r="J467" s="105"/>
      <c r="K467" s="69"/>
      <c r="L467" s="69"/>
      <c r="M467" s="9" t="s">
        <v>137</v>
      </c>
      <c r="N467" s="363"/>
      <c r="O467" s="363"/>
      <c r="P467" s="363"/>
      <c r="Q467" s="365">
        <v>0</v>
      </c>
      <c r="R467" s="365">
        <v>0</v>
      </c>
      <c r="S467" s="365">
        <v>0</v>
      </c>
      <c r="T467" s="365">
        <v>0</v>
      </c>
      <c r="U467" s="365">
        <v>0</v>
      </c>
      <c r="V467" s="365">
        <v>0</v>
      </c>
      <c r="W467" s="365">
        <v>0</v>
      </c>
      <c r="X467" s="365">
        <v>0</v>
      </c>
      <c r="Y467" s="365">
        <v>0</v>
      </c>
      <c r="Z467" s="365">
        <v>0</v>
      </c>
      <c r="AA467" s="365">
        <v>0</v>
      </c>
      <c r="AB467" s="365">
        <v>0</v>
      </c>
      <c r="AC467" s="1536">
        <v>0</v>
      </c>
      <c r="AD467" s="365">
        <v>0</v>
      </c>
      <c r="AE467" s="365">
        <v>0</v>
      </c>
      <c r="AF467" s="365">
        <v>0</v>
      </c>
      <c r="AG467" s="365">
        <v>0</v>
      </c>
      <c r="AH467" s="365">
        <v>0</v>
      </c>
      <c r="AI467" s="365">
        <v>0</v>
      </c>
    </row>
    <row r="468" spans="1:35">
      <c r="A468" s="990">
        <v>422</v>
      </c>
      <c r="B468" s="990">
        <v>1</v>
      </c>
      <c r="C468" s="990">
        <v>468</v>
      </c>
      <c r="E468" s="1243">
        <v>1</v>
      </c>
      <c r="I468" s="106"/>
      <c r="J468" s="105"/>
      <c r="K468" s="69"/>
      <c r="L468" s="69"/>
      <c r="N468" s="111" t="s">
        <v>1021</v>
      </c>
      <c r="O468" s="111"/>
      <c r="P468" s="111"/>
      <c r="Q468" s="109">
        <v>0</v>
      </c>
      <c r="R468" s="109">
        <v>0</v>
      </c>
      <c r="S468" s="109">
        <v>0</v>
      </c>
      <c r="T468" s="109">
        <v>0</v>
      </c>
      <c r="U468" s="109">
        <v>0</v>
      </c>
      <c r="V468" s="109">
        <v>0</v>
      </c>
      <c r="W468" s="109">
        <v>0</v>
      </c>
      <c r="X468" s="109">
        <v>0</v>
      </c>
      <c r="Y468" s="109">
        <v>0</v>
      </c>
      <c r="Z468" s="109">
        <v>0</v>
      </c>
      <c r="AA468" s="109">
        <v>0</v>
      </c>
      <c r="AB468" s="109">
        <v>0</v>
      </c>
      <c r="AC468" s="1537">
        <v>0</v>
      </c>
      <c r="AD468" s="109">
        <v>0</v>
      </c>
      <c r="AE468" s="109">
        <v>0</v>
      </c>
      <c r="AF468" s="109">
        <v>0</v>
      </c>
      <c r="AG468" s="109">
        <v>0</v>
      </c>
      <c r="AH468" s="109">
        <v>0</v>
      </c>
      <c r="AI468" s="109">
        <v>0</v>
      </c>
    </row>
    <row r="469" spans="1:35">
      <c r="A469" s="990">
        <v>423</v>
      </c>
      <c r="B469" s="990">
        <v>1</v>
      </c>
      <c r="C469" s="990">
        <v>469</v>
      </c>
      <c r="E469" s="1243">
        <v>1</v>
      </c>
      <c r="I469" s="106"/>
      <c r="J469" s="105"/>
      <c r="K469" s="69"/>
      <c r="L469" s="69"/>
      <c r="O469" s="111" t="s">
        <v>1079</v>
      </c>
      <c r="P469" s="111"/>
      <c r="Q469" s="2042"/>
      <c r="R469" s="2042"/>
      <c r="S469" s="2042"/>
      <c r="T469" s="2042"/>
      <c r="U469" s="2042"/>
      <c r="V469" s="2042"/>
      <c r="W469" s="2042"/>
      <c r="X469" s="2042"/>
      <c r="Y469" s="2042"/>
      <c r="Z469" s="2042"/>
      <c r="AA469" s="2042"/>
      <c r="AB469" s="2042"/>
      <c r="AC469" s="1537">
        <v>0</v>
      </c>
      <c r="AD469" s="108">
        <v>0</v>
      </c>
      <c r="AE469" s="108">
        <v>0</v>
      </c>
      <c r="AF469" s="108">
        <v>0</v>
      </c>
      <c r="AG469" s="108">
        <v>0</v>
      </c>
      <c r="AH469" s="108">
        <v>0</v>
      </c>
      <c r="AI469" s="108">
        <v>0</v>
      </c>
    </row>
    <row r="470" spans="1:35">
      <c r="A470" s="990">
        <v>424</v>
      </c>
      <c r="B470" s="990">
        <v>1</v>
      </c>
      <c r="C470" s="990">
        <v>470</v>
      </c>
      <c r="E470" s="1243">
        <v>1</v>
      </c>
      <c r="I470" s="106"/>
      <c r="J470" s="105"/>
      <c r="K470" s="69"/>
      <c r="L470" s="69"/>
      <c r="N470" s="363"/>
      <c r="O470" s="363" t="s">
        <v>1080</v>
      </c>
      <c r="P470" s="363"/>
      <c r="Q470" s="2052"/>
      <c r="R470" s="2052"/>
      <c r="S470" s="2052"/>
      <c r="T470" s="2052"/>
      <c r="U470" s="2052"/>
      <c r="V470" s="2052"/>
      <c r="W470" s="2052"/>
      <c r="X470" s="2052"/>
      <c r="Y470" s="2052"/>
      <c r="Z470" s="2052"/>
      <c r="AA470" s="2052"/>
      <c r="AB470" s="2052"/>
      <c r="AC470" s="1536">
        <v>0</v>
      </c>
      <c r="AD470" s="378">
        <v>0</v>
      </c>
      <c r="AE470" s="378">
        <v>0</v>
      </c>
      <c r="AF470" s="378">
        <v>0</v>
      </c>
      <c r="AG470" s="378">
        <v>0</v>
      </c>
      <c r="AH470" s="378">
        <v>0</v>
      </c>
      <c r="AI470" s="378">
        <v>0</v>
      </c>
    </row>
    <row r="471" spans="1:35">
      <c r="A471" s="990">
        <v>425</v>
      </c>
      <c r="B471" s="990">
        <v>1</v>
      </c>
      <c r="C471" s="990">
        <v>471</v>
      </c>
      <c r="E471" s="1243">
        <v>1</v>
      </c>
      <c r="I471" s="106"/>
      <c r="J471" s="105"/>
      <c r="K471" s="69"/>
      <c r="L471" s="69"/>
      <c r="M471" s="12"/>
      <c r="N471" s="366" t="s">
        <v>146</v>
      </c>
      <c r="O471" s="366"/>
      <c r="P471" s="366"/>
      <c r="Q471" s="2053"/>
      <c r="R471" s="2053"/>
      <c r="S471" s="2053"/>
      <c r="T471" s="2053"/>
      <c r="U471" s="2053"/>
      <c r="V471" s="2053"/>
      <c r="W471" s="2053"/>
      <c r="X471" s="2053"/>
      <c r="Y471" s="2053"/>
      <c r="Z471" s="2053"/>
      <c r="AA471" s="2053"/>
      <c r="AB471" s="2053"/>
      <c r="AC471" s="1538">
        <v>0</v>
      </c>
      <c r="AD471" s="379">
        <v>0</v>
      </c>
      <c r="AE471" s="379">
        <v>0</v>
      </c>
      <c r="AF471" s="379">
        <v>0</v>
      </c>
      <c r="AG471" s="379">
        <v>0</v>
      </c>
      <c r="AH471" s="379">
        <v>0</v>
      </c>
      <c r="AI471" s="379">
        <v>0</v>
      </c>
    </row>
    <row r="472" spans="1:35">
      <c r="A472" s="990">
        <v>426</v>
      </c>
      <c r="B472" s="990">
        <v>1</v>
      </c>
      <c r="C472" s="990">
        <v>472</v>
      </c>
      <c r="E472" s="1243">
        <v>1</v>
      </c>
      <c r="I472" s="106"/>
      <c r="J472" s="105"/>
      <c r="K472" s="69"/>
      <c r="L472" s="69"/>
      <c r="M472" s="9" t="s">
        <v>95</v>
      </c>
      <c r="N472" s="362"/>
      <c r="O472" s="362"/>
      <c r="P472" s="362"/>
      <c r="Q472" s="361">
        <v>0</v>
      </c>
      <c r="R472" s="361">
        <v>0</v>
      </c>
      <c r="S472" s="361">
        <v>0</v>
      </c>
      <c r="T472" s="361">
        <v>0</v>
      </c>
      <c r="U472" s="361">
        <v>0</v>
      </c>
      <c r="V472" s="361">
        <v>0</v>
      </c>
      <c r="W472" s="361">
        <v>0</v>
      </c>
      <c r="X472" s="361">
        <v>0</v>
      </c>
      <c r="Y472" s="361">
        <v>0</v>
      </c>
      <c r="Z472" s="361">
        <v>0</v>
      </c>
      <c r="AA472" s="361">
        <v>0</v>
      </c>
      <c r="AB472" s="361">
        <v>0</v>
      </c>
      <c r="AC472" s="1539">
        <v>0</v>
      </c>
      <c r="AD472" s="381">
        <v>0</v>
      </c>
      <c r="AE472" s="381">
        <v>0</v>
      </c>
      <c r="AF472" s="381">
        <v>0</v>
      </c>
      <c r="AG472" s="381">
        <v>0</v>
      </c>
      <c r="AH472" s="381">
        <v>0</v>
      </c>
      <c r="AI472" s="381">
        <v>0</v>
      </c>
    </row>
    <row r="473" spans="1:35">
      <c r="A473" s="990">
        <v>427</v>
      </c>
      <c r="B473" s="990">
        <v>1</v>
      </c>
      <c r="C473" s="990">
        <v>473</v>
      </c>
      <c r="E473" s="1243">
        <v>1</v>
      </c>
      <c r="I473" s="106"/>
      <c r="J473" s="105"/>
      <c r="K473" s="69"/>
      <c r="L473" s="69"/>
      <c r="N473" s="111" t="s">
        <v>1021</v>
      </c>
      <c r="O473" s="111"/>
      <c r="P473" s="111"/>
      <c r="Q473" s="109">
        <v>0</v>
      </c>
      <c r="R473" s="109">
        <v>0</v>
      </c>
      <c r="S473" s="109">
        <v>0</v>
      </c>
      <c r="T473" s="109">
        <v>0</v>
      </c>
      <c r="U473" s="109">
        <v>0</v>
      </c>
      <c r="V473" s="109">
        <v>0</v>
      </c>
      <c r="W473" s="109">
        <v>0</v>
      </c>
      <c r="X473" s="109">
        <v>0</v>
      </c>
      <c r="Y473" s="109">
        <v>0</v>
      </c>
      <c r="Z473" s="109">
        <v>0</v>
      </c>
      <c r="AA473" s="109">
        <v>0</v>
      </c>
      <c r="AB473" s="109">
        <v>0</v>
      </c>
      <c r="AC473" s="1537">
        <v>0</v>
      </c>
      <c r="AD473" s="108">
        <v>0</v>
      </c>
      <c r="AE473" s="108">
        <v>0</v>
      </c>
      <c r="AF473" s="108">
        <v>0</v>
      </c>
      <c r="AG473" s="108">
        <v>0</v>
      </c>
      <c r="AH473" s="108">
        <v>0</v>
      </c>
      <c r="AI473" s="108">
        <v>0</v>
      </c>
    </row>
    <row r="474" spans="1:35">
      <c r="A474" s="990">
        <v>428</v>
      </c>
      <c r="B474" s="990">
        <v>1</v>
      </c>
      <c r="C474" s="990">
        <v>474</v>
      </c>
      <c r="E474" s="1243">
        <v>1</v>
      </c>
      <c r="I474" s="106"/>
      <c r="J474" s="105"/>
      <c r="K474" s="69"/>
      <c r="L474" s="69"/>
      <c r="O474" s="111" t="s">
        <v>1079</v>
      </c>
      <c r="P474" s="1500"/>
      <c r="Q474" s="64">
        <v>0</v>
      </c>
      <c r="R474" s="64">
        <v>0</v>
      </c>
      <c r="S474" s="64">
        <v>0</v>
      </c>
      <c r="T474" s="64">
        <v>0</v>
      </c>
      <c r="U474" s="64">
        <v>0</v>
      </c>
      <c r="V474" s="64">
        <v>0</v>
      </c>
      <c r="W474" s="64">
        <v>0</v>
      </c>
      <c r="X474" s="64">
        <v>0</v>
      </c>
      <c r="Y474" s="64">
        <v>0</v>
      </c>
      <c r="Z474" s="64">
        <v>0</v>
      </c>
      <c r="AA474" s="64">
        <v>0</v>
      </c>
      <c r="AB474" s="64">
        <v>0</v>
      </c>
      <c r="AC474" s="1540">
        <v>0</v>
      </c>
      <c r="AD474" s="385">
        <v>0</v>
      </c>
      <c r="AE474" s="385">
        <v>0</v>
      </c>
      <c r="AF474" s="385">
        <v>0</v>
      </c>
      <c r="AG474" s="385">
        <v>0</v>
      </c>
      <c r="AH474" s="385">
        <v>0</v>
      </c>
      <c r="AI474" s="385">
        <v>0</v>
      </c>
    </row>
    <row r="475" spans="1:35" collapsed="1">
      <c r="A475" s="990">
        <v>429</v>
      </c>
      <c r="B475" s="990">
        <v>1</v>
      </c>
      <c r="C475" s="990">
        <v>475</v>
      </c>
      <c r="E475" s="1243">
        <v>1</v>
      </c>
      <c r="I475" s="106"/>
      <c r="J475" s="105"/>
      <c r="K475" s="69"/>
      <c r="L475" s="69"/>
      <c r="P475" s="9" t="s">
        <v>1083</v>
      </c>
      <c r="Q475" s="2036"/>
      <c r="R475" s="2036"/>
      <c r="S475" s="2036"/>
      <c r="T475" s="2036"/>
      <c r="U475" s="2036"/>
      <c r="V475" s="2036"/>
      <c r="W475" s="2036"/>
      <c r="X475" s="2036"/>
      <c r="Y475" s="2036"/>
      <c r="Z475" s="2036"/>
      <c r="AA475" s="2036"/>
      <c r="AB475" s="2036"/>
      <c r="AC475" s="1380">
        <v>0</v>
      </c>
      <c r="AD475" s="107">
        <v>0</v>
      </c>
      <c r="AE475" s="107">
        <v>0</v>
      </c>
      <c r="AF475" s="107">
        <v>0</v>
      </c>
      <c r="AG475" s="107">
        <v>0</v>
      </c>
      <c r="AH475" s="107">
        <v>0</v>
      </c>
      <c r="AI475" s="107">
        <v>0</v>
      </c>
    </row>
    <row r="476" spans="1:35">
      <c r="A476" s="990">
        <v>430</v>
      </c>
      <c r="B476" s="990">
        <v>1</v>
      </c>
      <c r="C476" s="990">
        <v>476</v>
      </c>
      <c r="E476" s="1243">
        <v>1</v>
      </c>
      <c r="I476" s="106"/>
      <c r="J476" s="105"/>
      <c r="K476" s="69"/>
      <c r="L476" s="69"/>
      <c r="P476" s="9" t="s">
        <v>1084</v>
      </c>
      <c r="Q476" s="2036"/>
      <c r="R476" s="2036"/>
      <c r="S476" s="2036"/>
      <c r="T476" s="2036"/>
      <c r="U476" s="2036"/>
      <c r="V476" s="2036"/>
      <c r="W476" s="2036"/>
      <c r="X476" s="2036"/>
      <c r="Y476" s="2036"/>
      <c r="Z476" s="2036"/>
      <c r="AA476" s="2036"/>
      <c r="AB476" s="2036"/>
      <c r="AC476" s="1380">
        <v>0</v>
      </c>
      <c r="AD476" s="107">
        <v>0</v>
      </c>
      <c r="AE476" s="107">
        <v>0</v>
      </c>
      <c r="AF476" s="107">
        <v>0</v>
      </c>
      <c r="AG476" s="107">
        <v>0</v>
      </c>
      <c r="AH476" s="107">
        <v>0</v>
      </c>
      <c r="AI476" s="107">
        <v>0</v>
      </c>
    </row>
    <row r="477" spans="1:35">
      <c r="A477" s="990">
        <v>431</v>
      </c>
      <c r="B477" s="990">
        <v>1</v>
      </c>
      <c r="C477" s="990">
        <v>477</v>
      </c>
      <c r="E477" s="1243">
        <v>1</v>
      </c>
      <c r="I477" s="106"/>
      <c r="J477" s="105"/>
      <c r="K477" s="69"/>
      <c r="L477" s="69"/>
      <c r="O477" s="111" t="s">
        <v>1080</v>
      </c>
      <c r="P477" s="1500"/>
      <c r="Q477" s="64">
        <v>0</v>
      </c>
      <c r="R477" s="64">
        <v>0</v>
      </c>
      <c r="S477" s="64">
        <v>0</v>
      </c>
      <c r="T477" s="64">
        <v>0</v>
      </c>
      <c r="U477" s="64">
        <v>0</v>
      </c>
      <c r="V477" s="64">
        <v>0</v>
      </c>
      <c r="W477" s="64">
        <v>0</v>
      </c>
      <c r="X477" s="64">
        <v>0</v>
      </c>
      <c r="Y477" s="64">
        <v>0</v>
      </c>
      <c r="Z477" s="64">
        <v>0</v>
      </c>
      <c r="AA477" s="64">
        <v>0</v>
      </c>
      <c r="AB477" s="64">
        <v>0</v>
      </c>
      <c r="AC477" s="1540">
        <v>0</v>
      </c>
      <c r="AD477" s="385">
        <v>0</v>
      </c>
      <c r="AE477" s="385">
        <v>0</v>
      </c>
      <c r="AF477" s="385">
        <v>0</v>
      </c>
      <c r="AG477" s="385">
        <v>0</v>
      </c>
      <c r="AH477" s="385">
        <v>0</v>
      </c>
      <c r="AI477" s="385">
        <v>0</v>
      </c>
    </row>
    <row r="478" spans="1:35">
      <c r="A478" s="990">
        <v>432</v>
      </c>
      <c r="B478" s="990">
        <v>1</v>
      </c>
      <c r="C478" s="990">
        <v>478</v>
      </c>
      <c r="E478" s="1243">
        <v>1</v>
      </c>
      <c r="I478" s="106"/>
      <c r="J478" s="105"/>
      <c r="K478" s="69"/>
      <c r="L478" s="69"/>
      <c r="P478" s="9" t="s">
        <v>1083</v>
      </c>
      <c r="Q478" s="2036"/>
      <c r="R478" s="2036"/>
      <c r="S478" s="2036"/>
      <c r="T478" s="2036"/>
      <c r="U478" s="2036"/>
      <c r="V478" s="2036"/>
      <c r="W478" s="2036"/>
      <c r="X478" s="2036"/>
      <c r="Y478" s="2036"/>
      <c r="Z478" s="2036"/>
      <c r="AA478" s="2036"/>
      <c r="AB478" s="2036"/>
      <c r="AC478" s="1380">
        <v>0</v>
      </c>
      <c r="AD478" s="107">
        <v>0</v>
      </c>
      <c r="AE478" s="107">
        <v>0</v>
      </c>
      <c r="AF478" s="107">
        <v>0</v>
      </c>
      <c r="AG478" s="107">
        <v>0</v>
      </c>
      <c r="AH478" s="107">
        <v>0</v>
      </c>
      <c r="AI478" s="107">
        <v>0</v>
      </c>
    </row>
    <row r="479" spans="1:35">
      <c r="A479" s="990">
        <v>433</v>
      </c>
      <c r="B479" s="990">
        <v>1</v>
      </c>
      <c r="C479" s="990">
        <v>479</v>
      </c>
      <c r="E479" s="1243">
        <v>1</v>
      </c>
      <c r="I479" s="106"/>
      <c r="J479" s="105"/>
      <c r="K479" s="69"/>
      <c r="L479" s="69"/>
      <c r="N479" s="363"/>
      <c r="O479" s="363"/>
      <c r="P479" s="363" t="s">
        <v>1084</v>
      </c>
      <c r="Q479" s="2052"/>
      <c r="R479" s="2052"/>
      <c r="S479" s="2052"/>
      <c r="T479" s="2052"/>
      <c r="U479" s="2052"/>
      <c r="V479" s="2052"/>
      <c r="W479" s="2052"/>
      <c r="X479" s="2052"/>
      <c r="Y479" s="2052"/>
      <c r="Z479" s="2052"/>
      <c r="AA479" s="2052"/>
      <c r="AB479" s="2052"/>
      <c r="AC479" s="1536">
        <v>0</v>
      </c>
      <c r="AD479" s="378">
        <v>0</v>
      </c>
      <c r="AE479" s="378">
        <v>0</v>
      </c>
      <c r="AF479" s="378">
        <v>0</v>
      </c>
      <c r="AG479" s="378">
        <v>0</v>
      </c>
      <c r="AH479" s="378">
        <v>0</v>
      </c>
      <c r="AI479" s="378">
        <v>0</v>
      </c>
    </row>
    <row r="480" spans="1:35">
      <c r="A480" s="990">
        <v>434</v>
      </c>
      <c r="B480" s="990">
        <v>1</v>
      </c>
      <c r="C480" s="990">
        <v>480</v>
      </c>
      <c r="E480" s="1243">
        <v>1</v>
      </c>
      <c r="I480" s="106"/>
      <c r="J480" s="105"/>
      <c r="K480" s="69"/>
      <c r="L480" s="69"/>
      <c r="N480" s="366" t="s">
        <v>146</v>
      </c>
      <c r="O480" s="366"/>
      <c r="P480" s="366"/>
      <c r="Q480" s="2053"/>
      <c r="R480" s="2053"/>
      <c r="S480" s="2053"/>
      <c r="T480" s="2053"/>
      <c r="U480" s="2053"/>
      <c r="V480" s="2053"/>
      <c r="W480" s="2053"/>
      <c r="X480" s="2053"/>
      <c r="Y480" s="2053"/>
      <c r="Z480" s="2053"/>
      <c r="AA480" s="2053"/>
      <c r="AB480" s="2053"/>
      <c r="AC480" s="1538">
        <v>0</v>
      </c>
      <c r="AD480" s="379">
        <v>0</v>
      </c>
      <c r="AE480" s="379">
        <v>0</v>
      </c>
      <c r="AF480" s="379">
        <v>0</v>
      </c>
      <c r="AG480" s="379">
        <v>0</v>
      </c>
      <c r="AH480" s="379">
        <v>0</v>
      </c>
      <c r="AI480" s="379">
        <v>0</v>
      </c>
    </row>
    <row r="481" spans="1:35">
      <c r="A481" s="990">
        <v>435</v>
      </c>
      <c r="B481" s="990">
        <v>1</v>
      </c>
      <c r="C481" s="990">
        <v>481</v>
      </c>
      <c r="E481" s="1243">
        <v>1</v>
      </c>
      <c r="I481" s="104"/>
      <c r="J481" s="103"/>
      <c r="K481" s="68"/>
      <c r="L481" s="68"/>
      <c r="M481" s="2343" t="s">
        <v>11</v>
      </c>
      <c r="N481" s="2343"/>
      <c r="O481" s="2343"/>
      <c r="P481" s="2343"/>
      <c r="Q481" s="2088"/>
      <c r="R481" s="2088"/>
      <c r="S481" s="2088"/>
      <c r="T481" s="2088"/>
      <c r="U481" s="2088"/>
      <c r="V481" s="2088"/>
      <c r="W481" s="2088"/>
      <c r="X481" s="2088"/>
      <c r="Y481" s="2088"/>
      <c r="Z481" s="2088"/>
      <c r="AA481" s="2088"/>
      <c r="AB481" s="2088"/>
      <c r="AC481" s="2636">
        <v>0</v>
      </c>
      <c r="AD481" s="2534">
        <v>0</v>
      </c>
      <c r="AE481" s="2534">
        <v>0</v>
      </c>
      <c r="AF481" s="2534">
        <v>0</v>
      </c>
      <c r="AG481" s="2534">
        <v>0</v>
      </c>
      <c r="AH481" s="2534">
        <v>0</v>
      </c>
      <c r="AI481" s="2534">
        <v>0</v>
      </c>
    </row>
    <row r="482" spans="1:35">
      <c r="A482" s="990">
        <v>436</v>
      </c>
      <c r="B482" s="990">
        <v>1</v>
      </c>
      <c r="C482" s="990">
        <v>482</v>
      </c>
      <c r="E482" s="1243">
        <v>1</v>
      </c>
      <c r="I482" s="115" t="s">
        <v>134</v>
      </c>
      <c r="J482" s="792"/>
      <c r="K482" s="793"/>
      <c r="L482" s="793"/>
      <c r="M482" s="792"/>
      <c r="N482" s="792"/>
      <c r="O482" s="792"/>
      <c r="P482" s="792"/>
      <c r="Q482" s="2136">
        <v>0</v>
      </c>
      <c r="R482" s="404">
        <v>0</v>
      </c>
      <c r="S482" s="404">
        <v>0</v>
      </c>
      <c r="T482" s="404">
        <v>0</v>
      </c>
      <c r="U482" s="404">
        <v>0</v>
      </c>
      <c r="V482" s="404">
        <v>0</v>
      </c>
      <c r="W482" s="404">
        <v>0</v>
      </c>
      <c r="X482" s="404">
        <v>0</v>
      </c>
      <c r="Y482" s="404">
        <v>0</v>
      </c>
      <c r="Z482" s="404">
        <v>0</v>
      </c>
      <c r="AA482" s="404">
        <v>0</v>
      </c>
      <c r="AB482" s="404">
        <v>0</v>
      </c>
      <c r="AC482" s="404">
        <v>0</v>
      </c>
      <c r="AD482" s="404">
        <v>0</v>
      </c>
      <c r="AE482" s="404">
        <v>0</v>
      </c>
      <c r="AF482" s="404">
        <v>0</v>
      </c>
      <c r="AG482" s="404">
        <v>0</v>
      </c>
      <c r="AH482" s="404">
        <v>0</v>
      </c>
      <c r="AI482" s="404">
        <v>0</v>
      </c>
    </row>
    <row r="483" spans="1:35">
      <c r="A483" s="990">
        <v>437</v>
      </c>
      <c r="B483" s="990">
        <v>1</v>
      </c>
      <c r="C483" s="990">
        <v>483</v>
      </c>
      <c r="E483" s="1243">
        <v>1</v>
      </c>
      <c r="I483" s="106"/>
      <c r="J483" s="105"/>
      <c r="K483" s="74" t="s">
        <v>1022</v>
      </c>
      <c r="L483" s="74"/>
      <c r="M483" s="357"/>
      <c r="N483" s="357"/>
      <c r="O483" s="357"/>
      <c r="P483" s="357"/>
      <c r="Q483" s="2134">
        <v>0</v>
      </c>
      <c r="R483" s="403">
        <v>0</v>
      </c>
      <c r="S483" s="403">
        <v>0</v>
      </c>
      <c r="T483" s="403">
        <v>0</v>
      </c>
      <c r="U483" s="403">
        <v>0</v>
      </c>
      <c r="V483" s="403">
        <v>0</v>
      </c>
      <c r="W483" s="403">
        <v>0</v>
      </c>
      <c r="X483" s="403">
        <v>0</v>
      </c>
      <c r="Y483" s="403">
        <v>0</v>
      </c>
      <c r="Z483" s="403">
        <v>0</v>
      </c>
      <c r="AA483" s="403">
        <v>0</v>
      </c>
      <c r="AB483" s="403">
        <v>0</v>
      </c>
      <c r="AC483" s="403">
        <v>0</v>
      </c>
      <c r="AD483" s="403">
        <v>0</v>
      </c>
      <c r="AE483" s="403">
        <v>0</v>
      </c>
      <c r="AF483" s="403">
        <v>0</v>
      </c>
      <c r="AG483" s="403">
        <v>0</v>
      </c>
      <c r="AH483" s="403">
        <v>0</v>
      </c>
      <c r="AI483" s="403">
        <v>0</v>
      </c>
    </row>
    <row r="484" spans="1:35" s="10" customFormat="1">
      <c r="A484" s="990">
        <v>438</v>
      </c>
      <c r="B484" s="990">
        <v>1</v>
      </c>
      <c r="C484" s="990">
        <v>484</v>
      </c>
      <c r="E484" s="1243">
        <v>1</v>
      </c>
      <c r="H484" s="24"/>
      <c r="I484" s="106"/>
      <c r="J484" s="280"/>
      <c r="K484" s="74"/>
      <c r="L484" s="74"/>
      <c r="M484" s="9" t="s">
        <v>137</v>
      </c>
      <c r="N484" s="363"/>
      <c r="O484" s="363"/>
      <c r="P484" s="363"/>
      <c r="Q484" s="365">
        <v>0</v>
      </c>
      <c r="R484" s="365">
        <v>0</v>
      </c>
      <c r="S484" s="365">
        <v>0</v>
      </c>
      <c r="T484" s="365">
        <v>0</v>
      </c>
      <c r="U484" s="365">
        <v>0</v>
      </c>
      <c r="V484" s="365">
        <v>0</v>
      </c>
      <c r="W484" s="365">
        <v>0</v>
      </c>
      <c r="X484" s="365">
        <v>0</v>
      </c>
      <c r="Y484" s="365">
        <v>0</v>
      </c>
      <c r="Z484" s="365">
        <v>0</v>
      </c>
      <c r="AA484" s="365">
        <v>0</v>
      </c>
      <c r="AB484" s="365">
        <v>0</v>
      </c>
      <c r="AC484" s="1536">
        <v>0</v>
      </c>
      <c r="AD484" s="365">
        <v>0</v>
      </c>
      <c r="AE484" s="365">
        <v>0</v>
      </c>
      <c r="AF484" s="365">
        <v>0</v>
      </c>
      <c r="AG484" s="365">
        <v>0</v>
      </c>
      <c r="AH484" s="365">
        <v>0</v>
      </c>
      <c r="AI484" s="365">
        <v>0</v>
      </c>
    </row>
    <row r="485" spans="1:35">
      <c r="A485" s="990">
        <v>439</v>
      </c>
      <c r="B485" s="990">
        <v>1</v>
      </c>
      <c r="C485" s="990">
        <v>485</v>
      </c>
      <c r="E485" s="1243">
        <v>1</v>
      </c>
      <c r="I485" s="106"/>
      <c r="J485" s="105"/>
      <c r="K485" s="74"/>
      <c r="L485" s="74"/>
      <c r="N485" s="111" t="s">
        <v>1021</v>
      </c>
      <c r="O485" s="111"/>
      <c r="P485" s="111"/>
      <c r="Q485" s="109">
        <v>0</v>
      </c>
      <c r="R485" s="109">
        <v>0</v>
      </c>
      <c r="S485" s="109">
        <v>0</v>
      </c>
      <c r="T485" s="109">
        <v>0</v>
      </c>
      <c r="U485" s="109">
        <v>0</v>
      </c>
      <c r="V485" s="109">
        <v>0</v>
      </c>
      <c r="W485" s="109">
        <v>0</v>
      </c>
      <c r="X485" s="109">
        <v>0</v>
      </c>
      <c r="Y485" s="109">
        <v>0</v>
      </c>
      <c r="Z485" s="109">
        <v>0</v>
      </c>
      <c r="AA485" s="109">
        <v>0</v>
      </c>
      <c r="AB485" s="109">
        <v>0</v>
      </c>
      <c r="AC485" s="1537">
        <v>0</v>
      </c>
      <c r="AD485" s="109">
        <v>0</v>
      </c>
      <c r="AE485" s="109">
        <v>0</v>
      </c>
      <c r="AF485" s="109">
        <v>0</v>
      </c>
      <c r="AG485" s="109">
        <v>0</v>
      </c>
      <c r="AH485" s="109">
        <v>0</v>
      </c>
      <c r="AI485" s="109">
        <v>0</v>
      </c>
    </row>
    <row r="486" spans="1:35">
      <c r="A486" s="990">
        <v>440</v>
      </c>
      <c r="B486" s="990">
        <v>1</v>
      </c>
      <c r="C486" s="990">
        <v>486</v>
      </c>
      <c r="E486" s="1243">
        <v>1</v>
      </c>
      <c r="I486" s="106"/>
      <c r="J486" s="105"/>
      <c r="K486" s="74"/>
      <c r="L486" s="74"/>
      <c r="O486" s="111" t="s">
        <v>1079</v>
      </c>
      <c r="P486" s="111"/>
      <c r="Q486" s="2042"/>
      <c r="R486" s="2042"/>
      <c r="S486" s="2042"/>
      <c r="T486" s="2042"/>
      <c r="U486" s="2042"/>
      <c r="V486" s="2042"/>
      <c r="W486" s="2042"/>
      <c r="X486" s="2042"/>
      <c r="Y486" s="2042"/>
      <c r="Z486" s="2042"/>
      <c r="AA486" s="2042"/>
      <c r="AB486" s="2042"/>
      <c r="AC486" s="1537">
        <v>0</v>
      </c>
      <c r="AD486" s="108">
        <v>0</v>
      </c>
      <c r="AE486" s="108">
        <v>0</v>
      </c>
      <c r="AF486" s="108">
        <v>0</v>
      </c>
      <c r="AG486" s="108">
        <v>0</v>
      </c>
      <c r="AH486" s="108">
        <v>0</v>
      </c>
      <c r="AI486" s="108">
        <v>0</v>
      </c>
    </row>
    <row r="487" spans="1:35">
      <c r="A487" s="990">
        <v>441</v>
      </c>
      <c r="B487" s="990">
        <v>1</v>
      </c>
      <c r="C487" s="990">
        <v>487</v>
      </c>
      <c r="E487" s="1243">
        <v>1</v>
      </c>
      <c r="I487" s="106"/>
      <c r="J487" s="105"/>
      <c r="K487" s="74"/>
      <c r="L487" s="74"/>
      <c r="N487" s="363"/>
      <c r="O487" s="363" t="s">
        <v>1080</v>
      </c>
      <c r="P487" s="363"/>
      <c r="Q487" s="2052"/>
      <c r="R487" s="2052"/>
      <c r="S487" s="2052"/>
      <c r="T487" s="2052"/>
      <c r="U487" s="2052"/>
      <c r="V487" s="2052"/>
      <c r="W487" s="2052"/>
      <c r="X487" s="2052"/>
      <c r="Y487" s="2052"/>
      <c r="Z487" s="2052"/>
      <c r="AA487" s="2052"/>
      <c r="AB487" s="2052"/>
      <c r="AC487" s="1536">
        <v>0</v>
      </c>
      <c r="AD487" s="378">
        <v>0</v>
      </c>
      <c r="AE487" s="378">
        <v>0</v>
      </c>
      <c r="AF487" s="378">
        <v>0</v>
      </c>
      <c r="AG487" s="378">
        <v>0</v>
      </c>
      <c r="AH487" s="378">
        <v>0</v>
      </c>
      <c r="AI487" s="378">
        <v>0</v>
      </c>
    </row>
    <row r="488" spans="1:35">
      <c r="A488" s="990">
        <v>442</v>
      </c>
      <c r="B488" s="990">
        <v>1</v>
      </c>
      <c r="C488" s="990">
        <v>488</v>
      </c>
      <c r="E488" s="1243">
        <v>1</v>
      </c>
      <c r="I488" s="106"/>
      <c r="J488" s="105"/>
      <c r="K488" s="74"/>
      <c r="L488" s="74"/>
      <c r="M488" s="12"/>
      <c r="N488" s="366" t="s">
        <v>146</v>
      </c>
      <c r="O488" s="366"/>
      <c r="P488" s="366"/>
      <c r="Q488" s="2053"/>
      <c r="R488" s="2053"/>
      <c r="S488" s="2053"/>
      <c r="T488" s="2053"/>
      <c r="U488" s="2053"/>
      <c r="V488" s="2053"/>
      <c r="W488" s="2053"/>
      <c r="X488" s="2053"/>
      <c r="Y488" s="2053"/>
      <c r="Z488" s="2053"/>
      <c r="AA488" s="2053"/>
      <c r="AB488" s="2053"/>
      <c r="AC488" s="1538">
        <v>0</v>
      </c>
      <c r="AD488" s="379">
        <v>0</v>
      </c>
      <c r="AE488" s="379">
        <v>0</v>
      </c>
      <c r="AF488" s="379">
        <v>0</v>
      </c>
      <c r="AG488" s="379">
        <v>0</v>
      </c>
      <c r="AH488" s="379">
        <v>0</v>
      </c>
      <c r="AI488" s="379">
        <v>0</v>
      </c>
    </row>
    <row r="489" spans="1:35">
      <c r="A489" s="990">
        <v>443</v>
      </c>
      <c r="B489" s="990">
        <v>1</v>
      </c>
      <c r="C489" s="990">
        <v>489</v>
      </c>
      <c r="E489" s="1243">
        <v>1</v>
      </c>
      <c r="I489" s="106"/>
      <c r="J489" s="280"/>
      <c r="K489" s="74"/>
      <c r="L489" s="74"/>
      <c r="M489" s="9" t="s">
        <v>95</v>
      </c>
      <c r="N489" s="362"/>
      <c r="O489" s="362"/>
      <c r="P489" s="362"/>
      <c r="Q489" s="361">
        <v>0</v>
      </c>
      <c r="R489" s="361">
        <v>0</v>
      </c>
      <c r="S489" s="361">
        <v>0</v>
      </c>
      <c r="T489" s="361">
        <v>0</v>
      </c>
      <c r="U489" s="361">
        <v>0</v>
      </c>
      <c r="V489" s="361">
        <v>0</v>
      </c>
      <c r="W489" s="361">
        <v>0</v>
      </c>
      <c r="X489" s="361">
        <v>0</v>
      </c>
      <c r="Y489" s="361">
        <v>0</v>
      </c>
      <c r="Z489" s="361">
        <v>0</v>
      </c>
      <c r="AA489" s="361">
        <v>0</v>
      </c>
      <c r="AB489" s="361">
        <v>0</v>
      </c>
      <c r="AC489" s="1539">
        <v>0</v>
      </c>
      <c r="AD489" s="381">
        <v>0</v>
      </c>
      <c r="AE489" s="381">
        <v>0</v>
      </c>
      <c r="AF489" s="381">
        <v>0</v>
      </c>
      <c r="AG489" s="381">
        <v>0</v>
      </c>
      <c r="AH489" s="381">
        <v>0</v>
      </c>
      <c r="AI489" s="381">
        <v>0</v>
      </c>
    </row>
    <row r="490" spans="1:35">
      <c r="A490" s="990">
        <v>444</v>
      </c>
      <c r="B490" s="990">
        <v>1</v>
      </c>
      <c r="C490" s="990">
        <v>490</v>
      </c>
      <c r="E490" s="1243">
        <v>1</v>
      </c>
      <c r="I490" s="106"/>
      <c r="J490" s="105"/>
      <c r="K490" s="74"/>
      <c r="L490" s="74"/>
      <c r="N490" s="111" t="s">
        <v>1021</v>
      </c>
      <c r="O490" s="111"/>
      <c r="P490" s="111"/>
      <c r="Q490" s="109">
        <v>0</v>
      </c>
      <c r="R490" s="109">
        <v>0</v>
      </c>
      <c r="S490" s="109">
        <v>0</v>
      </c>
      <c r="T490" s="109">
        <v>0</v>
      </c>
      <c r="U490" s="109">
        <v>0</v>
      </c>
      <c r="V490" s="109">
        <v>0</v>
      </c>
      <c r="W490" s="109">
        <v>0</v>
      </c>
      <c r="X490" s="109">
        <v>0</v>
      </c>
      <c r="Y490" s="109">
        <v>0</v>
      </c>
      <c r="Z490" s="109">
        <v>0</v>
      </c>
      <c r="AA490" s="109">
        <v>0</v>
      </c>
      <c r="AB490" s="109">
        <v>0</v>
      </c>
      <c r="AC490" s="1537">
        <v>0</v>
      </c>
      <c r="AD490" s="108">
        <v>0</v>
      </c>
      <c r="AE490" s="108">
        <v>0</v>
      </c>
      <c r="AF490" s="108">
        <v>0</v>
      </c>
      <c r="AG490" s="108">
        <v>0</v>
      </c>
      <c r="AH490" s="108">
        <v>0</v>
      </c>
      <c r="AI490" s="108">
        <v>0</v>
      </c>
    </row>
    <row r="491" spans="1:35">
      <c r="A491" s="990">
        <v>445</v>
      </c>
      <c r="B491" s="990">
        <v>1</v>
      </c>
      <c r="C491" s="990">
        <v>491</v>
      </c>
      <c r="E491" s="1243">
        <v>1</v>
      </c>
      <c r="I491" s="106"/>
      <c r="J491" s="105"/>
      <c r="K491" s="74"/>
      <c r="L491" s="74"/>
      <c r="O491" s="111" t="s">
        <v>1079</v>
      </c>
      <c r="P491" s="1500"/>
      <c r="Q491" s="64">
        <v>0</v>
      </c>
      <c r="R491" s="64">
        <v>0</v>
      </c>
      <c r="S491" s="64">
        <v>0</v>
      </c>
      <c r="T491" s="64">
        <v>0</v>
      </c>
      <c r="U491" s="64">
        <v>0</v>
      </c>
      <c r="V491" s="64">
        <v>0</v>
      </c>
      <c r="W491" s="64">
        <v>0</v>
      </c>
      <c r="X491" s="64">
        <v>0</v>
      </c>
      <c r="Y491" s="64">
        <v>0</v>
      </c>
      <c r="Z491" s="64">
        <v>0</v>
      </c>
      <c r="AA491" s="64">
        <v>0</v>
      </c>
      <c r="AB491" s="64">
        <v>0</v>
      </c>
      <c r="AC491" s="1540">
        <v>0</v>
      </c>
      <c r="AD491" s="385">
        <v>0</v>
      </c>
      <c r="AE491" s="385">
        <v>0</v>
      </c>
      <c r="AF491" s="385">
        <v>0</v>
      </c>
      <c r="AG491" s="385">
        <v>0</v>
      </c>
      <c r="AH491" s="385">
        <v>0</v>
      </c>
      <c r="AI491" s="385">
        <v>0</v>
      </c>
    </row>
    <row r="492" spans="1:35">
      <c r="A492" s="990">
        <v>446</v>
      </c>
      <c r="B492" s="990">
        <v>1</v>
      </c>
      <c r="C492" s="990">
        <v>492</v>
      </c>
      <c r="E492" s="1243">
        <v>1</v>
      </c>
      <c r="I492" s="106"/>
      <c r="J492" s="105"/>
      <c r="K492" s="74"/>
      <c r="L492" s="74"/>
      <c r="P492" s="9" t="s">
        <v>1081</v>
      </c>
      <c r="Q492" s="2036"/>
      <c r="R492" s="2036"/>
      <c r="S492" s="2036"/>
      <c r="T492" s="2036"/>
      <c r="U492" s="2036"/>
      <c r="V492" s="2036"/>
      <c r="W492" s="2036"/>
      <c r="X492" s="2036"/>
      <c r="Y492" s="2036"/>
      <c r="Z492" s="2036"/>
      <c r="AA492" s="2036"/>
      <c r="AB492" s="2036"/>
      <c r="AC492" s="1380">
        <v>0</v>
      </c>
      <c r="AD492" s="107">
        <v>0</v>
      </c>
      <c r="AE492" s="107">
        <v>0</v>
      </c>
      <c r="AF492" s="107">
        <v>0</v>
      </c>
      <c r="AG492" s="107">
        <v>0</v>
      </c>
      <c r="AH492" s="107">
        <v>0</v>
      </c>
      <c r="AI492" s="107">
        <v>0</v>
      </c>
    </row>
    <row r="493" spans="1:35">
      <c r="A493" s="990">
        <v>447</v>
      </c>
      <c r="B493" s="990">
        <v>1</v>
      </c>
      <c r="C493" s="990">
        <v>493</v>
      </c>
      <c r="E493" s="1243">
        <v>1</v>
      </c>
      <c r="I493" s="106"/>
      <c r="J493" s="105"/>
      <c r="K493" s="74"/>
      <c r="L493" s="74"/>
      <c r="P493" s="9" t="s">
        <v>1082</v>
      </c>
      <c r="Q493" s="2036"/>
      <c r="R493" s="2036"/>
      <c r="S493" s="2036"/>
      <c r="T493" s="2036"/>
      <c r="U493" s="2036"/>
      <c r="V493" s="2036"/>
      <c r="W493" s="2036"/>
      <c r="X493" s="2036"/>
      <c r="Y493" s="2036"/>
      <c r="Z493" s="2036"/>
      <c r="AA493" s="2036"/>
      <c r="AB493" s="2036"/>
      <c r="AC493" s="1380">
        <v>0</v>
      </c>
      <c r="AD493" s="107">
        <v>0</v>
      </c>
      <c r="AE493" s="107">
        <v>0</v>
      </c>
      <c r="AF493" s="107">
        <v>0</v>
      </c>
      <c r="AG493" s="107">
        <v>0</v>
      </c>
      <c r="AH493" s="107">
        <v>0</v>
      </c>
      <c r="AI493" s="107">
        <v>0</v>
      </c>
    </row>
    <row r="494" spans="1:35">
      <c r="A494" s="990">
        <v>448</v>
      </c>
      <c r="B494" s="990">
        <v>1</v>
      </c>
      <c r="C494" s="990">
        <v>494</v>
      </c>
      <c r="E494" s="1243">
        <v>1</v>
      </c>
      <c r="I494" s="106"/>
      <c r="J494" s="105"/>
      <c r="K494" s="74"/>
      <c r="L494" s="74"/>
      <c r="O494" s="111" t="s">
        <v>1080</v>
      </c>
      <c r="P494" s="1500"/>
      <c r="Q494" s="64">
        <v>0</v>
      </c>
      <c r="R494" s="64">
        <v>0</v>
      </c>
      <c r="S494" s="64">
        <v>0</v>
      </c>
      <c r="T494" s="64">
        <v>0</v>
      </c>
      <c r="U494" s="64">
        <v>0</v>
      </c>
      <c r="V494" s="64">
        <v>0</v>
      </c>
      <c r="W494" s="64">
        <v>0</v>
      </c>
      <c r="X494" s="64">
        <v>0</v>
      </c>
      <c r="Y494" s="64">
        <v>0</v>
      </c>
      <c r="Z494" s="64">
        <v>0</v>
      </c>
      <c r="AA494" s="64">
        <v>0</v>
      </c>
      <c r="AB494" s="64">
        <v>0</v>
      </c>
      <c r="AC494" s="1540">
        <v>0</v>
      </c>
      <c r="AD494" s="385">
        <v>0</v>
      </c>
      <c r="AE494" s="385">
        <v>0</v>
      </c>
      <c r="AF494" s="385">
        <v>0</v>
      </c>
      <c r="AG494" s="385">
        <v>0</v>
      </c>
      <c r="AH494" s="385">
        <v>0</v>
      </c>
      <c r="AI494" s="385">
        <v>0</v>
      </c>
    </row>
    <row r="495" spans="1:35">
      <c r="A495" s="990">
        <v>449</v>
      </c>
      <c r="B495" s="990">
        <v>1</v>
      </c>
      <c r="C495" s="990">
        <v>495</v>
      </c>
      <c r="E495" s="1243">
        <v>1</v>
      </c>
      <c r="I495" s="106"/>
      <c r="J495" s="105"/>
      <c r="K495" s="74"/>
      <c r="L495" s="74"/>
      <c r="P495" s="9" t="s">
        <v>1081</v>
      </c>
      <c r="Q495" s="2036"/>
      <c r="R495" s="2036"/>
      <c r="S495" s="2036"/>
      <c r="T495" s="2036"/>
      <c r="U495" s="2036"/>
      <c r="V495" s="2036"/>
      <c r="W495" s="2036"/>
      <c r="X495" s="2036"/>
      <c r="Y495" s="2036"/>
      <c r="Z495" s="2036"/>
      <c r="AA495" s="2036"/>
      <c r="AB495" s="2036"/>
      <c r="AC495" s="1380">
        <v>0</v>
      </c>
      <c r="AD495" s="107">
        <v>0</v>
      </c>
      <c r="AE495" s="107">
        <v>0</v>
      </c>
      <c r="AF495" s="107">
        <v>0</v>
      </c>
      <c r="AG495" s="107">
        <v>0</v>
      </c>
      <c r="AH495" s="107">
        <v>0</v>
      </c>
      <c r="AI495" s="107">
        <v>0</v>
      </c>
    </row>
    <row r="496" spans="1:35">
      <c r="A496" s="990">
        <v>450</v>
      </c>
      <c r="B496" s="990">
        <v>1</v>
      </c>
      <c r="C496" s="990">
        <v>496</v>
      </c>
      <c r="E496" s="1243">
        <v>1</v>
      </c>
      <c r="I496" s="106"/>
      <c r="J496" s="105"/>
      <c r="K496" s="74"/>
      <c r="L496" s="74"/>
      <c r="N496" s="363"/>
      <c r="O496" s="363"/>
      <c r="P496" s="363" t="s">
        <v>1082</v>
      </c>
      <c r="Q496" s="2052"/>
      <c r="R496" s="2052"/>
      <c r="S496" s="2052"/>
      <c r="T496" s="2052"/>
      <c r="U496" s="2052"/>
      <c r="V496" s="2052"/>
      <c r="W496" s="2052"/>
      <c r="X496" s="2052"/>
      <c r="Y496" s="2052"/>
      <c r="Z496" s="2052"/>
      <c r="AA496" s="2052"/>
      <c r="AB496" s="2052"/>
      <c r="AC496" s="1536">
        <v>0</v>
      </c>
      <c r="AD496" s="378">
        <v>0</v>
      </c>
      <c r="AE496" s="378">
        <v>0</v>
      </c>
      <c r="AF496" s="378">
        <v>0</v>
      </c>
      <c r="AG496" s="378">
        <v>0</v>
      </c>
      <c r="AH496" s="378">
        <v>0</v>
      </c>
      <c r="AI496" s="378">
        <v>0</v>
      </c>
    </row>
    <row r="497" spans="1:35">
      <c r="A497" s="990">
        <v>451</v>
      </c>
      <c r="B497" s="990">
        <v>1</v>
      </c>
      <c r="C497" s="990">
        <v>497</v>
      </c>
      <c r="E497" s="1243">
        <v>1</v>
      </c>
      <c r="I497" s="106"/>
      <c r="J497" s="105"/>
      <c r="K497" s="74"/>
      <c r="L497" s="74"/>
      <c r="N497" s="366" t="s">
        <v>146</v>
      </c>
      <c r="O497" s="366"/>
      <c r="P497" s="366"/>
      <c r="Q497" s="2053"/>
      <c r="R497" s="2053"/>
      <c r="S497" s="2053"/>
      <c r="T497" s="2053"/>
      <c r="U497" s="2053"/>
      <c r="V497" s="2053"/>
      <c r="W497" s="2053"/>
      <c r="X497" s="2053"/>
      <c r="Y497" s="2053"/>
      <c r="Z497" s="2053"/>
      <c r="AA497" s="2053"/>
      <c r="AB497" s="2053"/>
      <c r="AC497" s="1538">
        <v>0</v>
      </c>
      <c r="AD497" s="379">
        <v>0</v>
      </c>
      <c r="AE497" s="379">
        <v>0</v>
      </c>
      <c r="AF497" s="379">
        <v>0</v>
      </c>
      <c r="AG497" s="379">
        <v>0</v>
      </c>
      <c r="AH497" s="379">
        <v>0</v>
      </c>
      <c r="AI497" s="379">
        <v>0</v>
      </c>
    </row>
    <row r="498" spans="1:35">
      <c r="A498" s="990">
        <v>452</v>
      </c>
      <c r="B498" s="990">
        <v>1</v>
      </c>
      <c r="C498" s="990">
        <v>498</v>
      </c>
      <c r="E498" s="1243">
        <v>1</v>
      </c>
      <c r="I498" s="106"/>
      <c r="J498" s="105"/>
      <c r="K498" s="74"/>
      <c r="L498" s="74"/>
      <c r="N498" s="383" t="s">
        <v>1085</v>
      </c>
      <c r="O498" s="383"/>
      <c r="P498" s="383"/>
      <c r="Q498" s="365">
        <v>0</v>
      </c>
      <c r="R498" s="365">
        <v>0</v>
      </c>
      <c r="S498" s="365">
        <v>0</v>
      </c>
      <c r="T498" s="365">
        <v>0</v>
      </c>
      <c r="U498" s="365">
        <v>0</v>
      </c>
      <c r="V498" s="365">
        <v>0</v>
      </c>
      <c r="W498" s="365">
        <v>0</v>
      </c>
      <c r="X498" s="365">
        <v>0</v>
      </c>
      <c r="Y498" s="365">
        <v>0</v>
      </c>
      <c r="Z498" s="365">
        <v>0</v>
      </c>
      <c r="AA498" s="365">
        <v>0</v>
      </c>
      <c r="AB498" s="365">
        <v>0</v>
      </c>
      <c r="AC498" s="1536">
        <v>0</v>
      </c>
      <c r="AD498" s="378">
        <v>0</v>
      </c>
      <c r="AE498" s="378">
        <v>0</v>
      </c>
      <c r="AF498" s="378">
        <v>0</v>
      </c>
      <c r="AG498" s="378">
        <v>0</v>
      </c>
      <c r="AH498" s="378">
        <v>0</v>
      </c>
      <c r="AI498" s="378">
        <v>0</v>
      </c>
    </row>
    <row r="499" spans="1:35">
      <c r="A499" s="990">
        <v>453</v>
      </c>
      <c r="B499" s="990">
        <v>1</v>
      </c>
      <c r="C499" s="990">
        <v>499</v>
      </c>
      <c r="E499" s="1243">
        <v>1</v>
      </c>
      <c r="I499" s="106"/>
      <c r="J499" s="105"/>
      <c r="K499" s="74"/>
      <c r="L499" s="74"/>
      <c r="N499" s="371"/>
      <c r="O499" s="371"/>
      <c r="P499" s="371" t="s">
        <v>391</v>
      </c>
      <c r="Q499" s="2042"/>
      <c r="R499" s="2042"/>
      <c r="S499" s="2042"/>
      <c r="T499" s="2042"/>
      <c r="U499" s="2042"/>
      <c r="V499" s="2042"/>
      <c r="W499" s="2042"/>
      <c r="X499" s="2042"/>
      <c r="Y499" s="2042"/>
      <c r="Z499" s="2042"/>
      <c r="AA499" s="2042"/>
      <c r="AB499" s="2042"/>
      <c r="AC499" s="1537">
        <v>0</v>
      </c>
      <c r="AD499" s="108">
        <v>0</v>
      </c>
      <c r="AE499" s="108">
        <v>0</v>
      </c>
      <c r="AF499" s="108">
        <v>0</v>
      </c>
      <c r="AG499" s="108">
        <v>0</v>
      </c>
      <c r="AH499" s="108">
        <v>0</v>
      </c>
      <c r="AI499" s="108">
        <v>0</v>
      </c>
    </row>
    <row r="500" spans="1:35">
      <c r="A500" s="990">
        <v>454</v>
      </c>
      <c r="B500" s="990">
        <v>1</v>
      </c>
      <c r="C500" s="990">
        <v>500</v>
      </c>
      <c r="E500" s="1243">
        <v>1</v>
      </c>
      <c r="F500" s="9"/>
      <c r="G500" s="9"/>
      <c r="I500" s="106"/>
      <c r="J500" s="105"/>
      <c r="K500" s="74"/>
      <c r="L500" s="74"/>
      <c r="N500" s="299"/>
      <c r="O500" s="299"/>
      <c r="P500" s="299" t="s">
        <v>1086</v>
      </c>
      <c r="Q500" s="2036"/>
      <c r="R500" s="2036"/>
      <c r="S500" s="2036"/>
      <c r="T500" s="2036"/>
      <c r="U500" s="2036"/>
      <c r="V500" s="2036"/>
      <c r="W500" s="2036"/>
      <c r="X500" s="2036"/>
      <c r="Y500" s="2036"/>
      <c r="Z500" s="2036"/>
      <c r="AA500" s="2036"/>
      <c r="AB500" s="2036"/>
      <c r="AC500" s="1380">
        <v>0</v>
      </c>
      <c r="AD500" s="107">
        <v>0</v>
      </c>
      <c r="AE500" s="107">
        <v>0</v>
      </c>
      <c r="AF500" s="107">
        <v>0</v>
      </c>
      <c r="AG500" s="107">
        <v>0</v>
      </c>
      <c r="AH500" s="107">
        <v>0</v>
      </c>
      <c r="AI500" s="107">
        <v>0</v>
      </c>
    </row>
    <row r="501" spans="1:35">
      <c r="A501" s="990">
        <v>455</v>
      </c>
      <c r="B501" s="990">
        <v>1</v>
      </c>
      <c r="C501" s="990">
        <v>501</v>
      </c>
      <c r="E501" s="1243">
        <v>1</v>
      </c>
      <c r="I501" s="106"/>
      <c r="J501" s="105"/>
      <c r="K501" s="74"/>
      <c r="L501" s="74"/>
      <c r="N501" s="298"/>
      <c r="O501" s="298"/>
      <c r="P501" s="298" t="s">
        <v>393</v>
      </c>
      <c r="Q501" s="2037"/>
      <c r="R501" s="2037"/>
      <c r="S501" s="2037"/>
      <c r="T501" s="2037"/>
      <c r="U501" s="2037"/>
      <c r="V501" s="2037"/>
      <c r="W501" s="2037"/>
      <c r="X501" s="2037"/>
      <c r="Y501" s="2037"/>
      <c r="Z501" s="2037"/>
      <c r="AA501" s="2037"/>
      <c r="AB501" s="2037"/>
      <c r="AC501" s="1383">
        <v>0</v>
      </c>
      <c r="AD501" s="113">
        <v>0</v>
      </c>
      <c r="AE501" s="113">
        <v>0</v>
      </c>
      <c r="AF501" s="113">
        <v>0</v>
      </c>
      <c r="AG501" s="113">
        <v>0</v>
      </c>
      <c r="AH501" s="113">
        <v>0</v>
      </c>
      <c r="AI501" s="113">
        <v>0</v>
      </c>
    </row>
    <row r="502" spans="1:35">
      <c r="A502" s="990">
        <v>456</v>
      </c>
      <c r="B502" s="990">
        <v>1</v>
      </c>
      <c r="C502" s="990">
        <v>502</v>
      </c>
      <c r="E502" s="1243">
        <v>1</v>
      </c>
      <c r="I502" s="106"/>
      <c r="J502" s="105"/>
      <c r="K502" s="74"/>
      <c r="L502" s="74"/>
      <c r="N502" s="370" t="s">
        <v>1087</v>
      </c>
      <c r="O502" s="370"/>
      <c r="P502" s="370"/>
      <c r="Q502" s="361">
        <v>0</v>
      </c>
      <c r="R502" s="361">
        <v>0</v>
      </c>
      <c r="S502" s="361">
        <v>0</v>
      </c>
      <c r="T502" s="361">
        <v>0</v>
      </c>
      <c r="U502" s="361">
        <v>0</v>
      </c>
      <c r="V502" s="361">
        <v>0</v>
      </c>
      <c r="W502" s="361">
        <v>0</v>
      </c>
      <c r="X502" s="361">
        <v>0</v>
      </c>
      <c r="Y502" s="361">
        <v>0</v>
      </c>
      <c r="Z502" s="361">
        <v>0</v>
      </c>
      <c r="AA502" s="361">
        <v>0</v>
      </c>
      <c r="AB502" s="361">
        <v>0</v>
      </c>
      <c r="AC502" s="1539">
        <v>0</v>
      </c>
      <c r="AD502" s="381">
        <v>0</v>
      </c>
      <c r="AE502" s="381">
        <v>0</v>
      </c>
      <c r="AF502" s="381">
        <v>0</v>
      </c>
      <c r="AG502" s="381">
        <v>0</v>
      </c>
      <c r="AH502" s="381">
        <v>0</v>
      </c>
      <c r="AI502" s="381">
        <v>0</v>
      </c>
    </row>
    <row r="503" spans="1:35">
      <c r="A503" s="990">
        <v>457</v>
      </c>
      <c r="B503" s="990">
        <v>1</v>
      </c>
      <c r="C503" s="990">
        <v>503</v>
      </c>
      <c r="E503" s="1243">
        <v>1</v>
      </c>
      <c r="I503" s="106"/>
      <c r="J503" s="105"/>
      <c r="K503" s="74"/>
      <c r="L503" s="74"/>
      <c r="N503" s="371"/>
      <c r="O503" s="371"/>
      <c r="P503" s="371" t="s">
        <v>391</v>
      </c>
      <c r="Q503" s="2042"/>
      <c r="R503" s="2042"/>
      <c r="S503" s="2042"/>
      <c r="T503" s="2042"/>
      <c r="U503" s="2042"/>
      <c r="V503" s="2042"/>
      <c r="W503" s="2042"/>
      <c r="X503" s="2042"/>
      <c r="Y503" s="2042"/>
      <c r="Z503" s="2042"/>
      <c r="AA503" s="2042"/>
      <c r="AB503" s="2042"/>
      <c r="AC503" s="1537">
        <v>0</v>
      </c>
      <c r="AD503" s="108">
        <v>0</v>
      </c>
      <c r="AE503" s="108">
        <v>0</v>
      </c>
      <c r="AF503" s="108">
        <v>0</v>
      </c>
      <c r="AG503" s="108">
        <v>0</v>
      </c>
      <c r="AH503" s="108">
        <v>0</v>
      </c>
      <c r="AI503" s="108">
        <v>0</v>
      </c>
    </row>
    <row r="504" spans="1:35">
      <c r="A504" s="990">
        <v>458</v>
      </c>
      <c r="B504" s="990">
        <v>1</v>
      </c>
      <c r="C504" s="990">
        <v>504</v>
      </c>
      <c r="E504" s="1243">
        <v>1</v>
      </c>
      <c r="I504" s="106"/>
      <c r="J504" s="105"/>
      <c r="K504" s="74"/>
      <c r="L504" s="74"/>
      <c r="N504" s="298"/>
      <c r="O504" s="298"/>
      <c r="P504" s="298" t="s">
        <v>393</v>
      </c>
      <c r="Q504" s="2037"/>
      <c r="R504" s="2037"/>
      <c r="S504" s="2037"/>
      <c r="T504" s="2037"/>
      <c r="U504" s="2037"/>
      <c r="V504" s="2037"/>
      <c r="W504" s="2037"/>
      <c r="X504" s="2037"/>
      <c r="Y504" s="2037"/>
      <c r="Z504" s="2037"/>
      <c r="AA504" s="2037"/>
      <c r="AB504" s="2037"/>
      <c r="AC504" s="1383">
        <v>0</v>
      </c>
      <c r="AD504" s="113">
        <v>0</v>
      </c>
      <c r="AE504" s="113">
        <v>0</v>
      </c>
      <c r="AF504" s="113">
        <v>0</v>
      </c>
      <c r="AG504" s="113">
        <v>0</v>
      </c>
      <c r="AH504" s="113">
        <v>0</v>
      </c>
      <c r="AI504" s="113">
        <v>0</v>
      </c>
    </row>
    <row r="505" spans="1:35">
      <c r="A505" s="990">
        <v>459</v>
      </c>
      <c r="B505" s="990">
        <v>1</v>
      </c>
      <c r="C505" s="990">
        <v>505</v>
      </c>
      <c r="E505" s="1243">
        <v>1</v>
      </c>
      <c r="I505" s="106"/>
      <c r="J505" s="105"/>
      <c r="K505" s="74"/>
      <c r="L505" s="74"/>
      <c r="N505" s="400" t="s">
        <v>1088</v>
      </c>
      <c r="O505" s="299"/>
      <c r="P505" s="299"/>
      <c r="Q505" s="2036"/>
      <c r="R505" s="2036"/>
      <c r="S505" s="2036"/>
      <c r="T505" s="2036"/>
      <c r="U505" s="2036"/>
      <c r="V505" s="2036"/>
      <c r="W505" s="2036"/>
      <c r="X505" s="2036"/>
      <c r="Y505" s="2036"/>
      <c r="Z505" s="2036"/>
      <c r="AA505" s="2036"/>
      <c r="AB505" s="2036"/>
      <c r="AC505" s="1380">
        <v>0</v>
      </c>
      <c r="AD505" s="107">
        <v>0</v>
      </c>
      <c r="AE505" s="107">
        <v>0</v>
      </c>
      <c r="AF505" s="107">
        <v>0</v>
      </c>
      <c r="AG505" s="107">
        <v>0</v>
      </c>
      <c r="AH505" s="107">
        <v>0</v>
      </c>
      <c r="AI505" s="107">
        <v>0</v>
      </c>
    </row>
    <row r="506" spans="1:35">
      <c r="A506" s="990">
        <v>460</v>
      </c>
      <c r="B506" s="990">
        <v>1</v>
      </c>
      <c r="C506" s="990">
        <v>506</v>
      </c>
      <c r="E506" s="1243">
        <v>1</v>
      </c>
      <c r="I506" s="106"/>
      <c r="J506" s="280"/>
      <c r="K506" s="73"/>
      <c r="L506" s="73"/>
      <c r="M506" s="2343" t="s">
        <v>11</v>
      </c>
      <c r="N506" s="2343"/>
      <c r="O506" s="2343"/>
      <c r="P506" s="2343"/>
      <c r="Q506" s="2088"/>
      <c r="R506" s="2088"/>
      <c r="S506" s="2088"/>
      <c r="T506" s="2088"/>
      <c r="U506" s="2088"/>
      <c r="V506" s="2088"/>
      <c r="W506" s="2088"/>
      <c r="X506" s="2088"/>
      <c r="Y506" s="2088"/>
      <c r="Z506" s="2088"/>
      <c r="AA506" s="2088"/>
      <c r="AB506" s="2088"/>
      <c r="AC506" s="2636">
        <v>0</v>
      </c>
      <c r="AD506" s="2534">
        <v>0</v>
      </c>
      <c r="AE506" s="2534">
        <v>0</v>
      </c>
      <c r="AF506" s="2534">
        <v>0</v>
      </c>
      <c r="AG506" s="2534">
        <v>0</v>
      </c>
      <c r="AH506" s="2534">
        <v>0</v>
      </c>
      <c r="AI506" s="2534">
        <v>0</v>
      </c>
    </row>
    <row r="507" spans="1:35">
      <c r="A507" s="990">
        <v>461</v>
      </c>
      <c r="B507" s="990">
        <v>1</v>
      </c>
      <c r="C507" s="990">
        <v>507</v>
      </c>
      <c r="E507" s="1243">
        <v>1</v>
      </c>
      <c r="I507" s="106"/>
      <c r="J507" s="105"/>
      <c r="K507" s="794" t="s">
        <v>1023</v>
      </c>
      <c r="L507" s="794"/>
      <c r="M507" s="794"/>
      <c r="N507" s="794"/>
      <c r="O507" s="794"/>
      <c r="P507" s="794"/>
      <c r="Q507" s="2135">
        <v>0</v>
      </c>
      <c r="R507" s="112">
        <v>0</v>
      </c>
      <c r="S507" s="112">
        <v>0</v>
      </c>
      <c r="T507" s="112">
        <v>0</v>
      </c>
      <c r="U507" s="112">
        <v>0</v>
      </c>
      <c r="V507" s="112">
        <v>0</v>
      </c>
      <c r="W507" s="112">
        <v>0</v>
      </c>
      <c r="X507" s="112">
        <v>0</v>
      </c>
      <c r="Y507" s="112">
        <v>0</v>
      </c>
      <c r="Z507" s="112">
        <v>0</v>
      </c>
      <c r="AA507" s="112">
        <v>0</v>
      </c>
      <c r="AB507" s="112">
        <v>0</v>
      </c>
      <c r="AC507" s="112">
        <v>0</v>
      </c>
      <c r="AD507" s="112">
        <v>0</v>
      </c>
      <c r="AE507" s="112">
        <v>0</v>
      </c>
      <c r="AF507" s="112">
        <v>0</v>
      </c>
      <c r="AG507" s="112">
        <v>0</v>
      </c>
      <c r="AH507" s="112">
        <v>0</v>
      </c>
      <c r="AI507" s="112">
        <v>0</v>
      </c>
    </row>
    <row r="508" spans="1:35">
      <c r="A508" s="990">
        <v>462</v>
      </c>
      <c r="B508" s="990">
        <v>1</v>
      </c>
      <c r="C508" s="990">
        <v>508</v>
      </c>
      <c r="E508" s="1243">
        <v>1</v>
      </c>
      <c r="I508" s="106"/>
      <c r="J508" s="280"/>
      <c r="K508" s="69"/>
      <c r="L508" s="69"/>
      <c r="M508" s="9" t="s">
        <v>137</v>
      </c>
      <c r="N508" s="363"/>
      <c r="O508" s="363"/>
      <c r="P508" s="363"/>
      <c r="Q508" s="365">
        <v>0</v>
      </c>
      <c r="R508" s="365">
        <v>0</v>
      </c>
      <c r="S508" s="365">
        <v>0</v>
      </c>
      <c r="T508" s="365">
        <v>0</v>
      </c>
      <c r="U508" s="365">
        <v>0</v>
      </c>
      <c r="V508" s="365">
        <v>0</v>
      </c>
      <c r="W508" s="365">
        <v>0</v>
      </c>
      <c r="X508" s="365">
        <v>0</v>
      </c>
      <c r="Y508" s="365">
        <v>0</v>
      </c>
      <c r="Z508" s="365">
        <v>0</v>
      </c>
      <c r="AA508" s="365">
        <v>0</v>
      </c>
      <c r="AB508" s="365">
        <v>0</v>
      </c>
      <c r="AC508" s="1536">
        <v>0</v>
      </c>
      <c r="AD508" s="365">
        <v>0</v>
      </c>
      <c r="AE508" s="365">
        <v>0</v>
      </c>
      <c r="AF508" s="365">
        <v>0</v>
      </c>
      <c r="AG508" s="365">
        <v>0</v>
      </c>
      <c r="AH508" s="365">
        <v>0</v>
      </c>
      <c r="AI508" s="365">
        <v>0</v>
      </c>
    </row>
    <row r="509" spans="1:35">
      <c r="A509" s="990">
        <v>463</v>
      </c>
      <c r="B509" s="990">
        <v>1</v>
      </c>
      <c r="C509" s="990">
        <v>509</v>
      </c>
      <c r="E509" s="1243">
        <v>1</v>
      </c>
      <c r="I509" s="106"/>
      <c r="J509" s="105"/>
      <c r="K509" s="69"/>
      <c r="L509" s="69"/>
      <c r="N509" s="111" t="s">
        <v>1021</v>
      </c>
      <c r="O509" s="111"/>
      <c r="P509" s="111"/>
      <c r="Q509" s="109">
        <v>0</v>
      </c>
      <c r="R509" s="109">
        <v>0</v>
      </c>
      <c r="S509" s="109">
        <v>0</v>
      </c>
      <c r="T509" s="109">
        <v>0</v>
      </c>
      <c r="U509" s="109">
        <v>0</v>
      </c>
      <c r="V509" s="109">
        <v>0</v>
      </c>
      <c r="W509" s="109">
        <v>0</v>
      </c>
      <c r="X509" s="109">
        <v>0</v>
      </c>
      <c r="Y509" s="109">
        <v>0</v>
      </c>
      <c r="Z509" s="109">
        <v>0</v>
      </c>
      <c r="AA509" s="109">
        <v>0</v>
      </c>
      <c r="AB509" s="109">
        <v>0</v>
      </c>
      <c r="AC509" s="1537">
        <v>0</v>
      </c>
      <c r="AD509" s="109">
        <v>0</v>
      </c>
      <c r="AE509" s="109">
        <v>0</v>
      </c>
      <c r="AF509" s="109">
        <v>0</v>
      </c>
      <c r="AG509" s="109">
        <v>0</v>
      </c>
      <c r="AH509" s="109">
        <v>0</v>
      </c>
      <c r="AI509" s="109">
        <v>0</v>
      </c>
    </row>
    <row r="510" spans="1:35">
      <c r="A510" s="990">
        <v>464</v>
      </c>
      <c r="B510" s="990">
        <v>1</v>
      </c>
      <c r="C510" s="990">
        <v>510</v>
      </c>
      <c r="E510" s="1243">
        <v>1</v>
      </c>
      <c r="I510" s="106"/>
      <c r="J510" s="105"/>
      <c r="K510" s="69"/>
      <c r="L510" s="69"/>
      <c r="O510" s="111" t="s">
        <v>1079</v>
      </c>
      <c r="P510" s="111"/>
      <c r="Q510" s="2042"/>
      <c r="R510" s="2042"/>
      <c r="S510" s="2042"/>
      <c r="T510" s="2042"/>
      <c r="U510" s="2042"/>
      <c r="V510" s="2042"/>
      <c r="W510" s="2042"/>
      <c r="X510" s="2042"/>
      <c r="Y510" s="2042"/>
      <c r="Z510" s="2042"/>
      <c r="AA510" s="2042"/>
      <c r="AB510" s="2042"/>
      <c r="AC510" s="1537">
        <v>0</v>
      </c>
      <c r="AD510" s="108">
        <v>0</v>
      </c>
      <c r="AE510" s="108">
        <v>0</v>
      </c>
      <c r="AF510" s="108">
        <v>0</v>
      </c>
      <c r="AG510" s="108">
        <v>0</v>
      </c>
      <c r="AH510" s="108">
        <v>0</v>
      </c>
      <c r="AI510" s="108">
        <v>0</v>
      </c>
    </row>
    <row r="511" spans="1:35">
      <c r="A511" s="990">
        <v>465</v>
      </c>
      <c r="B511" s="990">
        <v>1</v>
      </c>
      <c r="C511" s="990">
        <v>511</v>
      </c>
      <c r="E511" s="1243">
        <v>1</v>
      </c>
      <c r="I511" s="106"/>
      <c r="J511" s="105"/>
      <c r="K511" s="69"/>
      <c r="L511" s="69"/>
      <c r="N511" s="363"/>
      <c r="O511" s="363" t="s">
        <v>1080</v>
      </c>
      <c r="P511" s="363"/>
      <c r="Q511" s="2052"/>
      <c r="R511" s="2052"/>
      <c r="S511" s="2052"/>
      <c r="T511" s="2052"/>
      <c r="U511" s="2052"/>
      <c r="V511" s="2052"/>
      <c r="W511" s="2052"/>
      <c r="X511" s="2052"/>
      <c r="Y511" s="2052"/>
      <c r="Z511" s="2052"/>
      <c r="AA511" s="2052"/>
      <c r="AB511" s="2052"/>
      <c r="AC511" s="1536">
        <v>0</v>
      </c>
      <c r="AD511" s="378">
        <v>0</v>
      </c>
      <c r="AE511" s="378">
        <v>0</v>
      </c>
      <c r="AF511" s="378">
        <v>0</v>
      </c>
      <c r="AG511" s="378">
        <v>0</v>
      </c>
      <c r="AH511" s="378">
        <v>0</v>
      </c>
      <c r="AI511" s="378">
        <v>0</v>
      </c>
    </row>
    <row r="512" spans="1:35">
      <c r="A512" s="990">
        <v>466</v>
      </c>
      <c r="B512" s="990">
        <v>1</v>
      </c>
      <c r="C512" s="990">
        <v>512</v>
      </c>
      <c r="E512" s="1243">
        <v>1</v>
      </c>
      <c r="I512" s="106"/>
      <c r="J512" s="105"/>
      <c r="K512" s="69"/>
      <c r="L512" s="69"/>
      <c r="M512" s="12"/>
      <c r="N512" s="366" t="s">
        <v>146</v>
      </c>
      <c r="O512" s="366"/>
      <c r="P512" s="366"/>
      <c r="Q512" s="2053"/>
      <c r="R512" s="2053"/>
      <c r="S512" s="2053"/>
      <c r="T512" s="2053"/>
      <c r="U512" s="2053"/>
      <c r="V512" s="2053"/>
      <c r="W512" s="2053"/>
      <c r="X512" s="2053"/>
      <c r="Y512" s="2053"/>
      <c r="Z512" s="2053"/>
      <c r="AA512" s="2053"/>
      <c r="AB512" s="2053"/>
      <c r="AC512" s="1538">
        <v>0</v>
      </c>
      <c r="AD512" s="379">
        <v>0</v>
      </c>
      <c r="AE512" s="379">
        <v>0</v>
      </c>
      <c r="AF512" s="379">
        <v>0</v>
      </c>
      <c r="AG512" s="379">
        <v>0</v>
      </c>
      <c r="AH512" s="379">
        <v>0</v>
      </c>
      <c r="AI512" s="379">
        <v>0</v>
      </c>
    </row>
    <row r="513" spans="1:36">
      <c r="A513" s="990">
        <v>467</v>
      </c>
      <c r="B513" s="990">
        <v>1</v>
      </c>
      <c r="C513" s="990">
        <v>513</v>
      </c>
      <c r="E513" s="1243">
        <v>1</v>
      </c>
      <c r="I513" s="106"/>
      <c r="J513" s="280"/>
      <c r="K513" s="69"/>
      <c r="L513" s="69"/>
      <c r="M513" s="9" t="s">
        <v>95</v>
      </c>
      <c r="N513" s="363"/>
      <c r="O513" s="363"/>
      <c r="P513" s="363"/>
      <c r="Q513" s="365">
        <v>0</v>
      </c>
      <c r="R513" s="365">
        <v>0</v>
      </c>
      <c r="S513" s="365">
        <v>0</v>
      </c>
      <c r="T513" s="365">
        <v>0</v>
      </c>
      <c r="U513" s="365">
        <v>0</v>
      </c>
      <c r="V513" s="365">
        <v>0</v>
      </c>
      <c r="W513" s="365">
        <v>0</v>
      </c>
      <c r="X513" s="365">
        <v>0</v>
      </c>
      <c r="Y513" s="365">
        <v>0</v>
      </c>
      <c r="Z513" s="365">
        <v>0</v>
      </c>
      <c r="AA513" s="365">
        <v>0</v>
      </c>
      <c r="AB513" s="365">
        <v>0</v>
      </c>
      <c r="AC513" s="408">
        <v>0</v>
      </c>
      <c r="AD513" s="365">
        <v>0</v>
      </c>
      <c r="AE513" s="365">
        <v>0</v>
      </c>
      <c r="AF513" s="365">
        <v>0</v>
      </c>
      <c r="AG513" s="365">
        <v>0</v>
      </c>
      <c r="AH513" s="365">
        <v>0</v>
      </c>
      <c r="AI513" s="365">
        <v>0</v>
      </c>
    </row>
    <row r="514" spans="1:36">
      <c r="A514" s="990">
        <v>468</v>
      </c>
      <c r="B514" s="990">
        <v>1</v>
      </c>
      <c r="C514" s="990">
        <v>514</v>
      </c>
      <c r="E514" s="1243">
        <v>1</v>
      </c>
      <c r="I514" s="106"/>
      <c r="J514" s="105"/>
      <c r="K514" s="69"/>
      <c r="L514" s="69"/>
      <c r="N514" s="111" t="s">
        <v>1021</v>
      </c>
      <c r="O514" s="111"/>
      <c r="P514" s="111"/>
      <c r="Q514" s="109">
        <v>0</v>
      </c>
      <c r="R514" s="109">
        <v>0</v>
      </c>
      <c r="S514" s="109">
        <v>0</v>
      </c>
      <c r="T514" s="109">
        <v>0</v>
      </c>
      <c r="U514" s="109">
        <v>0</v>
      </c>
      <c r="V514" s="109">
        <v>0</v>
      </c>
      <c r="W514" s="109">
        <v>0</v>
      </c>
      <c r="X514" s="109">
        <v>0</v>
      </c>
      <c r="Y514" s="109">
        <v>0</v>
      </c>
      <c r="Z514" s="109">
        <v>0</v>
      </c>
      <c r="AA514" s="109">
        <v>0</v>
      </c>
      <c r="AB514" s="109">
        <v>0</v>
      </c>
      <c r="AC514" s="1537">
        <v>0</v>
      </c>
      <c r="AD514" s="108">
        <v>0</v>
      </c>
      <c r="AE514" s="108">
        <v>0</v>
      </c>
      <c r="AF514" s="108">
        <v>0</v>
      </c>
      <c r="AG514" s="108">
        <v>0</v>
      </c>
      <c r="AH514" s="108">
        <v>0</v>
      </c>
      <c r="AI514" s="108">
        <v>0</v>
      </c>
    </row>
    <row r="515" spans="1:36">
      <c r="A515" s="990">
        <v>469</v>
      </c>
      <c r="B515" s="990">
        <v>1</v>
      </c>
      <c r="C515" s="990">
        <v>515</v>
      </c>
      <c r="E515" s="1243">
        <v>1</v>
      </c>
      <c r="I515" s="106"/>
      <c r="J515" s="105"/>
      <c r="K515" s="69"/>
      <c r="L515" s="69"/>
      <c r="O515" s="111" t="s">
        <v>1079</v>
      </c>
      <c r="P515" s="111"/>
      <c r="Q515" s="109">
        <v>0</v>
      </c>
      <c r="R515" s="109">
        <v>0</v>
      </c>
      <c r="S515" s="109">
        <v>0</v>
      </c>
      <c r="T515" s="109">
        <v>0</v>
      </c>
      <c r="U515" s="109">
        <v>0</v>
      </c>
      <c r="V515" s="109">
        <v>0</v>
      </c>
      <c r="W515" s="109">
        <v>0</v>
      </c>
      <c r="X515" s="109">
        <v>0</v>
      </c>
      <c r="Y515" s="109">
        <v>0</v>
      </c>
      <c r="Z515" s="109">
        <v>0</v>
      </c>
      <c r="AA515" s="109">
        <v>0</v>
      </c>
      <c r="AB515" s="109">
        <v>0</v>
      </c>
      <c r="AC515" s="1537">
        <v>0</v>
      </c>
      <c r="AD515" s="108">
        <v>0</v>
      </c>
      <c r="AE515" s="108">
        <v>0</v>
      </c>
      <c r="AF515" s="108">
        <v>0</v>
      </c>
      <c r="AG515" s="108">
        <v>0</v>
      </c>
      <c r="AH515" s="108">
        <v>0</v>
      </c>
      <c r="AI515" s="108">
        <v>0</v>
      </c>
    </row>
    <row r="516" spans="1:36">
      <c r="A516" s="990">
        <v>470</v>
      </c>
      <c r="B516" s="990">
        <v>1</v>
      </c>
      <c r="C516" s="990">
        <v>516</v>
      </c>
      <c r="E516" s="1243">
        <v>1</v>
      </c>
      <c r="I516" s="106"/>
      <c r="J516" s="105"/>
      <c r="K516" s="69"/>
      <c r="L516" s="69"/>
      <c r="P516" s="9" t="s">
        <v>1083</v>
      </c>
      <c r="Q516" s="2036"/>
      <c r="R516" s="2036"/>
      <c r="S516" s="2036"/>
      <c r="T516" s="2036"/>
      <c r="U516" s="2036"/>
      <c r="V516" s="2036"/>
      <c r="W516" s="2036"/>
      <c r="X516" s="2036"/>
      <c r="Y516" s="2036"/>
      <c r="Z516" s="2036"/>
      <c r="AA516" s="2036"/>
      <c r="AB516" s="2036"/>
      <c r="AC516" s="1380">
        <v>0</v>
      </c>
      <c r="AD516" s="107">
        <v>0</v>
      </c>
      <c r="AE516" s="107">
        <v>0</v>
      </c>
      <c r="AF516" s="107">
        <v>0</v>
      </c>
      <c r="AG516" s="107">
        <v>0</v>
      </c>
      <c r="AH516" s="107">
        <v>0</v>
      </c>
      <c r="AI516" s="107">
        <v>0</v>
      </c>
    </row>
    <row r="517" spans="1:36">
      <c r="A517" s="990">
        <v>471</v>
      </c>
      <c r="B517" s="990">
        <v>1</v>
      </c>
      <c r="C517" s="990">
        <v>517</v>
      </c>
      <c r="E517" s="1243">
        <v>1</v>
      </c>
      <c r="I517" s="106"/>
      <c r="J517" s="105"/>
      <c r="K517" s="69"/>
      <c r="L517" s="69"/>
      <c r="P517" s="9" t="s">
        <v>1084</v>
      </c>
      <c r="Q517" s="2036"/>
      <c r="R517" s="2036"/>
      <c r="S517" s="2036"/>
      <c r="T517" s="2036"/>
      <c r="U517" s="2036"/>
      <c r="V517" s="2036"/>
      <c r="W517" s="2036"/>
      <c r="X517" s="2036"/>
      <c r="Y517" s="2036"/>
      <c r="Z517" s="2036"/>
      <c r="AA517" s="2036"/>
      <c r="AB517" s="2036"/>
      <c r="AC517" s="1380">
        <v>0</v>
      </c>
      <c r="AD517" s="107">
        <v>0</v>
      </c>
      <c r="AE517" s="107">
        <v>0</v>
      </c>
      <c r="AF517" s="107">
        <v>0</v>
      </c>
      <c r="AG517" s="107">
        <v>0</v>
      </c>
      <c r="AH517" s="107">
        <v>0</v>
      </c>
      <c r="AI517" s="107">
        <v>0</v>
      </c>
    </row>
    <row r="518" spans="1:36">
      <c r="A518" s="990">
        <v>472</v>
      </c>
      <c r="B518" s="990">
        <v>1</v>
      </c>
      <c r="C518" s="990">
        <v>518</v>
      </c>
      <c r="E518" s="1243">
        <v>1</v>
      </c>
      <c r="I518" s="106"/>
      <c r="J518" s="105"/>
      <c r="K518" s="69"/>
      <c r="L518" s="69"/>
      <c r="O518" s="111" t="s">
        <v>1080</v>
      </c>
      <c r="P518" s="111"/>
      <c r="Q518" s="109">
        <v>0</v>
      </c>
      <c r="R518" s="109">
        <v>0</v>
      </c>
      <c r="S518" s="109">
        <v>0</v>
      </c>
      <c r="T518" s="109">
        <v>0</v>
      </c>
      <c r="U518" s="109">
        <v>0</v>
      </c>
      <c r="V518" s="109">
        <v>0</v>
      </c>
      <c r="W518" s="109">
        <v>0</v>
      </c>
      <c r="X518" s="109">
        <v>0</v>
      </c>
      <c r="Y518" s="109">
        <v>0</v>
      </c>
      <c r="Z518" s="109">
        <v>0</v>
      </c>
      <c r="AA518" s="109">
        <v>0</v>
      </c>
      <c r="AB518" s="109">
        <v>0</v>
      </c>
      <c r="AC518" s="1537">
        <v>0</v>
      </c>
      <c r="AD518" s="108">
        <v>0</v>
      </c>
      <c r="AE518" s="108">
        <v>0</v>
      </c>
      <c r="AF518" s="108">
        <v>0</v>
      </c>
      <c r="AG518" s="108">
        <v>0</v>
      </c>
      <c r="AH518" s="108">
        <v>0</v>
      </c>
      <c r="AI518" s="108">
        <v>0</v>
      </c>
    </row>
    <row r="519" spans="1:36">
      <c r="A519" s="990">
        <v>473</v>
      </c>
      <c r="B519" s="990">
        <v>1</v>
      </c>
      <c r="C519" s="990">
        <v>519</v>
      </c>
      <c r="E519" s="1243">
        <v>1</v>
      </c>
      <c r="I519" s="106"/>
      <c r="J519" s="105"/>
      <c r="K519" s="69"/>
      <c r="L519" s="69"/>
      <c r="P519" s="9" t="s">
        <v>1083</v>
      </c>
      <c r="Q519" s="2036"/>
      <c r="R519" s="2036"/>
      <c r="S519" s="2036"/>
      <c r="T519" s="2036"/>
      <c r="U519" s="2036"/>
      <c r="V519" s="2036"/>
      <c r="W519" s="2036"/>
      <c r="X519" s="2036"/>
      <c r="Y519" s="2036"/>
      <c r="Z519" s="2036"/>
      <c r="AA519" s="2036"/>
      <c r="AB519" s="2036"/>
      <c r="AC519" s="1380">
        <v>0</v>
      </c>
      <c r="AD519" s="107">
        <v>0</v>
      </c>
      <c r="AE519" s="107">
        <v>0</v>
      </c>
      <c r="AF519" s="107">
        <v>0</v>
      </c>
      <c r="AG519" s="107">
        <v>0</v>
      </c>
      <c r="AH519" s="107">
        <v>0</v>
      </c>
      <c r="AI519" s="107">
        <v>0</v>
      </c>
    </row>
    <row r="520" spans="1:36">
      <c r="A520" s="990">
        <v>474</v>
      </c>
      <c r="B520" s="990">
        <v>1</v>
      </c>
      <c r="C520" s="990">
        <v>520</v>
      </c>
      <c r="E520" s="1243">
        <v>1</v>
      </c>
      <c r="I520" s="106"/>
      <c r="J520" s="105"/>
      <c r="K520" s="69"/>
      <c r="L520" s="69"/>
      <c r="N520" s="363"/>
      <c r="O520" s="363"/>
      <c r="P520" s="363" t="s">
        <v>1084</v>
      </c>
      <c r="Q520" s="2052"/>
      <c r="R520" s="2052"/>
      <c r="S520" s="2052"/>
      <c r="T520" s="2052"/>
      <c r="U520" s="2052"/>
      <c r="V520" s="2052"/>
      <c r="W520" s="2052"/>
      <c r="X520" s="2052"/>
      <c r="Y520" s="2052"/>
      <c r="Z520" s="2052"/>
      <c r="AA520" s="2052"/>
      <c r="AB520" s="2052"/>
      <c r="AC520" s="1536">
        <v>0</v>
      </c>
      <c r="AD520" s="378">
        <v>0</v>
      </c>
      <c r="AE520" s="378">
        <v>0</v>
      </c>
      <c r="AF520" s="378">
        <v>0</v>
      </c>
      <c r="AG520" s="378">
        <v>0</v>
      </c>
      <c r="AH520" s="378">
        <v>0</v>
      </c>
      <c r="AI520" s="378">
        <v>0</v>
      </c>
    </row>
    <row r="521" spans="1:36">
      <c r="A521" s="990">
        <v>475</v>
      </c>
      <c r="B521" s="990">
        <v>1</v>
      </c>
      <c r="C521" s="990">
        <v>521</v>
      </c>
      <c r="E521" s="1243">
        <v>1</v>
      </c>
      <c r="I521" s="106"/>
      <c r="J521" s="105"/>
      <c r="K521" s="69"/>
      <c r="L521" s="69"/>
      <c r="N521" s="12" t="s">
        <v>146</v>
      </c>
      <c r="O521" s="12"/>
      <c r="P521" s="12"/>
      <c r="Q521" s="2037"/>
      <c r="R521" s="2037"/>
      <c r="S521" s="2037"/>
      <c r="T521" s="2037"/>
      <c r="U521" s="2037"/>
      <c r="V521" s="2037"/>
      <c r="W521" s="2037"/>
      <c r="X521" s="2037"/>
      <c r="Y521" s="2037"/>
      <c r="Z521" s="2037"/>
      <c r="AA521" s="2037"/>
      <c r="AB521" s="2037"/>
      <c r="AC521" s="1383">
        <v>0</v>
      </c>
      <c r="AD521" s="113">
        <v>0</v>
      </c>
      <c r="AE521" s="113">
        <v>0</v>
      </c>
      <c r="AF521" s="113">
        <v>0</v>
      </c>
      <c r="AG521" s="113">
        <v>0</v>
      </c>
      <c r="AH521" s="113">
        <v>0</v>
      </c>
      <c r="AI521" s="113">
        <v>0</v>
      </c>
    </row>
    <row r="522" spans="1:36">
      <c r="A522" s="990">
        <v>476</v>
      </c>
      <c r="B522" s="990">
        <v>1</v>
      </c>
      <c r="C522" s="990">
        <v>522</v>
      </c>
      <c r="E522" s="1243">
        <v>1</v>
      </c>
      <c r="I522" s="106"/>
      <c r="J522" s="105"/>
      <c r="K522" s="69"/>
      <c r="L522" s="69"/>
      <c r="N522" s="383" t="s">
        <v>1089</v>
      </c>
      <c r="O522" s="383"/>
      <c r="P522" s="383"/>
      <c r="Q522" s="365">
        <v>0</v>
      </c>
      <c r="R522" s="365">
        <v>0</v>
      </c>
      <c r="S522" s="365">
        <v>0</v>
      </c>
      <c r="T522" s="365">
        <v>0</v>
      </c>
      <c r="U522" s="365">
        <v>0</v>
      </c>
      <c r="V522" s="365">
        <v>0</v>
      </c>
      <c r="W522" s="365">
        <v>0</v>
      </c>
      <c r="X522" s="365">
        <v>0</v>
      </c>
      <c r="Y522" s="365">
        <v>0</v>
      </c>
      <c r="Z522" s="365">
        <v>0</v>
      </c>
      <c r="AA522" s="365">
        <v>0</v>
      </c>
      <c r="AB522" s="365">
        <v>0</v>
      </c>
      <c r="AC522" s="1536">
        <v>0</v>
      </c>
      <c r="AD522" s="378">
        <v>0</v>
      </c>
      <c r="AE522" s="378">
        <v>0</v>
      </c>
      <c r="AF522" s="378">
        <v>0</v>
      </c>
      <c r="AG522" s="378">
        <v>0</v>
      </c>
      <c r="AH522" s="378">
        <v>0</v>
      </c>
      <c r="AI522" s="378">
        <v>0</v>
      </c>
    </row>
    <row r="523" spans="1:36">
      <c r="A523" s="990">
        <v>477</v>
      </c>
      <c r="B523" s="990">
        <v>1</v>
      </c>
      <c r="C523" s="990">
        <v>523</v>
      </c>
      <c r="E523" s="1243">
        <v>1</v>
      </c>
      <c r="I523" s="106"/>
      <c r="J523" s="105"/>
      <c r="K523" s="69"/>
      <c r="L523" s="69"/>
      <c r="N523" s="371"/>
      <c r="O523" s="371"/>
      <c r="P523" s="371" t="s">
        <v>391</v>
      </c>
      <c r="Q523" s="2042"/>
      <c r="R523" s="2042"/>
      <c r="S523" s="2042"/>
      <c r="T523" s="2042"/>
      <c r="U523" s="2042"/>
      <c r="V523" s="2042"/>
      <c r="W523" s="2042"/>
      <c r="X523" s="2042"/>
      <c r="Y523" s="2042"/>
      <c r="Z523" s="2042"/>
      <c r="AA523" s="2042"/>
      <c r="AB523" s="2042"/>
      <c r="AC523" s="1537">
        <v>0</v>
      </c>
      <c r="AD523" s="108">
        <v>0</v>
      </c>
      <c r="AE523" s="108">
        <v>0</v>
      </c>
      <c r="AF523" s="108">
        <v>0</v>
      </c>
      <c r="AG523" s="108">
        <v>0</v>
      </c>
      <c r="AH523" s="108">
        <v>0</v>
      </c>
      <c r="AI523" s="108">
        <v>0</v>
      </c>
      <c r="AJ523" s="290"/>
    </row>
    <row r="524" spans="1:36">
      <c r="A524" s="990">
        <v>478</v>
      </c>
      <c r="B524" s="990">
        <v>1</v>
      </c>
      <c r="C524" s="990">
        <v>524</v>
      </c>
      <c r="E524" s="1243">
        <v>1</v>
      </c>
      <c r="I524" s="106"/>
      <c r="J524" s="105"/>
      <c r="K524" s="69"/>
      <c r="L524" s="69"/>
      <c r="N524" s="299"/>
      <c r="O524" s="299"/>
      <c r="P524" s="299" t="s">
        <v>1086</v>
      </c>
      <c r="Q524" s="2036"/>
      <c r="R524" s="2036"/>
      <c r="S524" s="2036"/>
      <c r="T524" s="2036"/>
      <c r="U524" s="2036"/>
      <c r="V524" s="2036"/>
      <c r="W524" s="2036"/>
      <c r="X524" s="2036"/>
      <c r="Y524" s="2036"/>
      <c r="Z524" s="2036"/>
      <c r="AA524" s="2036"/>
      <c r="AB524" s="2036"/>
      <c r="AC524" s="1380">
        <v>0</v>
      </c>
      <c r="AD524" s="107">
        <v>0</v>
      </c>
      <c r="AE524" s="107">
        <v>0</v>
      </c>
      <c r="AF524" s="107">
        <v>0</v>
      </c>
      <c r="AG524" s="107">
        <v>0</v>
      </c>
      <c r="AH524" s="107">
        <v>0</v>
      </c>
      <c r="AI524" s="107">
        <v>0</v>
      </c>
    </row>
    <row r="525" spans="1:36">
      <c r="A525" s="990">
        <v>479</v>
      </c>
      <c r="B525" s="990">
        <v>1</v>
      </c>
      <c r="C525" s="990">
        <v>525</v>
      </c>
      <c r="E525" s="1243">
        <v>1</v>
      </c>
      <c r="I525" s="106"/>
      <c r="J525" s="105"/>
      <c r="K525" s="69"/>
      <c r="L525" s="69"/>
      <c r="N525" s="298"/>
      <c r="O525" s="298"/>
      <c r="P525" s="298" t="s">
        <v>393</v>
      </c>
      <c r="Q525" s="2037"/>
      <c r="R525" s="2037"/>
      <c r="S525" s="2037"/>
      <c r="T525" s="2037"/>
      <c r="U525" s="2037"/>
      <c r="V525" s="2037"/>
      <c r="W525" s="2037"/>
      <c r="X525" s="2037"/>
      <c r="Y525" s="2037"/>
      <c r="Z525" s="2037"/>
      <c r="AA525" s="2037"/>
      <c r="AB525" s="2037"/>
      <c r="AC525" s="1383">
        <v>0</v>
      </c>
      <c r="AD525" s="113">
        <v>0</v>
      </c>
      <c r="AE525" s="113">
        <v>0</v>
      </c>
      <c r="AF525" s="113">
        <v>0</v>
      </c>
      <c r="AG525" s="113">
        <v>0</v>
      </c>
      <c r="AH525" s="113">
        <v>0</v>
      </c>
      <c r="AI525" s="113">
        <v>0</v>
      </c>
    </row>
    <row r="526" spans="1:36">
      <c r="A526" s="990">
        <v>480</v>
      </c>
      <c r="B526" s="990">
        <v>1</v>
      </c>
      <c r="C526" s="990">
        <v>526</v>
      </c>
      <c r="E526" s="1243">
        <v>1</v>
      </c>
      <c r="I526" s="106"/>
      <c r="J526" s="105"/>
      <c r="K526" s="69"/>
      <c r="L526" s="69"/>
      <c r="N526" s="370" t="s">
        <v>1090</v>
      </c>
      <c r="O526" s="370"/>
      <c r="P526" s="370"/>
      <c r="Q526" s="361">
        <v>0</v>
      </c>
      <c r="R526" s="361">
        <v>0</v>
      </c>
      <c r="S526" s="361">
        <v>0</v>
      </c>
      <c r="T526" s="361">
        <v>0</v>
      </c>
      <c r="U526" s="361">
        <v>0</v>
      </c>
      <c r="V526" s="361">
        <v>0</v>
      </c>
      <c r="W526" s="361">
        <v>0</v>
      </c>
      <c r="X526" s="361">
        <v>0</v>
      </c>
      <c r="Y526" s="361">
        <v>0</v>
      </c>
      <c r="Z526" s="361">
        <v>0</v>
      </c>
      <c r="AA526" s="361">
        <v>0</v>
      </c>
      <c r="AB526" s="361">
        <v>0</v>
      </c>
      <c r="AC526" s="1539">
        <v>0</v>
      </c>
      <c r="AD526" s="381">
        <v>0</v>
      </c>
      <c r="AE526" s="381">
        <v>0</v>
      </c>
      <c r="AF526" s="381">
        <v>0</v>
      </c>
      <c r="AG526" s="381">
        <v>0</v>
      </c>
      <c r="AH526" s="381">
        <v>0</v>
      </c>
      <c r="AI526" s="381">
        <v>0</v>
      </c>
    </row>
    <row r="527" spans="1:36">
      <c r="A527" s="990">
        <v>481</v>
      </c>
      <c r="B527" s="990">
        <v>1</v>
      </c>
      <c r="C527" s="990">
        <v>527</v>
      </c>
      <c r="E527" s="1243">
        <v>1</v>
      </c>
      <c r="I527" s="106"/>
      <c r="J527" s="105"/>
      <c r="K527" s="69"/>
      <c r="L527" s="69"/>
      <c r="N527" s="371"/>
      <c r="O527" s="371"/>
      <c r="P527" s="371" t="s">
        <v>391</v>
      </c>
      <c r="Q527" s="2042"/>
      <c r="R527" s="2042"/>
      <c r="S527" s="2042"/>
      <c r="T527" s="2042"/>
      <c r="U527" s="2042"/>
      <c r="V527" s="2042"/>
      <c r="W527" s="2042"/>
      <c r="X527" s="2042"/>
      <c r="Y527" s="2042"/>
      <c r="Z527" s="2042"/>
      <c r="AA527" s="2042"/>
      <c r="AB527" s="2042"/>
      <c r="AC527" s="1537">
        <v>0</v>
      </c>
      <c r="AD527" s="108">
        <v>0</v>
      </c>
      <c r="AE527" s="108">
        <v>0</v>
      </c>
      <c r="AF527" s="108">
        <v>0</v>
      </c>
      <c r="AG527" s="108">
        <v>0</v>
      </c>
      <c r="AH527" s="108">
        <v>0</v>
      </c>
      <c r="AI527" s="108">
        <v>0</v>
      </c>
    </row>
    <row r="528" spans="1:36">
      <c r="A528" s="990">
        <v>482</v>
      </c>
      <c r="B528" s="990">
        <v>1</v>
      </c>
      <c r="C528" s="990">
        <v>528</v>
      </c>
      <c r="E528" s="1243">
        <v>1</v>
      </c>
      <c r="I528" s="106"/>
      <c r="J528" s="105"/>
      <c r="K528" s="69"/>
      <c r="L528" s="69"/>
      <c r="N528" s="298"/>
      <c r="O528" s="298"/>
      <c r="P528" s="298" t="s">
        <v>393</v>
      </c>
      <c r="Q528" s="2037"/>
      <c r="R528" s="2037"/>
      <c r="S528" s="2037"/>
      <c r="T528" s="2037"/>
      <c r="U528" s="2037"/>
      <c r="V528" s="2037"/>
      <c r="W528" s="2037"/>
      <c r="X528" s="2037"/>
      <c r="Y528" s="2037"/>
      <c r="Z528" s="2037"/>
      <c r="AA528" s="2037"/>
      <c r="AB528" s="2037"/>
      <c r="AC528" s="1383">
        <v>0</v>
      </c>
      <c r="AD528" s="113">
        <v>0</v>
      </c>
      <c r="AE528" s="113">
        <v>0</v>
      </c>
      <c r="AF528" s="113">
        <v>0</v>
      </c>
      <c r="AG528" s="113">
        <v>0</v>
      </c>
      <c r="AH528" s="113">
        <v>0</v>
      </c>
      <c r="AI528" s="113">
        <v>0</v>
      </c>
    </row>
    <row r="529" spans="1:35">
      <c r="A529" s="990">
        <v>483</v>
      </c>
      <c r="B529" s="990">
        <v>1</v>
      </c>
      <c r="C529" s="990">
        <v>529</v>
      </c>
      <c r="E529" s="1243">
        <v>1</v>
      </c>
      <c r="I529" s="106"/>
      <c r="J529" s="105"/>
      <c r="K529" s="69"/>
      <c r="L529" s="69"/>
      <c r="N529" s="2637" t="s">
        <v>1091</v>
      </c>
      <c r="O529" s="2638"/>
      <c r="P529" s="2638"/>
      <c r="Q529" s="2088"/>
      <c r="R529" s="2088"/>
      <c r="S529" s="2088"/>
      <c r="T529" s="2088"/>
      <c r="U529" s="2088"/>
      <c r="V529" s="2088"/>
      <c r="W529" s="2088"/>
      <c r="X529" s="2088"/>
      <c r="Y529" s="2088"/>
      <c r="Z529" s="2088"/>
      <c r="AA529" s="2088"/>
      <c r="AB529" s="2088"/>
      <c r="AC529" s="2636">
        <v>0</v>
      </c>
      <c r="AD529" s="2534">
        <v>0</v>
      </c>
      <c r="AE529" s="2534">
        <v>0</v>
      </c>
      <c r="AF529" s="2534">
        <v>0</v>
      </c>
      <c r="AG529" s="2534">
        <v>0</v>
      </c>
      <c r="AH529" s="2534">
        <v>0</v>
      </c>
      <c r="AI529" s="2534">
        <v>0</v>
      </c>
    </row>
    <row r="530" spans="1:35">
      <c r="A530" s="990">
        <v>484</v>
      </c>
      <c r="B530" s="990">
        <v>1</v>
      </c>
      <c r="C530" s="990">
        <v>530</v>
      </c>
      <c r="E530" s="1243">
        <v>1</v>
      </c>
      <c r="I530" s="104"/>
      <c r="J530" s="281"/>
      <c r="K530" s="68"/>
      <c r="L530" s="68"/>
      <c r="M530" s="2343" t="s">
        <v>11</v>
      </c>
      <c r="N530" s="2343"/>
      <c r="O530" s="2343"/>
      <c r="P530" s="2343"/>
      <c r="Q530" s="2088"/>
      <c r="R530" s="2088"/>
      <c r="S530" s="2088"/>
      <c r="T530" s="2088"/>
      <c r="U530" s="2088"/>
      <c r="V530" s="2088"/>
      <c r="W530" s="2088"/>
      <c r="X530" s="2088"/>
      <c r="Y530" s="2088"/>
      <c r="Z530" s="2088"/>
      <c r="AA530" s="2088"/>
      <c r="AB530" s="2088"/>
      <c r="AC530" s="2636">
        <v>0</v>
      </c>
      <c r="AD530" s="2534">
        <v>0</v>
      </c>
      <c r="AE530" s="2534">
        <v>0</v>
      </c>
      <c r="AF530" s="2534">
        <v>0</v>
      </c>
      <c r="AG530" s="2534">
        <v>0</v>
      </c>
      <c r="AH530" s="2534">
        <v>0</v>
      </c>
      <c r="AI530" s="2534">
        <v>0</v>
      </c>
    </row>
    <row r="531" spans="1:35">
      <c r="A531" s="990">
        <v>485</v>
      </c>
      <c r="B531" s="990">
        <v>1</v>
      </c>
      <c r="C531" s="990">
        <v>531</v>
      </c>
      <c r="E531" s="1243">
        <v>1</v>
      </c>
      <c r="I531" s="24"/>
      <c r="J531" s="75"/>
      <c r="K531" s="24"/>
      <c r="L531" s="24"/>
      <c r="M531" s="75"/>
      <c r="N531" s="75"/>
      <c r="O531" s="75"/>
      <c r="P531" s="75"/>
      <c r="Q531" s="2200"/>
      <c r="Z531" s="163"/>
      <c r="AA531" s="163"/>
      <c r="AB531" s="2201"/>
      <c r="AC531" s="163"/>
      <c r="AD531" s="163"/>
      <c r="AE531" s="163"/>
      <c r="AF531" s="163"/>
      <c r="AG531" s="163"/>
      <c r="AH531" s="163"/>
      <c r="AI531" s="868"/>
    </row>
    <row r="532" spans="1:35">
      <c r="A532" s="990">
        <v>1</v>
      </c>
      <c r="B532" s="990">
        <v>1</v>
      </c>
      <c r="C532" s="990">
        <v>532</v>
      </c>
      <c r="E532" s="1292" t="s">
        <v>1013</v>
      </c>
      <c r="F532" s="1757"/>
      <c r="H532" s="5" t="s">
        <v>1523</v>
      </c>
      <c r="L532" s="4"/>
      <c r="Q532" s="2200"/>
      <c r="AB532" s="86"/>
    </row>
    <row r="533" spans="1:35" ht="14.5">
      <c r="A533" s="990">
        <v>1</v>
      </c>
      <c r="B533" s="990">
        <v>1</v>
      </c>
      <c r="C533" s="990">
        <v>533</v>
      </c>
      <c r="E533" s="1463" t="s">
        <v>1521</v>
      </c>
      <c r="F533" s="1459"/>
      <c r="I533" s="115" t="s">
        <v>9</v>
      </c>
      <c r="J533" s="792"/>
      <c r="K533" s="793"/>
      <c r="L533" s="793"/>
      <c r="M533" s="792"/>
      <c r="N533" s="792"/>
      <c r="O533" s="792"/>
      <c r="P533" s="792"/>
      <c r="Q533" s="2133">
        <v>0</v>
      </c>
      <c r="R533" s="116">
        <v>0</v>
      </c>
      <c r="S533" s="116">
        <v>0</v>
      </c>
      <c r="T533" s="116">
        <v>0</v>
      </c>
      <c r="U533" s="116">
        <v>0</v>
      </c>
      <c r="V533" s="116">
        <v>0</v>
      </c>
      <c r="W533" s="116">
        <v>0</v>
      </c>
      <c r="X533" s="116">
        <v>0</v>
      </c>
      <c r="Y533" s="116">
        <v>0</v>
      </c>
      <c r="Z533" s="116">
        <v>0</v>
      </c>
      <c r="AA533" s="116">
        <v>0</v>
      </c>
      <c r="AB533" s="116">
        <v>0</v>
      </c>
      <c r="AC533" s="116">
        <v>0</v>
      </c>
      <c r="AD533" s="116">
        <v>0</v>
      </c>
      <c r="AE533" s="116">
        <v>0</v>
      </c>
      <c r="AF533" s="116">
        <v>0</v>
      </c>
      <c r="AG533" s="116">
        <v>0</v>
      </c>
      <c r="AH533" s="116">
        <v>0</v>
      </c>
      <c r="AI533" s="116">
        <v>0</v>
      </c>
    </row>
    <row r="534" spans="1:35" ht="14.5">
      <c r="A534" s="990">
        <v>711</v>
      </c>
      <c r="B534" s="990">
        <v>1</v>
      </c>
      <c r="C534" s="990">
        <v>534</v>
      </c>
      <c r="E534" s="1463" t="s">
        <v>1521</v>
      </c>
      <c r="F534" s="1459"/>
      <c r="G534" s="24"/>
      <c r="I534" s="106"/>
      <c r="J534" s="105"/>
      <c r="K534" s="74" t="s">
        <v>1022</v>
      </c>
      <c r="L534" s="74"/>
      <c r="M534" s="357" t="s">
        <v>275</v>
      </c>
      <c r="N534" s="1772"/>
      <c r="O534" s="1772"/>
      <c r="P534" s="1772"/>
      <c r="Q534" s="1773">
        <v>0</v>
      </c>
      <c r="R534" s="1773">
        <v>0</v>
      </c>
      <c r="S534" s="1773">
        <v>0</v>
      </c>
      <c r="T534" s="1773">
        <v>0</v>
      </c>
      <c r="U534" s="1773">
        <v>0</v>
      </c>
      <c r="V534" s="1773">
        <v>0</v>
      </c>
      <c r="W534" s="1773">
        <v>0</v>
      </c>
      <c r="X534" s="1773">
        <v>0</v>
      </c>
      <c r="Y534" s="1773">
        <v>0</v>
      </c>
      <c r="Z534" s="1773">
        <v>0</v>
      </c>
      <c r="AA534" s="1773">
        <v>0</v>
      </c>
      <c r="AB534" s="1773">
        <v>0</v>
      </c>
      <c r="AC534" s="1774">
        <v>0</v>
      </c>
      <c r="AD534" s="1773">
        <v>0</v>
      </c>
      <c r="AE534" s="1773">
        <v>0</v>
      </c>
      <c r="AF534" s="1773">
        <v>0</v>
      </c>
      <c r="AG534" s="1773">
        <v>0</v>
      </c>
      <c r="AH534" s="1773">
        <v>0</v>
      </c>
      <c r="AI534" s="1774">
        <v>0</v>
      </c>
    </row>
    <row r="535" spans="1:35" ht="14.5">
      <c r="A535" s="990">
        <v>712</v>
      </c>
      <c r="B535" s="990">
        <v>1</v>
      </c>
      <c r="C535" s="990">
        <v>535</v>
      </c>
      <c r="E535" s="1463" t="s">
        <v>1521</v>
      </c>
      <c r="F535" s="1459"/>
      <c r="G535" s="24"/>
      <c r="I535" s="106"/>
      <c r="J535" s="105"/>
      <c r="K535" s="74"/>
      <c r="L535" s="74"/>
      <c r="M535" s="75"/>
      <c r="N535" s="377" t="s">
        <v>903</v>
      </c>
      <c r="O535" s="377"/>
      <c r="P535" s="377"/>
      <c r="Q535" s="2042"/>
      <c r="R535" s="2042"/>
      <c r="S535" s="2042"/>
      <c r="T535" s="2042"/>
      <c r="U535" s="2042"/>
      <c r="V535" s="2042"/>
      <c r="W535" s="2042"/>
      <c r="X535" s="2042"/>
      <c r="Y535" s="2042"/>
      <c r="Z535" s="2042"/>
      <c r="AA535" s="2042"/>
      <c r="AB535" s="2042"/>
      <c r="AC535" s="376">
        <v>0</v>
      </c>
      <c r="AD535" s="109">
        <v>0</v>
      </c>
      <c r="AE535" s="109">
        <v>0</v>
      </c>
      <c r="AF535" s="109">
        <v>0</v>
      </c>
      <c r="AG535" s="109">
        <v>0</v>
      </c>
      <c r="AH535" s="109">
        <v>0</v>
      </c>
      <c r="AI535" s="376">
        <v>0</v>
      </c>
    </row>
    <row r="536" spans="1:35" ht="14.5">
      <c r="A536" s="990">
        <v>713</v>
      </c>
      <c r="B536" s="990">
        <v>1</v>
      </c>
      <c r="C536" s="990">
        <v>536</v>
      </c>
      <c r="E536" s="1463" t="s">
        <v>1521</v>
      </c>
      <c r="F536" s="1459"/>
      <c r="G536" s="24"/>
      <c r="I536" s="106"/>
      <c r="J536" s="105"/>
      <c r="K536" s="74"/>
      <c r="L536" s="74"/>
      <c r="M536" s="75"/>
      <c r="N536" s="75" t="s">
        <v>904</v>
      </c>
      <c r="O536" s="75"/>
      <c r="P536" s="75"/>
      <c r="Q536" s="2036"/>
      <c r="R536" s="2036"/>
      <c r="S536" s="2036"/>
      <c r="T536" s="2036"/>
      <c r="U536" s="2036"/>
      <c r="V536" s="2036"/>
      <c r="W536" s="2036"/>
      <c r="X536" s="2036"/>
      <c r="Y536" s="2036"/>
      <c r="Z536" s="2036"/>
      <c r="AA536" s="2036"/>
      <c r="AB536" s="2036"/>
      <c r="AC536" s="100">
        <v>0</v>
      </c>
      <c r="AD536" s="19">
        <v>0</v>
      </c>
      <c r="AE536" s="19">
        <v>0</v>
      </c>
      <c r="AF536" s="19">
        <v>0</v>
      </c>
      <c r="AG536" s="19">
        <v>0</v>
      </c>
      <c r="AH536" s="19">
        <v>0</v>
      </c>
      <c r="AI536" s="100">
        <v>0</v>
      </c>
    </row>
    <row r="537" spans="1:35" ht="14.5">
      <c r="A537" s="990">
        <v>714</v>
      </c>
      <c r="B537" s="990">
        <v>1</v>
      </c>
      <c r="C537" s="990">
        <v>537</v>
      </c>
      <c r="E537" s="1463" t="s">
        <v>1521</v>
      </c>
      <c r="F537" s="1459"/>
      <c r="G537" s="24"/>
      <c r="I537" s="106"/>
      <c r="J537" s="105"/>
      <c r="K537" s="74"/>
      <c r="L537" s="74"/>
      <c r="M537" s="75"/>
      <c r="N537" s="75" t="s">
        <v>905</v>
      </c>
      <c r="O537" s="75"/>
      <c r="P537" s="75"/>
      <c r="Q537" s="2036"/>
      <c r="R537" s="2036"/>
      <c r="S537" s="2036"/>
      <c r="T537" s="2036"/>
      <c r="U537" s="2036"/>
      <c r="V537" s="2036"/>
      <c r="W537" s="2036"/>
      <c r="X537" s="2036"/>
      <c r="Y537" s="2036"/>
      <c r="Z537" s="2036"/>
      <c r="AA537" s="2036"/>
      <c r="AB537" s="2036"/>
      <c r="AC537" s="100">
        <v>0</v>
      </c>
      <c r="AD537" s="19">
        <v>0</v>
      </c>
      <c r="AE537" s="19">
        <v>0</v>
      </c>
      <c r="AF537" s="19">
        <v>0</v>
      </c>
      <c r="AG537" s="19">
        <v>0</v>
      </c>
      <c r="AH537" s="19">
        <v>0</v>
      </c>
      <c r="AI537" s="100">
        <v>0</v>
      </c>
    </row>
    <row r="538" spans="1:35" ht="14.5">
      <c r="A538" s="990">
        <v>715</v>
      </c>
      <c r="B538" s="990">
        <v>1</v>
      </c>
      <c r="C538" s="990">
        <v>538</v>
      </c>
      <c r="E538" s="1463" t="s">
        <v>1521</v>
      </c>
      <c r="F538" s="1459"/>
      <c r="G538" s="24"/>
      <c r="I538" s="106"/>
      <c r="J538" s="105"/>
      <c r="K538" s="74"/>
      <c r="L538" s="74"/>
      <c r="M538" s="276"/>
      <c r="N538" s="276" t="s">
        <v>906</v>
      </c>
      <c r="O538" s="276"/>
      <c r="P538" s="276"/>
      <c r="Q538" s="2037"/>
      <c r="R538" s="2037"/>
      <c r="S538" s="2037"/>
      <c r="T538" s="2037"/>
      <c r="U538" s="2037"/>
      <c r="V538" s="2037"/>
      <c r="W538" s="2037"/>
      <c r="X538" s="2037"/>
      <c r="Y538" s="2037"/>
      <c r="Z538" s="2037"/>
      <c r="AA538" s="2037"/>
      <c r="AB538" s="2037"/>
      <c r="AC538" s="99">
        <v>0</v>
      </c>
      <c r="AD538" s="17">
        <v>0</v>
      </c>
      <c r="AE538" s="17">
        <v>0</v>
      </c>
      <c r="AF538" s="17">
        <v>0</v>
      </c>
      <c r="AG538" s="17">
        <v>0</v>
      </c>
      <c r="AH538" s="17">
        <v>0</v>
      </c>
      <c r="AI538" s="99">
        <v>0</v>
      </c>
    </row>
    <row r="539" spans="1:35" ht="14.5">
      <c r="A539" s="990">
        <v>721</v>
      </c>
      <c r="B539" s="990">
        <v>1</v>
      </c>
      <c r="C539" s="990">
        <v>539</v>
      </c>
      <c r="E539" s="1463" t="s">
        <v>1521</v>
      </c>
      <c r="F539" s="1459"/>
      <c r="G539" s="24"/>
      <c r="I539" s="106"/>
      <c r="J539" s="105"/>
      <c r="K539" s="69" t="s">
        <v>1023</v>
      </c>
      <c r="L539" s="69"/>
      <c r="M539" s="389" t="s">
        <v>275</v>
      </c>
      <c r="N539" s="72"/>
      <c r="O539" s="72"/>
      <c r="P539" s="72"/>
      <c r="Q539" s="2036"/>
      <c r="R539" s="2040"/>
      <c r="S539" s="2036"/>
      <c r="T539" s="2036"/>
      <c r="U539" s="2036"/>
      <c r="V539" s="2036"/>
      <c r="W539" s="2036"/>
      <c r="X539" s="2036"/>
      <c r="Y539" s="2036"/>
      <c r="Z539" s="2036"/>
      <c r="AA539" s="2036"/>
      <c r="AB539" s="2036"/>
      <c r="AC539" s="1776">
        <v>0</v>
      </c>
      <c r="AD539" s="1775">
        <v>0</v>
      </c>
      <c r="AE539" s="1775">
        <v>0</v>
      </c>
      <c r="AF539" s="1775">
        <v>0</v>
      </c>
      <c r="AG539" s="1775">
        <v>0</v>
      </c>
      <c r="AH539" s="1775">
        <v>0</v>
      </c>
      <c r="AI539" s="1776">
        <v>0</v>
      </c>
    </row>
    <row r="540" spans="1:35" ht="14.5">
      <c r="A540" s="990">
        <v>1</v>
      </c>
      <c r="B540" s="990">
        <v>1</v>
      </c>
      <c r="C540" s="990">
        <v>540</v>
      </c>
      <c r="E540" s="1463" t="s">
        <v>1521</v>
      </c>
      <c r="F540" s="1459"/>
      <c r="I540" s="115" t="s">
        <v>134</v>
      </c>
      <c r="J540" s="792"/>
      <c r="K540" s="793"/>
      <c r="L540" s="793"/>
      <c r="M540" s="792"/>
      <c r="N540" s="792"/>
      <c r="O540" s="792"/>
      <c r="P540" s="792"/>
      <c r="Q540" s="2133">
        <v>0</v>
      </c>
      <c r="R540" s="116">
        <v>0</v>
      </c>
      <c r="S540" s="116">
        <v>0</v>
      </c>
      <c r="T540" s="116">
        <v>0</v>
      </c>
      <c r="U540" s="116">
        <v>0</v>
      </c>
      <c r="V540" s="116">
        <v>0</v>
      </c>
      <c r="W540" s="116">
        <v>0</v>
      </c>
      <c r="X540" s="116">
        <v>0</v>
      </c>
      <c r="Y540" s="116">
        <v>0</v>
      </c>
      <c r="Z540" s="116">
        <v>0</v>
      </c>
      <c r="AA540" s="116">
        <v>0</v>
      </c>
      <c r="AB540" s="116">
        <v>0</v>
      </c>
      <c r="AC540" s="116">
        <v>0</v>
      </c>
      <c r="AD540" s="116">
        <v>0</v>
      </c>
      <c r="AE540" s="116">
        <v>0</v>
      </c>
      <c r="AF540" s="116">
        <v>0</v>
      </c>
      <c r="AG540" s="116">
        <v>0</v>
      </c>
      <c r="AH540" s="116">
        <v>0</v>
      </c>
      <c r="AI540" s="116">
        <v>0</v>
      </c>
    </row>
    <row r="541" spans="1:35" ht="14.5">
      <c r="A541" s="990">
        <v>744</v>
      </c>
      <c r="B541" s="990">
        <v>1</v>
      </c>
      <c r="C541" s="990">
        <v>541</v>
      </c>
      <c r="E541" s="1463" t="s">
        <v>1521</v>
      </c>
      <c r="F541" s="1459"/>
      <c r="G541" s="24"/>
      <c r="I541" s="106"/>
      <c r="J541" s="105"/>
      <c r="K541" s="74" t="s">
        <v>1022</v>
      </c>
      <c r="L541" s="74"/>
      <c r="M541" s="357" t="s">
        <v>275</v>
      </c>
      <c r="N541" s="1772"/>
      <c r="O541" s="1772"/>
      <c r="P541" s="1772"/>
      <c r="Q541" s="1773">
        <v>0</v>
      </c>
      <c r="R541" s="1773">
        <v>0</v>
      </c>
      <c r="S541" s="1773">
        <v>0</v>
      </c>
      <c r="T541" s="1773">
        <v>0</v>
      </c>
      <c r="U541" s="1773">
        <v>0</v>
      </c>
      <c r="V541" s="1773">
        <v>0</v>
      </c>
      <c r="W541" s="1773">
        <v>0</v>
      </c>
      <c r="X541" s="1773">
        <v>0</v>
      </c>
      <c r="Y541" s="1773">
        <v>0</v>
      </c>
      <c r="Z541" s="1773">
        <v>0</v>
      </c>
      <c r="AA541" s="1773">
        <v>0</v>
      </c>
      <c r="AB541" s="1773">
        <v>0</v>
      </c>
      <c r="AC541" s="1774">
        <v>0</v>
      </c>
      <c r="AD541" s="1773">
        <v>0</v>
      </c>
      <c r="AE541" s="1773">
        <v>0</v>
      </c>
      <c r="AF541" s="1773">
        <v>0</v>
      </c>
      <c r="AG541" s="1773">
        <v>0</v>
      </c>
      <c r="AH541" s="1773">
        <v>0</v>
      </c>
      <c r="AI541" s="1774">
        <v>0</v>
      </c>
    </row>
    <row r="542" spans="1:35" ht="14.5">
      <c r="A542" s="990">
        <v>745</v>
      </c>
      <c r="B542" s="990">
        <v>1</v>
      </c>
      <c r="C542" s="990">
        <v>542</v>
      </c>
      <c r="E542" s="1463" t="s">
        <v>1521</v>
      </c>
      <c r="F542" s="1459"/>
      <c r="G542" s="24"/>
      <c r="I542" s="106"/>
      <c r="J542" s="105"/>
      <c r="K542" s="74"/>
      <c r="L542" s="74"/>
      <c r="M542" s="75"/>
      <c r="N542" s="377" t="s">
        <v>903</v>
      </c>
      <c r="O542" s="377"/>
      <c r="P542" s="377"/>
      <c r="Q542" s="2042"/>
      <c r="R542" s="2042"/>
      <c r="S542" s="2042"/>
      <c r="T542" s="2042"/>
      <c r="U542" s="2042"/>
      <c r="V542" s="2042"/>
      <c r="W542" s="2042"/>
      <c r="X542" s="2042"/>
      <c r="Y542" s="2042"/>
      <c r="Z542" s="2042"/>
      <c r="AA542" s="2042"/>
      <c r="AB542" s="2042"/>
      <c r="AC542" s="376">
        <v>0</v>
      </c>
      <c r="AD542" s="109">
        <v>0</v>
      </c>
      <c r="AE542" s="109">
        <v>0</v>
      </c>
      <c r="AF542" s="109">
        <v>0</v>
      </c>
      <c r="AG542" s="109">
        <v>0</v>
      </c>
      <c r="AH542" s="109">
        <v>0</v>
      </c>
      <c r="AI542" s="376">
        <v>0</v>
      </c>
    </row>
    <row r="543" spans="1:35" ht="14.5">
      <c r="A543" s="990">
        <v>746</v>
      </c>
      <c r="B543" s="990">
        <v>1</v>
      </c>
      <c r="C543" s="990">
        <v>543</v>
      </c>
      <c r="E543" s="1463" t="s">
        <v>1521</v>
      </c>
      <c r="F543" s="1459"/>
      <c r="G543" s="24"/>
      <c r="I543" s="106"/>
      <c r="J543" s="105"/>
      <c r="K543" s="74"/>
      <c r="L543" s="74"/>
      <c r="M543" s="75"/>
      <c r="N543" s="75" t="s">
        <v>904</v>
      </c>
      <c r="O543" s="75"/>
      <c r="P543" s="75"/>
      <c r="Q543" s="2036"/>
      <c r="R543" s="2036"/>
      <c r="S543" s="2036"/>
      <c r="T543" s="2036"/>
      <c r="U543" s="2036"/>
      <c r="V543" s="2036"/>
      <c r="W543" s="2036"/>
      <c r="X543" s="2036"/>
      <c r="Y543" s="2036"/>
      <c r="Z543" s="2036"/>
      <c r="AA543" s="2036"/>
      <c r="AB543" s="2036"/>
      <c r="AC543" s="100">
        <v>0</v>
      </c>
      <c r="AD543" s="19">
        <v>0</v>
      </c>
      <c r="AE543" s="19">
        <v>0</v>
      </c>
      <c r="AF543" s="19">
        <v>0</v>
      </c>
      <c r="AG543" s="19">
        <v>0</v>
      </c>
      <c r="AH543" s="19">
        <v>0</v>
      </c>
      <c r="AI543" s="100">
        <v>0</v>
      </c>
    </row>
    <row r="544" spans="1:35" ht="14.5">
      <c r="A544" s="990">
        <v>747</v>
      </c>
      <c r="B544" s="990">
        <v>1</v>
      </c>
      <c r="C544" s="990">
        <v>544</v>
      </c>
      <c r="E544" s="1463" t="s">
        <v>1521</v>
      </c>
      <c r="F544" s="1459"/>
      <c r="G544" s="24"/>
      <c r="I544" s="106"/>
      <c r="J544" s="105"/>
      <c r="K544" s="74"/>
      <c r="L544" s="74"/>
      <c r="M544" s="75"/>
      <c r="N544" s="75" t="s">
        <v>905</v>
      </c>
      <c r="O544" s="75"/>
      <c r="P544" s="75"/>
      <c r="Q544" s="2036"/>
      <c r="R544" s="2036"/>
      <c r="S544" s="2036"/>
      <c r="T544" s="2036"/>
      <c r="U544" s="2036"/>
      <c r="V544" s="2036"/>
      <c r="W544" s="2036"/>
      <c r="X544" s="2036"/>
      <c r="Y544" s="2036"/>
      <c r="Z544" s="2036"/>
      <c r="AA544" s="2036"/>
      <c r="AB544" s="2036"/>
      <c r="AC544" s="100">
        <v>0</v>
      </c>
      <c r="AD544" s="19">
        <v>0</v>
      </c>
      <c r="AE544" s="19">
        <v>0</v>
      </c>
      <c r="AF544" s="19">
        <v>0</v>
      </c>
      <c r="AG544" s="19">
        <v>0</v>
      </c>
      <c r="AH544" s="19">
        <v>0</v>
      </c>
      <c r="AI544" s="100">
        <v>0</v>
      </c>
    </row>
    <row r="545" spans="1:35" ht="14.5">
      <c r="A545" s="990">
        <v>748</v>
      </c>
      <c r="B545" s="990">
        <v>1</v>
      </c>
      <c r="C545" s="990">
        <v>545</v>
      </c>
      <c r="E545" s="1463" t="s">
        <v>1521</v>
      </c>
      <c r="F545" s="1459"/>
      <c r="G545" s="24"/>
      <c r="I545" s="106"/>
      <c r="J545" s="105"/>
      <c r="K545" s="74"/>
      <c r="L545" s="74"/>
      <c r="M545" s="276"/>
      <c r="N545" s="276" t="s">
        <v>906</v>
      </c>
      <c r="O545" s="276"/>
      <c r="P545" s="276"/>
      <c r="Q545" s="2037"/>
      <c r="R545" s="2037"/>
      <c r="S545" s="2037"/>
      <c r="T545" s="2037"/>
      <c r="U545" s="2037"/>
      <c r="V545" s="2037"/>
      <c r="W545" s="2037"/>
      <c r="X545" s="2037"/>
      <c r="Y545" s="2037"/>
      <c r="Z545" s="2037"/>
      <c r="AA545" s="2037"/>
      <c r="AB545" s="2037"/>
      <c r="AC545" s="99">
        <v>0</v>
      </c>
      <c r="AD545" s="17">
        <v>0</v>
      </c>
      <c r="AE545" s="17">
        <v>0</v>
      </c>
      <c r="AF545" s="17">
        <v>0</v>
      </c>
      <c r="AG545" s="17">
        <v>0</v>
      </c>
      <c r="AH545" s="17">
        <v>0</v>
      </c>
      <c r="AI545" s="99">
        <v>0</v>
      </c>
    </row>
    <row r="546" spans="1:35" ht="14.5">
      <c r="A546" s="990">
        <v>754</v>
      </c>
      <c r="B546" s="990">
        <v>1</v>
      </c>
      <c r="C546" s="990">
        <v>546</v>
      </c>
      <c r="E546" s="1463" t="s">
        <v>1521</v>
      </c>
      <c r="F546" s="1459"/>
      <c r="G546" s="24"/>
      <c r="I546" s="104"/>
      <c r="J546" s="103"/>
      <c r="K546" s="68" t="s">
        <v>1023</v>
      </c>
      <c r="L546" s="68"/>
      <c r="M546" s="1777" t="s">
        <v>275</v>
      </c>
      <c r="N546" s="1778"/>
      <c r="O546" s="1778"/>
      <c r="P546" s="1778"/>
      <c r="Q546" s="2037"/>
      <c r="R546" s="2041"/>
      <c r="S546" s="2037"/>
      <c r="T546" s="2037"/>
      <c r="U546" s="2037"/>
      <c r="V546" s="2037"/>
      <c r="W546" s="2037"/>
      <c r="X546" s="2037"/>
      <c r="Y546" s="2037"/>
      <c r="Z546" s="2037"/>
      <c r="AA546" s="2037"/>
      <c r="AB546" s="2037"/>
      <c r="AC546" s="1780">
        <v>0</v>
      </c>
      <c r="AD546" s="1779">
        <v>0</v>
      </c>
      <c r="AE546" s="1779">
        <v>0</v>
      </c>
      <c r="AF546" s="1779">
        <v>0</v>
      </c>
      <c r="AG546" s="1779">
        <v>0</v>
      </c>
      <c r="AH546" s="1779">
        <v>0</v>
      </c>
      <c r="AI546" s="1780">
        <v>0</v>
      </c>
    </row>
    <row r="547" spans="1:35" ht="14.5">
      <c r="A547" s="990">
        <v>1</v>
      </c>
      <c r="B547" s="990">
        <v>1</v>
      </c>
      <c r="C547" s="990">
        <v>547</v>
      </c>
      <c r="E547" s="1243">
        <v>1</v>
      </c>
      <c r="I547" s="24"/>
      <c r="J547" s="75"/>
      <c r="K547" s="24"/>
      <c r="L547" s="24"/>
      <c r="M547" s="75"/>
      <c r="N547" s="1688" t="s">
        <v>1540</v>
      </c>
      <c r="O547" s="75"/>
      <c r="P547" s="75"/>
      <c r="Q547" s="2200"/>
      <c r="Z547" s="163"/>
      <c r="AA547" s="163"/>
      <c r="AB547" s="2201"/>
      <c r="AC547" s="163"/>
      <c r="AD547" s="163"/>
      <c r="AE547" s="163"/>
      <c r="AF547" s="163"/>
      <c r="AG547" s="163"/>
      <c r="AH547" s="163"/>
      <c r="AI547" s="868"/>
    </row>
    <row r="548" spans="1:35">
      <c r="A548" s="990">
        <v>486</v>
      </c>
      <c r="B548" s="990">
        <v>1</v>
      </c>
      <c r="C548" s="990">
        <v>548</v>
      </c>
      <c r="E548" s="1243">
        <v>1</v>
      </c>
      <c r="H548" s="24" t="s">
        <v>1035</v>
      </c>
      <c r="P548" s="291"/>
      <c r="Q548" s="2218"/>
      <c r="R548" s="2038"/>
      <c r="S548" s="2038"/>
      <c r="T548" s="2038"/>
      <c r="U548" s="2038"/>
      <c r="V548" s="2038"/>
      <c r="AA548" s="1"/>
      <c r="AB548" s="2209"/>
      <c r="AC548" s="1"/>
      <c r="AD548" s="1"/>
      <c r="AE548" s="1"/>
      <c r="AF548" s="1"/>
      <c r="AG548" s="1"/>
      <c r="AH548" s="1"/>
      <c r="AI548" s="1"/>
    </row>
    <row r="549" spans="1:35">
      <c r="A549" s="990">
        <v>487</v>
      </c>
      <c r="B549" s="990">
        <v>1</v>
      </c>
      <c r="C549" s="990">
        <v>549</v>
      </c>
      <c r="E549" s="1243">
        <v>1</v>
      </c>
      <c r="I549" s="84" t="s">
        <v>9</v>
      </c>
      <c r="J549" s="612"/>
      <c r="K549" s="796"/>
      <c r="L549" s="796"/>
      <c r="M549" s="612"/>
      <c r="N549" s="612"/>
      <c r="O549" s="612"/>
      <c r="P549" s="612"/>
      <c r="Q549" s="2639">
        <v>0</v>
      </c>
      <c r="R549" s="2051">
        <v>0</v>
      </c>
      <c r="S549" s="2051">
        <v>0</v>
      </c>
      <c r="T549" s="2051">
        <v>0</v>
      </c>
      <c r="U549" s="2051">
        <v>0</v>
      </c>
      <c r="V549" s="2051">
        <v>0</v>
      </c>
      <c r="W549" s="2051">
        <v>0</v>
      </c>
      <c r="X549" s="2051">
        <v>0</v>
      </c>
      <c r="Y549" s="2051">
        <v>0</v>
      </c>
      <c r="Z549" s="2051">
        <v>0</v>
      </c>
      <c r="AA549" s="2051">
        <v>0</v>
      </c>
      <c r="AB549" s="2051">
        <v>0</v>
      </c>
      <c r="AC549" s="2640">
        <v>0</v>
      </c>
      <c r="AD549" s="2051">
        <v>0</v>
      </c>
      <c r="AE549" s="2051">
        <v>0</v>
      </c>
      <c r="AF549" s="2051">
        <v>0</v>
      </c>
      <c r="AG549" s="2051">
        <v>0</v>
      </c>
      <c r="AH549" s="2051">
        <v>0</v>
      </c>
      <c r="AI549" s="2051">
        <v>0</v>
      </c>
    </row>
    <row r="550" spans="1:35">
      <c r="A550" s="990">
        <v>488</v>
      </c>
      <c r="B550" s="990">
        <v>1</v>
      </c>
      <c r="C550" s="990">
        <v>550</v>
      </c>
      <c r="E550" s="1243"/>
      <c r="I550" s="79"/>
      <c r="J550" s="78"/>
      <c r="K550" s="74" t="s">
        <v>1022</v>
      </c>
      <c r="L550" s="74"/>
      <c r="M550" s="357"/>
      <c r="N550" s="357"/>
      <c r="O550" s="357"/>
      <c r="P550" s="357"/>
      <c r="Q550" s="2064">
        <v>0</v>
      </c>
      <c r="R550" s="359">
        <v>0</v>
      </c>
      <c r="S550" s="359">
        <v>0</v>
      </c>
      <c r="T550" s="359">
        <v>0</v>
      </c>
      <c r="U550" s="359">
        <v>0</v>
      </c>
      <c r="V550" s="359">
        <v>0</v>
      </c>
      <c r="W550" s="359">
        <v>0</v>
      </c>
      <c r="X550" s="359">
        <v>0</v>
      </c>
      <c r="Y550" s="359">
        <v>0</v>
      </c>
      <c r="Z550" s="359">
        <v>0</v>
      </c>
      <c r="AA550" s="359">
        <v>0</v>
      </c>
      <c r="AB550" s="359">
        <v>0</v>
      </c>
      <c r="AC550" s="407">
        <v>0</v>
      </c>
      <c r="AD550" s="359">
        <v>0</v>
      </c>
      <c r="AE550" s="359">
        <v>0</v>
      </c>
      <c r="AF550" s="359">
        <v>0</v>
      </c>
      <c r="AG550" s="359">
        <v>0</v>
      </c>
      <c r="AH550" s="359">
        <v>0</v>
      </c>
      <c r="AI550" s="359">
        <v>0</v>
      </c>
    </row>
    <row r="551" spans="1:35">
      <c r="A551" s="990">
        <v>489</v>
      </c>
      <c r="B551" s="990">
        <v>1</v>
      </c>
      <c r="C551" s="990">
        <v>551</v>
      </c>
      <c r="E551" s="1243">
        <v>1</v>
      </c>
      <c r="I551" s="79"/>
      <c r="J551" s="78"/>
      <c r="K551" s="74"/>
      <c r="L551" s="74"/>
      <c r="M551" s="9" t="s">
        <v>137</v>
      </c>
      <c r="N551" s="363"/>
      <c r="O551" s="363"/>
      <c r="P551" s="363"/>
      <c r="Q551" s="2065">
        <v>0</v>
      </c>
      <c r="R551" s="365">
        <v>0</v>
      </c>
      <c r="S551" s="365">
        <v>0</v>
      </c>
      <c r="T551" s="365">
        <v>0</v>
      </c>
      <c r="U551" s="365">
        <v>0</v>
      </c>
      <c r="V551" s="365">
        <v>0</v>
      </c>
      <c r="W551" s="365">
        <v>0</v>
      </c>
      <c r="X551" s="365">
        <v>0</v>
      </c>
      <c r="Y551" s="365">
        <v>0</v>
      </c>
      <c r="Z551" s="365">
        <v>0</v>
      </c>
      <c r="AA551" s="365">
        <v>0</v>
      </c>
      <c r="AB551" s="365">
        <v>0</v>
      </c>
      <c r="AC551" s="408">
        <v>0</v>
      </c>
      <c r="AD551" s="365">
        <v>0</v>
      </c>
      <c r="AE551" s="365">
        <v>0</v>
      </c>
      <c r="AF551" s="365">
        <v>0</v>
      </c>
      <c r="AG551" s="365">
        <v>0</v>
      </c>
      <c r="AH551" s="365">
        <v>0</v>
      </c>
      <c r="AI551" s="365">
        <v>0</v>
      </c>
    </row>
    <row r="552" spans="1:35">
      <c r="A552" s="990">
        <v>490</v>
      </c>
      <c r="B552" s="990">
        <v>1</v>
      </c>
      <c r="C552" s="990">
        <v>552</v>
      </c>
      <c r="E552" s="1243">
        <v>1</v>
      </c>
      <c r="I552" s="79"/>
      <c r="J552" s="78"/>
      <c r="K552" s="74"/>
      <c r="L552" s="74"/>
      <c r="N552" s="111" t="s">
        <v>1021</v>
      </c>
      <c r="O552" s="111"/>
      <c r="P552" s="111"/>
      <c r="Q552" s="2055"/>
      <c r="R552" s="2042"/>
      <c r="S552" s="2042"/>
      <c r="T552" s="2042"/>
      <c r="U552" s="2042"/>
      <c r="V552" s="2042"/>
      <c r="W552" s="2042"/>
      <c r="X552" s="2042"/>
      <c r="Y552" s="2042"/>
      <c r="Z552" s="2042"/>
      <c r="AA552" s="2042"/>
      <c r="AB552" s="2042"/>
      <c r="AC552" s="376">
        <v>0</v>
      </c>
      <c r="AD552" s="109">
        <v>0</v>
      </c>
      <c r="AE552" s="109">
        <v>0</v>
      </c>
      <c r="AF552" s="109">
        <v>0</v>
      </c>
      <c r="AG552" s="109">
        <v>0</v>
      </c>
      <c r="AH552" s="109">
        <v>0</v>
      </c>
      <c r="AI552" s="109">
        <v>0</v>
      </c>
    </row>
    <row r="553" spans="1:35">
      <c r="A553" s="990">
        <v>491</v>
      </c>
      <c r="B553" s="990">
        <v>1</v>
      </c>
      <c r="C553" s="990">
        <v>553</v>
      </c>
      <c r="E553" s="1243">
        <v>1</v>
      </c>
      <c r="I553" s="79"/>
      <c r="J553" s="78"/>
      <c r="K553" s="74"/>
      <c r="L553" s="74"/>
      <c r="N553" s="12" t="s">
        <v>146</v>
      </c>
      <c r="O553" s="12"/>
      <c r="P553" s="12"/>
      <c r="Q553" s="2041"/>
      <c r="R553" s="2037"/>
      <c r="S553" s="2037"/>
      <c r="T553" s="2037"/>
      <c r="U553" s="2037"/>
      <c r="V553" s="2037"/>
      <c r="W553" s="2037"/>
      <c r="X553" s="2037"/>
      <c r="Y553" s="2037"/>
      <c r="Z553" s="2037"/>
      <c r="AA553" s="2037"/>
      <c r="AB553" s="2037"/>
      <c r="AC553" s="99">
        <v>0</v>
      </c>
      <c r="AD553" s="17">
        <v>0</v>
      </c>
      <c r="AE553" s="17">
        <v>0</v>
      </c>
      <c r="AF553" s="17">
        <v>0</v>
      </c>
      <c r="AG553" s="17">
        <v>0</v>
      </c>
      <c r="AH553" s="17">
        <v>0</v>
      </c>
      <c r="AI553" s="17">
        <v>0</v>
      </c>
    </row>
    <row r="554" spans="1:35">
      <c r="A554" s="990">
        <v>492</v>
      </c>
      <c r="B554" s="990">
        <v>1</v>
      </c>
      <c r="C554" s="990">
        <v>554</v>
      </c>
      <c r="E554" s="1243">
        <v>1</v>
      </c>
      <c r="I554" s="79"/>
      <c r="J554" s="78"/>
      <c r="K554" s="74"/>
      <c r="L554" s="74"/>
      <c r="M554" s="596" t="s">
        <v>95</v>
      </c>
      <c r="N554" s="362"/>
      <c r="O554" s="362"/>
      <c r="P554" s="362"/>
      <c r="Q554" s="2054">
        <v>0</v>
      </c>
      <c r="R554" s="361">
        <v>0</v>
      </c>
      <c r="S554" s="361">
        <v>0</v>
      </c>
      <c r="T554" s="361">
        <v>0</v>
      </c>
      <c r="U554" s="361">
        <v>0</v>
      </c>
      <c r="V554" s="361">
        <v>0</v>
      </c>
      <c r="W554" s="361">
        <v>0</v>
      </c>
      <c r="X554" s="361">
        <v>0</v>
      </c>
      <c r="Y554" s="361">
        <v>0</v>
      </c>
      <c r="Z554" s="361">
        <v>0</v>
      </c>
      <c r="AA554" s="361">
        <v>0</v>
      </c>
      <c r="AB554" s="361">
        <v>0</v>
      </c>
      <c r="AC554" s="375">
        <v>0</v>
      </c>
      <c r="AD554" s="361">
        <v>0</v>
      </c>
      <c r="AE554" s="361">
        <v>0</v>
      </c>
      <c r="AF554" s="361">
        <v>0</v>
      </c>
      <c r="AG554" s="361">
        <v>0</v>
      </c>
      <c r="AH554" s="361">
        <v>0</v>
      </c>
      <c r="AI554" s="361">
        <v>0</v>
      </c>
    </row>
    <row r="555" spans="1:35">
      <c r="A555" s="990">
        <v>493</v>
      </c>
      <c r="B555" s="990">
        <v>1</v>
      </c>
      <c r="C555" s="990">
        <v>555</v>
      </c>
      <c r="E555" s="1243">
        <v>1</v>
      </c>
      <c r="I555" s="79"/>
      <c r="J555" s="78"/>
      <c r="K555" s="74"/>
      <c r="L555" s="74"/>
      <c r="N555" s="111" t="s">
        <v>1021</v>
      </c>
      <c r="O555" s="111"/>
      <c r="P555" s="1500"/>
      <c r="Q555" s="2219">
        <v>0</v>
      </c>
      <c r="R555" s="64">
        <v>0</v>
      </c>
      <c r="S555" s="64">
        <v>0</v>
      </c>
      <c r="T555" s="64">
        <v>0</v>
      </c>
      <c r="U555" s="64">
        <v>0</v>
      </c>
      <c r="V555" s="64">
        <v>0</v>
      </c>
      <c r="W555" s="64">
        <v>0</v>
      </c>
      <c r="X555" s="64">
        <v>0</v>
      </c>
      <c r="Y555" s="64">
        <v>0</v>
      </c>
      <c r="Z555" s="64">
        <v>0</v>
      </c>
      <c r="AA555" s="64">
        <v>0</v>
      </c>
      <c r="AB555" s="64">
        <v>0</v>
      </c>
      <c r="AC555" s="1545">
        <v>0</v>
      </c>
      <c r="AD555" s="64">
        <v>0</v>
      </c>
      <c r="AE555" s="64">
        <v>0</v>
      </c>
      <c r="AF555" s="64">
        <v>0</v>
      </c>
      <c r="AG555" s="64">
        <v>0</v>
      </c>
      <c r="AH555" s="64">
        <v>0</v>
      </c>
      <c r="AI555" s="64">
        <v>0</v>
      </c>
    </row>
    <row r="556" spans="1:35">
      <c r="A556" s="990">
        <v>494</v>
      </c>
      <c r="B556" s="990">
        <v>1</v>
      </c>
      <c r="C556" s="990">
        <v>556</v>
      </c>
      <c r="E556" s="1243">
        <v>1</v>
      </c>
      <c r="I556" s="79"/>
      <c r="J556" s="78"/>
      <c r="K556" s="74"/>
      <c r="L556" s="74"/>
      <c r="P556" s="111" t="s">
        <v>1081</v>
      </c>
      <c r="Q556" s="2055"/>
      <c r="R556" s="2042"/>
      <c r="S556" s="2042"/>
      <c r="T556" s="2042"/>
      <c r="U556" s="2042"/>
      <c r="V556" s="2042"/>
      <c r="W556" s="2042"/>
      <c r="X556" s="2042"/>
      <c r="Y556" s="2042"/>
      <c r="Z556" s="2042"/>
      <c r="AA556" s="2042"/>
      <c r="AB556" s="2042"/>
      <c r="AC556" s="376">
        <v>0</v>
      </c>
      <c r="AD556" s="109">
        <v>0</v>
      </c>
      <c r="AE556" s="109">
        <v>0</v>
      </c>
      <c r="AF556" s="109">
        <v>0</v>
      </c>
      <c r="AG556" s="109">
        <v>0</v>
      </c>
      <c r="AH556" s="109">
        <v>0</v>
      </c>
      <c r="AI556" s="109">
        <v>0</v>
      </c>
    </row>
    <row r="557" spans="1:35">
      <c r="A557" s="990">
        <v>495</v>
      </c>
      <c r="B557" s="990">
        <v>1</v>
      </c>
      <c r="C557" s="990">
        <v>557</v>
      </c>
      <c r="E557" s="1243">
        <v>1</v>
      </c>
      <c r="I557" s="79"/>
      <c r="J557" s="78"/>
      <c r="K557" s="74"/>
      <c r="L557" s="74"/>
      <c r="N557" s="363"/>
      <c r="O557" s="363"/>
      <c r="P557" s="363" t="s">
        <v>1082</v>
      </c>
      <c r="Q557" s="2220"/>
      <c r="R557" s="2052"/>
      <c r="S557" s="2052"/>
      <c r="T557" s="2052"/>
      <c r="U557" s="2052"/>
      <c r="V557" s="2052"/>
      <c r="W557" s="2052"/>
      <c r="X557" s="2052"/>
      <c r="Y557" s="2052"/>
      <c r="Z557" s="2052"/>
      <c r="AA557" s="2052"/>
      <c r="AB557" s="2052"/>
      <c r="AC557" s="408">
        <v>0</v>
      </c>
      <c r="AD557" s="365">
        <v>0</v>
      </c>
      <c r="AE557" s="365">
        <v>0</v>
      </c>
      <c r="AF557" s="365">
        <v>0</v>
      </c>
      <c r="AG557" s="365">
        <v>0</v>
      </c>
      <c r="AH557" s="365">
        <v>0</v>
      </c>
      <c r="AI557" s="365">
        <v>0</v>
      </c>
    </row>
    <row r="558" spans="1:35">
      <c r="A558" s="990">
        <v>496</v>
      </c>
      <c r="B558" s="990">
        <v>1</v>
      </c>
      <c r="C558" s="990">
        <v>558</v>
      </c>
      <c r="E558" s="1243">
        <v>1</v>
      </c>
      <c r="I558" s="79"/>
      <c r="J558" s="78"/>
      <c r="K558" s="74"/>
      <c r="L558" s="74"/>
      <c r="N558" s="366" t="s">
        <v>146</v>
      </c>
      <c r="O558" s="366"/>
      <c r="P558" s="366"/>
      <c r="Q558" s="2221"/>
      <c r="R558" s="2053"/>
      <c r="S558" s="2053"/>
      <c r="T558" s="2053"/>
      <c r="U558" s="2053"/>
      <c r="V558" s="2053"/>
      <c r="W558" s="2053"/>
      <c r="X558" s="2053"/>
      <c r="Y558" s="2053"/>
      <c r="Z558" s="2053"/>
      <c r="AA558" s="2053"/>
      <c r="AB558" s="2053"/>
      <c r="AC558" s="1546">
        <v>0</v>
      </c>
      <c r="AD558" s="368">
        <v>0</v>
      </c>
      <c r="AE558" s="368">
        <v>0</v>
      </c>
      <c r="AF558" s="368">
        <v>0</v>
      </c>
      <c r="AG558" s="368">
        <v>0</v>
      </c>
      <c r="AH558" s="368">
        <v>0</v>
      </c>
      <c r="AI558" s="368">
        <v>0</v>
      </c>
    </row>
    <row r="559" spans="1:35">
      <c r="A559" s="990">
        <v>497</v>
      </c>
      <c r="B559" s="990">
        <v>1</v>
      </c>
      <c r="C559" s="990">
        <v>559</v>
      </c>
      <c r="E559" s="1243">
        <v>1</v>
      </c>
      <c r="I559" s="79"/>
      <c r="J559" s="78"/>
      <c r="K559" s="74"/>
      <c r="L559" s="74"/>
      <c r="M559" s="596" t="s">
        <v>85</v>
      </c>
      <c r="N559" s="362"/>
      <c r="O559" s="362"/>
      <c r="P559" s="362"/>
      <c r="Q559" s="2054">
        <v>0</v>
      </c>
      <c r="R559" s="361">
        <v>0</v>
      </c>
      <c r="S559" s="361">
        <v>0</v>
      </c>
      <c r="T559" s="361">
        <v>0</v>
      </c>
      <c r="U559" s="361">
        <v>0</v>
      </c>
      <c r="V559" s="361">
        <v>0</v>
      </c>
      <c r="W559" s="361">
        <v>0</v>
      </c>
      <c r="X559" s="361">
        <v>0</v>
      </c>
      <c r="Y559" s="361">
        <v>0</v>
      </c>
      <c r="Z559" s="361">
        <v>0</v>
      </c>
      <c r="AA559" s="361">
        <v>0</v>
      </c>
      <c r="AB559" s="361">
        <v>0</v>
      </c>
      <c r="AC559" s="375">
        <v>0</v>
      </c>
      <c r="AD559" s="361">
        <v>0</v>
      </c>
      <c r="AE559" s="361">
        <v>0</v>
      </c>
      <c r="AF559" s="361">
        <v>0</v>
      </c>
      <c r="AG559" s="361">
        <v>0</v>
      </c>
      <c r="AH559" s="361">
        <v>0</v>
      </c>
      <c r="AI559" s="361">
        <v>0</v>
      </c>
    </row>
    <row r="560" spans="1:35">
      <c r="A560" s="990">
        <v>498</v>
      </c>
      <c r="B560" s="990">
        <v>1</v>
      </c>
      <c r="C560" s="990">
        <v>560</v>
      </c>
      <c r="E560" s="1243">
        <v>1</v>
      </c>
      <c r="I560" s="79"/>
      <c r="J560" s="78"/>
      <c r="K560" s="74"/>
      <c r="L560" s="74"/>
      <c r="N560" s="111"/>
      <c r="O560" s="111"/>
      <c r="P560" s="111" t="s">
        <v>30</v>
      </c>
      <c r="Q560" s="2055"/>
      <c r="R560" s="2042"/>
      <c r="S560" s="2042"/>
      <c r="T560" s="2042"/>
      <c r="U560" s="2042"/>
      <c r="V560" s="2042"/>
      <c r="W560" s="2042"/>
      <c r="X560" s="2042"/>
      <c r="Y560" s="2042"/>
      <c r="Z560" s="2042"/>
      <c r="AA560" s="2042"/>
      <c r="AB560" s="2042"/>
      <c r="AC560" s="376">
        <v>0</v>
      </c>
      <c r="AD560" s="109">
        <v>0</v>
      </c>
      <c r="AE560" s="109">
        <v>0</v>
      </c>
      <c r="AF560" s="109">
        <v>0</v>
      </c>
      <c r="AG560" s="109">
        <v>0</v>
      </c>
      <c r="AH560" s="109">
        <v>0</v>
      </c>
      <c r="AI560" s="109">
        <v>0</v>
      </c>
    </row>
    <row r="561" spans="1:35">
      <c r="A561" s="990">
        <v>499</v>
      </c>
      <c r="B561" s="990">
        <v>1</v>
      </c>
      <c r="C561" s="990">
        <v>561</v>
      </c>
      <c r="E561" s="1243">
        <v>1</v>
      </c>
      <c r="I561" s="79"/>
      <c r="J561" s="78"/>
      <c r="K561" s="74"/>
      <c r="L561" s="74"/>
      <c r="P561" s="9" t="s">
        <v>1092</v>
      </c>
      <c r="Q561" s="2040"/>
      <c r="R561" s="2036"/>
      <c r="S561" s="2036"/>
      <c r="T561" s="2036"/>
      <c r="U561" s="2036"/>
      <c r="V561" s="2036"/>
      <c r="W561" s="2036"/>
      <c r="X561" s="2036"/>
      <c r="Y561" s="2036"/>
      <c r="Z561" s="2036"/>
      <c r="AA561" s="2036"/>
      <c r="AB561" s="2036"/>
      <c r="AC561" s="100">
        <v>0</v>
      </c>
      <c r="AD561" s="19">
        <v>0</v>
      </c>
      <c r="AE561" s="19">
        <v>0</v>
      </c>
      <c r="AF561" s="19">
        <v>0</v>
      </c>
      <c r="AG561" s="19">
        <v>0</v>
      </c>
      <c r="AH561" s="19">
        <v>0</v>
      </c>
      <c r="AI561" s="19">
        <v>0</v>
      </c>
    </row>
    <row r="562" spans="1:35">
      <c r="A562" s="990">
        <v>500</v>
      </c>
      <c r="B562" s="990">
        <v>1</v>
      </c>
      <c r="C562" s="990">
        <v>562</v>
      </c>
      <c r="E562" s="1243">
        <v>1</v>
      </c>
      <c r="I562" s="79"/>
      <c r="J562" s="78"/>
      <c r="K562" s="74"/>
      <c r="L562" s="74"/>
      <c r="P562" s="9" t="s">
        <v>1093</v>
      </c>
      <c r="Q562" s="2040"/>
      <c r="R562" s="2036"/>
      <c r="S562" s="2036"/>
      <c r="T562" s="2036"/>
      <c r="U562" s="2036"/>
      <c r="V562" s="2036"/>
      <c r="W562" s="2036"/>
      <c r="X562" s="2036"/>
      <c r="Y562" s="2036"/>
      <c r="Z562" s="2036"/>
      <c r="AA562" s="2036"/>
      <c r="AB562" s="2036"/>
      <c r="AC562" s="100">
        <v>0</v>
      </c>
      <c r="AD562" s="19">
        <v>0</v>
      </c>
      <c r="AE562" s="19">
        <v>0</v>
      </c>
      <c r="AF562" s="19">
        <v>0</v>
      </c>
      <c r="AG562" s="19">
        <v>0</v>
      </c>
      <c r="AH562" s="19">
        <v>0</v>
      </c>
      <c r="AI562" s="19">
        <v>0</v>
      </c>
    </row>
    <row r="563" spans="1:35">
      <c r="A563" s="990">
        <v>501</v>
      </c>
      <c r="B563" s="990">
        <v>1</v>
      </c>
      <c r="C563" s="990">
        <v>563</v>
      </c>
      <c r="E563" s="1243">
        <v>1</v>
      </c>
      <c r="I563" s="79"/>
      <c r="J563" s="78"/>
      <c r="K563" s="74"/>
      <c r="L563" s="74"/>
      <c r="N563" s="12"/>
      <c r="O563" s="12"/>
      <c r="P563" s="12" t="s">
        <v>11</v>
      </c>
      <c r="Q563" s="2041"/>
      <c r="R563" s="2037"/>
      <c r="S563" s="2037"/>
      <c r="T563" s="2037"/>
      <c r="U563" s="2037"/>
      <c r="V563" s="2037"/>
      <c r="W563" s="2037"/>
      <c r="X563" s="2037"/>
      <c r="Y563" s="2037"/>
      <c r="Z563" s="2037"/>
      <c r="AA563" s="2037"/>
      <c r="AB563" s="2037"/>
      <c r="AC563" s="99">
        <v>0</v>
      </c>
      <c r="AD563" s="17">
        <v>0</v>
      </c>
      <c r="AE563" s="17">
        <v>0</v>
      </c>
      <c r="AF563" s="17">
        <v>0</v>
      </c>
      <c r="AG563" s="17">
        <v>0</v>
      </c>
      <c r="AH563" s="17">
        <v>0</v>
      </c>
      <c r="AI563" s="17">
        <v>0</v>
      </c>
    </row>
    <row r="564" spans="1:35">
      <c r="A564" s="990">
        <v>502</v>
      </c>
      <c r="B564" s="990">
        <v>1</v>
      </c>
      <c r="C564" s="990">
        <v>564</v>
      </c>
      <c r="E564" s="1243">
        <v>1</v>
      </c>
      <c r="I564" s="79"/>
      <c r="J564" s="78"/>
      <c r="K564" s="74"/>
      <c r="L564" s="74"/>
      <c r="M564" s="2343" t="s">
        <v>11</v>
      </c>
      <c r="N564" s="12"/>
      <c r="O564" s="12"/>
      <c r="P564" s="12"/>
      <c r="Q564" s="2088"/>
      <c r="R564" s="2037"/>
      <c r="S564" s="2037"/>
      <c r="T564" s="2037"/>
      <c r="U564" s="2037"/>
      <c r="V564" s="2037"/>
      <c r="W564" s="2037"/>
      <c r="X564" s="2037"/>
      <c r="Y564" s="2037"/>
      <c r="Z564" s="2037"/>
      <c r="AA564" s="2037"/>
      <c r="AB564" s="2037"/>
      <c r="AC564" s="99">
        <v>0</v>
      </c>
      <c r="AD564" s="17">
        <v>0</v>
      </c>
      <c r="AE564" s="17">
        <v>0</v>
      </c>
      <c r="AF564" s="17">
        <v>0</v>
      </c>
      <c r="AG564" s="17">
        <v>0</v>
      </c>
      <c r="AH564" s="17">
        <v>0</v>
      </c>
      <c r="AI564" s="17">
        <v>0</v>
      </c>
    </row>
    <row r="565" spans="1:35">
      <c r="A565" s="990">
        <v>503</v>
      </c>
      <c r="B565" s="990">
        <v>1</v>
      </c>
      <c r="C565" s="990">
        <v>565</v>
      </c>
      <c r="E565" s="1243">
        <v>1</v>
      </c>
      <c r="I565" s="79"/>
      <c r="J565" s="78"/>
      <c r="K565" s="794" t="s">
        <v>1023</v>
      </c>
      <c r="L565" s="794"/>
      <c r="M565" s="610"/>
      <c r="N565" s="610"/>
      <c r="O565" s="610"/>
      <c r="P565" s="610"/>
      <c r="Q565" s="2056">
        <v>0</v>
      </c>
      <c r="R565" s="2056">
        <v>0</v>
      </c>
      <c r="S565" s="2056">
        <v>0</v>
      </c>
      <c r="T565" s="2056">
        <v>0</v>
      </c>
      <c r="U565" s="2056">
        <v>0</v>
      </c>
      <c r="V565" s="2056">
        <v>0</v>
      </c>
      <c r="W565" s="2056">
        <v>0</v>
      </c>
      <c r="X565" s="2056">
        <v>0</v>
      </c>
      <c r="Y565" s="2056">
        <v>0</v>
      </c>
      <c r="Z565" s="2056">
        <v>0</v>
      </c>
      <c r="AA565" s="2056">
        <v>0</v>
      </c>
      <c r="AB565" s="2056">
        <v>0</v>
      </c>
      <c r="AC565" s="2546">
        <v>0</v>
      </c>
      <c r="AD565" s="2056">
        <v>0</v>
      </c>
      <c r="AE565" s="2056">
        <v>0</v>
      </c>
      <c r="AF565" s="2056">
        <v>0</v>
      </c>
      <c r="AG565" s="2056">
        <v>0</v>
      </c>
      <c r="AH565" s="2056">
        <v>0</v>
      </c>
      <c r="AI565" s="2056">
        <v>0</v>
      </c>
    </row>
    <row r="566" spans="1:35">
      <c r="A566" s="990">
        <v>504</v>
      </c>
      <c r="B566" s="990">
        <v>1</v>
      </c>
      <c r="C566" s="990">
        <v>566</v>
      </c>
      <c r="E566" s="1243">
        <v>1</v>
      </c>
      <c r="I566" s="79"/>
      <c r="J566" s="78"/>
      <c r="K566" s="69"/>
      <c r="L566" s="69"/>
      <c r="M566" s="9" t="s">
        <v>137</v>
      </c>
      <c r="N566" s="363"/>
      <c r="O566" s="363"/>
      <c r="P566" s="363"/>
      <c r="Q566" s="2065">
        <v>0</v>
      </c>
      <c r="R566" s="365">
        <v>0</v>
      </c>
      <c r="S566" s="365">
        <v>0</v>
      </c>
      <c r="T566" s="365">
        <v>0</v>
      </c>
      <c r="U566" s="365">
        <v>0</v>
      </c>
      <c r="V566" s="365">
        <v>0</v>
      </c>
      <c r="W566" s="365">
        <v>0</v>
      </c>
      <c r="X566" s="365">
        <v>0</v>
      </c>
      <c r="Y566" s="365">
        <v>0</v>
      </c>
      <c r="Z566" s="365">
        <v>0</v>
      </c>
      <c r="AA566" s="365">
        <v>0</v>
      </c>
      <c r="AB566" s="365">
        <v>0</v>
      </c>
      <c r="AC566" s="408">
        <v>0</v>
      </c>
      <c r="AD566" s="365">
        <v>0</v>
      </c>
      <c r="AE566" s="365">
        <v>0</v>
      </c>
      <c r="AF566" s="365">
        <v>0</v>
      </c>
      <c r="AG566" s="365">
        <v>0</v>
      </c>
      <c r="AH566" s="365">
        <v>0</v>
      </c>
      <c r="AI566" s="365">
        <v>0</v>
      </c>
    </row>
    <row r="567" spans="1:35">
      <c r="A567" s="990">
        <v>505</v>
      </c>
      <c r="B567" s="990">
        <v>1</v>
      </c>
      <c r="C567" s="990">
        <v>567</v>
      </c>
      <c r="E567" s="1243">
        <v>1</v>
      </c>
      <c r="I567" s="79"/>
      <c r="J567" s="78"/>
      <c r="K567" s="69"/>
      <c r="L567" s="69"/>
      <c r="N567" s="111" t="s">
        <v>1021</v>
      </c>
      <c r="O567" s="111"/>
      <c r="P567" s="111"/>
      <c r="Q567" s="2055"/>
      <c r="R567" s="2042"/>
      <c r="S567" s="2042"/>
      <c r="T567" s="2042"/>
      <c r="U567" s="2042"/>
      <c r="V567" s="2042"/>
      <c r="W567" s="2042"/>
      <c r="X567" s="2042"/>
      <c r="Y567" s="2042"/>
      <c r="Z567" s="2042"/>
      <c r="AA567" s="2042"/>
      <c r="AB567" s="2042"/>
      <c r="AC567" s="376">
        <v>0</v>
      </c>
      <c r="AD567" s="109">
        <v>0</v>
      </c>
      <c r="AE567" s="109">
        <v>0</v>
      </c>
      <c r="AF567" s="109">
        <v>0</v>
      </c>
      <c r="AG567" s="109">
        <v>0</v>
      </c>
      <c r="AH567" s="109">
        <v>0</v>
      </c>
      <c r="AI567" s="109">
        <v>0</v>
      </c>
    </row>
    <row r="568" spans="1:35">
      <c r="A568" s="990">
        <v>506</v>
      </c>
      <c r="B568" s="990">
        <v>1</v>
      </c>
      <c r="C568" s="990">
        <v>568</v>
      </c>
      <c r="E568" s="1243">
        <v>1</v>
      </c>
      <c r="I568" s="79"/>
      <c r="J568" s="78"/>
      <c r="K568" s="69"/>
      <c r="L568" s="69"/>
      <c r="N568" s="12" t="s">
        <v>146</v>
      </c>
      <c r="O568" s="12"/>
      <c r="P568" s="12"/>
      <c r="Q568" s="2041"/>
      <c r="R568" s="2037"/>
      <c r="S568" s="2037"/>
      <c r="T568" s="2037"/>
      <c r="U568" s="2037"/>
      <c r="V568" s="2037"/>
      <c r="W568" s="2037"/>
      <c r="X568" s="2037"/>
      <c r="Y568" s="2037"/>
      <c r="Z568" s="2037"/>
      <c r="AA568" s="2037"/>
      <c r="AB568" s="2037"/>
      <c r="AC568" s="99">
        <v>0</v>
      </c>
      <c r="AD568" s="17">
        <v>0</v>
      </c>
      <c r="AE568" s="17">
        <v>0</v>
      </c>
      <c r="AF568" s="17">
        <v>0</v>
      </c>
      <c r="AG568" s="17">
        <v>0</v>
      </c>
      <c r="AH568" s="17">
        <v>0</v>
      </c>
      <c r="AI568" s="17">
        <v>0</v>
      </c>
    </row>
    <row r="569" spans="1:35">
      <c r="A569" s="990">
        <v>507</v>
      </c>
      <c r="B569" s="990">
        <v>1</v>
      </c>
      <c r="C569" s="990">
        <v>569</v>
      </c>
      <c r="E569" s="1243">
        <v>1</v>
      </c>
      <c r="I569" s="79"/>
      <c r="J569" s="78"/>
      <c r="K569" s="69"/>
      <c r="L569" s="69"/>
      <c r="M569" s="596" t="s">
        <v>95</v>
      </c>
      <c r="N569" s="362"/>
      <c r="O569" s="362"/>
      <c r="P569" s="362"/>
      <c r="Q569" s="2054">
        <v>0</v>
      </c>
      <c r="R569" s="361">
        <v>0</v>
      </c>
      <c r="S569" s="361">
        <v>0</v>
      </c>
      <c r="T569" s="361">
        <v>0</v>
      </c>
      <c r="U569" s="361">
        <v>0</v>
      </c>
      <c r="V569" s="361">
        <v>0</v>
      </c>
      <c r="W569" s="361">
        <v>0</v>
      </c>
      <c r="X569" s="361">
        <v>0</v>
      </c>
      <c r="Y569" s="361">
        <v>0</v>
      </c>
      <c r="Z569" s="361">
        <v>0</v>
      </c>
      <c r="AA569" s="361">
        <v>0</v>
      </c>
      <c r="AB569" s="361">
        <v>0</v>
      </c>
      <c r="AC569" s="375">
        <v>0</v>
      </c>
      <c r="AD569" s="361">
        <v>0</v>
      </c>
      <c r="AE569" s="361">
        <v>0</v>
      </c>
      <c r="AF569" s="361">
        <v>0</v>
      </c>
      <c r="AG569" s="361">
        <v>0</v>
      </c>
      <c r="AH569" s="361">
        <v>0</v>
      </c>
      <c r="AI569" s="361">
        <v>0</v>
      </c>
    </row>
    <row r="570" spans="1:35">
      <c r="A570" s="990">
        <v>508</v>
      </c>
      <c r="B570" s="990">
        <v>1</v>
      </c>
      <c r="C570" s="990">
        <v>570</v>
      </c>
      <c r="E570" s="1243">
        <v>1</v>
      </c>
      <c r="I570" s="79"/>
      <c r="J570" s="78"/>
      <c r="K570" s="69"/>
      <c r="L570" s="69"/>
      <c r="N570" s="111" t="s">
        <v>1021</v>
      </c>
      <c r="O570" s="111"/>
      <c r="P570" s="1500"/>
      <c r="Q570" s="2219">
        <v>0</v>
      </c>
      <c r="R570" s="64">
        <v>0</v>
      </c>
      <c r="S570" s="64">
        <v>0</v>
      </c>
      <c r="T570" s="64">
        <v>0</v>
      </c>
      <c r="U570" s="64">
        <v>0</v>
      </c>
      <c r="V570" s="64">
        <v>0</v>
      </c>
      <c r="W570" s="64">
        <v>0</v>
      </c>
      <c r="X570" s="64">
        <v>0</v>
      </c>
      <c r="Y570" s="64">
        <v>0</v>
      </c>
      <c r="Z570" s="64">
        <v>0</v>
      </c>
      <c r="AA570" s="64">
        <v>0</v>
      </c>
      <c r="AB570" s="64">
        <v>0</v>
      </c>
      <c r="AC570" s="1545">
        <v>0</v>
      </c>
      <c r="AD570" s="64">
        <v>0</v>
      </c>
      <c r="AE570" s="64">
        <v>0</v>
      </c>
      <c r="AF570" s="64">
        <v>0</v>
      </c>
      <c r="AG570" s="64">
        <v>0</v>
      </c>
      <c r="AH570" s="64">
        <v>0</v>
      </c>
      <c r="AI570" s="64">
        <v>0</v>
      </c>
    </row>
    <row r="571" spans="1:35">
      <c r="A571" s="990">
        <v>509</v>
      </c>
      <c r="B571" s="990">
        <v>1</v>
      </c>
      <c r="C571" s="990">
        <v>571</v>
      </c>
      <c r="E571" s="1243">
        <v>1</v>
      </c>
      <c r="I571" s="79"/>
      <c r="J571" s="78"/>
      <c r="K571" s="69"/>
      <c r="L571" s="69"/>
      <c r="P571" s="111" t="s">
        <v>1083</v>
      </c>
      <c r="Q571" s="2055"/>
      <c r="R571" s="2042"/>
      <c r="S571" s="2042"/>
      <c r="T571" s="2042"/>
      <c r="U571" s="2042"/>
      <c r="V571" s="2042"/>
      <c r="W571" s="2042"/>
      <c r="X571" s="2042"/>
      <c r="Y571" s="2042"/>
      <c r="Z571" s="2042"/>
      <c r="AA571" s="2042"/>
      <c r="AB571" s="2042"/>
      <c r="AC571" s="376">
        <v>0</v>
      </c>
      <c r="AD571" s="109">
        <v>0</v>
      </c>
      <c r="AE571" s="109">
        <v>0</v>
      </c>
      <c r="AF571" s="109">
        <v>0</v>
      </c>
      <c r="AG571" s="109">
        <v>0</v>
      </c>
      <c r="AH571" s="109">
        <v>0</v>
      </c>
      <c r="AI571" s="109">
        <v>0</v>
      </c>
    </row>
    <row r="572" spans="1:35">
      <c r="A572" s="990">
        <v>510</v>
      </c>
      <c r="B572" s="990">
        <v>1</v>
      </c>
      <c r="C572" s="990">
        <v>572</v>
      </c>
      <c r="E572" s="1243">
        <v>1</v>
      </c>
      <c r="I572" s="79"/>
      <c r="J572" s="78"/>
      <c r="K572" s="69"/>
      <c r="L572" s="69"/>
      <c r="N572" s="363"/>
      <c r="O572" s="363"/>
      <c r="P572" s="363" t="s">
        <v>1084</v>
      </c>
      <c r="Q572" s="2220"/>
      <c r="R572" s="2052"/>
      <c r="S572" s="2052"/>
      <c r="T572" s="2052"/>
      <c r="U572" s="2052"/>
      <c r="V572" s="2052"/>
      <c r="W572" s="2052"/>
      <c r="X572" s="2052"/>
      <c r="Y572" s="2052"/>
      <c r="Z572" s="2052"/>
      <c r="AA572" s="2052"/>
      <c r="AB572" s="2052"/>
      <c r="AC572" s="408">
        <v>0</v>
      </c>
      <c r="AD572" s="365">
        <v>0</v>
      </c>
      <c r="AE572" s="365">
        <v>0</v>
      </c>
      <c r="AF572" s="365">
        <v>0</v>
      </c>
      <c r="AG572" s="365">
        <v>0</v>
      </c>
      <c r="AH572" s="365">
        <v>0</v>
      </c>
      <c r="AI572" s="365">
        <v>0</v>
      </c>
    </row>
    <row r="573" spans="1:35">
      <c r="A573" s="990">
        <v>511</v>
      </c>
      <c r="B573" s="990">
        <v>1</v>
      </c>
      <c r="C573" s="990">
        <v>573</v>
      </c>
      <c r="E573" s="1243">
        <v>1</v>
      </c>
      <c r="I573" s="79"/>
      <c r="J573" s="78"/>
      <c r="K573" s="69"/>
      <c r="L573" s="69"/>
      <c r="N573" s="366" t="s">
        <v>146</v>
      </c>
      <c r="O573" s="366"/>
      <c r="P573" s="366"/>
      <c r="Q573" s="2221"/>
      <c r="R573" s="2053"/>
      <c r="S573" s="2053"/>
      <c r="T573" s="2053"/>
      <c r="U573" s="2053"/>
      <c r="V573" s="2053"/>
      <c r="W573" s="2053"/>
      <c r="X573" s="2053"/>
      <c r="Y573" s="2053"/>
      <c r="Z573" s="2053"/>
      <c r="AA573" s="2053"/>
      <c r="AB573" s="2053"/>
      <c r="AC573" s="1546">
        <v>0</v>
      </c>
      <c r="AD573" s="368">
        <v>0</v>
      </c>
      <c r="AE573" s="368">
        <v>0</v>
      </c>
      <c r="AF573" s="368">
        <v>0</v>
      </c>
      <c r="AG573" s="368">
        <v>0</v>
      </c>
      <c r="AH573" s="368">
        <v>0</v>
      </c>
      <c r="AI573" s="368">
        <v>0</v>
      </c>
    </row>
    <row r="574" spans="1:35">
      <c r="A574" s="990">
        <v>512</v>
      </c>
      <c r="B574" s="990">
        <v>1</v>
      </c>
      <c r="C574" s="990">
        <v>574</v>
      </c>
      <c r="E574" s="1243">
        <v>1</v>
      </c>
      <c r="I574" s="79"/>
      <c r="J574" s="78"/>
      <c r="K574" s="69"/>
      <c r="L574" s="69"/>
      <c r="M574" s="596" t="s">
        <v>85</v>
      </c>
      <c r="N574" s="362"/>
      <c r="O574" s="362"/>
      <c r="P574" s="362"/>
      <c r="Q574" s="2054">
        <v>0</v>
      </c>
      <c r="R574" s="361">
        <v>0</v>
      </c>
      <c r="S574" s="361">
        <v>0</v>
      </c>
      <c r="T574" s="361">
        <v>0</v>
      </c>
      <c r="U574" s="361">
        <v>0</v>
      </c>
      <c r="V574" s="361">
        <v>0</v>
      </c>
      <c r="W574" s="361">
        <v>0</v>
      </c>
      <c r="X574" s="361">
        <v>0</v>
      </c>
      <c r="Y574" s="361">
        <v>0</v>
      </c>
      <c r="Z574" s="361">
        <v>0</v>
      </c>
      <c r="AA574" s="361">
        <v>0</v>
      </c>
      <c r="AB574" s="361">
        <v>0</v>
      </c>
      <c r="AC574" s="375">
        <v>0</v>
      </c>
      <c r="AD574" s="361">
        <v>0</v>
      </c>
      <c r="AE574" s="361">
        <v>0</v>
      </c>
      <c r="AF574" s="361">
        <v>0</v>
      </c>
      <c r="AG574" s="361">
        <v>0</v>
      </c>
      <c r="AH574" s="361">
        <v>0</v>
      </c>
      <c r="AI574" s="361">
        <v>0</v>
      </c>
    </row>
    <row r="575" spans="1:35">
      <c r="A575" s="990">
        <v>513</v>
      </c>
      <c r="B575" s="990">
        <v>1</v>
      </c>
      <c r="C575" s="990">
        <v>575</v>
      </c>
      <c r="E575" s="1243">
        <v>1</v>
      </c>
      <c r="I575" s="79"/>
      <c r="J575" s="78"/>
      <c r="K575" s="69"/>
      <c r="L575" s="69"/>
      <c r="N575" s="111"/>
      <c r="O575" s="111"/>
      <c r="P575" s="111" t="s">
        <v>30</v>
      </c>
      <c r="Q575" s="2055"/>
      <c r="R575" s="2042"/>
      <c r="S575" s="2042"/>
      <c r="T575" s="2042"/>
      <c r="U575" s="2042"/>
      <c r="V575" s="2042"/>
      <c r="W575" s="2042"/>
      <c r="X575" s="2042"/>
      <c r="Y575" s="2042"/>
      <c r="Z575" s="2042"/>
      <c r="AA575" s="2042"/>
      <c r="AB575" s="2042"/>
      <c r="AC575" s="376">
        <v>0</v>
      </c>
      <c r="AD575" s="109">
        <v>0</v>
      </c>
      <c r="AE575" s="109">
        <v>0</v>
      </c>
      <c r="AF575" s="109">
        <v>0</v>
      </c>
      <c r="AG575" s="109">
        <v>0</v>
      </c>
      <c r="AH575" s="109">
        <v>0</v>
      </c>
      <c r="AI575" s="109">
        <v>0</v>
      </c>
    </row>
    <row r="576" spans="1:35">
      <c r="A576" s="990">
        <v>514</v>
      </c>
      <c r="B576" s="990">
        <v>1</v>
      </c>
      <c r="C576" s="990">
        <v>576</v>
      </c>
      <c r="E576" s="1243">
        <v>1</v>
      </c>
      <c r="I576" s="79"/>
      <c r="J576" s="78"/>
      <c r="K576" s="69"/>
      <c r="L576" s="69"/>
      <c r="P576" s="9" t="s">
        <v>1092</v>
      </c>
      <c r="Q576" s="2040"/>
      <c r="R576" s="2036"/>
      <c r="S576" s="2036"/>
      <c r="T576" s="2036"/>
      <c r="U576" s="2036"/>
      <c r="V576" s="2036"/>
      <c r="W576" s="2036"/>
      <c r="X576" s="2036"/>
      <c r="Y576" s="2036"/>
      <c r="Z576" s="2036"/>
      <c r="AA576" s="2036"/>
      <c r="AB576" s="2036"/>
      <c r="AC576" s="100">
        <v>0</v>
      </c>
      <c r="AD576" s="19">
        <v>0</v>
      </c>
      <c r="AE576" s="19">
        <v>0</v>
      </c>
      <c r="AF576" s="19">
        <v>0</v>
      </c>
      <c r="AG576" s="19">
        <v>0</v>
      </c>
      <c r="AH576" s="19">
        <v>0</v>
      </c>
      <c r="AI576" s="19">
        <v>0</v>
      </c>
    </row>
    <row r="577" spans="1:35">
      <c r="A577" s="990">
        <v>515</v>
      </c>
      <c r="B577" s="990">
        <v>1</v>
      </c>
      <c r="C577" s="990">
        <v>577</v>
      </c>
      <c r="E577" s="1243">
        <v>1</v>
      </c>
      <c r="I577" s="79"/>
      <c r="J577" s="78"/>
      <c r="K577" s="69"/>
      <c r="L577" s="69"/>
      <c r="P577" s="9" t="s">
        <v>1093</v>
      </c>
      <c r="Q577" s="2040"/>
      <c r="R577" s="2036"/>
      <c r="S577" s="2036"/>
      <c r="T577" s="2036"/>
      <c r="U577" s="2036"/>
      <c r="V577" s="2036"/>
      <c r="W577" s="2036"/>
      <c r="X577" s="2036"/>
      <c r="Y577" s="2036"/>
      <c r="Z577" s="2036"/>
      <c r="AA577" s="2036"/>
      <c r="AB577" s="2036"/>
      <c r="AC577" s="100">
        <v>0</v>
      </c>
      <c r="AD577" s="19">
        <v>0</v>
      </c>
      <c r="AE577" s="19">
        <v>0</v>
      </c>
      <c r="AF577" s="19">
        <v>0</v>
      </c>
      <c r="AG577" s="19">
        <v>0</v>
      </c>
      <c r="AH577" s="19">
        <v>0</v>
      </c>
      <c r="AI577" s="19">
        <v>0</v>
      </c>
    </row>
    <row r="578" spans="1:35">
      <c r="A578" s="990">
        <v>516</v>
      </c>
      <c r="B578" s="990">
        <v>1</v>
      </c>
      <c r="C578" s="990">
        <v>578</v>
      </c>
      <c r="E578" s="1243">
        <v>1</v>
      </c>
      <c r="I578" s="79"/>
      <c r="J578" s="78"/>
      <c r="K578" s="69"/>
      <c r="L578" s="69"/>
      <c r="N578" s="12"/>
      <c r="O578" s="12"/>
      <c r="P578" s="12" t="s">
        <v>11</v>
      </c>
      <c r="Q578" s="2041"/>
      <c r="R578" s="2037"/>
      <c r="S578" s="2037"/>
      <c r="T578" s="2037"/>
      <c r="U578" s="2037"/>
      <c r="V578" s="2037"/>
      <c r="W578" s="2037"/>
      <c r="X578" s="2037"/>
      <c r="Y578" s="2037"/>
      <c r="Z578" s="2037"/>
      <c r="AA578" s="2037"/>
      <c r="AB578" s="2037"/>
      <c r="AC578" s="99">
        <v>0</v>
      </c>
      <c r="AD578" s="17">
        <v>0</v>
      </c>
      <c r="AE578" s="17">
        <v>0</v>
      </c>
      <c r="AF578" s="17">
        <v>0</v>
      </c>
      <c r="AG578" s="17">
        <v>0</v>
      </c>
      <c r="AH578" s="17">
        <v>0</v>
      </c>
      <c r="AI578" s="17">
        <v>0</v>
      </c>
    </row>
    <row r="579" spans="1:35">
      <c r="A579" s="990">
        <v>517</v>
      </c>
      <c r="B579" s="990">
        <v>1</v>
      </c>
      <c r="C579" s="990">
        <v>579</v>
      </c>
      <c r="E579" s="1243">
        <v>1</v>
      </c>
      <c r="I579" s="79"/>
      <c r="J579" s="78"/>
      <c r="K579" s="68"/>
      <c r="L579" s="68"/>
      <c r="M579" s="2343" t="s">
        <v>11</v>
      </c>
      <c r="N579" s="12"/>
      <c r="O579" s="12"/>
      <c r="P579" s="12"/>
      <c r="Q579" s="2088"/>
      <c r="R579" s="2037"/>
      <c r="S579" s="2037"/>
      <c r="T579" s="2037"/>
      <c r="U579" s="2037"/>
      <c r="V579" s="2037"/>
      <c r="W579" s="2037"/>
      <c r="X579" s="2037"/>
      <c r="Y579" s="2037"/>
      <c r="Z579" s="2037"/>
      <c r="AA579" s="2037"/>
      <c r="AB579" s="2037"/>
      <c r="AC579" s="99">
        <v>0</v>
      </c>
      <c r="AD579" s="17">
        <v>0</v>
      </c>
      <c r="AE579" s="17">
        <v>0</v>
      </c>
      <c r="AF579" s="17">
        <v>0</v>
      </c>
      <c r="AG579" s="17">
        <v>0</v>
      </c>
      <c r="AH579" s="17">
        <v>0</v>
      </c>
      <c r="AI579" s="17">
        <v>0</v>
      </c>
    </row>
    <row r="580" spans="1:35">
      <c r="A580" s="990">
        <v>518</v>
      </c>
      <c r="B580" s="990">
        <v>1</v>
      </c>
      <c r="C580" s="990">
        <v>580</v>
      </c>
      <c r="E580" s="1243">
        <v>1</v>
      </c>
      <c r="I580" s="84" t="s">
        <v>134</v>
      </c>
      <c r="J580" s="612"/>
      <c r="K580" s="796"/>
      <c r="L580" s="796"/>
      <c r="M580" s="612"/>
      <c r="N580" s="612"/>
      <c r="O580" s="612"/>
      <c r="P580" s="612"/>
      <c r="Q580" s="2051">
        <v>0</v>
      </c>
      <c r="R580" s="2051">
        <v>0</v>
      </c>
      <c r="S580" s="2051">
        <v>0</v>
      </c>
      <c r="T580" s="2051">
        <v>0</v>
      </c>
      <c r="U580" s="2051">
        <v>0</v>
      </c>
      <c r="V580" s="2051">
        <v>0</v>
      </c>
      <c r="W580" s="2051">
        <v>0</v>
      </c>
      <c r="X580" s="2051">
        <v>0</v>
      </c>
      <c r="Y580" s="2051">
        <v>0</v>
      </c>
      <c r="Z580" s="2051">
        <v>0</v>
      </c>
      <c r="AA580" s="2051">
        <v>0</v>
      </c>
      <c r="AB580" s="2051">
        <v>0</v>
      </c>
      <c r="AC580" s="2640">
        <v>0</v>
      </c>
      <c r="AD580" s="2051">
        <v>0</v>
      </c>
      <c r="AE580" s="2051">
        <v>0</v>
      </c>
      <c r="AF580" s="2051">
        <v>0</v>
      </c>
      <c r="AG580" s="2051">
        <v>0</v>
      </c>
      <c r="AH580" s="2051">
        <v>0</v>
      </c>
      <c r="AI580" s="2051">
        <v>0</v>
      </c>
    </row>
    <row r="581" spans="1:35">
      <c r="A581" s="990">
        <v>519</v>
      </c>
      <c r="B581" s="990">
        <v>1</v>
      </c>
      <c r="C581" s="990">
        <v>581</v>
      </c>
      <c r="E581" s="1243">
        <v>1</v>
      </c>
      <c r="I581" s="79"/>
      <c r="J581" s="78"/>
      <c r="K581" s="74" t="s">
        <v>1022</v>
      </c>
      <c r="L581" s="74"/>
      <c r="M581" s="357"/>
      <c r="N581" s="357"/>
      <c r="O581" s="357"/>
      <c r="P581" s="357"/>
      <c r="Q581" s="359">
        <v>0</v>
      </c>
      <c r="R581" s="359">
        <v>0</v>
      </c>
      <c r="S581" s="359">
        <v>0</v>
      </c>
      <c r="T581" s="359">
        <v>0</v>
      </c>
      <c r="U581" s="359">
        <v>0</v>
      </c>
      <c r="V581" s="359">
        <v>0</v>
      </c>
      <c r="W581" s="359">
        <v>0</v>
      </c>
      <c r="X581" s="359">
        <v>0</v>
      </c>
      <c r="Y581" s="359">
        <v>0</v>
      </c>
      <c r="Z581" s="359">
        <v>0</v>
      </c>
      <c r="AA581" s="359">
        <v>0</v>
      </c>
      <c r="AB581" s="359">
        <v>0</v>
      </c>
      <c r="AC581" s="407">
        <v>0</v>
      </c>
      <c r="AD581" s="359">
        <v>0</v>
      </c>
      <c r="AE581" s="359">
        <v>0</v>
      </c>
      <c r="AF581" s="359">
        <v>0</v>
      </c>
      <c r="AG581" s="359">
        <v>0</v>
      </c>
      <c r="AH581" s="359">
        <v>0</v>
      </c>
      <c r="AI581" s="359">
        <v>0</v>
      </c>
    </row>
    <row r="582" spans="1:35">
      <c r="A582" s="990">
        <v>520</v>
      </c>
      <c r="B582" s="990">
        <v>1</v>
      </c>
      <c r="C582" s="990">
        <v>582</v>
      </c>
      <c r="E582" s="1243">
        <v>1</v>
      </c>
      <c r="I582" s="79"/>
      <c r="J582" s="78"/>
      <c r="K582" s="74"/>
      <c r="L582" s="74"/>
      <c r="M582" s="9" t="s">
        <v>137</v>
      </c>
      <c r="N582" s="363"/>
      <c r="O582" s="363"/>
      <c r="P582" s="363"/>
      <c r="Q582" s="2065">
        <v>0</v>
      </c>
      <c r="R582" s="365">
        <v>0</v>
      </c>
      <c r="S582" s="365">
        <v>0</v>
      </c>
      <c r="T582" s="365">
        <v>0</v>
      </c>
      <c r="U582" s="365">
        <v>0</v>
      </c>
      <c r="V582" s="365">
        <v>0</v>
      </c>
      <c r="W582" s="365">
        <v>0</v>
      </c>
      <c r="X582" s="365">
        <v>0</v>
      </c>
      <c r="Y582" s="365">
        <v>0</v>
      </c>
      <c r="Z582" s="365">
        <v>0</v>
      </c>
      <c r="AA582" s="365">
        <v>0</v>
      </c>
      <c r="AB582" s="365">
        <v>0</v>
      </c>
      <c r="AC582" s="408">
        <v>0</v>
      </c>
      <c r="AD582" s="365">
        <v>0</v>
      </c>
      <c r="AE582" s="365">
        <v>0</v>
      </c>
      <c r="AF582" s="365">
        <v>0</v>
      </c>
      <c r="AG582" s="365">
        <v>0</v>
      </c>
      <c r="AH582" s="365">
        <v>0</v>
      </c>
      <c r="AI582" s="365">
        <v>0</v>
      </c>
    </row>
    <row r="583" spans="1:35">
      <c r="A583" s="990">
        <v>521</v>
      </c>
      <c r="B583" s="990">
        <v>1</v>
      </c>
      <c r="C583" s="990">
        <v>583</v>
      </c>
      <c r="E583" s="1243">
        <v>1</v>
      </c>
      <c r="I583" s="79"/>
      <c r="J583" s="78"/>
      <c r="K583" s="74"/>
      <c r="L583" s="74"/>
      <c r="N583" s="111" t="s">
        <v>1021</v>
      </c>
      <c r="O583" s="111"/>
      <c r="P583" s="111"/>
      <c r="Q583" s="2055"/>
      <c r="R583" s="2042"/>
      <c r="S583" s="2042"/>
      <c r="T583" s="2042"/>
      <c r="U583" s="2042"/>
      <c r="V583" s="2042"/>
      <c r="W583" s="2042"/>
      <c r="X583" s="2042"/>
      <c r="Y583" s="2042"/>
      <c r="Z583" s="2042"/>
      <c r="AA583" s="2042"/>
      <c r="AB583" s="2042"/>
      <c r="AC583" s="376">
        <v>0</v>
      </c>
      <c r="AD583" s="109">
        <v>0</v>
      </c>
      <c r="AE583" s="109">
        <v>0</v>
      </c>
      <c r="AF583" s="109">
        <v>0</v>
      </c>
      <c r="AG583" s="109">
        <v>0</v>
      </c>
      <c r="AH583" s="109">
        <v>0</v>
      </c>
      <c r="AI583" s="109">
        <v>0</v>
      </c>
    </row>
    <row r="584" spans="1:35">
      <c r="A584" s="990">
        <v>522</v>
      </c>
      <c r="B584" s="990">
        <v>1</v>
      </c>
      <c r="C584" s="990">
        <v>584</v>
      </c>
      <c r="E584" s="1243">
        <v>1</v>
      </c>
      <c r="I584" s="79"/>
      <c r="J584" s="78"/>
      <c r="K584" s="74"/>
      <c r="L584" s="74"/>
      <c r="N584" s="12" t="s">
        <v>146</v>
      </c>
      <c r="O584" s="12"/>
      <c r="P584" s="12"/>
      <c r="Q584" s="2041"/>
      <c r="R584" s="2037"/>
      <c r="S584" s="2037"/>
      <c r="T584" s="2037"/>
      <c r="U584" s="2037"/>
      <c r="V584" s="2037"/>
      <c r="W584" s="2037"/>
      <c r="X584" s="2037"/>
      <c r="Y584" s="2037"/>
      <c r="Z584" s="2037"/>
      <c r="AA584" s="2037"/>
      <c r="AB584" s="2037"/>
      <c r="AC584" s="99">
        <v>0</v>
      </c>
      <c r="AD584" s="17">
        <v>0</v>
      </c>
      <c r="AE584" s="17">
        <v>0</v>
      </c>
      <c r="AF584" s="17">
        <v>0</v>
      </c>
      <c r="AG584" s="17">
        <v>0</v>
      </c>
      <c r="AH584" s="17">
        <v>0</v>
      </c>
      <c r="AI584" s="17">
        <v>0</v>
      </c>
    </row>
    <row r="585" spans="1:35">
      <c r="A585" s="990">
        <v>523</v>
      </c>
      <c r="B585" s="990">
        <v>1</v>
      </c>
      <c r="C585" s="990">
        <v>585</v>
      </c>
      <c r="E585" s="1243">
        <v>1</v>
      </c>
      <c r="I585" s="79"/>
      <c r="J585" s="78"/>
      <c r="K585" s="74"/>
      <c r="L585" s="74"/>
      <c r="M585" s="596" t="s">
        <v>95</v>
      </c>
      <c r="N585" s="362"/>
      <c r="O585" s="362"/>
      <c r="P585" s="362"/>
      <c r="Q585" s="2054">
        <v>0</v>
      </c>
      <c r="R585" s="361">
        <v>0</v>
      </c>
      <c r="S585" s="361">
        <v>0</v>
      </c>
      <c r="T585" s="361">
        <v>0</v>
      </c>
      <c r="U585" s="361">
        <v>0</v>
      </c>
      <c r="V585" s="361">
        <v>0</v>
      </c>
      <c r="W585" s="361">
        <v>0</v>
      </c>
      <c r="X585" s="361">
        <v>0</v>
      </c>
      <c r="Y585" s="361">
        <v>0</v>
      </c>
      <c r="Z585" s="361">
        <v>0</v>
      </c>
      <c r="AA585" s="361">
        <v>0</v>
      </c>
      <c r="AB585" s="361">
        <v>0</v>
      </c>
      <c r="AC585" s="375">
        <v>0</v>
      </c>
      <c r="AD585" s="361">
        <v>0</v>
      </c>
      <c r="AE585" s="361">
        <v>0</v>
      </c>
      <c r="AF585" s="361">
        <v>0</v>
      </c>
      <c r="AG585" s="361">
        <v>0</v>
      </c>
      <c r="AH585" s="361">
        <v>0</v>
      </c>
      <c r="AI585" s="361">
        <v>0</v>
      </c>
    </row>
    <row r="586" spans="1:35">
      <c r="A586" s="990">
        <v>524</v>
      </c>
      <c r="B586" s="990">
        <v>1</v>
      </c>
      <c r="C586" s="990">
        <v>586</v>
      </c>
      <c r="E586" s="1243">
        <v>1</v>
      </c>
      <c r="I586" s="79"/>
      <c r="J586" s="78"/>
      <c r="K586" s="74"/>
      <c r="L586" s="74"/>
      <c r="N586" s="111" t="s">
        <v>1021</v>
      </c>
      <c r="O586" s="111"/>
      <c r="P586" s="1500"/>
      <c r="Q586" s="2219">
        <v>0</v>
      </c>
      <c r="R586" s="64">
        <v>0</v>
      </c>
      <c r="S586" s="64">
        <v>0</v>
      </c>
      <c r="T586" s="64">
        <v>0</v>
      </c>
      <c r="U586" s="64">
        <v>0</v>
      </c>
      <c r="V586" s="64">
        <v>0</v>
      </c>
      <c r="W586" s="64">
        <v>0</v>
      </c>
      <c r="X586" s="64">
        <v>0</v>
      </c>
      <c r="Y586" s="64">
        <v>0</v>
      </c>
      <c r="Z586" s="64">
        <v>0</v>
      </c>
      <c r="AA586" s="64">
        <v>0</v>
      </c>
      <c r="AB586" s="64">
        <v>0</v>
      </c>
      <c r="AC586" s="1545">
        <v>0</v>
      </c>
      <c r="AD586" s="64">
        <v>0</v>
      </c>
      <c r="AE586" s="64">
        <v>0</v>
      </c>
      <c r="AF586" s="64">
        <v>0</v>
      </c>
      <c r="AG586" s="64">
        <v>0</v>
      </c>
      <c r="AH586" s="64">
        <v>0</v>
      </c>
      <c r="AI586" s="64">
        <v>0</v>
      </c>
    </row>
    <row r="587" spans="1:35">
      <c r="A587" s="990">
        <v>525</v>
      </c>
      <c r="B587" s="990">
        <v>1</v>
      </c>
      <c r="C587" s="990">
        <v>587</v>
      </c>
      <c r="E587" s="1243">
        <v>1</v>
      </c>
      <c r="I587" s="79"/>
      <c r="J587" s="78"/>
      <c r="K587" s="74"/>
      <c r="L587" s="74"/>
      <c r="P587" s="111" t="s">
        <v>1081</v>
      </c>
      <c r="Q587" s="2055"/>
      <c r="R587" s="2042"/>
      <c r="S587" s="2042"/>
      <c r="T587" s="2042"/>
      <c r="U587" s="2042"/>
      <c r="V587" s="2042"/>
      <c r="W587" s="2042"/>
      <c r="X587" s="2042"/>
      <c r="Y587" s="2042"/>
      <c r="Z587" s="2042"/>
      <c r="AA587" s="2042"/>
      <c r="AB587" s="2042"/>
      <c r="AC587" s="376">
        <v>0</v>
      </c>
      <c r="AD587" s="109">
        <v>0</v>
      </c>
      <c r="AE587" s="109">
        <v>0</v>
      </c>
      <c r="AF587" s="109">
        <v>0</v>
      </c>
      <c r="AG587" s="109">
        <v>0</v>
      </c>
      <c r="AH587" s="109">
        <v>0</v>
      </c>
      <c r="AI587" s="109">
        <v>0</v>
      </c>
    </row>
    <row r="588" spans="1:35">
      <c r="A588" s="990">
        <v>526</v>
      </c>
      <c r="B588" s="990">
        <v>1</v>
      </c>
      <c r="C588" s="990">
        <v>588</v>
      </c>
      <c r="E588" s="1243">
        <v>1</v>
      </c>
      <c r="I588" s="79"/>
      <c r="J588" s="78"/>
      <c r="K588" s="74"/>
      <c r="L588" s="74"/>
      <c r="N588" s="363"/>
      <c r="O588" s="363"/>
      <c r="P588" s="363" t="s">
        <v>1082</v>
      </c>
      <c r="Q588" s="2220"/>
      <c r="R588" s="2052"/>
      <c r="S588" s="2052"/>
      <c r="T588" s="2052"/>
      <c r="U588" s="2052"/>
      <c r="V588" s="2052"/>
      <c r="W588" s="2052"/>
      <c r="X588" s="2052"/>
      <c r="Y588" s="2052"/>
      <c r="Z588" s="2052"/>
      <c r="AA588" s="2052"/>
      <c r="AB588" s="2052"/>
      <c r="AC588" s="408">
        <v>0</v>
      </c>
      <c r="AD588" s="365">
        <v>0</v>
      </c>
      <c r="AE588" s="365">
        <v>0</v>
      </c>
      <c r="AF588" s="365">
        <v>0</v>
      </c>
      <c r="AG588" s="365">
        <v>0</v>
      </c>
      <c r="AH588" s="365">
        <v>0</v>
      </c>
      <c r="AI588" s="365">
        <v>0</v>
      </c>
    </row>
    <row r="589" spans="1:35">
      <c r="A589" s="990">
        <v>527</v>
      </c>
      <c r="B589" s="990">
        <v>1</v>
      </c>
      <c r="C589" s="990">
        <v>589</v>
      </c>
      <c r="E589" s="1243">
        <v>1</v>
      </c>
      <c r="I589" s="79"/>
      <c r="J589" s="78"/>
      <c r="K589" s="74"/>
      <c r="L589" s="74"/>
      <c r="N589" s="366" t="s">
        <v>146</v>
      </c>
      <c r="Q589" s="2036"/>
      <c r="R589" s="2036"/>
      <c r="S589" s="2036"/>
      <c r="T589" s="2036"/>
      <c r="U589" s="2036"/>
      <c r="V589" s="2036"/>
      <c r="W589" s="2036"/>
      <c r="X589" s="2036"/>
      <c r="Y589" s="2036"/>
      <c r="Z589" s="2036"/>
      <c r="AA589" s="2036"/>
      <c r="AB589" s="2036"/>
      <c r="AC589" s="100">
        <v>0</v>
      </c>
      <c r="AD589" s="19">
        <v>0</v>
      </c>
      <c r="AE589" s="19">
        <v>0</v>
      </c>
      <c r="AF589" s="19">
        <v>0</v>
      </c>
      <c r="AG589" s="19">
        <v>0</v>
      </c>
      <c r="AH589" s="19">
        <v>0</v>
      </c>
      <c r="AI589" s="19">
        <v>0</v>
      </c>
    </row>
    <row r="590" spans="1:35">
      <c r="A590" s="990">
        <v>528</v>
      </c>
      <c r="B590" s="990">
        <v>1</v>
      </c>
      <c r="C590" s="990">
        <v>590</v>
      </c>
      <c r="E590" s="1243">
        <v>1</v>
      </c>
      <c r="I590" s="79"/>
      <c r="J590" s="78"/>
      <c r="K590" s="74"/>
      <c r="L590" s="74"/>
      <c r="M590" s="273"/>
      <c r="N590" s="370" t="s">
        <v>1094</v>
      </c>
      <c r="O590" s="370"/>
      <c r="P590" s="370"/>
      <c r="Q590" s="361">
        <v>0</v>
      </c>
      <c r="R590" s="361">
        <v>0</v>
      </c>
      <c r="S590" s="361">
        <v>0</v>
      </c>
      <c r="T590" s="361">
        <v>0</v>
      </c>
      <c r="U590" s="361">
        <v>0</v>
      </c>
      <c r="V590" s="361">
        <v>0</v>
      </c>
      <c r="W590" s="361">
        <v>0</v>
      </c>
      <c r="X590" s="361">
        <v>0</v>
      </c>
      <c r="Y590" s="361">
        <v>0</v>
      </c>
      <c r="Z590" s="361">
        <v>0</v>
      </c>
      <c r="AA590" s="361">
        <v>0</v>
      </c>
      <c r="AB590" s="361">
        <v>0</v>
      </c>
      <c r="AC590" s="375">
        <v>0</v>
      </c>
      <c r="AD590" s="361">
        <v>0</v>
      </c>
      <c r="AE590" s="361">
        <v>0</v>
      </c>
      <c r="AF590" s="361">
        <v>0</v>
      </c>
      <c r="AG590" s="361">
        <v>0</v>
      </c>
      <c r="AH590" s="361">
        <v>0</v>
      </c>
      <c r="AI590" s="361">
        <v>0</v>
      </c>
    </row>
    <row r="591" spans="1:35">
      <c r="A591" s="990">
        <v>529</v>
      </c>
      <c r="B591" s="990">
        <v>1</v>
      </c>
      <c r="C591" s="990">
        <v>591</v>
      </c>
      <c r="E591" s="1243">
        <v>1</v>
      </c>
      <c r="I591" s="79"/>
      <c r="J591" s="78"/>
      <c r="K591" s="74"/>
      <c r="L591" s="74"/>
      <c r="M591" s="273"/>
      <c r="N591" s="371"/>
      <c r="O591" s="371"/>
      <c r="P591" s="371" t="s">
        <v>391</v>
      </c>
      <c r="Q591" s="2042"/>
      <c r="R591" s="2042"/>
      <c r="S591" s="2042"/>
      <c r="T591" s="2042"/>
      <c r="U591" s="2042"/>
      <c r="V591" s="2042"/>
      <c r="W591" s="2042"/>
      <c r="X591" s="2042"/>
      <c r="Y591" s="2042"/>
      <c r="Z591" s="2042"/>
      <c r="AA591" s="2042"/>
      <c r="AB591" s="2042"/>
      <c r="AC591" s="376">
        <v>0</v>
      </c>
      <c r="AD591" s="109">
        <v>0</v>
      </c>
      <c r="AE591" s="109">
        <v>0</v>
      </c>
      <c r="AF591" s="109">
        <v>0</v>
      </c>
      <c r="AG591" s="109">
        <v>0</v>
      </c>
      <c r="AH591" s="109">
        <v>0</v>
      </c>
      <c r="AI591" s="109">
        <v>0</v>
      </c>
    </row>
    <row r="592" spans="1:35">
      <c r="A592" s="990">
        <v>530</v>
      </c>
      <c r="B592" s="990">
        <v>1</v>
      </c>
      <c r="C592" s="990">
        <v>592</v>
      </c>
      <c r="E592" s="1243">
        <v>1</v>
      </c>
      <c r="I592" s="79"/>
      <c r="J592" s="78"/>
      <c r="K592" s="74"/>
      <c r="L592" s="74"/>
      <c r="M592" s="273"/>
      <c r="N592" s="299"/>
      <c r="O592" s="299"/>
      <c r="P592" s="299" t="s">
        <v>1086</v>
      </c>
      <c r="Q592" s="2036"/>
      <c r="R592" s="2036"/>
      <c r="S592" s="2036"/>
      <c r="T592" s="2036"/>
      <c r="U592" s="2036"/>
      <c r="V592" s="2036"/>
      <c r="W592" s="2036"/>
      <c r="X592" s="2036"/>
      <c r="Y592" s="2036"/>
      <c r="Z592" s="2036"/>
      <c r="AA592" s="2036"/>
      <c r="AB592" s="2036"/>
      <c r="AC592" s="100">
        <v>0</v>
      </c>
      <c r="AD592" s="19">
        <v>0</v>
      </c>
      <c r="AE592" s="19">
        <v>0</v>
      </c>
      <c r="AF592" s="19">
        <v>0</v>
      </c>
      <c r="AG592" s="19">
        <v>0</v>
      </c>
      <c r="AH592" s="19">
        <v>0</v>
      </c>
      <c r="AI592" s="19">
        <v>0</v>
      </c>
    </row>
    <row r="593" spans="1:35">
      <c r="A593" s="990">
        <v>531</v>
      </c>
      <c r="B593" s="990">
        <v>1</v>
      </c>
      <c r="C593" s="990">
        <v>593</v>
      </c>
      <c r="E593" s="1243">
        <v>1</v>
      </c>
      <c r="I593" s="79"/>
      <c r="J593" s="78"/>
      <c r="K593" s="74"/>
      <c r="L593" s="74"/>
      <c r="M593" s="273"/>
      <c r="N593" s="299"/>
      <c r="O593" s="299"/>
      <c r="P593" s="298" t="s">
        <v>393</v>
      </c>
      <c r="Q593" s="2037"/>
      <c r="R593" s="2037"/>
      <c r="S593" s="2037"/>
      <c r="T593" s="2037"/>
      <c r="U593" s="2037"/>
      <c r="V593" s="2037"/>
      <c r="W593" s="2037"/>
      <c r="X593" s="2037"/>
      <c r="Y593" s="2037"/>
      <c r="Z593" s="2037"/>
      <c r="AA593" s="2037"/>
      <c r="AB593" s="2037"/>
      <c r="AC593" s="99">
        <v>0</v>
      </c>
      <c r="AD593" s="17">
        <v>0</v>
      </c>
      <c r="AE593" s="17">
        <v>0</v>
      </c>
      <c r="AF593" s="17">
        <v>0</v>
      </c>
      <c r="AG593" s="17">
        <v>0</v>
      </c>
      <c r="AH593" s="17">
        <v>0</v>
      </c>
      <c r="AI593" s="17">
        <v>0</v>
      </c>
    </row>
    <row r="594" spans="1:35">
      <c r="A594" s="990">
        <v>532</v>
      </c>
      <c r="B594" s="990">
        <v>1</v>
      </c>
      <c r="C594" s="990">
        <v>594</v>
      </c>
      <c r="E594" s="1243">
        <v>1</v>
      </c>
      <c r="I594" s="79"/>
      <c r="J594" s="78"/>
      <c r="K594" s="74"/>
      <c r="L594" s="74"/>
      <c r="M594" s="273"/>
      <c r="N594" s="370" t="s">
        <v>1095</v>
      </c>
      <c r="O594" s="370"/>
      <c r="P594" s="370"/>
      <c r="Q594" s="361">
        <v>0</v>
      </c>
      <c r="R594" s="361">
        <v>0</v>
      </c>
      <c r="S594" s="361">
        <v>0</v>
      </c>
      <c r="T594" s="361">
        <v>0</v>
      </c>
      <c r="U594" s="361">
        <v>0</v>
      </c>
      <c r="V594" s="361">
        <v>0</v>
      </c>
      <c r="W594" s="361">
        <v>0</v>
      </c>
      <c r="X594" s="361">
        <v>0</v>
      </c>
      <c r="Y594" s="361">
        <v>0</v>
      </c>
      <c r="Z594" s="361">
        <v>0</v>
      </c>
      <c r="AA594" s="361">
        <v>0</v>
      </c>
      <c r="AB594" s="361">
        <v>0</v>
      </c>
      <c r="AC594" s="375">
        <v>0</v>
      </c>
      <c r="AD594" s="361">
        <v>0</v>
      </c>
      <c r="AE594" s="361">
        <v>0</v>
      </c>
      <c r="AF594" s="361">
        <v>0</v>
      </c>
      <c r="AG594" s="361">
        <v>0</v>
      </c>
      <c r="AH594" s="361">
        <v>0</v>
      </c>
      <c r="AI594" s="361">
        <v>0</v>
      </c>
    </row>
    <row r="595" spans="1:35">
      <c r="A595" s="990">
        <v>533</v>
      </c>
      <c r="B595" s="990">
        <v>1</v>
      </c>
      <c r="C595" s="990">
        <v>595</v>
      </c>
      <c r="E595" s="1243">
        <v>1</v>
      </c>
      <c r="I595" s="79"/>
      <c r="J595" s="78"/>
      <c r="K595" s="74"/>
      <c r="L595" s="74"/>
      <c r="M595" s="273"/>
      <c r="N595" s="372"/>
      <c r="O595" s="371"/>
      <c r="P595" s="371" t="s">
        <v>391</v>
      </c>
      <c r="Q595" s="2042"/>
      <c r="R595" s="2042"/>
      <c r="S595" s="2042"/>
      <c r="T595" s="2042"/>
      <c r="U595" s="2042"/>
      <c r="V595" s="2042"/>
      <c r="W595" s="2042"/>
      <c r="X595" s="2042"/>
      <c r="Y595" s="2042"/>
      <c r="Z595" s="2042"/>
      <c r="AA595" s="2042"/>
      <c r="AB595" s="2042"/>
      <c r="AC595" s="376">
        <v>0</v>
      </c>
      <c r="AD595" s="109">
        <v>0</v>
      </c>
      <c r="AE595" s="109">
        <v>0</v>
      </c>
      <c r="AF595" s="109">
        <v>0</v>
      </c>
      <c r="AG595" s="109">
        <v>0</v>
      </c>
      <c r="AH595" s="109">
        <v>0</v>
      </c>
      <c r="AI595" s="109">
        <v>0</v>
      </c>
    </row>
    <row r="596" spans="1:35">
      <c r="A596" s="990">
        <v>534</v>
      </c>
      <c r="B596" s="990">
        <v>1</v>
      </c>
      <c r="C596" s="990">
        <v>596</v>
      </c>
      <c r="E596" s="1243">
        <v>1</v>
      </c>
      <c r="I596" s="79"/>
      <c r="J596" s="78"/>
      <c r="K596" s="74"/>
      <c r="L596" s="74"/>
      <c r="M596" s="273"/>
      <c r="N596" s="300"/>
      <c r="O596" s="298"/>
      <c r="P596" s="298" t="s">
        <v>393</v>
      </c>
      <c r="Q596" s="2037"/>
      <c r="R596" s="2037"/>
      <c r="S596" s="2037"/>
      <c r="T596" s="2037"/>
      <c r="U596" s="2037"/>
      <c r="V596" s="2037"/>
      <c r="W596" s="2037"/>
      <c r="X596" s="2037"/>
      <c r="Y596" s="2037"/>
      <c r="Z596" s="2037"/>
      <c r="AA596" s="2037"/>
      <c r="AB596" s="2037"/>
      <c r="AC596" s="99">
        <v>0</v>
      </c>
      <c r="AD596" s="17">
        <v>0</v>
      </c>
      <c r="AE596" s="17">
        <v>0</v>
      </c>
      <c r="AF596" s="17">
        <v>0</v>
      </c>
      <c r="AG596" s="17">
        <v>0</v>
      </c>
      <c r="AH596" s="17">
        <v>0</v>
      </c>
      <c r="AI596" s="17">
        <v>0</v>
      </c>
    </row>
    <row r="597" spans="1:35">
      <c r="A597" s="990">
        <v>535</v>
      </c>
      <c r="B597" s="990">
        <v>1</v>
      </c>
      <c r="C597" s="990">
        <v>597</v>
      </c>
      <c r="E597" s="1243">
        <v>1</v>
      </c>
      <c r="I597" s="79"/>
      <c r="J597" s="78"/>
      <c r="K597" s="74"/>
      <c r="L597" s="74"/>
      <c r="M597" s="273"/>
      <c r="N597" s="400" t="s">
        <v>1088</v>
      </c>
      <c r="O597" s="299"/>
      <c r="P597" s="299"/>
      <c r="Q597" s="2036"/>
      <c r="R597" s="2036"/>
      <c r="S597" s="2036"/>
      <c r="T597" s="2036"/>
      <c r="U597" s="2036"/>
      <c r="V597" s="2036"/>
      <c r="W597" s="2036"/>
      <c r="X597" s="2036"/>
      <c r="Y597" s="2036"/>
      <c r="Z597" s="2036"/>
      <c r="AA597" s="2036"/>
      <c r="AB597" s="2036"/>
      <c r="AC597" s="100">
        <v>0</v>
      </c>
      <c r="AD597" s="19">
        <v>0</v>
      </c>
      <c r="AE597" s="19">
        <v>0</v>
      </c>
      <c r="AF597" s="19">
        <v>0</v>
      </c>
      <c r="AG597" s="19">
        <v>0</v>
      </c>
      <c r="AH597" s="19">
        <v>0</v>
      </c>
      <c r="AI597" s="19">
        <v>0</v>
      </c>
    </row>
    <row r="598" spans="1:35">
      <c r="A598" s="990">
        <v>536</v>
      </c>
      <c r="B598" s="990">
        <v>1</v>
      </c>
      <c r="C598" s="990">
        <v>598</v>
      </c>
      <c r="E598" s="1243">
        <v>1</v>
      </c>
      <c r="I598" s="79"/>
      <c r="J598" s="78"/>
      <c r="K598" s="74"/>
      <c r="L598" s="74"/>
      <c r="M598" s="596" t="s">
        <v>85</v>
      </c>
      <c r="N598" s="362"/>
      <c r="O598" s="362"/>
      <c r="P598" s="362"/>
      <c r="Q598" s="361">
        <v>0</v>
      </c>
      <c r="R598" s="361">
        <v>0</v>
      </c>
      <c r="S598" s="361">
        <v>0</v>
      </c>
      <c r="T598" s="361">
        <v>0</v>
      </c>
      <c r="U598" s="361">
        <v>0</v>
      </c>
      <c r="V598" s="361">
        <v>0</v>
      </c>
      <c r="W598" s="361">
        <v>0</v>
      </c>
      <c r="X598" s="361">
        <v>0</v>
      </c>
      <c r="Y598" s="361">
        <v>0</v>
      </c>
      <c r="Z598" s="361">
        <v>0</v>
      </c>
      <c r="AA598" s="361">
        <v>0</v>
      </c>
      <c r="AB598" s="361">
        <v>0</v>
      </c>
      <c r="AC598" s="375">
        <v>0</v>
      </c>
      <c r="AD598" s="361">
        <v>0</v>
      </c>
      <c r="AE598" s="361">
        <v>0</v>
      </c>
      <c r="AF598" s="361">
        <v>0</v>
      </c>
      <c r="AG598" s="361">
        <v>0</v>
      </c>
      <c r="AH598" s="361">
        <v>0</v>
      </c>
      <c r="AI598" s="361">
        <v>0</v>
      </c>
    </row>
    <row r="599" spans="1:35">
      <c r="A599" s="990">
        <v>537</v>
      </c>
      <c r="B599" s="990">
        <v>1</v>
      </c>
      <c r="C599" s="990">
        <v>599</v>
      </c>
      <c r="E599" s="1243">
        <v>1</v>
      </c>
      <c r="I599" s="79"/>
      <c r="J599" s="78"/>
      <c r="K599" s="74"/>
      <c r="L599" s="74"/>
      <c r="N599" s="111"/>
      <c r="O599" s="111"/>
      <c r="P599" s="111" t="s">
        <v>30</v>
      </c>
      <c r="Q599" s="2042"/>
      <c r="R599" s="2042"/>
      <c r="S599" s="2042"/>
      <c r="T599" s="2042"/>
      <c r="U599" s="2042"/>
      <c r="V599" s="2042"/>
      <c r="W599" s="2042"/>
      <c r="X599" s="2042"/>
      <c r="Y599" s="2042"/>
      <c r="Z599" s="2042"/>
      <c r="AA599" s="2042"/>
      <c r="AB599" s="2042"/>
      <c r="AC599" s="376">
        <v>0</v>
      </c>
      <c r="AD599" s="109">
        <v>0</v>
      </c>
      <c r="AE599" s="109">
        <v>0</v>
      </c>
      <c r="AF599" s="109">
        <v>0</v>
      </c>
      <c r="AG599" s="109">
        <v>0</v>
      </c>
      <c r="AH599" s="109">
        <v>0</v>
      </c>
      <c r="AI599" s="109">
        <v>0</v>
      </c>
    </row>
    <row r="600" spans="1:35">
      <c r="A600" s="990">
        <v>538</v>
      </c>
      <c r="B600" s="990">
        <v>1</v>
      </c>
      <c r="C600" s="990">
        <v>600</v>
      </c>
      <c r="E600" s="1243">
        <v>1</v>
      </c>
      <c r="I600" s="79"/>
      <c r="J600" s="78"/>
      <c r="K600" s="74"/>
      <c r="L600" s="74"/>
      <c r="P600" s="9" t="s">
        <v>1092</v>
      </c>
      <c r="Q600" s="2036"/>
      <c r="R600" s="2036"/>
      <c r="S600" s="2036"/>
      <c r="T600" s="2036"/>
      <c r="U600" s="2036"/>
      <c r="V600" s="2036"/>
      <c r="W600" s="2036"/>
      <c r="X600" s="2036"/>
      <c r="Y600" s="2036"/>
      <c r="Z600" s="2036"/>
      <c r="AA600" s="2036"/>
      <c r="AB600" s="2036"/>
      <c r="AC600" s="100">
        <v>0</v>
      </c>
      <c r="AD600" s="19">
        <v>0</v>
      </c>
      <c r="AE600" s="19">
        <v>0</v>
      </c>
      <c r="AF600" s="19">
        <v>0</v>
      </c>
      <c r="AG600" s="19">
        <v>0</v>
      </c>
      <c r="AH600" s="19">
        <v>0</v>
      </c>
      <c r="AI600" s="19">
        <v>0</v>
      </c>
    </row>
    <row r="601" spans="1:35">
      <c r="A601" s="990">
        <v>539</v>
      </c>
      <c r="B601" s="990">
        <v>1</v>
      </c>
      <c r="C601" s="990">
        <v>601</v>
      </c>
      <c r="E601" s="1243">
        <v>1</v>
      </c>
      <c r="I601" s="79"/>
      <c r="J601" s="78"/>
      <c r="K601" s="74"/>
      <c r="L601" s="74"/>
      <c r="P601" s="9" t="s">
        <v>1093</v>
      </c>
      <c r="Q601" s="2036"/>
      <c r="R601" s="2036"/>
      <c r="S601" s="2036"/>
      <c r="T601" s="2036"/>
      <c r="U601" s="2036"/>
      <c r="V601" s="2036"/>
      <c r="W601" s="2036"/>
      <c r="X601" s="2036"/>
      <c r="Y601" s="2036"/>
      <c r="Z601" s="2036"/>
      <c r="AA601" s="2036"/>
      <c r="AB601" s="2036"/>
      <c r="AC601" s="100">
        <v>0</v>
      </c>
      <c r="AD601" s="19">
        <v>0</v>
      </c>
      <c r="AE601" s="19">
        <v>0</v>
      </c>
      <c r="AF601" s="19">
        <v>0</v>
      </c>
      <c r="AG601" s="19">
        <v>0</v>
      </c>
      <c r="AH601" s="19">
        <v>0</v>
      </c>
      <c r="AI601" s="19">
        <v>0</v>
      </c>
    </row>
    <row r="602" spans="1:35">
      <c r="A602" s="990">
        <v>540</v>
      </c>
      <c r="B602" s="990">
        <v>1</v>
      </c>
      <c r="C602" s="990">
        <v>602</v>
      </c>
      <c r="E602" s="1243">
        <v>1</v>
      </c>
      <c r="I602" s="79"/>
      <c r="J602" s="78"/>
      <c r="K602" s="74"/>
      <c r="L602" s="74"/>
      <c r="M602" s="12"/>
      <c r="N602" s="12"/>
      <c r="O602" s="12"/>
      <c r="P602" s="12" t="s">
        <v>11</v>
      </c>
      <c r="Q602" s="2037"/>
      <c r="R602" s="2037"/>
      <c r="S602" s="2037"/>
      <c r="T602" s="2037"/>
      <c r="U602" s="2037"/>
      <c r="V602" s="2037"/>
      <c r="W602" s="2037"/>
      <c r="X602" s="2037"/>
      <c r="Y602" s="2037"/>
      <c r="Z602" s="2037"/>
      <c r="AA602" s="2037"/>
      <c r="AB602" s="2037"/>
      <c r="AC602" s="99">
        <v>0</v>
      </c>
      <c r="AD602" s="17">
        <v>0</v>
      </c>
      <c r="AE602" s="17">
        <v>0</v>
      </c>
      <c r="AF602" s="17">
        <v>0</v>
      </c>
      <c r="AG602" s="17">
        <v>0</v>
      </c>
      <c r="AH602" s="17">
        <v>0</v>
      </c>
      <c r="AI602" s="17">
        <v>0</v>
      </c>
    </row>
    <row r="603" spans="1:35">
      <c r="A603" s="990">
        <v>541</v>
      </c>
      <c r="B603" s="990">
        <v>1</v>
      </c>
      <c r="C603" s="990">
        <v>603</v>
      </c>
      <c r="E603" s="1243">
        <v>1</v>
      </c>
      <c r="I603" s="79"/>
      <c r="J603" s="78"/>
      <c r="K603" s="74"/>
      <c r="L603" s="74"/>
      <c r="M603" s="9" t="s">
        <v>11</v>
      </c>
      <c r="Q603" s="2036"/>
      <c r="R603" s="2036"/>
      <c r="S603" s="2036"/>
      <c r="T603" s="2036"/>
      <c r="U603" s="2036"/>
      <c r="V603" s="2036"/>
      <c r="W603" s="2036"/>
      <c r="X603" s="2036"/>
      <c r="Y603" s="2036"/>
      <c r="Z603" s="2036"/>
      <c r="AA603" s="2036"/>
      <c r="AB603" s="2036"/>
      <c r="AC603" s="100">
        <v>0</v>
      </c>
      <c r="AD603" s="19">
        <v>0</v>
      </c>
      <c r="AE603" s="19">
        <v>0</v>
      </c>
      <c r="AF603" s="19">
        <v>0</v>
      </c>
      <c r="AG603" s="19">
        <v>0</v>
      </c>
      <c r="AH603" s="19">
        <v>0</v>
      </c>
      <c r="AI603" s="19">
        <v>0</v>
      </c>
    </row>
    <row r="604" spans="1:35">
      <c r="A604" s="990">
        <v>542</v>
      </c>
      <c r="B604" s="990">
        <v>1</v>
      </c>
      <c r="C604" s="990">
        <v>604</v>
      </c>
      <c r="E604" s="1243">
        <v>1</v>
      </c>
      <c r="I604" s="79"/>
      <c r="J604" s="78"/>
      <c r="K604" s="794" t="s">
        <v>1023</v>
      </c>
      <c r="L604" s="794"/>
      <c r="M604" s="610"/>
      <c r="N604" s="610"/>
      <c r="O604" s="610"/>
      <c r="P604" s="610"/>
      <c r="Q604" s="2056">
        <v>0</v>
      </c>
      <c r="R604" s="2056">
        <v>0</v>
      </c>
      <c r="S604" s="2056">
        <v>0</v>
      </c>
      <c r="T604" s="2056">
        <v>0</v>
      </c>
      <c r="U604" s="2056">
        <v>0</v>
      </c>
      <c r="V604" s="2056">
        <v>0</v>
      </c>
      <c r="W604" s="2056">
        <v>0</v>
      </c>
      <c r="X604" s="2056">
        <v>0</v>
      </c>
      <c r="Y604" s="2056">
        <v>0</v>
      </c>
      <c r="Z604" s="2056">
        <v>0</v>
      </c>
      <c r="AA604" s="2056">
        <v>0</v>
      </c>
      <c r="AB604" s="2056">
        <v>0</v>
      </c>
      <c r="AC604" s="2546">
        <v>0</v>
      </c>
      <c r="AD604" s="2056">
        <v>0</v>
      </c>
      <c r="AE604" s="2056">
        <v>0</v>
      </c>
      <c r="AF604" s="2056">
        <v>0</v>
      </c>
      <c r="AG604" s="2056">
        <v>0</v>
      </c>
      <c r="AH604" s="2056">
        <v>0</v>
      </c>
      <c r="AI604" s="2056">
        <v>0</v>
      </c>
    </row>
    <row r="605" spans="1:35">
      <c r="A605" s="990">
        <v>543</v>
      </c>
      <c r="B605" s="990">
        <v>1</v>
      </c>
      <c r="C605" s="990">
        <v>605</v>
      </c>
      <c r="E605" s="1243">
        <v>1</v>
      </c>
      <c r="I605" s="79"/>
      <c r="J605" s="78"/>
      <c r="K605" s="69"/>
      <c r="L605" s="69"/>
      <c r="M605" s="9" t="s">
        <v>137</v>
      </c>
      <c r="N605" s="363"/>
      <c r="O605" s="363"/>
      <c r="P605" s="363"/>
      <c r="Q605" s="2065">
        <v>0</v>
      </c>
      <c r="R605" s="365">
        <v>0</v>
      </c>
      <c r="S605" s="365">
        <v>0</v>
      </c>
      <c r="T605" s="365">
        <v>0</v>
      </c>
      <c r="U605" s="365">
        <v>0</v>
      </c>
      <c r="V605" s="365">
        <v>0</v>
      </c>
      <c r="W605" s="365">
        <v>0</v>
      </c>
      <c r="X605" s="365">
        <v>0</v>
      </c>
      <c r="Y605" s="365">
        <v>0</v>
      </c>
      <c r="Z605" s="365">
        <v>0</v>
      </c>
      <c r="AA605" s="365">
        <v>0</v>
      </c>
      <c r="AB605" s="365">
        <v>0</v>
      </c>
      <c r="AC605" s="408">
        <v>0</v>
      </c>
      <c r="AD605" s="365">
        <v>0</v>
      </c>
      <c r="AE605" s="365">
        <v>0</v>
      </c>
      <c r="AF605" s="365">
        <v>0</v>
      </c>
      <c r="AG605" s="365">
        <v>0</v>
      </c>
      <c r="AH605" s="365">
        <v>0</v>
      </c>
      <c r="AI605" s="365">
        <v>0</v>
      </c>
    </row>
    <row r="606" spans="1:35">
      <c r="A606" s="990">
        <v>544</v>
      </c>
      <c r="B606" s="990">
        <v>1</v>
      </c>
      <c r="C606" s="990">
        <v>606</v>
      </c>
      <c r="E606" s="1243">
        <v>1</v>
      </c>
      <c r="I606" s="79"/>
      <c r="J606" s="78"/>
      <c r="K606" s="69"/>
      <c r="L606" s="69"/>
      <c r="N606" s="111" t="s">
        <v>1021</v>
      </c>
      <c r="O606" s="111"/>
      <c r="P606" s="111"/>
      <c r="Q606" s="2055"/>
      <c r="R606" s="2042"/>
      <c r="S606" s="2042"/>
      <c r="T606" s="2042"/>
      <c r="U606" s="2042"/>
      <c r="V606" s="2042"/>
      <c r="W606" s="2042"/>
      <c r="X606" s="2042"/>
      <c r="Y606" s="2042"/>
      <c r="Z606" s="2042"/>
      <c r="AA606" s="2042"/>
      <c r="AB606" s="2042"/>
      <c r="AC606" s="376">
        <v>0</v>
      </c>
      <c r="AD606" s="109">
        <v>0</v>
      </c>
      <c r="AE606" s="109">
        <v>0</v>
      </c>
      <c r="AF606" s="109">
        <v>0</v>
      </c>
      <c r="AG606" s="109">
        <v>0</v>
      </c>
      <c r="AH606" s="109">
        <v>0</v>
      </c>
      <c r="AI606" s="109">
        <v>0</v>
      </c>
    </row>
    <row r="607" spans="1:35">
      <c r="A607" s="990">
        <v>545</v>
      </c>
      <c r="B607" s="990">
        <v>1</v>
      </c>
      <c r="C607" s="990">
        <v>607</v>
      </c>
      <c r="E607" s="1243">
        <v>1</v>
      </c>
      <c r="I607" s="79"/>
      <c r="J607" s="78"/>
      <c r="K607" s="69"/>
      <c r="L607" s="69"/>
      <c r="N607" s="12" t="s">
        <v>146</v>
      </c>
      <c r="O607" s="12"/>
      <c r="P607" s="12"/>
      <c r="Q607" s="2041"/>
      <c r="R607" s="2037"/>
      <c r="S607" s="2037"/>
      <c r="T607" s="2037"/>
      <c r="U607" s="2037"/>
      <c r="V607" s="2037"/>
      <c r="W607" s="2037"/>
      <c r="X607" s="2037"/>
      <c r="Y607" s="2037"/>
      <c r="Z607" s="2037"/>
      <c r="AA607" s="2037"/>
      <c r="AB607" s="2037"/>
      <c r="AC607" s="99">
        <v>0</v>
      </c>
      <c r="AD607" s="17">
        <v>0</v>
      </c>
      <c r="AE607" s="17">
        <v>0</v>
      </c>
      <c r="AF607" s="17">
        <v>0</v>
      </c>
      <c r="AG607" s="17">
        <v>0</v>
      </c>
      <c r="AH607" s="17">
        <v>0</v>
      </c>
      <c r="AI607" s="17">
        <v>0</v>
      </c>
    </row>
    <row r="608" spans="1:35">
      <c r="A608" s="990">
        <v>546</v>
      </c>
      <c r="B608" s="990">
        <v>1</v>
      </c>
      <c r="C608" s="990">
        <v>608</v>
      </c>
      <c r="E608" s="1243">
        <v>1</v>
      </c>
      <c r="I608" s="79"/>
      <c r="J608" s="78"/>
      <c r="K608" s="69"/>
      <c r="L608" s="69"/>
      <c r="M608" s="596" t="s">
        <v>95</v>
      </c>
      <c r="N608" s="362"/>
      <c r="O608" s="362"/>
      <c r="P608" s="362"/>
      <c r="Q608" s="2054">
        <v>0</v>
      </c>
      <c r="R608" s="361">
        <v>0</v>
      </c>
      <c r="S608" s="361">
        <v>0</v>
      </c>
      <c r="T608" s="361">
        <v>0</v>
      </c>
      <c r="U608" s="361">
        <v>0</v>
      </c>
      <c r="V608" s="361">
        <v>0</v>
      </c>
      <c r="W608" s="361">
        <v>0</v>
      </c>
      <c r="X608" s="361">
        <v>0</v>
      </c>
      <c r="Y608" s="361">
        <v>0</v>
      </c>
      <c r="Z608" s="361">
        <v>0</v>
      </c>
      <c r="AA608" s="361">
        <v>0</v>
      </c>
      <c r="AB608" s="361">
        <v>0</v>
      </c>
      <c r="AC608" s="375">
        <v>0</v>
      </c>
      <c r="AD608" s="361">
        <v>0</v>
      </c>
      <c r="AE608" s="361">
        <v>0</v>
      </c>
      <c r="AF608" s="361">
        <v>0</v>
      </c>
      <c r="AG608" s="361">
        <v>0</v>
      </c>
      <c r="AH608" s="361">
        <v>0</v>
      </c>
      <c r="AI608" s="361">
        <v>0</v>
      </c>
    </row>
    <row r="609" spans="1:35">
      <c r="A609" s="990">
        <v>547</v>
      </c>
      <c r="B609" s="990">
        <v>1</v>
      </c>
      <c r="C609" s="990">
        <v>609</v>
      </c>
      <c r="E609" s="1243">
        <v>1</v>
      </c>
      <c r="I609" s="79"/>
      <c r="J609" s="78"/>
      <c r="K609" s="69"/>
      <c r="L609" s="69"/>
      <c r="N609" s="111" t="s">
        <v>1021</v>
      </c>
      <c r="O609" s="111"/>
      <c r="P609" s="1500"/>
      <c r="Q609" s="2219">
        <v>0</v>
      </c>
      <c r="R609" s="64">
        <v>0</v>
      </c>
      <c r="S609" s="64">
        <v>0</v>
      </c>
      <c r="T609" s="64">
        <v>0</v>
      </c>
      <c r="U609" s="64">
        <v>0</v>
      </c>
      <c r="V609" s="64">
        <v>0</v>
      </c>
      <c r="W609" s="64">
        <v>0</v>
      </c>
      <c r="X609" s="64">
        <v>0</v>
      </c>
      <c r="Y609" s="64">
        <v>0</v>
      </c>
      <c r="Z609" s="64">
        <v>0</v>
      </c>
      <c r="AA609" s="64">
        <v>0</v>
      </c>
      <c r="AB609" s="64">
        <v>0</v>
      </c>
      <c r="AC609" s="1545">
        <v>0</v>
      </c>
      <c r="AD609" s="64">
        <v>0</v>
      </c>
      <c r="AE609" s="64">
        <v>0</v>
      </c>
      <c r="AF609" s="64">
        <v>0</v>
      </c>
      <c r="AG609" s="64">
        <v>0</v>
      </c>
      <c r="AH609" s="64">
        <v>0</v>
      </c>
      <c r="AI609" s="64">
        <v>0</v>
      </c>
    </row>
    <row r="610" spans="1:35" s="75" customFormat="1">
      <c r="A610" s="990">
        <v>548</v>
      </c>
      <c r="B610" s="990">
        <v>1</v>
      </c>
      <c r="C610" s="990">
        <v>610</v>
      </c>
      <c r="E610" s="1243">
        <v>1</v>
      </c>
      <c r="F610" s="10"/>
      <c r="G610" s="10"/>
      <c r="H610" s="24"/>
      <c r="I610" s="79"/>
      <c r="J610" s="78"/>
      <c r="K610" s="69"/>
      <c r="L610" s="69"/>
      <c r="M610" s="9"/>
      <c r="N610" s="9"/>
      <c r="O610" s="9"/>
      <c r="P610" s="111" t="s">
        <v>1083</v>
      </c>
      <c r="Q610" s="2055"/>
      <c r="R610" s="2042"/>
      <c r="S610" s="2042"/>
      <c r="T610" s="2042"/>
      <c r="U610" s="2042"/>
      <c r="V610" s="2042"/>
      <c r="W610" s="2042"/>
      <c r="X610" s="2042"/>
      <c r="Y610" s="2042"/>
      <c r="Z610" s="2042"/>
      <c r="AA610" s="2042"/>
      <c r="AB610" s="2042"/>
      <c r="AC610" s="376">
        <v>0</v>
      </c>
      <c r="AD610" s="109">
        <v>0</v>
      </c>
      <c r="AE610" s="109">
        <v>0</v>
      </c>
      <c r="AF610" s="109">
        <v>0</v>
      </c>
      <c r="AG610" s="109">
        <v>0</v>
      </c>
      <c r="AH610" s="109">
        <v>0</v>
      </c>
      <c r="AI610" s="109">
        <v>0</v>
      </c>
    </row>
    <row r="611" spans="1:35" s="75" customFormat="1">
      <c r="A611" s="990">
        <v>549</v>
      </c>
      <c r="B611" s="990">
        <v>1</v>
      </c>
      <c r="C611" s="990">
        <v>611</v>
      </c>
      <c r="E611" s="1243">
        <v>1</v>
      </c>
      <c r="F611" s="10"/>
      <c r="G611" s="10"/>
      <c r="H611" s="24"/>
      <c r="I611" s="79"/>
      <c r="J611" s="78"/>
      <c r="K611" s="69"/>
      <c r="L611" s="69"/>
      <c r="M611" s="9"/>
      <c r="N611" s="363"/>
      <c r="O611" s="363"/>
      <c r="P611" s="363" t="s">
        <v>1084</v>
      </c>
      <c r="Q611" s="2220"/>
      <c r="R611" s="2052"/>
      <c r="S611" s="2052"/>
      <c r="T611" s="2052"/>
      <c r="U611" s="2052"/>
      <c r="V611" s="2052"/>
      <c r="W611" s="2052"/>
      <c r="X611" s="2052"/>
      <c r="Y611" s="2052"/>
      <c r="Z611" s="2052"/>
      <c r="AA611" s="2052"/>
      <c r="AB611" s="2052"/>
      <c r="AC611" s="408">
        <v>0</v>
      </c>
      <c r="AD611" s="365">
        <v>0</v>
      </c>
      <c r="AE611" s="365">
        <v>0</v>
      </c>
      <c r="AF611" s="365">
        <v>0</v>
      </c>
      <c r="AG611" s="365">
        <v>0</v>
      </c>
      <c r="AH611" s="365">
        <v>0</v>
      </c>
      <c r="AI611" s="365">
        <v>0</v>
      </c>
    </row>
    <row r="612" spans="1:35" s="75" customFormat="1">
      <c r="A612" s="990">
        <v>550</v>
      </c>
      <c r="B612" s="990">
        <v>1</v>
      </c>
      <c r="C612" s="990">
        <v>612</v>
      </c>
      <c r="E612" s="1243">
        <v>1</v>
      </c>
      <c r="F612" s="10"/>
      <c r="G612" s="10"/>
      <c r="H612" s="24"/>
      <c r="I612" s="79"/>
      <c r="J612" s="78"/>
      <c r="K612" s="69"/>
      <c r="L612" s="69"/>
      <c r="M612" s="9"/>
      <c r="N612" s="366" t="s">
        <v>146</v>
      </c>
      <c r="O612" s="9"/>
      <c r="P612" s="9"/>
      <c r="Q612" s="2036"/>
      <c r="R612" s="2036"/>
      <c r="S612" s="2036"/>
      <c r="T612" s="2036"/>
      <c r="U612" s="2036"/>
      <c r="V612" s="2036"/>
      <c r="W612" s="2036"/>
      <c r="X612" s="2036"/>
      <c r="Y612" s="2036"/>
      <c r="Z612" s="2036"/>
      <c r="AA612" s="2036"/>
      <c r="AB612" s="2036"/>
      <c r="AC612" s="100">
        <v>0</v>
      </c>
      <c r="AD612" s="19">
        <v>0</v>
      </c>
      <c r="AE612" s="19">
        <v>0</v>
      </c>
      <c r="AF612" s="19">
        <v>0</v>
      </c>
      <c r="AG612" s="19">
        <v>0</v>
      </c>
      <c r="AH612" s="19">
        <v>0</v>
      </c>
      <c r="AI612" s="19">
        <v>0</v>
      </c>
    </row>
    <row r="613" spans="1:35" s="75" customFormat="1">
      <c r="A613" s="990">
        <v>551</v>
      </c>
      <c r="B613" s="990">
        <v>1</v>
      </c>
      <c r="C613" s="990">
        <v>613</v>
      </c>
      <c r="E613" s="1243">
        <v>1</v>
      </c>
      <c r="F613" s="10"/>
      <c r="G613" s="10"/>
      <c r="H613" s="24"/>
      <c r="I613" s="79"/>
      <c r="J613" s="78"/>
      <c r="K613" s="69"/>
      <c r="L613" s="69"/>
      <c r="M613" s="273"/>
      <c r="N613" s="370" t="s">
        <v>1096</v>
      </c>
      <c r="O613" s="370"/>
      <c r="P613" s="370"/>
      <c r="Q613" s="361">
        <v>0</v>
      </c>
      <c r="R613" s="361">
        <v>0</v>
      </c>
      <c r="S613" s="361">
        <v>0</v>
      </c>
      <c r="T613" s="361">
        <v>0</v>
      </c>
      <c r="U613" s="361">
        <v>0</v>
      </c>
      <c r="V613" s="361">
        <v>0</v>
      </c>
      <c r="W613" s="361">
        <v>0</v>
      </c>
      <c r="X613" s="361">
        <v>0</v>
      </c>
      <c r="Y613" s="361">
        <v>0</v>
      </c>
      <c r="Z613" s="361">
        <v>0</v>
      </c>
      <c r="AA613" s="361">
        <v>0</v>
      </c>
      <c r="AB613" s="361">
        <v>0</v>
      </c>
      <c r="AC613" s="375">
        <v>0</v>
      </c>
      <c r="AD613" s="361">
        <v>0</v>
      </c>
      <c r="AE613" s="361">
        <v>0</v>
      </c>
      <c r="AF613" s="361">
        <v>0</v>
      </c>
      <c r="AG613" s="361">
        <v>0</v>
      </c>
      <c r="AH613" s="361">
        <v>0</v>
      </c>
      <c r="AI613" s="361">
        <v>0</v>
      </c>
    </row>
    <row r="614" spans="1:35">
      <c r="A614" s="990">
        <v>552</v>
      </c>
      <c r="B614" s="990">
        <v>1</v>
      </c>
      <c r="C614" s="990">
        <v>614</v>
      </c>
      <c r="E614" s="1243">
        <v>1</v>
      </c>
      <c r="I614" s="79"/>
      <c r="J614" s="78"/>
      <c r="K614" s="69"/>
      <c r="L614" s="69"/>
      <c r="M614" s="273"/>
      <c r="N614" s="371"/>
      <c r="O614" s="371"/>
      <c r="P614" s="371" t="s">
        <v>391</v>
      </c>
      <c r="Q614" s="2042"/>
      <c r="R614" s="2042"/>
      <c r="S614" s="2042"/>
      <c r="T614" s="2042"/>
      <c r="U614" s="2042"/>
      <c r="V614" s="2042"/>
      <c r="W614" s="2042"/>
      <c r="X614" s="2042"/>
      <c r="Y614" s="2042"/>
      <c r="Z614" s="2042"/>
      <c r="AA614" s="2042"/>
      <c r="AB614" s="2042"/>
      <c r="AC614" s="376">
        <v>0</v>
      </c>
      <c r="AD614" s="109">
        <v>0</v>
      </c>
      <c r="AE614" s="109">
        <v>0</v>
      </c>
      <c r="AF614" s="109">
        <v>0</v>
      </c>
      <c r="AG614" s="109">
        <v>0</v>
      </c>
      <c r="AH614" s="109">
        <v>0</v>
      </c>
      <c r="AI614" s="109">
        <v>0</v>
      </c>
    </row>
    <row r="615" spans="1:35">
      <c r="A615" s="990">
        <v>553</v>
      </c>
      <c r="B615" s="990">
        <v>1</v>
      </c>
      <c r="C615" s="990">
        <v>615</v>
      </c>
      <c r="E615" s="1243">
        <v>1</v>
      </c>
      <c r="I615" s="79"/>
      <c r="J615" s="78"/>
      <c r="K615" s="69"/>
      <c r="L615" s="69"/>
      <c r="M615" s="273"/>
      <c r="N615" s="299"/>
      <c r="O615" s="299"/>
      <c r="P615" s="299" t="s">
        <v>1086</v>
      </c>
      <c r="Q615" s="2036"/>
      <c r="R615" s="2036"/>
      <c r="S615" s="2036"/>
      <c r="T615" s="2036"/>
      <c r="U615" s="2036"/>
      <c r="V615" s="2036"/>
      <c r="W615" s="2036"/>
      <c r="X615" s="2036"/>
      <c r="Y615" s="2036"/>
      <c r="Z615" s="2036"/>
      <c r="AA615" s="2036"/>
      <c r="AB615" s="2036"/>
      <c r="AC615" s="100">
        <v>0</v>
      </c>
      <c r="AD615" s="19">
        <v>0</v>
      </c>
      <c r="AE615" s="19">
        <v>0</v>
      </c>
      <c r="AF615" s="19">
        <v>0</v>
      </c>
      <c r="AG615" s="19">
        <v>0</v>
      </c>
      <c r="AH615" s="19">
        <v>0</v>
      </c>
      <c r="AI615" s="19">
        <v>0</v>
      </c>
    </row>
    <row r="616" spans="1:35" s="75" customFormat="1">
      <c r="A616" s="990">
        <v>554</v>
      </c>
      <c r="B616" s="990">
        <v>1</v>
      </c>
      <c r="C616" s="990">
        <v>616</v>
      </c>
      <c r="E616" s="1243">
        <v>1</v>
      </c>
      <c r="F616" s="10"/>
      <c r="G616" s="10"/>
      <c r="H616" s="24"/>
      <c r="I616" s="79"/>
      <c r="J616" s="78"/>
      <c r="K616" s="69"/>
      <c r="L616" s="69"/>
      <c r="M616" s="273"/>
      <c r="N616" s="299"/>
      <c r="O616" s="299"/>
      <c r="P616" s="298" t="s">
        <v>393</v>
      </c>
      <c r="Q616" s="2037"/>
      <c r="R616" s="2037"/>
      <c r="S616" s="2037"/>
      <c r="T616" s="2037"/>
      <c r="U616" s="2037"/>
      <c r="V616" s="2037"/>
      <c r="W616" s="2037"/>
      <c r="X616" s="2037"/>
      <c r="Y616" s="2037"/>
      <c r="Z616" s="2037"/>
      <c r="AA616" s="2037"/>
      <c r="AB616" s="2037"/>
      <c r="AC616" s="99">
        <v>0</v>
      </c>
      <c r="AD616" s="17">
        <v>0</v>
      </c>
      <c r="AE616" s="17">
        <v>0</v>
      </c>
      <c r="AF616" s="17">
        <v>0</v>
      </c>
      <c r="AG616" s="17">
        <v>0</v>
      </c>
      <c r="AH616" s="17">
        <v>0</v>
      </c>
      <c r="AI616" s="17">
        <v>0</v>
      </c>
    </row>
    <row r="617" spans="1:35" s="75" customFormat="1">
      <c r="A617" s="990">
        <v>555</v>
      </c>
      <c r="B617" s="990">
        <v>1</v>
      </c>
      <c r="C617" s="990">
        <v>617</v>
      </c>
      <c r="E617" s="1243">
        <v>1</v>
      </c>
      <c r="F617" s="10"/>
      <c r="G617" s="10"/>
      <c r="H617" s="24"/>
      <c r="I617" s="79"/>
      <c r="J617" s="78"/>
      <c r="K617" s="69"/>
      <c r="L617" s="69"/>
      <c r="M617" s="273"/>
      <c r="N617" s="370" t="s">
        <v>1097</v>
      </c>
      <c r="O617" s="370"/>
      <c r="P617" s="370"/>
      <c r="Q617" s="361">
        <v>0</v>
      </c>
      <c r="R617" s="361">
        <v>0</v>
      </c>
      <c r="S617" s="361">
        <v>0</v>
      </c>
      <c r="T617" s="361">
        <v>0</v>
      </c>
      <c r="U617" s="361">
        <v>0</v>
      </c>
      <c r="V617" s="361">
        <v>0</v>
      </c>
      <c r="W617" s="361">
        <v>0</v>
      </c>
      <c r="X617" s="361">
        <v>0</v>
      </c>
      <c r="Y617" s="361">
        <v>0</v>
      </c>
      <c r="Z617" s="361">
        <v>0</v>
      </c>
      <c r="AA617" s="361">
        <v>0</v>
      </c>
      <c r="AB617" s="361">
        <v>0</v>
      </c>
      <c r="AC617" s="375">
        <v>0</v>
      </c>
      <c r="AD617" s="361">
        <v>0</v>
      </c>
      <c r="AE617" s="361">
        <v>0</v>
      </c>
      <c r="AF617" s="361">
        <v>0</v>
      </c>
      <c r="AG617" s="361">
        <v>0</v>
      </c>
      <c r="AH617" s="361">
        <v>0</v>
      </c>
      <c r="AI617" s="361">
        <v>0</v>
      </c>
    </row>
    <row r="618" spans="1:35" s="75" customFormat="1">
      <c r="A618" s="990">
        <v>556</v>
      </c>
      <c r="B618" s="990">
        <v>1</v>
      </c>
      <c r="C618" s="990">
        <v>618</v>
      </c>
      <c r="E618" s="1243">
        <v>1</v>
      </c>
      <c r="F618" s="10"/>
      <c r="G618" s="10"/>
      <c r="H618" s="24"/>
      <c r="I618" s="79"/>
      <c r="J618" s="78"/>
      <c r="K618" s="69"/>
      <c r="L618" s="69"/>
      <c r="M618" s="273"/>
      <c r="N618" s="372"/>
      <c r="O618" s="371"/>
      <c r="P618" s="371" t="s">
        <v>391</v>
      </c>
      <c r="Q618" s="2042"/>
      <c r="R618" s="2042"/>
      <c r="S618" s="2042"/>
      <c r="T618" s="2042"/>
      <c r="U618" s="2042"/>
      <c r="V618" s="2042"/>
      <c r="W618" s="2042"/>
      <c r="X618" s="2042"/>
      <c r="Y618" s="2042"/>
      <c r="Z618" s="2042"/>
      <c r="AA618" s="2042"/>
      <c r="AB618" s="2042"/>
      <c r="AC618" s="376">
        <v>0</v>
      </c>
      <c r="AD618" s="109">
        <v>0</v>
      </c>
      <c r="AE618" s="109">
        <v>0</v>
      </c>
      <c r="AF618" s="109">
        <v>0</v>
      </c>
      <c r="AG618" s="109">
        <v>0</v>
      </c>
      <c r="AH618" s="109">
        <v>0</v>
      </c>
      <c r="AI618" s="109">
        <v>0</v>
      </c>
    </row>
    <row r="619" spans="1:35" s="75" customFormat="1">
      <c r="A619" s="990">
        <v>557</v>
      </c>
      <c r="B619" s="990">
        <v>1</v>
      </c>
      <c r="C619" s="990">
        <v>619</v>
      </c>
      <c r="E619" s="1243">
        <v>1</v>
      </c>
      <c r="F619" s="10"/>
      <c r="G619" s="10"/>
      <c r="H619" s="24"/>
      <c r="I619" s="79"/>
      <c r="J619" s="78"/>
      <c r="K619" s="69"/>
      <c r="L619" s="69"/>
      <c r="M619" s="273"/>
      <c r="N619" s="298"/>
      <c r="O619" s="298"/>
      <c r="P619" s="298" t="s">
        <v>393</v>
      </c>
      <c r="Q619" s="2037"/>
      <c r="R619" s="2037"/>
      <c r="S619" s="2037"/>
      <c r="T619" s="2037"/>
      <c r="U619" s="2037"/>
      <c r="V619" s="2037"/>
      <c r="W619" s="2037"/>
      <c r="X619" s="2037"/>
      <c r="Y619" s="2037"/>
      <c r="Z619" s="2037"/>
      <c r="AA619" s="2037"/>
      <c r="AB619" s="2037"/>
      <c r="AC619" s="99">
        <v>0</v>
      </c>
      <c r="AD619" s="17">
        <v>0</v>
      </c>
      <c r="AE619" s="17">
        <v>0</v>
      </c>
      <c r="AF619" s="17">
        <v>0</v>
      </c>
      <c r="AG619" s="17">
        <v>0</v>
      </c>
      <c r="AH619" s="17">
        <v>0</v>
      </c>
      <c r="AI619" s="17">
        <v>0</v>
      </c>
    </row>
    <row r="620" spans="1:35">
      <c r="A620" s="990">
        <v>558</v>
      </c>
      <c r="B620" s="990">
        <v>1</v>
      </c>
      <c r="C620" s="990">
        <v>620</v>
      </c>
      <c r="E620" s="1243">
        <v>1</v>
      </c>
      <c r="I620" s="79"/>
      <c r="J620" s="78"/>
      <c r="K620" s="69"/>
      <c r="L620" s="69"/>
      <c r="M620" s="273"/>
      <c r="N620" s="400" t="s">
        <v>1091</v>
      </c>
      <c r="O620" s="299"/>
      <c r="P620" s="299"/>
      <c r="Q620" s="2036"/>
      <c r="R620" s="2036"/>
      <c r="S620" s="2036"/>
      <c r="T620" s="2036"/>
      <c r="U620" s="2036"/>
      <c r="V620" s="2036"/>
      <c r="W620" s="2036"/>
      <c r="X620" s="2036"/>
      <c r="Y620" s="2036"/>
      <c r="Z620" s="2036"/>
      <c r="AA620" s="2036"/>
      <c r="AB620" s="2036"/>
      <c r="AC620" s="100">
        <v>0</v>
      </c>
      <c r="AD620" s="19">
        <v>0</v>
      </c>
      <c r="AE620" s="19">
        <v>0</v>
      </c>
      <c r="AF620" s="19">
        <v>0</v>
      </c>
      <c r="AG620" s="19">
        <v>0</v>
      </c>
      <c r="AH620" s="19">
        <v>0</v>
      </c>
      <c r="AI620" s="19">
        <v>0</v>
      </c>
    </row>
    <row r="621" spans="1:35">
      <c r="A621" s="990">
        <v>559</v>
      </c>
      <c r="B621" s="990">
        <v>1</v>
      </c>
      <c r="C621" s="990">
        <v>621</v>
      </c>
      <c r="E621" s="1243">
        <v>1</v>
      </c>
      <c r="I621" s="79"/>
      <c r="J621" s="78"/>
      <c r="K621" s="69"/>
      <c r="L621" s="69"/>
      <c r="M621" s="596" t="s">
        <v>85</v>
      </c>
      <c r="N621" s="362"/>
      <c r="O621" s="362"/>
      <c r="P621" s="362"/>
      <c r="Q621" s="361">
        <v>0</v>
      </c>
      <c r="R621" s="361">
        <v>0</v>
      </c>
      <c r="S621" s="361">
        <v>0</v>
      </c>
      <c r="T621" s="361">
        <v>0</v>
      </c>
      <c r="U621" s="361">
        <v>0</v>
      </c>
      <c r="V621" s="361">
        <v>0</v>
      </c>
      <c r="W621" s="361">
        <v>0</v>
      </c>
      <c r="X621" s="361">
        <v>0</v>
      </c>
      <c r="Y621" s="361">
        <v>0</v>
      </c>
      <c r="Z621" s="361">
        <v>0</v>
      </c>
      <c r="AA621" s="361">
        <v>0</v>
      </c>
      <c r="AB621" s="361">
        <v>0</v>
      </c>
      <c r="AC621" s="375">
        <v>0</v>
      </c>
      <c r="AD621" s="361">
        <v>0</v>
      </c>
      <c r="AE621" s="361">
        <v>0</v>
      </c>
      <c r="AF621" s="361">
        <v>0</v>
      </c>
      <c r="AG621" s="361">
        <v>0</v>
      </c>
      <c r="AH621" s="361">
        <v>0</v>
      </c>
      <c r="AI621" s="361">
        <v>0</v>
      </c>
    </row>
    <row r="622" spans="1:35" s="75" customFormat="1">
      <c r="A622" s="990">
        <v>560</v>
      </c>
      <c r="B622" s="990">
        <v>1</v>
      </c>
      <c r="C622" s="990">
        <v>622</v>
      </c>
      <c r="E622" s="1243">
        <v>1</v>
      </c>
      <c r="F622" s="10"/>
      <c r="G622" s="10"/>
      <c r="H622" s="24"/>
      <c r="I622" s="79"/>
      <c r="J622" s="78"/>
      <c r="K622" s="69"/>
      <c r="L622" s="69"/>
      <c r="M622" s="9"/>
      <c r="N622" s="111"/>
      <c r="O622" s="111"/>
      <c r="P622" s="111" t="s">
        <v>30</v>
      </c>
      <c r="Q622" s="2042"/>
      <c r="R622" s="2042"/>
      <c r="S622" s="2042"/>
      <c r="T622" s="2042"/>
      <c r="U622" s="2042"/>
      <c r="V622" s="2042"/>
      <c r="W622" s="2042"/>
      <c r="X622" s="2042"/>
      <c r="Y622" s="2042"/>
      <c r="Z622" s="2042"/>
      <c r="AA622" s="2042"/>
      <c r="AB622" s="2042"/>
      <c r="AC622" s="376">
        <v>0</v>
      </c>
      <c r="AD622" s="109">
        <v>0</v>
      </c>
      <c r="AE622" s="109">
        <v>0</v>
      </c>
      <c r="AF622" s="109">
        <v>0</v>
      </c>
      <c r="AG622" s="109">
        <v>0</v>
      </c>
      <c r="AH622" s="109">
        <v>0</v>
      </c>
      <c r="AI622" s="109">
        <v>0</v>
      </c>
    </row>
    <row r="623" spans="1:35" s="75" customFormat="1">
      <c r="A623" s="990">
        <v>561</v>
      </c>
      <c r="B623" s="990">
        <v>1</v>
      </c>
      <c r="C623" s="990">
        <v>623</v>
      </c>
      <c r="E623" s="1243">
        <v>1</v>
      </c>
      <c r="F623" s="10"/>
      <c r="G623" s="10"/>
      <c r="H623" s="24"/>
      <c r="I623" s="79"/>
      <c r="J623" s="78"/>
      <c r="K623" s="69"/>
      <c r="L623" s="69"/>
      <c r="M623" s="9"/>
      <c r="N623" s="9"/>
      <c r="O623" s="9"/>
      <c r="P623" s="9" t="s">
        <v>1092</v>
      </c>
      <c r="Q623" s="2036"/>
      <c r="R623" s="2036"/>
      <c r="S623" s="2036"/>
      <c r="T623" s="2036"/>
      <c r="U623" s="2036"/>
      <c r="V623" s="2036"/>
      <c r="W623" s="2036"/>
      <c r="X623" s="2036"/>
      <c r="Y623" s="2036"/>
      <c r="Z623" s="2036"/>
      <c r="AA623" s="2036"/>
      <c r="AB623" s="2036"/>
      <c r="AC623" s="100">
        <v>0</v>
      </c>
      <c r="AD623" s="19">
        <v>0</v>
      </c>
      <c r="AE623" s="19">
        <v>0</v>
      </c>
      <c r="AF623" s="19">
        <v>0</v>
      </c>
      <c r="AG623" s="19">
        <v>0</v>
      </c>
      <c r="AH623" s="19">
        <v>0</v>
      </c>
      <c r="AI623" s="19">
        <v>0</v>
      </c>
    </row>
    <row r="624" spans="1:35" s="75" customFormat="1">
      <c r="A624" s="990">
        <v>562</v>
      </c>
      <c r="B624" s="990">
        <v>1</v>
      </c>
      <c r="C624" s="990">
        <v>624</v>
      </c>
      <c r="E624" s="1243">
        <v>1</v>
      </c>
      <c r="F624" s="10"/>
      <c r="G624" s="10"/>
      <c r="H624" s="24"/>
      <c r="I624" s="79"/>
      <c r="J624" s="78"/>
      <c r="K624" s="69"/>
      <c r="L624" s="69"/>
      <c r="M624" s="9"/>
      <c r="N624" s="9"/>
      <c r="O624" s="9"/>
      <c r="P624" s="9" t="s">
        <v>1093</v>
      </c>
      <c r="Q624" s="2036"/>
      <c r="R624" s="2036"/>
      <c r="S624" s="2036"/>
      <c r="T624" s="2036"/>
      <c r="U624" s="2036"/>
      <c r="V624" s="2036"/>
      <c r="W624" s="2036"/>
      <c r="X624" s="2036"/>
      <c r="Y624" s="2036"/>
      <c r="Z624" s="2036"/>
      <c r="AA624" s="2036"/>
      <c r="AB624" s="2036"/>
      <c r="AC624" s="100">
        <v>0</v>
      </c>
      <c r="AD624" s="19">
        <v>0</v>
      </c>
      <c r="AE624" s="19">
        <v>0</v>
      </c>
      <c r="AF624" s="19">
        <v>0</v>
      </c>
      <c r="AG624" s="19">
        <v>0</v>
      </c>
      <c r="AH624" s="19">
        <v>0</v>
      </c>
      <c r="AI624" s="19">
        <v>0</v>
      </c>
    </row>
    <row r="625" spans="1:35" s="75" customFormat="1">
      <c r="A625" s="990">
        <v>563</v>
      </c>
      <c r="B625" s="990">
        <v>1</v>
      </c>
      <c r="C625" s="990">
        <v>625</v>
      </c>
      <c r="E625" s="1243">
        <v>1</v>
      </c>
      <c r="F625" s="10"/>
      <c r="G625" s="10"/>
      <c r="H625" s="24"/>
      <c r="I625" s="79"/>
      <c r="J625" s="78"/>
      <c r="K625" s="69"/>
      <c r="L625" s="69"/>
      <c r="M625" s="9"/>
      <c r="N625" s="12"/>
      <c r="O625" s="12"/>
      <c r="P625" s="12" t="s">
        <v>11</v>
      </c>
      <c r="Q625" s="2037"/>
      <c r="R625" s="2037"/>
      <c r="S625" s="2037"/>
      <c r="T625" s="2037"/>
      <c r="U625" s="2037"/>
      <c r="V625" s="2037"/>
      <c r="W625" s="2037"/>
      <c r="X625" s="2037"/>
      <c r="Y625" s="2037"/>
      <c r="Z625" s="2037"/>
      <c r="AA625" s="2037"/>
      <c r="AB625" s="2037"/>
      <c r="AC625" s="99">
        <v>0</v>
      </c>
      <c r="AD625" s="17">
        <v>0</v>
      </c>
      <c r="AE625" s="17">
        <v>0</v>
      </c>
      <c r="AF625" s="17">
        <v>0</v>
      </c>
      <c r="AG625" s="17">
        <v>0</v>
      </c>
      <c r="AH625" s="17">
        <v>0</v>
      </c>
      <c r="AI625" s="17">
        <v>0</v>
      </c>
    </row>
    <row r="626" spans="1:35">
      <c r="A626" s="990">
        <v>564</v>
      </c>
      <c r="B626" s="990">
        <v>1</v>
      </c>
      <c r="C626" s="990">
        <v>626</v>
      </c>
      <c r="E626" s="1243">
        <v>1</v>
      </c>
      <c r="I626" s="77"/>
      <c r="J626" s="76"/>
      <c r="K626" s="68"/>
      <c r="L626" s="68"/>
      <c r="M626" s="2343" t="s">
        <v>11</v>
      </c>
      <c r="N626" s="12"/>
      <c r="O626" s="12"/>
      <c r="P626" s="12"/>
      <c r="Q626" s="2037"/>
      <c r="R626" s="2037"/>
      <c r="S626" s="2037"/>
      <c r="T626" s="2037"/>
      <c r="U626" s="2037"/>
      <c r="V626" s="2037"/>
      <c r="W626" s="2037"/>
      <c r="X626" s="2037"/>
      <c r="Y626" s="2037"/>
      <c r="Z626" s="2037"/>
      <c r="AA626" s="2037"/>
      <c r="AB626" s="2037"/>
      <c r="AC626" s="99">
        <v>0</v>
      </c>
      <c r="AD626" s="17">
        <v>0</v>
      </c>
      <c r="AE626" s="17">
        <v>0</v>
      </c>
      <c r="AF626" s="17">
        <v>0</v>
      </c>
      <c r="AG626" s="17">
        <v>0</v>
      </c>
      <c r="AH626" s="17">
        <v>0</v>
      </c>
      <c r="AI626" s="17">
        <v>0</v>
      </c>
    </row>
    <row r="627" spans="1:35">
      <c r="A627" s="990">
        <v>565</v>
      </c>
      <c r="B627" s="990">
        <v>1</v>
      </c>
      <c r="C627" s="990">
        <v>627</v>
      </c>
      <c r="E627" s="1243">
        <v>1</v>
      </c>
      <c r="I627" s="24"/>
      <c r="J627" s="75"/>
      <c r="K627" s="24"/>
      <c r="L627" s="24"/>
      <c r="M627" s="75"/>
      <c r="N627" s="75"/>
      <c r="O627" s="75"/>
      <c r="P627" s="75"/>
      <c r="Q627" s="2200"/>
      <c r="AA627" s="1"/>
      <c r="AB627" s="2209"/>
      <c r="AC627" s="1"/>
      <c r="AD627" s="1"/>
      <c r="AE627" s="1"/>
      <c r="AF627" s="1"/>
      <c r="AG627" s="1"/>
      <c r="AH627" s="1"/>
      <c r="AI627" s="1"/>
    </row>
    <row r="628" spans="1:35" s="75" customFormat="1">
      <c r="A628" s="990">
        <v>566</v>
      </c>
      <c r="B628" s="990">
        <v>1</v>
      </c>
      <c r="C628" s="990">
        <v>628</v>
      </c>
      <c r="E628" s="1243">
        <v>1</v>
      </c>
      <c r="F628" s="10"/>
      <c r="G628" s="10"/>
      <c r="H628" s="24" t="s">
        <v>1038</v>
      </c>
      <c r="I628" s="24"/>
      <c r="K628" s="24"/>
      <c r="L628" s="24"/>
      <c r="P628" s="291"/>
      <c r="Q628" s="2200"/>
      <c r="R628" s="1"/>
      <c r="S628" s="1"/>
      <c r="T628" s="1"/>
      <c r="U628" s="1"/>
      <c r="V628" s="1"/>
      <c r="W628" s="1"/>
      <c r="X628" s="1"/>
      <c r="Y628" s="1"/>
      <c r="Z628" s="1"/>
      <c r="AA628" s="1"/>
      <c r="AB628" s="2209"/>
      <c r="AC628" s="1"/>
      <c r="AD628" s="1"/>
      <c r="AE628" s="1"/>
      <c r="AF628" s="1"/>
      <c r="AG628" s="1"/>
      <c r="AH628" s="1"/>
      <c r="AI628" s="1"/>
    </row>
    <row r="629" spans="1:35" s="75" customFormat="1">
      <c r="A629" s="990">
        <v>567</v>
      </c>
      <c r="B629" s="990">
        <v>1</v>
      </c>
      <c r="C629" s="990">
        <v>629</v>
      </c>
      <c r="E629" s="1243">
        <v>1</v>
      </c>
      <c r="F629" s="10"/>
      <c r="G629" s="10"/>
      <c r="H629" s="24"/>
      <c r="I629" s="443" t="s">
        <v>9</v>
      </c>
      <c r="J629" s="604"/>
      <c r="K629" s="788"/>
      <c r="L629" s="788"/>
      <c r="M629" s="604"/>
      <c r="N629" s="604"/>
      <c r="O629" s="604"/>
      <c r="P629" s="604"/>
      <c r="Q629" s="2074">
        <v>0</v>
      </c>
      <c r="R629" s="2074">
        <v>0</v>
      </c>
      <c r="S629" s="2074">
        <v>0</v>
      </c>
      <c r="T629" s="2074">
        <v>0</v>
      </c>
      <c r="U629" s="2074">
        <v>0</v>
      </c>
      <c r="V629" s="2074">
        <v>0</v>
      </c>
      <c r="W629" s="2074">
        <v>0</v>
      </c>
      <c r="X629" s="2074">
        <v>0</v>
      </c>
      <c r="Y629" s="2074">
        <v>0</v>
      </c>
      <c r="Z629" s="2074">
        <v>0</v>
      </c>
      <c r="AA629" s="2074">
        <v>0</v>
      </c>
      <c r="AB629" s="2074">
        <v>0</v>
      </c>
      <c r="AC629" s="2641">
        <v>0</v>
      </c>
      <c r="AD629" s="2074">
        <v>0</v>
      </c>
      <c r="AE629" s="2074">
        <v>0</v>
      </c>
      <c r="AF629" s="2074">
        <v>0</v>
      </c>
      <c r="AG629" s="2074">
        <v>0</v>
      </c>
      <c r="AH629" s="2074">
        <v>0</v>
      </c>
      <c r="AI629" s="2074">
        <v>0</v>
      </c>
    </row>
    <row r="630" spans="1:35" s="75" customFormat="1">
      <c r="A630" s="990">
        <v>568</v>
      </c>
      <c r="B630" s="990">
        <v>1</v>
      </c>
      <c r="C630" s="990">
        <v>630</v>
      </c>
      <c r="E630" s="1243">
        <v>1</v>
      </c>
      <c r="F630" s="10"/>
      <c r="G630" s="10"/>
      <c r="H630" s="24"/>
      <c r="I630" s="445"/>
      <c r="J630" s="446"/>
      <c r="K630" s="74" t="s">
        <v>1022</v>
      </c>
      <c r="L630" s="74"/>
      <c r="M630" s="357"/>
      <c r="N630" s="357"/>
      <c r="O630" s="357"/>
      <c r="P630" s="357"/>
      <c r="Q630" s="359">
        <v>0</v>
      </c>
      <c r="R630" s="359">
        <v>0</v>
      </c>
      <c r="S630" s="359">
        <v>0</v>
      </c>
      <c r="T630" s="359">
        <v>0</v>
      </c>
      <c r="U630" s="359">
        <v>0</v>
      </c>
      <c r="V630" s="359">
        <v>0</v>
      </c>
      <c r="W630" s="359">
        <v>0</v>
      </c>
      <c r="X630" s="359">
        <v>0</v>
      </c>
      <c r="Y630" s="359">
        <v>0</v>
      </c>
      <c r="Z630" s="359">
        <v>0</v>
      </c>
      <c r="AA630" s="359">
        <v>0</v>
      </c>
      <c r="AB630" s="359">
        <v>0</v>
      </c>
      <c r="AC630" s="407">
        <v>0</v>
      </c>
      <c r="AD630" s="359">
        <v>0</v>
      </c>
      <c r="AE630" s="359">
        <v>0</v>
      </c>
      <c r="AF630" s="359">
        <v>0</v>
      </c>
      <c r="AG630" s="359">
        <v>0</v>
      </c>
      <c r="AH630" s="359">
        <v>0</v>
      </c>
      <c r="AI630" s="359">
        <v>0</v>
      </c>
    </row>
    <row r="631" spans="1:35" s="75" customFormat="1">
      <c r="A631" s="990">
        <v>569</v>
      </c>
      <c r="B631" s="990">
        <v>1</v>
      </c>
      <c r="C631" s="990">
        <v>631</v>
      </c>
      <c r="E631" s="1243">
        <v>1</v>
      </c>
      <c r="F631" s="10"/>
      <c r="G631" s="10"/>
      <c r="H631" s="24"/>
      <c r="I631" s="445"/>
      <c r="J631" s="446"/>
      <c r="K631" s="74"/>
      <c r="L631" s="74"/>
      <c r="M631" s="75" t="s">
        <v>1039</v>
      </c>
      <c r="N631" s="391"/>
      <c r="O631" s="391"/>
      <c r="P631" s="391"/>
      <c r="Q631" s="365">
        <v>0</v>
      </c>
      <c r="R631" s="365">
        <v>0</v>
      </c>
      <c r="S631" s="365">
        <v>0</v>
      </c>
      <c r="T631" s="365">
        <v>0</v>
      </c>
      <c r="U631" s="365">
        <v>0</v>
      </c>
      <c r="V631" s="365">
        <v>0</v>
      </c>
      <c r="W631" s="365">
        <v>0</v>
      </c>
      <c r="X631" s="365">
        <v>0</v>
      </c>
      <c r="Y631" s="365">
        <v>0</v>
      </c>
      <c r="Z631" s="365">
        <v>0</v>
      </c>
      <c r="AA631" s="365">
        <v>0</v>
      </c>
      <c r="AB631" s="365">
        <v>0</v>
      </c>
      <c r="AC631" s="408">
        <v>0</v>
      </c>
      <c r="AD631" s="365">
        <v>0</v>
      </c>
      <c r="AE631" s="365">
        <v>0</v>
      </c>
      <c r="AF631" s="365">
        <v>0</v>
      </c>
      <c r="AG631" s="365">
        <v>0</v>
      </c>
      <c r="AH631" s="365">
        <v>0</v>
      </c>
      <c r="AI631" s="365">
        <v>0</v>
      </c>
    </row>
    <row r="632" spans="1:35">
      <c r="A632" s="990">
        <v>570</v>
      </c>
      <c r="B632" s="990">
        <v>1</v>
      </c>
      <c r="C632" s="990">
        <v>632</v>
      </c>
      <c r="E632" s="1243">
        <v>1</v>
      </c>
      <c r="I632" s="445"/>
      <c r="J632" s="446"/>
      <c r="K632" s="74"/>
      <c r="L632" s="74"/>
      <c r="M632" s="75"/>
      <c r="N632" s="1246" t="s">
        <v>989</v>
      </c>
      <c r="O632" s="377"/>
      <c r="P632" s="377"/>
      <c r="Q632" s="2042"/>
      <c r="R632" s="2042"/>
      <c r="S632" s="2042"/>
      <c r="T632" s="2042"/>
      <c r="U632" s="2042"/>
      <c r="V632" s="2042"/>
      <c r="W632" s="2042"/>
      <c r="X632" s="2042"/>
      <c r="Y632" s="2042"/>
      <c r="Z632" s="2042"/>
      <c r="AA632" s="2042"/>
      <c r="AB632" s="2042"/>
      <c r="AC632" s="376">
        <v>0</v>
      </c>
      <c r="AD632" s="109">
        <v>0</v>
      </c>
      <c r="AE632" s="109">
        <v>0</v>
      </c>
      <c r="AF632" s="109">
        <v>0</v>
      </c>
      <c r="AG632" s="109">
        <v>0</v>
      </c>
      <c r="AH632" s="109">
        <v>0</v>
      </c>
      <c r="AI632" s="109">
        <v>0</v>
      </c>
    </row>
    <row r="633" spans="1:35">
      <c r="A633" s="990">
        <v>571</v>
      </c>
      <c r="B633" s="990">
        <v>1</v>
      </c>
      <c r="C633" s="990">
        <v>633</v>
      </c>
      <c r="E633" s="1243">
        <v>1</v>
      </c>
      <c r="I633" s="445"/>
      <c r="J633" s="446"/>
      <c r="K633" s="74"/>
      <c r="L633" s="74"/>
      <c r="M633" s="75"/>
      <c r="N633" s="75" t="s">
        <v>1040</v>
      </c>
      <c r="O633" s="75"/>
      <c r="P633" s="75"/>
      <c r="Q633" s="2036"/>
      <c r="R633" s="2036"/>
      <c r="S633" s="2036"/>
      <c r="T633" s="2036"/>
      <c r="U633" s="2036"/>
      <c r="V633" s="2036"/>
      <c r="W633" s="2036"/>
      <c r="X633" s="2036"/>
      <c r="Y633" s="2036"/>
      <c r="Z633" s="2036"/>
      <c r="AA633" s="2036"/>
      <c r="AB633" s="2036"/>
      <c r="AC633" s="100">
        <v>0</v>
      </c>
      <c r="AD633" s="19">
        <v>0</v>
      </c>
      <c r="AE633" s="19">
        <v>0</v>
      </c>
      <c r="AF633" s="19">
        <v>0</v>
      </c>
      <c r="AG633" s="19">
        <v>0</v>
      </c>
      <c r="AH633" s="19">
        <v>0</v>
      </c>
      <c r="AI633" s="19">
        <v>0</v>
      </c>
    </row>
    <row r="634" spans="1:35" s="75" customFormat="1">
      <c r="A634" s="990">
        <v>572</v>
      </c>
      <c r="B634" s="990">
        <v>1</v>
      </c>
      <c r="C634" s="990">
        <v>634</v>
      </c>
      <c r="E634" s="1243">
        <v>1</v>
      </c>
      <c r="F634" s="10"/>
      <c r="G634" s="10"/>
      <c r="H634" s="24"/>
      <c r="I634" s="445"/>
      <c r="J634" s="446"/>
      <c r="K634" s="74"/>
      <c r="L634" s="74"/>
      <c r="N634" s="75" t="s">
        <v>1041</v>
      </c>
      <c r="Q634" s="2036"/>
      <c r="R634" s="2036"/>
      <c r="S634" s="2036"/>
      <c r="T634" s="2036"/>
      <c r="U634" s="2036"/>
      <c r="V634" s="2036"/>
      <c r="W634" s="2036"/>
      <c r="X634" s="2036"/>
      <c r="Y634" s="2036"/>
      <c r="Z634" s="2036"/>
      <c r="AA634" s="2036"/>
      <c r="AB634" s="2036"/>
      <c r="AC634" s="100">
        <v>0</v>
      </c>
      <c r="AD634" s="19">
        <v>0</v>
      </c>
      <c r="AE634" s="19">
        <v>0</v>
      </c>
      <c r="AF634" s="19">
        <v>0</v>
      </c>
      <c r="AG634" s="19">
        <v>0</v>
      </c>
      <c r="AH634" s="19">
        <v>0</v>
      </c>
      <c r="AI634" s="19">
        <v>0</v>
      </c>
    </row>
    <row r="635" spans="1:35" s="75" customFormat="1">
      <c r="A635" s="990">
        <v>573</v>
      </c>
      <c r="B635" s="990">
        <v>1</v>
      </c>
      <c r="C635" s="990">
        <v>635</v>
      </c>
      <c r="E635" s="1243">
        <v>1</v>
      </c>
      <c r="F635" s="10"/>
      <c r="G635" s="10"/>
      <c r="H635" s="24"/>
      <c r="I635" s="445"/>
      <c r="J635" s="446"/>
      <c r="K635" s="74"/>
      <c r="L635" s="74"/>
      <c r="N635" s="75" t="s">
        <v>1042</v>
      </c>
      <c r="Q635" s="2036"/>
      <c r="R635" s="2036"/>
      <c r="S635" s="2036"/>
      <c r="T635" s="2036"/>
      <c r="U635" s="2036"/>
      <c r="V635" s="2036"/>
      <c r="W635" s="2036"/>
      <c r="X635" s="2036"/>
      <c r="Y635" s="2036"/>
      <c r="Z635" s="2036"/>
      <c r="AA635" s="2036"/>
      <c r="AB635" s="2036"/>
      <c r="AC635" s="100">
        <v>0</v>
      </c>
      <c r="AD635" s="19">
        <v>0</v>
      </c>
      <c r="AE635" s="19">
        <v>0</v>
      </c>
      <c r="AF635" s="19">
        <v>0</v>
      </c>
      <c r="AG635" s="19">
        <v>0</v>
      </c>
      <c r="AH635" s="19">
        <v>0</v>
      </c>
      <c r="AI635" s="19">
        <v>0</v>
      </c>
    </row>
    <row r="636" spans="1:35" s="75" customFormat="1">
      <c r="A636" s="990">
        <v>574</v>
      </c>
      <c r="B636" s="990">
        <v>1</v>
      </c>
      <c r="C636" s="990">
        <v>636</v>
      </c>
      <c r="E636" s="1243">
        <v>1</v>
      </c>
      <c r="F636" s="10"/>
      <c r="G636" s="10"/>
      <c r="H636" s="24"/>
      <c r="I636" s="445"/>
      <c r="J636" s="446"/>
      <c r="K636" s="74"/>
      <c r="L636" s="74"/>
      <c r="N636" s="75" t="s">
        <v>852</v>
      </c>
      <c r="Q636" s="2036"/>
      <c r="R636" s="2036"/>
      <c r="S636" s="2036"/>
      <c r="T636" s="2036"/>
      <c r="U636" s="2036"/>
      <c r="V636" s="2036"/>
      <c r="W636" s="2036"/>
      <c r="X636" s="2036"/>
      <c r="Y636" s="2036"/>
      <c r="Z636" s="2036"/>
      <c r="AA636" s="2036"/>
      <c r="AB636" s="2036"/>
      <c r="AC636" s="100">
        <v>0</v>
      </c>
      <c r="AD636" s="19">
        <v>0</v>
      </c>
      <c r="AE636" s="19">
        <v>0</v>
      </c>
      <c r="AF636" s="19">
        <v>0</v>
      </c>
      <c r="AG636" s="19">
        <v>0</v>
      </c>
      <c r="AH636" s="19">
        <v>0</v>
      </c>
      <c r="AI636" s="19">
        <v>0</v>
      </c>
    </row>
    <row r="637" spans="1:35" s="75" customFormat="1">
      <c r="A637" s="990">
        <v>575</v>
      </c>
      <c r="B637" s="990">
        <v>1</v>
      </c>
      <c r="C637" s="990">
        <v>637</v>
      </c>
      <c r="E637" s="1243">
        <v>1</v>
      </c>
      <c r="F637" s="10"/>
      <c r="G637" s="10"/>
      <c r="H637" s="24"/>
      <c r="I637" s="445"/>
      <c r="J637" s="446"/>
      <c r="K637" s="74"/>
      <c r="L637" s="74"/>
      <c r="M637" s="276"/>
      <c r="N637" s="276" t="s">
        <v>11</v>
      </c>
      <c r="O637" s="276"/>
      <c r="P637" s="276"/>
      <c r="Q637" s="2037"/>
      <c r="R637" s="2037"/>
      <c r="S637" s="2037"/>
      <c r="T637" s="2037"/>
      <c r="U637" s="2037"/>
      <c r="V637" s="2037"/>
      <c r="W637" s="2037"/>
      <c r="X637" s="2037"/>
      <c r="Y637" s="2037"/>
      <c r="Z637" s="2037"/>
      <c r="AA637" s="2037"/>
      <c r="AB637" s="2037"/>
      <c r="AC637" s="99">
        <v>0</v>
      </c>
      <c r="AD637" s="17">
        <v>0</v>
      </c>
      <c r="AE637" s="17">
        <v>0</v>
      </c>
      <c r="AF637" s="17">
        <v>0</v>
      </c>
      <c r="AG637" s="17">
        <v>0</v>
      </c>
      <c r="AH637" s="17">
        <v>0</v>
      </c>
      <c r="AI637" s="17">
        <v>0</v>
      </c>
    </row>
    <row r="638" spans="1:35" s="75" customFormat="1">
      <c r="A638" s="990">
        <v>576</v>
      </c>
      <c r="B638" s="990">
        <v>1</v>
      </c>
      <c r="C638" s="990">
        <v>638</v>
      </c>
      <c r="E638" s="1243">
        <v>1</v>
      </c>
      <c r="F638" s="10"/>
      <c r="G638" s="10"/>
      <c r="H638" s="24"/>
      <c r="I638" s="445"/>
      <c r="J638" s="446"/>
      <c r="K638" s="74"/>
      <c r="L638" s="74"/>
      <c r="M638" s="75" t="s">
        <v>95</v>
      </c>
      <c r="N638" s="391"/>
      <c r="O638" s="391"/>
      <c r="P638" s="391"/>
      <c r="Q638" s="365">
        <v>0</v>
      </c>
      <c r="R638" s="365">
        <v>0</v>
      </c>
      <c r="S638" s="365">
        <v>0</v>
      </c>
      <c r="T638" s="365">
        <v>0</v>
      </c>
      <c r="U638" s="365">
        <v>0</v>
      </c>
      <c r="V638" s="365">
        <v>0</v>
      </c>
      <c r="W638" s="365">
        <v>0</v>
      </c>
      <c r="X638" s="365">
        <v>0</v>
      </c>
      <c r="Y638" s="365">
        <v>0</v>
      </c>
      <c r="Z638" s="365">
        <v>0</v>
      </c>
      <c r="AA638" s="365">
        <v>0</v>
      </c>
      <c r="AB638" s="365">
        <v>0</v>
      </c>
      <c r="AC638" s="408">
        <v>0</v>
      </c>
      <c r="AD638" s="365">
        <v>0</v>
      </c>
      <c r="AE638" s="365">
        <v>0</v>
      </c>
      <c r="AF638" s="365">
        <v>0</v>
      </c>
      <c r="AG638" s="365">
        <v>0</v>
      </c>
      <c r="AH638" s="365">
        <v>0</v>
      </c>
      <c r="AI638" s="365">
        <v>0</v>
      </c>
    </row>
    <row r="639" spans="1:35" s="75" customFormat="1">
      <c r="A639" s="990">
        <v>577</v>
      </c>
      <c r="B639" s="990">
        <v>1</v>
      </c>
      <c r="C639" s="990">
        <v>639</v>
      </c>
      <c r="E639" s="1243">
        <v>1</v>
      </c>
      <c r="F639" s="10"/>
      <c r="G639" s="10"/>
      <c r="H639" s="24"/>
      <c r="I639" s="445"/>
      <c r="J639" s="446"/>
      <c r="K639" s="74"/>
      <c r="L639" s="74"/>
      <c r="N639" s="1246" t="s">
        <v>989</v>
      </c>
      <c r="O639" s="377"/>
      <c r="P639" s="377"/>
      <c r="Q639" s="2042"/>
      <c r="R639" s="2042"/>
      <c r="S639" s="2042"/>
      <c r="T639" s="2042"/>
      <c r="U639" s="2042"/>
      <c r="V639" s="2042"/>
      <c r="W639" s="2042"/>
      <c r="X639" s="2042"/>
      <c r="Y639" s="2042"/>
      <c r="Z639" s="2042"/>
      <c r="AA639" s="2042"/>
      <c r="AB639" s="2042"/>
      <c r="AC639" s="376">
        <v>0</v>
      </c>
      <c r="AD639" s="109">
        <v>0</v>
      </c>
      <c r="AE639" s="109">
        <v>0</v>
      </c>
      <c r="AF639" s="109">
        <v>0</v>
      </c>
      <c r="AG639" s="109">
        <v>0</v>
      </c>
      <c r="AH639" s="109">
        <v>0</v>
      </c>
      <c r="AI639" s="109">
        <v>0</v>
      </c>
    </row>
    <row r="640" spans="1:35" s="75" customFormat="1">
      <c r="A640" s="990">
        <v>578</v>
      </c>
      <c r="B640" s="990">
        <v>1</v>
      </c>
      <c r="C640" s="990">
        <v>640</v>
      </c>
      <c r="E640" s="1243">
        <v>1</v>
      </c>
      <c r="F640" s="10"/>
      <c r="G640" s="10"/>
      <c r="H640" s="24"/>
      <c r="I640" s="445"/>
      <c r="J640" s="446"/>
      <c r="K640" s="74"/>
      <c r="L640" s="74"/>
      <c r="N640" s="75" t="s">
        <v>1040</v>
      </c>
      <c r="Q640" s="2036"/>
      <c r="R640" s="2036"/>
      <c r="S640" s="2036"/>
      <c r="T640" s="2036"/>
      <c r="U640" s="2036"/>
      <c r="V640" s="2036"/>
      <c r="W640" s="2036"/>
      <c r="X640" s="2036"/>
      <c r="Y640" s="2036"/>
      <c r="Z640" s="2036"/>
      <c r="AA640" s="2036"/>
      <c r="AB640" s="2036"/>
      <c r="AC640" s="100">
        <v>0</v>
      </c>
      <c r="AD640" s="19">
        <v>0</v>
      </c>
      <c r="AE640" s="19">
        <v>0</v>
      </c>
      <c r="AF640" s="19">
        <v>0</v>
      </c>
      <c r="AG640" s="19">
        <v>0</v>
      </c>
      <c r="AH640" s="19">
        <v>0</v>
      </c>
      <c r="AI640" s="19">
        <v>0</v>
      </c>
    </row>
    <row r="641" spans="1:35" s="75" customFormat="1">
      <c r="A641" s="990">
        <v>579</v>
      </c>
      <c r="B641" s="990">
        <v>1</v>
      </c>
      <c r="C641" s="990">
        <v>641</v>
      </c>
      <c r="E641" s="1243">
        <v>1</v>
      </c>
      <c r="F641" s="10"/>
      <c r="G641" s="10"/>
      <c r="H641" s="24"/>
      <c r="I641" s="445"/>
      <c r="J641" s="446"/>
      <c r="K641" s="74"/>
      <c r="L641" s="74"/>
      <c r="N641" s="75" t="s">
        <v>1041</v>
      </c>
      <c r="Q641" s="2036"/>
      <c r="R641" s="2036"/>
      <c r="S641" s="2036"/>
      <c r="T641" s="2036"/>
      <c r="U641" s="2036"/>
      <c r="V641" s="2036"/>
      <c r="W641" s="2036"/>
      <c r="X641" s="2036"/>
      <c r="Y641" s="2036"/>
      <c r="Z641" s="2036"/>
      <c r="AA641" s="2036"/>
      <c r="AB641" s="2036"/>
      <c r="AC641" s="100">
        <v>0</v>
      </c>
      <c r="AD641" s="19">
        <v>0</v>
      </c>
      <c r="AE641" s="19">
        <v>0</v>
      </c>
      <c r="AF641" s="19">
        <v>0</v>
      </c>
      <c r="AG641" s="19">
        <v>0</v>
      </c>
      <c r="AH641" s="19">
        <v>0</v>
      </c>
      <c r="AI641" s="19">
        <v>0</v>
      </c>
    </row>
    <row r="642" spans="1:35">
      <c r="A642" s="990">
        <v>580</v>
      </c>
      <c r="B642" s="990">
        <v>1</v>
      </c>
      <c r="C642" s="990">
        <v>642</v>
      </c>
      <c r="E642" s="1243">
        <v>1</v>
      </c>
      <c r="I642" s="445"/>
      <c r="J642" s="446"/>
      <c r="K642" s="74"/>
      <c r="L642" s="74"/>
      <c r="M642" s="75"/>
      <c r="N642" s="75" t="s">
        <v>1042</v>
      </c>
      <c r="O642" s="75"/>
      <c r="P642" s="75"/>
      <c r="Q642" s="2036"/>
      <c r="R642" s="2036"/>
      <c r="S642" s="2036"/>
      <c r="T642" s="2036"/>
      <c r="U642" s="2036"/>
      <c r="V642" s="2036"/>
      <c r="W642" s="2036"/>
      <c r="X642" s="2036"/>
      <c r="Y642" s="2036"/>
      <c r="Z642" s="2036"/>
      <c r="AA642" s="2036"/>
      <c r="AB642" s="2036"/>
      <c r="AC642" s="100">
        <v>0</v>
      </c>
      <c r="AD642" s="19">
        <v>0</v>
      </c>
      <c r="AE642" s="19">
        <v>0</v>
      </c>
      <c r="AF642" s="19">
        <v>0</v>
      </c>
      <c r="AG642" s="19">
        <v>0</v>
      </c>
      <c r="AH642" s="19">
        <v>0</v>
      </c>
      <c r="AI642" s="19">
        <v>0</v>
      </c>
    </row>
    <row r="643" spans="1:35">
      <c r="A643" s="990">
        <v>581</v>
      </c>
      <c r="B643" s="990">
        <v>1</v>
      </c>
      <c r="C643" s="990">
        <v>643</v>
      </c>
      <c r="E643" s="1243">
        <v>1</v>
      </c>
      <c r="I643" s="445"/>
      <c r="J643" s="446"/>
      <c r="K643" s="74"/>
      <c r="L643" s="74"/>
      <c r="M643" s="75"/>
      <c r="N643" s="75" t="s">
        <v>852</v>
      </c>
      <c r="O643" s="75"/>
      <c r="P643" s="75"/>
      <c r="Q643" s="2036"/>
      <c r="R643" s="2036"/>
      <c r="S643" s="2036"/>
      <c r="T643" s="2036"/>
      <c r="U643" s="2036"/>
      <c r="V643" s="2036"/>
      <c r="W643" s="2036"/>
      <c r="X643" s="2036"/>
      <c r="Y643" s="2036"/>
      <c r="Z643" s="2036"/>
      <c r="AA643" s="2036"/>
      <c r="AB643" s="2036"/>
      <c r="AC643" s="100">
        <v>0</v>
      </c>
      <c r="AD643" s="19">
        <v>0</v>
      </c>
      <c r="AE643" s="19">
        <v>0</v>
      </c>
      <c r="AF643" s="19">
        <v>0</v>
      </c>
      <c r="AG643" s="19">
        <v>0</v>
      </c>
      <c r="AH643" s="19">
        <v>0</v>
      </c>
      <c r="AI643" s="19">
        <v>0</v>
      </c>
    </row>
    <row r="644" spans="1:35">
      <c r="A644" s="990">
        <v>582</v>
      </c>
      <c r="B644" s="990">
        <v>1</v>
      </c>
      <c r="C644" s="990">
        <v>644</v>
      </c>
      <c r="E644" s="1243">
        <v>1</v>
      </c>
      <c r="I644" s="445"/>
      <c r="J644" s="446"/>
      <c r="K644" s="73"/>
      <c r="L644" s="73"/>
      <c r="M644" s="75"/>
      <c r="N644" s="276" t="s">
        <v>11</v>
      </c>
      <c r="O644" s="276"/>
      <c r="P644" s="276"/>
      <c r="Q644" s="2037"/>
      <c r="R644" s="2037"/>
      <c r="S644" s="2037"/>
      <c r="T644" s="2037"/>
      <c r="U644" s="2037"/>
      <c r="V644" s="2037"/>
      <c r="W644" s="2037"/>
      <c r="X644" s="2037"/>
      <c r="Y644" s="2037"/>
      <c r="Z644" s="2037"/>
      <c r="AA644" s="2037"/>
      <c r="AB644" s="2037"/>
      <c r="AC644" s="99">
        <v>0</v>
      </c>
      <c r="AD644" s="17">
        <v>0</v>
      </c>
      <c r="AE644" s="17">
        <v>0</v>
      </c>
      <c r="AF644" s="17">
        <v>0</v>
      </c>
      <c r="AG644" s="17">
        <v>0</v>
      </c>
      <c r="AH644" s="17">
        <v>0</v>
      </c>
      <c r="AI644" s="17">
        <v>0</v>
      </c>
    </row>
    <row r="645" spans="1:35">
      <c r="A645" s="990">
        <v>583</v>
      </c>
      <c r="B645" s="990">
        <v>1</v>
      </c>
      <c r="C645" s="990">
        <v>645</v>
      </c>
      <c r="E645" s="1243">
        <v>1</v>
      </c>
      <c r="I645" s="445"/>
      <c r="J645" s="446"/>
      <c r="K645" s="69" t="s">
        <v>1023</v>
      </c>
      <c r="L645" s="69"/>
      <c r="M645" s="610"/>
      <c r="N645" s="610"/>
      <c r="O645" s="610"/>
      <c r="P645" s="610"/>
      <c r="Q645" s="2056">
        <v>0</v>
      </c>
      <c r="R645" s="2056">
        <v>0</v>
      </c>
      <c r="S645" s="2056">
        <v>0</v>
      </c>
      <c r="T645" s="2056">
        <v>0</v>
      </c>
      <c r="U645" s="2056">
        <v>0</v>
      </c>
      <c r="V645" s="2056">
        <v>0</v>
      </c>
      <c r="W645" s="2056">
        <v>0</v>
      </c>
      <c r="X645" s="2056">
        <v>0</v>
      </c>
      <c r="Y645" s="2056">
        <v>0</v>
      </c>
      <c r="Z645" s="2056">
        <v>0</v>
      </c>
      <c r="AA645" s="2056">
        <v>0</v>
      </c>
      <c r="AB645" s="2056">
        <v>0</v>
      </c>
      <c r="AC645" s="2546">
        <v>0</v>
      </c>
      <c r="AD645" s="2056">
        <v>0</v>
      </c>
      <c r="AE645" s="2056">
        <v>0</v>
      </c>
      <c r="AF645" s="2056">
        <v>0</v>
      </c>
      <c r="AG645" s="2056">
        <v>0</v>
      </c>
      <c r="AH645" s="2056">
        <v>0</v>
      </c>
      <c r="AI645" s="2056">
        <v>0</v>
      </c>
    </row>
    <row r="646" spans="1:35">
      <c r="A646" s="990">
        <v>584</v>
      </c>
      <c r="B646" s="990">
        <v>1</v>
      </c>
      <c r="C646" s="990">
        <v>646</v>
      </c>
      <c r="E646" s="1243">
        <v>1</v>
      </c>
      <c r="I646" s="445"/>
      <c r="J646" s="446"/>
      <c r="K646" s="69"/>
      <c r="L646" s="69"/>
      <c r="M646" s="75" t="s">
        <v>1039</v>
      </c>
      <c r="N646" s="391"/>
      <c r="O646" s="391"/>
      <c r="P646" s="391"/>
      <c r="Q646" s="365">
        <v>0</v>
      </c>
      <c r="R646" s="365">
        <v>0</v>
      </c>
      <c r="S646" s="365">
        <v>0</v>
      </c>
      <c r="T646" s="365">
        <v>0</v>
      </c>
      <c r="U646" s="365">
        <v>0</v>
      </c>
      <c r="V646" s="365">
        <v>0</v>
      </c>
      <c r="W646" s="365">
        <v>0</v>
      </c>
      <c r="X646" s="365">
        <v>0</v>
      </c>
      <c r="Y646" s="365">
        <v>0</v>
      </c>
      <c r="Z646" s="365">
        <v>0</v>
      </c>
      <c r="AA646" s="365">
        <v>0</v>
      </c>
      <c r="AB646" s="365">
        <v>0</v>
      </c>
      <c r="AC646" s="408">
        <v>0</v>
      </c>
      <c r="AD646" s="365">
        <v>0</v>
      </c>
      <c r="AE646" s="365">
        <v>0</v>
      </c>
      <c r="AF646" s="365">
        <v>0</v>
      </c>
      <c r="AG646" s="365">
        <v>0</v>
      </c>
      <c r="AH646" s="365">
        <v>0</v>
      </c>
      <c r="AI646" s="365">
        <v>0</v>
      </c>
    </row>
    <row r="647" spans="1:35">
      <c r="A647" s="990">
        <v>585</v>
      </c>
      <c r="B647" s="990">
        <v>1</v>
      </c>
      <c r="C647" s="990">
        <v>647</v>
      </c>
      <c r="E647" s="1243">
        <v>1</v>
      </c>
      <c r="I647" s="445"/>
      <c r="J647" s="446"/>
      <c r="K647" s="69"/>
      <c r="L647" s="69"/>
      <c r="M647" s="75"/>
      <c r="N647" s="1246" t="s">
        <v>989</v>
      </c>
      <c r="O647" s="377"/>
      <c r="P647" s="377"/>
      <c r="Q647" s="2042"/>
      <c r="R647" s="2042"/>
      <c r="S647" s="2042"/>
      <c r="T647" s="2042"/>
      <c r="U647" s="2042"/>
      <c r="V647" s="2042"/>
      <c r="W647" s="2042"/>
      <c r="X647" s="2042"/>
      <c r="Y647" s="2042"/>
      <c r="Z647" s="2042"/>
      <c r="AA647" s="2042"/>
      <c r="AB647" s="2042"/>
      <c r="AC647" s="376">
        <v>0</v>
      </c>
      <c r="AD647" s="109">
        <v>0</v>
      </c>
      <c r="AE647" s="109">
        <v>0</v>
      </c>
      <c r="AF647" s="109">
        <v>0</v>
      </c>
      <c r="AG647" s="109">
        <v>0</v>
      </c>
      <c r="AH647" s="109">
        <v>0</v>
      </c>
      <c r="AI647" s="109">
        <v>0</v>
      </c>
    </row>
    <row r="648" spans="1:35">
      <c r="A648" s="990">
        <v>586</v>
      </c>
      <c r="B648" s="990">
        <v>1</v>
      </c>
      <c r="C648" s="990">
        <v>648</v>
      </c>
      <c r="E648" s="1243">
        <v>1</v>
      </c>
      <c r="I648" s="445"/>
      <c r="J648" s="446"/>
      <c r="K648" s="69"/>
      <c r="L648" s="69"/>
      <c r="M648" s="75"/>
      <c r="N648" s="75" t="s">
        <v>1040</v>
      </c>
      <c r="O648" s="75"/>
      <c r="P648" s="75"/>
      <c r="Q648" s="2036"/>
      <c r="R648" s="2036"/>
      <c r="S648" s="2036"/>
      <c r="T648" s="2036"/>
      <c r="U648" s="2036"/>
      <c r="V648" s="2036"/>
      <c r="W648" s="2036"/>
      <c r="X648" s="2036"/>
      <c r="Y648" s="2036"/>
      <c r="Z648" s="2036"/>
      <c r="AA648" s="2036"/>
      <c r="AB648" s="2036"/>
      <c r="AC648" s="100">
        <v>0</v>
      </c>
      <c r="AD648" s="19">
        <v>0</v>
      </c>
      <c r="AE648" s="19">
        <v>0</v>
      </c>
      <c r="AF648" s="19">
        <v>0</v>
      </c>
      <c r="AG648" s="19">
        <v>0</v>
      </c>
      <c r="AH648" s="19">
        <v>0</v>
      </c>
      <c r="AI648" s="19">
        <v>0</v>
      </c>
    </row>
    <row r="649" spans="1:35">
      <c r="A649" s="990">
        <v>587</v>
      </c>
      <c r="B649" s="990">
        <v>1</v>
      </c>
      <c r="C649" s="990">
        <v>649</v>
      </c>
      <c r="E649" s="1243">
        <v>1</v>
      </c>
      <c r="I649" s="445"/>
      <c r="J649" s="446"/>
      <c r="K649" s="69"/>
      <c r="L649" s="69"/>
      <c r="M649" s="75"/>
      <c r="N649" s="75" t="s">
        <v>1041</v>
      </c>
      <c r="O649" s="75"/>
      <c r="P649" s="75"/>
      <c r="Q649" s="2036"/>
      <c r="R649" s="2036"/>
      <c r="S649" s="2036"/>
      <c r="T649" s="2036"/>
      <c r="U649" s="2036"/>
      <c r="V649" s="2036"/>
      <c r="W649" s="2036"/>
      <c r="X649" s="2036"/>
      <c r="Y649" s="2036"/>
      <c r="Z649" s="2036"/>
      <c r="AA649" s="2036"/>
      <c r="AB649" s="2036"/>
      <c r="AC649" s="100">
        <v>0</v>
      </c>
      <c r="AD649" s="19">
        <v>0</v>
      </c>
      <c r="AE649" s="19">
        <v>0</v>
      </c>
      <c r="AF649" s="19">
        <v>0</v>
      </c>
      <c r="AG649" s="19">
        <v>0</v>
      </c>
      <c r="AH649" s="19">
        <v>0</v>
      </c>
      <c r="AI649" s="19">
        <v>0</v>
      </c>
    </row>
    <row r="650" spans="1:35">
      <c r="A650" s="990">
        <v>588</v>
      </c>
      <c r="B650" s="990">
        <v>1</v>
      </c>
      <c r="C650" s="990">
        <v>650</v>
      </c>
      <c r="E650" s="1243">
        <v>1</v>
      </c>
      <c r="I650" s="445"/>
      <c r="J650" s="446"/>
      <c r="K650" s="69"/>
      <c r="L650" s="69"/>
      <c r="M650" s="75"/>
      <c r="N650" s="75" t="s">
        <v>1042</v>
      </c>
      <c r="O650" s="75"/>
      <c r="P650" s="75"/>
      <c r="Q650" s="2036"/>
      <c r="R650" s="2036"/>
      <c r="S650" s="2036"/>
      <c r="T650" s="2036"/>
      <c r="U650" s="2036"/>
      <c r="V650" s="2036"/>
      <c r="W650" s="2036"/>
      <c r="X650" s="2036"/>
      <c r="Y650" s="2036"/>
      <c r="Z650" s="2036"/>
      <c r="AA650" s="2036"/>
      <c r="AB650" s="2036"/>
      <c r="AC650" s="100">
        <v>0</v>
      </c>
      <c r="AD650" s="19">
        <v>0</v>
      </c>
      <c r="AE650" s="19">
        <v>0</v>
      </c>
      <c r="AF650" s="19">
        <v>0</v>
      </c>
      <c r="AG650" s="19">
        <v>0</v>
      </c>
      <c r="AH650" s="19">
        <v>0</v>
      </c>
      <c r="AI650" s="19">
        <v>0</v>
      </c>
    </row>
    <row r="651" spans="1:35">
      <c r="A651" s="990">
        <v>589</v>
      </c>
      <c r="B651" s="990">
        <v>1</v>
      </c>
      <c r="C651" s="990">
        <v>651</v>
      </c>
      <c r="E651" s="1243">
        <v>1</v>
      </c>
      <c r="I651" s="445"/>
      <c r="J651" s="446"/>
      <c r="K651" s="69"/>
      <c r="L651" s="69"/>
      <c r="M651" s="75"/>
      <c r="N651" s="75" t="s">
        <v>852</v>
      </c>
      <c r="O651" s="75"/>
      <c r="P651" s="75"/>
      <c r="Q651" s="2036"/>
      <c r="R651" s="2036"/>
      <c r="S651" s="2036"/>
      <c r="T651" s="2036"/>
      <c r="U651" s="2036"/>
      <c r="V651" s="2036"/>
      <c r="W651" s="2036"/>
      <c r="X651" s="2036"/>
      <c r="Y651" s="2036"/>
      <c r="Z651" s="2036"/>
      <c r="AA651" s="2036"/>
      <c r="AB651" s="2036"/>
      <c r="AC651" s="100">
        <v>0</v>
      </c>
      <c r="AD651" s="19">
        <v>0</v>
      </c>
      <c r="AE651" s="19">
        <v>0</v>
      </c>
      <c r="AF651" s="19">
        <v>0</v>
      </c>
      <c r="AG651" s="19">
        <v>0</v>
      </c>
      <c r="AH651" s="19">
        <v>0</v>
      </c>
      <c r="AI651" s="19">
        <v>0</v>
      </c>
    </row>
    <row r="652" spans="1:35">
      <c r="A652" s="990">
        <v>590</v>
      </c>
      <c r="B652" s="990">
        <v>1</v>
      </c>
      <c r="C652" s="990">
        <v>652</v>
      </c>
      <c r="E652" s="1243">
        <v>1</v>
      </c>
      <c r="I652" s="445"/>
      <c r="J652" s="446"/>
      <c r="K652" s="69"/>
      <c r="L652" s="69"/>
      <c r="M652" s="75"/>
      <c r="N652" s="276" t="s">
        <v>11</v>
      </c>
      <c r="O652" s="276"/>
      <c r="P652" s="276"/>
      <c r="Q652" s="2037"/>
      <c r="R652" s="2037"/>
      <c r="S652" s="2037"/>
      <c r="T652" s="2037"/>
      <c r="U652" s="2037"/>
      <c r="V652" s="2037"/>
      <c r="W652" s="2037"/>
      <c r="X652" s="2037"/>
      <c r="Y652" s="2037"/>
      <c r="Z652" s="2037"/>
      <c r="AA652" s="2037"/>
      <c r="AB652" s="2037"/>
      <c r="AC652" s="99">
        <v>0</v>
      </c>
      <c r="AD652" s="17">
        <v>0</v>
      </c>
      <c r="AE652" s="17">
        <v>0</v>
      </c>
      <c r="AF652" s="17">
        <v>0</v>
      </c>
      <c r="AG652" s="17">
        <v>0</v>
      </c>
      <c r="AH652" s="17">
        <v>0</v>
      </c>
      <c r="AI652" s="17">
        <v>0</v>
      </c>
    </row>
    <row r="653" spans="1:35">
      <c r="A653" s="990">
        <v>591</v>
      </c>
      <c r="B653" s="990">
        <v>1</v>
      </c>
      <c r="C653" s="990">
        <v>653</v>
      </c>
      <c r="E653" s="1243">
        <v>1</v>
      </c>
      <c r="I653" s="445"/>
      <c r="J653" s="446"/>
      <c r="K653" s="69"/>
      <c r="L653" s="69"/>
      <c r="M653" s="1198" t="s">
        <v>95</v>
      </c>
      <c r="N653" s="391"/>
      <c r="O653" s="391"/>
      <c r="P653" s="391"/>
      <c r="Q653" s="365">
        <v>0</v>
      </c>
      <c r="R653" s="365">
        <v>0</v>
      </c>
      <c r="S653" s="365">
        <v>0</v>
      </c>
      <c r="T653" s="365">
        <v>0</v>
      </c>
      <c r="U653" s="365">
        <v>0</v>
      </c>
      <c r="V653" s="365">
        <v>0</v>
      </c>
      <c r="W653" s="365">
        <v>0</v>
      </c>
      <c r="X653" s="365">
        <v>0</v>
      </c>
      <c r="Y653" s="365">
        <v>0</v>
      </c>
      <c r="Z653" s="365">
        <v>0</v>
      </c>
      <c r="AA653" s="365">
        <v>0</v>
      </c>
      <c r="AB653" s="365">
        <v>0</v>
      </c>
      <c r="AC653" s="408">
        <v>0</v>
      </c>
      <c r="AD653" s="365">
        <v>0</v>
      </c>
      <c r="AE653" s="365">
        <v>0</v>
      </c>
      <c r="AF653" s="365">
        <v>0</v>
      </c>
      <c r="AG653" s="365">
        <v>0</v>
      </c>
      <c r="AH653" s="365">
        <v>0</v>
      </c>
      <c r="AI653" s="365">
        <v>0</v>
      </c>
    </row>
    <row r="654" spans="1:35" s="75" customFormat="1">
      <c r="A654" s="990">
        <v>592</v>
      </c>
      <c r="B654" s="990">
        <v>1</v>
      </c>
      <c r="C654" s="990">
        <v>654</v>
      </c>
      <c r="E654" s="1243">
        <v>1</v>
      </c>
      <c r="F654" s="10"/>
      <c r="G654" s="10"/>
      <c r="H654" s="24"/>
      <c r="I654" s="445"/>
      <c r="J654" s="446"/>
      <c r="K654" s="69"/>
      <c r="L654" s="69"/>
      <c r="N654" s="1246" t="s">
        <v>989</v>
      </c>
      <c r="O654" s="377"/>
      <c r="P654" s="377"/>
      <c r="Q654" s="2042"/>
      <c r="R654" s="2042"/>
      <c r="S654" s="2042"/>
      <c r="T654" s="2042"/>
      <c r="U654" s="2042"/>
      <c r="V654" s="2042"/>
      <c r="W654" s="2042"/>
      <c r="X654" s="2042"/>
      <c r="Y654" s="2042"/>
      <c r="Z654" s="2042"/>
      <c r="AA654" s="2042"/>
      <c r="AB654" s="2042"/>
      <c r="AC654" s="376">
        <v>0</v>
      </c>
      <c r="AD654" s="109">
        <v>0</v>
      </c>
      <c r="AE654" s="109">
        <v>0</v>
      </c>
      <c r="AF654" s="109">
        <v>0</v>
      </c>
      <c r="AG654" s="109">
        <v>0</v>
      </c>
      <c r="AH654" s="109">
        <v>0</v>
      </c>
      <c r="AI654" s="109">
        <v>0</v>
      </c>
    </row>
    <row r="655" spans="1:35" s="75" customFormat="1">
      <c r="A655" s="990">
        <v>593</v>
      </c>
      <c r="B655" s="990">
        <v>1</v>
      </c>
      <c r="C655" s="990">
        <v>655</v>
      </c>
      <c r="E655" s="1243">
        <v>1</v>
      </c>
      <c r="F655" s="10"/>
      <c r="G655" s="10"/>
      <c r="H655" s="24"/>
      <c r="I655" s="445"/>
      <c r="J655" s="446"/>
      <c r="K655" s="69"/>
      <c r="L655" s="69"/>
      <c r="N655" s="75" t="s">
        <v>1040</v>
      </c>
      <c r="Q655" s="2036"/>
      <c r="R655" s="2036"/>
      <c r="S655" s="2036"/>
      <c r="T655" s="2036"/>
      <c r="U655" s="2036"/>
      <c r="V655" s="2036"/>
      <c r="W655" s="2036"/>
      <c r="X655" s="2036"/>
      <c r="Y655" s="2036"/>
      <c r="Z655" s="2036"/>
      <c r="AA655" s="2036"/>
      <c r="AB655" s="2036"/>
      <c r="AC655" s="100">
        <v>0</v>
      </c>
      <c r="AD655" s="19">
        <v>0</v>
      </c>
      <c r="AE655" s="19">
        <v>0</v>
      </c>
      <c r="AF655" s="19">
        <v>0</v>
      </c>
      <c r="AG655" s="19">
        <v>0</v>
      </c>
      <c r="AH655" s="19">
        <v>0</v>
      </c>
      <c r="AI655" s="19">
        <v>0</v>
      </c>
    </row>
    <row r="656" spans="1:35" s="75" customFormat="1">
      <c r="A656" s="990">
        <v>594</v>
      </c>
      <c r="B656" s="990">
        <v>1</v>
      </c>
      <c r="C656" s="990">
        <v>656</v>
      </c>
      <c r="E656" s="1243">
        <v>1</v>
      </c>
      <c r="F656" s="10"/>
      <c r="G656" s="10"/>
      <c r="H656" s="24"/>
      <c r="I656" s="445"/>
      <c r="J656" s="446"/>
      <c r="K656" s="69"/>
      <c r="L656" s="69"/>
      <c r="N656" s="75" t="s">
        <v>1041</v>
      </c>
      <c r="Q656" s="2036"/>
      <c r="R656" s="2036"/>
      <c r="S656" s="2036"/>
      <c r="T656" s="2036"/>
      <c r="U656" s="2036"/>
      <c r="V656" s="2036"/>
      <c r="W656" s="2036"/>
      <c r="X656" s="2036"/>
      <c r="Y656" s="2036"/>
      <c r="Z656" s="2036"/>
      <c r="AA656" s="2036"/>
      <c r="AB656" s="2036"/>
      <c r="AC656" s="100">
        <v>0</v>
      </c>
      <c r="AD656" s="19">
        <v>0</v>
      </c>
      <c r="AE656" s="19">
        <v>0</v>
      </c>
      <c r="AF656" s="19">
        <v>0</v>
      </c>
      <c r="AG656" s="19">
        <v>0</v>
      </c>
      <c r="AH656" s="19">
        <v>0</v>
      </c>
      <c r="AI656" s="19">
        <v>0</v>
      </c>
    </row>
    <row r="657" spans="1:35" s="75" customFormat="1">
      <c r="A657" s="990">
        <v>595</v>
      </c>
      <c r="B657" s="990">
        <v>1</v>
      </c>
      <c r="C657" s="990">
        <v>657</v>
      </c>
      <c r="E657" s="1243">
        <v>1</v>
      </c>
      <c r="F657" s="10"/>
      <c r="G657" s="10"/>
      <c r="H657" s="24"/>
      <c r="I657" s="445"/>
      <c r="J657" s="446"/>
      <c r="K657" s="69"/>
      <c r="L657" s="69"/>
      <c r="N657" s="75" t="s">
        <v>1042</v>
      </c>
      <c r="Q657" s="2036"/>
      <c r="R657" s="2036"/>
      <c r="S657" s="2036"/>
      <c r="T657" s="2036"/>
      <c r="U657" s="2036"/>
      <c r="V657" s="2036"/>
      <c r="W657" s="2036"/>
      <c r="X657" s="2036"/>
      <c r="Y657" s="2036"/>
      <c r="Z657" s="2036"/>
      <c r="AA657" s="2036"/>
      <c r="AB657" s="2036"/>
      <c r="AC657" s="100">
        <v>0</v>
      </c>
      <c r="AD657" s="19">
        <v>0</v>
      </c>
      <c r="AE657" s="19">
        <v>0</v>
      </c>
      <c r="AF657" s="19">
        <v>0</v>
      </c>
      <c r="AG657" s="19">
        <v>0</v>
      </c>
      <c r="AH657" s="19">
        <v>0</v>
      </c>
      <c r="AI657" s="19">
        <v>0</v>
      </c>
    </row>
    <row r="658" spans="1:35">
      <c r="A658" s="990">
        <v>596</v>
      </c>
      <c r="B658" s="990">
        <v>1</v>
      </c>
      <c r="C658" s="990">
        <v>658</v>
      </c>
      <c r="E658" s="1243">
        <v>1</v>
      </c>
      <c r="I658" s="445"/>
      <c r="J658" s="446"/>
      <c r="K658" s="69"/>
      <c r="L658" s="69"/>
      <c r="M658" s="75"/>
      <c r="N658" s="75" t="s">
        <v>852</v>
      </c>
      <c r="O658" s="75"/>
      <c r="P658" s="75"/>
      <c r="Q658" s="2036"/>
      <c r="R658" s="2036"/>
      <c r="S658" s="2036"/>
      <c r="T658" s="2036"/>
      <c r="U658" s="2036"/>
      <c r="V658" s="2036"/>
      <c r="W658" s="2036"/>
      <c r="X658" s="2036"/>
      <c r="Y658" s="2036"/>
      <c r="Z658" s="2036"/>
      <c r="AA658" s="2036"/>
      <c r="AB658" s="2036"/>
      <c r="AC658" s="100">
        <v>0</v>
      </c>
      <c r="AD658" s="19">
        <v>0</v>
      </c>
      <c r="AE658" s="19">
        <v>0</v>
      </c>
      <c r="AF658" s="19">
        <v>0</v>
      </c>
      <c r="AG658" s="19">
        <v>0</v>
      </c>
      <c r="AH658" s="19">
        <v>0</v>
      </c>
      <c r="AI658" s="19">
        <v>0</v>
      </c>
    </row>
    <row r="659" spans="1:35">
      <c r="A659" s="990">
        <v>597</v>
      </c>
      <c r="B659" s="990">
        <v>1</v>
      </c>
      <c r="C659" s="990">
        <v>659</v>
      </c>
      <c r="E659" s="1243">
        <v>1</v>
      </c>
      <c r="I659" s="445"/>
      <c r="J659" s="446"/>
      <c r="K659" s="69"/>
      <c r="L659" s="69"/>
      <c r="M659" s="75"/>
      <c r="N659" s="276" t="s">
        <v>11</v>
      </c>
      <c r="O659" s="276"/>
      <c r="P659" s="276"/>
      <c r="Q659" s="2037"/>
      <c r="R659" s="2037"/>
      <c r="S659" s="2037"/>
      <c r="T659" s="2037"/>
      <c r="U659" s="2037"/>
      <c r="V659" s="2037"/>
      <c r="W659" s="2037"/>
      <c r="X659" s="2037"/>
      <c r="Y659" s="2037"/>
      <c r="Z659" s="2037"/>
      <c r="AA659" s="2037"/>
      <c r="AB659" s="2037"/>
      <c r="AC659" s="99">
        <v>0</v>
      </c>
      <c r="AD659" s="17">
        <v>0</v>
      </c>
      <c r="AE659" s="17">
        <v>0</v>
      </c>
      <c r="AF659" s="17">
        <v>0</v>
      </c>
      <c r="AG659" s="17">
        <v>0</v>
      </c>
      <c r="AH659" s="17">
        <v>0</v>
      </c>
      <c r="AI659" s="17">
        <v>0</v>
      </c>
    </row>
    <row r="660" spans="1:35" s="75" customFormat="1">
      <c r="A660" s="990">
        <v>598</v>
      </c>
      <c r="B660" s="990">
        <v>1</v>
      </c>
      <c r="C660" s="990">
        <v>660</v>
      </c>
      <c r="E660" s="1243">
        <v>1</v>
      </c>
      <c r="F660" s="10"/>
      <c r="G660" s="10"/>
      <c r="H660" s="24"/>
      <c r="I660" s="443" t="s">
        <v>134</v>
      </c>
      <c r="J660" s="604"/>
      <c r="K660" s="788"/>
      <c r="L660" s="788"/>
      <c r="M660" s="604"/>
      <c r="N660" s="604"/>
      <c r="O660" s="604"/>
      <c r="P660" s="604"/>
      <c r="Q660" s="2074">
        <v>0</v>
      </c>
      <c r="R660" s="2074">
        <v>0</v>
      </c>
      <c r="S660" s="2074">
        <v>0</v>
      </c>
      <c r="T660" s="2074">
        <v>0</v>
      </c>
      <c r="U660" s="2074">
        <v>0</v>
      </c>
      <c r="V660" s="2074">
        <v>0</v>
      </c>
      <c r="W660" s="2074">
        <v>0</v>
      </c>
      <c r="X660" s="2074">
        <v>0</v>
      </c>
      <c r="Y660" s="2074">
        <v>0</v>
      </c>
      <c r="Z660" s="2074">
        <v>0</v>
      </c>
      <c r="AA660" s="2074">
        <v>0</v>
      </c>
      <c r="AB660" s="2074">
        <v>0</v>
      </c>
      <c r="AC660" s="2641">
        <v>0</v>
      </c>
      <c r="AD660" s="2074">
        <v>0</v>
      </c>
      <c r="AE660" s="2074">
        <v>0</v>
      </c>
      <c r="AF660" s="2074">
        <v>0</v>
      </c>
      <c r="AG660" s="2074">
        <v>0</v>
      </c>
      <c r="AH660" s="2074">
        <v>0</v>
      </c>
      <c r="AI660" s="2074">
        <v>0</v>
      </c>
    </row>
    <row r="661" spans="1:35" s="75" customFormat="1">
      <c r="A661" s="990">
        <v>599</v>
      </c>
      <c r="B661" s="990">
        <v>1</v>
      </c>
      <c r="C661" s="990">
        <v>661</v>
      </c>
      <c r="E661" s="1243">
        <v>1</v>
      </c>
      <c r="F661" s="10"/>
      <c r="G661" s="10"/>
      <c r="H661" s="24"/>
      <c r="I661" s="445"/>
      <c r="J661" s="446"/>
      <c r="K661" s="74" t="s">
        <v>1022</v>
      </c>
      <c r="L661" s="74"/>
      <c r="M661" s="357"/>
      <c r="N661" s="357"/>
      <c r="O661" s="357"/>
      <c r="P661" s="357"/>
      <c r="Q661" s="359">
        <v>0</v>
      </c>
      <c r="R661" s="359">
        <v>0</v>
      </c>
      <c r="S661" s="359">
        <v>0</v>
      </c>
      <c r="T661" s="359">
        <v>0</v>
      </c>
      <c r="U661" s="359">
        <v>0</v>
      </c>
      <c r="V661" s="359">
        <v>0</v>
      </c>
      <c r="W661" s="359">
        <v>0</v>
      </c>
      <c r="X661" s="359">
        <v>0</v>
      </c>
      <c r="Y661" s="359">
        <v>0</v>
      </c>
      <c r="Z661" s="359">
        <v>0</v>
      </c>
      <c r="AA661" s="359">
        <v>0</v>
      </c>
      <c r="AB661" s="359">
        <v>0</v>
      </c>
      <c r="AC661" s="407">
        <v>0</v>
      </c>
      <c r="AD661" s="359">
        <v>0</v>
      </c>
      <c r="AE661" s="359">
        <v>0</v>
      </c>
      <c r="AF661" s="359">
        <v>0</v>
      </c>
      <c r="AG661" s="359">
        <v>0</v>
      </c>
      <c r="AH661" s="359">
        <v>0</v>
      </c>
      <c r="AI661" s="359">
        <v>0</v>
      </c>
    </row>
    <row r="662" spans="1:35" s="75" customFormat="1">
      <c r="A662" s="990">
        <v>600</v>
      </c>
      <c r="B662" s="990">
        <v>1</v>
      </c>
      <c r="C662" s="990">
        <v>662</v>
      </c>
      <c r="E662" s="1243">
        <v>1</v>
      </c>
      <c r="F662" s="10"/>
      <c r="G662" s="10"/>
      <c r="H662" s="24"/>
      <c r="I662" s="445"/>
      <c r="J662" s="446"/>
      <c r="K662" s="74"/>
      <c r="L662" s="74"/>
      <c r="M662" s="75" t="s">
        <v>1039</v>
      </c>
      <c r="N662" s="391"/>
      <c r="O662" s="391"/>
      <c r="P662" s="391"/>
      <c r="Q662" s="365">
        <v>0</v>
      </c>
      <c r="R662" s="365">
        <v>0</v>
      </c>
      <c r="S662" s="365">
        <v>0</v>
      </c>
      <c r="T662" s="365">
        <v>0</v>
      </c>
      <c r="U662" s="365">
        <v>0</v>
      </c>
      <c r="V662" s="365">
        <v>0</v>
      </c>
      <c r="W662" s="365">
        <v>0</v>
      </c>
      <c r="X662" s="365">
        <v>0</v>
      </c>
      <c r="Y662" s="365">
        <v>0</v>
      </c>
      <c r="Z662" s="365">
        <v>0</v>
      </c>
      <c r="AA662" s="365">
        <v>0</v>
      </c>
      <c r="AB662" s="365">
        <v>0</v>
      </c>
      <c r="AC662" s="408">
        <v>0</v>
      </c>
      <c r="AD662" s="365">
        <v>0</v>
      </c>
      <c r="AE662" s="365">
        <v>0</v>
      </c>
      <c r="AF662" s="365">
        <v>0</v>
      </c>
      <c r="AG662" s="365">
        <v>0</v>
      </c>
      <c r="AH662" s="365">
        <v>0</v>
      </c>
      <c r="AI662" s="365">
        <v>0</v>
      </c>
    </row>
    <row r="663" spans="1:35" s="75" customFormat="1">
      <c r="A663" s="990">
        <v>601</v>
      </c>
      <c r="B663" s="990">
        <v>1</v>
      </c>
      <c r="C663" s="990">
        <v>663</v>
      </c>
      <c r="E663" s="1243">
        <v>1</v>
      </c>
      <c r="F663" s="10"/>
      <c r="G663" s="10"/>
      <c r="H663" s="24"/>
      <c r="I663" s="445"/>
      <c r="J663" s="446"/>
      <c r="K663" s="74"/>
      <c r="L663" s="74"/>
      <c r="N663" s="1246" t="s">
        <v>989</v>
      </c>
      <c r="O663" s="377"/>
      <c r="P663" s="377"/>
      <c r="Q663" s="2042"/>
      <c r="R663" s="2042"/>
      <c r="S663" s="2042"/>
      <c r="T663" s="2042"/>
      <c r="U663" s="2042"/>
      <c r="V663" s="2042"/>
      <c r="W663" s="2042"/>
      <c r="X663" s="2042"/>
      <c r="Y663" s="2042"/>
      <c r="Z663" s="2042"/>
      <c r="AA663" s="2042"/>
      <c r="AB663" s="2042"/>
      <c r="AC663" s="376">
        <v>0</v>
      </c>
      <c r="AD663" s="109">
        <v>0</v>
      </c>
      <c r="AE663" s="109">
        <v>0</v>
      </c>
      <c r="AF663" s="109">
        <v>0</v>
      </c>
      <c r="AG663" s="109">
        <v>0</v>
      </c>
      <c r="AH663" s="109">
        <v>0</v>
      </c>
      <c r="AI663" s="109">
        <v>0</v>
      </c>
    </row>
    <row r="664" spans="1:35">
      <c r="A664" s="990">
        <v>602</v>
      </c>
      <c r="B664" s="990">
        <v>1</v>
      </c>
      <c r="C664" s="990">
        <v>664</v>
      </c>
      <c r="E664" s="1243">
        <v>1</v>
      </c>
      <c r="I664" s="445"/>
      <c r="J664" s="446"/>
      <c r="K664" s="74"/>
      <c r="L664" s="74"/>
      <c r="M664" s="75"/>
      <c r="N664" s="75" t="s">
        <v>1040</v>
      </c>
      <c r="O664" s="75"/>
      <c r="P664" s="75"/>
      <c r="Q664" s="2036"/>
      <c r="R664" s="2036"/>
      <c r="S664" s="2036"/>
      <c r="T664" s="2036"/>
      <c r="U664" s="2036"/>
      <c r="V664" s="2036"/>
      <c r="W664" s="2036"/>
      <c r="X664" s="2036"/>
      <c r="Y664" s="2036"/>
      <c r="Z664" s="2036"/>
      <c r="AA664" s="2036"/>
      <c r="AB664" s="2036"/>
      <c r="AC664" s="100">
        <v>0</v>
      </c>
      <c r="AD664" s="19">
        <v>0</v>
      </c>
      <c r="AE664" s="19">
        <v>0</v>
      </c>
      <c r="AF664" s="19">
        <v>0</v>
      </c>
      <c r="AG664" s="19">
        <v>0</v>
      </c>
      <c r="AH664" s="19">
        <v>0</v>
      </c>
      <c r="AI664" s="19">
        <v>0</v>
      </c>
    </row>
    <row r="665" spans="1:35">
      <c r="A665" s="990">
        <v>603</v>
      </c>
      <c r="B665" s="990">
        <v>1</v>
      </c>
      <c r="C665" s="990">
        <v>665</v>
      </c>
      <c r="E665" s="1243">
        <v>1</v>
      </c>
      <c r="I665" s="445"/>
      <c r="J665" s="446"/>
      <c r="K665" s="74"/>
      <c r="L665" s="74"/>
      <c r="M665" s="75"/>
      <c r="N665" s="75" t="s">
        <v>1041</v>
      </c>
      <c r="O665" s="75"/>
      <c r="P665" s="75"/>
      <c r="Q665" s="2036"/>
      <c r="R665" s="2036"/>
      <c r="S665" s="2036"/>
      <c r="T665" s="2036"/>
      <c r="U665" s="2036"/>
      <c r="V665" s="2036"/>
      <c r="W665" s="2036"/>
      <c r="X665" s="2036"/>
      <c r="Y665" s="2036"/>
      <c r="Z665" s="2036"/>
      <c r="AA665" s="2036"/>
      <c r="AB665" s="2036"/>
      <c r="AC665" s="100">
        <v>0</v>
      </c>
      <c r="AD665" s="19">
        <v>0</v>
      </c>
      <c r="AE665" s="19">
        <v>0</v>
      </c>
      <c r="AF665" s="19">
        <v>0</v>
      </c>
      <c r="AG665" s="19">
        <v>0</v>
      </c>
      <c r="AH665" s="19">
        <v>0</v>
      </c>
      <c r="AI665" s="19">
        <v>0</v>
      </c>
    </row>
    <row r="666" spans="1:35" s="75" customFormat="1">
      <c r="A666" s="990">
        <v>604</v>
      </c>
      <c r="B666" s="990">
        <v>1</v>
      </c>
      <c r="C666" s="990">
        <v>666</v>
      </c>
      <c r="E666" s="1243">
        <v>1</v>
      </c>
      <c r="F666" s="10"/>
      <c r="G666" s="10"/>
      <c r="H666" s="24"/>
      <c r="I666" s="445"/>
      <c r="J666" s="446"/>
      <c r="K666" s="74"/>
      <c r="L666" s="74"/>
      <c r="N666" s="75" t="s">
        <v>1042</v>
      </c>
      <c r="Q666" s="2036"/>
      <c r="R666" s="2036"/>
      <c r="S666" s="2036"/>
      <c r="T666" s="2036"/>
      <c r="U666" s="2036"/>
      <c r="V666" s="2036"/>
      <c r="W666" s="2036"/>
      <c r="X666" s="2036"/>
      <c r="Y666" s="2036"/>
      <c r="Z666" s="2036"/>
      <c r="AA666" s="2036"/>
      <c r="AB666" s="2036"/>
      <c r="AC666" s="100">
        <v>0</v>
      </c>
      <c r="AD666" s="19">
        <v>0</v>
      </c>
      <c r="AE666" s="19">
        <v>0</v>
      </c>
      <c r="AF666" s="19">
        <v>0</v>
      </c>
      <c r="AG666" s="19">
        <v>0</v>
      </c>
      <c r="AH666" s="19">
        <v>0</v>
      </c>
      <c r="AI666" s="19">
        <v>0</v>
      </c>
    </row>
    <row r="667" spans="1:35" s="75" customFormat="1">
      <c r="A667" s="990">
        <v>605</v>
      </c>
      <c r="B667" s="990">
        <v>1</v>
      </c>
      <c r="C667" s="990">
        <v>667</v>
      </c>
      <c r="E667" s="1243">
        <v>1</v>
      </c>
      <c r="F667" s="10"/>
      <c r="G667" s="10"/>
      <c r="H667" s="24"/>
      <c r="I667" s="445"/>
      <c r="J667" s="446"/>
      <c r="K667" s="74"/>
      <c r="L667" s="74"/>
      <c r="N667" s="75" t="s">
        <v>852</v>
      </c>
      <c r="Q667" s="2036"/>
      <c r="R667" s="2036"/>
      <c r="S667" s="2036"/>
      <c r="T667" s="2036"/>
      <c r="U667" s="2036"/>
      <c r="V667" s="2036"/>
      <c r="W667" s="2036"/>
      <c r="X667" s="2036"/>
      <c r="Y667" s="2036"/>
      <c r="Z667" s="2036"/>
      <c r="AA667" s="2036"/>
      <c r="AB667" s="2036"/>
      <c r="AC667" s="100">
        <v>0</v>
      </c>
      <c r="AD667" s="19">
        <v>0</v>
      </c>
      <c r="AE667" s="19">
        <v>0</v>
      </c>
      <c r="AF667" s="19">
        <v>0</v>
      </c>
      <c r="AG667" s="19">
        <v>0</v>
      </c>
      <c r="AH667" s="19">
        <v>0</v>
      </c>
      <c r="AI667" s="19">
        <v>0</v>
      </c>
    </row>
    <row r="668" spans="1:35" s="75" customFormat="1">
      <c r="A668" s="990">
        <v>606</v>
      </c>
      <c r="B668" s="990">
        <v>1</v>
      </c>
      <c r="C668" s="990">
        <v>668</v>
      </c>
      <c r="E668" s="1243">
        <v>1</v>
      </c>
      <c r="F668" s="10"/>
      <c r="G668" s="10"/>
      <c r="H668" s="24"/>
      <c r="I668" s="445"/>
      <c r="J668" s="446"/>
      <c r="K668" s="74"/>
      <c r="L668" s="74"/>
      <c r="N668" s="276" t="s">
        <v>11</v>
      </c>
      <c r="O668" s="276"/>
      <c r="P668" s="276"/>
      <c r="Q668" s="2037"/>
      <c r="R668" s="2037"/>
      <c r="S668" s="2037"/>
      <c r="T668" s="2037"/>
      <c r="U668" s="2037"/>
      <c r="V668" s="2037"/>
      <c r="W668" s="2037"/>
      <c r="X668" s="2037"/>
      <c r="Y668" s="2037"/>
      <c r="Z668" s="2037"/>
      <c r="AA668" s="2037"/>
      <c r="AB668" s="2037"/>
      <c r="AC668" s="99">
        <v>0</v>
      </c>
      <c r="AD668" s="17">
        <v>0</v>
      </c>
      <c r="AE668" s="17">
        <v>0</v>
      </c>
      <c r="AF668" s="17">
        <v>0</v>
      </c>
      <c r="AG668" s="17">
        <v>0</v>
      </c>
      <c r="AH668" s="17">
        <v>0</v>
      </c>
      <c r="AI668" s="17">
        <v>0</v>
      </c>
    </row>
    <row r="669" spans="1:35" s="75" customFormat="1">
      <c r="A669" s="990">
        <v>607</v>
      </c>
      <c r="B669" s="990">
        <v>1</v>
      </c>
      <c r="C669" s="990">
        <v>669</v>
      </c>
      <c r="E669" s="1243">
        <v>1</v>
      </c>
      <c r="F669" s="10"/>
      <c r="G669" s="10"/>
      <c r="H669" s="24"/>
      <c r="I669" s="445"/>
      <c r="J669" s="446"/>
      <c r="K669" s="74"/>
      <c r="L669" s="74"/>
      <c r="M669" s="1198" t="s">
        <v>95</v>
      </c>
      <c r="N669" s="2642"/>
      <c r="O669" s="2642"/>
      <c r="P669" s="2642"/>
      <c r="Q669" s="2058">
        <v>0</v>
      </c>
      <c r="R669" s="2058">
        <v>0</v>
      </c>
      <c r="S669" s="2058">
        <v>0</v>
      </c>
      <c r="T669" s="2058">
        <v>0</v>
      </c>
      <c r="U669" s="2058">
        <v>0</v>
      </c>
      <c r="V669" s="2058">
        <v>0</v>
      </c>
      <c r="W669" s="2058">
        <v>0</v>
      </c>
      <c r="X669" s="2058">
        <v>0</v>
      </c>
      <c r="Y669" s="2058">
        <v>0</v>
      </c>
      <c r="Z669" s="2058">
        <v>0</v>
      </c>
      <c r="AA669" s="2058">
        <v>0</v>
      </c>
      <c r="AB669" s="2058">
        <v>0</v>
      </c>
      <c r="AC669" s="2600">
        <v>0</v>
      </c>
      <c r="AD669" s="2058">
        <v>0</v>
      </c>
      <c r="AE669" s="2058">
        <v>0</v>
      </c>
      <c r="AF669" s="2058">
        <v>0</v>
      </c>
      <c r="AG669" s="2058">
        <v>0</v>
      </c>
      <c r="AH669" s="2058">
        <v>0</v>
      </c>
      <c r="AI669" s="2058">
        <v>0</v>
      </c>
    </row>
    <row r="670" spans="1:35">
      <c r="A670" s="990">
        <v>608</v>
      </c>
      <c r="B670" s="990">
        <v>1</v>
      </c>
      <c r="C670" s="990">
        <v>670</v>
      </c>
      <c r="E670" s="1243">
        <v>1</v>
      </c>
      <c r="I670" s="445"/>
      <c r="J670" s="446"/>
      <c r="K670" s="74"/>
      <c r="L670" s="74"/>
      <c r="M670" s="75"/>
      <c r="N670" s="1246" t="s">
        <v>989</v>
      </c>
      <c r="O670" s="391"/>
      <c r="P670" s="391"/>
      <c r="Q670" s="365">
        <v>0</v>
      </c>
      <c r="R670" s="365">
        <v>0</v>
      </c>
      <c r="S670" s="365">
        <v>0</v>
      </c>
      <c r="T670" s="365">
        <v>0</v>
      </c>
      <c r="U670" s="365">
        <v>0</v>
      </c>
      <c r="V670" s="365">
        <v>0</v>
      </c>
      <c r="W670" s="365">
        <v>0</v>
      </c>
      <c r="X670" s="365">
        <v>0</v>
      </c>
      <c r="Y670" s="365">
        <v>0</v>
      </c>
      <c r="Z670" s="365">
        <v>0</v>
      </c>
      <c r="AA670" s="365">
        <v>0</v>
      </c>
      <c r="AB670" s="365">
        <v>0</v>
      </c>
      <c r="AC670" s="408">
        <v>0</v>
      </c>
      <c r="AD670" s="365">
        <v>0</v>
      </c>
      <c r="AE670" s="365">
        <v>0</v>
      </c>
      <c r="AF670" s="365">
        <v>0</v>
      </c>
      <c r="AG670" s="365">
        <v>0</v>
      </c>
      <c r="AH670" s="365">
        <v>0</v>
      </c>
      <c r="AI670" s="365">
        <v>0</v>
      </c>
    </row>
    <row r="671" spans="1:35">
      <c r="A671" s="990">
        <v>609</v>
      </c>
      <c r="B671" s="990">
        <v>1</v>
      </c>
      <c r="C671" s="990">
        <v>671</v>
      </c>
      <c r="E671" s="1243">
        <v>1</v>
      </c>
      <c r="I671" s="445"/>
      <c r="J671" s="446"/>
      <c r="K671" s="74"/>
      <c r="L671" s="74"/>
      <c r="M671" s="75"/>
      <c r="N671" s="75"/>
      <c r="O671" s="1246" t="s">
        <v>989</v>
      </c>
      <c r="P671" s="394"/>
      <c r="Q671" s="2057"/>
      <c r="R671" s="2057"/>
      <c r="S671" s="2057"/>
      <c r="T671" s="2057"/>
      <c r="U671" s="2057"/>
      <c r="V671" s="2057"/>
      <c r="W671" s="2057"/>
      <c r="X671" s="2057"/>
      <c r="Y671" s="2057"/>
      <c r="Z671" s="2057"/>
      <c r="AA671" s="2057"/>
      <c r="AB671" s="2057"/>
      <c r="AC671" s="1545">
        <v>0</v>
      </c>
      <c r="AD671" s="64">
        <v>0</v>
      </c>
      <c r="AE671" s="64">
        <v>0</v>
      </c>
      <c r="AF671" s="64">
        <v>0</v>
      </c>
      <c r="AG671" s="64">
        <v>0</v>
      </c>
      <c r="AH671" s="64">
        <v>0</v>
      </c>
      <c r="AI671" s="64">
        <v>0</v>
      </c>
    </row>
    <row r="672" spans="1:35" s="75" customFormat="1">
      <c r="A672" s="990">
        <v>610</v>
      </c>
      <c r="B672" s="990">
        <v>1</v>
      </c>
      <c r="C672" s="990">
        <v>672</v>
      </c>
      <c r="E672" s="1243">
        <v>1</v>
      </c>
      <c r="F672" s="10"/>
      <c r="G672" s="10"/>
      <c r="H672" s="24"/>
      <c r="I672" s="445"/>
      <c r="J672" s="446"/>
      <c r="K672" s="74"/>
      <c r="L672" s="74"/>
      <c r="O672" s="395" t="s">
        <v>1099</v>
      </c>
      <c r="P672" s="395"/>
      <c r="Q672" s="385">
        <v>0</v>
      </c>
      <c r="R672" s="385">
        <v>0</v>
      </c>
      <c r="S672" s="385">
        <v>0</v>
      </c>
      <c r="T672" s="385">
        <v>0</v>
      </c>
      <c r="U672" s="385">
        <v>0</v>
      </c>
      <c r="V672" s="385">
        <v>0</v>
      </c>
      <c r="W672" s="385">
        <v>0</v>
      </c>
      <c r="X672" s="385">
        <v>0</v>
      </c>
      <c r="Y672" s="385">
        <v>0</v>
      </c>
      <c r="Z672" s="385">
        <v>0</v>
      </c>
      <c r="AA672" s="385">
        <v>0</v>
      </c>
      <c r="AB672" s="385">
        <v>0</v>
      </c>
      <c r="AC672" s="1540">
        <v>0</v>
      </c>
      <c r="AD672" s="385">
        <v>0</v>
      </c>
      <c r="AE672" s="385">
        <v>0</v>
      </c>
      <c r="AF672" s="385">
        <v>0</v>
      </c>
      <c r="AG672" s="385">
        <v>0</v>
      </c>
      <c r="AH672" s="385">
        <v>0</v>
      </c>
      <c r="AI672" s="385">
        <v>0</v>
      </c>
    </row>
    <row r="673" spans="1:35" s="75" customFormat="1">
      <c r="A673" s="990">
        <v>611</v>
      </c>
      <c r="B673" s="990">
        <v>1</v>
      </c>
      <c r="C673" s="990">
        <v>673</v>
      </c>
      <c r="E673" s="1243">
        <v>1</v>
      </c>
      <c r="F673" s="10"/>
      <c r="G673" s="10"/>
      <c r="H673" s="24"/>
      <c r="I673" s="445"/>
      <c r="J673" s="446"/>
      <c r="K673" s="74"/>
      <c r="L673" s="74"/>
      <c r="O673" s="396"/>
      <c r="P673" s="371" t="s">
        <v>391</v>
      </c>
      <c r="Q673" s="2042"/>
      <c r="R673" s="2042"/>
      <c r="S673" s="2042"/>
      <c r="T673" s="2042"/>
      <c r="U673" s="2042"/>
      <c r="V673" s="2042"/>
      <c r="W673" s="2042"/>
      <c r="X673" s="2042"/>
      <c r="Y673" s="2042"/>
      <c r="Z673" s="2042"/>
      <c r="AA673" s="2042"/>
      <c r="AB673" s="2042"/>
      <c r="AC673" s="1537">
        <v>0</v>
      </c>
      <c r="AD673" s="108">
        <v>0</v>
      </c>
      <c r="AE673" s="108">
        <v>0</v>
      </c>
      <c r="AF673" s="108">
        <v>0</v>
      </c>
      <c r="AG673" s="108">
        <v>0</v>
      </c>
      <c r="AH673" s="108">
        <v>0</v>
      </c>
      <c r="AI673" s="108">
        <v>0</v>
      </c>
    </row>
    <row r="674" spans="1:35" s="75" customFormat="1">
      <c r="A674" s="990">
        <v>612</v>
      </c>
      <c r="B674" s="990">
        <v>1</v>
      </c>
      <c r="C674" s="990">
        <v>674</v>
      </c>
      <c r="E674" s="1243">
        <v>1</v>
      </c>
      <c r="F674" s="10"/>
      <c r="G674" s="10"/>
      <c r="H674" s="24"/>
      <c r="I674" s="445"/>
      <c r="J674" s="446"/>
      <c r="K674" s="74"/>
      <c r="L674" s="74"/>
      <c r="O674" s="301"/>
      <c r="P674" s="299" t="s">
        <v>1086</v>
      </c>
      <c r="Q674" s="2036"/>
      <c r="R674" s="2036"/>
      <c r="S674" s="2036"/>
      <c r="T674" s="2036"/>
      <c r="U674" s="2036"/>
      <c r="V674" s="2036"/>
      <c r="W674" s="2036"/>
      <c r="X674" s="2036"/>
      <c r="Y674" s="2036"/>
      <c r="Z674" s="2036"/>
      <c r="AA674" s="2036"/>
      <c r="AB674" s="2036"/>
      <c r="AC674" s="1380">
        <v>0</v>
      </c>
      <c r="AD674" s="107">
        <v>0</v>
      </c>
      <c r="AE674" s="107">
        <v>0</v>
      </c>
      <c r="AF674" s="107">
        <v>0</v>
      </c>
      <c r="AG674" s="107">
        <v>0</v>
      </c>
      <c r="AH674" s="107">
        <v>0</v>
      </c>
      <c r="AI674" s="107">
        <v>0</v>
      </c>
    </row>
    <row r="675" spans="1:35" s="75" customFormat="1">
      <c r="A675" s="990">
        <v>613</v>
      </c>
      <c r="B675" s="990">
        <v>1</v>
      </c>
      <c r="C675" s="990">
        <v>675</v>
      </c>
      <c r="E675" s="1243">
        <v>1</v>
      </c>
      <c r="F675" s="10"/>
      <c r="G675" s="10"/>
      <c r="H675" s="24"/>
      <c r="I675" s="445"/>
      <c r="J675" s="446"/>
      <c r="K675" s="74"/>
      <c r="L675" s="74"/>
      <c r="N675" s="276"/>
      <c r="O675" s="302"/>
      <c r="P675" s="298" t="s">
        <v>393</v>
      </c>
      <c r="Q675" s="2037"/>
      <c r="R675" s="2037"/>
      <c r="S675" s="2037"/>
      <c r="T675" s="2037"/>
      <c r="U675" s="2037"/>
      <c r="V675" s="2037"/>
      <c r="W675" s="2037"/>
      <c r="X675" s="2037"/>
      <c r="Y675" s="2037"/>
      <c r="Z675" s="2037"/>
      <c r="AA675" s="2037"/>
      <c r="AB675" s="2037"/>
      <c r="AC675" s="1380">
        <v>0</v>
      </c>
      <c r="AD675" s="107">
        <v>0</v>
      </c>
      <c r="AE675" s="107">
        <v>0</v>
      </c>
      <c r="AF675" s="107">
        <v>0</v>
      </c>
      <c r="AG675" s="107">
        <v>0</v>
      </c>
      <c r="AH675" s="107">
        <v>0</v>
      </c>
      <c r="AI675" s="107">
        <v>0</v>
      </c>
    </row>
    <row r="676" spans="1:35">
      <c r="A676" s="990">
        <v>614</v>
      </c>
      <c r="B676" s="990">
        <v>1</v>
      </c>
      <c r="C676" s="990">
        <v>676</v>
      </c>
      <c r="E676" s="1243">
        <v>1</v>
      </c>
      <c r="I676" s="445"/>
      <c r="J676" s="446"/>
      <c r="K676" s="74"/>
      <c r="L676" s="74"/>
      <c r="M676" s="75"/>
      <c r="N676" s="75" t="s">
        <v>1040</v>
      </c>
      <c r="O676" s="391"/>
      <c r="P676" s="391"/>
      <c r="Q676" s="64">
        <v>0</v>
      </c>
      <c r="R676" s="64">
        <v>0</v>
      </c>
      <c r="S676" s="64">
        <v>0</v>
      </c>
      <c r="T676" s="64">
        <v>0</v>
      </c>
      <c r="U676" s="64">
        <v>0</v>
      </c>
      <c r="V676" s="64">
        <v>0</v>
      </c>
      <c r="W676" s="64">
        <v>0</v>
      </c>
      <c r="X676" s="64">
        <v>0</v>
      </c>
      <c r="Y676" s="64">
        <v>0</v>
      </c>
      <c r="Z676" s="64">
        <v>0</v>
      </c>
      <c r="AA676" s="64">
        <v>0</v>
      </c>
      <c r="AB676" s="64">
        <v>0</v>
      </c>
      <c r="AC676" s="1545">
        <v>0</v>
      </c>
      <c r="AD676" s="64">
        <v>0</v>
      </c>
      <c r="AE676" s="64">
        <v>0</v>
      </c>
      <c r="AF676" s="64">
        <v>0</v>
      </c>
      <c r="AG676" s="64">
        <v>0</v>
      </c>
      <c r="AH676" s="64">
        <v>0</v>
      </c>
      <c r="AI676" s="64">
        <v>0</v>
      </c>
    </row>
    <row r="677" spans="1:35">
      <c r="A677" s="990">
        <v>615</v>
      </c>
      <c r="B677" s="990">
        <v>1</v>
      </c>
      <c r="C677" s="990">
        <v>677</v>
      </c>
      <c r="E677" s="1243">
        <v>1</v>
      </c>
      <c r="I677" s="445"/>
      <c r="J677" s="446"/>
      <c r="K677" s="74"/>
      <c r="L677" s="74"/>
      <c r="M677" s="75"/>
      <c r="N677" s="75"/>
      <c r="O677" s="394" t="s">
        <v>1100</v>
      </c>
      <c r="P677" s="394"/>
      <c r="Q677" s="2057"/>
      <c r="R677" s="2057"/>
      <c r="S677" s="2057"/>
      <c r="T677" s="2057"/>
      <c r="U677" s="2057"/>
      <c r="V677" s="2057"/>
      <c r="W677" s="2057"/>
      <c r="X677" s="2057"/>
      <c r="Y677" s="2057"/>
      <c r="Z677" s="2057"/>
      <c r="AA677" s="2057"/>
      <c r="AB677" s="2057"/>
      <c r="AC677" s="1545">
        <v>0</v>
      </c>
      <c r="AD677" s="64">
        <v>0</v>
      </c>
      <c r="AE677" s="64">
        <v>0</v>
      </c>
      <c r="AF677" s="64">
        <v>0</v>
      </c>
      <c r="AG677" s="64">
        <v>0</v>
      </c>
      <c r="AH677" s="64">
        <v>0</v>
      </c>
      <c r="AI677" s="64">
        <v>0</v>
      </c>
    </row>
    <row r="678" spans="1:35" s="75" customFormat="1">
      <c r="A678" s="990">
        <v>616</v>
      </c>
      <c r="B678" s="990">
        <v>1</v>
      </c>
      <c r="C678" s="990">
        <v>678</v>
      </c>
      <c r="E678" s="1243">
        <v>1</v>
      </c>
      <c r="F678" s="10"/>
      <c r="G678" s="10"/>
      <c r="H678" s="24"/>
      <c r="I678" s="445"/>
      <c r="J678" s="446"/>
      <c r="K678" s="74"/>
      <c r="L678" s="74"/>
      <c r="O678" s="395" t="s">
        <v>1099</v>
      </c>
      <c r="P678" s="395"/>
      <c r="Q678" s="385">
        <v>0</v>
      </c>
      <c r="R678" s="385">
        <v>0</v>
      </c>
      <c r="S678" s="385">
        <v>0</v>
      </c>
      <c r="T678" s="385">
        <v>0</v>
      </c>
      <c r="U678" s="385">
        <v>0</v>
      </c>
      <c r="V678" s="385">
        <v>0</v>
      </c>
      <c r="W678" s="385">
        <v>0</v>
      </c>
      <c r="X678" s="385">
        <v>0</v>
      </c>
      <c r="Y678" s="385">
        <v>0</v>
      </c>
      <c r="Z678" s="385">
        <v>0</v>
      </c>
      <c r="AA678" s="385">
        <v>0</v>
      </c>
      <c r="AB678" s="385">
        <v>0</v>
      </c>
      <c r="AC678" s="1540">
        <v>0</v>
      </c>
      <c r="AD678" s="385">
        <v>0</v>
      </c>
      <c r="AE678" s="385">
        <v>0</v>
      </c>
      <c r="AF678" s="385">
        <v>0</v>
      </c>
      <c r="AG678" s="385">
        <v>0</v>
      </c>
      <c r="AH678" s="385">
        <v>0</v>
      </c>
      <c r="AI678" s="385">
        <v>0</v>
      </c>
    </row>
    <row r="679" spans="1:35" s="75" customFormat="1">
      <c r="A679" s="990">
        <v>617</v>
      </c>
      <c r="B679" s="990">
        <v>1</v>
      </c>
      <c r="C679" s="990">
        <v>679</v>
      </c>
      <c r="E679" s="1243">
        <v>1</v>
      </c>
      <c r="F679" s="10"/>
      <c r="G679" s="10"/>
      <c r="H679" s="24"/>
      <c r="I679" s="445"/>
      <c r="J679" s="446"/>
      <c r="K679" s="74"/>
      <c r="L679" s="74"/>
      <c r="O679" s="396"/>
      <c r="P679" s="371" t="s">
        <v>391</v>
      </c>
      <c r="Q679" s="2042"/>
      <c r="R679" s="2042"/>
      <c r="S679" s="2042"/>
      <c r="T679" s="2042"/>
      <c r="U679" s="2042"/>
      <c r="V679" s="2042"/>
      <c r="W679" s="2042"/>
      <c r="X679" s="2042"/>
      <c r="Y679" s="2042"/>
      <c r="Z679" s="2042"/>
      <c r="AA679" s="2042"/>
      <c r="AB679" s="2042"/>
      <c r="AC679" s="1537">
        <v>0</v>
      </c>
      <c r="AD679" s="108">
        <v>0</v>
      </c>
      <c r="AE679" s="108">
        <v>0</v>
      </c>
      <c r="AF679" s="108">
        <v>0</v>
      </c>
      <c r="AG679" s="108">
        <v>0</v>
      </c>
      <c r="AH679" s="108">
        <v>0</v>
      </c>
      <c r="AI679" s="108">
        <v>0</v>
      </c>
    </row>
    <row r="680" spans="1:35" s="75" customFormat="1">
      <c r="A680" s="990">
        <v>618</v>
      </c>
      <c r="B680" s="990">
        <v>1</v>
      </c>
      <c r="C680" s="990">
        <v>680</v>
      </c>
      <c r="E680" s="1243">
        <v>1</v>
      </c>
      <c r="F680" s="10"/>
      <c r="G680" s="10"/>
      <c r="H680" s="24"/>
      <c r="I680" s="445"/>
      <c r="J680" s="446"/>
      <c r="K680" s="74"/>
      <c r="L680" s="74"/>
      <c r="O680" s="301"/>
      <c r="P680" s="299" t="s">
        <v>1086</v>
      </c>
      <c r="Q680" s="2036"/>
      <c r="R680" s="2036"/>
      <c r="S680" s="2036"/>
      <c r="T680" s="2036"/>
      <c r="U680" s="2036"/>
      <c r="V680" s="2036"/>
      <c r="W680" s="2036"/>
      <c r="X680" s="2036"/>
      <c r="Y680" s="2036"/>
      <c r="Z680" s="2036"/>
      <c r="AA680" s="2036"/>
      <c r="AB680" s="2036"/>
      <c r="AC680" s="1380">
        <v>0</v>
      </c>
      <c r="AD680" s="107">
        <v>0</v>
      </c>
      <c r="AE680" s="107">
        <v>0</v>
      </c>
      <c r="AF680" s="107">
        <v>0</v>
      </c>
      <c r="AG680" s="107">
        <v>0</v>
      </c>
      <c r="AH680" s="107">
        <v>0</v>
      </c>
      <c r="AI680" s="107">
        <v>0</v>
      </c>
    </row>
    <row r="681" spans="1:35" s="75" customFormat="1">
      <c r="A681" s="990">
        <v>619</v>
      </c>
      <c r="B681" s="990">
        <v>1</v>
      </c>
      <c r="C681" s="990">
        <v>681</v>
      </c>
      <c r="E681" s="1243">
        <v>1</v>
      </c>
      <c r="F681" s="10"/>
      <c r="G681" s="10"/>
      <c r="H681" s="24"/>
      <c r="I681" s="445"/>
      <c r="J681" s="446"/>
      <c r="K681" s="74"/>
      <c r="L681" s="74"/>
      <c r="N681" s="276"/>
      <c r="O681" s="302"/>
      <c r="P681" s="298" t="s">
        <v>393</v>
      </c>
      <c r="Q681" s="2037"/>
      <c r="R681" s="2037"/>
      <c r="S681" s="2037"/>
      <c r="T681" s="2037"/>
      <c r="U681" s="2037"/>
      <c r="V681" s="2037"/>
      <c r="W681" s="2037"/>
      <c r="X681" s="2037"/>
      <c r="Y681" s="2037"/>
      <c r="Z681" s="2037"/>
      <c r="AA681" s="2037"/>
      <c r="AB681" s="2037"/>
      <c r="AC681" s="1380">
        <v>0</v>
      </c>
      <c r="AD681" s="107">
        <v>0</v>
      </c>
      <c r="AE681" s="107">
        <v>0</v>
      </c>
      <c r="AF681" s="107">
        <v>0</v>
      </c>
      <c r="AG681" s="107">
        <v>0</v>
      </c>
      <c r="AH681" s="107">
        <v>0</v>
      </c>
      <c r="AI681" s="107">
        <v>0</v>
      </c>
    </row>
    <row r="682" spans="1:35" s="75" customFormat="1">
      <c r="A682" s="990">
        <v>620</v>
      </c>
      <c r="B682" s="990">
        <v>1</v>
      </c>
      <c r="C682" s="990">
        <v>682</v>
      </c>
      <c r="E682" s="1243">
        <v>1</v>
      </c>
      <c r="F682" s="10"/>
      <c r="G682" s="10"/>
      <c r="H682" s="24"/>
      <c r="I682" s="445"/>
      <c r="J682" s="446"/>
      <c r="K682" s="74"/>
      <c r="L682" s="74"/>
      <c r="N682" s="75" t="s">
        <v>1041</v>
      </c>
      <c r="O682" s="391"/>
      <c r="P682" s="391"/>
      <c r="Q682" s="64">
        <v>0</v>
      </c>
      <c r="R682" s="64">
        <v>0</v>
      </c>
      <c r="S682" s="64">
        <v>0</v>
      </c>
      <c r="T682" s="64">
        <v>0</v>
      </c>
      <c r="U682" s="64">
        <v>0</v>
      </c>
      <c r="V682" s="64">
        <v>0</v>
      </c>
      <c r="W682" s="64">
        <v>0</v>
      </c>
      <c r="X682" s="64">
        <v>0</v>
      </c>
      <c r="Y682" s="64">
        <v>0</v>
      </c>
      <c r="Z682" s="64">
        <v>0</v>
      </c>
      <c r="AA682" s="64">
        <v>0</v>
      </c>
      <c r="AB682" s="64">
        <v>0</v>
      </c>
      <c r="AC682" s="1545">
        <v>0</v>
      </c>
      <c r="AD682" s="64">
        <v>0</v>
      </c>
      <c r="AE682" s="64">
        <v>0</v>
      </c>
      <c r="AF682" s="64">
        <v>0</v>
      </c>
      <c r="AG682" s="64">
        <v>0</v>
      </c>
      <c r="AH682" s="64">
        <v>0</v>
      </c>
      <c r="AI682" s="64">
        <v>0</v>
      </c>
    </row>
    <row r="683" spans="1:35" s="75" customFormat="1">
      <c r="A683" s="990">
        <v>621</v>
      </c>
      <c r="B683" s="990">
        <v>1</v>
      </c>
      <c r="C683" s="990">
        <v>683</v>
      </c>
      <c r="E683" s="1243">
        <v>1</v>
      </c>
      <c r="F683" s="10"/>
      <c r="G683" s="10"/>
      <c r="H683" s="24"/>
      <c r="I683" s="445"/>
      <c r="J683" s="446"/>
      <c r="K683" s="74"/>
      <c r="L683" s="74"/>
      <c r="O683" s="394" t="s">
        <v>1041</v>
      </c>
      <c r="P683" s="394"/>
      <c r="Q683" s="2057"/>
      <c r="R683" s="2057"/>
      <c r="S683" s="2057"/>
      <c r="T683" s="2057"/>
      <c r="U683" s="2057"/>
      <c r="V683" s="2057"/>
      <c r="W683" s="2057"/>
      <c r="X683" s="2057"/>
      <c r="Y683" s="2057"/>
      <c r="Z683" s="2057"/>
      <c r="AA683" s="2057"/>
      <c r="AB683" s="2057"/>
      <c r="AC683" s="1545">
        <v>0</v>
      </c>
      <c r="AD683" s="64">
        <v>0</v>
      </c>
      <c r="AE683" s="64">
        <v>0</v>
      </c>
      <c r="AF683" s="64">
        <v>0</v>
      </c>
      <c r="AG683" s="64">
        <v>0</v>
      </c>
      <c r="AH683" s="64">
        <v>0</v>
      </c>
      <c r="AI683" s="64">
        <v>0</v>
      </c>
    </row>
    <row r="684" spans="1:35" s="75" customFormat="1">
      <c r="A684" s="990">
        <v>622</v>
      </c>
      <c r="B684" s="990">
        <v>1</v>
      </c>
      <c r="C684" s="990">
        <v>684</v>
      </c>
      <c r="E684" s="1243">
        <v>1</v>
      </c>
      <c r="F684" s="10"/>
      <c r="G684" s="10"/>
      <c r="H684" s="24"/>
      <c r="I684" s="445"/>
      <c r="J684" s="446"/>
      <c r="K684" s="74"/>
      <c r="L684" s="74"/>
      <c r="O684" s="395" t="s">
        <v>1099</v>
      </c>
      <c r="P684" s="395"/>
      <c r="Q684" s="385">
        <v>0</v>
      </c>
      <c r="R684" s="385">
        <v>0</v>
      </c>
      <c r="S684" s="385">
        <v>0</v>
      </c>
      <c r="T684" s="385">
        <v>0</v>
      </c>
      <c r="U684" s="385">
        <v>0</v>
      </c>
      <c r="V684" s="385">
        <v>0</v>
      </c>
      <c r="W684" s="385">
        <v>0</v>
      </c>
      <c r="X684" s="385">
        <v>0</v>
      </c>
      <c r="Y684" s="385">
        <v>0</v>
      </c>
      <c r="Z684" s="385">
        <v>0</v>
      </c>
      <c r="AA684" s="385">
        <v>0</v>
      </c>
      <c r="AB684" s="385">
        <v>0</v>
      </c>
      <c r="AC684" s="1540">
        <v>0</v>
      </c>
      <c r="AD684" s="385">
        <v>0</v>
      </c>
      <c r="AE684" s="385">
        <v>0</v>
      </c>
      <c r="AF684" s="385">
        <v>0</v>
      </c>
      <c r="AG684" s="385">
        <v>0</v>
      </c>
      <c r="AH684" s="385">
        <v>0</v>
      </c>
      <c r="AI684" s="385">
        <v>0</v>
      </c>
    </row>
    <row r="685" spans="1:35" s="75" customFormat="1">
      <c r="A685" s="990">
        <v>623</v>
      </c>
      <c r="B685" s="990">
        <v>1</v>
      </c>
      <c r="C685" s="990">
        <v>685</v>
      </c>
      <c r="E685" s="1243">
        <v>1</v>
      </c>
      <c r="F685" s="10"/>
      <c r="G685" s="10"/>
      <c r="H685" s="24"/>
      <c r="I685" s="445"/>
      <c r="J685" s="446"/>
      <c r="K685" s="74"/>
      <c r="L685" s="74"/>
      <c r="O685" s="396"/>
      <c r="P685" s="371" t="s">
        <v>391</v>
      </c>
      <c r="Q685" s="2042"/>
      <c r="R685" s="2042"/>
      <c r="S685" s="2042"/>
      <c r="T685" s="2042"/>
      <c r="U685" s="2042"/>
      <c r="V685" s="2042"/>
      <c r="W685" s="2042"/>
      <c r="X685" s="2042"/>
      <c r="Y685" s="2042"/>
      <c r="Z685" s="2042"/>
      <c r="AA685" s="2042"/>
      <c r="AB685" s="2042"/>
      <c r="AC685" s="1537">
        <v>0</v>
      </c>
      <c r="AD685" s="108">
        <v>0</v>
      </c>
      <c r="AE685" s="108">
        <v>0</v>
      </c>
      <c r="AF685" s="108">
        <v>0</v>
      </c>
      <c r="AG685" s="108">
        <v>0</v>
      </c>
      <c r="AH685" s="108">
        <v>0</v>
      </c>
      <c r="AI685" s="108">
        <v>0</v>
      </c>
    </row>
    <row r="686" spans="1:35">
      <c r="A686" s="990">
        <v>624</v>
      </c>
      <c r="B686" s="990">
        <v>1</v>
      </c>
      <c r="C686" s="990">
        <v>686</v>
      </c>
      <c r="E686" s="1243">
        <v>1</v>
      </c>
      <c r="I686" s="445"/>
      <c r="J686" s="446"/>
      <c r="K686" s="74"/>
      <c r="L686" s="74"/>
      <c r="M686" s="75"/>
      <c r="N686" s="75"/>
      <c r="O686" s="301"/>
      <c r="P686" s="299" t="s">
        <v>1086</v>
      </c>
      <c r="Q686" s="2036"/>
      <c r="R686" s="2036"/>
      <c r="S686" s="2036"/>
      <c r="T686" s="2036"/>
      <c r="U686" s="2036"/>
      <c r="V686" s="2036"/>
      <c r="W686" s="2036"/>
      <c r="X686" s="2036"/>
      <c r="Y686" s="2036"/>
      <c r="Z686" s="2036"/>
      <c r="AA686" s="2036"/>
      <c r="AB686" s="2036"/>
      <c r="AC686" s="1380">
        <v>0</v>
      </c>
      <c r="AD686" s="107">
        <v>0</v>
      </c>
      <c r="AE686" s="107">
        <v>0</v>
      </c>
      <c r="AF686" s="107">
        <v>0</v>
      </c>
      <c r="AG686" s="107">
        <v>0</v>
      </c>
      <c r="AH686" s="107">
        <v>0</v>
      </c>
      <c r="AI686" s="107">
        <v>0</v>
      </c>
    </row>
    <row r="687" spans="1:35" s="75" customFormat="1">
      <c r="A687" s="990">
        <v>625</v>
      </c>
      <c r="B687" s="990">
        <v>1</v>
      </c>
      <c r="C687" s="990">
        <v>687</v>
      </c>
      <c r="E687" s="1243">
        <v>1</v>
      </c>
      <c r="F687" s="10"/>
      <c r="G687" s="10"/>
      <c r="H687" s="24"/>
      <c r="I687" s="445"/>
      <c r="J687" s="446"/>
      <c r="K687" s="74"/>
      <c r="L687" s="74"/>
      <c r="N687" s="276"/>
      <c r="O687" s="302"/>
      <c r="P687" s="298" t="s">
        <v>393</v>
      </c>
      <c r="Q687" s="2037"/>
      <c r="R687" s="2037"/>
      <c r="S687" s="2037"/>
      <c r="T687" s="2037"/>
      <c r="U687" s="2037"/>
      <c r="V687" s="2037"/>
      <c r="W687" s="2037"/>
      <c r="X687" s="2037"/>
      <c r="Y687" s="2037"/>
      <c r="Z687" s="2037"/>
      <c r="AA687" s="2037"/>
      <c r="AB687" s="2037"/>
      <c r="AC687" s="1380">
        <v>0</v>
      </c>
      <c r="AD687" s="107">
        <v>0</v>
      </c>
      <c r="AE687" s="107">
        <v>0</v>
      </c>
      <c r="AF687" s="107">
        <v>0</v>
      </c>
      <c r="AG687" s="107">
        <v>0</v>
      </c>
      <c r="AH687" s="107">
        <v>0</v>
      </c>
      <c r="AI687" s="107">
        <v>0</v>
      </c>
    </row>
    <row r="688" spans="1:35">
      <c r="A688" s="990">
        <v>626</v>
      </c>
      <c r="B688" s="990">
        <v>1</v>
      </c>
      <c r="C688" s="990">
        <v>688</v>
      </c>
      <c r="E688" s="1243">
        <v>1</v>
      </c>
      <c r="I688" s="445"/>
      <c r="J688" s="446"/>
      <c r="K688" s="74"/>
      <c r="L688" s="74"/>
      <c r="M688" s="75"/>
      <c r="N688" s="75" t="s">
        <v>1042</v>
      </c>
      <c r="O688" s="391"/>
      <c r="P688" s="391"/>
      <c r="Q688" s="64">
        <v>0</v>
      </c>
      <c r="R688" s="64">
        <v>0</v>
      </c>
      <c r="S688" s="64">
        <v>0</v>
      </c>
      <c r="T688" s="64">
        <v>0</v>
      </c>
      <c r="U688" s="64">
        <v>0</v>
      </c>
      <c r="V688" s="64">
        <v>0</v>
      </c>
      <c r="W688" s="64">
        <v>0</v>
      </c>
      <c r="X688" s="64">
        <v>0</v>
      </c>
      <c r="Y688" s="64">
        <v>0</v>
      </c>
      <c r="Z688" s="64">
        <v>0</v>
      </c>
      <c r="AA688" s="64">
        <v>0</v>
      </c>
      <c r="AB688" s="64">
        <v>0</v>
      </c>
      <c r="AC688" s="1545">
        <v>0</v>
      </c>
      <c r="AD688" s="64">
        <v>0</v>
      </c>
      <c r="AE688" s="64">
        <v>0</v>
      </c>
      <c r="AF688" s="64">
        <v>0</v>
      </c>
      <c r="AG688" s="64">
        <v>0</v>
      </c>
      <c r="AH688" s="64">
        <v>0</v>
      </c>
      <c r="AI688" s="64">
        <v>0</v>
      </c>
    </row>
    <row r="689" spans="1:35">
      <c r="A689" s="990">
        <v>627</v>
      </c>
      <c r="B689" s="990">
        <v>1</v>
      </c>
      <c r="C689" s="990">
        <v>689</v>
      </c>
      <c r="E689" s="1243">
        <v>1</v>
      </c>
      <c r="I689" s="445"/>
      <c r="J689" s="446"/>
      <c r="K689" s="74"/>
      <c r="L689" s="74"/>
      <c r="M689" s="75"/>
      <c r="N689" s="75"/>
      <c r="O689" s="394" t="s">
        <v>1042</v>
      </c>
      <c r="P689" s="394"/>
      <c r="Q689" s="2057"/>
      <c r="R689" s="2057"/>
      <c r="S689" s="2057"/>
      <c r="T689" s="2057"/>
      <c r="U689" s="2057"/>
      <c r="V689" s="2057"/>
      <c r="W689" s="2057"/>
      <c r="X689" s="2057"/>
      <c r="Y689" s="2057"/>
      <c r="Z689" s="2057"/>
      <c r="AA689" s="2057"/>
      <c r="AB689" s="2057"/>
      <c r="AC689" s="1545">
        <v>0</v>
      </c>
      <c r="AD689" s="64">
        <v>0</v>
      </c>
      <c r="AE689" s="64">
        <v>0</v>
      </c>
      <c r="AF689" s="64">
        <v>0</v>
      </c>
      <c r="AG689" s="64">
        <v>0</v>
      </c>
      <c r="AH689" s="64">
        <v>0</v>
      </c>
      <c r="AI689" s="64">
        <v>0</v>
      </c>
    </row>
    <row r="690" spans="1:35">
      <c r="A690" s="990">
        <v>628</v>
      </c>
      <c r="B690" s="990">
        <v>1</v>
      </c>
      <c r="C690" s="990">
        <v>690</v>
      </c>
      <c r="E690" s="1243">
        <v>1</v>
      </c>
      <c r="I690" s="445"/>
      <c r="J690" s="446"/>
      <c r="K690" s="74"/>
      <c r="L690" s="74"/>
      <c r="M690" s="75"/>
      <c r="N690" s="75"/>
      <c r="O690" s="395" t="s">
        <v>1099</v>
      </c>
      <c r="P690" s="395"/>
      <c r="Q690" s="385">
        <v>0</v>
      </c>
      <c r="R690" s="385">
        <v>0</v>
      </c>
      <c r="S690" s="385">
        <v>0</v>
      </c>
      <c r="T690" s="385">
        <v>0</v>
      </c>
      <c r="U690" s="385">
        <v>0</v>
      </c>
      <c r="V690" s="385">
        <v>0</v>
      </c>
      <c r="W690" s="385">
        <v>0</v>
      </c>
      <c r="X690" s="385">
        <v>0</v>
      </c>
      <c r="Y690" s="385">
        <v>0</v>
      </c>
      <c r="Z690" s="385">
        <v>0</v>
      </c>
      <c r="AA690" s="385">
        <v>0</v>
      </c>
      <c r="AB690" s="385">
        <v>0</v>
      </c>
      <c r="AC690" s="1540">
        <v>0</v>
      </c>
      <c r="AD690" s="385">
        <v>0</v>
      </c>
      <c r="AE690" s="385">
        <v>0</v>
      </c>
      <c r="AF690" s="385">
        <v>0</v>
      </c>
      <c r="AG690" s="385">
        <v>0</v>
      </c>
      <c r="AH690" s="385">
        <v>0</v>
      </c>
      <c r="AI690" s="385">
        <v>0</v>
      </c>
    </row>
    <row r="691" spans="1:35">
      <c r="A691" s="990">
        <v>629</v>
      </c>
      <c r="B691" s="990">
        <v>1</v>
      </c>
      <c r="C691" s="990">
        <v>691</v>
      </c>
      <c r="E691" s="1243">
        <v>1</v>
      </c>
      <c r="I691" s="445"/>
      <c r="J691" s="446"/>
      <c r="K691" s="74"/>
      <c r="L691" s="74"/>
      <c r="M691" s="75"/>
      <c r="N691" s="75"/>
      <c r="O691" s="396"/>
      <c r="P691" s="371" t="s">
        <v>391</v>
      </c>
      <c r="Q691" s="2042"/>
      <c r="R691" s="2042"/>
      <c r="S691" s="2042"/>
      <c r="T691" s="2042"/>
      <c r="U691" s="2042"/>
      <c r="V691" s="2042"/>
      <c r="W691" s="2042"/>
      <c r="X691" s="2042"/>
      <c r="Y691" s="2042"/>
      <c r="Z691" s="2042"/>
      <c r="AA691" s="2042"/>
      <c r="AB691" s="2042"/>
      <c r="AC691" s="1537">
        <v>0</v>
      </c>
      <c r="AD691" s="108">
        <v>0</v>
      </c>
      <c r="AE691" s="108">
        <v>0</v>
      </c>
      <c r="AF691" s="108">
        <v>0</v>
      </c>
      <c r="AG691" s="108">
        <v>0</v>
      </c>
      <c r="AH691" s="108">
        <v>0</v>
      </c>
      <c r="AI691" s="108">
        <v>0</v>
      </c>
    </row>
    <row r="692" spans="1:35">
      <c r="A692" s="990">
        <v>630</v>
      </c>
      <c r="B692" s="990">
        <v>1</v>
      </c>
      <c r="C692" s="990">
        <v>692</v>
      </c>
      <c r="E692" s="1243">
        <v>1</v>
      </c>
      <c r="I692" s="445"/>
      <c r="J692" s="446"/>
      <c r="K692" s="74"/>
      <c r="L692" s="74"/>
      <c r="M692" s="75"/>
      <c r="N692" s="75"/>
      <c r="O692" s="301"/>
      <c r="P692" s="299" t="s">
        <v>1086</v>
      </c>
      <c r="Q692" s="2036"/>
      <c r="R692" s="2036"/>
      <c r="S692" s="2036"/>
      <c r="T692" s="2036"/>
      <c r="U692" s="2036"/>
      <c r="V692" s="2036"/>
      <c r="W692" s="2036"/>
      <c r="X692" s="2036"/>
      <c r="Y692" s="2036"/>
      <c r="Z692" s="2036"/>
      <c r="AA692" s="2036"/>
      <c r="AB692" s="2036"/>
      <c r="AC692" s="1380">
        <v>0</v>
      </c>
      <c r="AD692" s="107">
        <v>0</v>
      </c>
      <c r="AE692" s="107">
        <v>0</v>
      </c>
      <c r="AF692" s="107">
        <v>0</v>
      </c>
      <c r="AG692" s="107">
        <v>0</v>
      </c>
      <c r="AH692" s="107">
        <v>0</v>
      </c>
      <c r="AI692" s="107">
        <v>0</v>
      </c>
    </row>
    <row r="693" spans="1:35">
      <c r="A693" s="990">
        <v>631</v>
      </c>
      <c r="B693" s="990">
        <v>1</v>
      </c>
      <c r="C693" s="990">
        <v>693</v>
      </c>
      <c r="E693" s="1243">
        <v>1</v>
      </c>
      <c r="I693" s="445"/>
      <c r="J693" s="446"/>
      <c r="K693" s="74"/>
      <c r="L693" s="74"/>
      <c r="M693" s="75"/>
      <c r="N693" s="276"/>
      <c r="O693" s="302"/>
      <c r="P693" s="298" t="s">
        <v>393</v>
      </c>
      <c r="Q693" s="2037"/>
      <c r="R693" s="2037"/>
      <c r="S693" s="2037"/>
      <c r="T693" s="2037"/>
      <c r="U693" s="2037"/>
      <c r="V693" s="2037"/>
      <c r="W693" s="2037"/>
      <c r="X693" s="2037"/>
      <c r="Y693" s="2037"/>
      <c r="Z693" s="2037"/>
      <c r="AA693" s="2037"/>
      <c r="AB693" s="2037"/>
      <c r="AC693" s="1380">
        <v>0</v>
      </c>
      <c r="AD693" s="107">
        <v>0</v>
      </c>
      <c r="AE693" s="107">
        <v>0</v>
      </c>
      <c r="AF693" s="107">
        <v>0</v>
      </c>
      <c r="AG693" s="107">
        <v>0</v>
      </c>
      <c r="AH693" s="107">
        <v>0</v>
      </c>
      <c r="AI693" s="107">
        <v>0</v>
      </c>
    </row>
    <row r="694" spans="1:35">
      <c r="A694" s="990">
        <v>632</v>
      </c>
      <c r="B694" s="990">
        <v>1</v>
      </c>
      <c r="C694" s="990">
        <v>694</v>
      </c>
      <c r="E694" s="1243">
        <v>1</v>
      </c>
      <c r="I694" s="445"/>
      <c r="J694" s="446"/>
      <c r="K694" s="74"/>
      <c r="L694" s="74"/>
      <c r="M694" s="75"/>
      <c r="N694" s="75" t="s">
        <v>852</v>
      </c>
      <c r="O694" s="391"/>
      <c r="P694" s="391"/>
      <c r="Q694" s="64">
        <v>0</v>
      </c>
      <c r="R694" s="64">
        <v>0</v>
      </c>
      <c r="S694" s="64">
        <v>0</v>
      </c>
      <c r="T694" s="64">
        <v>0</v>
      </c>
      <c r="U694" s="64">
        <v>0</v>
      </c>
      <c r="V694" s="64">
        <v>0</v>
      </c>
      <c r="W694" s="64">
        <v>0</v>
      </c>
      <c r="X694" s="64">
        <v>0</v>
      </c>
      <c r="Y694" s="64">
        <v>0</v>
      </c>
      <c r="Z694" s="64">
        <v>0</v>
      </c>
      <c r="AA694" s="64">
        <v>0</v>
      </c>
      <c r="AB694" s="64">
        <v>0</v>
      </c>
      <c r="AC694" s="1545">
        <v>0</v>
      </c>
      <c r="AD694" s="64">
        <v>0</v>
      </c>
      <c r="AE694" s="64">
        <v>0</v>
      </c>
      <c r="AF694" s="64">
        <v>0</v>
      </c>
      <c r="AG694" s="64">
        <v>0</v>
      </c>
      <c r="AH694" s="64">
        <v>0</v>
      </c>
      <c r="AI694" s="64">
        <v>0</v>
      </c>
    </row>
    <row r="695" spans="1:35">
      <c r="A695" s="990">
        <v>633</v>
      </c>
      <c r="B695" s="990">
        <v>1</v>
      </c>
      <c r="C695" s="990">
        <v>695</v>
      </c>
      <c r="E695" s="1243">
        <v>1</v>
      </c>
      <c r="I695" s="445"/>
      <c r="J695" s="446"/>
      <c r="K695" s="74"/>
      <c r="L695" s="74"/>
      <c r="M695" s="75"/>
      <c r="N695" s="75"/>
      <c r="O695" s="394" t="s">
        <v>852</v>
      </c>
      <c r="P695" s="394"/>
      <c r="Q695" s="2057"/>
      <c r="R695" s="2057"/>
      <c r="S695" s="2057"/>
      <c r="T695" s="2057"/>
      <c r="U695" s="2057"/>
      <c r="V695" s="2057"/>
      <c r="W695" s="2057"/>
      <c r="X695" s="2057"/>
      <c r="Y695" s="2057"/>
      <c r="Z695" s="2057"/>
      <c r="AA695" s="2057"/>
      <c r="AB695" s="2057"/>
      <c r="AC695" s="1545">
        <v>0</v>
      </c>
      <c r="AD695" s="64">
        <v>0</v>
      </c>
      <c r="AE695" s="64">
        <v>0</v>
      </c>
      <c r="AF695" s="64">
        <v>0</v>
      </c>
      <c r="AG695" s="64">
        <v>0</v>
      </c>
      <c r="AH695" s="64">
        <v>0</v>
      </c>
      <c r="AI695" s="64">
        <v>0</v>
      </c>
    </row>
    <row r="696" spans="1:35">
      <c r="A696" s="990">
        <v>634</v>
      </c>
      <c r="B696" s="990">
        <v>1</v>
      </c>
      <c r="C696" s="990">
        <v>696</v>
      </c>
      <c r="E696" s="1243">
        <v>1</v>
      </c>
      <c r="I696" s="445"/>
      <c r="J696" s="446"/>
      <c r="K696" s="74"/>
      <c r="L696" s="74"/>
      <c r="M696" s="75"/>
      <c r="N696" s="75"/>
      <c r="O696" s="395" t="s">
        <v>1099</v>
      </c>
      <c r="P696" s="395"/>
      <c r="Q696" s="385">
        <v>0</v>
      </c>
      <c r="R696" s="385">
        <v>0</v>
      </c>
      <c r="S696" s="385">
        <v>0</v>
      </c>
      <c r="T696" s="385">
        <v>0</v>
      </c>
      <c r="U696" s="385">
        <v>0</v>
      </c>
      <c r="V696" s="385">
        <v>0</v>
      </c>
      <c r="W696" s="385">
        <v>0</v>
      </c>
      <c r="X696" s="385">
        <v>0</v>
      </c>
      <c r="Y696" s="385">
        <v>0</v>
      </c>
      <c r="Z696" s="385">
        <v>0</v>
      </c>
      <c r="AA696" s="385">
        <v>0</v>
      </c>
      <c r="AB696" s="385">
        <v>0</v>
      </c>
      <c r="AC696" s="1540">
        <v>0</v>
      </c>
      <c r="AD696" s="385">
        <v>0</v>
      </c>
      <c r="AE696" s="385">
        <v>0</v>
      </c>
      <c r="AF696" s="385">
        <v>0</v>
      </c>
      <c r="AG696" s="385">
        <v>0</v>
      </c>
      <c r="AH696" s="385">
        <v>0</v>
      </c>
      <c r="AI696" s="385">
        <v>0</v>
      </c>
    </row>
    <row r="697" spans="1:35">
      <c r="A697" s="990">
        <v>635</v>
      </c>
      <c r="B697" s="990">
        <v>1</v>
      </c>
      <c r="C697" s="990">
        <v>697</v>
      </c>
      <c r="E697" s="1243">
        <v>1</v>
      </c>
      <c r="I697" s="445"/>
      <c r="J697" s="446"/>
      <c r="K697" s="74"/>
      <c r="L697" s="74"/>
      <c r="M697" s="75"/>
      <c r="N697" s="75"/>
      <c r="O697" s="396"/>
      <c r="P697" s="371" t="s">
        <v>391</v>
      </c>
      <c r="Q697" s="2042"/>
      <c r="R697" s="2042"/>
      <c r="S697" s="2042"/>
      <c r="T697" s="2042"/>
      <c r="U697" s="2042"/>
      <c r="V697" s="2042"/>
      <c r="W697" s="2042"/>
      <c r="X697" s="2042"/>
      <c r="Y697" s="2042"/>
      <c r="Z697" s="2042"/>
      <c r="AA697" s="2042"/>
      <c r="AB697" s="2042"/>
      <c r="AC697" s="1537">
        <v>0</v>
      </c>
      <c r="AD697" s="108">
        <v>0</v>
      </c>
      <c r="AE697" s="108">
        <v>0</v>
      </c>
      <c r="AF697" s="108">
        <v>0</v>
      </c>
      <c r="AG697" s="108">
        <v>0</v>
      </c>
      <c r="AH697" s="108">
        <v>0</v>
      </c>
      <c r="AI697" s="108">
        <v>0</v>
      </c>
    </row>
    <row r="698" spans="1:35">
      <c r="A698" s="990">
        <v>636</v>
      </c>
      <c r="B698" s="990">
        <v>1</v>
      </c>
      <c r="C698" s="990">
        <v>698</v>
      </c>
      <c r="E698" s="1243">
        <v>1</v>
      </c>
      <c r="I698" s="445"/>
      <c r="J698" s="446"/>
      <c r="K698" s="74"/>
      <c r="L698" s="74"/>
      <c r="M698" s="75"/>
      <c r="N698" s="75"/>
      <c r="O698" s="301"/>
      <c r="P698" s="299" t="s">
        <v>1086</v>
      </c>
      <c r="Q698" s="2036"/>
      <c r="R698" s="2036"/>
      <c r="S698" s="2036"/>
      <c r="T698" s="2036"/>
      <c r="U698" s="2036"/>
      <c r="V698" s="2036"/>
      <c r="W698" s="2036"/>
      <c r="X698" s="2036"/>
      <c r="Y698" s="2036"/>
      <c r="Z698" s="2036"/>
      <c r="AA698" s="2036"/>
      <c r="AB698" s="2036"/>
      <c r="AC698" s="1380">
        <v>0</v>
      </c>
      <c r="AD698" s="107">
        <v>0</v>
      </c>
      <c r="AE698" s="107">
        <v>0</v>
      </c>
      <c r="AF698" s="107">
        <v>0</v>
      </c>
      <c r="AG698" s="107">
        <v>0</v>
      </c>
      <c r="AH698" s="107">
        <v>0</v>
      </c>
      <c r="AI698" s="107">
        <v>0</v>
      </c>
    </row>
    <row r="699" spans="1:35">
      <c r="A699" s="990">
        <v>637</v>
      </c>
      <c r="B699" s="990">
        <v>1</v>
      </c>
      <c r="C699" s="990">
        <v>699</v>
      </c>
      <c r="E699" s="1243">
        <v>1</v>
      </c>
      <c r="I699" s="445"/>
      <c r="J699" s="446"/>
      <c r="K699" s="74"/>
      <c r="L699" s="74"/>
      <c r="M699" s="75"/>
      <c r="N699" s="276"/>
      <c r="O699" s="302"/>
      <c r="P699" s="298" t="s">
        <v>393</v>
      </c>
      <c r="Q699" s="2037"/>
      <c r="R699" s="2037"/>
      <c r="S699" s="2037"/>
      <c r="T699" s="2037"/>
      <c r="U699" s="2037"/>
      <c r="V699" s="2037"/>
      <c r="W699" s="2037"/>
      <c r="X699" s="2037"/>
      <c r="Y699" s="2037"/>
      <c r="Z699" s="2037"/>
      <c r="AA699" s="2037"/>
      <c r="AB699" s="2037"/>
      <c r="AC699" s="1380">
        <v>0</v>
      </c>
      <c r="AD699" s="107">
        <v>0</v>
      </c>
      <c r="AE699" s="107">
        <v>0</v>
      </c>
      <c r="AF699" s="107">
        <v>0</v>
      </c>
      <c r="AG699" s="107">
        <v>0</v>
      </c>
      <c r="AH699" s="107">
        <v>0</v>
      </c>
      <c r="AI699" s="107">
        <v>0</v>
      </c>
    </row>
    <row r="700" spans="1:35">
      <c r="A700" s="990">
        <v>638</v>
      </c>
      <c r="B700" s="990">
        <v>1</v>
      </c>
      <c r="C700" s="990">
        <v>700</v>
      </c>
      <c r="E700" s="1243">
        <v>1</v>
      </c>
      <c r="I700" s="445"/>
      <c r="J700" s="446"/>
      <c r="K700" s="74"/>
      <c r="L700" s="74"/>
      <c r="M700" s="75"/>
      <c r="N700" s="1199" t="s">
        <v>1095</v>
      </c>
      <c r="O700" s="373"/>
      <c r="P700" s="373"/>
      <c r="Q700" s="381">
        <v>0</v>
      </c>
      <c r="R700" s="381">
        <v>0</v>
      </c>
      <c r="S700" s="381">
        <v>0</v>
      </c>
      <c r="T700" s="381">
        <v>0</v>
      </c>
      <c r="U700" s="381">
        <v>0</v>
      </c>
      <c r="V700" s="381">
        <v>0</v>
      </c>
      <c r="W700" s="381">
        <v>0</v>
      </c>
      <c r="X700" s="381">
        <v>0</v>
      </c>
      <c r="Y700" s="381">
        <v>0</v>
      </c>
      <c r="Z700" s="381">
        <v>0</v>
      </c>
      <c r="AA700" s="381">
        <v>0</v>
      </c>
      <c r="AB700" s="381">
        <v>0</v>
      </c>
      <c r="AC700" s="1539">
        <v>0</v>
      </c>
      <c r="AD700" s="381">
        <v>0</v>
      </c>
      <c r="AE700" s="381">
        <v>0</v>
      </c>
      <c r="AF700" s="381">
        <v>0</v>
      </c>
      <c r="AG700" s="381">
        <v>0</v>
      </c>
      <c r="AH700" s="381">
        <v>0</v>
      </c>
      <c r="AI700" s="381">
        <v>0</v>
      </c>
    </row>
    <row r="701" spans="1:35">
      <c r="A701" s="990">
        <v>639</v>
      </c>
      <c r="B701" s="990">
        <v>1</v>
      </c>
      <c r="C701" s="990">
        <v>701</v>
      </c>
      <c r="E701" s="1243">
        <v>1</v>
      </c>
      <c r="I701" s="445"/>
      <c r="J701" s="446"/>
      <c r="K701" s="74"/>
      <c r="L701" s="74"/>
      <c r="M701" s="75"/>
      <c r="N701" s="301"/>
      <c r="O701" s="396"/>
      <c r="P701" s="396" t="s">
        <v>391</v>
      </c>
      <c r="Q701" s="2042"/>
      <c r="R701" s="2042"/>
      <c r="S701" s="2042"/>
      <c r="T701" s="2042"/>
      <c r="U701" s="2042"/>
      <c r="V701" s="2042"/>
      <c r="W701" s="2042"/>
      <c r="X701" s="2042"/>
      <c r="Y701" s="2042"/>
      <c r="Z701" s="2042"/>
      <c r="AA701" s="2042"/>
      <c r="AB701" s="2042"/>
      <c r="AC701" s="1537">
        <v>0</v>
      </c>
      <c r="AD701" s="108">
        <v>0</v>
      </c>
      <c r="AE701" s="108">
        <v>0</v>
      </c>
      <c r="AF701" s="108">
        <v>0</v>
      </c>
      <c r="AG701" s="108">
        <v>0</v>
      </c>
      <c r="AH701" s="108">
        <v>0</v>
      </c>
      <c r="AI701" s="108">
        <v>0</v>
      </c>
    </row>
    <row r="702" spans="1:35">
      <c r="A702" s="990">
        <v>640</v>
      </c>
      <c r="B702" s="990">
        <v>1</v>
      </c>
      <c r="C702" s="990">
        <v>702</v>
      </c>
      <c r="E702" s="1243">
        <v>1</v>
      </c>
      <c r="I702" s="445"/>
      <c r="J702" s="446"/>
      <c r="K702" s="74"/>
      <c r="L702" s="74"/>
      <c r="M702" s="75"/>
      <c r="N702" s="302"/>
      <c r="O702" s="302"/>
      <c r="P702" s="302" t="s">
        <v>393</v>
      </c>
      <c r="Q702" s="2037"/>
      <c r="R702" s="2037"/>
      <c r="S702" s="2037"/>
      <c r="T702" s="2037"/>
      <c r="U702" s="2037"/>
      <c r="V702" s="2037"/>
      <c r="W702" s="2037"/>
      <c r="X702" s="2037"/>
      <c r="Y702" s="2037"/>
      <c r="Z702" s="2037"/>
      <c r="AA702" s="2037"/>
      <c r="AB702" s="2037"/>
      <c r="AC702" s="1380">
        <v>0</v>
      </c>
      <c r="AD702" s="107">
        <v>0</v>
      </c>
      <c r="AE702" s="107">
        <v>0</v>
      </c>
      <c r="AF702" s="107">
        <v>0</v>
      </c>
      <c r="AG702" s="107">
        <v>0</v>
      </c>
      <c r="AH702" s="107">
        <v>0</v>
      </c>
      <c r="AI702" s="107">
        <v>0</v>
      </c>
    </row>
    <row r="703" spans="1:35">
      <c r="A703" s="990">
        <v>641</v>
      </c>
      <c r="B703" s="990">
        <v>1</v>
      </c>
      <c r="C703" s="990">
        <v>703</v>
      </c>
      <c r="E703" s="1243">
        <v>1</v>
      </c>
      <c r="I703" s="445"/>
      <c r="J703" s="446"/>
      <c r="K703" s="74"/>
      <c r="L703" s="74"/>
      <c r="M703" s="75"/>
      <c r="N703" s="301" t="s">
        <v>1101</v>
      </c>
      <c r="O703" s="301"/>
      <c r="P703" s="302"/>
      <c r="Q703" s="2037"/>
      <c r="R703" s="2037"/>
      <c r="S703" s="2037"/>
      <c r="T703" s="2037"/>
      <c r="U703" s="2037"/>
      <c r="V703" s="2037"/>
      <c r="W703" s="2037"/>
      <c r="X703" s="2037"/>
      <c r="Y703" s="2037"/>
      <c r="Z703" s="2037"/>
      <c r="AA703" s="2037"/>
      <c r="AB703" s="2037"/>
      <c r="AC703" s="1380">
        <v>0</v>
      </c>
      <c r="AD703" s="107">
        <v>0</v>
      </c>
      <c r="AE703" s="107">
        <v>0</v>
      </c>
      <c r="AF703" s="107">
        <v>0</v>
      </c>
      <c r="AG703" s="107">
        <v>0</v>
      </c>
      <c r="AH703" s="107">
        <v>0</v>
      </c>
      <c r="AI703" s="107">
        <v>0</v>
      </c>
    </row>
    <row r="704" spans="1:35">
      <c r="A704" s="990">
        <v>642</v>
      </c>
      <c r="B704" s="990">
        <v>1</v>
      </c>
      <c r="C704" s="990">
        <v>704</v>
      </c>
      <c r="E704" s="1243">
        <v>1</v>
      </c>
      <c r="I704" s="445"/>
      <c r="J704" s="446"/>
      <c r="K704" s="73"/>
      <c r="L704" s="73"/>
      <c r="M704" s="276"/>
      <c r="N704" s="2642" t="s">
        <v>11</v>
      </c>
      <c r="O704" s="2642"/>
      <c r="P704" s="2642"/>
      <c r="Q704" s="2088"/>
      <c r="R704" s="2088"/>
      <c r="S704" s="2088"/>
      <c r="T704" s="2088"/>
      <c r="U704" s="2088"/>
      <c r="V704" s="2088"/>
      <c r="W704" s="2088"/>
      <c r="X704" s="2088"/>
      <c r="Y704" s="2088"/>
      <c r="Z704" s="2088"/>
      <c r="AA704" s="2088"/>
      <c r="AB704" s="2088"/>
      <c r="AC704" s="2600">
        <v>0</v>
      </c>
      <c r="AD704" s="2058">
        <v>0</v>
      </c>
      <c r="AE704" s="2058">
        <v>0</v>
      </c>
      <c r="AF704" s="2058">
        <v>0</v>
      </c>
      <c r="AG704" s="2058">
        <v>0</v>
      </c>
      <c r="AH704" s="2058">
        <v>0</v>
      </c>
      <c r="AI704" s="2058">
        <v>0</v>
      </c>
    </row>
    <row r="705" spans="1:35">
      <c r="A705" s="990">
        <v>643</v>
      </c>
      <c r="B705" s="990">
        <v>1</v>
      </c>
      <c r="C705" s="990">
        <v>705</v>
      </c>
      <c r="E705" s="1243">
        <v>1</v>
      </c>
      <c r="I705" s="445"/>
      <c r="J705" s="446"/>
      <c r="K705" s="69" t="s">
        <v>1023</v>
      </c>
      <c r="L705" s="69"/>
      <c r="M705" s="610"/>
      <c r="N705" s="610"/>
      <c r="O705" s="610"/>
      <c r="P705" s="610"/>
      <c r="Q705" s="2056">
        <v>0</v>
      </c>
      <c r="R705" s="2056">
        <v>0</v>
      </c>
      <c r="S705" s="2056">
        <v>0</v>
      </c>
      <c r="T705" s="2056">
        <v>0</v>
      </c>
      <c r="U705" s="2056">
        <v>0</v>
      </c>
      <c r="V705" s="2056">
        <v>0</v>
      </c>
      <c r="W705" s="2056">
        <v>0</v>
      </c>
      <c r="X705" s="2056">
        <v>0</v>
      </c>
      <c r="Y705" s="2056">
        <v>0</v>
      </c>
      <c r="Z705" s="2056">
        <v>0</v>
      </c>
      <c r="AA705" s="2056">
        <v>0</v>
      </c>
      <c r="AB705" s="2056">
        <v>0</v>
      </c>
      <c r="AC705" s="2546">
        <v>0</v>
      </c>
      <c r="AD705" s="2056">
        <v>0</v>
      </c>
      <c r="AE705" s="2056">
        <v>0</v>
      </c>
      <c r="AF705" s="2056">
        <v>0</v>
      </c>
      <c r="AG705" s="2056">
        <v>0</v>
      </c>
      <c r="AH705" s="2056">
        <v>0</v>
      </c>
      <c r="AI705" s="2056">
        <v>0</v>
      </c>
    </row>
    <row r="706" spans="1:35">
      <c r="A706" s="990">
        <v>644</v>
      </c>
      <c r="B706" s="990">
        <v>1</v>
      </c>
      <c r="C706" s="990">
        <v>706</v>
      </c>
      <c r="E706" s="1243">
        <v>1</v>
      </c>
      <c r="I706" s="445"/>
      <c r="J706" s="446"/>
      <c r="K706" s="74"/>
      <c r="L706" s="74"/>
      <c r="M706" s="75" t="s">
        <v>1039</v>
      </c>
      <c r="N706" s="391"/>
      <c r="O706" s="391"/>
      <c r="P706" s="391"/>
      <c r="Q706" s="365">
        <v>0</v>
      </c>
      <c r="R706" s="365">
        <v>0</v>
      </c>
      <c r="S706" s="365">
        <v>0</v>
      </c>
      <c r="T706" s="365">
        <v>0</v>
      </c>
      <c r="U706" s="365">
        <v>0</v>
      </c>
      <c r="V706" s="365">
        <v>0</v>
      </c>
      <c r="W706" s="365">
        <v>0</v>
      </c>
      <c r="X706" s="365">
        <v>0</v>
      </c>
      <c r="Y706" s="365">
        <v>0</v>
      </c>
      <c r="Z706" s="365">
        <v>0</v>
      </c>
      <c r="AA706" s="365">
        <v>0</v>
      </c>
      <c r="AB706" s="365">
        <v>0</v>
      </c>
      <c r="AC706" s="408">
        <v>0</v>
      </c>
      <c r="AD706" s="365">
        <v>0</v>
      </c>
      <c r="AE706" s="365">
        <v>0</v>
      </c>
      <c r="AF706" s="365">
        <v>0</v>
      </c>
      <c r="AG706" s="365">
        <v>0</v>
      </c>
      <c r="AH706" s="365">
        <v>0</v>
      </c>
      <c r="AI706" s="365">
        <v>0</v>
      </c>
    </row>
    <row r="707" spans="1:35">
      <c r="A707" s="990">
        <v>645</v>
      </c>
      <c r="B707" s="990">
        <v>1</v>
      </c>
      <c r="C707" s="990">
        <v>707</v>
      </c>
      <c r="E707" s="1243">
        <v>1</v>
      </c>
      <c r="I707" s="445"/>
      <c r="J707" s="446"/>
      <c r="K707" s="74"/>
      <c r="L707" s="74"/>
      <c r="M707" s="75"/>
      <c r="N707" s="1246" t="s">
        <v>989</v>
      </c>
      <c r="O707" s="377"/>
      <c r="P707" s="377"/>
      <c r="Q707" s="2042"/>
      <c r="R707" s="2042"/>
      <c r="S707" s="2042"/>
      <c r="T707" s="2042"/>
      <c r="U707" s="2042"/>
      <c r="V707" s="2042"/>
      <c r="W707" s="2042"/>
      <c r="X707" s="2042"/>
      <c r="Y707" s="2042"/>
      <c r="Z707" s="2042"/>
      <c r="AA707" s="2042"/>
      <c r="AB707" s="2042"/>
      <c r="AC707" s="376">
        <v>0</v>
      </c>
      <c r="AD707" s="109">
        <v>0</v>
      </c>
      <c r="AE707" s="109">
        <v>0</v>
      </c>
      <c r="AF707" s="109">
        <v>0</v>
      </c>
      <c r="AG707" s="109">
        <v>0</v>
      </c>
      <c r="AH707" s="109">
        <v>0</v>
      </c>
      <c r="AI707" s="109">
        <v>0</v>
      </c>
    </row>
    <row r="708" spans="1:35">
      <c r="A708" s="990">
        <v>646</v>
      </c>
      <c r="B708" s="990">
        <v>1</v>
      </c>
      <c r="C708" s="990">
        <v>708</v>
      </c>
      <c r="E708" s="1243">
        <v>1</v>
      </c>
      <c r="I708" s="445"/>
      <c r="J708" s="446"/>
      <c r="K708" s="74"/>
      <c r="L708" s="74"/>
      <c r="M708" s="75"/>
      <c r="N708" s="75" t="s">
        <v>1040</v>
      </c>
      <c r="O708" s="75"/>
      <c r="P708" s="75"/>
      <c r="Q708" s="2036"/>
      <c r="R708" s="2036"/>
      <c r="S708" s="2036"/>
      <c r="T708" s="2036"/>
      <c r="U708" s="2036"/>
      <c r="V708" s="2036"/>
      <c r="W708" s="2036"/>
      <c r="X708" s="2036"/>
      <c r="Y708" s="2036"/>
      <c r="Z708" s="2036"/>
      <c r="AA708" s="2036"/>
      <c r="AB708" s="2036"/>
      <c r="AC708" s="100">
        <v>0</v>
      </c>
      <c r="AD708" s="19">
        <v>0</v>
      </c>
      <c r="AE708" s="19">
        <v>0</v>
      </c>
      <c r="AF708" s="19">
        <v>0</v>
      </c>
      <c r="AG708" s="19">
        <v>0</v>
      </c>
      <c r="AH708" s="19">
        <v>0</v>
      </c>
      <c r="AI708" s="19">
        <v>0</v>
      </c>
    </row>
    <row r="709" spans="1:35">
      <c r="A709" s="990">
        <v>647</v>
      </c>
      <c r="B709" s="990">
        <v>1</v>
      </c>
      <c r="C709" s="990">
        <v>709</v>
      </c>
      <c r="E709" s="1243">
        <v>1</v>
      </c>
      <c r="I709" s="445"/>
      <c r="J709" s="446"/>
      <c r="K709" s="74"/>
      <c r="L709" s="74"/>
      <c r="M709" s="75"/>
      <c r="N709" s="75" t="s">
        <v>1041</v>
      </c>
      <c r="O709" s="75"/>
      <c r="P709" s="75"/>
      <c r="Q709" s="2036"/>
      <c r="R709" s="2036"/>
      <c r="S709" s="2036"/>
      <c r="T709" s="2036"/>
      <c r="U709" s="2036"/>
      <c r="V709" s="2036"/>
      <c r="W709" s="2036"/>
      <c r="X709" s="2036"/>
      <c r="Y709" s="2036"/>
      <c r="Z709" s="2036"/>
      <c r="AA709" s="2036"/>
      <c r="AB709" s="2036"/>
      <c r="AC709" s="100">
        <v>0</v>
      </c>
      <c r="AD709" s="19">
        <v>0</v>
      </c>
      <c r="AE709" s="19">
        <v>0</v>
      </c>
      <c r="AF709" s="19">
        <v>0</v>
      </c>
      <c r="AG709" s="19">
        <v>0</v>
      </c>
      <c r="AH709" s="19">
        <v>0</v>
      </c>
      <c r="AI709" s="19">
        <v>0</v>
      </c>
    </row>
    <row r="710" spans="1:35">
      <c r="A710" s="990">
        <v>648</v>
      </c>
      <c r="B710" s="990">
        <v>1</v>
      </c>
      <c r="C710" s="990">
        <v>710</v>
      </c>
      <c r="E710" s="1243">
        <v>1</v>
      </c>
      <c r="I710" s="445"/>
      <c r="J710" s="446"/>
      <c r="K710" s="74"/>
      <c r="L710" s="74"/>
      <c r="M710" s="75"/>
      <c r="N710" s="75" t="s">
        <v>1042</v>
      </c>
      <c r="O710" s="75"/>
      <c r="P710" s="75"/>
      <c r="Q710" s="2036"/>
      <c r="R710" s="2036"/>
      <c r="S710" s="2036"/>
      <c r="T710" s="2036"/>
      <c r="U710" s="2036"/>
      <c r="V710" s="2036"/>
      <c r="W710" s="2036"/>
      <c r="X710" s="2036"/>
      <c r="Y710" s="2036"/>
      <c r="Z710" s="2036"/>
      <c r="AA710" s="2036"/>
      <c r="AB710" s="2036"/>
      <c r="AC710" s="100">
        <v>0</v>
      </c>
      <c r="AD710" s="19">
        <v>0</v>
      </c>
      <c r="AE710" s="19">
        <v>0</v>
      </c>
      <c r="AF710" s="19">
        <v>0</v>
      </c>
      <c r="AG710" s="19">
        <v>0</v>
      </c>
      <c r="AH710" s="19">
        <v>0</v>
      </c>
      <c r="AI710" s="19">
        <v>0</v>
      </c>
    </row>
    <row r="711" spans="1:35">
      <c r="A711" s="990">
        <v>649</v>
      </c>
      <c r="B711" s="990">
        <v>1</v>
      </c>
      <c r="C711" s="990">
        <v>711</v>
      </c>
      <c r="E711" s="1243">
        <v>1</v>
      </c>
      <c r="I711" s="445"/>
      <c r="J711" s="446"/>
      <c r="K711" s="74"/>
      <c r="L711" s="74"/>
      <c r="M711" s="75"/>
      <c r="N711" s="75" t="s">
        <v>852</v>
      </c>
      <c r="O711" s="75"/>
      <c r="P711" s="75"/>
      <c r="Q711" s="2036"/>
      <c r="R711" s="2036"/>
      <c r="S711" s="2036"/>
      <c r="T711" s="2036"/>
      <c r="U711" s="2036"/>
      <c r="V711" s="2036"/>
      <c r="W711" s="2036"/>
      <c r="X711" s="2036"/>
      <c r="Y711" s="2036"/>
      <c r="Z711" s="2036"/>
      <c r="AA711" s="2036"/>
      <c r="AB711" s="2036"/>
      <c r="AC711" s="100">
        <v>0</v>
      </c>
      <c r="AD711" s="19">
        <v>0</v>
      </c>
      <c r="AE711" s="19">
        <v>0</v>
      </c>
      <c r="AF711" s="19">
        <v>0</v>
      </c>
      <c r="AG711" s="19">
        <v>0</v>
      </c>
      <c r="AH711" s="19">
        <v>0</v>
      </c>
      <c r="AI711" s="19">
        <v>0</v>
      </c>
    </row>
    <row r="712" spans="1:35">
      <c r="A712" s="990">
        <v>650</v>
      </c>
      <c r="B712" s="990">
        <v>1</v>
      </c>
      <c r="C712" s="990">
        <v>712</v>
      </c>
      <c r="E712" s="1243">
        <v>1</v>
      </c>
      <c r="I712" s="445"/>
      <c r="J712" s="446"/>
      <c r="K712" s="74"/>
      <c r="L712" s="74"/>
      <c r="M712" s="75"/>
      <c r="N712" s="276" t="s">
        <v>11</v>
      </c>
      <c r="O712" s="276"/>
      <c r="P712" s="276"/>
      <c r="Q712" s="2037"/>
      <c r="R712" s="2037"/>
      <c r="S712" s="2037"/>
      <c r="T712" s="2037"/>
      <c r="U712" s="2037"/>
      <c r="V712" s="2037"/>
      <c r="W712" s="2037"/>
      <c r="X712" s="2037"/>
      <c r="Y712" s="2037"/>
      <c r="Z712" s="2037"/>
      <c r="AA712" s="2037"/>
      <c r="AB712" s="2037"/>
      <c r="AC712" s="99">
        <v>0</v>
      </c>
      <c r="AD712" s="17">
        <v>0</v>
      </c>
      <c r="AE712" s="17">
        <v>0</v>
      </c>
      <c r="AF712" s="17">
        <v>0</v>
      </c>
      <c r="AG712" s="17">
        <v>0</v>
      </c>
      <c r="AH712" s="17">
        <v>0</v>
      </c>
      <c r="AI712" s="17">
        <v>0</v>
      </c>
    </row>
    <row r="713" spans="1:35">
      <c r="A713" s="990">
        <v>651</v>
      </c>
      <c r="B713" s="990">
        <v>1</v>
      </c>
      <c r="C713" s="990">
        <v>713</v>
      </c>
      <c r="E713" s="1243">
        <v>1</v>
      </c>
      <c r="I713" s="445"/>
      <c r="J713" s="446"/>
      <c r="K713" s="74"/>
      <c r="L713" s="74"/>
      <c r="M713" s="1198" t="s">
        <v>95</v>
      </c>
      <c r="N713" s="1198"/>
      <c r="O713" s="1198"/>
      <c r="P713" s="1198"/>
      <c r="Q713" s="2081">
        <v>0</v>
      </c>
      <c r="R713" s="2081">
        <v>0</v>
      </c>
      <c r="S713" s="2081">
        <v>0</v>
      </c>
      <c r="T713" s="2081">
        <v>0</v>
      </c>
      <c r="U713" s="2081">
        <v>0</v>
      </c>
      <c r="V713" s="2081">
        <v>0</v>
      </c>
      <c r="W713" s="2081">
        <v>0</v>
      </c>
      <c r="X713" s="2081">
        <v>0</v>
      </c>
      <c r="Y713" s="2081">
        <v>0</v>
      </c>
      <c r="Z713" s="2081">
        <v>0</v>
      </c>
      <c r="AA713" s="2081">
        <v>0</v>
      </c>
      <c r="AB713" s="2081">
        <v>0</v>
      </c>
      <c r="AC713" s="2601">
        <v>0</v>
      </c>
      <c r="AD713" s="2081">
        <v>0</v>
      </c>
      <c r="AE713" s="2081">
        <v>0</v>
      </c>
      <c r="AF713" s="2081">
        <v>0</v>
      </c>
      <c r="AG713" s="2081">
        <v>0</v>
      </c>
      <c r="AH713" s="2081">
        <v>0</v>
      </c>
      <c r="AI713" s="2081">
        <v>0</v>
      </c>
    </row>
    <row r="714" spans="1:35">
      <c r="A714" s="990">
        <v>652</v>
      </c>
      <c r="B714" s="990">
        <v>1</v>
      </c>
      <c r="C714" s="990">
        <v>714</v>
      </c>
      <c r="E714" s="1243">
        <v>1</v>
      </c>
      <c r="I714" s="445"/>
      <c r="J714" s="446"/>
      <c r="K714" s="74"/>
      <c r="L714" s="74"/>
      <c r="M714" s="75"/>
      <c r="N714" s="1246" t="s">
        <v>989</v>
      </c>
      <c r="O714" s="391"/>
      <c r="P714" s="391"/>
      <c r="Q714" s="365">
        <v>0</v>
      </c>
      <c r="R714" s="365">
        <v>0</v>
      </c>
      <c r="S714" s="365">
        <v>0</v>
      </c>
      <c r="T714" s="365">
        <v>0</v>
      </c>
      <c r="U714" s="365">
        <v>0</v>
      </c>
      <c r="V714" s="365">
        <v>0</v>
      </c>
      <c r="W714" s="365">
        <v>0</v>
      </c>
      <c r="X714" s="365">
        <v>0</v>
      </c>
      <c r="Y714" s="365">
        <v>0</v>
      </c>
      <c r="Z714" s="365">
        <v>0</v>
      </c>
      <c r="AA714" s="365">
        <v>0</v>
      </c>
      <c r="AB714" s="365">
        <v>0</v>
      </c>
      <c r="AC714" s="408">
        <v>0</v>
      </c>
      <c r="AD714" s="365">
        <v>0</v>
      </c>
      <c r="AE714" s="365">
        <v>0</v>
      </c>
      <c r="AF714" s="365">
        <v>0</v>
      </c>
      <c r="AG714" s="365">
        <v>0</v>
      </c>
      <c r="AH714" s="365">
        <v>0</v>
      </c>
      <c r="AI714" s="365">
        <v>0</v>
      </c>
    </row>
    <row r="715" spans="1:35">
      <c r="A715" s="990">
        <v>653</v>
      </c>
      <c r="B715" s="990">
        <v>1</v>
      </c>
      <c r="C715" s="990">
        <v>715</v>
      </c>
      <c r="E715" s="1243">
        <v>1</v>
      </c>
      <c r="I715" s="445"/>
      <c r="J715" s="446"/>
      <c r="K715" s="74"/>
      <c r="L715" s="74"/>
      <c r="M715" s="75"/>
      <c r="N715" s="75"/>
      <c r="O715" s="1246" t="s">
        <v>989</v>
      </c>
      <c r="P715" s="394"/>
      <c r="Q715" s="2057"/>
      <c r="R715" s="2057"/>
      <c r="S715" s="2057"/>
      <c r="T715" s="2057"/>
      <c r="U715" s="2057"/>
      <c r="V715" s="2057"/>
      <c r="W715" s="2057"/>
      <c r="X715" s="2057"/>
      <c r="Y715" s="2057"/>
      <c r="Z715" s="2057"/>
      <c r="AA715" s="2057"/>
      <c r="AB715" s="2057"/>
      <c r="AC715" s="1545">
        <v>0</v>
      </c>
      <c r="AD715" s="64">
        <v>0</v>
      </c>
      <c r="AE715" s="64">
        <v>0</v>
      </c>
      <c r="AF715" s="64">
        <v>0</v>
      </c>
      <c r="AG715" s="64">
        <v>0</v>
      </c>
      <c r="AH715" s="64">
        <v>0</v>
      </c>
      <c r="AI715" s="64">
        <v>0</v>
      </c>
    </row>
    <row r="716" spans="1:35">
      <c r="A716" s="990">
        <v>654</v>
      </c>
      <c r="B716" s="990">
        <v>1</v>
      </c>
      <c r="C716" s="990">
        <v>716</v>
      </c>
      <c r="E716" s="1243">
        <v>1</v>
      </c>
      <c r="I716" s="445"/>
      <c r="J716" s="446"/>
      <c r="K716" s="74"/>
      <c r="L716" s="74"/>
      <c r="M716" s="75"/>
      <c r="N716" s="75"/>
      <c r="O716" s="395" t="s">
        <v>1099</v>
      </c>
      <c r="P716" s="395"/>
      <c r="Q716" s="385">
        <v>0</v>
      </c>
      <c r="R716" s="385">
        <v>0</v>
      </c>
      <c r="S716" s="385">
        <v>0</v>
      </c>
      <c r="T716" s="385">
        <v>0</v>
      </c>
      <c r="U716" s="385">
        <v>0</v>
      </c>
      <c r="V716" s="385">
        <v>0</v>
      </c>
      <c r="W716" s="385">
        <v>0</v>
      </c>
      <c r="X716" s="385">
        <v>0</v>
      </c>
      <c r="Y716" s="385">
        <v>0</v>
      </c>
      <c r="Z716" s="385">
        <v>0</v>
      </c>
      <c r="AA716" s="385">
        <v>0</v>
      </c>
      <c r="AB716" s="385">
        <v>0</v>
      </c>
      <c r="AC716" s="1540">
        <v>0</v>
      </c>
      <c r="AD716" s="385">
        <v>0</v>
      </c>
      <c r="AE716" s="385">
        <v>0</v>
      </c>
      <c r="AF716" s="385">
        <v>0</v>
      </c>
      <c r="AG716" s="385">
        <v>0</v>
      </c>
      <c r="AH716" s="385">
        <v>0</v>
      </c>
      <c r="AI716" s="385">
        <v>0</v>
      </c>
    </row>
    <row r="717" spans="1:35">
      <c r="A717" s="990">
        <v>655</v>
      </c>
      <c r="B717" s="990">
        <v>1</v>
      </c>
      <c r="C717" s="990">
        <v>717</v>
      </c>
      <c r="E717" s="1243">
        <v>1</v>
      </c>
      <c r="I717" s="445"/>
      <c r="J717" s="446"/>
      <c r="K717" s="74"/>
      <c r="L717" s="74"/>
      <c r="M717" s="75"/>
      <c r="N717" s="75"/>
      <c r="O717" s="396"/>
      <c r="P717" s="371" t="s">
        <v>391</v>
      </c>
      <c r="Q717" s="2042"/>
      <c r="R717" s="2042"/>
      <c r="S717" s="2042"/>
      <c r="T717" s="2042"/>
      <c r="U717" s="2042"/>
      <c r="V717" s="2042"/>
      <c r="W717" s="2042"/>
      <c r="X717" s="2042"/>
      <c r="Y717" s="2042"/>
      <c r="Z717" s="2042"/>
      <c r="AA717" s="2042"/>
      <c r="AB717" s="2042"/>
      <c r="AC717" s="1537">
        <v>0</v>
      </c>
      <c r="AD717" s="108">
        <v>0</v>
      </c>
      <c r="AE717" s="108">
        <v>0</v>
      </c>
      <c r="AF717" s="108">
        <v>0</v>
      </c>
      <c r="AG717" s="108">
        <v>0</v>
      </c>
      <c r="AH717" s="108">
        <v>0</v>
      </c>
      <c r="AI717" s="108">
        <v>0</v>
      </c>
    </row>
    <row r="718" spans="1:35">
      <c r="A718" s="990">
        <v>656</v>
      </c>
      <c r="B718" s="990">
        <v>1</v>
      </c>
      <c r="C718" s="990">
        <v>718</v>
      </c>
      <c r="E718" s="1243">
        <v>1</v>
      </c>
      <c r="I718" s="445"/>
      <c r="J718" s="446"/>
      <c r="K718" s="74"/>
      <c r="L718" s="74"/>
      <c r="M718" s="75"/>
      <c r="N718" s="75"/>
      <c r="O718" s="301"/>
      <c r="P718" s="299" t="s">
        <v>1086</v>
      </c>
      <c r="Q718" s="2036"/>
      <c r="R718" s="2036"/>
      <c r="S718" s="2036"/>
      <c r="T718" s="2036"/>
      <c r="U718" s="2036"/>
      <c r="V718" s="2036"/>
      <c r="W718" s="2036"/>
      <c r="X718" s="2036"/>
      <c r="Y718" s="2036"/>
      <c r="Z718" s="2036"/>
      <c r="AA718" s="2036"/>
      <c r="AB718" s="2036"/>
      <c r="AC718" s="1380">
        <v>0</v>
      </c>
      <c r="AD718" s="107">
        <v>0</v>
      </c>
      <c r="AE718" s="107">
        <v>0</v>
      </c>
      <c r="AF718" s="107">
        <v>0</v>
      </c>
      <c r="AG718" s="107">
        <v>0</v>
      </c>
      <c r="AH718" s="107">
        <v>0</v>
      </c>
      <c r="AI718" s="107">
        <v>0</v>
      </c>
    </row>
    <row r="719" spans="1:35">
      <c r="A719" s="990">
        <v>657</v>
      </c>
      <c r="B719" s="990">
        <v>1</v>
      </c>
      <c r="C719" s="990">
        <v>719</v>
      </c>
      <c r="E719" s="1243">
        <v>1</v>
      </c>
      <c r="I719" s="445"/>
      <c r="J719" s="446"/>
      <c r="K719" s="74"/>
      <c r="L719" s="74"/>
      <c r="M719" s="75"/>
      <c r="N719" s="276"/>
      <c r="O719" s="302"/>
      <c r="P719" s="298" t="s">
        <v>393</v>
      </c>
      <c r="Q719" s="2037"/>
      <c r="R719" s="2037"/>
      <c r="S719" s="2037"/>
      <c r="T719" s="2037"/>
      <c r="U719" s="2037"/>
      <c r="V719" s="2037"/>
      <c r="W719" s="2037"/>
      <c r="X719" s="2037"/>
      <c r="Y719" s="2037"/>
      <c r="Z719" s="2037"/>
      <c r="AA719" s="2037"/>
      <c r="AB719" s="2037"/>
      <c r="AC719" s="1380">
        <v>0</v>
      </c>
      <c r="AD719" s="107">
        <v>0</v>
      </c>
      <c r="AE719" s="107">
        <v>0</v>
      </c>
      <c r="AF719" s="107">
        <v>0</v>
      </c>
      <c r="AG719" s="107">
        <v>0</v>
      </c>
      <c r="AH719" s="107">
        <v>0</v>
      </c>
      <c r="AI719" s="107">
        <v>0</v>
      </c>
    </row>
    <row r="720" spans="1:35">
      <c r="A720" s="990">
        <v>658</v>
      </c>
      <c r="B720" s="990">
        <v>1</v>
      </c>
      <c r="C720" s="990">
        <v>720</v>
      </c>
      <c r="E720" s="1243">
        <v>1</v>
      </c>
      <c r="I720" s="445"/>
      <c r="J720" s="446"/>
      <c r="K720" s="74"/>
      <c r="L720" s="74"/>
      <c r="M720" s="75"/>
      <c r="N720" s="75" t="s">
        <v>1040</v>
      </c>
      <c r="O720" s="391"/>
      <c r="P720" s="391"/>
      <c r="Q720" s="64">
        <v>0</v>
      </c>
      <c r="R720" s="64">
        <v>0</v>
      </c>
      <c r="S720" s="64">
        <v>0</v>
      </c>
      <c r="T720" s="64">
        <v>0</v>
      </c>
      <c r="U720" s="64">
        <v>0</v>
      </c>
      <c r="V720" s="64">
        <v>0</v>
      </c>
      <c r="W720" s="64">
        <v>0</v>
      </c>
      <c r="X720" s="64">
        <v>0</v>
      </c>
      <c r="Y720" s="64">
        <v>0</v>
      </c>
      <c r="Z720" s="64">
        <v>0</v>
      </c>
      <c r="AA720" s="64">
        <v>0</v>
      </c>
      <c r="AB720" s="64">
        <v>0</v>
      </c>
      <c r="AC720" s="1545">
        <v>0</v>
      </c>
      <c r="AD720" s="64">
        <v>0</v>
      </c>
      <c r="AE720" s="64">
        <v>0</v>
      </c>
      <c r="AF720" s="64">
        <v>0</v>
      </c>
      <c r="AG720" s="64">
        <v>0</v>
      </c>
      <c r="AH720" s="64">
        <v>0</v>
      </c>
      <c r="AI720" s="64">
        <v>0</v>
      </c>
    </row>
    <row r="721" spans="1:35">
      <c r="A721" s="990">
        <v>659</v>
      </c>
      <c r="B721" s="990">
        <v>1</v>
      </c>
      <c r="C721" s="990">
        <v>721</v>
      </c>
      <c r="E721" s="1243">
        <v>1</v>
      </c>
      <c r="I721" s="445"/>
      <c r="J721" s="446"/>
      <c r="K721" s="74"/>
      <c r="L721" s="74"/>
      <c r="M721" s="75"/>
      <c r="N721" s="75"/>
      <c r="O721" s="394" t="s">
        <v>1040</v>
      </c>
      <c r="P721" s="394"/>
      <c r="Q721" s="2057"/>
      <c r="R721" s="2057"/>
      <c r="S721" s="2057"/>
      <c r="T721" s="2057"/>
      <c r="U721" s="2057"/>
      <c r="V721" s="2057"/>
      <c r="W721" s="2057"/>
      <c r="X721" s="2057"/>
      <c r="Y721" s="2057"/>
      <c r="Z721" s="2057"/>
      <c r="AA721" s="2057"/>
      <c r="AB721" s="2057"/>
      <c r="AC721" s="1545">
        <v>0</v>
      </c>
      <c r="AD721" s="64">
        <v>0</v>
      </c>
      <c r="AE721" s="64">
        <v>0</v>
      </c>
      <c r="AF721" s="64">
        <v>0</v>
      </c>
      <c r="AG721" s="64">
        <v>0</v>
      </c>
      <c r="AH721" s="64">
        <v>0</v>
      </c>
      <c r="AI721" s="64">
        <v>0</v>
      </c>
    </row>
    <row r="722" spans="1:35">
      <c r="A722" s="990">
        <v>660</v>
      </c>
      <c r="B722" s="990">
        <v>1</v>
      </c>
      <c r="C722" s="990">
        <v>722</v>
      </c>
      <c r="E722" s="1243">
        <v>1</v>
      </c>
      <c r="I722" s="445"/>
      <c r="J722" s="446"/>
      <c r="K722" s="74"/>
      <c r="L722" s="74"/>
      <c r="M722" s="75"/>
      <c r="N722" s="75"/>
      <c r="O722" s="395" t="s">
        <v>1099</v>
      </c>
      <c r="P722" s="395"/>
      <c r="Q722" s="385">
        <v>0</v>
      </c>
      <c r="R722" s="385">
        <v>0</v>
      </c>
      <c r="S722" s="385">
        <v>0</v>
      </c>
      <c r="T722" s="385">
        <v>0</v>
      </c>
      <c r="U722" s="385">
        <v>0</v>
      </c>
      <c r="V722" s="385">
        <v>0</v>
      </c>
      <c r="W722" s="385">
        <v>0</v>
      </c>
      <c r="X722" s="385">
        <v>0</v>
      </c>
      <c r="Y722" s="385">
        <v>0</v>
      </c>
      <c r="Z722" s="385">
        <v>0</v>
      </c>
      <c r="AA722" s="385">
        <v>0</v>
      </c>
      <c r="AB722" s="385">
        <v>0</v>
      </c>
      <c r="AC722" s="1540">
        <v>0</v>
      </c>
      <c r="AD722" s="385">
        <v>0</v>
      </c>
      <c r="AE722" s="385">
        <v>0</v>
      </c>
      <c r="AF722" s="385">
        <v>0</v>
      </c>
      <c r="AG722" s="385">
        <v>0</v>
      </c>
      <c r="AH722" s="385">
        <v>0</v>
      </c>
      <c r="AI722" s="385">
        <v>0</v>
      </c>
    </row>
    <row r="723" spans="1:35">
      <c r="A723" s="990">
        <v>661</v>
      </c>
      <c r="B723" s="990">
        <v>1</v>
      </c>
      <c r="C723" s="990">
        <v>723</v>
      </c>
      <c r="E723" s="1243">
        <v>1</v>
      </c>
      <c r="I723" s="445"/>
      <c r="J723" s="446"/>
      <c r="K723" s="74"/>
      <c r="L723" s="74"/>
      <c r="M723" s="75"/>
      <c r="N723" s="75"/>
      <c r="O723" s="396"/>
      <c r="P723" s="371" t="s">
        <v>391</v>
      </c>
      <c r="Q723" s="2042"/>
      <c r="R723" s="2042"/>
      <c r="S723" s="2042"/>
      <c r="T723" s="2042"/>
      <c r="U723" s="2042"/>
      <c r="V723" s="2042"/>
      <c r="W723" s="2042"/>
      <c r="X723" s="2042"/>
      <c r="Y723" s="2042"/>
      <c r="Z723" s="2042"/>
      <c r="AA723" s="2042"/>
      <c r="AB723" s="2042"/>
      <c r="AC723" s="1537">
        <v>0</v>
      </c>
      <c r="AD723" s="108">
        <v>0</v>
      </c>
      <c r="AE723" s="108">
        <v>0</v>
      </c>
      <c r="AF723" s="108">
        <v>0</v>
      </c>
      <c r="AG723" s="108">
        <v>0</v>
      </c>
      <c r="AH723" s="108">
        <v>0</v>
      </c>
      <c r="AI723" s="108">
        <v>0</v>
      </c>
    </row>
    <row r="724" spans="1:35">
      <c r="A724" s="990">
        <v>662</v>
      </c>
      <c r="B724" s="990">
        <v>1</v>
      </c>
      <c r="C724" s="990">
        <v>724</v>
      </c>
      <c r="E724" s="1243">
        <v>1</v>
      </c>
      <c r="I724" s="445"/>
      <c r="J724" s="446"/>
      <c r="K724" s="74"/>
      <c r="L724" s="74"/>
      <c r="M724" s="75"/>
      <c r="N724" s="75"/>
      <c r="O724" s="301"/>
      <c r="P724" s="299" t="s">
        <v>1086</v>
      </c>
      <c r="Q724" s="2036"/>
      <c r="R724" s="2036"/>
      <c r="S724" s="2036"/>
      <c r="T724" s="2036"/>
      <c r="U724" s="2036"/>
      <c r="V724" s="2036"/>
      <c r="W724" s="2036"/>
      <c r="X724" s="2036"/>
      <c r="Y724" s="2036"/>
      <c r="Z724" s="2036"/>
      <c r="AA724" s="2036"/>
      <c r="AB724" s="2036"/>
      <c r="AC724" s="1380">
        <v>0</v>
      </c>
      <c r="AD724" s="107">
        <v>0</v>
      </c>
      <c r="AE724" s="107">
        <v>0</v>
      </c>
      <c r="AF724" s="107">
        <v>0</v>
      </c>
      <c r="AG724" s="107">
        <v>0</v>
      </c>
      <c r="AH724" s="107">
        <v>0</v>
      </c>
      <c r="AI724" s="107">
        <v>0</v>
      </c>
    </row>
    <row r="725" spans="1:35">
      <c r="A725" s="990">
        <v>663</v>
      </c>
      <c r="B725" s="990">
        <v>1</v>
      </c>
      <c r="C725" s="990">
        <v>725</v>
      </c>
      <c r="E725" s="1243">
        <v>1</v>
      </c>
      <c r="I725" s="445"/>
      <c r="J725" s="446"/>
      <c r="K725" s="74"/>
      <c r="L725" s="74"/>
      <c r="M725" s="75"/>
      <c r="N725" s="276"/>
      <c r="O725" s="302"/>
      <c r="P725" s="298" t="s">
        <v>393</v>
      </c>
      <c r="Q725" s="2037"/>
      <c r="R725" s="2037"/>
      <c r="S725" s="2037"/>
      <c r="T725" s="2037"/>
      <c r="U725" s="2037"/>
      <c r="V725" s="2037"/>
      <c r="W725" s="2037"/>
      <c r="X725" s="2037"/>
      <c r="Y725" s="2037"/>
      <c r="Z725" s="2037"/>
      <c r="AA725" s="2037"/>
      <c r="AB725" s="2037"/>
      <c r="AC725" s="1380">
        <v>0</v>
      </c>
      <c r="AD725" s="107">
        <v>0</v>
      </c>
      <c r="AE725" s="107">
        <v>0</v>
      </c>
      <c r="AF725" s="107">
        <v>0</v>
      </c>
      <c r="AG725" s="107">
        <v>0</v>
      </c>
      <c r="AH725" s="107">
        <v>0</v>
      </c>
      <c r="AI725" s="107">
        <v>0</v>
      </c>
    </row>
    <row r="726" spans="1:35">
      <c r="A726" s="990">
        <v>664</v>
      </c>
      <c r="B726" s="990">
        <v>1</v>
      </c>
      <c r="C726" s="990">
        <v>726</v>
      </c>
      <c r="E726" s="1243">
        <v>1</v>
      </c>
      <c r="I726" s="445"/>
      <c r="J726" s="446"/>
      <c r="K726" s="74"/>
      <c r="L726" s="74"/>
      <c r="M726" s="75"/>
      <c r="N726" s="75" t="s">
        <v>1041</v>
      </c>
      <c r="O726" s="391"/>
      <c r="P726" s="391"/>
      <c r="Q726" s="64">
        <v>0</v>
      </c>
      <c r="R726" s="64">
        <v>0</v>
      </c>
      <c r="S726" s="64">
        <v>0</v>
      </c>
      <c r="T726" s="64">
        <v>0</v>
      </c>
      <c r="U726" s="64">
        <v>0</v>
      </c>
      <c r="V726" s="64">
        <v>0</v>
      </c>
      <c r="W726" s="64">
        <v>0</v>
      </c>
      <c r="X726" s="64">
        <v>0</v>
      </c>
      <c r="Y726" s="64">
        <v>0</v>
      </c>
      <c r="Z726" s="64">
        <v>0</v>
      </c>
      <c r="AA726" s="64">
        <v>0</v>
      </c>
      <c r="AB726" s="64">
        <v>0</v>
      </c>
      <c r="AC726" s="1545">
        <v>0</v>
      </c>
      <c r="AD726" s="64">
        <v>0</v>
      </c>
      <c r="AE726" s="64">
        <v>0</v>
      </c>
      <c r="AF726" s="64">
        <v>0</v>
      </c>
      <c r="AG726" s="64">
        <v>0</v>
      </c>
      <c r="AH726" s="64">
        <v>0</v>
      </c>
      <c r="AI726" s="64">
        <v>0</v>
      </c>
    </row>
    <row r="727" spans="1:35">
      <c r="A727" s="990">
        <v>665</v>
      </c>
      <c r="B727" s="990">
        <v>1</v>
      </c>
      <c r="C727" s="990">
        <v>727</v>
      </c>
      <c r="E727" s="1243">
        <v>1</v>
      </c>
      <c r="I727" s="445"/>
      <c r="J727" s="446"/>
      <c r="K727" s="74"/>
      <c r="L727" s="74"/>
      <c r="M727" s="75"/>
      <c r="N727" s="75"/>
      <c r="O727" s="394" t="s">
        <v>1041</v>
      </c>
      <c r="P727" s="394"/>
      <c r="Q727" s="2057"/>
      <c r="R727" s="2057"/>
      <c r="S727" s="2057"/>
      <c r="T727" s="2057"/>
      <c r="U727" s="2057"/>
      <c r="V727" s="2057"/>
      <c r="W727" s="2057"/>
      <c r="X727" s="2057"/>
      <c r="Y727" s="2057"/>
      <c r="Z727" s="2057"/>
      <c r="AA727" s="2057"/>
      <c r="AB727" s="2057"/>
      <c r="AC727" s="1545">
        <v>0</v>
      </c>
      <c r="AD727" s="64">
        <v>0</v>
      </c>
      <c r="AE727" s="64">
        <v>0</v>
      </c>
      <c r="AF727" s="64">
        <v>0</v>
      </c>
      <c r="AG727" s="64">
        <v>0</v>
      </c>
      <c r="AH727" s="64">
        <v>0</v>
      </c>
      <c r="AI727" s="64">
        <v>0</v>
      </c>
    </row>
    <row r="728" spans="1:35">
      <c r="A728" s="990">
        <v>666</v>
      </c>
      <c r="B728" s="990">
        <v>1</v>
      </c>
      <c r="C728" s="990">
        <v>728</v>
      </c>
      <c r="E728" s="1243">
        <v>1</v>
      </c>
      <c r="I728" s="445"/>
      <c r="J728" s="446"/>
      <c r="K728" s="74"/>
      <c r="L728" s="74"/>
      <c r="M728" s="75"/>
      <c r="N728" s="75"/>
      <c r="O728" s="395" t="s">
        <v>1099</v>
      </c>
      <c r="P728" s="395"/>
      <c r="Q728" s="385">
        <v>0</v>
      </c>
      <c r="R728" s="385">
        <v>0</v>
      </c>
      <c r="S728" s="385">
        <v>0</v>
      </c>
      <c r="T728" s="385">
        <v>0</v>
      </c>
      <c r="U728" s="385">
        <v>0</v>
      </c>
      <c r="V728" s="385">
        <v>0</v>
      </c>
      <c r="W728" s="385">
        <v>0</v>
      </c>
      <c r="X728" s="385">
        <v>0</v>
      </c>
      <c r="Y728" s="385">
        <v>0</v>
      </c>
      <c r="Z728" s="385">
        <v>0</v>
      </c>
      <c r="AA728" s="385">
        <v>0</v>
      </c>
      <c r="AB728" s="385">
        <v>0</v>
      </c>
      <c r="AC728" s="1540">
        <v>0</v>
      </c>
      <c r="AD728" s="385">
        <v>0</v>
      </c>
      <c r="AE728" s="385">
        <v>0</v>
      </c>
      <c r="AF728" s="385">
        <v>0</v>
      </c>
      <c r="AG728" s="385">
        <v>0</v>
      </c>
      <c r="AH728" s="385">
        <v>0</v>
      </c>
      <c r="AI728" s="385">
        <v>0</v>
      </c>
    </row>
    <row r="729" spans="1:35">
      <c r="A729" s="990">
        <v>667</v>
      </c>
      <c r="B729" s="990">
        <v>1</v>
      </c>
      <c r="C729" s="990">
        <v>729</v>
      </c>
      <c r="E729" s="1243">
        <v>1</v>
      </c>
      <c r="I729" s="445"/>
      <c r="J729" s="446"/>
      <c r="K729" s="74"/>
      <c r="L729" s="74"/>
      <c r="M729" s="75"/>
      <c r="N729" s="75"/>
      <c r="O729" s="396"/>
      <c r="P729" s="371" t="s">
        <v>391</v>
      </c>
      <c r="Q729" s="2042"/>
      <c r="R729" s="2042"/>
      <c r="S729" s="2042"/>
      <c r="T729" s="2042"/>
      <c r="U729" s="2042"/>
      <c r="V729" s="2042"/>
      <c r="W729" s="2042"/>
      <c r="X729" s="2042"/>
      <c r="Y729" s="2042"/>
      <c r="Z729" s="2042"/>
      <c r="AA729" s="2042"/>
      <c r="AB729" s="2042"/>
      <c r="AC729" s="1537">
        <v>0</v>
      </c>
      <c r="AD729" s="108">
        <v>0</v>
      </c>
      <c r="AE729" s="108">
        <v>0</v>
      </c>
      <c r="AF729" s="108">
        <v>0</v>
      </c>
      <c r="AG729" s="108">
        <v>0</v>
      </c>
      <c r="AH729" s="108">
        <v>0</v>
      </c>
      <c r="AI729" s="108">
        <v>0</v>
      </c>
    </row>
    <row r="730" spans="1:35">
      <c r="A730" s="990">
        <v>668</v>
      </c>
      <c r="B730" s="990">
        <v>1</v>
      </c>
      <c r="C730" s="990">
        <v>730</v>
      </c>
      <c r="E730" s="1243">
        <v>1</v>
      </c>
      <c r="I730" s="445"/>
      <c r="J730" s="446"/>
      <c r="K730" s="74"/>
      <c r="L730" s="74"/>
      <c r="M730" s="75"/>
      <c r="N730" s="75"/>
      <c r="O730" s="301"/>
      <c r="P730" s="299" t="s">
        <v>1086</v>
      </c>
      <c r="Q730" s="2036"/>
      <c r="R730" s="2036"/>
      <c r="S730" s="2036"/>
      <c r="T730" s="2036"/>
      <c r="U730" s="2036"/>
      <c r="V730" s="2036"/>
      <c r="W730" s="2036"/>
      <c r="X730" s="2036"/>
      <c r="Y730" s="2036"/>
      <c r="Z730" s="2036"/>
      <c r="AA730" s="2036"/>
      <c r="AB730" s="2036"/>
      <c r="AC730" s="1380">
        <v>0</v>
      </c>
      <c r="AD730" s="107">
        <v>0</v>
      </c>
      <c r="AE730" s="107">
        <v>0</v>
      </c>
      <c r="AF730" s="107">
        <v>0</v>
      </c>
      <c r="AG730" s="107">
        <v>0</v>
      </c>
      <c r="AH730" s="107">
        <v>0</v>
      </c>
      <c r="AI730" s="107">
        <v>0</v>
      </c>
    </row>
    <row r="731" spans="1:35">
      <c r="A731" s="990">
        <v>669</v>
      </c>
      <c r="B731" s="990">
        <v>1</v>
      </c>
      <c r="C731" s="990">
        <v>731</v>
      </c>
      <c r="E731" s="1243">
        <v>1</v>
      </c>
      <c r="I731" s="445"/>
      <c r="J731" s="446"/>
      <c r="K731" s="74"/>
      <c r="L731" s="74"/>
      <c r="M731" s="75"/>
      <c r="N731" s="276"/>
      <c r="O731" s="302"/>
      <c r="P731" s="298" t="s">
        <v>393</v>
      </c>
      <c r="Q731" s="2037"/>
      <c r="R731" s="2037"/>
      <c r="S731" s="2037"/>
      <c r="T731" s="2037"/>
      <c r="U731" s="2037"/>
      <c r="V731" s="2037"/>
      <c r="W731" s="2037"/>
      <c r="X731" s="2037"/>
      <c r="Y731" s="2037"/>
      <c r="Z731" s="2037"/>
      <c r="AA731" s="2037"/>
      <c r="AB731" s="2037"/>
      <c r="AC731" s="1380">
        <v>0</v>
      </c>
      <c r="AD731" s="107">
        <v>0</v>
      </c>
      <c r="AE731" s="107">
        <v>0</v>
      </c>
      <c r="AF731" s="107">
        <v>0</v>
      </c>
      <c r="AG731" s="107">
        <v>0</v>
      </c>
      <c r="AH731" s="107">
        <v>0</v>
      </c>
      <c r="AI731" s="107">
        <v>0</v>
      </c>
    </row>
    <row r="732" spans="1:35">
      <c r="A732" s="990">
        <v>670</v>
      </c>
      <c r="B732" s="990">
        <v>1</v>
      </c>
      <c r="C732" s="990">
        <v>732</v>
      </c>
      <c r="E732" s="1243">
        <v>1</v>
      </c>
      <c r="I732" s="445"/>
      <c r="J732" s="446"/>
      <c r="K732" s="74"/>
      <c r="L732" s="74"/>
      <c r="M732" s="75"/>
      <c r="N732" s="75" t="s">
        <v>1042</v>
      </c>
      <c r="O732" s="391"/>
      <c r="P732" s="391"/>
      <c r="Q732" s="64">
        <v>0</v>
      </c>
      <c r="R732" s="64">
        <v>0</v>
      </c>
      <c r="S732" s="64">
        <v>0</v>
      </c>
      <c r="T732" s="64">
        <v>0</v>
      </c>
      <c r="U732" s="64">
        <v>0</v>
      </c>
      <c r="V732" s="64">
        <v>0</v>
      </c>
      <c r="W732" s="64">
        <v>0</v>
      </c>
      <c r="X732" s="64">
        <v>0</v>
      </c>
      <c r="Y732" s="64">
        <v>0</v>
      </c>
      <c r="Z732" s="64">
        <v>0</v>
      </c>
      <c r="AA732" s="64">
        <v>0</v>
      </c>
      <c r="AB732" s="64">
        <v>0</v>
      </c>
      <c r="AC732" s="1545">
        <v>0</v>
      </c>
      <c r="AD732" s="64">
        <v>0</v>
      </c>
      <c r="AE732" s="64">
        <v>0</v>
      </c>
      <c r="AF732" s="64">
        <v>0</v>
      </c>
      <c r="AG732" s="64">
        <v>0</v>
      </c>
      <c r="AH732" s="64">
        <v>0</v>
      </c>
      <c r="AI732" s="64">
        <v>0</v>
      </c>
    </row>
    <row r="733" spans="1:35">
      <c r="A733" s="990">
        <v>671</v>
      </c>
      <c r="B733" s="990">
        <v>1</v>
      </c>
      <c r="C733" s="990">
        <v>733</v>
      </c>
      <c r="E733" s="1243">
        <v>1</v>
      </c>
      <c r="I733" s="445"/>
      <c r="J733" s="446"/>
      <c r="K733" s="74"/>
      <c r="L733" s="74"/>
      <c r="M733" s="75"/>
      <c r="N733" s="75"/>
      <c r="O733" s="394" t="s">
        <v>1042</v>
      </c>
      <c r="P733" s="394"/>
      <c r="Q733" s="2057"/>
      <c r="R733" s="2057"/>
      <c r="S733" s="2057"/>
      <c r="T733" s="2057"/>
      <c r="U733" s="2057"/>
      <c r="V733" s="2057"/>
      <c r="W733" s="2057"/>
      <c r="X733" s="2057"/>
      <c r="Y733" s="2057"/>
      <c r="Z733" s="2057"/>
      <c r="AA733" s="2057"/>
      <c r="AB733" s="2057"/>
      <c r="AC733" s="1545">
        <v>0</v>
      </c>
      <c r="AD733" s="64">
        <v>0</v>
      </c>
      <c r="AE733" s="64">
        <v>0</v>
      </c>
      <c r="AF733" s="64">
        <v>0</v>
      </c>
      <c r="AG733" s="64">
        <v>0</v>
      </c>
      <c r="AH733" s="64">
        <v>0</v>
      </c>
      <c r="AI733" s="64">
        <v>0</v>
      </c>
    </row>
    <row r="734" spans="1:35">
      <c r="A734" s="990">
        <v>672</v>
      </c>
      <c r="B734" s="990">
        <v>1</v>
      </c>
      <c r="C734" s="990">
        <v>734</v>
      </c>
      <c r="E734" s="1243">
        <v>1</v>
      </c>
      <c r="I734" s="445"/>
      <c r="J734" s="446"/>
      <c r="K734" s="74"/>
      <c r="L734" s="74"/>
      <c r="M734" s="75"/>
      <c r="N734" s="75"/>
      <c r="O734" s="395" t="s">
        <v>1099</v>
      </c>
      <c r="P734" s="395"/>
      <c r="Q734" s="385">
        <v>0</v>
      </c>
      <c r="R734" s="385">
        <v>0</v>
      </c>
      <c r="S734" s="385">
        <v>0</v>
      </c>
      <c r="T734" s="385">
        <v>0</v>
      </c>
      <c r="U734" s="385">
        <v>0</v>
      </c>
      <c r="V734" s="385">
        <v>0</v>
      </c>
      <c r="W734" s="385">
        <v>0</v>
      </c>
      <c r="X734" s="385">
        <v>0</v>
      </c>
      <c r="Y734" s="385">
        <v>0</v>
      </c>
      <c r="Z734" s="385">
        <v>0</v>
      </c>
      <c r="AA734" s="385">
        <v>0</v>
      </c>
      <c r="AB734" s="385">
        <v>0</v>
      </c>
      <c r="AC734" s="1540">
        <v>0</v>
      </c>
      <c r="AD734" s="385">
        <v>0</v>
      </c>
      <c r="AE734" s="385">
        <v>0</v>
      </c>
      <c r="AF734" s="385">
        <v>0</v>
      </c>
      <c r="AG734" s="385">
        <v>0</v>
      </c>
      <c r="AH734" s="385">
        <v>0</v>
      </c>
      <c r="AI734" s="385">
        <v>0</v>
      </c>
    </row>
    <row r="735" spans="1:35">
      <c r="A735" s="990">
        <v>673</v>
      </c>
      <c r="B735" s="990">
        <v>1</v>
      </c>
      <c r="C735" s="990">
        <v>735</v>
      </c>
      <c r="E735" s="1243">
        <v>1</v>
      </c>
      <c r="I735" s="445"/>
      <c r="J735" s="446"/>
      <c r="K735" s="74"/>
      <c r="L735" s="74"/>
      <c r="M735" s="75"/>
      <c r="N735" s="75"/>
      <c r="O735" s="396"/>
      <c r="P735" s="371" t="s">
        <v>391</v>
      </c>
      <c r="Q735" s="2042"/>
      <c r="R735" s="2042"/>
      <c r="S735" s="2042"/>
      <c r="T735" s="2042"/>
      <c r="U735" s="2042"/>
      <c r="V735" s="2042"/>
      <c r="W735" s="2042"/>
      <c r="X735" s="2042"/>
      <c r="Y735" s="2042"/>
      <c r="Z735" s="2042"/>
      <c r="AA735" s="2042"/>
      <c r="AB735" s="2042"/>
      <c r="AC735" s="1537">
        <v>0</v>
      </c>
      <c r="AD735" s="108">
        <v>0</v>
      </c>
      <c r="AE735" s="108">
        <v>0</v>
      </c>
      <c r="AF735" s="108">
        <v>0</v>
      </c>
      <c r="AG735" s="108">
        <v>0</v>
      </c>
      <c r="AH735" s="108">
        <v>0</v>
      </c>
      <c r="AI735" s="108">
        <v>0</v>
      </c>
    </row>
    <row r="736" spans="1:35">
      <c r="A736" s="990">
        <v>674</v>
      </c>
      <c r="B736" s="990">
        <v>1</v>
      </c>
      <c r="C736" s="990">
        <v>736</v>
      </c>
      <c r="E736" s="1243">
        <v>1</v>
      </c>
      <c r="I736" s="445"/>
      <c r="J736" s="446"/>
      <c r="K736" s="74"/>
      <c r="L736" s="74"/>
      <c r="M736" s="75"/>
      <c r="N736" s="75"/>
      <c r="O736" s="301"/>
      <c r="P736" s="299" t="s">
        <v>1086</v>
      </c>
      <c r="Q736" s="2036"/>
      <c r="R736" s="2036"/>
      <c r="S736" s="2036"/>
      <c r="T736" s="2036"/>
      <c r="U736" s="2036"/>
      <c r="V736" s="2036"/>
      <c r="W736" s="2036"/>
      <c r="X736" s="2036"/>
      <c r="Y736" s="2036"/>
      <c r="Z736" s="2036"/>
      <c r="AA736" s="2036"/>
      <c r="AB736" s="2036"/>
      <c r="AC736" s="1380">
        <v>0</v>
      </c>
      <c r="AD736" s="107">
        <v>0</v>
      </c>
      <c r="AE736" s="107">
        <v>0</v>
      </c>
      <c r="AF736" s="107">
        <v>0</v>
      </c>
      <c r="AG736" s="107">
        <v>0</v>
      </c>
      <c r="AH736" s="107">
        <v>0</v>
      </c>
      <c r="AI736" s="107">
        <v>0</v>
      </c>
    </row>
    <row r="737" spans="1:35">
      <c r="A737" s="990">
        <v>675</v>
      </c>
      <c r="B737" s="990">
        <v>1</v>
      </c>
      <c r="C737" s="990">
        <v>737</v>
      </c>
      <c r="E737" s="1243">
        <v>1</v>
      </c>
      <c r="I737" s="445"/>
      <c r="J737" s="446"/>
      <c r="K737" s="74"/>
      <c r="L737" s="74"/>
      <c r="M737" s="75"/>
      <c r="N737" s="276"/>
      <c r="O737" s="302"/>
      <c r="P737" s="298" t="s">
        <v>393</v>
      </c>
      <c r="Q737" s="2037"/>
      <c r="R737" s="2037"/>
      <c r="S737" s="2037"/>
      <c r="T737" s="2037"/>
      <c r="U737" s="2037"/>
      <c r="V737" s="2037"/>
      <c r="W737" s="2037"/>
      <c r="X737" s="2037"/>
      <c r="Y737" s="2037"/>
      <c r="Z737" s="2037"/>
      <c r="AA737" s="2037"/>
      <c r="AB737" s="2037"/>
      <c r="AC737" s="1380">
        <v>0</v>
      </c>
      <c r="AD737" s="107">
        <v>0</v>
      </c>
      <c r="AE737" s="107">
        <v>0</v>
      </c>
      <c r="AF737" s="107">
        <v>0</v>
      </c>
      <c r="AG737" s="107">
        <v>0</v>
      </c>
      <c r="AH737" s="107">
        <v>0</v>
      </c>
      <c r="AI737" s="107">
        <v>0</v>
      </c>
    </row>
    <row r="738" spans="1:35">
      <c r="A738" s="990">
        <v>676</v>
      </c>
      <c r="B738" s="990">
        <v>1</v>
      </c>
      <c r="C738" s="990">
        <v>738</v>
      </c>
      <c r="E738" s="1243">
        <v>1</v>
      </c>
      <c r="I738" s="445"/>
      <c r="J738" s="446"/>
      <c r="K738" s="74"/>
      <c r="L738" s="74"/>
      <c r="M738" s="75"/>
      <c r="N738" s="75" t="s">
        <v>852</v>
      </c>
      <c r="O738" s="391"/>
      <c r="P738" s="391"/>
      <c r="Q738" s="64">
        <v>0</v>
      </c>
      <c r="R738" s="64">
        <v>0</v>
      </c>
      <c r="S738" s="64">
        <v>0</v>
      </c>
      <c r="T738" s="64">
        <v>0</v>
      </c>
      <c r="U738" s="64">
        <v>0</v>
      </c>
      <c r="V738" s="64">
        <v>0</v>
      </c>
      <c r="W738" s="64">
        <v>0</v>
      </c>
      <c r="X738" s="64">
        <v>0</v>
      </c>
      <c r="Y738" s="64">
        <v>0</v>
      </c>
      <c r="Z738" s="64">
        <v>0</v>
      </c>
      <c r="AA738" s="64">
        <v>0</v>
      </c>
      <c r="AB738" s="64">
        <v>0</v>
      </c>
      <c r="AC738" s="1545">
        <v>0</v>
      </c>
      <c r="AD738" s="64">
        <v>0</v>
      </c>
      <c r="AE738" s="64">
        <v>0</v>
      </c>
      <c r="AF738" s="64">
        <v>0</v>
      </c>
      <c r="AG738" s="64">
        <v>0</v>
      </c>
      <c r="AH738" s="64">
        <v>0</v>
      </c>
      <c r="AI738" s="64">
        <v>0</v>
      </c>
    </row>
    <row r="739" spans="1:35">
      <c r="A739" s="990">
        <v>677</v>
      </c>
      <c r="B739" s="990">
        <v>1</v>
      </c>
      <c r="C739" s="990">
        <v>739</v>
      </c>
      <c r="E739" s="1243">
        <v>1</v>
      </c>
      <c r="I739" s="445"/>
      <c r="J739" s="446"/>
      <c r="K739" s="74"/>
      <c r="L739" s="74"/>
      <c r="M739" s="75"/>
      <c r="N739" s="75"/>
      <c r="O739" s="394" t="s">
        <v>852</v>
      </c>
      <c r="P739" s="394"/>
      <c r="Q739" s="2057"/>
      <c r="R739" s="2057"/>
      <c r="S739" s="2057"/>
      <c r="T739" s="2057"/>
      <c r="U739" s="2057"/>
      <c r="V739" s="2057"/>
      <c r="W739" s="2057"/>
      <c r="X739" s="2057"/>
      <c r="Y739" s="2057"/>
      <c r="Z739" s="2057"/>
      <c r="AA739" s="2057"/>
      <c r="AB739" s="2057"/>
      <c r="AC739" s="1545">
        <v>0</v>
      </c>
      <c r="AD739" s="64">
        <v>0</v>
      </c>
      <c r="AE739" s="64">
        <v>0</v>
      </c>
      <c r="AF739" s="64">
        <v>0</v>
      </c>
      <c r="AG739" s="64">
        <v>0</v>
      </c>
      <c r="AH739" s="64">
        <v>0</v>
      </c>
      <c r="AI739" s="64">
        <v>0</v>
      </c>
    </row>
    <row r="740" spans="1:35">
      <c r="A740" s="990">
        <v>678</v>
      </c>
      <c r="B740" s="990">
        <v>1</v>
      </c>
      <c r="C740" s="990">
        <v>740</v>
      </c>
      <c r="E740" s="1243">
        <v>1</v>
      </c>
      <c r="I740" s="445"/>
      <c r="J740" s="446"/>
      <c r="K740" s="74"/>
      <c r="L740" s="74"/>
      <c r="M740" s="75"/>
      <c r="N740" s="75"/>
      <c r="O740" s="395" t="s">
        <v>1099</v>
      </c>
      <c r="P740" s="395"/>
      <c r="Q740" s="385">
        <v>0</v>
      </c>
      <c r="R740" s="385">
        <v>0</v>
      </c>
      <c r="S740" s="385">
        <v>0</v>
      </c>
      <c r="T740" s="385">
        <v>0</v>
      </c>
      <c r="U740" s="385">
        <v>0</v>
      </c>
      <c r="V740" s="385">
        <v>0</v>
      </c>
      <c r="W740" s="385">
        <v>0</v>
      </c>
      <c r="X740" s="385">
        <v>0</v>
      </c>
      <c r="Y740" s="385">
        <v>0</v>
      </c>
      <c r="Z740" s="385">
        <v>0</v>
      </c>
      <c r="AA740" s="385">
        <v>0</v>
      </c>
      <c r="AB740" s="385">
        <v>0</v>
      </c>
      <c r="AC740" s="1540">
        <v>0</v>
      </c>
      <c r="AD740" s="385">
        <v>0</v>
      </c>
      <c r="AE740" s="385">
        <v>0</v>
      </c>
      <c r="AF740" s="385">
        <v>0</v>
      </c>
      <c r="AG740" s="385">
        <v>0</v>
      </c>
      <c r="AH740" s="385">
        <v>0</v>
      </c>
      <c r="AI740" s="385">
        <v>0</v>
      </c>
    </row>
    <row r="741" spans="1:35">
      <c r="A741" s="990">
        <v>679</v>
      </c>
      <c r="B741" s="990">
        <v>1</v>
      </c>
      <c r="C741" s="990">
        <v>741</v>
      </c>
      <c r="E741" s="1243">
        <v>1</v>
      </c>
      <c r="I741" s="445"/>
      <c r="J741" s="446"/>
      <c r="K741" s="74"/>
      <c r="L741" s="74"/>
      <c r="M741" s="75"/>
      <c r="N741" s="75"/>
      <c r="O741" s="396"/>
      <c r="P741" s="371" t="s">
        <v>391</v>
      </c>
      <c r="Q741" s="2042"/>
      <c r="R741" s="2042"/>
      <c r="S741" s="2042"/>
      <c r="T741" s="2042"/>
      <c r="U741" s="2042"/>
      <c r="V741" s="2042"/>
      <c r="W741" s="2042"/>
      <c r="X741" s="2042"/>
      <c r="Y741" s="2042"/>
      <c r="Z741" s="2042"/>
      <c r="AA741" s="2042"/>
      <c r="AB741" s="2042"/>
      <c r="AC741" s="1537">
        <v>0</v>
      </c>
      <c r="AD741" s="108">
        <v>0</v>
      </c>
      <c r="AE741" s="108">
        <v>0</v>
      </c>
      <c r="AF741" s="108">
        <v>0</v>
      </c>
      <c r="AG741" s="108">
        <v>0</v>
      </c>
      <c r="AH741" s="108">
        <v>0</v>
      </c>
      <c r="AI741" s="108">
        <v>0</v>
      </c>
    </row>
    <row r="742" spans="1:35">
      <c r="A742" s="990">
        <v>680</v>
      </c>
      <c r="B742" s="990">
        <v>1</v>
      </c>
      <c r="C742" s="990">
        <v>742</v>
      </c>
      <c r="E742" s="1243">
        <v>1</v>
      </c>
      <c r="I742" s="445"/>
      <c r="J742" s="446"/>
      <c r="K742" s="74"/>
      <c r="L742" s="74"/>
      <c r="M742" s="75"/>
      <c r="N742" s="75"/>
      <c r="O742" s="301"/>
      <c r="P742" s="299" t="s">
        <v>1086</v>
      </c>
      <c r="Q742" s="2036"/>
      <c r="R742" s="2036"/>
      <c r="S742" s="2036"/>
      <c r="T742" s="2036"/>
      <c r="U742" s="2036"/>
      <c r="V742" s="2036"/>
      <c r="W742" s="2036"/>
      <c r="X742" s="2036"/>
      <c r="Y742" s="2036"/>
      <c r="Z742" s="2036"/>
      <c r="AA742" s="2036"/>
      <c r="AB742" s="2036"/>
      <c r="AC742" s="1380">
        <v>0</v>
      </c>
      <c r="AD742" s="107">
        <v>0</v>
      </c>
      <c r="AE742" s="107">
        <v>0</v>
      </c>
      <c r="AF742" s="107">
        <v>0</v>
      </c>
      <c r="AG742" s="107">
        <v>0</v>
      </c>
      <c r="AH742" s="107">
        <v>0</v>
      </c>
      <c r="AI742" s="107">
        <v>0</v>
      </c>
    </row>
    <row r="743" spans="1:35">
      <c r="A743" s="990">
        <v>681</v>
      </c>
      <c r="B743" s="990">
        <v>1</v>
      </c>
      <c r="C743" s="990">
        <v>743</v>
      </c>
      <c r="E743" s="1243">
        <v>1</v>
      </c>
      <c r="I743" s="445"/>
      <c r="J743" s="446"/>
      <c r="K743" s="74"/>
      <c r="L743" s="74"/>
      <c r="M743" s="75"/>
      <c r="N743" s="276"/>
      <c r="O743" s="302"/>
      <c r="P743" s="298" t="s">
        <v>393</v>
      </c>
      <c r="Q743" s="2037"/>
      <c r="R743" s="2037"/>
      <c r="S743" s="2037"/>
      <c r="T743" s="2037"/>
      <c r="U743" s="2037"/>
      <c r="V743" s="2037"/>
      <c r="W743" s="2037"/>
      <c r="X743" s="2037"/>
      <c r="Y743" s="2037"/>
      <c r="Z743" s="2037"/>
      <c r="AA743" s="2037"/>
      <c r="AB743" s="2037"/>
      <c r="AC743" s="1380">
        <v>0</v>
      </c>
      <c r="AD743" s="107">
        <v>0</v>
      </c>
      <c r="AE743" s="107">
        <v>0</v>
      </c>
      <c r="AF743" s="107">
        <v>0</v>
      </c>
      <c r="AG743" s="107">
        <v>0</v>
      </c>
      <c r="AH743" s="107">
        <v>0</v>
      </c>
      <c r="AI743" s="107">
        <v>0</v>
      </c>
    </row>
    <row r="744" spans="1:35">
      <c r="A744" s="990">
        <v>682</v>
      </c>
      <c r="B744" s="990">
        <v>1</v>
      </c>
      <c r="C744" s="990">
        <v>744</v>
      </c>
      <c r="E744" s="1243">
        <v>1</v>
      </c>
      <c r="I744" s="445"/>
      <c r="J744" s="446"/>
      <c r="K744" s="74"/>
      <c r="L744" s="74"/>
      <c r="M744" s="75"/>
      <c r="N744" s="1199" t="s">
        <v>1097</v>
      </c>
      <c r="O744" s="373"/>
      <c r="P744" s="373"/>
      <c r="Q744" s="381">
        <v>0</v>
      </c>
      <c r="R744" s="381">
        <v>0</v>
      </c>
      <c r="S744" s="381">
        <v>0</v>
      </c>
      <c r="T744" s="381">
        <v>0</v>
      </c>
      <c r="U744" s="381">
        <v>0</v>
      </c>
      <c r="V744" s="381">
        <v>0</v>
      </c>
      <c r="W744" s="381">
        <v>0</v>
      </c>
      <c r="X744" s="381">
        <v>0</v>
      </c>
      <c r="Y744" s="381">
        <v>0</v>
      </c>
      <c r="Z744" s="381">
        <v>0</v>
      </c>
      <c r="AA744" s="381">
        <v>0</v>
      </c>
      <c r="AB744" s="381">
        <v>0</v>
      </c>
      <c r="AC744" s="1539">
        <v>0</v>
      </c>
      <c r="AD744" s="381">
        <v>0</v>
      </c>
      <c r="AE744" s="381">
        <v>0</v>
      </c>
      <c r="AF744" s="381">
        <v>0</v>
      </c>
      <c r="AG744" s="381">
        <v>0</v>
      </c>
      <c r="AH744" s="381">
        <v>0</v>
      </c>
      <c r="AI744" s="381">
        <v>0</v>
      </c>
    </row>
    <row r="745" spans="1:35">
      <c r="A745" s="990">
        <v>683</v>
      </c>
      <c r="B745" s="990">
        <v>1</v>
      </c>
      <c r="C745" s="990">
        <v>745</v>
      </c>
      <c r="E745" s="1243">
        <v>1</v>
      </c>
      <c r="I745" s="445"/>
      <c r="J745" s="446"/>
      <c r="K745" s="74"/>
      <c r="L745" s="74"/>
      <c r="M745" s="75"/>
      <c r="N745" s="301"/>
      <c r="O745" s="396"/>
      <c r="P745" s="396" t="s">
        <v>391</v>
      </c>
      <c r="Q745" s="2042"/>
      <c r="R745" s="2042"/>
      <c r="S745" s="2042"/>
      <c r="T745" s="2042"/>
      <c r="U745" s="2042"/>
      <c r="V745" s="2042"/>
      <c r="W745" s="2042"/>
      <c r="X745" s="2042"/>
      <c r="Y745" s="2042"/>
      <c r="Z745" s="2042"/>
      <c r="AA745" s="2042"/>
      <c r="AB745" s="2042"/>
      <c r="AC745" s="1537">
        <v>0</v>
      </c>
      <c r="AD745" s="108">
        <v>0</v>
      </c>
      <c r="AE745" s="108">
        <v>0</v>
      </c>
      <c r="AF745" s="108">
        <v>0</v>
      </c>
      <c r="AG745" s="108">
        <v>0</v>
      </c>
      <c r="AH745" s="108">
        <v>0</v>
      </c>
      <c r="AI745" s="108">
        <v>0</v>
      </c>
    </row>
    <row r="746" spans="1:35">
      <c r="A746" s="990">
        <v>684</v>
      </c>
      <c r="B746" s="990">
        <v>1</v>
      </c>
      <c r="C746" s="990">
        <v>746</v>
      </c>
      <c r="E746" s="1243">
        <v>1</v>
      </c>
      <c r="I746" s="445"/>
      <c r="J746" s="446"/>
      <c r="K746" s="74"/>
      <c r="L746" s="74"/>
      <c r="M746" s="75"/>
      <c r="N746" s="302"/>
      <c r="O746" s="302"/>
      <c r="P746" s="302" t="s">
        <v>393</v>
      </c>
      <c r="Q746" s="2037"/>
      <c r="R746" s="2037"/>
      <c r="S746" s="2037"/>
      <c r="T746" s="2037"/>
      <c r="U746" s="2037"/>
      <c r="V746" s="2037"/>
      <c r="W746" s="2037"/>
      <c r="X746" s="2037"/>
      <c r="Y746" s="2037"/>
      <c r="Z746" s="2037"/>
      <c r="AA746" s="2037"/>
      <c r="AB746" s="2037"/>
      <c r="AC746" s="1380">
        <v>0</v>
      </c>
      <c r="AD746" s="107">
        <v>0</v>
      </c>
      <c r="AE746" s="107">
        <v>0</v>
      </c>
      <c r="AF746" s="107">
        <v>0</v>
      </c>
      <c r="AG746" s="107">
        <v>0</v>
      </c>
      <c r="AH746" s="107">
        <v>0</v>
      </c>
      <c r="AI746" s="107">
        <v>0</v>
      </c>
    </row>
    <row r="747" spans="1:35">
      <c r="A747" s="990">
        <v>685</v>
      </c>
      <c r="B747" s="990">
        <v>1</v>
      </c>
      <c r="C747" s="990">
        <v>747</v>
      </c>
      <c r="E747" s="1243">
        <v>1</v>
      </c>
      <c r="I747" s="445"/>
      <c r="J747" s="446"/>
      <c r="K747" s="74"/>
      <c r="L747" s="74"/>
      <c r="M747" s="75"/>
      <c r="N747" s="301" t="s">
        <v>1102</v>
      </c>
      <c r="O747" s="301"/>
      <c r="P747" s="396"/>
      <c r="Q747" s="2042"/>
      <c r="R747" s="2042"/>
      <c r="S747" s="2042"/>
      <c r="T747" s="2042"/>
      <c r="U747" s="2042"/>
      <c r="V747" s="2042"/>
      <c r="W747" s="2042"/>
      <c r="X747" s="2042"/>
      <c r="Y747" s="2042"/>
      <c r="Z747" s="2042"/>
      <c r="AA747" s="2042"/>
      <c r="AB747" s="2042"/>
      <c r="AC747" s="1537">
        <v>0</v>
      </c>
      <c r="AD747" s="108">
        <v>0</v>
      </c>
      <c r="AE747" s="108">
        <v>0</v>
      </c>
      <c r="AF747" s="108">
        <v>0</v>
      </c>
      <c r="AG747" s="108">
        <v>0</v>
      </c>
      <c r="AH747" s="108">
        <v>0</v>
      </c>
      <c r="AI747" s="108">
        <v>0</v>
      </c>
    </row>
    <row r="748" spans="1:35">
      <c r="A748" s="990">
        <v>686</v>
      </c>
      <c r="B748" s="990">
        <v>1</v>
      </c>
      <c r="C748" s="990">
        <v>748</v>
      </c>
      <c r="E748" s="1243">
        <v>1</v>
      </c>
      <c r="I748" s="447"/>
      <c r="J748" s="448"/>
      <c r="K748" s="73"/>
      <c r="L748" s="73"/>
      <c r="M748" s="276"/>
      <c r="N748" s="2642" t="s">
        <v>11</v>
      </c>
      <c r="O748" s="2642"/>
      <c r="P748" s="2642"/>
      <c r="Q748" s="2088"/>
      <c r="R748" s="2088"/>
      <c r="S748" s="2088"/>
      <c r="T748" s="2088"/>
      <c r="U748" s="2088"/>
      <c r="V748" s="2088"/>
      <c r="W748" s="2088"/>
      <c r="X748" s="2088"/>
      <c r="Y748" s="2088"/>
      <c r="Z748" s="2088"/>
      <c r="AA748" s="2088"/>
      <c r="AB748" s="2088"/>
      <c r="AC748" s="2600">
        <v>0</v>
      </c>
      <c r="AD748" s="2058">
        <v>0</v>
      </c>
      <c r="AE748" s="2058">
        <v>0</v>
      </c>
      <c r="AF748" s="2058">
        <v>0</v>
      </c>
      <c r="AG748" s="2058">
        <v>0</v>
      </c>
      <c r="AH748" s="2058">
        <v>0</v>
      </c>
      <c r="AI748" s="2058">
        <v>0</v>
      </c>
    </row>
    <row r="749" spans="1:35">
      <c r="A749" s="990">
        <v>687</v>
      </c>
      <c r="C749" s="990">
        <v>749</v>
      </c>
      <c r="E749" s="1243">
        <v>1</v>
      </c>
      <c r="F749" s="5"/>
      <c r="G749" s="5"/>
      <c r="H749" s="5"/>
      <c r="I749" s="14"/>
      <c r="J749" s="31"/>
      <c r="K749" s="24"/>
      <c r="L749" s="24"/>
      <c r="M749" s="31"/>
      <c r="N749" s="4"/>
      <c r="O749" s="4"/>
      <c r="P749" s="4"/>
      <c r="Q749" s="2222"/>
      <c r="R749" s="87"/>
      <c r="S749" s="87"/>
      <c r="T749" s="87"/>
      <c r="U749" s="87"/>
      <c r="V749" s="87"/>
      <c r="W749" s="87"/>
      <c r="X749" s="87"/>
      <c r="Y749" s="87"/>
      <c r="Z749" s="87"/>
      <c r="AA749" s="87"/>
      <c r="AB749" s="2223"/>
      <c r="AC749" s="87"/>
      <c r="AD749" s="87"/>
      <c r="AE749" s="87"/>
      <c r="AF749" s="87"/>
      <c r="AG749" s="87"/>
      <c r="AH749" s="87"/>
      <c r="AI749" s="87"/>
    </row>
    <row r="750" spans="1:35">
      <c r="A750" s="990">
        <v>688</v>
      </c>
      <c r="B750" s="990">
        <v>1</v>
      </c>
      <c r="C750" s="990">
        <v>750</v>
      </c>
      <c r="E750" s="1255">
        <v>1</v>
      </c>
      <c r="F750" s="9"/>
      <c r="G750" s="24"/>
      <c r="H750" s="5" t="s">
        <v>1063</v>
      </c>
      <c r="P750" s="291"/>
      <c r="Q750" s="2200"/>
      <c r="AA750" s="1"/>
      <c r="AB750" s="2209"/>
      <c r="AC750" s="1"/>
      <c r="AD750" s="1"/>
      <c r="AE750" s="1"/>
      <c r="AF750" s="1"/>
      <c r="AG750" s="1"/>
      <c r="AH750" s="1"/>
      <c r="AI750" s="1"/>
    </row>
    <row r="751" spans="1:35">
      <c r="A751" s="990">
        <v>689</v>
      </c>
      <c r="B751" s="990">
        <v>1</v>
      </c>
      <c r="C751" s="990">
        <v>751</v>
      </c>
      <c r="E751" s="1243">
        <v>1</v>
      </c>
      <c r="I751" s="16" t="s">
        <v>9</v>
      </c>
      <c r="J751" s="789"/>
      <c r="K751" s="580"/>
      <c r="L751" s="580"/>
      <c r="M751" s="580"/>
      <c r="N751" s="580"/>
      <c r="O751" s="580"/>
      <c r="P751" s="580"/>
      <c r="Q751" s="2063">
        <v>0</v>
      </c>
      <c r="R751" s="2643">
        <v>0</v>
      </c>
      <c r="S751" s="2063">
        <v>0</v>
      </c>
      <c r="T751" s="2063">
        <v>0</v>
      </c>
      <c r="U751" s="2063">
        <v>0</v>
      </c>
      <c r="V751" s="2063">
        <v>0</v>
      </c>
      <c r="W751" s="2063">
        <v>0</v>
      </c>
      <c r="X751" s="2063">
        <v>0</v>
      </c>
      <c r="Y751" s="2063">
        <v>0</v>
      </c>
      <c r="Z751" s="2063">
        <v>0</v>
      </c>
      <c r="AA751" s="2063">
        <v>0</v>
      </c>
      <c r="AB751" s="2063">
        <v>0</v>
      </c>
      <c r="AC751" s="101">
        <v>0</v>
      </c>
      <c r="AD751" s="2063">
        <v>0</v>
      </c>
      <c r="AE751" s="2063">
        <v>0</v>
      </c>
      <c r="AF751" s="2063">
        <v>0</v>
      </c>
      <c r="AG751" s="2063">
        <v>0</v>
      </c>
      <c r="AH751" s="2063">
        <v>0</v>
      </c>
      <c r="AI751" s="101">
        <v>0</v>
      </c>
    </row>
    <row r="752" spans="1:35">
      <c r="A752" s="990">
        <v>690</v>
      </c>
      <c r="B752" s="990">
        <v>1</v>
      </c>
      <c r="C752" s="990">
        <v>752</v>
      </c>
      <c r="E752" s="1243">
        <v>1</v>
      </c>
      <c r="I752" s="98"/>
      <c r="J752" s="97"/>
      <c r="K752" s="74" t="s">
        <v>1022</v>
      </c>
      <c r="L752" s="74"/>
      <c r="M752" s="565"/>
      <c r="N752" s="357"/>
      <c r="O752" s="357"/>
      <c r="P752" s="357"/>
      <c r="Q752" s="359">
        <v>0</v>
      </c>
      <c r="R752" s="2064">
        <v>0</v>
      </c>
      <c r="S752" s="359">
        <v>0</v>
      </c>
      <c r="T752" s="359">
        <v>0</v>
      </c>
      <c r="U752" s="359">
        <v>0</v>
      </c>
      <c r="V752" s="359">
        <v>0</v>
      </c>
      <c r="W752" s="359">
        <v>0</v>
      </c>
      <c r="X752" s="359">
        <v>0</v>
      </c>
      <c r="Y752" s="359">
        <v>0</v>
      </c>
      <c r="Z752" s="359">
        <v>0</v>
      </c>
      <c r="AA752" s="359">
        <v>0</v>
      </c>
      <c r="AB752" s="359">
        <v>0</v>
      </c>
      <c r="AC752" s="407">
        <v>0</v>
      </c>
      <c r="AD752" s="359">
        <v>0</v>
      </c>
      <c r="AE752" s="359">
        <v>0</v>
      </c>
      <c r="AF752" s="359">
        <v>0</v>
      </c>
      <c r="AG752" s="359">
        <v>0</v>
      </c>
      <c r="AH752" s="359">
        <v>0</v>
      </c>
      <c r="AI752" s="407">
        <v>0</v>
      </c>
    </row>
    <row r="753" spans="1:35">
      <c r="A753" s="990">
        <v>691</v>
      </c>
      <c r="B753" s="990">
        <v>1</v>
      </c>
      <c r="C753" s="990">
        <v>753</v>
      </c>
      <c r="E753" s="1243">
        <v>1</v>
      </c>
      <c r="G753" s="24"/>
      <c r="I753" s="98"/>
      <c r="J753" s="97"/>
      <c r="K753" s="74"/>
      <c r="L753" s="74"/>
      <c r="M753" s="9" t="s">
        <v>12</v>
      </c>
      <c r="N753" s="362"/>
      <c r="O753" s="362"/>
      <c r="P753" s="362"/>
      <c r="Q753" s="361">
        <v>0</v>
      </c>
      <c r="R753" s="2054">
        <v>0</v>
      </c>
      <c r="S753" s="361">
        <v>0</v>
      </c>
      <c r="T753" s="361">
        <v>0</v>
      </c>
      <c r="U753" s="361">
        <v>0</v>
      </c>
      <c r="V753" s="361">
        <v>0</v>
      </c>
      <c r="W753" s="361">
        <v>0</v>
      </c>
      <c r="X753" s="361">
        <v>0</v>
      </c>
      <c r="Y753" s="361">
        <v>0</v>
      </c>
      <c r="Z753" s="361">
        <v>0</v>
      </c>
      <c r="AA753" s="361">
        <v>0</v>
      </c>
      <c r="AB753" s="361">
        <v>0</v>
      </c>
      <c r="AC753" s="375">
        <v>0</v>
      </c>
      <c r="AD753" s="361">
        <v>0</v>
      </c>
      <c r="AE753" s="361">
        <v>0</v>
      </c>
      <c r="AF753" s="361">
        <v>0</v>
      </c>
      <c r="AG753" s="361">
        <v>0</v>
      </c>
      <c r="AH753" s="361">
        <v>0</v>
      </c>
      <c r="AI753" s="375">
        <v>0</v>
      </c>
    </row>
    <row r="754" spans="1:35">
      <c r="A754" s="990">
        <v>692</v>
      </c>
      <c r="B754" s="990">
        <v>1</v>
      </c>
      <c r="C754" s="990">
        <v>754</v>
      </c>
      <c r="E754" s="1243">
        <v>1</v>
      </c>
      <c r="G754" s="24"/>
      <c r="I754" s="98"/>
      <c r="J754" s="97"/>
      <c r="K754" s="74"/>
      <c r="L754" s="74"/>
      <c r="N754" s="111" t="s">
        <v>903</v>
      </c>
      <c r="O754" s="111"/>
      <c r="P754" s="111"/>
      <c r="Q754" s="2042"/>
      <c r="R754" s="2055"/>
      <c r="S754" s="2042"/>
      <c r="T754" s="2042"/>
      <c r="U754" s="2042"/>
      <c r="V754" s="2042"/>
      <c r="W754" s="2042"/>
      <c r="X754" s="2042"/>
      <c r="Y754" s="2042"/>
      <c r="Z754" s="2042"/>
      <c r="AA754" s="2042"/>
      <c r="AB754" s="2042"/>
      <c r="AC754" s="376">
        <v>0</v>
      </c>
      <c r="AD754" s="109">
        <v>0</v>
      </c>
      <c r="AE754" s="109">
        <v>0</v>
      </c>
      <c r="AF754" s="109">
        <v>0</v>
      </c>
      <c r="AG754" s="109">
        <v>0</v>
      </c>
      <c r="AH754" s="109">
        <v>0</v>
      </c>
      <c r="AI754" s="376">
        <v>0</v>
      </c>
    </row>
    <row r="755" spans="1:35">
      <c r="A755" s="990">
        <v>693</v>
      </c>
      <c r="B755" s="990">
        <v>1</v>
      </c>
      <c r="C755" s="990">
        <v>755</v>
      </c>
      <c r="E755" s="1243">
        <v>1</v>
      </c>
      <c r="G755" s="24"/>
      <c r="I755" s="98"/>
      <c r="J755" s="97"/>
      <c r="K755" s="74"/>
      <c r="L755" s="74"/>
      <c r="N755" s="9" t="s">
        <v>904</v>
      </c>
      <c r="Q755" s="2036"/>
      <c r="R755" s="2040"/>
      <c r="S755" s="2036"/>
      <c r="T755" s="2036"/>
      <c r="U755" s="2036"/>
      <c r="V755" s="2036"/>
      <c r="W755" s="2036"/>
      <c r="X755" s="2036"/>
      <c r="Y755" s="2036"/>
      <c r="Z755" s="2036"/>
      <c r="AA755" s="2036"/>
      <c r="AB755" s="2036"/>
      <c r="AC755" s="100">
        <v>0</v>
      </c>
      <c r="AD755" s="19">
        <v>0</v>
      </c>
      <c r="AE755" s="19">
        <v>0</v>
      </c>
      <c r="AF755" s="19">
        <v>0</v>
      </c>
      <c r="AG755" s="19">
        <v>0</v>
      </c>
      <c r="AH755" s="19">
        <v>0</v>
      </c>
      <c r="AI755" s="100">
        <v>0</v>
      </c>
    </row>
    <row r="756" spans="1:35">
      <c r="A756" s="1001">
        <v>694</v>
      </c>
      <c r="B756" s="1001">
        <v>1</v>
      </c>
      <c r="C756" s="1001">
        <v>756</v>
      </c>
      <c r="D756" s="1121"/>
      <c r="E756" s="1243">
        <v>1</v>
      </c>
      <c r="G756" s="24"/>
      <c r="I756" s="98"/>
      <c r="J756" s="97"/>
      <c r="K756" s="74"/>
      <c r="L756" s="74"/>
      <c r="N756" s="9" t="s">
        <v>905</v>
      </c>
      <c r="Q756" s="2036"/>
      <c r="R756" s="2040"/>
      <c r="S756" s="2036"/>
      <c r="T756" s="2036"/>
      <c r="U756" s="2036"/>
      <c r="V756" s="2036"/>
      <c r="W756" s="2036"/>
      <c r="X756" s="2036"/>
      <c r="Y756" s="2036"/>
      <c r="Z756" s="2036"/>
      <c r="AA756" s="2036"/>
      <c r="AB756" s="2036"/>
      <c r="AC756" s="100">
        <v>0</v>
      </c>
      <c r="AD756" s="19">
        <v>0</v>
      </c>
      <c r="AE756" s="19">
        <v>0</v>
      </c>
      <c r="AF756" s="19">
        <v>0</v>
      </c>
      <c r="AG756" s="19">
        <v>0</v>
      </c>
      <c r="AH756" s="19">
        <v>0</v>
      </c>
      <c r="AI756" s="100">
        <v>0</v>
      </c>
    </row>
    <row r="757" spans="1:35" s="75" customFormat="1">
      <c r="A757" s="1001">
        <v>695</v>
      </c>
      <c r="B757" s="1001">
        <v>1</v>
      </c>
      <c r="C757" s="1001">
        <v>757</v>
      </c>
      <c r="D757" s="1121"/>
      <c r="E757" s="1243">
        <v>1</v>
      </c>
      <c r="F757" s="10"/>
      <c r="G757" s="24"/>
      <c r="H757" s="24"/>
      <c r="I757" s="98"/>
      <c r="J757" s="97"/>
      <c r="K757" s="74"/>
      <c r="L757" s="74"/>
      <c r="M757" s="12"/>
      <c r="N757" s="9" t="s">
        <v>906</v>
      </c>
      <c r="O757" s="9"/>
      <c r="P757" s="9"/>
      <c r="Q757" s="2036"/>
      <c r="R757" s="2040"/>
      <c r="S757" s="2036"/>
      <c r="T757" s="2036"/>
      <c r="U757" s="2036"/>
      <c r="V757" s="2036"/>
      <c r="W757" s="2036"/>
      <c r="X757" s="2036"/>
      <c r="Y757" s="2036"/>
      <c r="Z757" s="2036"/>
      <c r="AA757" s="2036"/>
      <c r="AB757" s="2036"/>
      <c r="AC757" s="100">
        <v>0</v>
      </c>
      <c r="AD757" s="19">
        <v>0</v>
      </c>
      <c r="AE757" s="19">
        <v>0</v>
      </c>
      <c r="AF757" s="19">
        <v>0</v>
      </c>
      <c r="AG757" s="19">
        <v>0</v>
      </c>
      <c r="AH757" s="19">
        <v>0</v>
      </c>
      <c r="AI757" s="100">
        <v>0</v>
      </c>
    </row>
    <row r="758" spans="1:35">
      <c r="A758" s="1001">
        <v>696</v>
      </c>
      <c r="B758" s="1001">
        <v>1</v>
      </c>
      <c r="C758" s="1001">
        <v>758</v>
      </c>
      <c r="D758" s="1121"/>
      <c r="E758" s="1243">
        <v>1</v>
      </c>
      <c r="G758" s="1241"/>
      <c r="I758" s="98"/>
      <c r="J758" s="97"/>
      <c r="K758" s="74"/>
      <c r="L758" s="74"/>
      <c r="M758" s="4" t="s">
        <v>1527</v>
      </c>
      <c r="N758" s="362"/>
      <c r="O758" s="362"/>
      <c r="P758" s="362"/>
      <c r="Q758" s="361">
        <v>0</v>
      </c>
      <c r="R758" s="2054">
        <v>0</v>
      </c>
      <c r="S758" s="361">
        <v>0</v>
      </c>
      <c r="T758" s="361">
        <v>0</v>
      </c>
      <c r="U758" s="361">
        <v>0</v>
      </c>
      <c r="V758" s="361">
        <v>0</v>
      </c>
      <c r="W758" s="361">
        <v>0</v>
      </c>
      <c r="X758" s="361">
        <v>0</v>
      </c>
      <c r="Y758" s="361">
        <v>0</v>
      </c>
      <c r="Z758" s="361">
        <v>0</v>
      </c>
      <c r="AA758" s="361">
        <v>0</v>
      </c>
      <c r="AB758" s="361">
        <v>0</v>
      </c>
      <c r="AC758" s="375">
        <v>0</v>
      </c>
      <c r="AD758" s="361">
        <v>0</v>
      </c>
      <c r="AE758" s="361">
        <v>0</v>
      </c>
      <c r="AF758" s="361">
        <v>0</v>
      </c>
      <c r="AG758" s="361">
        <v>0</v>
      </c>
      <c r="AH758" s="361">
        <v>0</v>
      </c>
      <c r="AI758" s="375">
        <v>0</v>
      </c>
    </row>
    <row r="759" spans="1:35">
      <c r="A759" s="1001">
        <v>697</v>
      </c>
      <c r="B759" s="1001">
        <v>1</v>
      </c>
      <c r="C759" s="1001">
        <v>759</v>
      </c>
      <c r="D759" s="1121"/>
      <c r="E759" s="1243">
        <v>1</v>
      </c>
      <c r="G759" s="1241"/>
      <c r="I759" s="98"/>
      <c r="J759" s="97"/>
      <c r="K759" s="74"/>
      <c r="L759" s="74"/>
      <c r="N759" s="111" t="s">
        <v>903</v>
      </c>
      <c r="O759" s="111"/>
      <c r="P759" s="111"/>
      <c r="Q759" s="2042"/>
      <c r="R759" s="2055"/>
      <c r="S759" s="2042"/>
      <c r="T759" s="2042"/>
      <c r="U759" s="2042"/>
      <c r="V759" s="2042"/>
      <c r="W759" s="2042"/>
      <c r="X759" s="2042"/>
      <c r="Y759" s="2042"/>
      <c r="Z759" s="2042"/>
      <c r="AA759" s="2042"/>
      <c r="AB759" s="2042"/>
      <c r="AC759" s="376">
        <v>0</v>
      </c>
      <c r="AD759" s="109">
        <v>0</v>
      </c>
      <c r="AE759" s="109">
        <v>0</v>
      </c>
      <c r="AF759" s="109">
        <v>0</v>
      </c>
      <c r="AG759" s="109">
        <v>0</v>
      </c>
      <c r="AH759" s="109">
        <v>0</v>
      </c>
      <c r="AI759" s="376">
        <v>0</v>
      </c>
    </row>
    <row r="760" spans="1:35">
      <c r="A760" s="1001">
        <v>698</v>
      </c>
      <c r="B760" s="1001">
        <v>1</v>
      </c>
      <c r="C760" s="1001">
        <v>760</v>
      </c>
      <c r="D760" s="1121"/>
      <c r="E760" s="1243">
        <v>1</v>
      </c>
      <c r="G760" s="1241"/>
      <c r="I760" s="98"/>
      <c r="J760" s="97"/>
      <c r="K760" s="74"/>
      <c r="L760" s="74"/>
      <c r="N760" s="9" t="s">
        <v>904</v>
      </c>
      <c r="Q760" s="2036"/>
      <c r="R760" s="2040"/>
      <c r="S760" s="2036"/>
      <c r="T760" s="2036"/>
      <c r="U760" s="2036"/>
      <c r="V760" s="2036"/>
      <c r="W760" s="2036"/>
      <c r="X760" s="2036"/>
      <c r="Y760" s="2036"/>
      <c r="Z760" s="2036"/>
      <c r="AA760" s="2036"/>
      <c r="AB760" s="2036"/>
      <c r="AC760" s="100">
        <v>0</v>
      </c>
      <c r="AD760" s="19">
        <v>0</v>
      </c>
      <c r="AE760" s="19">
        <v>0</v>
      </c>
      <c r="AF760" s="19">
        <v>0</v>
      </c>
      <c r="AG760" s="19">
        <v>0</v>
      </c>
      <c r="AH760" s="19">
        <v>0</v>
      </c>
      <c r="AI760" s="100">
        <v>0</v>
      </c>
    </row>
    <row r="761" spans="1:35">
      <c r="A761" s="1001">
        <v>699</v>
      </c>
      <c r="B761" s="1001">
        <v>1</v>
      </c>
      <c r="C761" s="1001">
        <v>761</v>
      </c>
      <c r="D761" s="1121"/>
      <c r="E761" s="1243">
        <v>1</v>
      </c>
      <c r="G761" s="1241"/>
      <c r="I761" s="98"/>
      <c r="J761" s="97"/>
      <c r="K761" s="74"/>
      <c r="L761" s="74"/>
      <c r="N761" s="9" t="s">
        <v>905</v>
      </c>
      <c r="Q761" s="2036"/>
      <c r="R761" s="2040"/>
      <c r="S761" s="2036"/>
      <c r="T761" s="2036"/>
      <c r="U761" s="2036"/>
      <c r="V761" s="2036"/>
      <c r="W761" s="2036"/>
      <c r="X761" s="2036"/>
      <c r="Y761" s="2036"/>
      <c r="Z761" s="2036"/>
      <c r="AA761" s="2036"/>
      <c r="AB761" s="2036"/>
      <c r="AC761" s="100">
        <v>0</v>
      </c>
      <c r="AD761" s="19">
        <v>0</v>
      </c>
      <c r="AE761" s="19">
        <v>0</v>
      </c>
      <c r="AF761" s="19">
        <v>0</v>
      </c>
      <c r="AG761" s="19">
        <v>0</v>
      </c>
      <c r="AH761" s="19">
        <v>0</v>
      </c>
      <c r="AI761" s="100">
        <v>0</v>
      </c>
    </row>
    <row r="762" spans="1:35" s="75" customFormat="1">
      <c r="A762" s="1001">
        <v>700</v>
      </c>
      <c r="B762" s="1001">
        <v>1</v>
      </c>
      <c r="C762" s="1001">
        <v>762</v>
      </c>
      <c r="D762" s="1121"/>
      <c r="E762" s="1243">
        <v>1</v>
      </c>
      <c r="F762" s="10"/>
      <c r="G762" s="1241"/>
      <c r="H762" s="24"/>
      <c r="I762" s="98"/>
      <c r="J762" s="97"/>
      <c r="K762" s="74"/>
      <c r="L762" s="74"/>
      <c r="M762" s="9"/>
      <c r="N762" s="9" t="s">
        <v>906</v>
      </c>
      <c r="O762" s="9"/>
      <c r="P762" s="9"/>
      <c r="Q762" s="2036"/>
      <c r="R762" s="2040"/>
      <c r="S762" s="2036"/>
      <c r="T762" s="2036"/>
      <c r="U762" s="2036"/>
      <c r="V762" s="2036"/>
      <c r="W762" s="2036"/>
      <c r="X762" s="2036"/>
      <c r="Y762" s="2036"/>
      <c r="Z762" s="2036"/>
      <c r="AA762" s="2036"/>
      <c r="AB762" s="2036"/>
      <c r="AC762" s="100">
        <v>0</v>
      </c>
      <c r="AD762" s="19">
        <v>0</v>
      </c>
      <c r="AE762" s="19">
        <v>0</v>
      </c>
      <c r="AF762" s="19">
        <v>0</v>
      </c>
      <c r="AG762" s="19">
        <v>0</v>
      </c>
      <c r="AH762" s="19">
        <v>0</v>
      </c>
      <c r="AI762" s="100">
        <v>0</v>
      </c>
    </row>
    <row r="763" spans="1:35">
      <c r="A763" s="1001">
        <v>701</v>
      </c>
      <c r="B763" s="1001">
        <v>1</v>
      </c>
      <c r="C763" s="1001">
        <v>763</v>
      </c>
      <c r="D763" s="1121"/>
      <c r="E763" s="1243">
        <v>1</v>
      </c>
      <c r="G763" s="24"/>
      <c r="I763" s="98"/>
      <c r="J763" s="97"/>
      <c r="K763" s="74"/>
      <c r="L763" s="74"/>
      <c r="M763" s="596" t="s">
        <v>13</v>
      </c>
      <c r="N763" s="362"/>
      <c r="O763" s="362"/>
      <c r="P763" s="362"/>
      <c r="Q763" s="361">
        <v>0</v>
      </c>
      <c r="R763" s="2054">
        <v>0</v>
      </c>
      <c r="S763" s="361">
        <v>0</v>
      </c>
      <c r="T763" s="361">
        <v>0</v>
      </c>
      <c r="U763" s="361">
        <v>0</v>
      </c>
      <c r="V763" s="361">
        <v>0</v>
      </c>
      <c r="W763" s="361">
        <v>0</v>
      </c>
      <c r="X763" s="361">
        <v>0</v>
      </c>
      <c r="Y763" s="361">
        <v>0</v>
      </c>
      <c r="Z763" s="361">
        <v>0</v>
      </c>
      <c r="AA763" s="361">
        <v>0</v>
      </c>
      <c r="AB763" s="361">
        <v>0</v>
      </c>
      <c r="AC763" s="375">
        <v>0</v>
      </c>
      <c r="AD763" s="361">
        <v>0</v>
      </c>
      <c r="AE763" s="361">
        <v>0</v>
      </c>
      <c r="AF763" s="361">
        <v>0</v>
      </c>
      <c r="AG763" s="361">
        <v>0</v>
      </c>
      <c r="AH763" s="361">
        <v>0</v>
      </c>
      <c r="AI763" s="375">
        <v>0</v>
      </c>
    </row>
    <row r="764" spans="1:35">
      <c r="A764" s="1001">
        <v>702</v>
      </c>
      <c r="B764" s="1001">
        <v>1</v>
      </c>
      <c r="C764" s="1001">
        <v>764</v>
      </c>
      <c r="D764" s="1121"/>
      <c r="E764" s="1243">
        <v>1</v>
      </c>
      <c r="G764" s="24"/>
      <c r="I764" s="98"/>
      <c r="J764" s="97"/>
      <c r="K764" s="74"/>
      <c r="L764" s="74"/>
      <c r="N764" s="111" t="s">
        <v>903</v>
      </c>
      <c r="O764" s="111"/>
      <c r="P764" s="111"/>
      <c r="Q764" s="2042"/>
      <c r="R764" s="2055"/>
      <c r="S764" s="2042"/>
      <c r="T764" s="2042"/>
      <c r="U764" s="2042"/>
      <c r="V764" s="2042"/>
      <c r="W764" s="2042"/>
      <c r="X764" s="2042"/>
      <c r="Y764" s="2042"/>
      <c r="Z764" s="2042"/>
      <c r="AA764" s="2042"/>
      <c r="AB764" s="2042"/>
      <c r="AC764" s="376">
        <v>0</v>
      </c>
      <c r="AD764" s="109">
        <v>0</v>
      </c>
      <c r="AE764" s="109">
        <v>0</v>
      </c>
      <c r="AF764" s="109">
        <v>0</v>
      </c>
      <c r="AG764" s="109">
        <v>0</v>
      </c>
      <c r="AH764" s="109">
        <v>0</v>
      </c>
      <c r="AI764" s="376">
        <v>0</v>
      </c>
    </row>
    <row r="765" spans="1:35">
      <c r="A765" s="1001">
        <v>703</v>
      </c>
      <c r="B765" s="1001">
        <v>1</v>
      </c>
      <c r="C765" s="1001">
        <v>765</v>
      </c>
      <c r="D765" s="1121"/>
      <c r="E765" s="1243">
        <v>1</v>
      </c>
      <c r="G765" s="24"/>
      <c r="I765" s="98"/>
      <c r="J765" s="97"/>
      <c r="K765" s="74"/>
      <c r="L765" s="74"/>
      <c r="N765" s="9" t="s">
        <v>904</v>
      </c>
      <c r="Q765" s="2036"/>
      <c r="R765" s="2040"/>
      <c r="S765" s="2036"/>
      <c r="T765" s="2036"/>
      <c r="U765" s="2036"/>
      <c r="V765" s="2036"/>
      <c r="W765" s="2036"/>
      <c r="X765" s="2036"/>
      <c r="Y765" s="2036"/>
      <c r="Z765" s="2036"/>
      <c r="AA765" s="2036"/>
      <c r="AB765" s="2036"/>
      <c r="AC765" s="100">
        <v>0</v>
      </c>
      <c r="AD765" s="19">
        <v>0</v>
      </c>
      <c r="AE765" s="19">
        <v>0</v>
      </c>
      <c r="AF765" s="19">
        <v>0</v>
      </c>
      <c r="AG765" s="19">
        <v>0</v>
      </c>
      <c r="AH765" s="19">
        <v>0</v>
      </c>
      <c r="AI765" s="100">
        <v>0</v>
      </c>
    </row>
    <row r="766" spans="1:35">
      <c r="A766" s="1001">
        <v>704</v>
      </c>
      <c r="B766" s="1001">
        <v>1</v>
      </c>
      <c r="C766" s="1001">
        <v>766</v>
      </c>
      <c r="D766" s="1121"/>
      <c r="E766" s="1243">
        <v>1</v>
      </c>
      <c r="G766" s="24"/>
      <c r="I766" s="98"/>
      <c r="J766" s="97"/>
      <c r="K766" s="74"/>
      <c r="L766" s="74"/>
      <c r="N766" s="9" t="s">
        <v>905</v>
      </c>
      <c r="Q766" s="2036"/>
      <c r="R766" s="2040"/>
      <c r="S766" s="2036"/>
      <c r="T766" s="2036"/>
      <c r="U766" s="2036"/>
      <c r="V766" s="2036"/>
      <c r="W766" s="2036"/>
      <c r="X766" s="2036"/>
      <c r="Y766" s="2036"/>
      <c r="Z766" s="2036"/>
      <c r="AA766" s="2036"/>
      <c r="AB766" s="2036"/>
      <c r="AC766" s="100">
        <v>0</v>
      </c>
      <c r="AD766" s="19">
        <v>0</v>
      </c>
      <c r="AE766" s="19">
        <v>0</v>
      </c>
      <c r="AF766" s="19">
        <v>0</v>
      </c>
      <c r="AG766" s="19">
        <v>0</v>
      </c>
      <c r="AH766" s="19">
        <v>0</v>
      </c>
      <c r="AI766" s="100">
        <v>0</v>
      </c>
    </row>
    <row r="767" spans="1:35" s="75" customFormat="1">
      <c r="A767" s="1001">
        <v>705</v>
      </c>
      <c r="B767" s="1001">
        <v>1</v>
      </c>
      <c r="C767" s="1001">
        <v>767</v>
      </c>
      <c r="D767" s="1121"/>
      <c r="E767" s="1243">
        <v>1</v>
      </c>
      <c r="F767" s="10"/>
      <c r="G767" s="24"/>
      <c r="H767" s="24"/>
      <c r="I767" s="98"/>
      <c r="J767" s="97"/>
      <c r="K767" s="74"/>
      <c r="L767" s="74"/>
      <c r="M767" s="9"/>
      <c r="N767" s="9" t="s">
        <v>906</v>
      </c>
      <c r="O767" s="9"/>
      <c r="P767" s="9"/>
      <c r="Q767" s="2036"/>
      <c r="R767" s="2040"/>
      <c r="S767" s="2036"/>
      <c r="T767" s="2036"/>
      <c r="U767" s="2036"/>
      <c r="V767" s="2036"/>
      <c r="W767" s="2036"/>
      <c r="X767" s="2036"/>
      <c r="Y767" s="2036"/>
      <c r="Z767" s="2036"/>
      <c r="AA767" s="2036"/>
      <c r="AB767" s="2036"/>
      <c r="AC767" s="100">
        <v>0</v>
      </c>
      <c r="AD767" s="19">
        <v>0</v>
      </c>
      <c r="AE767" s="19">
        <v>0</v>
      </c>
      <c r="AF767" s="19">
        <v>0</v>
      </c>
      <c r="AG767" s="19">
        <v>0</v>
      </c>
      <c r="AH767" s="19">
        <v>0</v>
      </c>
      <c r="AI767" s="100">
        <v>0</v>
      </c>
    </row>
    <row r="768" spans="1:35">
      <c r="A768" s="1001">
        <v>706</v>
      </c>
      <c r="B768" s="1001">
        <v>1</v>
      </c>
      <c r="C768" s="1001">
        <v>768</v>
      </c>
      <c r="D768" s="1121"/>
      <c r="E768" s="1243">
        <v>1</v>
      </c>
      <c r="G768" s="24"/>
      <c r="I768" s="98"/>
      <c r="J768" s="97"/>
      <c r="K768" s="74"/>
      <c r="L768" s="74"/>
      <c r="M768" s="596" t="s">
        <v>1156</v>
      </c>
      <c r="N768" s="362"/>
      <c r="O768" s="362"/>
      <c r="P768" s="362"/>
      <c r="Q768" s="361">
        <v>0</v>
      </c>
      <c r="R768" s="2054">
        <v>0</v>
      </c>
      <c r="S768" s="361">
        <v>0</v>
      </c>
      <c r="T768" s="361">
        <v>0</v>
      </c>
      <c r="U768" s="361">
        <v>0</v>
      </c>
      <c r="V768" s="361">
        <v>0</v>
      </c>
      <c r="W768" s="361">
        <v>0</v>
      </c>
      <c r="X768" s="361">
        <v>0</v>
      </c>
      <c r="Y768" s="361">
        <v>0</v>
      </c>
      <c r="Z768" s="361">
        <v>0</v>
      </c>
      <c r="AA768" s="361">
        <v>0</v>
      </c>
      <c r="AB768" s="361">
        <v>0</v>
      </c>
      <c r="AC768" s="375">
        <v>0</v>
      </c>
      <c r="AD768" s="361">
        <v>0</v>
      </c>
      <c r="AE768" s="361">
        <v>0</v>
      </c>
      <c r="AF768" s="361">
        <v>0</v>
      </c>
      <c r="AG768" s="361">
        <v>0</v>
      </c>
      <c r="AH768" s="361">
        <v>0</v>
      </c>
      <c r="AI768" s="375">
        <v>0</v>
      </c>
    </row>
    <row r="769" spans="1:35">
      <c r="A769" s="1001">
        <v>707</v>
      </c>
      <c r="B769" s="1001">
        <v>1</v>
      </c>
      <c r="C769" s="1001">
        <v>769</v>
      </c>
      <c r="D769" s="1121"/>
      <c r="E769" s="1243">
        <v>1</v>
      </c>
      <c r="G769" s="24"/>
      <c r="I769" s="98"/>
      <c r="J769" s="97"/>
      <c r="K769" s="74"/>
      <c r="L769" s="74"/>
      <c r="N769" s="111" t="s">
        <v>903</v>
      </c>
      <c r="O769" s="111"/>
      <c r="P769" s="111"/>
      <c r="Q769" s="2042"/>
      <c r="R769" s="2055"/>
      <c r="S769" s="2042"/>
      <c r="T769" s="2042"/>
      <c r="U769" s="2042"/>
      <c r="V769" s="2042"/>
      <c r="W769" s="2042"/>
      <c r="X769" s="2042"/>
      <c r="Y769" s="2042"/>
      <c r="Z769" s="2042"/>
      <c r="AA769" s="2042"/>
      <c r="AB769" s="2042"/>
      <c r="AC769" s="376">
        <v>0</v>
      </c>
      <c r="AD769" s="109">
        <v>0</v>
      </c>
      <c r="AE769" s="109">
        <v>0</v>
      </c>
      <c r="AF769" s="109">
        <v>0</v>
      </c>
      <c r="AG769" s="109">
        <v>0</v>
      </c>
      <c r="AH769" s="109">
        <v>0</v>
      </c>
      <c r="AI769" s="376">
        <v>0</v>
      </c>
    </row>
    <row r="770" spans="1:35">
      <c r="A770" s="1001">
        <v>708</v>
      </c>
      <c r="B770" s="1001">
        <v>1</v>
      </c>
      <c r="C770" s="1001">
        <v>770</v>
      </c>
      <c r="D770" s="1121"/>
      <c r="E770" s="1243">
        <v>1</v>
      </c>
      <c r="G770" s="24"/>
      <c r="I770" s="98"/>
      <c r="J770" s="97"/>
      <c r="K770" s="74"/>
      <c r="L770" s="74"/>
      <c r="N770" s="9" t="s">
        <v>904</v>
      </c>
      <c r="Q770" s="2036"/>
      <c r="R770" s="2040"/>
      <c r="S770" s="2036"/>
      <c r="T770" s="2036"/>
      <c r="U770" s="2036"/>
      <c r="V770" s="2036"/>
      <c r="W770" s="2036"/>
      <c r="X770" s="2036"/>
      <c r="Y770" s="2036"/>
      <c r="Z770" s="2036"/>
      <c r="AA770" s="2036"/>
      <c r="AB770" s="2036"/>
      <c r="AC770" s="100">
        <v>0</v>
      </c>
      <c r="AD770" s="19">
        <v>0</v>
      </c>
      <c r="AE770" s="19">
        <v>0</v>
      </c>
      <c r="AF770" s="19">
        <v>0</v>
      </c>
      <c r="AG770" s="19">
        <v>0</v>
      </c>
      <c r="AH770" s="19">
        <v>0</v>
      </c>
      <c r="AI770" s="100">
        <v>0</v>
      </c>
    </row>
    <row r="771" spans="1:35">
      <c r="A771" s="1001">
        <v>709</v>
      </c>
      <c r="B771" s="1001">
        <v>1</v>
      </c>
      <c r="C771" s="1001">
        <v>771</v>
      </c>
      <c r="D771" s="1121"/>
      <c r="E771" s="1243">
        <v>1</v>
      </c>
      <c r="G771" s="24"/>
      <c r="I771" s="98"/>
      <c r="J771" s="97"/>
      <c r="K771" s="74"/>
      <c r="L771" s="74"/>
      <c r="N771" s="9" t="s">
        <v>905</v>
      </c>
      <c r="Q771" s="2036"/>
      <c r="R771" s="2040"/>
      <c r="S771" s="2036"/>
      <c r="T771" s="2036"/>
      <c r="U771" s="2036"/>
      <c r="V771" s="2036"/>
      <c r="W771" s="2036"/>
      <c r="X771" s="2036"/>
      <c r="Y771" s="2036"/>
      <c r="Z771" s="2036"/>
      <c r="AA771" s="2036"/>
      <c r="AB771" s="2036"/>
      <c r="AC771" s="100">
        <v>0</v>
      </c>
      <c r="AD771" s="19">
        <v>0</v>
      </c>
      <c r="AE771" s="19">
        <v>0</v>
      </c>
      <c r="AF771" s="19">
        <v>0</v>
      </c>
      <c r="AG771" s="19">
        <v>0</v>
      </c>
      <c r="AH771" s="19">
        <v>0</v>
      </c>
      <c r="AI771" s="100">
        <v>0</v>
      </c>
    </row>
    <row r="772" spans="1:35" s="75" customFormat="1">
      <c r="A772" s="1001">
        <v>710</v>
      </c>
      <c r="B772" s="1001">
        <v>1</v>
      </c>
      <c r="C772" s="1001">
        <v>772</v>
      </c>
      <c r="D772" s="1121"/>
      <c r="E772" s="1243">
        <v>1</v>
      </c>
      <c r="F772" s="10"/>
      <c r="G772" s="24"/>
      <c r="H772" s="24"/>
      <c r="I772" s="98"/>
      <c r="J772" s="97"/>
      <c r="K772" s="74"/>
      <c r="L772" s="74"/>
      <c r="M772" s="12"/>
      <c r="N772" s="9" t="s">
        <v>906</v>
      </c>
      <c r="O772" s="9"/>
      <c r="P772" s="9"/>
      <c r="Q772" s="2036"/>
      <c r="R772" s="2040"/>
      <c r="S772" s="2036"/>
      <c r="T772" s="2036"/>
      <c r="U772" s="2036"/>
      <c r="V772" s="2036"/>
      <c r="W772" s="2036"/>
      <c r="X772" s="2036"/>
      <c r="Y772" s="2036"/>
      <c r="Z772" s="2036"/>
      <c r="AA772" s="2036"/>
      <c r="AB772" s="2036"/>
      <c r="AC772" s="100">
        <v>0</v>
      </c>
      <c r="AD772" s="19">
        <v>0</v>
      </c>
      <c r="AE772" s="19">
        <v>0</v>
      </c>
      <c r="AF772" s="19">
        <v>0</v>
      </c>
      <c r="AG772" s="19">
        <v>0</v>
      </c>
      <c r="AH772" s="19">
        <v>0</v>
      </c>
      <c r="AI772" s="100">
        <v>0</v>
      </c>
    </row>
    <row r="773" spans="1:35">
      <c r="A773" s="1001">
        <v>1</v>
      </c>
      <c r="B773" s="1001">
        <v>1</v>
      </c>
      <c r="C773" s="1001">
        <v>773</v>
      </c>
      <c r="D773" s="1121"/>
      <c r="E773" s="1243">
        <v>1</v>
      </c>
      <c r="G773" s="24"/>
      <c r="I773" s="98"/>
      <c r="J773" s="97"/>
      <c r="K773" s="74"/>
      <c r="L773" s="74"/>
      <c r="M773" s="4" t="s">
        <v>1528</v>
      </c>
      <c r="N773" s="362"/>
      <c r="O773" s="362"/>
      <c r="P773" s="362"/>
      <c r="Q773" s="361">
        <v>0</v>
      </c>
      <c r="R773" s="2054">
        <v>0</v>
      </c>
      <c r="S773" s="361">
        <v>0</v>
      </c>
      <c r="T773" s="361">
        <v>0</v>
      </c>
      <c r="U773" s="361">
        <v>0</v>
      </c>
      <c r="V773" s="361">
        <v>0</v>
      </c>
      <c r="W773" s="361">
        <v>0</v>
      </c>
      <c r="X773" s="361">
        <v>0</v>
      </c>
      <c r="Y773" s="361">
        <v>0</v>
      </c>
      <c r="Z773" s="361">
        <v>0</v>
      </c>
      <c r="AA773" s="361">
        <v>0</v>
      </c>
      <c r="AB773" s="361">
        <v>0</v>
      </c>
      <c r="AC773" s="375">
        <v>0</v>
      </c>
      <c r="AD773" s="361">
        <v>0</v>
      </c>
      <c r="AE773" s="361">
        <v>0</v>
      </c>
      <c r="AF773" s="361">
        <v>0</v>
      </c>
      <c r="AG773" s="361">
        <v>0</v>
      </c>
      <c r="AH773" s="361">
        <v>0</v>
      </c>
      <c r="AI773" s="375">
        <v>0</v>
      </c>
    </row>
    <row r="774" spans="1:35">
      <c r="A774" s="1001">
        <v>1</v>
      </c>
      <c r="B774" s="1001">
        <v>1</v>
      </c>
      <c r="C774" s="1001">
        <v>774</v>
      </c>
      <c r="D774" s="1121"/>
      <c r="E774" s="1243">
        <v>1</v>
      </c>
      <c r="G774" s="24"/>
      <c r="I774" s="98"/>
      <c r="J774" s="97"/>
      <c r="K774" s="74"/>
      <c r="L774" s="74"/>
      <c r="N774" s="111" t="s">
        <v>903</v>
      </c>
      <c r="O774" s="111"/>
      <c r="P774" s="111"/>
      <c r="Q774" s="2042"/>
      <c r="R774" s="2055"/>
      <c r="S774" s="2042"/>
      <c r="T774" s="2042"/>
      <c r="U774" s="2042"/>
      <c r="V774" s="2042"/>
      <c r="W774" s="2042"/>
      <c r="X774" s="2042"/>
      <c r="Y774" s="2042"/>
      <c r="Z774" s="2042"/>
      <c r="AA774" s="2042"/>
      <c r="AB774" s="2042"/>
      <c r="AC774" s="376">
        <v>0</v>
      </c>
      <c r="AD774" s="109">
        <v>0</v>
      </c>
      <c r="AE774" s="109">
        <v>0</v>
      </c>
      <c r="AF774" s="109">
        <v>0</v>
      </c>
      <c r="AG774" s="109">
        <v>0</v>
      </c>
      <c r="AH774" s="109">
        <v>0</v>
      </c>
      <c r="AI774" s="376">
        <v>0</v>
      </c>
    </row>
    <row r="775" spans="1:35">
      <c r="A775" s="1001">
        <v>1</v>
      </c>
      <c r="B775" s="1001">
        <v>1</v>
      </c>
      <c r="C775" s="1001">
        <v>775</v>
      </c>
      <c r="D775" s="1121"/>
      <c r="E775" s="1243">
        <v>1</v>
      </c>
      <c r="G775" s="24"/>
      <c r="I775" s="98"/>
      <c r="J775" s="97"/>
      <c r="K775" s="74"/>
      <c r="L775" s="74"/>
      <c r="N775" s="9" t="s">
        <v>904</v>
      </c>
      <c r="Q775" s="2036"/>
      <c r="R775" s="2040"/>
      <c r="S775" s="2036"/>
      <c r="T775" s="2036"/>
      <c r="U775" s="2036"/>
      <c r="V775" s="2036"/>
      <c r="W775" s="2036"/>
      <c r="X775" s="2036"/>
      <c r="Y775" s="2036"/>
      <c r="Z775" s="2036"/>
      <c r="AA775" s="2036"/>
      <c r="AB775" s="2036"/>
      <c r="AC775" s="100">
        <v>0</v>
      </c>
      <c r="AD775" s="19">
        <v>0</v>
      </c>
      <c r="AE775" s="19">
        <v>0</v>
      </c>
      <c r="AF775" s="19">
        <v>0</v>
      </c>
      <c r="AG775" s="19">
        <v>0</v>
      </c>
      <c r="AH775" s="19">
        <v>0</v>
      </c>
      <c r="AI775" s="100">
        <v>0</v>
      </c>
    </row>
    <row r="776" spans="1:35">
      <c r="A776" s="1001">
        <v>1</v>
      </c>
      <c r="B776" s="1001">
        <v>1</v>
      </c>
      <c r="C776" s="1001">
        <v>776</v>
      </c>
      <c r="D776" s="1121"/>
      <c r="E776" s="1243">
        <v>1</v>
      </c>
      <c r="G776" s="24"/>
      <c r="I776" s="98"/>
      <c r="J776" s="97"/>
      <c r="K776" s="74"/>
      <c r="L776" s="74"/>
      <c r="N776" s="9" t="s">
        <v>905</v>
      </c>
      <c r="Q776" s="2036"/>
      <c r="R776" s="2040"/>
      <c r="S776" s="2036"/>
      <c r="T776" s="2036"/>
      <c r="U776" s="2036"/>
      <c r="V776" s="2036"/>
      <c r="W776" s="2036"/>
      <c r="X776" s="2036"/>
      <c r="Y776" s="2036"/>
      <c r="Z776" s="2036"/>
      <c r="AA776" s="2036"/>
      <c r="AB776" s="2036"/>
      <c r="AC776" s="100">
        <v>0</v>
      </c>
      <c r="AD776" s="19">
        <v>0</v>
      </c>
      <c r="AE776" s="19">
        <v>0</v>
      </c>
      <c r="AF776" s="19">
        <v>0</v>
      </c>
      <c r="AG776" s="19">
        <v>0</v>
      </c>
      <c r="AH776" s="19">
        <v>0</v>
      </c>
      <c r="AI776" s="100">
        <v>0</v>
      </c>
    </row>
    <row r="777" spans="1:35" s="75" customFormat="1">
      <c r="A777" s="1001">
        <v>1</v>
      </c>
      <c r="B777" s="1001">
        <v>1</v>
      </c>
      <c r="C777" s="1001">
        <v>777</v>
      </c>
      <c r="D777" s="1121"/>
      <c r="E777" s="1243">
        <v>1</v>
      </c>
      <c r="F777" s="10"/>
      <c r="G777" s="24"/>
      <c r="H777" s="24"/>
      <c r="I777" s="98"/>
      <c r="J777" s="97"/>
      <c r="K777" s="74"/>
      <c r="L777" s="74"/>
      <c r="M777" s="12"/>
      <c r="N777" s="9" t="s">
        <v>906</v>
      </c>
      <c r="O777" s="9"/>
      <c r="P777" s="9"/>
      <c r="Q777" s="2036"/>
      <c r="R777" s="2040"/>
      <c r="S777" s="2036"/>
      <c r="T777" s="2036"/>
      <c r="U777" s="2036"/>
      <c r="V777" s="2036"/>
      <c r="W777" s="2036"/>
      <c r="X777" s="2036"/>
      <c r="Y777" s="2036"/>
      <c r="Z777" s="2036"/>
      <c r="AA777" s="2036"/>
      <c r="AB777" s="2036"/>
      <c r="AC777" s="100">
        <v>0</v>
      </c>
      <c r="AD777" s="19">
        <v>0</v>
      </c>
      <c r="AE777" s="19">
        <v>0</v>
      </c>
      <c r="AF777" s="19">
        <v>0</v>
      </c>
      <c r="AG777" s="19">
        <v>0</v>
      </c>
      <c r="AH777" s="19">
        <v>0</v>
      </c>
      <c r="AI777" s="100">
        <v>0</v>
      </c>
    </row>
    <row r="778" spans="1:35">
      <c r="A778" s="1001">
        <v>1</v>
      </c>
      <c r="B778" s="1001">
        <v>1</v>
      </c>
      <c r="C778" s="1001">
        <v>778</v>
      </c>
      <c r="D778" s="1121"/>
      <c r="E778" s="1243">
        <v>1</v>
      </c>
      <c r="G778" s="24"/>
      <c r="I778" s="98"/>
      <c r="J778" s="97"/>
      <c r="K778" s="74"/>
      <c r="L778" s="74"/>
      <c r="M778" s="4" t="s">
        <v>1529</v>
      </c>
      <c r="N778" s="362"/>
      <c r="O778" s="362"/>
      <c r="P778" s="362"/>
      <c r="Q778" s="361">
        <v>0</v>
      </c>
      <c r="R778" s="2054">
        <v>0</v>
      </c>
      <c r="S778" s="361">
        <v>0</v>
      </c>
      <c r="T778" s="361">
        <v>0</v>
      </c>
      <c r="U778" s="361">
        <v>0</v>
      </c>
      <c r="V778" s="361">
        <v>0</v>
      </c>
      <c r="W778" s="361">
        <v>0</v>
      </c>
      <c r="X778" s="361">
        <v>0</v>
      </c>
      <c r="Y778" s="361">
        <v>0</v>
      </c>
      <c r="Z778" s="361">
        <v>0</v>
      </c>
      <c r="AA778" s="361">
        <v>0</v>
      </c>
      <c r="AB778" s="361">
        <v>0</v>
      </c>
      <c r="AC778" s="375">
        <v>0</v>
      </c>
      <c r="AD778" s="361">
        <v>0</v>
      </c>
      <c r="AE778" s="361">
        <v>0</v>
      </c>
      <c r="AF778" s="361">
        <v>0</v>
      </c>
      <c r="AG778" s="361">
        <v>0</v>
      </c>
      <c r="AH778" s="361">
        <v>0</v>
      </c>
      <c r="AI778" s="375">
        <v>0</v>
      </c>
    </row>
    <row r="779" spans="1:35">
      <c r="A779" s="1001">
        <v>1</v>
      </c>
      <c r="B779" s="1001">
        <v>1</v>
      </c>
      <c r="C779" s="1001">
        <v>779</v>
      </c>
      <c r="D779" s="1121"/>
      <c r="E779" s="1243">
        <v>1</v>
      </c>
      <c r="G779" s="24"/>
      <c r="I779" s="98"/>
      <c r="J779" s="97"/>
      <c r="K779" s="74"/>
      <c r="L779" s="74"/>
      <c r="N779" s="111" t="s">
        <v>903</v>
      </c>
      <c r="O779" s="111"/>
      <c r="P779" s="111"/>
      <c r="Q779" s="2042"/>
      <c r="R779" s="2055"/>
      <c r="S779" s="2042"/>
      <c r="T779" s="2042"/>
      <c r="U779" s="2042"/>
      <c r="V779" s="2042"/>
      <c r="W779" s="2042"/>
      <c r="X779" s="2042"/>
      <c r="Y779" s="2042"/>
      <c r="Z779" s="2042"/>
      <c r="AA779" s="2042"/>
      <c r="AB779" s="2042"/>
      <c r="AC779" s="376">
        <v>0</v>
      </c>
      <c r="AD779" s="109">
        <v>0</v>
      </c>
      <c r="AE779" s="109">
        <v>0</v>
      </c>
      <c r="AF779" s="109">
        <v>0</v>
      </c>
      <c r="AG779" s="109">
        <v>0</v>
      </c>
      <c r="AH779" s="109">
        <v>0</v>
      </c>
      <c r="AI779" s="376">
        <v>0</v>
      </c>
    </row>
    <row r="780" spans="1:35">
      <c r="A780" s="1001">
        <v>1</v>
      </c>
      <c r="B780" s="1001">
        <v>1</v>
      </c>
      <c r="C780" s="1001">
        <v>780</v>
      </c>
      <c r="D780" s="1121"/>
      <c r="E780" s="1243">
        <v>1</v>
      </c>
      <c r="G780" s="24"/>
      <c r="I780" s="98"/>
      <c r="J780" s="97"/>
      <c r="K780" s="74"/>
      <c r="L780" s="74"/>
      <c r="N780" s="9" t="s">
        <v>904</v>
      </c>
      <c r="Q780" s="2036"/>
      <c r="R780" s="2040"/>
      <c r="S780" s="2036"/>
      <c r="T780" s="2036"/>
      <c r="U780" s="2036"/>
      <c r="V780" s="2036"/>
      <c r="W780" s="2036"/>
      <c r="X780" s="2036"/>
      <c r="Y780" s="2036"/>
      <c r="Z780" s="2036"/>
      <c r="AA780" s="2036"/>
      <c r="AB780" s="2036"/>
      <c r="AC780" s="100">
        <v>0</v>
      </c>
      <c r="AD780" s="19">
        <v>0</v>
      </c>
      <c r="AE780" s="19">
        <v>0</v>
      </c>
      <c r="AF780" s="19">
        <v>0</v>
      </c>
      <c r="AG780" s="19">
        <v>0</v>
      </c>
      <c r="AH780" s="19">
        <v>0</v>
      </c>
      <c r="AI780" s="100">
        <v>0</v>
      </c>
    </row>
    <row r="781" spans="1:35">
      <c r="A781" s="1001">
        <v>1</v>
      </c>
      <c r="B781" s="1001">
        <v>1</v>
      </c>
      <c r="C781" s="1001">
        <v>781</v>
      </c>
      <c r="D781" s="1121"/>
      <c r="E781" s="1243">
        <v>1</v>
      </c>
      <c r="G781" s="24"/>
      <c r="I781" s="98"/>
      <c r="J781" s="97"/>
      <c r="K781" s="74"/>
      <c r="L781" s="74"/>
      <c r="N781" s="9" t="s">
        <v>905</v>
      </c>
      <c r="Q781" s="2036"/>
      <c r="R781" s="2040"/>
      <c r="S781" s="2036"/>
      <c r="T781" s="2036"/>
      <c r="U781" s="2036"/>
      <c r="V781" s="2036"/>
      <c r="W781" s="2036"/>
      <c r="X781" s="2036"/>
      <c r="Y781" s="2036"/>
      <c r="Z781" s="2036"/>
      <c r="AA781" s="2036"/>
      <c r="AB781" s="2036"/>
      <c r="AC781" s="100">
        <v>0</v>
      </c>
      <c r="AD781" s="19">
        <v>0</v>
      </c>
      <c r="AE781" s="19">
        <v>0</v>
      </c>
      <c r="AF781" s="19">
        <v>0</v>
      </c>
      <c r="AG781" s="19">
        <v>0</v>
      </c>
      <c r="AH781" s="19">
        <v>0</v>
      </c>
      <c r="AI781" s="100">
        <v>0</v>
      </c>
    </row>
    <row r="782" spans="1:35" s="75" customFormat="1">
      <c r="A782" s="1001">
        <v>1</v>
      </c>
      <c r="B782" s="1001">
        <v>1</v>
      </c>
      <c r="C782" s="1001">
        <v>782</v>
      </c>
      <c r="D782" s="1121"/>
      <c r="E782" s="1243">
        <v>1</v>
      </c>
      <c r="F782" s="10"/>
      <c r="G782" s="24"/>
      <c r="H782" s="24"/>
      <c r="I782" s="98"/>
      <c r="J782" s="97"/>
      <c r="K782" s="74"/>
      <c r="L782" s="74"/>
      <c r="M782" s="9"/>
      <c r="N782" s="9" t="s">
        <v>906</v>
      </c>
      <c r="O782" s="9"/>
      <c r="P782" s="9"/>
      <c r="Q782" s="2036"/>
      <c r="R782" s="2040"/>
      <c r="S782" s="2036"/>
      <c r="T782" s="2036"/>
      <c r="U782" s="2036"/>
      <c r="V782" s="2036"/>
      <c r="W782" s="2036"/>
      <c r="X782" s="2036"/>
      <c r="Y782" s="2036"/>
      <c r="Z782" s="2036"/>
      <c r="AA782" s="2036"/>
      <c r="AB782" s="2036"/>
      <c r="AC782" s="100">
        <v>0</v>
      </c>
      <c r="AD782" s="19">
        <v>0</v>
      </c>
      <c r="AE782" s="19">
        <v>0</v>
      </c>
      <c r="AF782" s="19">
        <v>0</v>
      </c>
      <c r="AG782" s="19">
        <v>0</v>
      </c>
      <c r="AH782" s="19">
        <v>0</v>
      </c>
      <c r="AI782" s="100">
        <v>0</v>
      </c>
    </row>
    <row r="783" spans="1:35">
      <c r="A783" s="1001">
        <v>716</v>
      </c>
      <c r="B783" s="1001">
        <v>1</v>
      </c>
      <c r="C783" s="1001">
        <v>783</v>
      </c>
      <c r="D783" s="1121"/>
      <c r="E783" s="1243">
        <v>1</v>
      </c>
      <c r="I783" s="98"/>
      <c r="J783" s="97"/>
      <c r="K783" s="69" t="s">
        <v>1023</v>
      </c>
      <c r="L783" s="69"/>
      <c r="M783" s="610"/>
      <c r="N783" s="610"/>
      <c r="O783" s="610"/>
      <c r="P783" s="610"/>
      <c r="Q783" s="2056">
        <v>0</v>
      </c>
      <c r="R783" s="2644">
        <v>0</v>
      </c>
      <c r="S783" s="2056">
        <v>0</v>
      </c>
      <c r="T783" s="2056">
        <v>0</v>
      </c>
      <c r="U783" s="2056">
        <v>0</v>
      </c>
      <c r="V783" s="2056">
        <v>0</v>
      </c>
      <c r="W783" s="2056">
        <v>0</v>
      </c>
      <c r="X783" s="2056">
        <v>0</v>
      </c>
      <c r="Y783" s="2056">
        <v>0</v>
      </c>
      <c r="Z783" s="2056">
        <v>0</v>
      </c>
      <c r="AA783" s="2056">
        <v>0</v>
      </c>
      <c r="AB783" s="2056">
        <v>0</v>
      </c>
      <c r="AC783" s="2546">
        <v>0</v>
      </c>
      <c r="AD783" s="2056">
        <v>0</v>
      </c>
      <c r="AE783" s="2056">
        <v>0</v>
      </c>
      <c r="AF783" s="2056">
        <v>0</v>
      </c>
      <c r="AG783" s="2056">
        <v>0</v>
      </c>
      <c r="AH783" s="2056">
        <v>0</v>
      </c>
      <c r="AI783" s="2546">
        <v>0</v>
      </c>
    </row>
    <row r="784" spans="1:35">
      <c r="A784" s="1001">
        <v>717</v>
      </c>
      <c r="B784" s="1001">
        <v>1</v>
      </c>
      <c r="C784" s="1001">
        <v>784</v>
      </c>
      <c r="D784" s="1121"/>
      <c r="E784" s="1243">
        <v>1</v>
      </c>
      <c r="G784" s="1241"/>
      <c r="I784" s="98"/>
      <c r="J784" s="97"/>
      <c r="K784" s="69"/>
      <c r="L784" s="69"/>
      <c r="M784" s="4" t="s">
        <v>12</v>
      </c>
      <c r="Q784" s="2036"/>
      <c r="R784" s="2040"/>
      <c r="S784" s="2036"/>
      <c r="T784" s="2036"/>
      <c r="U784" s="2036"/>
      <c r="V784" s="2036"/>
      <c r="W784" s="2036"/>
      <c r="X784" s="2036"/>
      <c r="Y784" s="2036"/>
      <c r="Z784" s="2036"/>
      <c r="AA784" s="2036"/>
      <c r="AB784" s="2036"/>
      <c r="AC784" s="100">
        <v>0</v>
      </c>
      <c r="AD784" s="19">
        <v>0</v>
      </c>
      <c r="AE784" s="19">
        <v>0</v>
      </c>
      <c r="AF784" s="19">
        <v>0</v>
      </c>
      <c r="AG784" s="19">
        <v>0</v>
      </c>
      <c r="AH784" s="19">
        <v>0</v>
      </c>
      <c r="AI784" s="100">
        <v>0</v>
      </c>
    </row>
    <row r="785" spans="1:35">
      <c r="A785" s="1001">
        <v>718</v>
      </c>
      <c r="B785" s="1001">
        <v>1</v>
      </c>
      <c r="C785" s="1001">
        <v>785</v>
      </c>
      <c r="D785" s="1121"/>
      <c r="E785" s="1243">
        <v>1</v>
      </c>
      <c r="G785" s="24"/>
      <c r="I785" s="98"/>
      <c r="J785" s="97"/>
      <c r="K785" s="69"/>
      <c r="L785" s="69"/>
      <c r="M785" s="4" t="s">
        <v>1527</v>
      </c>
      <c r="Q785" s="2036"/>
      <c r="R785" s="2040"/>
      <c r="S785" s="2036"/>
      <c r="T785" s="2036"/>
      <c r="U785" s="2036"/>
      <c r="V785" s="2036"/>
      <c r="W785" s="2036"/>
      <c r="X785" s="2036"/>
      <c r="Y785" s="2036"/>
      <c r="Z785" s="2036"/>
      <c r="AA785" s="2036"/>
      <c r="AB785" s="2036"/>
      <c r="AC785" s="100">
        <v>0</v>
      </c>
      <c r="AD785" s="19">
        <v>0</v>
      </c>
      <c r="AE785" s="19">
        <v>0</v>
      </c>
      <c r="AF785" s="19">
        <v>0</v>
      </c>
      <c r="AG785" s="19">
        <v>0</v>
      </c>
      <c r="AH785" s="19">
        <v>0</v>
      </c>
      <c r="AI785" s="100">
        <v>0</v>
      </c>
    </row>
    <row r="786" spans="1:35">
      <c r="A786" s="1001">
        <v>719</v>
      </c>
      <c r="B786" s="1001">
        <v>1</v>
      </c>
      <c r="C786" s="1001">
        <v>786</v>
      </c>
      <c r="D786" s="1121"/>
      <c r="E786" s="1243">
        <v>1</v>
      </c>
      <c r="G786" s="24"/>
      <c r="I786" s="98"/>
      <c r="J786" s="97"/>
      <c r="K786" s="69"/>
      <c r="L786" s="69"/>
      <c r="M786" s="4" t="s">
        <v>13</v>
      </c>
      <c r="Q786" s="2036"/>
      <c r="R786" s="2040"/>
      <c r="S786" s="2036"/>
      <c r="T786" s="2036"/>
      <c r="U786" s="2036"/>
      <c r="V786" s="2036"/>
      <c r="W786" s="2036"/>
      <c r="X786" s="2036"/>
      <c r="Y786" s="2036"/>
      <c r="Z786" s="2036"/>
      <c r="AA786" s="2036"/>
      <c r="AB786" s="2036"/>
      <c r="AC786" s="100">
        <v>0</v>
      </c>
      <c r="AD786" s="19">
        <v>0</v>
      </c>
      <c r="AE786" s="19">
        <v>0</v>
      </c>
      <c r="AF786" s="19">
        <v>0</v>
      </c>
      <c r="AG786" s="19">
        <v>0</v>
      </c>
      <c r="AH786" s="19">
        <v>0</v>
      </c>
      <c r="AI786" s="100">
        <v>0</v>
      </c>
    </row>
    <row r="787" spans="1:35" s="75" customFormat="1">
      <c r="A787" s="990">
        <v>720</v>
      </c>
      <c r="B787" s="990">
        <v>1</v>
      </c>
      <c r="C787" s="990">
        <v>787</v>
      </c>
      <c r="E787" s="1243">
        <v>1</v>
      </c>
      <c r="F787" s="10"/>
      <c r="G787" s="24"/>
      <c r="H787" s="24"/>
      <c r="I787" s="98"/>
      <c r="J787" s="97"/>
      <c r="K787" s="69"/>
      <c r="L787" s="69"/>
      <c r="M787" s="4" t="s">
        <v>1156</v>
      </c>
      <c r="N787" s="9"/>
      <c r="O787" s="9"/>
      <c r="P787" s="9"/>
      <c r="Q787" s="2036"/>
      <c r="R787" s="2040"/>
      <c r="S787" s="2036"/>
      <c r="T787" s="2036"/>
      <c r="U787" s="2036"/>
      <c r="V787" s="2036"/>
      <c r="W787" s="2036"/>
      <c r="X787" s="2036"/>
      <c r="Y787" s="2036"/>
      <c r="Z787" s="2036"/>
      <c r="AA787" s="2036"/>
      <c r="AB787" s="2036"/>
      <c r="AC787" s="100">
        <v>0</v>
      </c>
      <c r="AD787" s="19">
        <v>0</v>
      </c>
      <c r="AE787" s="19">
        <v>0</v>
      </c>
      <c r="AF787" s="19">
        <v>0</v>
      </c>
      <c r="AG787" s="19">
        <v>0</v>
      </c>
      <c r="AH787" s="19">
        <v>0</v>
      </c>
      <c r="AI787" s="100">
        <v>0</v>
      </c>
    </row>
    <row r="788" spans="1:35">
      <c r="A788" s="990">
        <v>1</v>
      </c>
      <c r="B788" s="990">
        <v>1</v>
      </c>
      <c r="C788" s="990">
        <v>788</v>
      </c>
      <c r="E788" s="1243">
        <v>1</v>
      </c>
      <c r="G788" s="24"/>
      <c r="I788" s="98"/>
      <c r="J788" s="97"/>
      <c r="K788" s="69"/>
      <c r="L788" s="69"/>
      <c r="M788" s="4" t="s">
        <v>1528</v>
      </c>
      <c r="Q788" s="2036"/>
      <c r="R788" s="2040"/>
      <c r="S788" s="2036"/>
      <c r="T788" s="2036"/>
      <c r="U788" s="2036"/>
      <c r="V788" s="2036"/>
      <c r="W788" s="2036"/>
      <c r="X788" s="2036"/>
      <c r="Y788" s="2036"/>
      <c r="Z788" s="2036"/>
      <c r="AA788" s="2036"/>
      <c r="AB788" s="2036"/>
      <c r="AC788" s="100">
        <v>0</v>
      </c>
      <c r="AD788" s="19">
        <v>0</v>
      </c>
      <c r="AE788" s="19">
        <v>0</v>
      </c>
      <c r="AF788" s="19">
        <v>0</v>
      </c>
      <c r="AG788" s="19">
        <v>0</v>
      </c>
      <c r="AH788" s="19">
        <v>0</v>
      </c>
      <c r="AI788" s="100">
        <v>0</v>
      </c>
    </row>
    <row r="789" spans="1:35">
      <c r="A789" s="990">
        <v>1</v>
      </c>
      <c r="B789" s="990">
        <v>1</v>
      </c>
      <c r="C789" s="990">
        <v>789</v>
      </c>
      <c r="D789" s="1121"/>
      <c r="E789" s="1243">
        <v>1</v>
      </c>
      <c r="G789" s="24"/>
      <c r="I789" s="98"/>
      <c r="J789" s="97"/>
      <c r="K789" s="69"/>
      <c r="L789" s="69"/>
      <c r="M789" s="4" t="s">
        <v>1529</v>
      </c>
      <c r="N789" s="75"/>
      <c r="O789" s="75"/>
      <c r="P789" s="75"/>
      <c r="Q789" s="2036"/>
      <c r="R789" s="2040"/>
      <c r="S789" s="2036"/>
      <c r="T789" s="2036"/>
      <c r="U789" s="2036"/>
      <c r="V789" s="2036"/>
      <c r="W789" s="2036"/>
      <c r="X789" s="2036"/>
      <c r="Y789" s="2036"/>
      <c r="Z789" s="2036"/>
      <c r="AA789" s="2036"/>
      <c r="AB789" s="2036"/>
      <c r="AC789" s="100">
        <v>0</v>
      </c>
      <c r="AD789" s="19">
        <v>0</v>
      </c>
      <c r="AE789" s="19">
        <v>0</v>
      </c>
      <c r="AF789" s="19">
        <v>0</v>
      </c>
      <c r="AG789" s="19">
        <v>0</v>
      </c>
      <c r="AH789" s="19">
        <v>0</v>
      </c>
      <c r="AI789" s="100">
        <v>0</v>
      </c>
    </row>
    <row r="790" spans="1:35" s="38" customFormat="1">
      <c r="A790" s="990">
        <v>722</v>
      </c>
      <c r="B790" s="990">
        <v>1</v>
      </c>
      <c r="C790" s="990">
        <v>790</v>
      </c>
      <c r="D790" s="1121"/>
      <c r="E790" s="1243">
        <v>1</v>
      </c>
      <c r="F790" s="10"/>
      <c r="G790" s="10"/>
      <c r="H790" s="24"/>
      <c r="I790" s="16" t="s">
        <v>134</v>
      </c>
      <c r="J790" s="789"/>
      <c r="K790" s="580"/>
      <c r="L790" s="580"/>
      <c r="M790" s="580"/>
      <c r="N790" s="580"/>
      <c r="O790" s="580"/>
      <c r="P790" s="580"/>
      <c r="Q790" s="2063">
        <v>0</v>
      </c>
      <c r="R790" s="2643">
        <v>0</v>
      </c>
      <c r="S790" s="2063">
        <v>0</v>
      </c>
      <c r="T790" s="2063">
        <v>0</v>
      </c>
      <c r="U790" s="2063">
        <v>0</v>
      </c>
      <c r="V790" s="2063">
        <v>0</v>
      </c>
      <c r="W790" s="2063">
        <v>0</v>
      </c>
      <c r="X790" s="2063">
        <v>0</v>
      </c>
      <c r="Y790" s="2063">
        <v>0</v>
      </c>
      <c r="Z790" s="2063">
        <v>0</v>
      </c>
      <c r="AA790" s="2063">
        <v>0</v>
      </c>
      <c r="AB790" s="2063">
        <v>0</v>
      </c>
      <c r="AC790" s="101">
        <v>0</v>
      </c>
      <c r="AD790" s="2063">
        <v>0</v>
      </c>
      <c r="AE790" s="2063">
        <v>0</v>
      </c>
      <c r="AF790" s="2063">
        <v>0</v>
      </c>
      <c r="AG790" s="2063">
        <v>0</v>
      </c>
      <c r="AH790" s="2063">
        <v>0</v>
      </c>
      <c r="AI790" s="101">
        <v>0</v>
      </c>
    </row>
    <row r="791" spans="1:35" s="38" customFormat="1">
      <c r="A791" s="990">
        <v>723</v>
      </c>
      <c r="B791" s="990">
        <v>1</v>
      </c>
      <c r="C791" s="990">
        <v>791</v>
      </c>
      <c r="D791" s="1121"/>
      <c r="E791" s="1243">
        <v>1</v>
      </c>
      <c r="F791" s="10"/>
      <c r="G791" s="10"/>
      <c r="H791" s="24"/>
      <c r="I791" s="98"/>
      <c r="J791" s="97"/>
      <c r="K791" s="74" t="s">
        <v>1022</v>
      </c>
      <c r="L791" s="74"/>
      <c r="M791" s="565"/>
      <c r="N791" s="357"/>
      <c r="O791" s="357"/>
      <c r="P791" s="357"/>
      <c r="Q791" s="359">
        <v>0</v>
      </c>
      <c r="R791" s="2064">
        <v>0</v>
      </c>
      <c r="S791" s="359">
        <v>0</v>
      </c>
      <c r="T791" s="359">
        <v>0</v>
      </c>
      <c r="U791" s="359">
        <v>0</v>
      </c>
      <c r="V791" s="359">
        <v>0</v>
      </c>
      <c r="W791" s="359">
        <v>0</v>
      </c>
      <c r="X791" s="359">
        <v>0</v>
      </c>
      <c r="Y791" s="359">
        <v>0</v>
      </c>
      <c r="Z791" s="359">
        <v>0</v>
      </c>
      <c r="AA791" s="359">
        <v>0</v>
      </c>
      <c r="AB791" s="359">
        <v>0</v>
      </c>
      <c r="AC791" s="407">
        <v>0</v>
      </c>
      <c r="AD791" s="359">
        <v>0</v>
      </c>
      <c r="AE791" s="359">
        <v>0</v>
      </c>
      <c r="AF791" s="359">
        <v>0</v>
      </c>
      <c r="AG791" s="359">
        <v>0</v>
      </c>
      <c r="AH791" s="359">
        <v>0</v>
      </c>
      <c r="AI791" s="407">
        <v>0</v>
      </c>
    </row>
    <row r="792" spans="1:35" s="820" customFormat="1">
      <c r="A792" s="990">
        <v>724</v>
      </c>
      <c r="B792" s="990">
        <v>1</v>
      </c>
      <c r="C792" s="990">
        <v>792</v>
      </c>
      <c r="D792" s="1121"/>
      <c r="E792" s="1243">
        <v>1</v>
      </c>
      <c r="F792" s="10"/>
      <c r="G792" s="1241"/>
      <c r="H792" s="24"/>
      <c r="I792" s="98"/>
      <c r="J792" s="97"/>
      <c r="K792" s="74"/>
      <c r="L792" s="74"/>
      <c r="M792" s="9" t="s">
        <v>12</v>
      </c>
      <c r="N792" s="362"/>
      <c r="O792" s="362"/>
      <c r="P792" s="362"/>
      <c r="Q792" s="361">
        <v>0</v>
      </c>
      <c r="R792" s="2054">
        <v>0</v>
      </c>
      <c r="S792" s="361">
        <v>0</v>
      </c>
      <c r="T792" s="361">
        <v>0</v>
      </c>
      <c r="U792" s="361">
        <v>0</v>
      </c>
      <c r="V792" s="361">
        <v>0</v>
      </c>
      <c r="W792" s="361">
        <v>0</v>
      </c>
      <c r="X792" s="361">
        <v>0</v>
      </c>
      <c r="Y792" s="361">
        <v>0</v>
      </c>
      <c r="Z792" s="361">
        <v>0</v>
      </c>
      <c r="AA792" s="361">
        <v>0</v>
      </c>
      <c r="AB792" s="361">
        <v>0</v>
      </c>
      <c r="AC792" s="375">
        <v>0</v>
      </c>
      <c r="AD792" s="361">
        <v>0</v>
      </c>
      <c r="AE792" s="361">
        <v>0</v>
      </c>
      <c r="AF792" s="361">
        <v>0</v>
      </c>
      <c r="AG792" s="361">
        <v>0</v>
      </c>
      <c r="AH792" s="361">
        <v>0</v>
      </c>
      <c r="AI792" s="375">
        <v>0</v>
      </c>
    </row>
    <row r="793" spans="1:35" s="38" customFormat="1">
      <c r="A793" s="990">
        <v>725</v>
      </c>
      <c r="B793" s="990">
        <v>1</v>
      </c>
      <c r="C793" s="990">
        <v>793</v>
      </c>
      <c r="D793" s="1121"/>
      <c r="E793" s="1243">
        <v>1</v>
      </c>
      <c r="F793" s="10"/>
      <c r="G793" s="1241"/>
      <c r="H793" s="24"/>
      <c r="I793" s="98"/>
      <c r="J793" s="97"/>
      <c r="K793" s="74"/>
      <c r="L793" s="74"/>
      <c r="M793" s="9"/>
      <c r="N793" s="111" t="s">
        <v>903</v>
      </c>
      <c r="O793" s="111"/>
      <c r="P793" s="111"/>
      <c r="Q793" s="2042"/>
      <c r="R793" s="2055"/>
      <c r="S793" s="2042"/>
      <c r="T793" s="2042"/>
      <c r="U793" s="2042"/>
      <c r="V793" s="2042"/>
      <c r="W793" s="2042"/>
      <c r="X793" s="2042"/>
      <c r="Y793" s="2042"/>
      <c r="Z793" s="2042"/>
      <c r="AA793" s="2042"/>
      <c r="AB793" s="2042"/>
      <c r="AC793" s="376">
        <v>0</v>
      </c>
      <c r="AD793" s="109">
        <v>0</v>
      </c>
      <c r="AE793" s="109">
        <v>0</v>
      </c>
      <c r="AF793" s="109">
        <v>0</v>
      </c>
      <c r="AG793" s="109">
        <v>0</v>
      </c>
      <c r="AH793" s="109">
        <v>0</v>
      </c>
      <c r="AI793" s="376">
        <v>0</v>
      </c>
    </row>
    <row r="794" spans="1:35" s="38" customFormat="1">
      <c r="A794" s="990">
        <v>726</v>
      </c>
      <c r="B794" s="990">
        <v>1</v>
      </c>
      <c r="C794" s="990">
        <v>794</v>
      </c>
      <c r="E794" s="1243">
        <v>1</v>
      </c>
      <c r="F794" s="10"/>
      <c r="G794" s="1241"/>
      <c r="H794" s="24"/>
      <c r="I794" s="98"/>
      <c r="J794" s="97"/>
      <c r="K794" s="74"/>
      <c r="L794" s="74"/>
      <c r="M794" s="9"/>
      <c r="N794" s="9" t="s">
        <v>904</v>
      </c>
      <c r="O794" s="9"/>
      <c r="P794" s="9"/>
      <c r="Q794" s="2036"/>
      <c r="R794" s="2040"/>
      <c r="S794" s="2036"/>
      <c r="T794" s="2036"/>
      <c r="U794" s="2036"/>
      <c r="V794" s="2036"/>
      <c r="W794" s="2036"/>
      <c r="X794" s="2036"/>
      <c r="Y794" s="2036"/>
      <c r="Z794" s="2036"/>
      <c r="AA794" s="2036"/>
      <c r="AB794" s="2036"/>
      <c r="AC794" s="100">
        <v>0</v>
      </c>
      <c r="AD794" s="19">
        <v>0</v>
      </c>
      <c r="AE794" s="19">
        <v>0</v>
      </c>
      <c r="AF794" s="19">
        <v>0</v>
      </c>
      <c r="AG794" s="19">
        <v>0</v>
      </c>
      <c r="AH794" s="19">
        <v>0</v>
      </c>
      <c r="AI794" s="100">
        <v>0</v>
      </c>
    </row>
    <row r="795" spans="1:35" s="38" customFormat="1">
      <c r="A795" s="990">
        <v>727</v>
      </c>
      <c r="B795" s="990">
        <v>1</v>
      </c>
      <c r="C795" s="990">
        <v>795</v>
      </c>
      <c r="E795" s="1243">
        <v>1</v>
      </c>
      <c r="F795" s="10"/>
      <c r="G795" s="1241"/>
      <c r="H795" s="24"/>
      <c r="I795" s="98"/>
      <c r="J795" s="97"/>
      <c r="K795" s="74"/>
      <c r="L795" s="74"/>
      <c r="M795" s="9"/>
      <c r="N795" s="9" t="s">
        <v>905</v>
      </c>
      <c r="O795" s="9"/>
      <c r="P795" s="9"/>
      <c r="Q795" s="2036"/>
      <c r="R795" s="2040"/>
      <c r="S795" s="2036"/>
      <c r="T795" s="2036"/>
      <c r="U795" s="2036"/>
      <c r="V795" s="2036"/>
      <c r="W795" s="2036"/>
      <c r="X795" s="2036"/>
      <c r="Y795" s="2036"/>
      <c r="Z795" s="2036"/>
      <c r="AA795" s="2036"/>
      <c r="AB795" s="2036"/>
      <c r="AC795" s="100">
        <v>0</v>
      </c>
      <c r="AD795" s="19">
        <v>0</v>
      </c>
      <c r="AE795" s="19">
        <v>0</v>
      </c>
      <c r="AF795" s="19">
        <v>0</v>
      </c>
      <c r="AG795" s="19">
        <v>0</v>
      </c>
      <c r="AH795" s="19">
        <v>0</v>
      </c>
      <c r="AI795" s="100">
        <v>0</v>
      </c>
    </row>
    <row r="796" spans="1:35" s="38" customFormat="1">
      <c r="A796" s="990">
        <v>728</v>
      </c>
      <c r="B796" s="990">
        <v>1</v>
      </c>
      <c r="C796" s="990">
        <v>796</v>
      </c>
      <c r="E796" s="1243">
        <v>1</v>
      </c>
      <c r="F796" s="10"/>
      <c r="G796" s="1241"/>
      <c r="H796" s="24"/>
      <c r="I796" s="98"/>
      <c r="J796" s="97"/>
      <c r="K796" s="74"/>
      <c r="L796" s="74"/>
      <c r="M796" s="12"/>
      <c r="N796" s="9" t="s">
        <v>906</v>
      </c>
      <c r="O796" s="9"/>
      <c r="P796" s="12"/>
      <c r="Q796" s="2037"/>
      <c r="R796" s="2041"/>
      <c r="S796" s="2037"/>
      <c r="T796" s="2037"/>
      <c r="U796" s="2037"/>
      <c r="V796" s="2037"/>
      <c r="W796" s="2037"/>
      <c r="X796" s="2037"/>
      <c r="Y796" s="2037"/>
      <c r="Z796" s="2037"/>
      <c r="AA796" s="2037"/>
      <c r="AB796" s="2037"/>
      <c r="AC796" s="99">
        <v>0</v>
      </c>
      <c r="AD796" s="17">
        <v>0</v>
      </c>
      <c r="AE796" s="17">
        <v>0</v>
      </c>
      <c r="AF796" s="17">
        <v>0</v>
      </c>
      <c r="AG796" s="17">
        <v>0</v>
      </c>
      <c r="AH796" s="17">
        <v>0</v>
      </c>
      <c r="AI796" s="99">
        <v>0</v>
      </c>
    </row>
    <row r="797" spans="1:35" s="38" customFormat="1">
      <c r="A797" s="990">
        <v>729</v>
      </c>
      <c r="B797" s="990">
        <v>1</v>
      </c>
      <c r="C797" s="990">
        <v>797</v>
      </c>
      <c r="E797" s="1243">
        <v>1</v>
      </c>
      <c r="F797" s="10"/>
      <c r="G797" s="24"/>
      <c r="H797" s="24"/>
      <c r="I797" s="98"/>
      <c r="J797" s="97"/>
      <c r="K797" s="74"/>
      <c r="L797" s="74"/>
      <c r="M797" s="4" t="s">
        <v>1527</v>
      </c>
      <c r="N797" s="362"/>
      <c r="O797" s="362"/>
      <c r="P797" s="363"/>
      <c r="Q797" s="365">
        <v>0</v>
      </c>
      <c r="R797" s="2065">
        <v>0</v>
      </c>
      <c r="S797" s="365">
        <v>0</v>
      </c>
      <c r="T797" s="365">
        <v>0</v>
      </c>
      <c r="U797" s="365">
        <v>0</v>
      </c>
      <c r="V797" s="365">
        <v>0</v>
      </c>
      <c r="W797" s="365">
        <v>0</v>
      </c>
      <c r="X797" s="365">
        <v>0</v>
      </c>
      <c r="Y797" s="365">
        <v>0</v>
      </c>
      <c r="Z797" s="365">
        <v>0</v>
      </c>
      <c r="AA797" s="365">
        <v>0</v>
      </c>
      <c r="AB797" s="365">
        <v>0</v>
      </c>
      <c r="AC797" s="408">
        <v>0</v>
      </c>
      <c r="AD797" s="365">
        <v>0</v>
      </c>
      <c r="AE797" s="365">
        <v>0</v>
      </c>
      <c r="AF797" s="365">
        <v>0</v>
      </c>
      <c r="AG797" s="365">
        <v>0</v>
      </c>
      <c r="AH797" s="365">
        <v>0</v>
      </c>
      <c r="AI797" s="408">
        <v>0</v>
      </c>
    </row>
    <row r="798" spans="1:35" s="38" customFormat="1">
      <c r="A798" s="990">
        <v>730</v>
      </c>
      <c r="B798" s="990">
        <v>1</v>
      </c>
      <c r="C798" s="990">
        <v>798</v>
      </c>
      <c r="D798" s="1121"/>
      <c r="E798" s="1243">
        <v>1</v>
      </c>
      <c r="F798" s="10"/>
      <c r="G798" s="24"/>
      <c r="H798" s="24"/>
      <c r="I798" s="98"/>
      <c r="J798" s="97"/>
      <c r="K798" s="74"/>
      <c r="L798" s="74"/>
      <c r="M798" s="9"/>
      <c r="N798" s="111" t="s">
        <v>903</v>
      </c>
      <c r="O798" s="111"/>
      <c r="P798" s="111"/>
      <c r="Q798" s="2042"/>
      <c r="R798" s="2055"/>
      <c r="S798" s="2042"/>
      <c r="T798" s="2042"/>
      <c r="U798" s="2042"/>
      <c r="V798" s="2042"/>
      <c r="W798" s="2042"/>
      <c r="X798" s="2042"/>
      <c r="Y798" s="2042"/>
      <c r="Z798" s="2042"/>
      <c r="AA798" s="2042"/>
      <c r="AB798" s="2042"/>
      <c r="AC798" s="376">
        <v>0</v>
      </c>
      <c r="AD798" s="109">
        <v>0</v>
      </c>
      <c r="AE798" s="109">
        <v>0</v>
      </c>
      <c r="AF798" s="109">
        <v>0</v>
      </c>
      <c r="AG798" s="109">
        <v>0</v>
      </c>
      <c r="AH798" s="109">
        <v>0</v>
      </c>
      <c r="AI798" s="376">
        <v>0</v>
      </c>
    </row>
    <row r="799" spans="1:35" s="38" customFormat="1">
      <c r="A799" s="990">
        <v>731</v>
      </c>
      <c r="B799" s="990">
        <v>1</v>
      </c>
      <c r="C799" s="990">
        <v>799</v>
      </c>
      <c r="E799" s="1243">
        <v>1</v>
      </c>
      <c r="F799" s="10"/>
      <c r="G799" s="24"/>
      <c r="H799" s="24"/>
      <c r="I799" s="98"/>
      <c r="J799" s="97"/>
      <c r="K799" s="74"/>
      <c r="L799" s="74"/>
      <c r="M799" s="9"/>
      <c r="N799" s="9" t="s">
        <v>904</v>
      </c>
      <c r="O799" s="9"/>
      <c r="P799" s="9"/>
      <c r="Q799" s="2036"/>
      <c r="R799" s="2040"/>
      <c r="S799" s="2036"/>
      <c r="T799" s="2036"/>
      <c r="U799" s="2036"/>
      <c r="V799" s="2036"/>
      <c r="W799" s="2036"/>
      <c r="X799" s="2036"/>
      <c r="Y799" s="2036"/>
      <c r="Z799" s="2036"/>
      <c r="AA799" s="2036"/>
      <c r="AB799" s="2036"/>
      <c r="AC799" s="100">
        <v>0</v>
      </c>
      <c r="AD799" s="19">
        <v>0</v>
      </c>
      <c r="AE799" s="19">
        <v>0</v>
      </c>
      <c r="AF799" s="19">
        <v>0</v>
      </c>
      <c r="AG799" s="19">
        <v>0</v>
      </c>
      <c r="AH799" s="19">
        <v>0</v>
      </c>
      <c r="AI799" s="100">
        <v>0</v>
      </c>
    </row>
    <row r="800" spans="1:35" s="38" customFormat="1">
      <c r="A800" s="990">
        <v>732</v>
      </c>
      <c r="B800" s="990">
        <v>1</v>
      </c>
      <c r="C800" s="990">
        <v>800</v>
      </c>
      <c r="E800" s="1243">
        <v>1</v>
      </c>
      <c r="F800" s="10"/>
      <c r="G800" s="24"/>
      <c r="H800" s="24"/>
      <c r="I800" s="98"/>
      <c r="J800" s="97"/>
      <c r="K800" s="74"/>
      <c r="L800" s="74"/>
      <c r="M800" s="9"/>
      <c r="N800" s="9" t="s">
        <v>905</v>
      </c>
      <c r="O800" s="9"/>
      <c r="P800" s="9"/>
      <c r="Q800" s="2036"/>
      <c r="R800" s="2036"/>
      <c r="S800" s="2036"/>
      <c r="T800" s="2036"/>
      <c r="U800" s="2036"/>
      <c r="V800" s="2036"/>
      <c r="W800" s="2036"/>
      <c r="X800" s="2036"/>
      <c r="Y800" s="2036"/>
      <c r="Z800" s="2036"/>
      <c r="AA800" s="2036"/>
      <c r="AB800" s="2036"/>
      <c r="AC800" s="100">
        <v>0</v>
      </c>
      <c r="AD800" s="19">
        <v>0</v>
      </c>
      <c r="AE800" s="19">
        <v>0</v>
      </c>
      <c r="AF800" s="19">
        <v>0</v>
      </c>
      <c r="AG800" s="19">
        <v>0</v>
      </c>
      <c r="AH800" s="19">
        <v>0</v>
      </c>
      <c r="AI800" s="100">
        <v>0</v>
      </c>
    </row>
    <row r="801" spans="1:35" s="38" customFormat="1">
      <c r="A801" s="990">
        <v>733</v>
      </c>
      <c r="B801" s="990">
        <v>1</v>
      </c>
      <c r="C801" s="990">
        <v>801</v>
      </c>
      <c r="E801" s="1243">
        <v>1</v>
      </c>
      <c r="F801" s="10"/>
      <c r="G801" s="24"/>
      <c r="H801" s="24"/>
      <c r="I801" s="98"/>
      <c r="J801" s="97"/>
      <c r="K801" s="74"/>
      <c r="L801" s="74"/>
      <c r="M801" s="9"/>
      <c r="N801" s="9" t="s">
        <v>906</v>
      </c>
      <c r="O801" s="9"/>
      <c r="P801" s="12"/>
      <c r="Q801" s="2037"/>
      <c r="R801" s="2037"/>
      <c r="S801" s="2037"/>
      <c r="T801" s="2037"/>
      <c r="U801" s="2037"/>
      <c r="V801" s="2037"/>
      <c r="W801" s="2037"/>
      <c r="X801" s="2037"/>
      <c r="Y801" s="2037"/>
      <c r="Z801" s="2037"/>
      <c r="AA801" s="2037"/>
      <c r="AB801" s="2037"/>
      <c r="AC801" s="99">
        <v>0</v>
      </c>
      <c r="AD801" s="17">
        <v>0</v>
      </c>
      <c r="AE801" s="17">
        <v>0</v>
      </c>
      <c r="AF801" s="17">
        <v>0</v>
      </c>
      <c r="AG801" s="17">
        <v>0</v>
      </c>
      <c r="AH801" s="17">
        <v>0</v>
      </c>
      <c r="AI801" s="99">
        <v>0</v>
      </c>
    </row>
    <row r="802" spans="1:35" s="38" customFormat="1">
      <c r="A802" s="990">
        <v>734</v>
      </c>
      <c r="B802" s="990">
        <v>1</v>
      </c>
      <c r="C802" s="990">
        <v>802</v>
      </c>
      <c r="E802" s="1243">
        <v>1</v>
      </c>
      <c r="F802" s="10"/>
      <c r="G802" s="24"/>
      <c r="H802" s="24"/>
      <c r="I802" s="98"/>
      <c r="J802" s="97"/>
      <c r="K802" s="74"/>
      <c r="L802" s="74"/>
      <c r="M802" s="596" t="s">
        <v>13</v>
      </c>
      <c r="N802" s="362"/>
      <c r="O802" s="362"/>
      <c r="P802" s="362"/>
      <c r="Q802" s="365">
        <v>0</v>
      </c>
      <c r="R802" s="2065">
        <v>0</v>
      </c>
      <c r="S802" s="365">
        <v>0</v>
      </c>
      <c r="T802" s="365">
        <v>0</v>
      </c>
      <c r="U802" s="365">
        <v>0</v>
      </c>
      <c r="V802" s="365">
        <v>0</v>
      </c>
      <c r="W802" s="365">
        <v>0</v>
      </c>
      <c r="X802" s="365">
        <v>0</v>
      </c>
      <c r="Y802" s="365">
        <v>0</v>
      </c>
      <c r="Z802" s="365">
        <v>0</v>
      </c>
      <c r="AA802" s="365">
        <v>0</v>
      </c>
      <c r="AB802" s="365">
        <v>0</v>
      </c>
      <c r="AC802" s="408">
        <v>0</v>
      </c>
      <c r="AD802" s="365">
        <v>0</v>
      </c>
      <c r="AE802" s="365">
        <v>0</v>
      </c>
      <c r="AF802" s="365">
        <v>0</v>
      </c>
      <c r="AG802" s="365">
        <v>0</v>
      </c>
      <c r="AH802" s="365">
        <v>0</v>
      </c>
      <c r="AI802" s="408">
        <v>0</v>
      </c>
    </row>
    <row r="803" spans="1:35" s="38" customFormat="1">
      <c r="A803" s="990">
        <v>735</v>
      </c>
      <c r="B803" s="990">
        <v>1</v>
      </c>
      <c r="C803" s="990">
        <v>803</v>
      </c>
      <c r="E803" s="1243">
        <v>1</v>
      </c>
      <c r="F803" s="10"/>
      <c r="G803" s="24"/>
      <c r="H803" s="24"/>
      <c r="I803" s="98"/>
      <c r="J803" s="97"/>
      <c r="K803" s="74"/>
      <c r="L803" s="74"/>
      <c r="M803" s="9"/>
      <c r="N803" s="111" t="s">
        <v>903</v>
      </c>
      <c r="O803" s="111"/>
      <c r="P803" s="111"/>
      <c r="Q803" s="2042"/>
      <c r="R803" s="2055"/>
      <c r="S803" s="2042"/>
      <c r="T803" s="2042"/>
      <c r="U803" s="2042"/>
      <c r="V803" s="2042"/>
      <c r="W803" s="2042"/>
      <c r="X803" s="2042"/>
      <c r="Y803" s="2042"/>
      <c r="Z803" s="2042"/>
      <c r="AA803" s="2042"/>
      <c r="AB803" s="2042"/>
      <c r="AC803" s="376">
        <v>0</v>
      </c>
      <c r="AD803" s="109">
        <v>0</v>
      </c>
      <c r="AE803" s="109">
        <v>0</v>
      </c>
      <c r="AF803" s="109">
        <v>0</v>
      </c>
      <c r="AG803" s="109">
        <v>0</v>
      </c>
      <c r="AH803" s="109">
        <v>0</v>
      </c>
      <c r="AI803" s="376">
        <v>0</v>
      </c>
    </row>
    <row r="804" spans="1:35" s="38" customFormat="1">
      <c r="A804" s="990">
        <v>736</v>
      </c>
      <c r="B804" s="990">
        <v>1</v>
      </c>
      <c r="C804" s="990">
        <v>804</v>
      </c>
      <c r="D804" s="1121"/>
      <c r="E804" s="1243">
        <v>1</v>
      </c>
      <c r="F804" s="10"/>
      <c r="G804" s="24"/>
      <c r="H804" s="24"/>
      <c r="I804" s="98"/>
      <c r="J804" s="97"/>
      <c r="K804" s="74"/>
      <c r="L804" s="74"/>
      <c r="M804" s="9"/>
      <c r="N804" s="9" t="s">
        <v>904</v>
      </c>
      <c r="O804" s="9"/>
      <c r="P804" s="9"/>
      <c r="Q804" s="2036"/>
      <c r="R804" s="2040"/>
      <c r="S804" s="2036"/>
      <c r="T804" s="2036"/>
      <c r="U804" s="2036"/>
      <c r="V804" s="2036"/>
      <c r="W804" s="2036"/>
      <c r="X804" s="2036"/>
      <c r="Y804" s="2036"/>
      <c r="Z804" s="2036"/>
      <c r="AA804" s="2036"/>
      <c r="AB804" s="2036"/>
      <c r="AC804" s="100">
        <v>0</v>
      </c>
      <c r="AD804" s="19">
        <v>0</v>
      </c>
      <c r="AE804" s="19">
        <v>0</v>
      </c>
      <c r="AF804" s="19">
        <v>0</v>
      </c>
      <c r="AG804" s="19">
        <v>0</v>
      </c>
      <c r="AH804" s="19">
        <v>0</v>
      </c>
      <c r="AI804" s="100">
        <v>0</v>
      </c>
    </row>
    <row r="805" spans="1:35" s="38" customFormat="1">
      <c r="A805" s="990">
        <v>737</v>
      </c>
      <c r="B805" s="990">
        <v>1</v>
      </c>
      <c r="C805" s="990">
        <v>805</v>
      </c>
      <c r="E805" s="1243">
        <v>1</v>
      </c>
      <c r="F805" s="10"/>
      <c r="G805" s="24"/>
      <c r="H805" s="24"/>
      <c r="I805" s="98"/>
      <c r="J805" s="97"/>
      <c r="K805" s="74"/>
      <c r="L805" s="74"/>
      <c r="M805" s="9"/>
      <c r="N805" s="9" t="s">
        <v>905</v>
      </c>
      <c r="O805" s="9"/>
      <c r="P805" s="9"/>
      <c r="Q805" s="2036"/>
      <c r="R805" s="2036"/>
      <c r="S805" s="2036"/>
      <c r="T805" s="2036"/>
      <c r="U805" s="2036"/>
      <c r="V805" s="2036"/>
      <c r="W805" s="2036"/>
      <c r="X805" s="2036"/>
      <c r="Y805" s="2036"/>
      <c r="Z805" s="2036"/>
      <c r="AA805" s="2036"/>
      <c r="AB805" s="2036"/>
      <c r="AC805" s="100">
        <v>0</v>
      </c>
      <c r="AD805" s="19">
        <v>0</v>
      </c>
      <c r="AE805" s="19">
        <v>0</v>
      </c>
      <c r="AF805" s="19">
        <v>0</v>
      </c>
      <c r="AG805" s="19">
        <v>0</v>
      </c>
      <c r="AH805" s="19">
        <v>0</v>
      </c>
      <c r="AI805" s="100">
        <v>0</v>
      </c>
    </row>
    <row r="806" spans="1:35" s="38" customFormat="1">
      <c r="A806" s="990">
        <v>738</v>
      </c>
      <c r="B806" s="990">
        <v>1</v>
      </c>
      <c r="C806" s="990">
        <v>806</v>
      </c>
      <c r="E806" s="1243">
        <v>1</v>
      </c>
      <c r="F806" s="10"/>
      <c r="G806" s="24"/>
      <c r="H806" s="24"/>
      <c r="I806" s="98"/>
      <c r="J806" s="97"/>
      <c r="K806" s="74"/>
      <c r="L806" s="74"/>
      <c r="M806" s="9"/>
      <c r="N806" s="9" t="s">
        <v>906</v>
      </c>
      <c r="O806" s="9"/>
      <c r="P806" s="12"/>
      <c r="Q806" s="2037"/>
      <c r="R806" s="2037"/>
      <c r="S806" s="2037"/>
      <c r="T806" s="2037"/>
      <c r="U806" s="2037"/>
      <c r="V806" s="2037"/>
      <c r="W806" s="2037"/>
      <c r="X806" s="2037"/>
      <c r="Y806" s="2037"/>
      <c r="Z806" s="2037"/>
      <c r="AA806" s="2037"/>
      <c r="AB806" s="2037"/>
      <c r="AC806" s="99">
        <v>0</v>
      </c>
      <c r="AD806" s="17">
        <v>0</v>
      </c>
      <c r="AE806" s="17">
        <v>0</v>
      </c>
      <c r="AF806" s="17">
        <v>0</v>
      </c>
      <c r="AG806" s="17">
        <v>0</v>
      </c>
      <c r="AH806" s="17">
        <v>0</v>
      </c>
      <c r="AI806" s="99">
        <v>0</v>
      </c>
    </row>
    <row r="807" spans="1:35" s="38" customFormat="1">
      <c r="A807" s="990">
        <v>739</v>
      </c>
      <c r="B807" s="990">
        <v>1</v>
      </c>
      <c r="C807" s="990">
        <v>807</v>
      </c>
      <c r="E807" s="1243">
        <v>1</v>
      </c>
      <c r="F807" s="10"/>
      <c r="G807" s="24"/>
      <c r="H807" s="24"/>
      <c r="I807" s="98"/>
      <c r="J807" s="97"/>
      <c r="K807" s="74"/>
      <c r="L807" s="74"/>
      <c r="M807" s="596" t="s">
        <v>1156</v>
      </c>
      <c r="N807" s="362"/>
      <c r="O807" s="362"/>
      <c r="P807" s="362"/>
      <c r="Q807" s="365">
        <v>0</v>
      </c>
      <c r="R807" s="2065">
        <v>0</v>
      </c>
      <c r="S807" s="365">
        <v>0</v>
      </c>
      <c r="T807" s="365">
        <v>0</v>
      </c>
      <c r="U807" s="365">
        <v>0</v>
      </c>
      <c r="V807" s="365">
        <v>0</v>
      </c>
      <c r="W807" s="365">
        <v>0</v>
      </c>
      <c r="X807" s="365">
        <v>0</v>
      </c>
      <c r="Y807" s="365">
        <v>0</v>
      </c>
      <c r="Z807" s="365">
        <v>0</v>
      </c>
      <c r="AA807" s="365">
        <v>0</v>
      </c>
      <c r="AB807" s="365">
        <v>0</v>
      </c>
      <c r="AC807" s="408">
        <v>0</v>
      </c>
      <c r="AD807" s="365">
        <v>0</v>
      </c>
      <c r="AE807" s="365">
        <v>0</v>
      </c>
      <c r="AF807" s="365">
        <v>0</v>
      </c>
      <c r="AG807" s="365">
        <v>0</v>
      </c>
      <c r="AH807" s="365">
        <v>0</v>
      </c>
      <c r="AI807" s="408">
        <v>0</v>
      </c>
    </row>
    <row r="808" spans="1:35" s="38" customFormat="1">
      <c r="A808" s="990">
        <v>740</v>
      </c>
      <c r="B808" s="990">
        <v>1</v>
      </c>
      <c r="C808" s="990">
        <v>808</v>
      </c>
      <c r="E808" s="1243">
        <v>1</v>
      </c>
      <c r="F808" s="10"/>
      <c r="G808" s="24"/>
      <c r="H808" s="24"/>
      <c r="I808" s="98"/>
      <c r="J808" s="97"/>
      <c r="K808" s="74"/>
      <c r="L808" s="74"/>
      <c r="M808" s="9"/>
      <c r="N808" s="111" t="s">
        <v>903</v>
      </c>
      <c r="O808" s="111"/>
      <c r="P808" s="111"/>
      <c r="Q808" s="2042"/>
      <c r="R808" s="2055"/>
      <c r="S808" s="2042"/>
      <c r="T808" s="2042"/>
      <c r="U808" s="2042"/>
      <c r="V808" s="2042"/>
      <c r="W808" s="2042"/>
      <c r="X808" s="2042"/>
      <c r="Y808" s="2042"/>
      <c r="Z808" s="2042"/>
      <c r="AA808" s="2042"/>
      <c r="AB808" s="2042"/>
      <c r="AC808" s="376">
        <v>0</v>
      </c>
      <c r="AD808" s="109">
        <v>0</v>
      </c>
      <c r="AE808" s="109">
        <v>0</v>
      </c>
      <c r="AF808" s="109">
        <v>0</v>
      </c>
      <c r="AG808" s="109">
        <v>0</v>
      </c>
      <c r="AH808" s="109">
        <v>0</v>
      </c>
      <c r="AI808" s="376">
        <v>0</v>
      </c>
    </row>
    <row r="809" spans="1:35" s="38" customFormat="1">
      <c r="A809" s="990">
        <v>741</v>
      </c>
      <c r="B809" s="990">
        <v>1</v>
      </c>
      <c r="C809" s="990">
        <v>809</v>
      </c>
      <c r="D809" s="1121"/>
      <c r="E809" s="1243">
        <v>1</v>
      </c>
      <c r="F809" s="10"/>
      <c r="G809" s="24"/>
      <c r="H809" s="24"/>
      <c r="I809" s="98"/>
      <c r="J809" s="97"/>
      <c r="K809" s="74"/>
      <c r="L809" s="74"/>
      <c r="M809" s="9"/>
      <c r="N809" s="9" t="s">
        <v>904</v>
      </c>
      <c r="O809" s="9"/>
      <c r="P809" s="9"/>
      <c r="Q809" s="2036"/>
      <c r="R809" s="2040"/>
      <c r="S809" s="2036"/>
      <c r="T809" s="2036"/>
      <c r="U809" s="2036"/>
      <c r="V809" s="2036"/>
      <c r="W809" s="2036"/>
      <c r="X809" s="2036"/>
      <c r="Y809" s="2036"/>
      <c r="Z809" s="2036"/>
      <c r="AA809" s="2036"/>
      <c r="AB809" s="2036"/>
      <c r="AC809" s="100">
        <v>0</v>
      </c>
      <c r="AD809" s="19">
        <v>0</v>
      </c>
      <c r="AE809" s="19">
        <v>0</v>
      </c>
      <c r="AF809" s="19">
        <v>0</v>
      </c>
      <c r="AG809" s="19">
        <v>0</v>
      </c>
      <c r="AH809" s="19">
        <v>0</v>
      </c>
      <c r="AI809" s="100">
        <v>0</v>
      </c>
    </row>
    <row r="810" spans="1:35" s="38" customFormat="1">
      <c r="A810" s="990">
        <v>742</v>
      </c>
      <c r="B810" s="990">
        <v>1</v>
      </c>
      <c r="C810" s="990">
        <v>810</v>
      </c>
      <c r="E810" s="1243">
        <v>1</v>
      </c>
      <c r="F810" s="10"/>
      <c r="G810" s="24"/>
      <c r="H810" s="24"/>
      <c r="I810" s="98"/>
      <c r="J810" s="97"/>
      <c r="K810" s="74"/>
      <c r="L810" s="74"/>
      <c r="M810" s="9"/>
      <c r="N810" s="9" t="s">
        <v>905</v>
      </c>
      <c r="O810" s="9"/>
      <c r="P810" s="9"/>
      <c r="Q810" s="2036"/>
      <c r="R810" s="2036"/>
      <c r="S810" s="2036"/>
      <c r="T810" s="2036"/>
      <c r="U810" s="2036"/>
      <c r="V810" s="2036"/>
      <c r="W810" s="2036"/>
      <c r="X810" s="2036"/>
      <c r="Y810" s="2036"/>
      <c r="Z810" s="2036"/>
      <c r="AA810" s="2036"/>
      <c r="AB810" s="2036"/>
      <c r="AC810" s="100">
        <v>0</v>
      </c>
      <c r="AD810" s="19">
        <v>0</v>
      </c>
      <c r="AE810" s="19">
        <v>0</v>
      </c>
      <c r="AF810" s="19">
        <v>0</v>
      </c>
      <c r="AG810" s="19">
        <v>0</v>
      </c>
      <c r="AH810" s="19">
        <v>0</v>
      </c>
      <c r="AI810" s="100">
        <v>0</v>
      </c>
    </row>
    <row r="811" spans="1:35" s="38" customFormat="1">
      <c r="A811" s="990">
        <v>743</v>
      </c>
      <c r="B811" s="990">
        <v>1</v>
      </c>
      <c r="C811" s="990">
        <v>811</v>
      </c>
      <c r="E811" s="1243">
        <v>1</v>
      </c>
      <c r="F811" s="10"/>
      <c r="G811" s="24"/>
      <c r="H811" s="24"/>
      <c r="I811" s="98"/>
      <c r="J811" s="97"/>
      <c r="K811" s="74"/>
      <c r="L811" s="74"/>
      <c r="M811" s="12"/>
      <c r="N811" s="9" t="s">
        <v>906</v>
      </c>
      <c r="O811" s="9"/>
      <c r="P811" s="12"/>
      <c r="Q811" s="2037"/>
      <c r="R811" s="2037"/>
      <c r="S811" s="2037"/>
      <c r="T811" s="2037"/>
      <c r="U811" s="2037"/>
      <c r="V811" s="2037"/>
      <c r="W811" s="2037"/>
      <c r="X811" s="2037"/>
      <c r="Y811" s="2037"/>
      <c r="Z811" s="2037"/>
      <c r="AA811" s="2037"/>
      <c r="AB811" s="2037"/>
      <c r="AC811" s="99">
        <v>0</v>
      </c>
      <c r="AD811" s="17">
        <v>0</v>
      </c>
      <c r="AE811" s="17">
        <v>0</v>
      </c>
      <c r="AF811" s="17">
        <v>0</v>
      </c>
      <c r="AG811" s="17">
        <v>0</v>
      </c>
      <c r="AH811" s="17">
        <v>0</v>
      </c>
      <c r="AI811" s="99">
        <v>0</v>
      </c>
    </row>
    <row r="812" spans="1:35" s="38" customFormat="1">
      <c r="A812" s="990">
        <v>1</v>
      </c>
      <c r="B812" s="990">
        <v>1</v>
      </c>
      <c r="C812" s="990">
        <v>812</v>
      </c>
      <c r="E812" s="1243">
        <v>1</v>
      </c>
      <c r="F812" s="10"/>
      <c r="G812" s="24"/>
      <c r="H812" s="24"/>
      <c r="I812" s="98"/>
      <c r="J812" s="97"/>
      <c r="K812" s="74"/>
      <c r="L812" s="74"/>
      <c r="M812" s="4" t="s">
        <v>1528</v>
      </c>
      <c r="N812" s="362"/>
      <c r="O812" s="362"/>
      <c r="P812" s="362"/>
      <c r="Q812" s="365">
        <v>0</v>
      </c>
      <c r="R812" s="2065">
        <v>0</v>
      </c>
      <c r="S812" s="365">
        <v>0</v>
      </c>
      <c r="T812" s="365">
        <v>0</v>
      </c>
      <c r="U812" s="365">
        <v>0</v>
      </c>
      <c r="V812" s="365">
        <v>0</v>
      </c>
      <c r="W812" s="365">
        <v>0</v>
      </c>
      <c r="X812" s="365">
        <v>0</v>
      </c>
      <c r="Y812" s="365">
        <v>0</v>
      </c>
      <c r="Z812" s="365">
        <v>0</v>
      </c>
      <c r="AA812" s="365">
        <v>0</v>
      </c>
      <c r="AB812" s="365">
        <v>0</v>
      </c>
      <c r="AC812" s="408">
        <v>0</v>
      </c>
      <c r="AD812" s="365">
        <v>0</v>
      </c>
      <c r="AE812" s="365">
        <v>0</v>
      </c>
      <c r="AF812" s="365">
        <v>0</v>
      </c>
      <c r="AG812" s="365">
        <v>0</v>
      </c>
      <c r="AH812" s="365">
        <v>0</v>
      </c>
      <c r="AI812" s="408">
        <v>0</v>
      </c>
    </row>
    <row r="813" spans="1:35" s="38" customFormat="1">
      <c r="A813" s="990">
        <v>1</v>
      </c>
      <c r="B813" s="990">
        <v>1</v>
      </c>
      <c r="C813" s="990">
        <v>813</v>
      </c>
      <c r="E813" s="1243">
        <v>1</v>
      </c>
      <c r="F813" s="10"/>
      <c r="G813" s="24"/>
      <c r="H813" s="24"/>
      <c r="I813" s="98"/>
      <c r="J813" s="97"/>
      <c r="K813" s="74"/>
      <c r="L813" s="74"/>
      <c r="M813" s="9"/>
      <c r="N813" s="111" t="s">
        <v>903</v>
      </c>
      <c r="O813" s="111"/>
      <c r="P813" s="111"/>
      <c r="Q813" s="2042"/>
      <c r="R813" s="2055"/>
      <c r="S813" s="2042"/>
      <c r="T813" s="2042"/>
      <c r="U813" s="2042"/>
      <c r="V813" s="2042"/>
      <c r="W813" s="2042"/>
      <c r="X813" s="2042"/>
      <c r="Y813" s="2042"/>
      <c r="Z813" s="2042"/>
      <c r="AA813" s="2042"/>
      <c r="AB813" s="2042"/>
      <c r="AC813" s="376">
        <v>0</v>
      </c>
      <c r="AD813" s="109">
        <v>0</v>
      </c>
      <c r="AE813" s="109">
        <v>0</v>
      </c>
      <c r="AF813" s="109">
        <v>0</v>
      </c>
      <c r="AG813" s="109">
        <v>0</v>
      </c>
      <c r="AH813" s="109">
        <v>0</v>
      </c>
      <c r="AI813" s="376">
        <v>0</v>
      </c>
    </row>
    <row r="814" spans="1:35" s="38" customFormat="1">
      <c r="A814" s="990">
        <v>1</v>
      </c>
      <c r="B814" s="990">
        <v>1</v>
      </c>
      <c r="C814" s="990">
        <v>814</v>
      </c>
      <c r="E814" s="1243">
        <v>1</v>
      </c>
      <c r="F814" s="10"/>
      <c r="G814" s="24"/>
      <c r="H814" s="24"/>
      <c r="I814" s="98"/>
      <c r="J814" s="97"/>
      <c r="K814" s="74"/>
      <c r="L814" s="74"/>
      <c r="M814" s="9"/>
      <c r="N814" s="9" t="s">
        <v>904</v>
      </c>
      <c r="O814" s="9"/>
      <c r="P814" s="9"/>
      <c r="Q814" s="2036"/>
      <c r="R814" s="2040"/>
      <c r="S814" s="2036"/>
      <c r="T814" s="2036"/>
      <c r="U814" s="2036"/>
      <c r="V814" s="2036"/>
      <c r="W814" s="2036"/>
      <c r="X814" s="2036"/>
      <c r="Y814" s="2036"/>
      <c r="Z814" s="2036"/>
      <c r="AA814" s="2036"/>
      <c r="AB814" s="2036"/>
      <c r="AC814" s="100">
        <v>0</v>
      </c>
      <c r="AD814" s="19">
        <v>0</v>
      </c>
      <c r="AE814" s="19">
        <v>0</v>
      </c>
      <c r="AF814" s="19">
        <v>0</v>
      </c>
      <c r="AG814" s="19">
        <v>0</v>
      </c>
      <c r="AH814" s="19">
        <v>0</v>
      </c>
      <c r="AI814" s="100">
        <v>0</v>
      </c>
    </row>
    <row r="815" spans="1:35" s="38" customFormat="1">
      <c r="A815" s="990">
        <v>1</v>
      </c>
      <c r="B815" s="990">
        <v>1</v>
      </c>
      <c r="C815" s="990">
        <v>815</v>
      </c>
      <c r="D815" s="1121"/>
      <c r="E815" s="1243">
        <v>1</v>
      </c>
      <c r="F815" s="10"/>
      <c r="G815" s="24"/>
      <c r="H815" s="24"/>
      <c r="I815" s="98"/>
      <c r="J815" s="97"/>
      <c r="K815" s="74"/>
      <c r="L815" s="74"/>
      <c r="M815" s="9"/>
      <c r="N815" s="9" t="s">
        <v>905</v>
      </c>
      <c r="O815" s="9"/>
      <c r="P815" s="9"/>
      <c r="Q815" s="2036"/>
      <c r="R815" s="2036"/>
      <c r="S815" s="2036"/>
      <c r="T815" s="2036"/>
      <c r="U815" s="2036"/>
      <c r="V815" s="2036"/>
      <c r="W815" s="2036"/>
      <c r="X815" s="2036"/>
      <c r="Y815" s="2036"/>
      <c r="Z815" s="2036"/>
      <c r="AA815" s="2036"/>
      <c r="AB815" s="2036"/>
      <c r="AC815" s="100">
        <v>0</v>
      </c>
      <c r="AD815" s="19">
        <v>0</v>
      </c>
      <c r="AE815" s="19">
        <v>0</v>
      </c>
      <c r="AF815" s="19">
        <v>0</v>
      </c>
      <c r="AG815" s="19">
        <v>0</v>
      </c>
      <c r="AH815" s="19">
        <v>0</v>
      </c>
      <c r="AI815" s="100">
        <v>0</v>
      </c>
    </row>
    <row r="816" spans="1:35" s="38" customFormat="1">
      <c r="A816" s="990">
        <v>1</v>
      </c>
      <c r="B816" s="990">
        <v>1</v>
      </c>
      <c r="C816" s="990">
        <v>816</v>
      </c>
      <c r="E816" s="1243">
        <v>1</v>
      </c>
      <c r="F816" s="10"/>
      <c r="G816" s="24"/>
      <c r="H816" s="24"/>
      <c r="I816" s="98"/>
      <c r="J816" s="97"/>
      <c r="K816" s="74"/>
      <c r="L816" s="74"/>
      <c r="M816" s="12"/>
      <c r="N816" s="9" t="s">
        <v>906</v>
      </c>
      <c r="O816" s="9"/>
      <c r="P816" s="12"/>
      <c r="Q816" s="2037"/>
      <c r="R816" s="2037"/>
      <c r="S816" s="2037"/>
      <c r="T816" s="2037"/>
      <c r="U816" s="2037"/>
      <c r="V816" s="2037"/>
      <c r="W816" s="2037"/>
      <c r="X816" s="2037"/>
      <c r="Y816" s="2037"/>
      <c r="Z816" s="2037"/>
      <c r="AA816" s="2037"/>
      <c r="AB816" s="2037"/>
      <c r="AC816" s="99">
        <v>0</v>
      </c>
      <c r="AD816" s="17">
        <v>0</v>
      </c>
      <c r="AE816" s="17">
        <v>0</v>
      </c>
      <c r="AF816" s="17">
        <v>0</v>
      </c>
      <c r="AG816" s="17">
        <v>0</v>
      </c>
      <c r="AH816" s="17">
        <v>0</v>
      </c>
      <c r="AI816" s="99">
        <v>0</v>
      </c>
    </row>
    <row r="817" spans="1:35" s="38" customFormat="1">
      <c r="A817" s="990">
        <v>1</v>
      </c>
      <c r="B817" s="990">
        <v>1</v>
      </c>
      <c r="C817" s="990">
        <v>817</v>
      </c>
      <c r="E817" s="1243">
        <v>1</v>
      </c>
      <c r="F817" s="10"/>
      <c r="G817" s="24"/>
      <c r="H817" s="24"/>
      <c r="I817" s="98"/>
      <c r="J817" s="97"/>
      <c r="K817" s="74"/>
      <c r="L817" s="74"/>
      <c r="M817" s="4" t="s">
        <v>1529</v>
      </c>
      <c r="N817" s="362"/>
      <c r="O817" s="362"/>
      <c r="P817" s="362"/>
      <c r="Q817" s="365">
        <v>0</v>
      </c>
      <c r="R817" s="2065">
        <v>0</v>
      </c>
      <c r="S817" s="365">
        <v>0</v>
      </c>
      <c r="T817" s="365">
        <v>0</v>
      </c>
      <c r="U817" s="365">
        <v>0</v>
      </c>
      <c r="V817" s="365">
        <v>0</v>
      </c>
      <c r="W817" s="365">
        <v>0</v>
      </c>
      <c r="X817" s="365">
        <v>0</v>
      </c>
      <c r="Y817" s="365">
        <v>0</v>
      </c>
      <c r="Z817" s="365">
        <v>0</v>
      </c>
      <c r="AA817" s="365">
        <v>0</v>
      </c>
      <c r="AB817" s="365">
        <v>0</v>
      </c>
      <c r="AC817" s="408">
        <v>0</v>
      </c>
      <c r="AD817" s="365">
        <v>0</v>
      </c>
      <c r="AE817" s="365">
        <v>0</v>
      </c>
      <c r="AF817" s="365">
        <v>0</v>
      </c>
      <c r="AG817" s="365">
        <v>0</v>
      </c>
      <c r="AH817" s="365">
        <v>0</v>
      </c>
      <c r="AI817" s="408">
        <v>0</v>
      </c>
    </row>
    <row r="818" spans="1:35" s="38" customFormat="1">
      <c r="A818" s="990">
        <v>1</v>
      </c>
      <c r="B818" s="990">
        <v>1</v>
      </c>
      <c r="C818" s="990">
        <v>818</v>
      </c>
      <c r="E818" s="1243">
        <v>1</v>
      </c>
      <c r="F818" s="10"/>
      <c r="G818" s="24"/>
      <c r="H818" s="24"/>
      <c r="I818" s="98"/>
      <c r="J818" s="97"/>
      <c r="K818" s="74"/>
      <c r="L818" s="74"/>
      <c r="M818" s="9"/>
      <c r="N818" s="111" t="s">
        <v>903</v>
      </c>
      <c r="O818" s="111"/>
      <c r="P818" s="111"/>
      <c r="Q818" s="2042"/>
      <c r="R818" s="2055"/>
      <c r="S818" s="2042"/>
      <c r="T818" s="2042"/>
      <c r="U818" s="2042"/>
      <c r="V818" s="2042"/>
      <c r="W818" s="2042"/>
      <c r="X818" s="2042"/>
      <c r="Y818" s="2042"/>
      <c r="Z818" s="2042"/>
      <c r="AA818" s="2042"/>
      <c r="AB818" s="2042"/>
      <c r="AC818" s="376">
        <v>0</v>
      </c>
      <c r="AD818" s="109">
        <v>0</v>
      </c>
      <c r="AE818" s="109">
        <v>0</v>
      </c>
      <c r="AF818" s="109">
        <v>0</v>
      </c>
      <c r="AG818" s="109">
        <v>0</v>
      </c>
      <c r="AH818" s="109">
        <v>0</v>
      </c>
      <c r="AI818" s="376">
        <v>0</v>
      </c>
    </row>
    <row r="819" spans="1:35" s="38" customFormat="1">
      <c r="A819" s="990">
        <v>1</v>
      </c>
      <c r="B819" s="990">
        <v>1</v>
      </c>
      <c r="C819" s="990">
        <v>819</v>
      </c>
      <c r="D819" s="1121"/>
      <c r="E819" s="1243">
        <v>1</v>
      </c>
      <c r="F819" s="10"/>
      <c r="G819" s="24"/>
      <c r="H819" s="24"/>
      <c r="I819" s="98"/>
      <c r="J819" s="97"/>
      <c r="K819" s="74"/>
      <c r="L819" s="74"/>
      <c r="M819" s="9"/>
      <c r="N819" s="9" t="s">
        <v>904</v>
      </c>
      <c r="O819" s="9"/>
      <c r="P819" s="9"/>
      <c r="Q819" s="2036"/>
      <c r="R819" s="2040"/>
      <c r="S819" s="2036"/>
      <c r="T819" s="2036"/>
      <c r="U819" s="2036"/>
      <c r="V819" s="2036"/>
      <c r="W819" s="2036"/>
      <c r="X819" s="2036"/>
      <c r="Y819" s="2036"/>
      <c r="Z819" s="2036"/>
      <c r="AA819" s="2036"/>
      <c r="AB819" s="2036"/>
      <c r="AC819" s="100">
        <v>0</v>
      </c>
      <c r="AD819" s="19">
        <v>0</v>
      </c>
      <c r="AE819" s="19">
        <v>0</v>
      </c>
      <c r="AF819" s="19">
        <v>0</v>
      </c>
      <c r="AG819" s="19">
        <v>0</v>
      </c>
      <c r="AH819" s="19">
        <v>0</v>
      </c>
      <c r="AI819" s="100">
        <v>0</v>
      </c>
    </row>
    <row r="820" spans="1:35" s="38" customFormat="1">
      <c r="A820" s="990">
        <v>1</v>
      </c>
      <c r="B820" s="990">
        <v>1</v>
      </c>
      <c r="C820" s="990">
        <v>820</v>
      </c>
      <c r="D820" s="1121"/>
      <c r="E820" s="1243">
        <v>1</v>
      </c>
      <c r="F820" s="10"/>
      <c r="G820" s="24"/>
      <c r="H820" s="24"/>
      <c r="I820" s="98"/>
      <c r="J820" s="97"/>
      <c r="K820" s="74"/>
      <c r="L820" s="74"/>
      <c r="M820" s="9"/>
      <c r="N820" s="9" t="s">
        <v>905</v>
      </c>
      <c r="O820" s="9"/>
      <c r="P820" s="9"/>
      <c r="Q820" s="2036"/>
      <c r="R820" s="2036"/>
      <c r="S820" s="2036"/>
      <c r="T820" s="2036"/>
      <c r="U820" s="2036"/>
      <c r="V820" s="2036"/>
      <c r="W820" s="2036"/>
      <c r="X820" s="2036"/>
      <c r="Y820" s="2036"/>
      <c r="Z820" s="2036"/>
      <c r="AA820" s="2036"/>
      <c r="AB820" s="2036"/>
      <c r="AC820" s="100">
        <v>0</v>
      </c>
      <c r="AD820" s="19">
        <v>0</v>
      </c>
      <c r="AE820" s="19">
        <v>0</v>
      </c>
      <c r="AF820" s="19">
        <v>0</v>
      </c>
      <c r="AG820" s="19">
        <v>0</v>
      </c>
      <c r="AH820" s="19">
        <v>0</v>
      </c>
      <c r="AI820" s="100">
        <v>0</v>
      </c>
    </row>
    <row r="821" spans="1:35" s="38" customFormat="1">
      <c r="A821" s="990">
        <v>1</v>
      </c>
      <c r="B821" s="990">
        <v>1</v>
      </c>
      <c r="C821" s="990">
        <v>821</v>
      </c>
      <c r="D821" s="1121"/>
      <c r="E821" s="1243">
        <v>1</v>
      </c>
      <c r="F821" s="10"/>
      <c r="G821" s="24"/>
      <c r="H821" s="24"/>
      <c r="I821" s="98"/>
      <c r="J821" s="97"/>
      <c r="K821" s="74"/>
      <c r="L821" s="74"/>
      <c r="M821" s="12"/>
      <c r="N821" s="12" t="s">
        <v>906</v>
      </c>
      <c r="O821" s="12"/>
      <c r="P821" s="12"/>
      <c r="Q821" s="2037"/>
      <c r="R821" s="2037"/>
      <c r="S821" s="2037"/>
      <c r="T821" s="2037"/>
      <c r="U821" s="2037"/>
      <c r="V821" s="2037"/>
      <c r="W821" s="2037"/>
      <c r="X821" s="2037"/>
      <c r="Y821" s="2037"/>
      <c r="Z821" s="2037"/>
      <c r="AA821" s="2037"/>
      <c r="AB821" s="2037"/>
      <c r="AC821" s="99">
        <v>0</v>
      </c>
      <c r="AD821" s="17">
        <v>0</v>
      </c>
      <c r="AE821" s="17">
        <v>0</v>
      </c>
      <c r="AF821" s="17">
        <v>0</v>
      </c>
      <c r="AG821" s="17">
        <v>0</v>
      </c>
      <c r="AH821" s="17">
        <v>0</v>
      </c>
      <c r="AI821" s="99">
        <v>0</v>
      </c>
    </row>
    <row r="822" spans="1:35" s="38" customFormat="1">
      <c r="A822" s="990">
        <v>749</v>
      </c>
      <c r="B822" s="990">
        <v>1</v>
      </c>
      <c r="C822" s="990">
        <v>822</v>
      </c>
      <c r="D822" s="1121"/>
      <c r="E822" s="1243">
        <v>1</v>
      </c>
      <c r="F822" s="10"/>
      <c r="G822" s="10"/>
      <c r="H822" s="24"/>
      <c r="I822" s="98"/>
      <c r="J822" s="97"/>
      <c r="K822" s="69" t="s">
        <v>1023</v>
      </c>
      <c r="L822" s="69"/>
      <c r="M822" s="72"/>
      <c r="N822" s="72"/>
      <c r="O822" s="72"/>
      <c r="P822" s="72"/>
      <c r="Q822" s="2056">
        <v>0</v>
      </c>
      <c r="R822" s="2644">
        <v>0</v>
      </c>
      <c r="S822" s="2056">
        <v>0</v>
      </c>
      <c r="T822" s="2056">
        <v>0</v>
      </c>
      <c r="U822" s="2056">
        <v>0</v>
      </c>
      <c r="V822" s="2056">
        <v>0</v>
      </c>
      <c r="W822" s="2056">
        <v>0</v>
      </c>
      <c r="X822" s="2056">
        <v>0</v>
      </c>
      <c r="Y822" s="2056">
        <v>0</v>
      </c>
      <c r="Z822" s="2056">
        <v>0</v>
      </c>
      <c r="AA822" s="2056">
        <v>0</v>
      </c>
      <c r="AB822" s="2056">
        <v>0</v>
      </c>
      <c r="AC822" s="2546">
        <v>0</v>
      </c>
      <c r="AD822" s="2056">
        <v>0</v>
      </c>
      <c r="AE822" s="2056">
        <v>0</v>
      </c>
      <c r="AF822" s="2056">
        <v>0</v>
      </c>
      <c r="AG822" s="2056">
        <v>0</v>
      </c>
      <c r="AH822" s="2056">
        <v>0</v>
      </c>
      <c r="AI822" s="2546">
        <v>0</v>
      </c>
    </row>
    <row r="823" spans="1:35" s="820" customFormat="1">
      <c r="A823" s="990">
        <v>750</v>
      </c>
      <c r="B823" s="990">
        <v>1</v>
      </c>
      <c r="C823" s="990">
        <v>823</v>
      </c>
      <c r="D823" s="1121"/>
      <c r="E823" s="1243">
        <v>1</v>
      </c>
      <c r="F823" s="10"/>
      <c r="G823" s="24"/>
      <c r="H823" s="24"/>
      <c r="I823" s="98"/>
      <c r="J823" s="97"/>
      <c r="K823" s="69"/>
      <c r="L823" s="69"/>
      <c r="M823" s="4" t="s">
        <v>12</v>
      </c>
      <c r="N823" s="9"/>
      <c r="O823" s="9"/>
      <c r="P823" s="9"/>
      <c r="Q823" s="2036"/>
      <c r="R823" s="2040"/>
      <c r="S823" s="2036"/>
      <c r="T823" s="2036"/>
      <c r="U823" s="2036"/>
      <c r="V823" s="2036"/>
      <c r="W823" s="2036"/>
      <c r="X823" s="2036"/>
      <c r="Y823" s="2036"/>
      <c r="Z823" s="2036"/>
      <c r="AA823" s="2036"/>
      <c r="AB823" s="2036"/>
      <c r="AC823" s="100">
        <v>0</v>
      </c>
      <c r="AD823" s="19">
        <v>0</v>
      </c>
      <c r="AE823" s="19">
        <v>0</v>
      </c>
      <c r="AF823" s="19">
        <v>0</v>
      </c>
      <c r="AG823" s="19">
        <v>0</v>
      </c>
      <c r="AH823" s="19">
        <v>0</v>
      </c>
      <c r="AI823" s="100">
        <v>0</v>
      </c>
    </row>
    <row r="824" spans="1:35" s="38" customFormat="1">
      <c r="A824" s="990">
        <v>751</v>
      </c>
      <c r="B824" s="990">
        <v>1</v>
      </c>
      <c r="C824" s="990">
        <v>824</v>
      </c>
      <c r="D824" s="1121"/>
      <c r="E824" s="1243">
        <v>1</v>
      </c>
      <c r="F824" s="10"/>
      <c r="G824" s="24"/>
      <c r="H824" s="24"/>
      <c r="I824" s="98"/>
      <c r="J824" s="97"/>
      <c r="K824" s="69"/>
      <c r="L824" s="69"/>
      <c r="M824" s="4" t="s">
        <v>1527</v>
      </c>
      <c r="N824" s="9"/>
      <c r="O824" s="9"/>
      <c r="P824" s="9"/>
      <c r="Q824" s="2036"/>
      <c r="R824" s="2040"/>
      <c r="S824" s="2036"/>
      <c r="T824" s="2036"/>
      <c r="U824" s="2036"/>
      <c r="V824" s="2036"/>
      <c r="W824" s="2036"/>
      <c r="X824" s="2036"/>
      <c r="Y824" s="2036"/>
      <c r="Z824" s="2036"/>
      <c r="AA824" s="2036"/>
      <c r="AB824" s="2036"/>
      <c r="AC824" s="100">
        <v>0</v>
      </c>
      <c r="AD824" s="19">
        <v>0</v>
      </c>
      <c r="AE824" s="19">
        <v>0</v>
      </c>
      <c r="AF824" s="19">
        <v>0</v>
      </c>
      <c r="AG824" s="19">
        <v>0</v>
      </c>
      <c r="AH824" s="19">
        <v>0</v>
      </c>
      <c r="AI824" s="100">
        <v>0</v>
      </c>
    </row>
    <row r="825" spans="1:35" s="38" customFormat="1">
      <c r="A825" s="990">
        <v>752</v>
      </c>
      <c r="B825" s="990">
        <v>1</v>
      </c>
      <c r="C825" s="990">
        <v>825</v>
      </c>
      <c r="E825" s="1243">
        <v>1</v>
      </c>
      <c r="F825" s="10"/>
      <c r="G825" s="24"/>
      <c r="H825" s="24"/>
      <c r="I825" s="98"/>
      <c r="J825" s="97"/>
      <c r="K825" s="69"/>
      <c r="L825" s="69"/>
      <c r="M825" s="4" t="s">
        <v>13</v>
      </c>
      <c r="N825" s="9"/>
      <c r="O825" s="9"/>
      <c r="P825" s="9"/>
      <c r="Q825" s="2036"/>
      <c r="R825" s="2040"/>
      <c r="S825" s="2036"/>
      <c r="T825" s="2036"/>
      <c r="U825" s="2036"/>
      <c r="V825" s="2036"/>
      <c r="W825" s="2036"/>
      <c r="X825" s="2036"/>
      <c r="Y825" s="2036"/>
      <c r="Z825" s="2036"/>
      <c r="AA825" s="2036"/>
      <c r="AB825" s="2036"/>
      <c r="AC825" s="100">
        <v>0</v>
      </c>
      <c r="AD825" s="19">
        <v>0</v>
      </c>
      <c r="AE825" s="19">
        <v>0</v>
      </c>
      <c r="AF825" s="19">
        <v>0</v>
      </c>
      <c r="AG825" s="19">
        <v>0</v>
      </c>
      <c r="AH825" s="19">
        <v>0</v>
      </c>
      <c r="AI825" s="100">
        <v>0</v>
      </c>
    </row>
    <row r="826" spans="1:35" s="38" customFormat="1">
      <c r="A826" s="990">
        <v>753</v>
      </c>
      <c r="B826" s="990">
        <v>1</v>
      </c>
      <c r="C826" s="990">
        <v>826</v>
      </c>
      <c r="E826" s="1243">
        <v>1</v>
      </c>
      <c r="F826" s="10"/>
      <c r="G826" s="24"/>
      <c r="H826" s="24"/>
      <c r="I826" s="98"/>
      <c r="J826" s="97"/>
      <c r="K826" s="69"/>
      <c r="L826" s="69"/>
      <c r="M826" s="4" t="s">
        <v>1156</v>
      </c>
      <c r="N826" s="9"/>
      <c r="O826" s="9"/>
      <c r="P826" s="9"/>
      <c r="Q826" s="2036"/>
      <c r="R826" s="2040"/>
      <c r="S826" s="2036"/>
      <c r="T826" s="2036"/>
      <c r="U826" s="2036"/>
      <c r="V826" s="2036"/>
      <c r="W826" s="2036"/>
      <c r="X826" s="2036"/>
      <c r="Y826" s="2036"/>
      <c r="Z826" s="2036"/>
      <c r="AA826" s="2036"/>
      <c r="AB826" s="2036"/>
      <c r="AC826" s="100">
        <v>0</v>
      </c>
      <c r="AD826" s="19">
        <v>0</v>
      </c>
      <c r="AE826" s="19">
        <v>0</v>
      </c>
      <c r="AF826" s="19">
        <v>0</v>
      </c>
      <c r="AG826" s="19">
        <v>0</v>
      </c>
      <c r="AH826" s="19">
        <v>0</v>
      </c>
      <c r="AI826" s="100">
        <v>0</v>
      </c>
    </row>
    <row r="827" spans="1:35" s="38" customFormat="1">
      <c r="A827" s="990">
        <v>1</v>
      </c>
      <c r="B827" s="990">
        <v>1</v>
      </c>
      <c r="C827" s="990">
        <v>827</v>
      </c>
      <c r="E827" s="1243">
        <v>1</v>
      </c>
      <c r="F827" s="10"/>
      <c r="G827" s="24"/>
      <c r="H827" s="24"/>
      <c r="I827" s="98"/>
      <c r="J827" s="97"/>
      <c r="K827" s="69"/>
      <c r="L827" s="69"/>
      <c r="M827" s="4" t="s">
        <v>1528</v>
      </c>
      <c r="N827" s="9"/>
      <c r="O827" s="9"/>
      <c r="P827" s="9"/>
      <c r="Q827" s="2036"/>
      <c r="R827" s="2040"/>
      <c r="S827" s="2036"/>
      <c r="T827" s="2036"/>
      <c r="U827" s="2036"/>
      <c r="V827" s="2036"/>
      <c r="W827" s="2036"/>
      <c r="X827" s="2036"/>
      <c r="Y827" s="2036"/>
      <c r="Z827" s="2036"/>
      <c r="AA827" s="2036"/>
      <c r="AB827" s="2036"/>
      <c r="AC827" s="100">
        <v>0</v>
      </c>
      <c r="AD827" s="19">
        <v>0</v>
      </c>
      <c r="AE827" s="19">
        <v>0</v>
      </c>
      <c r="AF827" s="19">
        <v>0</v>
      </c>
      <c r="AG827" s="19">
        <v>0</v>
      </c>
      <c r="AH827" s="19">
        <v>0</v>
      </c>
      <c r="AI827" s="100">
        <v>0</v>
      </c>
    </row>
    <row r="828" spans="1:35" s="38" customFormat="1">
      <c r="A828" s="990">
        <v>1</v>
      </c>
      <c r="B828" s="990">
        <v>1</v>
      </c>
      <c r="C828" s="990">
        <v>828</v>
      </c>
      <c r="E828" s="1243">
        <v>1</v>
      </c>
      <c r="F828" s="10"/>
      <c r="G828" s="24"/>
      <c r="H828" s="24"/>
      <c r="I828" s="96"/>
      <c r="J828" s="95"/>
      <c r="K828" s="68"/>
      <c r="L828" s="68"/>
      <c r="M828" s="2" t="s">
        <v>1529</v>
      </c>
      <c r="N828" s="276"/>
      <c r="O828" s="276"/>
      <c r="P828" s="276"/>
      <c r="Q828" s="2037"/>
      <c r="R828" s="2041"/>
      <c r="S828" s="2037"/>
      <c r="T828" s="2037"/>
      <c r="U828" s="2037"/>
      <c r="V828" s="2037"/>
      <c r="W828" s="2037"/>
      <c r="X828" s="2037"/>
      <c r="Y828" s="2037"/>
      <c r="Z828" s="2037"/>
      <c r="AA828" s="2037"/>
      <c r="AB828" s="2037"/>
      <c r="AC828" s="99">
        <v>0</v>
      </c>
      <c r="AD828" s="17">
        <v>0</v>
      </c>
      <c r="AE828" s="17">
        <v>0</v>
      </c>
      <c r="AF828" s="17">
        <v>0</v>
      </c>
      <c r="AG828" s="17">
        <v>0</v>
      </c>
      <c r="AH828" s="17">
        <v>0</v>
      </c>
      <c r="AI828" s="99">
        <v>0</v>
      </c>
    </row>
    <row r="829" spans="1:35" s="38" customFormat="1">
      <c r="A829" s="990">
        <v>755</v>
      </c>
      <c r="B829" s="990">
        <v>1</v>
      </c>
      <c r="C829" s="990">
        <v>829</v>
      </c>
      <c r="D829" s="1121"/>
      <c r="E829" s="1243">
        <v>1</v>
      </c>
      <c r="F829" s="10"/>
      <c r="G829" s="10"/>
      <c r="H829" s="24"/>
      <c r="I829" s="10"/>
      <c r="J829" s="9"/>
      <c r="K829" s="10"/>
      <c r="L829" s="10"/>
      <c r="M829" s="9"/>
      <c r="N829" s="9"/>
      <c r="O829" s="9"/>
      <c r="P829" s="9"/>
      <c r="Q829" s="2200"/>
      <c r="R829" s="1"/>
      <c r="S829" s="1"/>
      <c r="T829" s="1"/>
      <c r="U829" s="1"/>
      <c r="V829" s="1"/>
      <c r="W829" s="1"/>
      <c r="X829" s="1"/>
      <c r="Y829" s="1"/>
      <c r="Z829" s="163"/>
      <c r="AA829" s="163"/>
      <c r="AB829" s="2201"/>
      <c r="AC829" s="292"/>
      <c r="AD829" s="292"/>
      <c r="AE829" s="292"/>
      <c r="AF829" s="292"/>
      <c r="AG829" s="292"/>
      <c r="AH829" s="292"/>
      <c r="AI829" s="870"/>
    </row>
    <row r="830" spans="1:35" s="38" customFormat="1">
      <c r="A830" s="990">
        <v>756</v>
      </c>
      <c r="B830" s="990">
        <v>1</v>
      </c>
      <c r="C830" s="990">
        <v>830</v>
      </c>
      <c r="D830" s="38" t="s">
        <v>999</v>
      </c>
      <c r="E830" s="1243">
        <v>1</v>
      </c>
      <c r="F830" s="9"/>
      <c r="G830" s="24" t="s">
        <v>1103</v>
      </c>
      <c r="H830" s="24"/>
      <c r="I830" s="10"/>
      <c r="J830" s="9"/>
      <c r="K830" s="10"/>
      <c r="L830" s="10"/>
      <c r="M830" s="9"/>
      <c r="N830" s="9"/>
      <c r="O830" s="9"/>
      <c r="P830" s="9"/>
      <c r="Q830" s="2200"/>
      <c r="R830" s="1"/>
      <c r="S830" s="1"/>
      <c r="T830" s="1"/>
      <c r="U830" s="1"/>
      <c r="V830" s="1"/>
      <c r="W830" s="1"/>
      <c r="X830" s="1"/>
      <c r="Y830" s="1"/>
      <c r="Z830" s="1"/>
      <c r="AA830" s="9"/>
      <c r="AB830" s="86"/>
      <c r="AC830" s="9"/>
      <c r="AD830" s="9"/>
      <c r="AE830" s="9"/>
      <c r="AF830" s="9"/>
      <c r="AG830" s="9"/>
      <c r="AH830" s="9"/>
      <c r="AI830" s="9"/>
    </row>
    <row r="831" spans="1:35" s="38" customFormat="1">
      <c r="A831" s="990">
        <v>757</v>
      </c>
      <c r="B831" s="990">
        <v>1</v>
      </c>
      <c r="C831" s="990">
        <v>831</v>
      </c>
      <c r="D831" s="38" t="s">
        <v>999</v>
      </c>
      <c r="E831" s="1243">
        <v>1</v>
      </c>
      <c r="F831" s="9"/>
      <c r="G831" s="9"/>
      <c r="H831" s="24"/>
      <c r="I831" s="2645" t="s">
        <v>99</v>
      </c>
      <c r="J831" s="2646"/>
      <c r="K831" s="2647"/>
      <c r="L831" s="2647"/>
      <c r="M831" s="2647"/>
      <c r="N831" s="2647"/>
      <c r="O831" s="2647"/>
      <c r="P831" s="2647"/>
      <c r="Q831" s="2072">
        <v>0</v>
      </c>
      <c r="R831" s="2072">
        <v>0</v>
      </c>
      <c r="S831" s="2072">
        <v>0</v>
      </c>
      <c r="T831" s="2072">
        <v>0</v>
      </c>
      <c r="U831" s="2072">
        <v>0</v>
      </c>
      <c r="V831" s="2072">
        <v>0</v>
      </c>
      <c r="W831" s="2072">
        <v>0</v>
      </c>
      <c r="X831" s="2072">
        <v>0</v>
      </c>
      <c r="Y831" s="2072">
        <v>0</v>
      </c>
      <c r="Z831" s="2072">
        <v>0</v>
      </c>
      <c r="AA831" s="2072">
        <v>0</v>
      </c>
      <c r="AB831" s="2072">
        <v>0</v>
      </c>
      <c r="AC831" s="2648">
        <v>0</v>
      </c>
      <c r="AD831" s="2072">
        <v>0</v>
      </c>
      <c r="AE831" s="2072">
        <v>0</v>
      </c>
      <c r="AF831" s="2072">
        <v>0</v>
      </c>
      <c r="AG831" s="2072">
        <v>0</v>
      </c>
      <c r="AH831" s="2072">
        <v>0</v>
      </c>
      <c r="AI831" s="2072">
        <v>0</v>
      </c>
    </row>
    <row r="832" spans="1:35" s="38" customFormat="1">
      <c r="A832" s="990">
        <v>758</v>
      </c>
      <c r="B832" s="990">
        <v>1</v>
      </c>
      <c r="C832" s="990">
        <v>832</v>
      </c>
      <c r="D832" s="38" t="s">
        <v>999</v>
      </c>
      <c r="E832" s="1243">
        <v>1</v>
      </c>
      <c r="F832" s="9"/>
      <c r="G832" s="9"/>
      <c r="H832" s="24"/>
      <c r="I832" s="212"/>
      <c r="J832" s="9" t="s">
        <v>1104</v>
      </c>
      <c r="K832" s="9"/>
      <c r="L832" s="9"/>
      <c r="M832" s="9"/>
      <c r="N832" s="9"/>
      <c r="O832" s="9"/>
      <c r="P832" s="9"/>
      <c r="Q832" s="19">
        <v>0</v>
      </c>
      <c r="R832" s="19">
        <v>0</v>
      </c>
      <c r="S832" s="19">
        <v>0</v>
      </c>
      <c r="T832" s="19">
        <v>0</v>
      </c>
      <c r="U832" s="19">
        <v>0</v>
      </c>
      <c r="V832" s="19">
        <v>0</v>
      </c>
      <c r="W832" s="19">
        <v>0</v>
      </c>
      <c r="X832" s="19">
        <v>0</v>
      </c>
      <c r="Y832" s="19">
        <v>0</v>
      </c>
      <c r="Z832" s="19">
        <v>0</v>
      </c>
      <c r="AA832" s="19">
        <v>0</v>
      </c>
      <c r="AB832" s="19">
        <v>0</v>
      </c>
      <c r="AC832" s="144">
        <v>0</v>
      </c>
      <c r="AD832" s="145">
        <v>0</v>
      </c>
      <c r="AE832" s="145">
        <v>0</v>
      </c>
      <c r="AF832" s="145">
        <v>0</v>
      </c>
      <c r="AG832" s="145">
        <v>0</v>
      </c>
      <c r="AH832" s="145">
        <v>0</v>
      </c>
      <c r="AI832" s="145">
        <v>0</v>
      </c>
    </row>
    <row r="833" spans="1:35" s="38" customFormat="1">
      <c r="A833" s="990">
        <v>759</v>
      </c>
      <c r="B833" s="990">
        <v>1</v>
      </c>
      <c r="C833" s="990">
        <v>833</v>
      </c>
      <c r="D833" s="38" t="s">
        <v>999</v>
      </c>
      <c r="E833" s="1243">
        <v>1</v>
      </c>
      <c r="F833" s="9"/>
      <c r="G833" s="9"/>
      <c r="H833" s="24"/>
      <c r="I833" s="212"/>
      <c r="J833" s="9" t="s">
        <v>1105</v>
      </c>
      <c r="K833" s="9"/>
      <c r="L833" s="9"/>
      <c r="M833" s="9"/>
      <c r="N833" s="9"/>
      <c r="O833" s="9"/>
      <c r="P833" s="9"/>
      <c r="Q833" s="19">
        <v>0</v>
      </c>
      <c r="R833" s="19">
        <v>0</v>
      </c>
      <c r="S833" s="19">
        <v>0</v>
      </c>
      <c r="T833" s="19">
        <v>0</v>
      </c>
      <c r="U833" s="19">
        <v>0</v>
      </c>
      <c r="V833" s="19">
        <v>0</v>
      </c>
      <c r="W833" s="19">
        <v>0</v>
      </c>
      <c r="X833" s="19">
        <v>0</v>
      </c>
      <c r="Y833" s="19">
        <v>0</v>
      </c>
      <c r="Z833" s="19">
        <v>0</v>
      </c>
      <c r="AA833" s="19">
        <v>0</v>
      </c>
      <c r="AB833" s="19">
        <v>0</v>
      </c>
      <c r="AC833" s="144">
        <v>0</v>
      </c>
      <c r="AD833" s="145">
        <v>0</v>
      </c>
      <c r="AE833" s="145">
        <v>0</v>
      </c>
      <c r="AF833" s="145">
        <v>0</v>
      </c>
      <c r="AG833" s="145">
        <v>0</v>
      </c>
      <c r="AH833" s="145">
        <v>0</v>
      </c>
      <c r="AI833" s="145">
        <v>0</v>
      </c>
    </row>
    <row r="834" spans="1:35" s="38" customFormat="1">
      <c r="A834" s="990">
        <v>760</v>
      </c>
      <c r="B834" s="990">
        <v>1</v>
      </c>
      <c r="C834" s="990">
        <v>834</v>
      </c>
      <c r="D834" s="38" t="s">
        <v>999</v>
      </c>
      <c r="E834" s="1243">
        <v>1</v>
      </c>
      <c r="F834" s="9"/>
      <c r="G834" s="9"/>
      <c r="H834" s="24"/>
      <c r="I834" s="195"/>
      <c r="J834" s="9" t="s">
        <v>1106</v>
      </c>
      <c r="K834" s="10"/>
      <c r="L834" s="10"/>
      <c r="M834" s="9"/>
      <c r="N834" s="9"/>
      <c r="O834" s="9"/>
      <c r="P834" s="9"/>
      <c r="Q834" s="107">
        <v>0</v>
      </c>
      <c r="R834" s="107">
        <v>0</v>
      </c>
      <c r="S834" s="107">
        <v>0</v>
      </c>
      <c r="T834" s="107">
        <v>0</v>
      </c>
      <c r="U834" s="107">
        <v>0</v>
      </c>
      <c r="V834" s="107">
        <v>0</v>
      </c>
      <c r="W834" s="107">
        <v>0</v>
      </c>
      <c r="X834" s="107">
        <v>0</v>
      </c>
      <c r="Y834" s="107">
        <v>0</v>
      </c>
      <c r="Z834" s="107">
        <v>0</v>
      </c>
      <c r="AA834" s="107">
        <v>0</v>
      </c>
      <c r="AB834" s="107">
        <v>0</v>
      </c>
      <c r="AC834" s="144">
        <v>0</v>
      </c>
      <c r="AD834" s="145">
        <v>0</v>
      </c>
      <c r="AE834" s="145">
        <v>0</v>
      </c>
      <c r="AF834" s="145">
        <v>0</v>
      </c>
      <c r="AG834" s="145">
        <v>0</v>
      </c>
      <c r="AH834" s="145">
        <v>0</v>
      </c>
      <c r="AI834" s="145">
        <v>0</v>
      </c>
    </row>
    <row r="835" spans="1:35" s="38" customFormat="1">
      <c r="A835" s="990">
        <v>761</v>
      </c>
      <c r="B835" s="990">
        <v>1</v>
      </c>
      <c r="C835" s="990">
        <v>835</v>
      </c>
      <c r="D835" s="1121" t="s">
        <v>999</v>
      </c>
      <c r="E835" s="1243">
        <v>1</v>
      </c>
      <c r="F835" s="9"/>
      <c r="G835" s="9"/>
      <c r="H835" s="24"/>
      <c r="I835" s="194"/>
      <c r="J835" s="12" t="s">
        <v>1107</v>
      </c>
      <c r="K835" s="18"/>
      <c r="L835" s="18"/>
      <c r="M835" s="12"/>
      <c r="N835" s="12"/>
      <c r="O835" s="12"/>
      <c r="P835" s="12"/>
      <c r="Q835" s="113">
        <v>0</v>
      </c>
      <c r="R835" s="113">
        <v>0</v>
      </c>
      <c r="S835" s="113">
        <v>0</v>
      </c>
      <c r="T835" s="113">
        <v>0</v>
      </c>
      <c r="U835" s="113">
        <v>0</v>
      </c>
      <c r="V835" s="113">
        <v>0</v>
      </c>
      <c r="W835" s="113">
        <v>0</v>
      </c>
      <c r="X835" s="113">
        <v>0</v>
      </c>
      <c r="Y835" s="113">
        <v>0</v>
      </c>
      <c r="Z835" s="113">
        <v>0</v>
      </c>
      <c r="AA835" s="113">
        <v>0</v>
      </c>
      <c r="AB835" s="113">
        <v>0</v>
      </c>
      <c r="AC835" s="141">
        <v>0</v>
      </c>
      <c r="AD835" s="142">
        <v>0</v>
      </c>
      <c r="AE835" s="142">
        <v>0</v>
      </c>
      <c r="AF835" s="142">
        <v>0</v>
      </c>
      <c r="AG835" s="142">
        <v>0</v>
      </c>
      <c r="AH835" s="142">
        <v>0</v>
      </c>
      <c r="AI835" s="142">
        <v>0</v>
      </c>
    </row>
    <row r="836" spans="1:35" s="38" customFormat="1">
      <c r="A836" s="990">
        <v>762</v>
      </c>
      <c r="B836" s="990">
        <v>1</v>
      </c>
      <c r="C836" s="990">
        <v>836</v>
      </c>
      <c r="D836" s="38" t="s">
        <v>999</v>
      </c>
      <c r="E836" s="1662" t="s">
        <v>1013</v>
      </c>
      <c r="F836" s="1690"/>
      <c r="G836" s="9"/>
      <c r="H836" s="24"/>
      <c r="I836" s="1703" t="s">
        <v>1541</v>
      </c>
      <c r="J836" s="2649"/>
      <c r="K836" s="1706"/>
      <c r="L836" s="1706"/>
      <c r="M836" s="1706"/>
      <c r="N836" s="1706"/>
      <c r="O836" s="1706"/>
      <c r="P836" s="1706"/>
      <c r="Q836" s="2310">
        <v>0</v>
      </c>
      <c r="R836" s="2310">
        <v>0</v>
      </c>
      <c r="S836" s="2310">
        <v>0</v>
      </c>
      <c r="T836" s="2310">
        <v>0</v>
      </c>
      <c r="U836" s="2310">
        <v>0</v>
      </c>
      <c r="V836" s="2310">
        <v>0</v>
      </c>
      <c r="W836" s="2310">
        <v>0</v>
      </c>
      <c r="X836" s="2310">
        <v>0</v>
      </c>
      <c r="Y836" s="2310">
        <v>0</v>
      </c>
      <c r="Z836" s="2310">
        <v>0</v>
      </c>
      <c r="AA836" s="2310">
        <v>0</v>
      </c>
      <c r="AB836" s="2310">
        <v>0</v>
      </c>
      <c r="AC836" s="2650">
        <v>0</v>
      </c>
      <c r="AD836" s="2310">
        <v>0</v>
      </c>
      <c r="AE836" s="2310">
        <v>0</v>
      </c>
      <c r="AF836" s="2310">
        <v>0</v>
      </c>
      <c r="AG836" s="2310">
        <v>0</v>
      </c>
      <c r="AH836" s="2310">
        <v>0</v>
      </c>
      <c r="AI836" s="2310">
        <v>0</v>
      </c>
    </row>
    <row r="837" spans="1:35" s="38" customFormat="1">
      <c r="A837" s="990">
        <v>763</v>
      </c>
      <c r="B837" s="990">
        <v>1</v>
      </c>
      <c r="C837" s="990">
        <v>837</v>
      </c>
      <c r="D837" s="38" t="s">
        <v>999</v>
      </c>
      <c r="E837" s="1662" t="s">
        <v>1013</v>
      </c>
      <c r="F837" s="1690"/>
      <c r="G837" s="9"/>
      <c r="H837" s="24"/>
      <c r="I837" s="293"/>
      <c r="J837" s="9" t="s">
        <v>1104</v>
      </c>
      <c r="K837" s="9"/>
      <c r="L837" s="9"/>
      <c r="M837" s="9"/>
      <c r="N837" s="9"/>
      <c r="O837" s="9"/>
      <c r="P837" s="9"/>
      <c r="Q837" s="19">
        <v>0</v>
      </c>
      <c r="R837" s="19">
        <v>0</v>
      </c>
      <c r="S837" s="19">
        <v>0</v>
      </c>
      <c r="T837" s="19">
        <v>0</v>
      </c>
      <c r="U837" s="19">
        <v>0</v>
      </c>
      <c r="V837" s="19">
        <v>0</v>
      </c>
      <c r="W837" s="19">
        <v>0</v>
      </c>
      <c r="X837" s="19">
        <v>0</v>
      </c>
      <c r="Y837" s="19">
        <v>0</v>
      </c>
      <c r="Z837" s="19">
        <v>0</v>
      </c>
      <c r="AA837" s="19">
        <v>0</v>
      </c>
      <c r="AB837" s="19">
        <v>0</v>
      </c>
      <c r="AC837" s="144">
        <v>0</v>
      </c>
      <c r="AD837" s="145">
        <v>0</v>
      </c>
      <c r="AE837" s="145">
        <v>0</v>
      </c>
      <c r="AF837" s="145">
        <v>0</v>
      </c>
      <c r="AG837" s="145">
        <v>0</v>
      </c>
      <c r="AH837" s="145">
        <v>0</v>
      </c>
      <c r="AI837" s="145">
        <v>0</v>
      </c>
    </row>
    <row r="838" spans="1:35" s="38" customFormat="1">
      <c r="A838" s="990">
        <v>764</v>
      </c>
      <c r="B838" s="990">
        <v>1</v>
      </c>
      <c r="C838" s="990">
        <v>838</v>
      </c>
      <c r="D838" s="38" t="s">
        <v>999</v>
      </c>
      <c r="E838" s="1662" t="s">
        <v>1013</v>
      </c>
      <c r="F838" s="1690"/>
      <c r="G838" s="9"/>
      <c r="H838" s="24"/>
      <c r="I838" s="293"/>
      <c r="J838" s="9" t="s">
        <v>1105</v>
      </c>
      <c r="K838" s="9"/>
      <c r="L838" s="9"/>
      <c r="M838" s="9"/>
      <c r="N838" s="9"/>
      <c r="O838" s="9"/>
      <c r="P838" s="9"/>
      <c r="Q838" s="19">
        <v>0</v>
      </c>
      <c r="R838" s="19">
        <v>0</v>
      </c>
      <c r="S838" s="19">
        <v>0</v>
      </c>
      <c r="T838" s="19">
        <v>0</v>
      </c>
      <c r="U838" s="19">
        <v>0</v>
      </c>
      <c r="V838" s="19">
        <v>0</v>
      </c>
      <c r="W838" s="19">
        <v>0</v>
      </c>
      <c r="X838" s="19">
        <v>0</v>
      </c>
      <c r="Y838" s="19">
        <v>0</v>
      </c>
      <c r="Z838" s="19">
        <v>0</v>
      </c>
      <c r="AA838" s="19">
        <v>0</v>
      </c>
      <c r="AB838" s="19">
        <v>0</v>
      </c>
      <c r="AC838" s="144">
        <v>0</v>
      </c>
      <c r="AD838" s="145">
        <v>0</v>
      </c>
      <c r="AE838" s="145">
        <v>0</v>
      </c>
      <c r="AF838" s="145">
        <v>0</v>
      </c>
      <c r="AG838" s="145">
        <v>0</v>
      </c>
      <c r="AH838" s="145">
        <v>0</v>
      </c>
      <c r="AI838" s="145">
        <v>0</v>
      </c>
    </row>
    <row r="839" spans="1:35" s="38" customFormat="1">
      <c r="A839" s="990">
        <v>765</v>
      </c>
      <c r="B839" s="990">
        <v>1</v>
      </c>
      <c r="C839" s="990">
        <v>839</v>
      </c>
      <c r="D839" s="38" t="s">
        <v>999</v>
      </c>
      <c r="E839" s="1662" t="s">
        <v>1013</v>
      </c>
      <c r="F839" s="1690"/>
      <c r="G839" s="9"/>
      <c r="H839" s="24"/>
      <c r="I839" s="293"/>
      <c r="J839" s="9" t="s">
        <v>1106</v>
      </c>
      <c r="K839" s="10"/>
      <c r="L839" s="10"/>
      <c r="M839" s="9"/>
      <c r="N839" s="9"/>
      <c r="O839" s="9"/>
      <c r="P839" s="9"/>
      <c r="Q839" s="107">
        <v>0</v>
      </c>
      <c r="R839" s="107">
        <v>0</v>
      </c>
      <c r="S839" s="107">
        <v>0</v>
      </c>
      <c r="T839" s="107">
        <v>0</v>
      </c>
      <c r="U839" s="107">
        <v>0</v>
      </c>
      <c r="V839" s="107">
        <v>0</v>
      </c>
      <c r="W839" s="107">
        <v>0</v>
      </c>
      <c r="X839" s="107">
        <v>0</v>
      </c>
      <c r="Y839" s="107">
        <v>0</v>
      </c>
      <c r="Z839" s="107">
        <v>0</v>
      </c>
      <c r="AA839" s="107">
        <v>0</v>
      </c>
      <c r="AB839" s="107">
        <v>0</v>
      </c>
      <c r="AC839" s="144">
        <v>0</v>
      </c>
      <c r="AD839" s="145">
        <v>0</v>
      </c>
      <c r="AE839" s="145">
        <v>0</v>
      </c>
      <c r="AF839" s="145">
        <v>0</v>
      </c>
      <c r="AG839" s="145">
        <v>0</v>
      </c>
      <c r="AH839" s="145">
        <v>0</v>
      </c>
      <c r="AI839" s="145">
        <v>0</v>
      </c>
    </row>
    <row r="840" spans="1:35" s="38" customFormat="1">
      <c r="A840" s="990">
        <v>766</v>
      </c>
      <c r="B840" s="990">
        <v>1</v>
      </c>
      <c r="C840" s="990">
        <v>840</v>
      </c>
      <c r="D840" s="1121" t="s">
        <v>999</v>
      </c>
      <c r="E840" s="1662" t="s">
        <v>1013</v>
      </c>
      <c r="F840" s="1690"/>
      <c r="G840" s="9"/>
      <c r="H840" s="24"/>
      <c r="I840" s="293"/>
      <c r="J840" s="363" t="s">
        <v>1107</v>
      </c>
      <c r="K840" s="1694"/>
      <c r="L840" s="1694"/>
      <c r="M840" s="363"/>
      <c r="N840" s="363"/>
      <c r="O840" s="363"/>
      <c r="P840" s="363"/>
      <c r="Q840" s="378">
        <v>0</v>
      </c>
      <c r="R840" s="378">
        <v>0</v>
      </c>
      <c r="S840" s="378">
        <v>0</v>
      </c>
      <c r="T840" s="378">
        <v>0</v>
      </c>
      <c r="U840" s="378">
        <v>0</v>
      </c>
      <c r="V840" s="378">
        <v>0</v>
      </c>
      <c r="W840" s="378">
        <v>0</v>
      </c>
      <c r="X840" s="378">
        <v>0</v>
      </c>
      <c r="Y840" s="378">
        <v>0</v>
      </c>
      <c r="Z840" s="378">
        <v>0</v>
      </c>
      <c r="AA840" s="378">
        <v>0</v>
      </c>
      <c r="AB840" s="378">
        <v>0</v>
      </c>
      <c r="AC840" s="1695">
        <v>0</v>
      </c>
      <c r="AD840" s="1626">
        <v>0</v>
      </c>
      <c r="AE840" s="1626">
        <v>0</v>
      </c>
      <c r="AF840" s="1626">
        <v>0</v>
      </c>
      <c r="AG840" s="1626">
        <v>0</v>
      </c>
      <c r="AH840" s="1626">
        <v>0</v>
      </c>
      <c r="AI840" s="1626">
        <v>0</v>
      </c>
    </row>
    <row r="841" spans="1:35" s="38" customFormat="1">
      <c r="A841" s="990">
        <v>762</v>
      </c>
      <c r="B841" s="990">
        <v>1</v>
      </c>
      <c r="C841" s="990">
        <v>841</v>
      </c>
      <c r="D841" s="38" t="s">
        <v>999</v>
      </c>
      <c r="E841" s="1243">
        <v>1</v>
      </c>
      <c r="F841" s="9"/>
      <c r="G841" s="9"/>
      <c r="H841" s="24"/>
      <c r="I841" s="293"/>
      <c r="J841" s="1696" t="s">
        <v>1542</v>
      </c>
      <c r="K841" s="1697"/>
      <c r="L841" s="1697"/>
      <c r="M841" s="1697"/>
      <c r="N841" s="1697"/>
      <c r="O841" s="1697"/>
      <c r="P841" s="1698"/>
      <c r="Q841" s="1692">
        <v>0</v>
      </c>
      <c r="R841" s="1692">
        <v>0</v>
      </c>
      <c r="S841" s="1692">
        <v>0</v>
      </c>
      <c r="T841" s="1692">
        <v>0</v>
      </c>
      <c r="U841" s="1692">
        <v>0</v>
      </c>
      <c r="V841" s="1692">
        <v>0</v>
      </c>
      <c r="W841" s="1692">
        <v>0</v>
      </c>
      <c r="X841" s="1692">
        <v>0</v>
      </c>
      <c r="Y841" s="1692">
        <v>0</v>
      </c>
      <c r="Z841" s="1692">
        <v>0</v>
      </c>
      <c r="AA841" s="1692">
        <v>0</v>
      </c>
      <c r="AB841" s="1692">
        <v>0</v>
      </c>
      <c r="AC841" s="1693">
        <v>0</v>
      </c>
      <c r="AD841" s="1692">
        <v>0</v>
      </c>
      <c r="AE841" s="1692">
        <v>0</v>
      </c>
      <c r="AF841" s="1692">
        <v>0</v>
      </c>
      <c r="AG841" s="1692">
        <v>0</v>
      </c>
      <c r="AH841" s="1692">
        <v>0</v>
      </c>
      <c r="AI841" s="1692">
        <v>0</v>
      </c>
    </row>
    <row r="842" spans="1:35" s="38" customFormat="1">
      <c r="A842" s="990">
        <v>763</v>
      </c>
      <c r="B842" s="990">
        <v>1</v>
      </c>
      <c r="C842" s="990">
        <v>842</v>
      </c>
      <c r="D842" s="38" t="s">
        <v>999</v>
      </c>
      <c r="E842" s="1243">
        <v>1</v>
      </c>
      <c r="F842" s="9"/>
      <c r="G842" s="9"/>
      <c r="H842" s="24"/>
      <c r="I842" s="293"/>
      <c r="J842" s="1699"/>
      <c r="K842" s="9" t="s">
        <v>1104</v>
      </c>
      <c r="L842" s="9"/>
      <c r="M842" s="9"/>
      <c r="N842" s="9"/>
      <c r="O842" s="9"/>
      <c r="P842" s="86"/>
      <c r="Q842" s="19">
        <v>0</v>
      </c>
      <c r="R842" s="19">
        <v>0</v>
      </c>
      <c r="S842" s="19">
        <v>0</v>
      </c>
      <c r="T842" s="19">
        <v>0</v>
      </c>
      <c r="U842" s="19">
        <v>0</v>
      </c>
      <c r="V842" s="19">
        <v>0</v>
      </c>
      <c r="W842" s="19">
        <v>0</v>
      </c>
      <c r="X842" s="19">
        <v>0</v>
      </c>
      <c r="Y842" s="19">
        <v>0</v>
      </c>
      <c r="Z842" s="19">
        <v>0</v>
      </c>
      <c r="AA842" s="19">
        <v>0</v>
      </c>
      <c r="AB842" s="19">
        <v>0</v>
      </c>
      <c r="AC842" s="144">
        <v>0</v>
      </c>
      <c r="AD842" s="145">
        <v>0</v>
      </c>
      <c r="AE842" s="145">
        <v>0</v>
      </c>
      <c r="AF842" s="145">
        <v>0</v>
      </c>
      <c r="AG842" s="145">
        <v>0</v>
      </c>
      <c r="AH842" s="145">
        <v>0</v>
      </c>
      <c r="AI842" s="145">
        <v>0</v>
      </c>
    </row>
    <row r="843" spans="1:35" s="38" customFormat="1">
      <c r="A843" s="990">
        <v>764</v>
      </c>
      <c r="B843" s="990">
        <v>1</v>
      </c>
      <c r="C843" s="990">
        <v>843</v>
      </c>
      <c r="D843" s="38" t="s">
        <v>999</v>
      </c>
      <c r="E843" s="1243">
        <v>1</v>
      </c>
      <c r="F843" s="9"/>
      <c r="G843" s="9"/>
      <c r="H843" s="24"/>
      <c r="I843" s="293"/>
      <c r="J843" s="1699"/>
      <c r="K843" s="9" t="s">
        <v>1105</v>
      </c>
      <c r="L843" s="9"/>
      <c r="M843" s="9"/>
      <c r="N843" s="9"/>
      <c r="O843" s="9"/>
      <c r="P843" s="86"/>
      <c r="Q843" s="19">
        <v>0</v>
      </c>
      <c r="R843" s="19">
        <v>0</v>
      </c>
      <c r="S843" s="19">
        <v>0</v>
      </c>
      <c r="T843" s="19">
        <v>0</v>
      </c>
      <c r="U843" s="19">
        <v>0</v>
      </c>
      <c r="V843" s="19">
        <v>0</v>
      </c>
      <c r="W843" s="19">
        <v>0</v>
      </c>
      <c r="X843" s="19">
        <v>0</v>
      </c>
      <c r="Y843" s="19">
        <v>0</v>
      </c>
      <c r="Z843" s="19">
        <v>0</v>
      </c>
      <c r="AA843" s="19">
        <v>0</v>
      </c>
      <c r="AB843" s="19">
        <v>0</v>
      </c>
      <c r="AC843" s="144">
        <v>0</v>
      </c>
      <c r="AD843" s="145">
        <v>0</v>
      </c>
      <c r="AE843" s="145">
        <v>0</v>
      </c>
      <c r="AF843" s="145">
        <v>0</v>
      </c>
      <c r="AG843" s="145">
        <v>0</v>
      </c>
      <c r="AH843" s="145">
        <v>0</v>
      </c>
      <c r="AI843" s="145">
        <v>0</v>
      </c>
    </row>
    <row r="844" spans="1:35" s="38" customFormat="1">
      <c r="A844" s="990">
        <v>765</v>
      </c>
      <c r="B844" s="990">
        <v>1</v>
      </c>
      <c r="C844" s="990">
        <v>844</v>
      </c>
      <c r="D844" s="38" t="s">
        <v>999</v>
      </c>
      <c r="E844" s="1243">
        <v>1</v>
      </c>
      <c r="F844" s="9"/>
      <c r="G844" s="9"/>
      <c r="H844" s="24"/>
      <c r="I844" s="293"/>
      <c r="J844" s="1699"/>
      <c r="K844" s="9" t="s">
        <v>1106</v>
      </c>
      <c r="L844" s="10"/>
      <c r="M844" s="9"/>
      <c r="N844" s="9"/>
      <c r="O844" s="9"/>
      <c r="P844" s="86"/>
      <c r="Q844" s="107">
        <v>0</v>
      </c>
      <c r="R844" s="107">
        <v>0</v>
      </c>
      <c r="S844" s="107">
        <v>0</v>
      </c>
      <c r="T844" s="107">
        <v>0</v>
      </c>
      <c r="U844" s="107">
        <v>0</v>
      </c>
      <c r="V844" s="107">
        <v>0</v>
      </c>
      <c r="W844" s="107">
        <v>0</v>
      </c>
      <c r="X844" s="107">
        <v>0</v>
      </c>
      <c r="Y844" s="107">
        <v>0</v>
      </c>
      <c r="Z844" s="107">
        <v>0</v>
      </c>
      <c r="AA844" s="107">
        <v>0</v>
      </c>
      <c r="AB844" s="107">
        <v>0</v>
      </c>
      <c r="AC844" s="144">
        <v>0</v>
      </c>
      <c r="AD844" s="145">
        <v>0</v>
      </c>
      <c r="AE844" s="145">
        <v>0</v>
      </c>
      <c r="AF844" s="145">
        <v>0</v>
      </c>
      <c r="AG844" s="145">
        <v>0</v>
      </c>
      <c r="AH844" s="145">
        <v>0</v>
      </c>
      <c r="AI844" s="145">
        <v>0</v>
      </c>
    </row>
    <row r="845" spans="1:35" s="38" customFormat="1">
      <c r="A845" s="990">
        <v>766</v>
      </c>
      <c r="B845" s="990">
        <v>1</v>
      </c>
      <c r="C845" s="990">
        <v>845</v>
      </c>
      <c r="D845" s="38" t="s">
        <v>999</v>
      </c>
      <c r="E845" s="1243">
        <v>1</v>
      </c>
      <c r="F845" s="9"/>
      <c r="G845" s="9"/>
      <c r="H845" s="24"/>
      <c r="I845" s="293"/>
      <c r="J845" s="1700"/>
      <c r="K845" s="363" t="s">
        <v>1107</v>
      </c>
      <c r="L845" s="1694"/>
      <c r="M845" s="363"/>
      <c r="N845" s="363"/>
      <c r="O845" s="363"/>
      <c r="P845" s="364"/>
      <c r="Q845" s="378">
        <v>0</v>
      </c>
      <c r="R845" s="378">
        <v>0</v>
      </c>
      <c r="S845" s="378">
        <v>0</v>
      </c>
      <c r="T845" s="378">
        <v>0</v>
      </c>
      <c r="U845" s="378">
        <v>0</v>
      </c>
      <c r="V845" s="378">
        <v>0</v>
      </c>
      <c r="W845" s="378">
        <v>0</v>
      </c>
      <c r="X845" s="378">
        <v>0</v>
      </c>
      <c r="Y845" s="378">
        <v>0</v>
      </c>
      <c r="Z845" s="378">
        <v>0</v>
      </c>
      <c r="AA845" s="378">
        <v>0</v>
      </c>
      <c r="AB845" s="378">
        <v>0</v>
      </c>
      <c r="AC845" s="1695">
        <v>0</v>
      </c>
      <c r="AD845" s="1626">
        <v>0</v>
      </c>
      <c r="AE845" s="1626">
        <v>0</v>
      </c>
      <c r="AF845" s="1626">
        <v>0</v>
      </c>
      <c r="AG845" s="1626">
        <v>0</v>
      </c>
      <c r="AH845" s="1626">
        <v>0</v>
      </c>
      <c r="AI845" s="1626">
        <v>0</v>
      </c>
    </row>
    <row r="846" spans="1:35" s="38" customFormat="1">
      <c r="A846" s="990">
        <v>1</v>
      </c>
      <c r="B846" s="990">
        <v>1</v>
      </c>
      <c r="C846" s="990">
        <v>846</v>
      </c>
      <c r="D846" s="1121" t="s">
        <v>999</v>
      </c>
      <c r="E846" s="1662" t="s">
        <v>1013</v>
      </c>
      <c r="F846" s="1690"/>
      <c r="G846" s="9"/>
      <c r="H846" s="24"/>
      <c r="I846" s="293"/>
      <c r="J846" s="1701" t="s">
        <v>1390</v>
      </c>
      <c r="K846" s="1691"/>
      <c r="L846" s="1691"/>
      <c r="M846" s="1691"/>
      <c r="N846" s="1691"/>
      <c r="O846" s="1691"/>
      <c r="P846" s="1702"/>
      <c r="Q846" s="1692">
        <v>0</v>
      </c>
      <c r="R846" s="1692">
        <v>0</v>
      </c>
      <c r="S846" s="1692">
        <v>0</v>
      </c>
      <c r="T846" s="1692">
        <v>0</v>
      </c>
      <c r="U846" s="1692">
        <v>0</v>
      </c>
      <c r="V846" s="1692">
        <v>0</v>
      </c>
      <c r="W846" s="1692">
        <v>0</v>
      </c>
      <c r="X846" s="1692">
        <v>0</v>
      </c>
      <c r="Y846" s="1692">
        <v>0</v>
      </c>
      <c r="Z846" s="1692">
        <v>0</v>
      </c>
      <c r="AA846" s="1692">
        <v>0</v>
      </c>
      <c r="AB846" s="1692">
        <v>0</v>
      </c>
      <c r="AC846" s="1693">
        <v>0</v>
      </c>
      <c r="AD846" s="1692">
        <v>0</v>
      </c>
      <c r="AE846" s="1692">
        <v>0</v>
      </c>
      <c r="AF846" s="1692">
        <v>0</v>
      </c>
      <c r="AG846" s="1692">
        <v>0</v>
      </c>
      <c r="AH846" s="1692">
        <v>0</v>
      </c>
      <c r="AI846" s="1692">
        <v>0</v>
      </c>
    </row>
    <row r="847" spans="1:35" s="38" customFormat="1">
      <c r="A847" s="990">
        <v>1</v>
      </c>
      <c r="B847" s="990">
        <v>1</v>
      </c>
      <c r="C847" s="990">
        <v>847</v>
      </c>
      <c r="D847" s="38" t="s">
        <v>999</v>
      </c>
      <c r="E847" s="1662" t="s">
        <v>1013</v>
      </c>
      <c r="F847" s="1690"/>
      <c r="G847" s="9"/>
      <c r="H847" s="24"/>
      <c r="I847" s="293"/>
      <c r="J847" s="1699"/>
      <c r="K847" s="9" t="s">
        <v>1104</v>
      </c>
      <c r="L847" s="9"/>
      <c r="M847" s="9"/>
      <c r="N847" s="9"/>
      <c r="O847" s="9"/>
      <c r="P847" s="86"/>
      <c r="Q847" s="2091"/>
      <c r="R847" s="2091"/>
      <c r="S847" s="2091"/>
      <c r="T847" s="2091"/>
      <c r="U847" s="2091"/>
      <c r="V847" s="2091"/>
      <c r="W847" s="2091"/>
      <c r="X847" s="2091"/>
      <c r="Y847" s="2091"/>
      <c r="Z847" s="2091"/>
      <c r="AA847" s="2091"/>
      <c r="AB847" s="2091"/>
      <c r="AC847" s="144">
        <v>0</v>
      </c>
      <c r="AD847" s="145">
        <v>0</v>
      </c>
      <c r="AE847" s="145">
        <v>0</v>
      </c>
      <c r="AF847" s="145">
        <v>0</v>
      </c>
      <c r="AG847" s="145">
        <v>0</v>
      </c>
      <c r="AH847" s="145">
        <v>0</v>
      </c>
      <c r="AI847" s="145">
        <v>0</v>
      </c>
    </row>
    <row r="848" spans="1:35" s="38" customFormat="1">
      <c r="A848" s="990">
        <v>1</v>
      </c>
      <c r="B848" s="990">
        <v>1</v>
      </c>
      <c r="C848" s="990">
        <v>848</v>
      </c>
      <c r="D848" s="38" t="s">
        <v>999</v>
      </c>
      <c r="E848" s="1662" t="s">
        <v>1013</v>
      </c>
      <c r="F848" s="1690"/>
      <c r="G848" s="9"/>
      <c r="H848" s="24"/>
      <c r="I848" s="293"/>
      <c r="J848" s="1699"/>
      <c r="K848" s="9" t="s">
        <v>1105</v>
      </c>
      <c r="L848" s="9"/>
      <c r="M848" s="9"/>
      <c r="N848" s="9"/>
      <c r="O848" s="9"/>
      <c r="P848" s="86"/>
      <c r="Q848" s="2091"/>
      <c r="R848" s="2091"/>
      <c r="S848" s="2091"/>
      <c r="T848" s="2091"/>
      <c r="U848" s="2091"/>
      <c r="V848" s="2091"/>
      <c r="W848" s="2091"/>
      <c r="X848" s="2091"/>
      <c r="Y848" s="2091"/>
      <c r="Z848" s="2091"/>
      <c r="AA848" s="2091"/>
      <c r="AB848" s="2091"/>
      <c r="AC848" s="144">
        <v>0</v>
      </c>
      <c r="AD848" s="145">
        <v>0</v>
      </c>
      <c r="AE848" s="145">
        <v>0</v>
      </c>
      <c r="AF848" s="145">
        <v>0</v>
      </c>
      <c r="AG848" s="145">
        <v>0</v>
      </c>
      <c r="AH848" s="145">
        <v>0</v>
      </c>
      <c r="AI848" s="145">
        <v>0</v>
      </c>
    </row>
    <row r="849" spans="1:35" s="38" customFormat="1">
      <c r="A849" s="990">
        <v>1</v>
      </c>
      <c r="B849" s="990">
        <v>1</v>
      </c>
      <c r="C849" s="990">
        <v>849</v>
      </c>
      <c r="D849" s="38" t="s">
        <v>999</v>
      </c>
      <c r="E849" s="1662" t="s">
        <v>1013</v>
      </c>
      <c r="F849" s="1690"/>
      <c r="G849" s="9"/>
      <c r="H849" s="24"/>
      <c r="I849" s="195"/>
      <c r="J849" s="1699"/>
      <c r="K849" s="9" t="s">
        <v>1106</v>
      </c>
      <c r="L849" s="10"/>
      <c r="M849" s="9"/>
      <c r="N849" s="9"/>
      <c r="O849" s="9"/>
      <c r="P849" s="86"/>
      <c r="Q849" s="2091"/>
      <c r="R849" s="2091"/>
      <c r="S849" s="2091"/>
      <c r="T849" s="2091"/>
      <c r="U849" s="2091"/>
      <c r="V849" s="2091"/>
      <c r="W849" s="2091"/>
      <c r="X849" s="2091"/>
      <c r="Y849" s="2091"/>
      <c r="Z849" s="2091"/>
      <c r="AA849" s="2091"/>
      <c r="AB849" s="2091"/>
      <c r="AC849" s="144">
        <v>0</v>
      </c>
      <c r="AD849" s="145">
        <v>0</v>
      </c>
      <c r="AE849" s="145">
        <v>0</v>
      </c>
      <c r="AF849" s="145">
        <v>0</v>
      </c>
      <c r="AG849" s="145">
        <v>0</v>
      </c>
      <c r="AH849" s="145">
        <v>0</v>
      </c>
      <c r="AI849" s="145">
        <v>0</v>
      </c>
    </row>
    <row r="850" spans="1:35" s="38" customFormat="1">
      <c r="A850" s="990">
        <v>1</v>
      </c>
      <c r="B850" s="990">
        <v>1</v>
      </c>
      <c r="C850" s="990">
        <v>850</v>
      </c>
      <c r="D850" s="1121" t="s">
        <v>999</v>
      </c>
      <c r="E850" s="1662" t="s">
        <v>1013</v>
      </c>
      <c r="F850" s="1690"/>
      <c r="G850" s="9"/>
      <c r="H850" s="24"/>
      <c r="I850" s="194"/>
      <c r="J850" s="1700"/>
      <c r="K850" s="363" t="s">
        <v>1107</v>
      </c>
      <c r="L850" s="1694"/>
      <c r="M850" s="363"/>
      <c r="N850" s="12"/>
      <c r="O850" s="12"/>
      <c r="P850" s="85"/>
      <c r="Q850" s="2092"/>
      <c r="R850" s="2092"/>
      <c r="S850" s="2092"/>
      <c r="T850" s="2092"/>
      <c r="U850" s="2092"/>
      <c r="V850" s="2092"/>
      <c r="W850" s="2092"/>
      <c r="X850" s="2092"/>
      <c r="Y850" s="2092"/>
      <c r="Z850" s="2092"/>
      <c r="AA850" s="2092"/>
      <c r="AB850" s="2092"/>
      <c r="AC850" s="141">
        <v>0</v>
      </c>
      <c r="AD850" s="142">
        <v>0</v>
      </c>
      <c r="AE850" s="142">
        <v>0</v>
      </c>
      <c r="AF850" s="142">
        <v>0</v>
      </c>
      <c r="AG850" s="142">
        <v>0</v>
      </c>
      <c r="AH850" s="142">
        <v>0</v>
      </c>
      <c r="AI850" s="142">
        <v>0</v>
      </c>
    </row>
    <row r="851" spans="1:35" s="38" customFormat="1">
      <c r="A851" s="990">
        <v>767</v>
      </c>
      <c r="B851" s="990">
        <v>1</v>
      </c>
      <c r="C851" s="990">
        <v>851</v>
      </c>
      <c r="D851" s="1121" t="s">
        <v>999</v>
      </c>
      <c r="E851" s="1243">
        <v>1</v>
      </c>
      <c r="F851" s="9"/>
      <c r="G851" s="9"/>
      <c r="H851" s="24"/>
      <c r="I851" s="430" t="s">
        <v>1035</v>
      </c>
      <c r="J851" s="804"/>
      <c r="K851" s="805"/>
      <c r="L851" s="805"/>
      <c r="M851" s="805"/>
      <c r="N851" s="805"/>
      <c r="O851" s="805"/>
      <c r="P851" s="805"/>
      <c r="Q851" s="2070">
        <v>0</v>
      </c>
      <c r="R851" s="2070">
        <v>0</v>
      </c>
      <c r="S851" s="2070">
        <v>0</v>
      </c>
      <c r="T851" s="2070">
        <v>0</v>
      </c>
      <c r="U851" s="2070">
        <v>0</v>
      </c>
      <c r="V851" s="2070">
        <v>0</v>
      </c>
      <c r="W851" s="2070">
        <v>0</v>
      </c>
      <c r="X851" s="2070">
        <v>0</v>
      </c>
      <c r="Y851" s="2070">
        <v>0</v>
      </c>
      <c r="Z851" s="2070">
        <v>0</v>
      </c>
      <c r="AA851" s="2070">
        <v>0</v>
      </c>
      <c r="AB851" s="2070">
        <v>0</v>
      </c>
      <c r="AC851" s="2651">
        <v>0</v>
      </c>
      <c r="AD851" s="2070">
        <v>0</v>
      </c>
      <c r="AE851" s="2070">
        <v>0</v>
      </c>
      <c r="AF851" s="2070">
        <v>0</v>
      </c>
      <c r="AG851" s="2070">
        <v>0</v>
      </c>
      <c r="AH851" s="2070">
        <v>0</v>
      </c>
      <c r="AI851" s="2070">
        <v>0</v>
      </c>
    </row>
    <row r="852" spans="1:35" s="38" customFormat="1">
      <c r="A852" s="990">
        <v>768</v>
      </c>
      <c r="B852" s="990">
        <v>1</v>
      </c>
      <c r="C852" s="990">
        <v>852</v>
      </c>
      <c r="D852" s="1121" t="s">
        <v>999</v>
      </c>
      <c r="E852" s="1243">
        <v>1</v>
      </c>
      <c r="F852" s="9"/>
      <c r="G852" s="9"/>
      <c r="H852" s="24"/>
      <c r="I852" s="293"/>
      <c r="J852" s="9" t="s">
        <v>1104</v>
      </c>
      <c r="K852" s="9"/>
      <c r="L852" s="9"/>
      <c r="M852" s="9"/>
      <c r="N852" s="9"/>
      <c r="O852" s="9"/>
      <c r="P852" s="9"/>
      <c r="Q852" s="19">
        <v>0</v>
      </c>
      <c r="R852" s="19">
        <v>0</v>
      </c>
      <c r="S852" s="19">
        <v>0</v>
      </c>
      <c r="T852" s="19">
        <v>0</v>
      </c>
      <c r="U852" s="19">
        <v>0</v>
      </c>
      <c r="V852" s="19">
        <v>0</v>
      </c>
      <c r="W852" s="19">
        <v>0</v>
      </c>
      <c r="X852" s="19">
        <v>0</v>
      </c>
      <c r="Y852" s="19">
        <v>0</v>
      </c>
      <c r="Z852" s="19">
        <v>0</v>
      </c>
      <c r="AA852" s="19">
        <v>0</v>
      </c>
      <c r="AB852" s="19">
        <v>0</v>
      </c>
      <c r="AC852" s="144">
        <v>0</v>
      </c>
      <c r="AD852" s="145">
        <v>0</v>
      </c>
      <c r="AE852" s="145">
        <v>0</v>
      </c>
      <c r="AF852" s="145">
        <v>0</v>
      </c>
      <c r="AG852" s="145">
        <v>0</v>
      </c>
      <c r="AH852" s="145">
        <v>0</v>
      </c>
      <c r="AI852" s="145">
        <v>0</v>
      </c>
    </row>
    <row r="853" spans="1:35" s="820" customFormat="1">
      <c r="A853" s="990">
        <v>769</v>
      </c>
      <c r="B853" s="990">
        <v>1</v>
      </c>
      <c r="C853" s="990">
        <v>853</v>
      </c>
      <c r="D853" s="1121" t="s">
        <v>999</v>
      </c>
      <c r="E853" s="1243">
        <v>1</v>
      </c>
      <c r="F853" s="9"/>
      <c r="G853" s="9"/>
      <c r="H853" s="24"/>
      <c r="I853" s="293"/>
      <c r="J853" s="9" t="s">
        <v>1105</v>
      </c>
      <c r="K853" s="9"/>
      <c r="L853" s="9"/>
      <c r="M853" s="9"/>
      <c r="N853" s="9"/>
      <c r="O853" s="9"/>
      <c r="P853" s="9"/>
      <c r="Q853" s="19">
        <v>0</v>
      </c>
      <c r="R853" s="19">
        <v>0</v>
      </c>
      <c r="S853" s="19">
        <v>0</v>
      </c>
      <c r="T853" s="19">
        <v>0</v>
      </c>
      <c r="U853" s="19">
        <v>0</v>
      </c>
      <c r="V853" s="19">
        <v>0</v>
      </c>
      <c r="W853" s="19">
        <v>0</v>
      </c>
      <c r="X853" s="19">
        <v>0</v>
      </c>
      <c r="Y853" s="19">
        <v>0</v>
      </c>
      <c r="Z853" s="19">
        <v>0</v>
      </c>
      <c r="AA853" s="19">
        <v>0</v>
      </c>
      <c r="AB853" s="19">
        <v>0</v>
      </c>
      <c r="AC853" s="144">
        <v>0</v>
      </c>
      <c r="AD853" s="145">
        <v>0</v>
      </c>
      <c r="AE853" s="145">
        <v>0</v>
      </c>
      <c r="AF853" s="145">
        <v>0</v>
      </c>
      <c r="AG853" s="145">
        <v>0</v>
      </c>
      <c r="AH853" s="145">
        <v>0</v>
      </c>
      <c r="AI853" s="145">
        <v>0</v>
      </c>
    </row>
    <row r="854" spans="1:35" s="38" customFormat="1">
      <c r="A854" s="990">
        <v>770</v>
      </c>
      <c r="B854" s="990">
        <v>1</v>
      </c>
      <c r="C854" s="990">
        <v>854</v>
      </c>
      <c r="D854" s="1121" t="s">
        <v>999</v>
      </c>
      <c r="E854" s="1243">
        <v>1</v>
      </c>
      <c r="F854" s="9"/>
      <c r="G854" s="9"/>
      <c r="H854" s="24"/>
      <c r="I854" s="195"/>
      <c r="J854" s="9" t="s">
        <v>1106</v>
      </c>
      <c r="K854" s="10"/>
      <c r="L854" s="10"/>
      <c r="M854" s="9"/>
      <c r="N854" s="9"/>
      <c r="O854" s="9"/>
      <c r="P854" s="9"/>
      <c r="Q854" s="107">
        <v>0</v>
      </c>
      <c r="R854" s="107">
        <v>0</v>
      </c>
      <c r="S854" s="107">
        <v>0</v>
      </c>
      <c r="T854" s="107">
        <v>0</v>
      </c>
      <c r="U854" s="107">
        <v>0</v>
      </c>
      <c r="V854" s="107">
        <v>0</v>
      </c>
      <c r="W854" s="107">
        <v>0</v>
      </c>
      <c r="X854" s="107">
        <v>0</v>
      </c>
      <c r="Y854" s="107">
        <v>0</v>
      </c>
      <c r="Z854" s="107">
        <v>0</v>
      </c>
      <c r="AA854" s="107">
        <v>0</v>
      </c>
      <c r="AB854" s="107">
        <v>0</v>
      </c>
      <c r="AC854" s="144">
        <v>0</v>
      </c>
      <c r="AD854" s="145">
        <v>0</v>
      </c>
      <c r="AE854" s="145">
        <v>0</v>
      </c>
      <c r="AF854" s="145">
        <v>0</v>
      </c>
      <c r="AG854" s="145">
        <v>0</v>
      </c>
      <c r="AH854" s="145">
        <v>0</v>
      </c>
      <c r="AI854" s="145">
        <v>0</v>
      </c>
    </row>
    <row r="855" spans="1:35" s="38" customFormat="1">
      <c r="A855" s="990">
        <v>771</v>
      </c>
      <c r="B855" s="990">
        <v>1</v>
      </c>
      <c r="C855" s="990">
        <v>855</v>
      </c>
      <c r="D855" s="38" t="s">
        <v>999</v>
      </c>
      <c r="E855" s="1243">
        <v>1</v>
      </c>
      <c r="F855" s="9"/>
      <c r="G855" s="9"/>
      <c r="H855" s="24"/>
      <c r="I855" s="194"/>
      <c r="J855" s="12" t="s">
        <v>1107</v>
      </c>
      <c r="K855" s="18"/>
      <c r="L855" s="18"/>
      <c r="M855" s="12"/>
      <c r="N855" s="12"/>
      <c r="O855" s="12"/>
      <c r="P855" s="12"/>
      <c r="Q855" s="113">
        <v>0</v>
      </c>
      <c r="R855" s="113">
        <v>0</v>
      </c>
      <c r="S855" s="113">
        <v>0</v>
      </c>
      <c r="T855" s="113">
        <v>0</v>
      </c>
      <c r="U855" s="113">
        <v>0</v>
      </c>
      <c r="V855" s="113">
        <v>0</v>
      </c>
      <c r="W855" s="113">
        <v>0</v>
      </c>
      <c r="X855" s="113">
        <v>0</v>
      </c>
      <c r="Y855" s="113">
        <v>0</v>
      </c>
      <c r="Z855" s="113">
        <v>0</v>
      </c>
      <c r="AA855" s="113">
        <v>0</v>
      </c>
      <c r="AB855" s="113">
        <v>0</v>
      </c>
      <c r="AC855" s="141">
        <v>0</v>
      </c>
      <c r="AD855" s="142">
        <v>0</v>
      </c>
      <c r="AE855" s="142">
        <v>0</v>
      </c>
      <c r="AF855" s="142">
        <v>0</v>
      </c>
      <c r="AG855" s="142">
        <v>0</v>
      </c>
      <c r="AH855" s="142">
        <v>0</v>
      </c>
      <c r="AI855" s="142">
        <v>0</v>
      </c>
    </row>
    <row r="856" spans="1:35" s="38" customFormat="1">
      <c r="A856" s="990">
        <v>772</v>
      </c>
      <c r="B856" s="990">
        <v>1</v>
      </c>
      <c r="C856" s="990">
        <v>856</v>
      </c>
      <c r="D856" s="38" t="s">
        <v>999</v>
      </c>
      <c r="E856" s="1243">
        <v>1</v>
      </c>
      <c r="F856" s="9"/>
      <c r="G856" s="9"/>
      <c r="H856" s="24"/>
      <c r="I856" s="439" t="s">
        <v>1038</v>
      </c>
      <c r="J856" s="807"/>
      <c r="K856" s="808"/>
      <c r="L856" s="808"/>
      <c r="M856" s="808"/>
      <c r="N856" s="808"/>
      <c r="O856" s="808"/>
      <c r="P856" s="808"/>
      <c r="Q856" s="2073">
        <v>0</v>
      </c>
      <c r="R856" s="2073">
        <v>0</v>
      </c>
      <c r="S856" s="2073">
        <v>0</v>
      </c>
      <c r="T856" s="2073">
        <v>0</v>
      </c>
      <c r="U856" s="2073">
        <v>0</v>
      </c>
      <c r="V856" s="2073">
        <v>0</v>
      </c>
      <c r="W856" s="2073">
        <v>0</v>
      </c>
      <c r="X856" s="2073">
        <v>0</v>
      </c>
      <c r="Y856" s="2073">
        <v>0</v>
      </c>
      <c r="Z856" s="2073">
        <v>0</v>
      </c>
      <c r="AA856" s="2073">
        <v>0</v>
      </c>
      <c r="AB856" s="2073">
        <v>0</v>
      </c>
      <c r="AC856" s="2652">
        <v>0</v>
      </c>
      <c r="AD856" s="2073">
        <v>0</v>
      </c>
      <c r="AE856" s="2073">
        <v>0</v>
      </c>
      <c r="AF856" s="2073">
        <v>0</v>
      </c>
      <c r="AG856" s="2073">
        <v>0</v>
      </c>
      <c r="AH856" s="2073">
        <v>0</v>
      </c>
      <c r="AI856" s="2073">
        <v>0</v>
      </c>
    </row>
    <row r="857" spans="1:35" s="38" customFormat="1">
      <c r="A857" s="990">
        <v>773</v>
      </c>
      <c r="B857" s="990">
        <v>1</v>
      </c>
      <c r="C857" s="990">
        <v>857</v>
      </c>
      <c r="D857" s="38" t="s">
        <v>999</v>
      </c>
      <c r="E857" s="1243">
        <v>1</v>
      </c>
      <c r="F857" s="9"/>
      <c r="G857" s="9"/>
      <c r="H857" s="24"/>
      <c r="I857" s="293"/>
      <c r="J857" s="9" t="s">
        <v>1104</v>
      </c>
      <c r="K857" s="9"/>
      <c r="L857" s="9"/>
      <c r="M857" s="9"/>
      <c r="N857" s="9"/>
      <c r="O857" s="9"/>
      <c r="P857" s="9"/>
      <c r="Q857" s="19">
        <v>0</v>
      </c>
      <c r="R857" s="19">
        <v>0</v>
      </c>
      <c r="S857" s="19">
        <v>0</v>
      </c>
      <c r="T857" s="19">
        <v>0</v>
      </c>
      <c r="U857" s="19">
        <v>0</v>
      </c>
      <c r="V857" s="19">
        <v>0</v>
      </c>
      <c r="W857" s="19">
        <v>0</v>
      </c>
      <c r="X857" s="19">
        <v>0</v>
      </c>
      <c r="Y857" s="19">
        <v>0</v>
      </c>
      <c r="Z857" s="19">
        <v>0</v>
      </c>
      <c r="AA857" s="19">
        <v>0</v>
      </c>
      <c r="AB857" s="19">
        <v>0</v>
      </c>
      <c r="AC857" s="144">
        <v>0</v>
      </c>
      <c r="AD857" s="145">
        <v>0</v>
      </c>
      <c r="AE857" s="145">
        <v>0</v>
      </c>
      <c r="AF857" s="145">
        <v>0</v>
      </c>
      <c r="AG857" s="145">
        <v>0</v>
      </c>
      <c r="AH857" s="145">
        <v>0</v>
      </c>
      <c r="AI857" s="145">
        <v>0</v>
      </c>
    </row>
    <row r="858" spans="1:35" s="38" customFormat="1">
      <c r="A858" s="990">
        <v>774</v>
      </c>
      <c r="B858" s="990">
        <v>1</v>
      </c>
      <c r="C858" s="990">
        <v>858</v>
      </c>
      <c r="D858" s="38" t="s">
        <v>999</v>
      </c>
      <c r="E858" s="1243">
        <v>1</v>
      </c>
      <c r="F858" s="9"/>
      <c r="G858" s="9"/>
      <c r="H858" s="24"/>
      <c r="I858" s="293"/>
      <c r="J858" s="9" t="s">
        <v>1105</v>
      </c>
      <c r="K858" s="9"/>
      <c r="L858" s="9"/>
      <c r="M858" s="9"/>
      <c r="N858" s="9"/>
      <c r="O858" s="9"/>
      <c r="P858" s="9"/>
      <c r="Q858" s="19">
        <v>0</v>
      </c>
      <c r="R858" s="19">
        <v>0</v>
      </c>
      <c r="S858" s="19">
        <v>0</v>
      </c>
      <c r="T858" s="19">
        <v>0</v>
      </c>
      <c r="U858" s="19">
        <v>0</v>
      </c>
      <c r="V858" s="19">
        <v>0</v>
      </c>
      <c r="W858" s="19">
        <v>0</v>
      </c>
      <c r="X858" s="19">
        <v>0</v>
      </c>
      <c r="Y858" s="19">
        <v>0</v>
      </c>
      <c r="Z858" s="19">
        <v>0</v>
      </c>
      <c r="AA858" s="19">
        <v>0</v>
      </c>
      <c r="AB858" s="19">
        <v>0</v>
      </c>
      <c r="AC858" s="144">
        <v>0</v>
      </c>
      <c r="AD858" s="145">
        <v>0</v>
      </c>
      <c r="AE858" s="145">
        <v>0</v>
      </c>
      <c r="AF858" s="145">
        <v>0</v>
      </c>
      <c r="AG858" s="145">
        <v>0</v>
      </c>
      <c r="AH858" s="145">
        <v>0</v>
      </c>
      <c r="AI858" s="145">
        <v>0</v>
      </c>
    </row>
    <row r="859" spans="1:35" s="38" customFormat="1">
      <c r="A859" s="990">
        <v>775</v>
      </c>
      <c r="B859" s="990">
        <v>1</v>
      </c>
      <c r="C859" s="990">
        <v>859</v>
      </c>
      <c r="D859" s="1121" t="s">
        <v>999</v>
      </c>
      <c r="E859" s="1243">
        <v>1</v>
      </c>
      <c r="F859" s="9"/>
      <c r="G859" s="9"/>
      <c r="H859" s="24"/>
      <c r="I859" s="195"/>
      <c r="J859" s="9" t="s">
        <v>1106</v>
      </c>
      <c r="K859" s="10"/>
      <c r="L859" s="10"/>
      <c r="M859" s="9"/>
      <c r="N859" s="9"/>
      <c r="O859" s="9"/>
      <c r="P859" s="9"/>
      <c r="Q859" s="107">
        <v>0</v>
      </c>
      <c r="R859" s="107">
        <v>0</v>
      </c>
      <c r="S859" s="107">
        <v>0</v>
      </c>
      <c r="T859" s="107">
        <v>0</v>
      </c>
      <c r="U859" s="107">
        <v>0</v>
      </c>
      <c r="V859" s="107">
        <v>0</v>
      </c>
      <c r="W859" s="107">
        <v>0</v>
      </c>
      <c r="X859" s="107">
        <v>0</v>
      </c>
      <c r="Y859" s="107">
        <v>0</v>
      </c>
      <c r="Z859" s="107">
        <v>0</v>
      </c>
      <c r="AA859" s="107">
        <v>0</v>
      </c>
      <c r="AB859" s="107">
        <v>0</v>
      </c>
      <c r="AC859" s="144">
        <v>0</v>
      </c>
      <c r="AD859" s="145">
        <v>0</v>
      </c>
      <c r="AE859" s="145">
        <v>0</v>
      </c>
      <c r="AF859" s="145">
        <v>0</v>
      </c>
      <c r="AG859" s="145">
        <v>0</v>
      </c>
      <c r="AH859" s="145">
        <v>0</v>
      </c>
      <c r="AI859" s="145">
        <v>0</v>
      </c>
    </row>
    <row r="860" spans="1:35" s="38" customFormat="1">
      <c r="A860" s="990">
        <v>776</v>
      </c>
      <c r="B860" s="990">
        <v>1</v>
      </c>
      <c r="C860" s="990">
        <v>860</v>
      </c>
      <c r="D860" s="38" t="s">
        <v>999</v>
      </c>
      <c r="E860" s="1243">
        <v>1</v>
      </c>
      <c r="F860" s="9"/>
      <c r="G860" s="9"/>
      <c r="H860" s="24"/>
      <c r="I860" s="194"/>
      <c r="J860" s="12" t="s">
        <v>1107</v>
      </c>
      <c r="K860" s="18"/>
      <c r="L860" s="18"/>
      <c r="M860" s="12"/>
      <c r="N860" s="12"/>
      <c r="O860" s="12"/>
      <c r="P860" s="12"/>
      <c r="Q860" s="113">
        <v>0</v>
      </c>
      <c r="R860" s="113">
        <v>0</v>
      </c>
      <c r="S860" s="113">
        <v>0</v>
      </c>
      <c r="T860" s="113">
        <v>0</v>
      </c>
      <c r="U860" s="113">
        <v>0</v>
      </c>
      <c r="V860" s="113">
        <v>0</v>
      </c>
      <c r="W860" s="113">
        <v>0</v>
      </c>
      <c r="X860" s="113">
        <v>0</v>
      </c>
      <c r="Y860" s="113">
        <v>0</v>
      </c>
      <c r="Z860" s="113">
        <v>0</v>
      </c>
      <c r="AA860" s="113">
        <v>0</v>
      </c>
      <c r="AB860" s="113">
        <v>0</v>
      </c>
      <c r="AC860" s="141">
        <v>0</v>
      </c>
      <c r="AD860" s="142">
        <v>0</v>
      </c>
      <c r="AE860" s="142">
        <v>0</v>
      </c>
      <c r="AF860" s="142">
        <v>0</v>
      </c>
      <c r="AG860" s="142">
        <v>0</v>
      </c>
      <c r="AH860" s="142">
        <v>0</v>
      </c>
      <c r="AI860" s="142">
        <v>0</v>
      </c>
    </row>
    <row r="861" spans="1:35" s="38" customFormat="1">
      <c r="A861" s="990">
        <v>777</v>
      </c>
      <c r="B861" s="990">
        <v>1</v>
      </c>
      <c r="C861" s="990">
        <v>861</v>
      </c>
      <c r="D861" s="38" t="s">
        <v>999</v>
      </c>
      <c r="E861" s="1243">
        <v>1</v>
      </c>
      <c r="F861" s="9"/>
      <c r="G861" s="9"/>
      <c r="H861" s="24"/>
      <c r="I861" s="427" t="s">
        <v>1075</v>
      </c>
      <c r="J861" s="810"/>
      <c r="K861" s="811"/>
      <c r="L861" s="811"/>
      <c r="M861" s="811"/>
      <c r="N861" s="811"/>
      <c r="O861" s="811"/>
      <c r="P861" s="811"/>
      <c r="Q861" s="2071">
        <v>0</v>
      </c>
      <c r="R861" s="2071">
        <v>0</v>
      </c>
      <c r="S861" s="2071">
        <v>0</v>
      </c>
      <c r="T861" s="2071">
        <v>0</v>
      </c>
      <c r="U861" s="2071">
        <v>0</v>
      </c>
      <c r="V861" s="2071">
        <v>0</v>
      </c>
      <c r="W861" s="2071">
        <v>0</v>
      </c>
      <c r="X861" s="2071">
        <v>0</v>
      </c>
      <c r="Y861" s="2071">
        <v>0</v>
      </c>
      <c r="Z861" s="2071">
        <v>0</v>
      </c>
      <c r="AA861" s="2071">
        <v>0</v>
      </c>
      <c r="AB861" s="2071">
        <v>0</v>
      </c>
      <c r="AC861" s="2653">
        <v>0</v>
      </c>
      <c r="AD861" s="2071">
        <v>0</v>
      </c>
      <c r="AE861" s="2071">
        <v>0</v>
      </c>
      <c r="AF861" s="2071">
        <v>0</v>
      </c>
      <c r="AG861" s="2071">
        <v>0</v>
      </c>
      <c r="AH861" s="2071">
        <v>0</v>
      </c>
      <c r="AI861" s="2071">
        <v>0</v>
      </c>
    </row>
    <row r="862" spans="1:35" s="38" customFormat="1">
      <c r="A862" s="990">
        <v>778</v>
      </c>
      <c r="B862" s="990">
        <v>1</v>
      </c>
      <c r="C862" s="990">
        <v>862</v>
      </c>
      <c r="D862" s="38" t="s">
        <v>999</v>
      </c>
      <c r="E862" s="1243">
        <v>1</v>
      </c>
      <c r="F862" s="9"/>
      <c r="G862" s="9"/>
      <c r="H862" s="24"/>
      <c r="I862" s="212"/>
      <c r="J862" s="9" t="s">
        <v>1104</v>
      </c>
      <c r="K862" s="9"/>
      <c r="L862" s="9"/>
      <c r="M862" s="9"/>
      <c r="N862" s="9"/>
      <c r="O862" s="9"/>
      <c r="P862" s="9"/>
      <c r="Q862" s="2036"/>
      <c r="R862" s="2036"/>
      <c r="S862" s="2036"/>
      <c r="T862" s="2036"/>
      <c r="U862" s="2036"/>
      <c r="V862" s="2036"/>
      <c r="W862" s="2036"/>
      <c r="X862" s="2036"/>
      <c r="Y862" s="2036"/>
      <c r="Z862" s="2036"/>
      <c r="AA862" s="2036"/>
      <c r="AB862" s="2036"/>
      <c r="AC862" s="144">
        <v>0</v>
      </c>
      <c r="AD862" s="145">
        <v>0</v>
      </c>
      <c r="AE862" s="145">
        <v>0</v>
      </c>
      <c r="AF862" s="145">
        <v>0</v>
      </c>
      <c r="AG862" s="145">
        <v>0</v>
      </c>
      <c r="AH862" s="145">
        <v>0</v>
      </c>
      <c r="AI862" s="145">
        <v>0</v>
      </c>
    </row>
    <row r="863" spans="1:35" s="38" customFormat="1">
      <c r="A863" s="990">
        <v>779</v>
      </c>
      <c r="B863" s="990">
        <v>1</v>
      </c>
      <c r="C863" s="990">
        <v>863</v>
      </c>
      <c r="D863" s="38" t="s">
        <v>999</v>
      </c>
      <c r="E863" s="1243">
        <v>1</v>
      </c>
      <c r="F863" s="9"/>
      <c r="G863" s="9"/>
      <c r="H863" s="24"/>
      <c r="I863" s="212"/>
      <c r="J863" s="9" t="s">
        <v>1105</v>
      </c>
      <c r="K863" s="9"/>
      <c r="L863" s="9"/>
      <c r="M863" s="9"/>
      <c r="N863" s="9"/>
      <c r="O863" s="9"/>
      <c r="P863" s="9"/>
      <c r="Q863" s="2036"/>
      <c r="R863" s="2036"/>
      <c r="S863" s="2036"/>
      <c r="T863" s="2036"/>
      <c r="U863" s="2036"/>
      <c r="V863" s="2036"/>
      <c r="W863" s="2036"/>
      <c r="X863" s="2036"/>
      <c r="Y863" s="2036"/>
      <c r="Z863" s="2036"/>
      <c r="AA863" s="2036"/>
      <c r="AB863" s="2036"/>
      <c r="AC863" s="144">
        <v>0</v>
      </c>
      <c r="AD863" s="145">
        <v>0</v>
      </c>
      <c r="AE863" s="145">
        <v>0</v>
      </c>
      <c r="AF863" s="145">
        <v>0</v>
      </c>
      <c r="AG863" s="145">
        <v>0</v>
      </c>
      <c r="AH863" s="145">
        <v>0</v>
      </c>
      <c r="AI863" s="145">
        <v>0</v>
      </c>
    </row>
    <row r="864" spans="1:35" s="38" customFormat="1">
      <c r="A864" s="990">
        <v>780</v>
      </c>
      <c r="B864" s="990">
        <v>1</v>
      </c>
      <c r="C864" s="990">
        <v>864</v>
      </c>
      <c r="D864" s="38" t="s">
        <v>999</v>
      </c>
      <c r="E864" s="1243">
        <v>1</v>
      </c>
      <c r="F864" s="9"/>
      <c r="G864" s="9"/>
      <c r="H864" s="24"/>
      <c r="I864" s="195"/>
      <c r="J864" s="9" t="s">
        <v>1106</v>
      </c>
      <c r="K864" s="10"/>
      <c r="L864" s="10"/>
      <c r="M864" s="9"/>
      <c r="N864" s="9"/>
      <c r="O864" s="9"/>
      <c r="P864" s="9"/>
      <c r="Q864" s="2036"/>
      <c r="R864" s="2036"/>
      <c r="S864" s="2036"/>
      <c r="T864" s="2036"/>
      <c r="U864" s="2036"/>
      <c r="V864" s="2036"/>
      <c r="W864" s="2036"/>
      <c r="X864" s="2036"/>
      <c r="Y864" s="2036"/>
      <c r="Z864" s="2036"/>
      <c r="AA864" s="2036"/>
      <c r="AB864" s="2036"/>
      <c r="AC864" s="144">
        <v>0</v>
      </c>
      <c r="AD864" s="145">
        <v>0</v>
      </c>
      <c r="AE864" s="145">
        <v>0</v>
      </c>
      <c r="AF864" s="145">
        <v>0</v>
      </c>
      <c r="AG864" s="145">
        <v>0</v>
      </c>
      <c r="AH864" s="145">
        <v>0</v>
      </c>
      <c r="AI864" s="145">
        <v>0</v>
      </c>
    </row>
    <row r="865" spans="1:35" s="38" customFormat="1">
      <c r="A865" s="990">
        <v>781</v>
      </c>
      <c r="B865" s="990">
        <v>1</v>
      </c>
      <c r="C865" s="990">
        <v>865</v>
      </c>
      <c r="D865" s="1121" t="s">
        <v>999</v>
      </c>
      <c r="E865" s="1243">
        <v>1</v>
      </c>
      <c r="F865" s="9"/>
      <c r="G865" s="9"/>
      <c r="H865" s="24"/>
      <c r="I865" s="194"/>
      <c r="J865" s="12" t="s">
        <v>1107</v>
      </c>
      <c r="K865" s="18"/>
      <c r="L865" s="18"/>
      <c r="M865" s="12"/>
      <c r="N865" s="12"/>
      <c r="O865" s="12"/>
      <c r="P865" s="12"/>
      <c r="Q865" s="2037"/>
      <c r="R865" s="2037"/>
      <c r="S865" s="2037"/>
      <c r="T865" s="2037"/>
      <c r="U865" s="2037"/>
      <c r="V865" s="2037"/>
      <c r="W865" s="2037"/>
      <c r="X865" s="2037"/>
      <c r="Y865" s="2037"/>
      <c r="Z865" s="2037"/>
      <c r="AA865" s="2037"/>
      <c r="AB865" s="2037"/>
      <c r="AC865" s="141">
        <v>0</v>
      </c>
      <c r="AD865" s="142">
        <v>0</v>
      </c>
      <c r="AE865" s="142">
        <v>0</v>
      </c>
      <c r="AF865" s="142">
        <v>0</v>
      </c>
      <c r="AG865" s="142">
        <v>0</v>
      </c>
      <c r="AH865" s="142">
        <v>0</v>
      </c>
      <c r="AI865" s="142">
        <v>0</v>
      </c>
    </row>
    <row r="866" spans="1:35" s="38" customFormat="1">
      <c r="A866" s="990">
        <v>782</v>
      </c>
      <c r="B866" s="990">
        <v>1</v>
      </c>
      <c r="C866" s="990">
        <v>866</v>
      </c>
      <c r="D866" s="38" t="s">
        <v>999</v>
      </c>
      <c r="E866" s="1255">
        <v>1</v>
      </c>
      <c r="F866" s="9"/>
      <c r="G866" s="75"/>
      <c r="H866" s="24"/>
      <c r="I866" s="1396" t="s">
        <v>1063</v>
      </c>
      <c r="J866" s="812"/>
      <c r="K866" s="813"/>
      <c r="L866" s="813"/>
      <c r="M866" s="813"/>
      <c r="N866" s="813"/>
      <c r="O866" s="813"/>
      <c r="P866" s="814"/>
      <c r="Q866" s="2069">
        <v>0</v>
      </c>
      <c r="R866" s="2069">
        <v>0</v>
      </c>
      <c r="S866" s="2069">
        <v>0</v>
      </c>
      <c r="T866" s="2069">
        <v>0</v>
      </c>
      <c r="U866" s="2069">
        <v>0</v>
      </c>
      <c r="V866" s="2069">
        <v>0</v>
      </c>
      <c r="W866" s="2069">
        <v>0</v>
      </c>
      <c r="X866" s="2069">
        <v>0</v>
      </c>
      <c r="Y866" s="2069">
        <v>0</v>
      </c>
      <c r="Z866" s="2069">
        <v>0</v>
      </c>
      <c r="AA866" s="2069">
        <v>0</v>
      </c>
      <c r="AB866" s="2069">
        <v>0</v>
      </c>
      <c r="AC866" s="2654">
        <v>0</v>
      </c>
      <c r="AD866" s="2069">
        <v>0</v>
      </c>
      <c r="AE866" s="2069">
        <v>0</v>
      </c>
      <c r="AF866" s="2069">
        <v>0</v>
      </c>
      <c r="AG866" s="2069">
        <v>0</v>
      </c>
      <c r="AH866" s="2069">
        <v>0</v>
      </c>
      <c r="AI866" s="2069">
        <v>0</v>
      </c>
    </row>
    <row r="867" spans="1:35" s="38" customFormat="1">
      <c r="A867" s="990">
        <v>783</v>
      </c>
      <c r="B867" s="990">
        <v>1</v>
      </c>
      <c r="C867" s="990">
        <v>867</v>
      </c>
      <c r="D867" s="38" t="s">
        <v>999</v>
      </c>
      <c r="E867" s="1244">
        <v>1</v>
      </c>
      <c r="F867" s="75"/>
      <c r="G867" s="75"/>
      <c r="H867" s="24"/>
      <c r="I867" s="212"/>
      <c r="J867" s="9" t="s">
        <v>1104</v>
      </c>
      <c r="K867" s="9"/>
      <c r="L867" s="9"/>
      <c r="M867" s="9"/>
      <c r="N867" s="9"/>
      <c r="O867" s="9"/>
      <c r="P867" s="9"/>
      <c r="Q867" s="2091"/>
      <c r="R867" s="2091"/>
      <c r="S867" s="2091"/>
      <c r="T867" s="2091"/>
      <c r="U867" s="2091"/>
      <c r="V867" s="2091"/>
      <c r="W867" s="2091"/>
      <c r="X867" s="2091"/>
      <c r="Y867" s="2091"/>
      <c r="Z867" s="2091"/>
      <c r="AA867" s="2091"/>
      <c r="AB867" s="2091"/>
      <c r="AC867" s="144">
        <v>0</v>
      </c>
      <c r="AD867" s="145">
        <v>0</v>
      </c>
      <c r="AE867" s="145">
        <v>0</v>
      </c>
      <c r="AF867" s="145">
        <v>0</v>
      </c>
      <c r="AG867" s="145">
        <v>0</v>
      </c>
      <c r="AH867" s="145">
        <v>0</v>
      </c>
      <c r="AI867" s="145">
        <v>0</v>
      </c>
    </row>
    <row r="868" spans="1:35" s="38" customFormat="1">
      <c r="A868" s="990">
        <v>784</v>
      </c>
      <c r="B868" s="990">
        <v>1</v>
      </c>
      <c r="C868" s="990">
        <v>868</v>
      </c>
      <c r="D868" s="38" t="s">
        <v>999</v>
      </c>
      <c r="E868" s="1244">
        <v>1</v>
      </c>
      <c r="F868" s="75"/>
      <c r="G868" s="75"/>
      <c r="H868" s="24"/>
      <c r="I868" s="212"/>
      <c r="J868" s="9" t="s">
        <v>1105</v>
      </c>
      <c r="K868" s="9"/>
      <c r="L868" s="9"/>
      <c r="M868" s="9"/>
      <c r="N868" s="9"/>
      <c r="O868" s="9"/>
      <c r="P868" s="9"/>
      <c r="Q868" s="2091"/>
      <c r="R868" s="2091"/>
      <c r="S868" s="2091"/>
      <c r="T868" s="2091"/>
      <c r="U868" s="2091"/>
      <c r="V868" s="2091"/>
      <c r="W868" s="2091"/>
      <c r="X868" s="2091"/>
      <c r="Y868" s="2091"/>
      <c r="Z868" s="2091"/>
      <c r="AA868" s="2091"/>
      <c r="AB868" s="2091"/>
      <c r="AC868" s="144">
        <v>0</v>
      </c>
      <c r="AD868" s="145">
        <v>0</v>
      </c>
      <c r="AE868" s="145">
        <v>0</v>
      </c>
      <c r="AF868" s="145">
        <v>0</v>
      </c>
      <c r="AG868" s="145">
        <v>0</v>
      </c>
      <c r="AH868" s="145">
        <v>0</v>
      </c>
      <c r="AI868" s="145">
        <v>0</v>
      </c>
    </row>
    <row r="869" spans="1:35" s="38" customFormat="1">
      <c r="A869" s="990">
        <v>785</v>
      </c>
      <c r="B869" s="990">
        <v>1</v>
      </c>
      <c r="C869" s="990">
        <v>869</v>
      </c>
      <c r="D869" s="38" t="s">
        <v>999</v>
      </c>
      <c r="E869" s="1244">
        <v>1</v>
      </c>
      <c r="F869" s="75"/>
      <c r="G869" s="75"/>
      <c r="H869" s="24"/>
      <c r="I869" s="195"/>
      <c r="J869" s="9" t="s">
        <v>1106</v>
      </c>
      <c r="K869" s="10"/>
      <c r="L869" s="10"/>
      <c r="M869" s="9"/>
      <c r="N869" s="9"/>
      <c r="O869" s="9"/>
      <c r="P869" s="9"/>
      <c r="Q869" s="2091"/>
      <c r="R869" s="2091"/>
      <c r="S869" s="2091"/>
      <c r="T869" s="2091"/>
      <c r="U869" s="2091"/>
      <c r="V869" s="2091"/>
      <c r="W869" s="2091"/>
      <c r="X869" s="2091"/>
      <c r="Y869" s="2091"/>
      <c r="Z869" s="2091"/>
      <c r="AA869" s="2091"/>
      <c r="AB869" s="2091"/>
      <c r="AC869" s="144">
        <v>0</v>
      </c>
      <c r="AD869" s="145">
        <v>0</v>
      </c>
      <c r="AE869" s="145">
        <v>0</v>
      </c>
      <c r="AF869" s="145">
        <v>0</v>
      </c>
      <c r="AG869" s="145">
        <v>0</v>
      </c>
      <c r="AH869" s="145">
        <v>0</v>
      </c>
      <c r="AI869" s="145">
        <v>0</v>
      </c>
    </row>
    <row r="870" spans="1:35" s="38" customFormat="1">
      <c r="A870" s="990">
        <v>786</v>
      </c>
      <c r="B870" s="990">
        <v>1</v>
      </c>
      <c r="C870" s="990">
        <v>870</v>
      </c>
      <c r="D870" s="1121" t="s">
        <v>999</v>
      </c>
      <c r="E870" s="1244">
        <v>1</v>
      </c>
      <c r="F870" s="75"/>
      <c r="G870" s="75"/>
      <c r="H870" s="24"/>
      <c r="I870" s="194"/>
      <c r="J870" s="12" t="s">
        <v>1107</v>
      </c>
      <c r="K870" s="18"/>
      <c r="L870" s="18"/>
      <c r="M870" s="12"/>
      <c r="N870" s="12"/>
      <c r="O870" s="12"/>
      <c r="P870" s="12"/>
      <c r="Q870" s="2092"/>
      <c r="R870" s="2092"/>
      <c r="S870" s="2092"/>
      <c r="T870" s="2092"/>
      <c r="U870" s="2092"/>
      <c r="V870" s="2092"/>
      <c r="W870" s="2092"/>
      <c r="X870" s="2092"/>
      <c r="Y870" s="2092"/>
      <c r="Z870" s="2092"/>
      <c r="AA870" s="2092"/>
      <c r="AB870" s="2092"/>
      <c r="AC870" s="141">
        <v>0</v>
      </c>
      <c r="AD870" s="142">
        <v>0</v>
      </c>
      <c r="AE870" s="142">
        <v>0</v>
      </c>
      <c r="AF870" s="142">
        <v>0</v>
      </c>
      <c r="AG870" s="142">
        <v>0</v>
      </c>
      <c r="AH870" s="142">
        <v>0</v>
      </c>
      <c r="AI870" s="142">
        <v>0</v>
      </c>
    </row>
    <row r="871" spans="1:35" s="38" customFormat="1">
      <c r="A871" s="990">
        <v>787</v>
      </c>
      <c r="B871" s="990">
        <v>1</v>
      </c>
      <c r="C871" s="990">
        <v>871</v>
      </c>
      <c r="D871" s="38" t="s">
        <v>999</v>
      </c>
      <c r="E871" s="1243">
        <v>1</v>
      </c>
      <c r="F871" s="9"/>
      <c r="G871" s="9"/>
      <c r="H871" s="5"/>
      <c r="I871" s="14"/>
      <c r="J871" s="31"/>
      <c r="K871" s="24"/>
      <c r="L871" s="24"/>
      <c r="M871" s="31"/>
      <c r="N871" s="4"/>
      <c r="O871" s="4"/>
      <c r="P871" s="4"/>
      <c r="Q871" s="2222"/>
      <c r="R871" s="87"/>
      <c r="S871" s="87"/>
      <c r="T871" s="87"/>
      <c r="U871" s="87"/>
      <c r="V871" s="87"/>
      <c r="W871" s="87"/>
      <c r="X871" s="87"/>
      <c r="Y871" s="87"/>
      <c r="Z871" s="87"/>
      <c r="AA871" s="87"/>
      <c r="AB871" s="2223"/>
      <c r="AC871" s="87"/>
      <c r="AD871" s="87"/>
      <c r="AE871" s="87"/>
      <c r="AF871" s="87"/>
      <c r="AG871" s="87"/>
      <c r="AH871" s="87"/>
      <c r="AI871" s="87"/>
    </row>
    <row r="872" spans="1:35" s="38" customFormat="1">
      <c r="A872" s="990">
        <v>788</v>
      </c>
      <c r="B872" s="990">
        <v>1</v>
      </c>
      <c r="C872" s="990">
        <v>872</v>
      </c>
      <c r="E872" s="1243">
        <v>1</v>
      </c>
      <c r="F872" s="5"/>
      <c r="G872" s="5"/>
      <c r="H872" s="5"/>
      <c r="I872" s="5"/>
      <c r="J872" s="4"/>
      <c r="K872" s="5"/>
      <c r="L872" s="5"/>
      <c r="M872" s="4"/>
      <c r="N872" s="4"/>
      <c r="O872" s="4"/>
      <c r="P872" s="4"/>
      <c r="Q872" s="2225"/>
      <c r="R872" s="1151"/>
      <c r="S872" s="1151"/>
      <c r="T872" s="1151"/>
      <c r="U872" s="1151"/>
      <c r="V872" s="1151"/>
      <c r="W872" s="1"/>
      <c r="X872" s="1"/>
      <c r="Y872" s="1"/>
      <c r="Z872" s="163"/>
      <c r="AA872" s="9"/>
      <c r="AB872" s="86"/>
      <c r="AC872" s="9"/>
      <c r="AD872" s="9"/>
      <c r="AE872" s="9"/>
      <c r="AF872" s="9"/>
      <c r="AG872" s="9"/>
      <c r="AH872" s="9"/>
      <c r="AI872" s="9"/>
    </row>
    <row r="873" spans="1:35" s="38" customFormat="1" ht="25">
      <c r="A873" s="990">
        <v>789</v>
      </c>
      <c r="B873" s="990">
        <v>1</v>
      </c>
      <c r="C873" s="990">
        <v>873</v>
      </c>
      <c r="D873" s="38" t="s">
        <v>999</v>
      </c>
      <c r="E873" s="1243">
        <v>1</v>
      </c>
      <c r="F873" s="60" t="s">
        <v>1108</v>
      </c>
      <c r="G873" s="60"/>
      <c r="H873" s="561"/>
      <c r="I873" s="10"/>
      <c r="J873" s="9"/>
      <c r="K873" s="10"/>
      <c r="L873" s="10"/>
      <c r="M873" s="9"/>
      <c r="N873" s="9"/>
      <c r="O873" s="9"/>
      <c r="P873" s="291"/>
      <c r="Q873" s="2200"/>
      <c r="R873" s="1"/>
      <c r="S873" s="1"/>
      <c r="T873" s="1"/>
      <c r="U873" s="1"/>
      <c r="V873" s="1"/>
      <c r="W873" s="1"/>
      <c r="X873" s="1"/>
      <c r="Y873" s="1"/>
      <c r="Z873" s="1"/>
      <c r="AA873" s="9"/>
      <c r="AB873" s="86"/>
      <c r="AC873" s="9"/>
      <c r="AD873" s="9"/>
      <c r="AE873" s="9"/>
      <c r="AF873" s="9"/>
      <c r="AG873" s="9"/>
      <c r="AH873" s="9"/>
      <c r="AI873" s="9"/>
    </row>
    <row r="874" spans="1:35" s="38" customFormat="1" ht="15.5">
      <c r="A874" s="990">
        <v>790</v>
      </c>
      <c r="B874" s="990">
        <v>1</v>
      </c>
      <c r="C874" s="990">
        <v>874</v>
      </c>
      <c r="D874" s="38" t="s">
        <v>999</v>
      </c>
      <c r="E874" s="1243">
        <v>1</v>
      </c>
      <c r="G874" s="315" t="s">
        <v>1109</v>
      </c>
      <c r="H874" s="562"/>
      <c r="I874" s="5"/>
      <c r="J874" s="4"/>
      <c r="K874" s="5"/>
      <c r="L874" s="5"/>
      <c r="M874" s="4"/>
      <c r="N874" s="4"/>
      <c r="O874" s="4"/>
      <c r="P874" s="4"/>
      <c r="Q874" s="2225"/>
      <c r="R874" s="1151"/>
      <c r="S874" s="1151"/>
      <c r="T874" s="1151"/>
      <c r="U874" s="1151"/>
      <c r="V874" s="1151"/>
      <c r="W874" s="2179"/>
      <c r="X874" s="2179"/>
      <c r="Y874" s="2179"/>
      <c r="Z874" s="2179"/>
      <c r="AB874" s="1933"/>
    </row>
    <row r="875" spans="1:35" s="38" customFormat="1">
      <c r="A875" s="990">
        <v>791</v>
      </c>
      <c r="B875" s="990">
        <v>1</v>
      </c>
      <c r="C875" s="990">
        <v>875</v>
      </c>
      <c r="D875" s="38" t="s">
        <v>999</v>
      </c>
      <c r="E875" s="1243">
        <v>1</v>
      </c>
      <c r="F875" s="5"/>
      <c r="G875" s="5"/>
      <c r="H875" s="5" t="s">
        <v>99</v>
      </c>
      <c r="I875" s="5"/>
      <c r="J875" s="4"/>
      <c r="K875" s="5"/>
      <c r="L875" s="5"/>
      <c r="M875" s="4"/>
      <c r="N875" s="4"/>
      <c r="O875" s="4"/>
      <c r="P875" s="4"/>
      <c r="Q875" s="2225"/>
      <c r="R875" s="1151"/>
      <c r="S875" s="1151"/>
      <c r="T875" s="1151"/>
      <c r="U875" s="1151"/>
      <c r="V875" s="1151"/>
      <c r="W875" s="2179"/>
      <c r="X875" s="2179"/>
      <c r="Y875" s="2179"/>
      <c r="Z875" s="2179"/>
      <c r="AB875" s="1933"/>
    </row>
    <row r="876" spans="1:35" s="38" customFormat="1">
      <c r="A876" s="990">
        <v>792</v>
      </c>
      <c r="B876" s="990">
        <v>1</v>
      </c>
      <c r="C876" s="990">
        <v>876</v>
      </c>
      <c r="D876" s="1121" t="s">
        <v>999</v>
      </c>
      <c r="E876" s="1243">
        <v>1</v>
      </c>
      <c r="F876" s="340"/>
      <c r="G876" s="340"/>
      <c r="H876" s="341"/>
      <c r="I876" s="2655" t="s">
        <v>328</v>
      </c>
      <c r="J876" s="2656"/>
      <c r="K876" s="657"/>
      <c r="L876" s="657"/>
      <c r="M876" s="657"/>
      <c r="N876" s="657"/>
      <c r="O876" s="657"/>
      <c r="P876" s="657"/>
      <c r="Q876" s="2137">
        <v>0</v>
      </c>
      <c r="R876" s="337">
        <v>0</v>
      </c>
      <c r="S876" s="337">
        <v>0</v>
      </c>
      <c r="T876" s="337">
        <v>0</v>
      </c>
      <c r="U876" s="337">
        <v>0</v>
      </c>
      <c r="V876" s="337">
        <v>0</v>
      </c>
      <c r="W876" s="337">
        <v>0</v>
      </c>
      <c r="X876" s="337">
        <v>0</v>
      </c>
      <c r="Y876" s="337">
        <v>0</v>
      </c>
      <c r="Z876" s="337">
        <v>0</v>
      </c>
      <c r="AA876" s="337">
        <v>0</v>
      </c>
      <c r="AB876" s="337">
        <v>0</v>
      </c>
      <c r="AC876" s="337">
        <v>0</v>
      </c>
      <c r="AD876" s="337">
        <v>0</v>
      </c>
      <c r="AE876" s="337">
        <v>0</v>
      </c>
      <c r="AF876" s="337">
        <v>0</v>
      </c>
      <c r="AG876" s="337">
        <v>0</v>
      </c>
      <c r="AH876" s="337">
        <v>0</v>
      </c>
      <c r="AI876" s="337">
        <v>0</v>
      </c>
    </row>
    <row r="877" spans="1:35" s="38" customFormat="1">
      <c r="A877" s="990">
        <v>793</v>
      </c>
      <c r="B877" s="990">
        <v>1</v>
      </c>
      <c r="C877" s="990">
        <v>877</v>
      </c>
      <c r="D877" s="38" t="s">
        <v>999</v>
      </c>
      <c r="E877" s="1243">
        <v>1</v>
      </c>
      <c r="F877" s="5"/>
      <c r="G877" s="5"/>
      <c r="H877" s="5"/>
      <c r="I877" s="338"/>
      <c r="J877" s="52" t="s">
        <v>62</v>
      </c>
      <c r="K877" s="52"/>
      <c r="L877" s="52"/>
      <c r="M877" s="51"/>
      <c r="N877" s="51"/>
      <c r="O877" s="51"/>
      <c r="P877" s="51"/>
      <c r="Q877" s="49">
        <v>0</v>
      </c>
      <c r="R877" s="49">
        <v>0</v>
      </c>
      <c r="S877" s="49">
        <v>0</v>
      </c>
      <c r="T877" s="49">
        <v>0</v>
      </c>
      <c r="U877" s="49">
        <v>0</v>
      </c>
      <c r="V877" s="49">
        <v>0</v>
      </c>
      <c r="W877" s="49">
        <v>0</v>
      </c>
      <c r="X877" s="49">
        <v>0</v>
      </c>
      <c r="Y877" s="49">
        <v>0</v>
      </c>
      <c r="Z877" s="49">
        <v>0</v>
      </c>
      <c r="AA877" s="49">
        <v>0</v>
      </c>
      <c r="AB877" s="49">
        <v>0</v>
      </c>
      <c r="AC877" s="1553">
        <v>0</v>
      </c>
      <c r="AD877" s="49">
        <v>0</v>
      </c>
      <c r="AE877" s="49">
        <v>0</v>
      </c>
      <c r="AF877" s="49">
        <v>0</v>
      </c>
      <c r="AG877" s="49">
        <v>0</v>
      </c>
      <c r="AH877" s="49">
        <v>0</v>
      </c>
      <c r="AI877" s="49">
        <v>0</v>
      </c>
    </row>
    <row r="878" spans="1:35" s="38" customFormat="1">
      <c r="A878" s="990">
        <v>794</v>
      </c>
      <c r="B878" s="990">
        <v>1</v>
      </c>
      <c r="C878" s="990">
        <v>878</v>
      </c>
      <c r="E878" s="1243">
        <v>1</v>
      </c>
      <c r="F878" s="5"/>
      <c r="G878" s="5"/>
      <c r="H878" s="5"/>
      <c r="I878" s="338"/>
      <c r="J878" s="5"/>
      <c r="K878" s="5"/>
      <c r="L878" s="5"/>
      <c r="M878" s="4"/>
      <c r="N878" s="45"/>
      <c r="O878" s="45" t="s">
        <v>125</v>
      </c>
      <c r="P878" s="4"/>
      <c r="Q878" s="2047">
        <v>0</v>
      </c>
      <c r="R878" s="2047">
        <v>0</v>
      </c>
      <c r="S878" s="2047">
        <v>0</v>
      </c>
      <c r="T878" s="2047">
        <v>0</v>
      </c>
      <c r="U878" s="2047">
        <v>0</v>
      </c>
      <c r="V878" s="2047">
        <v>0</v>
      </c>
      <c r="W878" s="2047">
        <v>0</v>
      </c>
      <c r="X878" s="2047">
        <v>0</v>
      </c>
      <c r="Y878" s="2047">
        <v>0</v>
      </c>
      <c r="Z878" s="2047">
        <v>0</v>
      </c>
      <c r="AA878" s="2047">
        <v>0</v>
      </c>
      <c r="AB878" s="2047">
        <v>0</v>
      </c>
      <c r="AC878" s="1511">
        <v>0</v>
      </c>
      <c r="AD878" s="44">
        <v>0</v>
      </c>
      <c r="AE878" s="44">
        <v>0</v>
      </c>
      <c r="AF878" s="44">
        <v>0</v>
      </c>
      <c r="AG878" s="44">
        <v>0</v>
      </c>
      <c r="AH878" s="44">
        <v>0</v>
      </c>
      <c r="AI878" s="44">
        <v>0</v>
      </c>
    </row>
    <row r="879" spans="1:35" s="38" customFormat="1">
      <c r="A879" s="990">
        <v>795</v>
      </c>
      <c r="B879" s="990">
        <v>1</v>
      </c>
      <c r="C879" s="990">
        <v>879</v>
      </c>
      <c r="E879" s="1243">
        <v>1</v>
      </c>
      <c r="F879" s="5"/>
      <c r="G879" s="5"/>
      <c r="H879" s="5"/>
      <c r="I879" s="338"/>
      <c r="J879" s="5"/>
      <c r="K879" s="5"/>
      <c r="L879" s="5"/>
      <c r="M879" s="4"/>
      <c r="N879" s="45"/>
      <c r="O879" s="45" t="s">
        <v>124</v>
      </c>
      <c r="P879" s="4"/>
      <c r="Q879" s="2047">
        <v>0</v>
      </c>
      <c r="R879" s="2047">
        <v>0</v>
      </c>
      <c r="S879" s="2047">
        <v>0</v>
      </c>
      <c r="T879" s="2047">
        <v>0</v>
      </c>
      <c r="U879" s="2047">
        <v>0</v>
      </c>
      <c r="V879" s="2047">
        <v>0</v>
      </c>
      <c r="W879" s="2047">
        <v>0</v>
      </c>
      <c r="X879" s="2047">
        <v>0</v>
      </c>
      <c r="Y879" s="2047">
        <v>0</v>
      </c>
      <c r="Z879" s="2047">
        <v>0</v>
      </c>
      <c r="AA879" s="2047">
        <v>0</v>
      </c>
      <c r="AB879" s="2047">
        <v>0</v>
      </c>
      <c r="AC879" s="1511">
        <v>0</v>
      </c>
      <c r="AD879" s="44">
        <v>0</v>
      </c>
      <c r="AE879" s="44">
        <v>0</v>
      </c>
      <c r="AF879" s="44">
        <v>0</v>
      </c>
      <c r="AG879" s="44">
        <v>0</v>
      </c>
      <c r="AH879" s="44">
        <v>0</v>
      </c>
      <c r="AI879" s="44">
        <v>0</v>
      </c>
    </row>
    <row r="880" spans="1:35" s="38" customFormat="1">
      <c r="A880" s="990">
        <v>796</v>
      </c>
      <c r="B880" s="990">
        <v>1</v>
      </c>
      <c r="C880" s="990">
        <v>880</v>
      </c>
      <c r="D880" s="1121"/>
      <c r="E880" s="1243">
        <v>1</v>
      </c>
      <c r="F880" s="5"/>
      <c r="G880" s="5"/>
      <c r="H880" s="5"/>
      <c r="I880" s="338"/>
      <c r="J880" s="5"/>
      <c r="K880" s="5"/>
      <c r="L880" s="5"/>
      <c r="M880" s="4"/>
      <c r="N880" s="45"/>
      <c r="O880" s="45" t="s">
        <v>123</v>
      </c>
      <c r="P880" s="4"/>
      <c r="Q880" s="2047">
        <v>0</v>
      </c>
      <c r="R880" s="2047">
        <v>0</v>
      </c>
      <c r="S880" s="2047">
        <v>0</v>
      </c>
      <c r="T880" s="2047">
        <v>0</v>
      </c>
      <c r="U880" s="2047">
        <v>0</v>
      </c>
      <c r="V880" s="2047">
        <v>0</v>
      </c>
      <c r="W880" s="2047">
        <v>0</v>
      </c>
      <c r="X880" s="2047">
        <v>0</v>
      </c>
      <c r="Y880" s="2047">
        <v>0</v>
      </c>
      <c r="Z880" s="2047">
        <v>0</v>
      </c>
      <c r="AA880" s="2047">
        <v>0</v>
      </c>
      <c r="AB880" s="2047">
        <v>0</v>
      </c>
      <c r="AC880" s="1511">
        <v>0</v>
      </c>
      <c r="AD880" s="44">
        <v>0</v>
      </c>
      <c r="AE880" s="44">
        <v>0</v>
      </c>
      <c r="AF880" s="44">
        <v>0</v>
      </c>
      <c r="AG880" s="44">
        <v>0</v>
      </c>
      <c r="AH880" s="44">
        <v>0</v>
      </c>
      <c r="AI880" s="44">
        <v>0</v>
      </c>
    </row>
    <row r="881" spans="1:35" s="38" customFormat="1">
      <c r="A881" s="990">
        <v>797</v>
      </c>
      <c r="B881" s="990">
        <v>1</v>
      </c>
      <c r="C881" s="990">
        <v>881</v>
      </c>
      <c r="D881" s="1121"/>
      <c r="E881" s="1243">
        <v>1</v>
      </c>
      <c r="F881" s="5"/>
      <c r="G881" s="5"/>
      <c r="H881" s="5"/>
      <c r="I881" s="338"/>
      <c r="J881" s="3"/>
      <c r="K881" s="3"/>
      <c r="L881" s="3"/>
      <c r="M881" s="2"/>
      <c r="N881" s="43"/>
      <c r="O881" s="43" t="s">
        <v>120</v>
      </c>
      <c r="P881" s="2"/>
      <c r="Q881" s="2048">
        <v>0</v>
      </c>
      <c r="R881" s="2048">
        <v>0</v>
      </c>
      <c r="S881" s="2048">
        <v>0</v>
      </c>
      <c r="T881" s="2048">
        <v>0</v>
      </c>
      <c r="U881" s="2048">
        <v>0</v>
      </c>
      <c r="V881" s="2048">
        <v>0</v>
      </c>
      <c r="W881" s="2048">
        <v>0</v>
      </c>
      <c r="X881" s="2048">
        <v>0</v>
      </c>
      <c r="Y881" s="2048">
        <v>0</v>
      </c>
      <c r="Z881" s="2048">
        <v>0</v>
      </c>
      <c r="AA881" s="2048">
        <v>0</v>
      </c>
      <c r="AB881" s="2048">
        <v>0</v>
      </c>
      <c r="AC881" s="1554">
        <v>0</v>
      </c>
      <c r="AD881" s="42">
        <v>0</v>
      </c>
      <c r="AE881" s="42">
        <v>0</v>
      </c>
      <c r="AF881" s="42">
        <v>0</v>
      </c>
      <c r="AG881" s="42">
        <v>0</v>
      </c>
      <c r="AH881" s="42">
        <v>0</v>
      </c>
      <c r="AI881" s="42">
        <v>0</v>
      </c>
    </row>
    <row r="882" spans="1:35" s="38" customFormat="1">
      <c r="A882" s="990">
        <v>798</v>
      </c>
      <c r="B882" s="990">
        <v>1</v>
      </c>
      <c r="C882" s="990">
        <v>882</v>
      </c>
      <c r="D882" s="1121" t="s">
        <v>999</v>
      </c>
      <c r="E882" s="1243">
        <v>1</v>
      </c>
      <c r="F882" s="5"/>
      <c r="G882" s="5"/>
      <c r="H882" s="5"/>
      <c r="I882" s="338"/>
      <c r="J882" s="52" t="s">
        <v>330</v>
      </c>
      <c r="K882" s="52"/>
      <c r="L882" s="52"/>
      <c r="M882" s="51"/>
      <c r="N882" s="51"/>
      <c r="O882" s="51"/>
      <c r="P882" s="51"/>
      <c r="Q882" s="2059">
        <v>0</v>
      </c>
      <c r="R882" s="2059">
        <v>0</v>
      </c>
      <c r="S882" s="2059">
        <v>0</v>
      </c>
      <c r="T882" s="2059">
        <v>0</v>
      </c>
      <c r="U882" s="2059">
        <v>0</v>
      </c>
      <c r="V882" s="2059">
        <v>0</v>
      </c>
      <c r="W882" s="2059">
        <v>0</v>
      </c>
      <c r="X882" s="2059">
        <v>0</v>
      </c>
      <c r="Y882" s="2059">
        <v>0</v>
      </c>
      <c r="Z882" s="2059">
        <v>0</v>
      </c>
      <c r="AA882" s="2059">
        <v>0</v>
      </c>
      <c r="AB882" s="2059">
        <v>0</v>
      </c>
      <c r="AC882" s="1553">
        <v>0</v>
      </c>
      <c r="AD882" s="49">
        <v>0</v>
      </c>
      <c r="AE882" s="49">
        <v>0</v>
      </c>
      <c r="AF882" s="49">
        <v>0</v>
      </c>
      <c r="AG882" s="49">
        <v>0</v>
      </c>
      <c r="AH882" s="49">
        <v>0</v>
      </c>
      <c r="AI882" s="49">
        <v>0</v>
      </c>
    </row>
    <row r="883" spans="1:35" s="820" customFormat="1">
      <c r="A883" s="990">
        <v>799</v>
      </c>
      <c r="B883" s="990">
        <v>1</v>
      </c>
      <c r="C883" s="990">
        <v>883</v>
      </c>
      <c r="D883" s="1121"/>
      <c r="E883" s="1243">
        <v>1</v>
      </c>
      <c r="F883" s="5"/>
      <c r="G883" s="5"/>
      <c r="H883" s="5"/>
      <c r="I883" s="338"/>
      <c r="J883" s="5"/>
      <c r="K883" s="5"/>
      <c r="L883" s="5"/>
      <c r="M883" s="4"/>
      <c r="N883" s="45"/>
      <c r="O883" s="45" t="s">
        <v>67</v>
      </c>
      <c r="P883" s="4"/>
      <c r="Q883" s="2047">
        <v>0</v>
      </c>
      <c r="R883" s="2047">
        <v>0</v>
      </c>
      <c r="S883" s="2047">
        <v>0</v>
      </c>
      <c r="T883" s="2047">
        <v>0</v>
      </c>
      <c r="U883" s="2047">
        <v>0</v>
      </c>
      <c r="V883" s="2047">
        <v>0</v>
      </c>
      <c r="W883" s="2047">
        <v>0</v>
      </c>
      <c r="X883" s="2047">
        <v>0</v>
      </c>
      <c r="Y883" s="2047">
        <v>0</v>
      </c>
      <c r="Z883" s="2047">
        <v>0</v>
      </c>
      <c r="AA883" s="2047">
        <v>0</v>
      </c>
      <c r="AB883" s="2047">
        <v>0</v>
      </c>
      <c r="AC883" s="1511">
        <v>0</v>
      </c>
      <c r="AD883" s="44">
        <v>0</v>
      </c>
      <c r="AE883" s="44">
        <v>0</v>
      </c>
      <c r="AF883" s="44">
        <v>0</v>
      </c>
      <c r="AG883" s="44">
        <v>0</v>
      </c>
      <c r="AH883" s="44">
        <v>0</v>
      </c>
      <c r="AI883" s="44">
        <v>0</v>
      </c>
    </row>
    <row r="884" spans="1:35" s="38" customFormat="1">
      <c r="A884" s="990">
        <v>800</v>
      </c>
      <c r="B884" s="990">
        <v>1</v>
      </c>
      <c r="C884" s="990">
        <v>884</v>
      </c>
      <c r="D884" s="1121"/>
      <c r="E884" s="1243">
        <v>1</v>
      </c>
      <c r="F884" s="5"/>
      <c r="G884" s="5"/>
      <c r="H884" s="5"/>
      <c r="I884" s="338"/>
      <c r="J884" s="5"/>
      <c r="K884" s="5"/>
      <c r="L884" s="5"/>
      <c r="M884" s="4"/>
      <c r="N884" s="45"/>
      <c r="O884" s="45" t="s">
        <v>68</v>
      </c>
      <c r="P884" s="4"/>
      <c r="Q884" s="2047">
        <v>0</v>
      </c>
      <c r="R884" s="2047">
        <v>0</v>
      </c>
      <c r="S884" s="2047">
        <v>0</v>
      </c>
      <c r="T884" s="2047">
        <v>0</v>
      </c>
      <c r="U884" s="2047">
        <v>0</v>
      </c>
      <c r="V884" s="2047">
        <v>0</v>
      </c>
      <c r="W884" s="2047">
        <v>0</v>
      </c>
      <c r="X884" s="2047">
        <v>0</v>
      </c>
      <c r="Y884" s="2047">
        <v>0</v>
      </c>
      <c r="Z884" s="2047">
        <v>0</v>
      </c>
      <c r="AA884" s="2047">
        <v>0</v>
      </c>
      <c r="AB884" s="2047">
        <v>0</v>
      </c>
      <c r="AC884" s="1511">
        <v>0</v>
      </c>
      <c r="AD884" s="44">
        <v>0</v>
      </c>
      <c r="AE884" s="44">
        <v>0</v>
      </c>
      <c r="AF884" s="44">
        <v>0</v>
      </c>
      <c r="AG884" s="44">
        <v>0</v>
      </c>
      <c r="AH884" s="44">
        <v>0</v>
      </c>
      <c r="AI884" s="44">
        <v>0</v>
      </c>
    </row>
    <row r="885" spans="1:35" s="38" customFormat="1">
      <c r="A885" s="990">
        <v>801</v>
      </c>
      <c r="B885" s="990">
        <v>1</v>
      </c>
      <c r="C885" s="990">
        <v>885</v>
      </c>
      <c r="E885" s="1243">
        <v>1</v>
      </c>
      <c r="F885" s="5"/>
      <c r="G885" s="5"/>
      <c r="H885" s="5"/>
      <c r="I885" s="338"/>
      <c r="J885" s="5"/>
      <c r="K885" s="5"/>
      <c r="L885" s="5"/>
      <c r="M885" s="4"/>
      <c r="N885" s="45"/>
      <c r="O885" s="45" t="s">
        <v>122</v>
      </c>
      <c r="P885" s="4"/>
      <c r="Q885" s="2047">
        <v>0</v>
      </c>
      <c r="R885" s="2047">
        <v>0</v>
      </c>
      <c r="S885" s="2047">
        <v>0</v>
      </c>
      <c r="T885" s="2047">
        <v>0</v>
      </c>
      <c r="U885" s="2047">
        <v>0</v>
      </c>
      <c r="V885" s="2047">
        <v>0</v>
      </c>
      <c r="W885" s="2047">
        <v>0</v>
      </c>
      <c r="X885" s="2047">
        <v>0</v>
      </c>
      <c r="Y885" s="2047">
        <v>0</v>
      </c>
      <c r="Z885" s="2047">
        <v>0</v>
      </c>
      <c r="AA885" s="2047">
        <v>0</v>
      </c>
      <c r="AB885" s="2047">
        <v>0</v>
      </c>
      <c r="AC885" s="1511">
        <v>0</v>
      </c>
      <c r="AD885" s="44">
        <v>0</v>
      </c>
      <c r="AE885" s="44">
        <v>0</v>
      </c>
      <c r="AF885" s="44">
        <v>0</v>
      </c>
      <c r="AG885" s="44">
        <v>0</v>
      </c>
      <c r="AH885" s="44">
        <v>0</v>
      </c>
      <c r="AI885" s="44">
        <v>0</v>
      </c>
    </row>
    <row r="886" spans="1:35" s="38" customFormat="1">
      <c r="A886" s="990">
        <v>802</v>
      </c>
      <c r="B886" s="990">
        <v>1</v>
      </c>
      <c r="C886" s="990">
        <v>886</v>
      </c>
      <c r="E886" s="1243">
        <v>1</v>
      </c>
      <c r="F886" s="5"/>
      <c r="G886" s="5"/>
      <c r="H886" s="5"/>
      <c r="I886" s="338"/>
      <c r="J886" s="5"/>
      <c r="K886" s="5"/>
      <c r="L886" s="5"/>
      <c r="M886" s="4"/>
      <c r="N886" s="45"/>
      <c r="O886" s="45" t="s">
        <v>121</v>
      </c>
      <c r="P886" s="4"/>
      <c r="Q886" s="2047">
        <v>0</v>
      </c>
      <c r="R886" s="2047">
        <v>0</v>
      </c>
      <c r="S886" s="2047">
        <v>0</v>
      </c>
      <c r="T886" s="2047">
        <v>0</v>
      </c>
      <c r="U886" s="2047">
        <v>0</v>
      </c>
      <c r="V886" s="2047">
        <v>0</v>
      </c>
      <c r="W886" s="2047">
        <v>0</v>
      </c>
      <c r="X886" s="2047">
        <v>0</v>
      </c>
      <c r="Y886" s="2047">
        <v>0</v>
      </c>
      <c r="Z886" s="2047">
        <v>0</v>
      </c>
      <c r="AA886" s="2047">
        <v>0</v>
      </c>
      <c r="AB886" s="2047">
        <v>0</v>
      </c>
      <c r="AC886" s="1511">
        <v>0</v>
      </c>
      <c r="AD886" s="44">
        <v>0</v>
      </c>
      <c r="AE886" s="44">
        <v>0</v>
      </c>
      <c r="AF886" s="44">
        <v>0</v>
      </c>
      <c r="AG886" s="44">
        <v>0</v>
      </c>
      <c r="AH886" s="44">
        <v>0</v>
      </c>
      <c r="AI886" s="44">
        <v>0</v>
      </c>
    </row>
    <row r="887" spans="1:35" s="38" customFormat="1">
      <c r="A887" s="990">
        <v>803</v>
      </c>
      <c r="B887" s="990">
        <v>1</v>
      </c>
      <c r="C887" s="990">
        <v>887</v>
      </c>
      <c r="E887" s="1243">
        <v>1</v>
      </c>
      <c r="F887" s="5"/>
      <c r="G887" s="5"/>
      <c r="H887" s="5"/>
      <c r="I887" s="338"/>
      <c r="J887" s="5"/>
      <c r="K887" s="5"/>
      <c r="L887" s="5"/>
      <c r="M887" s="4"/>
      <c r="N887" s="45"/>
      <c r="O887" s="45" t="s">
        <v>120</v>
      </c>
      <c r="P887" s="4"/>
      <c r="Q887" s="2047">
        <v>0</v>
      </c>
      <c r="R887" s="2047">
        <v>0</v>
      </c>
      <c r="S887" s="2047">
        <v>0</v>
      </c>
      <c r="T887" s="2047">
        <v>0</v>
      </c>
      <c r="U887" s="2047">
        <v>0</v>
      </c>
      <c r="V887" s="2047">
        <v>0</v>
      </c>
      <c r="W887" s="2047">
        <v>0</v>
      </c>
      <c r="X887" s="2047">
        <v>0</v>
      </c>
      <c r="Y887" s="2047">
        <v>0</v>
      </c>
      <c r="Z887" s="2047">
        <v>0</v>
      </c>
      <c r="AA887" s="2047">
        <v>0</v>
      </c>
      <c r="AB887" s="2047">
        <v>0</v>
      </c>
      <c r="AC887" s="1511">
        <v>0</v>
      </c>
      <c r="AD887" s="44">
        <v>0</v>
      </c>
      <c r="AE887" s="44">
        <v>0</v>
      </c>
      <c r="AF887" s="44">
        <v>0</v>
      </c>
      <c r="AG887" s="44">
        <v>0</v>
      </c>
      <c r="AH887" s="44">
        <v>0</v>
      </c>
      <c r="AI887" s="44">
        <v>0</v>
      </c>
    </row>
    <row r="888" spans="1:35" s="38" customFormat="1">
      <c r="A888" s="990">
        <v>804</v>
      </c>
      <c r="B888" s="990">
        <v>1</v>
      </c>
      <c r="C888" s="990">
        <v>888</v>
      </c>
      <c r="D888" s="38" t="s">
        <v>999</v>
      </c>
      <c r="E888" s="1243">
        <v>1</v>
      </c>
      <c r="F888" s="5"/>
      <c r="G888" s="5"/>
      <c r="H888" s="5"/>
      <c r="I888" s="338"/>
      <c r="J888" s="324" t="s">
        <v>334</v>
      </c>
      <c r="K888" s="324"/>
      <c r="L888" s="324"/>
      <c r="M888" s="323"/>
      <c r="N888" s="323"/>
      <c r="O888" s="323"/>
      <c r="P888" s="323"/>
      <c r="Q888" s="2193">
        <v>0</v>
      </c>
      <c r="R888" s="2193">
        <v>0</v>
      </c>
      <c r="S888" s="2193">
        <v>0</v>
      </c>
      <c r="T888" s="2193">
        <v>0</v>
      </c>
      <c r="U888" s="2193">
        <v>0</v>
      </c>
      <c r="V888" s="2193">
        <v>0</v>
      </c>
      <c r="W888" s="2193">
        <v>0</v>
      </c>
      <c r="X888" s="2193">
        <v>0</v>
      </c>
      <c r="Y888" s="2193">
        <v>0</v>
      </c>
      <c r="Z888" s="2193">
        <v>0</v>
      </c>
      <c r="AA888" s="2193">
        <v>0</v>
      </c>
      <c r="AB888" s="2193">
        <v>0</v>
      </c>
      <c r="AC888" s="1278">
        <v>0</v>
      </c>
      <c r="AD888" s="325">
        <v>0</v>
      </c>
      <c r="AE888" s="325">
        <v>0</v>
      </c>
      <c r="AF888" s="325">
        <v>0</v>
      </c>
      <c r="AG888" s="325">
        <v>0</v>
      </c>
      <c r="AH888" s="325">
        <v>0</v>
      </c>
      <c r="AI888" s="325">
        <v>0</v>
      </c>
    </row>
    <row r="889" spans="1:35" s="38" customFormat="1">
      <c r="A889" s="990">
        <v>805</v>
      </c>
      <c r="B889" s="990">
        <v>1</v>
      </c>
      <c r="C889" s="990">
        <v>889</v>
      </c>
      <c r="D889" s="1121"/>
      <c r="E889" s="1243">
        <v>1</v>
      </c>
      <c r="F889" s="5"/>
      <c r="G889" s="5"/>
      <c r="H889" s="5"/>
      <c r="I889" s="338"/>
      <c r="J889" s="5"/>
      <c r="K889" s="5"/>
      <c r="L889" s="5"/>
      <c r="M889" s="4"/>
      <c r="N889" s="45"/>
      <c r="O889" s="45" t="s">
        <v>323</v>
      </c>
      <c r="P889" s="4"/>
      <c r="Q889" s="2047">
        <v>0</v>
      </c>
      <c r="R889" s="2047">
        <v>0</v>
      </c>
      <c r="S889" s="2047">
        <v>0</v>
      </c>
      <c r="T889" s="2047">
        <v>0</v>
      </c>
      <c r="U889" s="2047">
        <v>0</v>
      </c>
      <c r="V889" s="2047">
        <v>0</v>
      </c>
      <c r="W889" s="2047">
        <v>0</v>
      </c>
      <c r="X889" s="2047">
        <v>0</v>
      </c>
      <c r="Y889" s="2047">
        <v>0</v>
      </c>
      <c r="Z889" s="2047">
        <v>0</v>
      </c>
      <c r="AA889" s="2047">
        <v>0</v>
      </c>
      <c r="AB889" s="2047">
        <v>0</v>
      </c>
      <c r="AC889" s="1511">
        <v>0</v>
      </c>
      <c r="AD889" s="44">
        <v>0</v>
      </c>
      <c r="AE889" s="44">
        <v>0</v>
      </c>
      <c r="AF889" s="44">
        <v>0</v>
      </c>
      <c r="AG889" s="44">
        <v>0</v>
      </c>
      <c r="AH889" s="44">
        <v>0</v>
      </c>
      <c r="AI889" s="44">
        <v>0</v>
      </c>
    </row>
    <row r="890" spans="1:35" s="38" customFormat="1">
      <c r="A890" s="990">
        <v>806</v>
      </c>
      <c r="B890" s="990">
        <v>1</v>
      </c>
      <c r="C890" s="990">
        <v>890</v>
      </c>
      <c r="E890" s="1243">
        <v>1</v>
      </c>
      <c r="F890" s="5"/>
      <c r="G890" s="5"/>
      <c r="H890" s="5"/>
      <c r="I890" s="338"/>
      <c r="J890" s="5"/>
      <c r="K890" s="5"/>
      <c r="L890" s="5"/>
      <c r="M890" s="4"/>
      <c r="N890" s="45"/>
      <c r="O890" s="45" t="s">
        <v>324</v>
      </c>
      <c r="P890" s="4"/>
      <c r="Q890" s="2047">
        <v>0</v>
      </c>
      <c r="R890" s="2047">
        <v>0</v>
      </c>
      <c r="S890" s="2047">
        <v>0</v>
      </c>
      <c r="T890" s="2047">
        <v>0</v>
      </c>
      <c r="U890" s="2047">
        <v>0</v>
      </c>
      <c r="V890" s="2047">
        <v>0</v>
      </c>
      <c r="W890" s="2047">
        <v>0</v>
      </c>
      <c r="X890" s="2047">
        <v>0</v>
      </c>
      <c r="Y890" s="2047">
        <v>0</v>
      </c>
      <c r="Z890" s="2047">
        <v>0</v>
      </c>
      <c r="AA890" s="2047">
        <v>0</v>
      </c>
      <c r="AB890" s="2047">
        <v>0</v>
      </c>
      <c r="AC890" s="1511">
        <v>0</v>
      </c>
      <c r="AD890" s="44">
        <v>0</v>
      </c>
      <c r="AE890" s="44">
        <v>0</v>
      </c>
      <c r="AF890" s="44">
        <v>0</v>
      </c>
      <c r="AG890" s="44">
        <v>0</v>
      </c>
      <c r="AH890" s="44">
        <v>0</v>
      </c>
      <c r="AI890" s="44">
        <v>0</v>
      </c>
    </row>
    <row r="891" spans="1:35" s="38" customFormat="1">
      <c r="A891" s="990">
        <v>807</v>
      </c>
      <c r="B891" s="990">
        <v>1</v>
      </c>
      <c r="C891" s="990">
        <v>891</v>
      </c>
      <c r="E891" s="1243">
        <v>1</v>
      </c>
      <c r="F891" s="5"/>
      <c r="G891" s="5"/>
      <c r="H891" s="5"/>
      <c r="I891" s="338"/>
      <c r="J891" s="5"/>
      <c r="K891" s="5"/>
      <c r="L891" s="5"/>
      <c r="M891" s="4"/>
      <c r="N891" s="45"/>
      <c r="O891" s="45" t="s">
        <v>325</v>
      </c>
      <c r="P891" s="4"/>
      <c r="Q891" s="2047">
        <v>0</v>
      </c>
      <c r="R891" s="2047">
        <v>0</v>
      </c>
      <c r="S891" s="2047">
        <v>0</v>
      </c>
      <c r="T891" s="2047">
        <v>0</v>
      </c>
      <c r="U891" s="2047">
        <v>0</v>
      </c>
      <c r="V891" s="2047">
        <v>0</v>
      </c>
      <c r="W891" s="2047">
        <v>0</v>
      </c>
      <c r="X891" s="2047">
        <v>0</v>
      </c>
      <c r="Y891" s="2047">
        <v>0</v>
      </c>
      <c r="Z891" s="2047">
        <v>0</v>
      </c>
      <c r="AA891" s="2047">
        <v>0</v>
      </c>
      <c r="AB891" s="2047">
        <v>0</v>
      </c>
      <c r="AC891" s="1511">
        <v>0</v>
      </c>
      <c r="AD891" s="44">
        <v>0</v>
      </c>
      <c r="AE891" s="44">
        <v>0</v>
      </c>
      <c r="AF891" s="44">
        <v>0</v>
      </c>
      <c r="AG891" s="44">
        <v>0</v>
      </c>
      <c r="AH891" s="44">
        <v>0</v>
      </c>
      <c r="AI891" s="44">
        <v>0</v>
      </c>
    </row>
    <row r="892" spans="1:35" s="38" customFormat="1">
      <c r="A892" s="990">
        <v>808</v>
      </c>
      <c r="B892" s="990">
        <v>1</v>
      </c>
      <c r="C892" s="990">
        <v>892</v>
      </c>
      <c r="E892" s="1243">
        <v>1</v>
      </c>
      <c r="F892" s="5"/>
      <c r="G892" s="5"/>
      <c r="H892" s="5"/>
      <c r="I892" s="338"/>
      <c r="J892" s="3"/>
      <c r="K892" s="3"/>
      <c r="L892" s="3"/>
      <c r="M892" s="2"/>
      <c r="N892" s="43"/>
      <c r="O892" s="43" t="s">
        <v>326</v>
      </c>
      <c r="P892" s="2"/>
      <c r="Q892" s="2048">
        <v>0</v>
      </c>
      <c r="R892" s="2048">
        <v>0</v>
      </c>
      <c r="S892" s="2048">
        <v>0</v>
      </c>
      <c r="T892" s="2048">
        <v>0</v>
      </c>
      <c r="U892" s="2048">
        <v>0</v>
      </c>
      <c r="V892" s="2048">
        <v>0</v>
      </c>
      <c r="W892" s="2048">
        <v>0</v>
      </c>
      <c r="X892" s="2048">
        <v>0</v>
      </c>
      <c r="Y892" s="2048">
        <v>0</v>
      </c>
      <c r="Z892" s="2048">
        <v>0</v>
      </c>
      <c r="AA892" s="2048">
        <v>0</v>
      </c>
      <c r="AB892" s="2048">
        <v>0</v>
      </c>
      <c r="AC892" s="1554">
        <v>0</v>
      </c>
      <c r="AD892" s="42">
        <v>0</v>
      </c>
      <c r="AE892" s="42">
        <v>0</v>
      </c>
      <c r="AF892" s="42">
        <v>0</v>
      </c>
      <c r="AG892" s="42">
        <v>0</v>
      </c>
      <c r="AH892" s="42">
        <v>0</v>
      </c>
      <c r="AI892" s="42">
        <v>0</v>
      </c>
    </row>
    <row r="893" spans="1:35" s="38" customFormat="1">
      <c r="A893" s="990">
        <v>809</v>
      </c>
      <c r="B893" s="990">
        <v>1</v>
      </c>
      <c r="C893" s="990">
        <v>893</v>
      </c>
      <c r="D893" s="38" t="s">
        <v>999</v>
      </c>
      <c r="E893" s="1243">
        <v>1</v>
      </c>
      <c r="F893" s="5"/>
      <c r="G893" s="5"/>
      <c r="H893" s="5"/>
      <c r="I893" s="338"/>
      <c r="J893" s="52" t="s">
        <v>73</v>
      </c>
      <c r="K893" s="52"/>
      <c r="L893" s="52"/>
      <c r="M893" s="51"/>
      <c r="N893" s="51"/>
      <c r="O893" s="51"/>
      <c r="P893" s="51"/>
      <c r="Q893" s="2059">
        <v>0</v>
      </c>
      <c r="R893" s="2059">
        <v>0</v>
      </c>
      <c r="S893" s="2059">
        <v>0</v>
      </c>
      <c r="T893" s="2059">
        <v>0</v>
      </c>
      <c r="U893" s="2059">
        <v>0</v>
      </c>
      <c r="V893" s="2059">
        <v>0</v>
      </c>
      <c r="W893" s="2059">
        <v>0</v>
      </c>
      <c r="X893" s="2059">
        <v>0</v>
      </c>
      <c r="Y893" s="2059">
        <v>0</v>
      </c>
      <c r="Z893" s="2059">
        <v>0</v>
      </c>
      <c r="AA893" s="2059">
        <v>0</v>
      </c>
      <c r="AB893" s="2059">
        <v>0</v>
      </c>
      <c r="AC893" s="1553">
        <v>0</v>
      </c>
      <c r="AD893" s="49">
        <v>0</v>
      </c>
      <c r="AE893" s="49">
        <v>0</v>
      </c>
      <c r="AF893" s="49">
        <v>0</v>
      </c>
      <c r="AG893" s="49">
        <v>0</v>
      </c>
      <c r="AH893" s="49">
        <v>0</v>
      </c>
      <c r="AI893" s="49">
        <v>0</v>
      </c>
    </row>
    <row r="894" spans="1:35" s="38" customFormat="1">
      <c r="A894" s="990">
        <v>810</v>
      </c>
      <c r="B894" s="990">
        <v>1</v>
      </c>
      <c r="C894" s="990">
        <v>894</v>
      </c>
      <c r="E894" s="1243">
        <v>1</v>
      </c>
      <c r="F894" s="5"/>
      <c r="G894" s="5"/>
      <c r="H894" s="5"/>
      <c r="I894" s="338"/>
      <c r="J894" s="5"/>
      <c r="K894" s="5"/>
      <c r="L894" s="4"/>
      <c r="M894" s="4"/>
      <c r="N894" s="45"/>
      <c r="O894" s="45" t="s">
        <v>119</v>
      </c>
      <c r="P894" s="45"/>
      <c r="Q894" s="2047">
        <v>0</v>
      </c>
      <c r="R894" s="2047">
        <v>0</v>
      </c>
      <c r="S894" s="2047">
        <v>0</v>
      </c>
      <c r="T894" s="2047">
        <v>0</v>
      </c>
      <c r="U894" s="2047">
        <v>0</v>
      </c>
      <c r="V894" s="2047">
        <v>0</v>
      </c>
      <c r="W894" s="2047">
        <v>0</v>
      </c>
      <c r="X894" s="2047">
        <v>0</v>
      </c>
      <c r="Y894" s="2047">
        <v>0</v>
      </c>
      <c r="Z894" s="2047">
        <v>0</v>
      </c>
      <c r="AA894" s="2047">
        <v>0</v>
      </c>
      <c r="AB894" s="2047">
        <v>0</v>
      </c>
      <c r="AC894" s="1511">
        <v>0</v>
      </c>
      <c r="AD894" s="44">
        <v>0</v>
      </c>
      <c r="AE894" s="44">
        <v>0</v>
      </c>
      <c r="AF894" s="44">
        <v>0</v>
      </c>
      <c r="AG894" s="44">
        <v>0</v>
      </c>
      <c r="AH894" s="44">
        <v>0</v>
      </c>
      <c r="AI894" s="44">
        <v>0</v>
      </c>
    </row>
    <row r="895" spans="1:35" s="38" customFormat="1">
      <c r="A895" s="990">
        <v>811</v>
      </c>
      <c r="B895" s="990">
        <v>1</v>
      </c>
      <c r="C895" s="990">
        <v>895</v>
      </c>
      <c r="D895" s="1121"/>
      <c r="E895" s="1243">
        <v>1</v>
      </c>
      <c r="F895" s="5"/>
      <c r="G895" s="5"/>
      <c r="H895" s="5"/>
      <c r="I895" s="338"/>
      <c r="J895" s="5"/>
      <c r="K895" s="5"/>
      <c r="L895" s="4"/>
      <c r="M895" s="4"/>
      <c r="N895" s="45"/>
      <c r="O895" s="45" t="s">
        <v>75</v>
      </c>
      <c r="P895" s="45"/>
      <c r="Q895" s="2047">
        <v>0</v>
      </c>
      <c r="R895" s="2047">
        <v>0</v>
      </c>
      <c r="S895" s="2047">
        <v>0</v>
      </c>
      <c r="T895" s="2047">
        <v>0</v>
      </c>
      <c r="U895" s="2047">
        <v>0</v>
      </c>
      <c r="V895" s="2047">
        <v>0</v>
      </c>
      <c r="W895" s="2047">
        <v>0</v>
      </c>
      <c r="X895" s="2047">
        <v>0</v>
      </c>
      <c r="Y895" s="2047">
        <v>0</v>
      </c>
      <c r="Z895" s="2047">
        <v>0</v>
      </c>
      <c r="AA895" s="2047">
        <v>0</v>
      </c>
      <c r="AB895" s="2047">
        <v>0</v>
      </c>
      <c r="AC895" s="1511">
        <v>0</v>
      </c>
      <c r="AD895" s="44">
        <v>0</v>
      </c>
      <c r="AE895" s="44">
        <v>0</v>
      </c>
      <c r="AF895" s="44">
        <v>0</v>
      </c>
      <c r="AG895" s="44">
        <v>0</v>
      </c>
      <c r="AH895" s="44">
        <v>0</v>
      </c>
      <c r="AI895" s="44">
        <v>0</v>
      </c>
    </row>
    <row r="896" spans="1:35" s="38" customFormat="1">
      <c r="A896" s="990">
        <v>812</v>
      </c>
      <c r="B896" s="990">
        <v>1</v>
      </c>
      <c r="C896" s="990">
        <v>896</v>
      </c>
      <c r="E896" s="1243">
        <v>1</v>
      </c>
      <c r="F896" s="5"/>
      <c r="G896" s="5"/>
      <c r="H896" s="5"/>
      <c r="I896" s="338"/>
      <c r="J896" s="5"/>
      <c r="K896" s="5"/>
      <c r="L896" s="4"/>
      <c r="M896" s="4"/>
      <c r="N896" s="45"/>
      <c r="O896" s="45" t="s">
        <v>76</v>
      </c>
      <c r="P896" s="45"/>
      <c r="Q896" s="2047">
        <v>0</v>
      </c>
      <c r="R896" s="2047">
        <v>0</v>
      </c>
      <c r="S896" s="2047">
        <v>0</v>
      </c>
      <c r="T896" s="2047">
        <v>0</v>
      </c>
      <c r="U896" s="2047">
        <v>0</v>
      </c>
      <c r="V896" s="2047">
        <v>0</v>
      </c>
      <c r="W896" s="2047">
        <v>0</v>
      </c>
      <c r="X896" s="2047">
        <v>0</v>
      </c>
      <c r="Y896" s="2047">
        <v>0</v>
      </c>
      <c r="Z896" s="2047">
        <v>0</v>
      </c>
      <c r="AA896" s="2047">
        <v>0</v>
      </c>
      <c r="AB896" s="2047">
        <v>0</v>
      </c>
      <c r="AC896" s="1511">
        <v>0</v>
      </c>
      <c r="AD896" s="44">
        <v>0</v>
      </c>
      <c r="AE896" s="44">
        <v>0</v>
      </c>
      <c r="AF896" s="44">
        <v>0</v>
      </c>
      <c r="AG896" s="44">
        <v>0</v>
      </c>
      <c r="AH896" s="44">
        <v>0</v>
      </c>
      <c r="AI896" s="44">
        <v>0</v>
      </c>
    </row>
    <row r="897" spans="1:35" s="38" customFormat="1">
      <c r="A897" s="990">
        <v>813</v>
      </c>
      <c r="B897" s="990">
        <v>1</v>
      </c>
      <c r="C897" s="990">
        <v>897</v>
      </c>
      <c r="E897" s="1243">
        <v>1</v>
      </c>
      <c r="F897" s="5"/>
      <c r="G897" s="5"/>
      <c r="H897" s="5"/>
      <c r="I897" s="338"/>
      <c r="J897" s="5"/>
      <c r="K897" s="5"/>
      <c r="L897" s="4"/>
      <c r="M897" s="4"/>
      <c r="N897" s="45"/>
      <c r="O897" s="45" t="s">
        <v>77</v>
      </c>
      <c r="P897" s="45"/>
      <c r="Q897" s="2047">
        <v>0</v>
      </c>
      <c r="R897" s="2047">
        <v>0</v>
      </c>
      <c r="S897" s="2047">
        <v>0</v>
      </c>
      <c r="T897" s="2047">
        <v>0</v>
      </c>
      <c r="U897" s="2047">
        <v>0</v>
      </c>
      <c r="V897" s="2047">
        <v>0</v>
      </c>
      <c r="W897" s="2047">
        <v>0</v>
      </c>
      <c r="X897" s="2047">
        <v>0</v>
      </c>
      <c r="Y897" s="2047">
        <v>0</v>
      </c>
      <c r="Z897" s="2047">
        <v>0</v>
      </c>
      <c r="AA897" s="2047">
        <v>0</v>
      </c>
      <c r="AB897" s="2047">
        <v>0</v>
      </c>
      <c r="AC897" s="1511">
        <v>0</v>
      </c>
      <c r="AD897" s="44">
        <v>0</v>
      </c>
      <c r="AE897" s="44">
        <v>0</v>
      </c>
      <c r="AF897" s="44">
        <v>0</v>
      </c>
      <c r="AG897" s="44">
        <v>0</v>
      </c>
      <c r="AH897" s="44">
        <v>0</v>
      </c>
      <c r="AI897" s="44">
        <v>0</v>
      </c>
    </row>
    <row r="898" spans="1:35" s="38" customFormat="1">
      <c r="A898" s="990">
        <v>814</v>
      </c>
      <c r="B898" s="990">
        <v>1</v>
      </c>
      <c r="C898" s="990">
        <v>898</v>
      </c>
      <c r="E898" s="1243">
        <v>1</v>
      </c>
      <c r="F898" s="5"/>
      <c r="G898" s="5"/>
      <c r="H898" s="5"/>
      <c r="I898" s="338"/>
      <c r="J898" s="5"/>
      <c r="K898" s="5"/>
      <c r="L898" s="4"/>
      <c r="M898" s="4"/>
      <c r="N898" s="45"/>
      <c r="O898" s="45" t="s">
        <v>11</v>
      </c>
      <c r="P898" s="45"/>
      <c r="Q898" s="2047">
        <v>0</v>
      </c>
      <c r="R898" s="2047">
        <v>0</v>
      </c>
      <c r="S898" s="2047">
        <v>0</v>
      </c>
      <c r="T898" s="2047">
        <v>0</v>
      </c>
      <c r="U898" s="2047">
        <v>0</v>
      </c>
      <c r="V898" s="2047">
        <v>0</v>
      </c>
      <c r="W898" s="2047">
        <v>0</v>
      </c>
      <c r="X898" s="2047">
        <v>0</v>
      </c>
      <c r="Y898" s="2047">
        <v>0</v>
      </c>
      <c r="Z898" s="2047">
        <v>0</v>
      </c>
      <c r="AA898" s="2047">
        <v>0</v>
      </c>
      <c r="AB898" s="2047">
        <v>0</v>
      </c>
      <c r="AC898" s="1511">
        <v>0</v>
      </c>
      <c r="AD898" s="44">
        <v>0</v>
      </c>
      <c r="AE898" s="44">
        <v>0</v>
      </c>
      <c r="AF898" s="44">
        <v>0</v>
      </c>
      <c r="AG898" s="44">
        <v>0</v>
      </c>
      <c r="AH898" s="44">
        <v>0</v>
      </c>
      <c r="AI898" s="44">
        <v>0</v>
      </c>
    </row>
    <row r="899" spans="1:35" s="38" customFormat="1">
      <c r="A899" s="990">
        <v>815</v>
      </c>
      <c r="B899" s="990">
        <v>1</v>
      </c>
      <c r="C899" s="990">
        <v>899</v>
      </c>
      <c r="D899" s="38" t="s">
        <v>999</v>
      </c>
      <c r="E899" s="1243">
        <v>1</v>
      </c>
      <c r="F899" s="5"/>
      <c r="G899" s="5"/>
      <c r="H899" s="5"/>
      <c r="I899" s="338"/>
      <c r="J899" s="324" t="s">
        <v>332</v>
      </c>
      <c r="K899" s="324"/>
      <c r="L899" s="324"/>
      <c r="M899" s="323"/>
      <c r="N899" s="323"/>
      <c r="O899" s="323"/>
      <c r="P899" s="323"/>
      <c r="Q899" s="2193">
        <v>0</v>
      </c>
      <c r="R899" s="2193">
        <v>0</v>
      </c>
      <c r="S899" s="2193">
        <v>0</v>
      </c>
      <c r="T899" s="2193">
        <v>0</v>
      </c>
      <c r="U899" s="2193">
        <v>0</v>
      </c>
      <c r="V899" s="2193">
        <v>0</v>
      </c>
      <c r="W899" s="2193">
        <v>0</v>
      </c>
      <c r="X899" s="2193">
        <v>0</v>
      </c>
      <c r="Y899" s="2193">
        <v>0</v>
      </c>
      <c r="Z899" s="2193">
        <v>0</v>
      </c>
      <c r="AA899" s="2193">
        <v>0</v>
      </c>
      <c r="AB899" s="2193">
        <v>0</v>
      </c>
      <c r="AC899" s="1278">
        <v>0</v>
      </c>
      <c r="AD899" s="325">
        <v>0</v>
      </c>
      <c r="AE899" s="325">
        <v>0</v>
      </c>
      <c r="AF899" s="325">
        <v>0</v>
      </c>
      <c r="AG899" s="325">
        <v>0</v>
      </c>
      <c r="AH899" s="325">
        <v>0</v>
      </c>
      <c r="AI899" s="325">
        <v>0</v>
      </c>
    </row>
    <row r="900" spans="1:35" s="38" customFormat="1">
      <c r="A900" s="990">
        <v>816</v>
      </c>
      <c r="B900" s="990">
        <v>1</v>
      </c>
      <c r="C900" s="990">
        <v>900</v>
      </c>
      <c r="D900" s="1121"/>
      <c r="E900" s="1243">
        <v>1</v>
      </c>
      <c r="F900" s="5"/>
      <c r="G900" s="5"/>
      <c r="H900" s="5"/>
      <c r="I900" s="338"/>
      <c r="J900" s="5"/>
      <c r="K900" s="5"/>
      <c r="L900" s="4"/>
      <c r="M900" s="4"/>
      <c r="N900" s="45"/>
      <c r="O900" s="45" t="s">
        <v>79</v>
      </c>
      <c r="P900" s="45"/>
      <c r="Q900" s="2047">
        <v>0</v>
      </c>
      <c r="R900" s="2047">
        <v>0</v>
      </c>
      <c r="S900" s="2047">
        <v>0</v>
      </c>
      <c r="T900" s="2047">
        <v>0</v>
      </c>
      <c r="U900" s="2047">
        <v>0</v>
      </c>
      <c r="V900" s="2047">
        <v>0</v>
      </c>
      <c r="W900" s="2047">
        <v>0</v>
      </c>
      <c r="X900" s="2047">
        <v>0</v>
      </c>
      <c r="Y900" s="2047">
        <v>0</v>
      </c>
      <c r="Z900" s="2047">
        <v>0</v>
      </c>
      <c r="AA900" s="2047">
        <v>0</v>
      </c>
      <c r="AB900" s="2047">
        <v>0</v>
      </c>
      <c r="AC900" s="1511">
        <v>0</v>
      </c>
      <c r="AD900" s="44">
        <v>0</v>
      </c>
      <c r="AE900" s="44">
        <v>0</v>
      </c>
      <c r="AF900" s="44">
        <v>0</v>
      </c>
      <c r="AG900" s="44">
        <v>0</v>
      </c>
      <c r="AH900" s="44">
        <v>0</v>
      </c>
      <c r="AI900" s="44">
        <v>0</v>
      </c>
    </row>
    <row r="901" spans="1:35" s="38" customFormat="1">
      <c r="A901" s="990">
        <v>817</v>
      </c>
      <c r="B901" s="990">
        <v>1</v>
      </c>
      <c r="C901" s="990">
        <v>901</v>
      </c>
      <c r="E901" s="1243">
        <v>1</v>
      </c>
      <c r="F901" s="5"/>
      <c r="G901" s="5"/>
      <c r="H901" s="5"/>
      <c r="I901" s="338"/>
      <c r="J901" s="5"/>
      <c r="K901" s="5"/>
      <c r="L901" s="4"/>
      <c r="M901" s="4"/>
      <c r="N901" s="45"/>
      <c r="O901" s="45" t="s">
        <v>80</v>
      </c>
      <c r="P901" s="45"/>
      <c r="Q901" s="2047">
        <v>0</v>
      </c>
      <c r="R901" s="2047">
        <v>0</v>
      </c>
      <c r="S901" s="2047">
        <v>0</v>
      </c>
      <c r="T901" s="2047">
        <v>0</v>
      </c>
      <c r="U901" s="2047">
        <v>0</v>
      </c>
      <c r="V901" s="2047">
        <v>0</v>
      </c>
      <c r="W901" s="2047">
        <v>0</v>
      </c>
      <c r="X901" s="2047">
        <v>0</v>
      </c>
      <c r="Y901" s="2047">
        <v>0</v>
      </c>
      <c r="Z901" s="2047">
        <v>0</v>
      </c>
      <c r="AA901" s="2047">
        <v>0</v>
      </c>
      <c r="AB901" s="2047">
        <v>0</v>
      </c>
      <c r="AC901" s="1511">
        <v>0</v>
      </c>
      <c r="AD901" s="44">
        <v>0</v>
      </c>
      <c r="AE901" s="44">
        <v>0</v>
      </c>
      <c r="AF901" s="44">
        <v>0</v>
      </c>
      <c r="AG901" s="44">
        <v>0</v>
      </c>
      <c r="AH901" s="44">
        <v>0</v>
      </c>
      <c r="AI901" s="44">
        <v>0</v>
      </c>
    </row>
    <row r="902" spans="1:35" s="38" customFormat="1">
      <c r="A902" s="990">
        <v>818</v>
      </c>
      <c r="B902" s="990">
        <v>1</v>
      </c>
      <c r="C902" s="990">
        <v>902</v>
      </c>
      <c r="E902" s="1243">
        <v>1</v>
      </c>
      <c r="F902" s="5"/>
      <c r="G902" s="5"/>
      <c r="H902" s="5"/>
      <c r="I902" s="339"/>
      <c r="J902" s="3"/>
      <c r="K902" s="3"/>
      <c r="L902" s="2"/>
      <c r="M902" s="2"/>
      <c r="N902" s="43"/>
      <c r="O902" s="43" t="s">
        <v>81</v>
      </c>
      <c r="P902" s="43"/>
      <c r="Q902" s="2048">
        <v>0</v>
      </c>
      <c r="R902" s="2048">
        <v>0</v>
      </c>
      <c r="S902" s="2048">
        <v>0</v>
      </c>
      <c r="T902" s="2048">
        <v>0</v>
      </c>
      <c r="U902" s="2048">
        <v>0</v>
      </c>
      <c r="V902" s="2048">
        <v>0</v>
      </c>
      <c r="W902" s="2048">
        <v>0</v>
      </c>
      <c r="X902" s="2048">
        <v>0</v>
      </c>
      <c r="Y902" s="2048">
        <v>0</v>
      </c>
      <c r="Z902" s="2048">
        <v>0</v>
      </c>
      <c r="AA902" s="2048">
        <v>0</v>
      </c>
      <c r="AB902" s="2048">
        <v>0</v>
      </c>
      <c r="AC902" s="1554">
        <v>0</v>
      </c>
      <c r="AD902" s="42">
        <v>0</v>
      </c>
      <c r="AE902" s="42">
        <v>0</v>
      </c>
      <c r="AF902" s="42">
        <v>0</v>
      </c>
      <c r="AG902" s="42">
        <v>0</v>
      </c>
      <c r="AH902" s="42">
        <v>0</v>
      </c>
      <c r="AI902" s="42">
        <v>0</v>
      </c>
    </row>
    <row r="903" spans="1:35" s="38" customFormat="1">
      <c r="A903" s="990">
        <v>819</v>
      </c>
      <c r="B903" s="990">
        <v>1</v>
      </c>
      <c r="C903" s="990">
        <v>903</v>
      </c>
      <c r="D903" s="38" t="s">
        <v>999</v>
      </c>
      <c r="E903" s="1243">
        <v>1</v>
      </c>
      <c r="F903" s="5"/>
      <c r="G903" s="5"/>
      <c r="H903" s="5"/>
      <c r="I903" s="2657" t="s">
        <v>1110</v>
      </c>
      <c r="J903" s="2392"/>
      <c r="K903" s="2378"/>
      <c r="L903" s="2378"/>
      <c r="M903" s="2392"/>
      <c r="N903" s="2392"/>
      <c r="O903" s="2392"/>
      <c r="P903" s="2392"/>
      <c r="Q903" s="2060">
        <v>0</v>
      </c>
      <c r="R903" s="2060">
        <v>0</v>
      </c>
      <c r="S903" s="2060">
        <v>0</v>
      </c>
      <c r="T903" s="2060">
        <v>0</v>
      </c>
      <c r="U903" s="2060">
        <v>0</v>
      </c>
      <c r="V903" s="2060">
        <v>0</v>
      </c>
      <c r="W903" s="2060">
        <v>0</v>
      </c>
      <c r="X903" s="2060">
        <v>0</v>
      </c>
      <c r="Y903" s="2060">
        <v>0</v>
      </c>
      <c r="Z903" s="2060">
        <v>0</v>
      </c>
      <c r="AA903" s="2060">
        <v>0</v>
      </c>
      <c r="AB903" s="2060">
        <v>0</v>
      </c>
      <c r="AC903" s="2658">
        <v>0</v>
      </c>
      <c r="AD903" s="2527">
        <v>0</v>
      </c>
      <c r="AE903" s="2527">
        <v>0</v>
      </c>
      <c r="AF903" s="2527">
        <v>0</v>
      </c>
      <c r="AG903" s="2527">
        <v>0</v>
      </c>
      <c r="AH903" s="2527">
        <v>0</v>
      </c>
      <c r="AI903" s="2527">
        <v>0</v>
      </c>
    </row>
    <row r="904" spans="1:35" s="38" customFormat="1">
      <c r="A904" s="990">
        <v>820</v>
      </c>
      <c r="B904" s="990">
        <v>1</v>
      </c>
      <c r="C904" s="990">
        <v>904</v>
      </c>
      <c r="D904" s="38" t="s">
        <v>999</v>
      </c>
      <c r="E904" s="1243">
        <v>1</v>
      </c>
      <c r="F904" s="5"/>
      <c r="G904" s="5"/>
      <c r="H904" s="5"/>
      <c r="I904" s="5"/>
      <c r="J904" s="4"/>
      <c r="K904" s="5"/>
      <c r="L904" s="5"/>
      <c r="M904" s="4"/>
      <c r="N904" s="4"/>
      <c r="O904" s="4"/>
      <c r="P904" s="4"/>
      <c r="Q904" s="2659"/>
      <c r="R904" s="2180"/>
      <c r="S904" s="2180"/>
      <c r="T904" s="2180"/>
      <c r="U904" s="2180"/>
      <c r="V904" s="2180"/>
      <c r="W904" s="2180"/>
      <c r="X904" s="2180"/>
      <c r="Y904" s="2180"/>
      <c r="Z904" s="2180"/>
      <c r="AB904" s="1933"/>
    </row>
    <row r="905" spans="1:35" s="38" customFormat="1" ht="15.5">
      <c r="A905" s="990">
        <v>821</v>
      </c>
      <c r="B905" s="990">
        <v>1</v>
      </c>
      <c r="C905" s="990">
        <v>905</v>
      </c>
      <c r="D905" s="38" t="s">
        <v>999</v>
      </c>
      <c r="E905" s="1243">
        <v>1</v>
      </c>
      <c r="G905" s="315" t="s">
        <v>1111</v>
      </c>
      <c r="H905" s="562"/>
      <c r="I905" s="5"/>
      <c r="J905" s="4"/>
      <c r="K905" s="5"/>
      <c r="L905" s="5"/>
      <c r="M905" s="4"/>
      <c r="N905" s="4"/>
      <c r="O905" s="4"/>
      <c r="P905" s="4"/>
      <c r="Q905" s="1934"/>
      <c r="R905" s="2181"/>
      <c r="S905" s="2181"/>
      <c r="T905" s="2181"/>
      <c r="U905" s="2181"/>
      <c r="V905" s="2181"/>
      <c r="W905" s="2181"/>
      <c r="X905" s="2181"/>
      <c r="Y905" s="2181"/>
      <c r="Z905" s="2181"/>
      <c r="AB905" s="1933"/>
    </row>
    <row r="906" spans="1:35" s="38" customFormat="1">
      <c r="A906" s="990">
        <v>822</v>
      </c>
      <c r="B906" s="990">
        <v>1</v>
      </c>
      <c r="C906" s="990">
        <v>906</v>
      </c>
      <c r="D906" s="1121" t="s">
        <v>999</v>
      </c>
      <c r="E906" s="1243">
        <v>1</v>
      </c>
      <c r="F906" s="5"/>
      <c r="G906" s="5"/>
      <c r="H906" s="5" t="s">
        <v>98</v>
      </c>
      <c r="I906" s="5"/>
      <c r="J906" s="4"/>
      <c r="K906" s="5"/>
      <c r="L906" s="5"/>
      <c r="M906" s="4"/>
      <c r="N906" s="4"/>
      <c r="O906" s="4"/>
      <c r="P906" s="4"/>
      <c r="Q906" s="2224"/>
      <c r="R906" s="2034"/>
      <c r="S906" s="2034"/>
      <c r="T906" s="2034"/>
      <c r="U906" s="2034"/>
      <c r="V906" s="2034"/>
      <c r="W906" s="2034"/>
      <c r="X906" s="2034"/>
      <c r="Y906" s="2034"/>
      <c r="Z906" s="2034"/>
      <c r="AB906" s="1933"/>
    </row>
    <row r="907" spans="1:35" s="38" customFormat="1">
      <c r="A907" s="990">
        <v>823</v>
      </c>
      <c r="B907" s="990">
        <v>1</v>
      </c>
      <c r="C907" s="990">
        <v>907</v>
      </c>
      <c r="D907" s="38" t="s">
        <v>999</v>
      </c>
      <c r="E907" s="1243">
        <v>1</v>
      </c>
      <c r="F907" s="340"/>
      <c r="G907" s="340"/>
      <c r="H907" s="341"/>
      <c r="I907" s="2660" t="s">
        <v>328</v>
      </c>
      <c r="J907" s="2661"/>
      <c r="K907" s="1501"/>
      <c r="L907" s="1501"/>
      <c r="M907" s="1501"/>
      <c r="N907" s="1501"/>
      <c r="O907" s="1501"/>
      <c r="P907" s="1501"/>
      <c r="Q907" s="2062">
        <v>0</v>
      </c>
      <c r="R907" s="137">
        <v>0</v>
      </c>
      <c r="S907" s="137">
        <v>0</v>
      </c>
      <c r="T907" s="137">
        <v>0</v>
      </c>
      <c r="U907" s="137">
        <v>0</v>
      </c>
      <c r="V907" s="137">
        <v>0</v>
      </c>
      <c r="W907" s="137">
        <v>0</v>
      </c>
      <c r="X907" s="137">
        <v>0</v>
      </c>
      <c r="Y907" s="137">
        <v>0</v>
      </c>
      <c r="Z907" s="137">
        <v>0</v>
      </c>
      <c r="AA907" s="137">
        <v>0</v>
      </c>
      <c r="AB907" s="137">
        <v>0</v>
      </c>
      <c r="AC907" s="137">
        <v>0</v>
      </c>
      <c r="AD907" s="137">
        <v>0</v>
      </c>
      <c r="AE907" s="137">
        <v>0</v>
      </c>
      <c r="AF907" s="137">
        <v>0</v>
      </c>
      <c r="AG907" s="137">
        <v>0</v>
      </c>
      <c r="AH907" s="137">
        <v>0</v>
      </c>
      <c r="AI907" s="137">
        <v>0</v>
      </c>
    </row>
    <row r="908" spans="1:35" s="38" customFormat="1">
      <c r="A908" s="990">
        <v>824</v>
      </c>
      <c r="B908" s="990">
        <v>1</v>
      </c>
      <c r="C908" s="990">
        <v>908</v>
      </c>
      <c r="D908" s="38" t="s">
        <v>999</v>
      </c>
      <c r="E908" s="1243">
        <v>1</v>
      </c>
      <c r="F908" s="5"/>
      <c r="G908" s="5"/>
      <c r="H908" s="5"/>
      <c r="I908" s="335"/>
      <c r="J908" s="52" t="s">
        <v>62</v>
      </c>
      <c r="K908" s="52"/>
      <c r="L908" s="52"/>
      <c r="M908" s="51"/>
      <c r="N908" s="51"/>
      <c r="O908" s="51"/>
      <c r="P908" s="51"/>
      <c r="Q908" s="49">
        <v>0</v>
      </c>
      <c r="R908" s="49">
        <v>0</v>
      </c>
      <c r="S908" s="49">
        <v>0</v>
      </c>
      <c r="T908" s="49">
        <v>0</v>
      </c>
      <c r="U908" s="49">
        <v>0</v>
      </c>
      <c r="V908" s="49">
        <v>0</v>
      </c>
      <c r="W908" s="49">
        <v>0</v>
      </c>
      <c r="X908" s="49">
        <v>0</v>
      </c>
      <c r="Y908" s="49">
        <v>0</v>
      </c>
      <c r="Z908" s="49">
        <v>0</v>
      </c>
      <c r="AA908" s="49">
        <v>0</v>
      </c>
      <c r="AB908" s="49">
        <v>0</v>
      </c>
      <c r="AC908" s="1553">
        <v>0</v>
      </c>
      <c r="AD908" s="49">
        <v>0</v>
      </c>
      <c r="AE908" s="49">
        <v>0</v>
      </c>
      <c r="AF908" s="49">
        <v>0</v>
      </c>
      <c r="AG908" s="49">
        <v>0</v>
      </c>
      <c r="AH908" s="49">
        <v>0</v>
      </c>
      <c r="AI908" s="49">
        <v>0</v>
      </c>
    </row>
    <row r="909" spans="1:35" s="38" customFormat="1">
      <c r="A909" s="990">
        <v>825</v>
      </c>
      <c r="B909" s="990">
        <v>1</v>
      </c>
      <c r="C909" s="990">
        <v>909</v>
      </c>
      <c r="E909" s="1243">
        <v>1</v>
      </c>
      <c r="F909" s="5"/>
      <c r="G909" s="5"/>
      <c r="H909" s="5"/>
      <c r="I909" s="335"/>
      <c r="J909" s="5"/>
      <c r="K909" s="5"/>
      <c r="L909" s="5"/>
      <c r="M909" s="4"/>
      <c r="N909" s="45"/>
      <c r="O909" s="45" t="s">
        <v>125</v>
      </c>
      <c r="P909" s="4"/>
      <c r="Q909" s="2030"/>
      <c r="R909" s="2030"/>
      <c r="S909" s="2030"/>
      <c r="T909" s="2030"/>
      <c r="U909" s="2030"/>
      <c r="V909" s="2030"/>
      <c r="W909" s="2030"/>
      <c r="X909" s="2030"/>
      <c r="Y909" s="2030"/>
      <c r="Z909" s="2030"/>
      <c r="AA909" s="2030"/>
      <c r="AB909" s="2030"/>
      <c r="AC909" s="1511">
        <v>0</v>
      </c>
      <c r="AD909" s="44">
        <v>0</v>
      </c>
      <c r="AE909" s="44">
        <v>0</v>
      </c>
      <c r="AF909" s="44">
        <v>0</v>
      </c>
      <c r="AG909" s="44">
        <v>0</v>
      </c>
      <c r="AH909" s="44">
        <v>0</v>
      </c>
      <c r="AI909" s="44">
        <v>0</v>
      </c>
    </row>
    <row r="910" spans="1:35" s="38" customFormat="1">
      <c r="A910" s="990">
        <v>826</v>
      </c>
      <c r="B910" s="990">
        <v>1</v>
      </c>
      <c r="C910" s="990">
        <v>910</v>
      </c>
      <c r="D910" s="1121"/>
      <c r="E910" s="1243">
        <v>1</v>
      </c>
      <c r="F910" s="5"/>
      <c r="G910" s="5"/>
      <c r="H910" s="5"/>
      <c r="I910" s="335"/>
      <c r="J910" s="5"/>
      <c r="K910" s="5"/>
      <c r="L910" s="5"/>
      <c r="M910" s="4"/>
      <c r="N910" s="45"/>
      <c r="O910" s="45" t="s">
        <v>124</v>
      </c>
      <c r="P910" s="4"/>
      <c r="Q910" s="2030"/>
      <c r="R910" s="2030"/>
      <c r="S910" s="2030"/>
      <c r="T910" s="2030"/>
      <c r="U910" s="2030"/>
      <c r="V910" s="2030"/>
      <c r="W910" s="2030"/>
      <c r="X910" s="2030"/>
      <c r="Y910" s="2030"/>
      <c r="Z910" s="2030"/>
      <c r="AA910" s="2030"/>
      <c r="AB910" s="2030"/>
      <c r="AC910" s="1511">
        <v>0</v>
      </c>
      <c r="AD910" s="44">
        <v>0</v>
      </c>
      <c r="AE910" s="44">
        <v>0</v>
      </c>
      <c r="AF910" s="44">
        <v>0</v>
      </c>
      <c r="AG910" s="44">
        <v>0</v>
      </c>
      <c r="AH910" s="44">
        <v>0</v>
      </c>
      <c r="AI910" s="44">
        <v>0</v>
      </c>
    </row>
    <row r="911" spans="1:35" s="38" customFormat="1">
      <c r="A911" s="990">
        <v>827</v>
      </c>
      <c r="B911" s="990">
        <v>1</v>
      </c>
      <c r="C911" s="990">
        <v>911</v>
      </c>
      <c r="D911" s="1121"/>
      <c r="E911" s="1243">
        <v>1</v>
      </c>
      <c r="F911" s="5"/>
      <c r="G911" s="5"/>
      <c r="H911" s="5"/>
      <c r="I911" s="335"/>
      <c r="J911" s="5"/>
      <c r="K911" s="5"/>
      <c r="L911" s="5"/>
      <c r="M911" s="4"/>
      <c r="N911" s="45"/>
      <c r="O911" s="45" t="s">
        <v>123</v>
      </c>
      <c r="P911" s="4"/>
      <c r="Q911" s="2030"/>
      <c r="R911" s="2030"/>
      <c r="S911" s="2030"/>
      <c r="T911" s="2030"/>
      <c r="U911" s="2030"/>
      <c r="V911" s="2030"/>
      <c r="W911" s="2030"/>
      <c r="X911" s="2030"/>
      <c r="Y911" s="2030"/>
      <c r="Z911" s="2030"/>
      <c r="AA911" s="2030"/>
      <c r="AB911" s="2030"/>
      <c r="AC911" s="1511">
        <v>0</v>
      </c>
      <c r="AD911" s="44">
        <v>0</v>
      </c>
      <c r="AE911" s="44">
        <v>0</v>
      </c>
      <c r="AF911" s="44">
        <v>0</v>
      </c>
      <c r="AG911" s="44">
        <v>0</v>
      </c>
      <c r="AH911" s="44">
        <v>0</v>
      </c>
      <c r="AI911" s="44">
        <v>0</v>
      </c>
    </row>
    <row r="912" spans="1:35" s="38" customFormat="1">
      <c r="A912" s="990">
        <v>828</v>
      </c>
      <c r="B912" s="990">
        <v>1</v>
      </c>
      <c r="C912" s="990">
        <v>912</v>
      </c>
      <c r="D912" s="1121"/>
      <c r="E912" s="1243">
        <v>1</v>
      </c>
      <c r="F912" s="5"/>
      <c r="G912" s="5"/>
      <c r="H912" s="5"/>
      <c r="I912" s="335"/>
      <c r="J912" s="3"/>
      <c r="K912" s="3"/>
      <c r="L912" s="3"/>
      <c r="M912" s="2"/>
      <c r="N912" s="43"/>
      <c r="O912" s="43" t="s">
        <v>120</v>
      </c>
      <c r="P912" s="2"/>
      <c r="Q912" s="2029"/>
      <c r="R912" s="2029"/>
      <c r="S912" s="2029"/>
      <c r="T912" s="2029"/>
      <c r="U912" s="2029"/>
      <c r="V912" s="2029"/>
      <c r="W912" s="2029"/>
      <c r="X912" s="2029"/>
      <c r="Y912" s="2029"/>
      <c r="Z912" s="2029"/>
      <c r="AA912" s="2029"/>
      <c r="AB912" s="2029"/>
      <c r="AC912" s="1554">
        <v>0</v>
      </c>
      <c r="AD912" s="42">
        <v>0</v>
      </c>
      <c r="AE912" s="42">
        <v>0</v>
      </c>
      <c r="AF912" s="42">
        <v>0</v>
      </c>
      <c r="AG912" s="42">
        <v>0</v>
      </c>
      <c r="AH912" s="42">
        <v>0</v>
      </c>
      <c r="AI912" s="42">
        <v>0</v>
      </c>
    </row>
    <row r="913" spans="1:35" s="38" customFormat="1">
      <c r="A913" s="990">
        <v>829</v>
      </c>
      <c r="B913" s="990">
        <v>1</v>
      </c>
      <c r="C913" s="990">
        <v>913</v>
      </c>
      <c r="D913" s="1121" t="s">
        <v>999</v>
      </c>
      <c r="E913" s="1243">
        <v>1</v>
      </c>
      <c r="F913" s="5"/>
      <c r="G913" s="5"/>
      <c r="H913" s="5"/>
      <c r="I913" s="335"/>
      <c r="J913" s="52" t="s">
        <v>330</v>
      </c>
      <c r="K913" s="52"/>
      <c r="L913" s="52"/>
      <c r="M913" s="51"/>
      <c r="N913" s="51"/>
      <c r="O913" s="51"/>
      <c r="P913" s="51"/>
      <c r="Q913" s="49">
        <v>0</v>
      </c>
      <c r="R913" s="49">
        <v>0</v>
      </c>
      <c r="S913" s="49">
        <v>0</v>
      </c>
      <c r="T913" s="49">
        <v>0</v>
      </c>
      <c r="U913" s="49">
        <v>0</v>
      </c>
      <c r="V913" s="49">
        <v>0</v>
      </c>
      <c r="W913" s="49">
        <v>0</v>
      </c>
      <c r="X913" s="49">
        <v>0</v>
      </c>
      <c r="Y913" s="49">
        <v>0</v>
      </c>
      <c r="Z913" s="49">
        <v>0</v>
      </c>
      <c r="AA913" s="49">
        <v>0</v>
      </c>
      <c r="AB913" s="49">
        <v>0</v>
      </c>
      <c r="AC913" s="1553">
        <v>0</v>
      </c>
      <c r="AD913" s="49">
        <v>0</v>
      </c>
      <c r="AE913" s="49">
        <v>0</v>
      </c>
      <c r="AF913" s="49">
        <v>0</v>
      </c>
      <c r="AG913" s="49">
        <v>0</v>
      </c>
      <c r="AH913" s="49">
        <v>0</v>
      </c>
      <c r="AI913" s="49">
        <v>0</v>
      </c>
    </row>
    <row r="914" spans="1:35" s="38" customFormat="1">
      <c r="A914" s="990">
        <v>830</v>
      </c>
      <c r="B914" s="990">
        <v>1</v>
      </c>
      <c r="C914" s="990">
        <v>914</v>
      </c>
      <c r="D914" s="1121"/>
      <c r="E914" s="1243">
        <v>1</v>
      </c>
      <c r="F914" s="5"/>
      <c r="G914" s="5"/>
      <c r="H914" s="5"/>
      <c r="I914" s="335"/>
      <c r="J914" s="5"/>
      <c r="K914" s="5"/>
      <c r="L914" s="5"/>
      <c r="M914" s="4"/>
      <c r="N914" s="45"/>
      <c r="O914" s="45" t="s">
        <v>67</v>
      </c>
      <c r="P914" s="4"/>
      <c r="Q914" s="2030"/>
      <c r="R914" s="2030"/>
      <c r="S914" s="2030"/>
      <c r="T914" s="2030"/>
      <c r="U914" s="2030"/>
      <c r="V914" s="2030"/>
      <c r="W914" s="2030"/>
      <c r="X914" s="2030"/>
      <c r="Y914" s="2030"/>
      <c r="Z914" s="2030"/>
      <c r="AA914" s="2030"/>
      <c r="AB914" s="2030"/>
      <c r="AC914" s="1511">
        <v>0</v>
      </c>
      <c r="AD914" s="44">
        <v>0</v>
      </c>
      <c r="AE914" s="44">
        <v>0</v>
      </c>
      <c r="AF914" s="44">
        <v>0</v>
      </c>
      <c r="AG914" s="44">
        <v>0</v>
      </c>
      <c r="AH914" s="44">
        <v>0</v>
      </c>
      <c r="AI914" s="44">
        <v>0</v>
      </c>
    </row>
    <row r="915" spans="1:35" s="38" customFormat="1">
      <c r="A915" s="990">
        <v>831</v>
      </c>
      <c r="B915" s="990">
        <v>1</v>
      </c>
      <c r="C915" s="990">
        <v>915</v>
      </c>
      <c r="E915" s="1243">
        <v>1</v>
      </c>
      <c r="F915" s="5"/>
      <c r="G915" s="5"/>
      <c r="H915" s="5"/>
      <c r="I915" s="335"/>
      <c r="J915" s="5"/>
      <c r="K915" s="5"/>
      <c r="L915" s="5"/>
      <c r="M915" s="4"/>
      <c r="N915" s="45"/>
      <c r="O915" s="45" t="s">
        <v>68</v>
      </c>
      <c r="P915" s="4"/>
      <c r="Q915" s="2030"/>
      <c r="R915" s="2030"/>
      <c r="S915" s="2030"/>
      <c r="T915" s="2030"/>
      <c r="U915" s="2030"/>
      <c r="V915" s="2030"/>
      <c r="W915" s="2030"/>
      <c r="X915" s="2030"/>
      <c r="Y915" s="2030"/>
      <c r="Z915" s="2030"/>
      <c r="AA915" s="2030"/>
      <c r="AB915" s="2030"/>
      <c r="AC915" s="1511">
        <v>0</v>
      </c>
      <c r="AD915" s="44">
        <v>0</v>
      </c>
      <c r="AE915" s="44">
        <v>0</v>
      </c>
      <c r="AF915" s="44">
        <v>0</v>
      </c>
      <c r="AG915" s="44">
        <v>0</v>
      </c>
      <c r="AH915" s="44">
        <v>0</v>
      </c>
      <c r="AI915" s="44">
        <v>0</v>
      </c>
    </row>
    <row r="916" spans="1:35" s="38" customFormat="1">
      <c r="A916" s="990">
        <v>832</v>
      </c>
      <c r="B916" s="990">
        <v>1</v>
      </c>
      <c r="C916" s="990">
        <v>916</v>
      </c>
      <c r="E916" s="1243">
        <v>1</v>
      </c>
      <c r="F916" s="5"/>
      <c r="G916" s="5"/>
      <c r="H916" s="5"/>
      <c r="I916" s="335"/>
      <c r="J916" s="5"/>
      <c r="K916" s="5"/>
      <c r="L916" s="5"/>
      <c r="M916" s="4"/>
      <c r="N916" s="45"/>
      <c r="O916" s="45" t="s">
        <v>122</v>
      </c>
      <c r="P916" s="4"/>
      <c r="Q916" s="2030"/>
      <c r="R916" s="2030"/>
      <c r="S916" s="2030"/>
      <c r="T916" s="2030"/>
      <c r="U916" s="2030"/>
      <c r="V916" s="2030"/>
      <c r="W916" s="2030"/>
      <c r="X916" s="2030"/>
      <c r="Y916" s="2030"/>
      <c r="Z916" s="2030"/>
      <c r="AA916" s="2030"/>
      <c r="AB916" s="2030"/>
      <c r="AC916" s="1511">
        <v>0</v>
      </c>
      <c r="AD916" s="44">
        <v>0</v>
      </c>
      <c r="AE916" s="44">
        <v>0</v>
      </c>
      <c r="AF916" s="44">
        <v>0</v>
      </c>
      <c r="AG916" s="44">
        <v>0</v>
      </c>
      <c r="AH916" s="44">
        <v>0</v>
      </c>
      <c r="AI916" s="44">
        <v>0</v>
      </c>
    </row>
    <row r="917" spans="1:35" s="38" customFormat="1">
      <c r="A917" s="990">
        <v>833</v>
      </c>
      <c r="B917" s="990">
        <v>1</v>
      </c>
      <c r="C917" s="990">
        <v>917</v>
      </c>
      <c r="E917" s="1243">
        <v>1</v>
      </c>
      <c r="F917" s="5"/>
      <c r="G917" s="5"/>
      <c r="H917" s="5"/>
      <c r="I917" s="335"/>
      <c r="J917" s="5"/>
      <c r="K917" s="5"/>
      <c r="L917" s="5"/>
      <c r="M917" s="4"/>
      <c r="N917" s="45"/>
      <c r="O917" s="45" t="s">
        <v>121</v>
      </c>
      <c r="P917" s="4"/>
      <c r="Q917" s="2030"/>
      <c r="R917" s="2030"/>
      <c r="S917" s="2030"/>
      <c r="T917" s="2030"/>
      <c r="U917" s="2030"/>
      <c r="V917" s="2030"/>
      <c r="W917" s="2030"/>
      <c r="X917" s="2030"/>
      <c r="Y917" s="2030"/>
      <c r="Z917" s="2030"/>
      <c r="AA917" s="2030"/>
      <c r="AB917" s="2030"/>
      <c r="AC917" s="1511">
        <v>0</v>
      </c>
      <c r="AD917" s="44">
        <v>0</v>
      </c>
      <c r="AE917" s="44">
        <v>0</v>
      </c>
      <c r="AF917" s="44">
        <v>0</v>
      </c>
      <c r="AG917" s="44">
        <v>0</v>
      </c>
      <c r="AH917" s="44">
        <v>0</v>
      </c>
      <c r="AI917" s="44">
        <v>0</v>
      </c>
    </row>
    <row r="918" spans="1:35" s="38" customFormat="1">
      <c r="A918" s="990">
        <v>834</v>
      </c>
      <c r="B918" s="990">
        <v>1</v>
      </c>
      <c r="C918" s="990">
        <v>918</v>
      </c>
      <c r="E918" s="1243">
        <v>1</v>
      </c>
      <c r="F918" s="5"/>
      <c r="G918" s="5"/>
      <c r="H918" s="5"/>
      <c r="I918" s="335"/>
      <c r="J918" s="5"/>
      <c r="K918" s="5"/>
      <c r="L918" s="5"/>
      <c r="M918" s="4"/>
      <c r="N918" s="45"/>
      <c r="O918" s="45" t="s">
        <v>120</v>
      </c>
      <c r="P918" s="4"/>
      <c r="Q918" s="2030"/>
      <c r="R918" s="2030"/>
      <c r="S918" s="2030"/>
      <c r="T918" s="2030"/>
      <c r="U918" s="2030"/>
      <c r="V918" s="2030"/>
      <c r="W918" s="2030"/>
      <c r="X918" s="2030"/>
      <c r="Y918" s="2030"/>
      <c r="Z918" s="2030"/>
      <c r="AA918" s="2030"/>
      <c r="AB918" s="2030"/>
      <c r="AC918" s="1511">
        <v>0</v>
      </c>
      <c r="AD918" s="44">
        <v>0</v>
      </c>
      <c r="AE918" s="44">
        <v>0</v>
      </c>
      <c r="AF918" s="44">
        <v>0</v>
      </c>
      <c r="AG918" s="44">
        <v>0</v>
      </c>
      <c r="AH918" s="44">
        <v>0</v>
      </c>
      <c r="AI918" s="44">
        <v>0</v>
      </c>
    </row>
    <row r="919" spans="1:35" s="38" customFormat="1">
      <c r="A919" s="990">
        <v>835</v>
      </c>
      <c r="B919" s="990">
        <v>1</v>
      </c>
      <c r="C919" s="990">
        <v>919</v>
      </c>
      <c r="D919" s="1121" t="s">
        <v>999</v>
      </c>
      <c r="E919" s="1243">
        <v>1</v>
      </c>
      <c r="F919" s="5"/>
      <c r="G919" s="5"/>
      <c r="H919" s="5"/>
      <c r="I919" s="335"/>
      <c r="J919" s="324" t="s">
        <v>331</v>
      </c>
      <c r="K919" s="324"/>
      <c r="L919" s="324"/>
      <c r="M919" s="323"/>
      <c r="N919" s="323"/>
      <c r="O919" s="323"/>
      <c r="P919" s="323"/>
      <c r="Q919" s="325">
        <v>0</v>
      </c>
      <c r="R919" s="325">
        <v>0</v>
      </c>
      <c r="S919" s="325">
        <v>0</v>
      </c>
      <c r="T919" s="325">
        <v>0</v>
      </c>
      <c r="U919" s="325">
        <v>0</v>
      </c>
      <c r="V919" s="325">
        <v>0</v>
      </c>
      <c r="W919" s="325">
        <v>0</v>
      </c>
      <c r="X919" s="325">
        <v>0</v>
      </c>
      <c r="Y919" s="325">
        <v>0</v>
      </c>
      <c r="Z919" s="325">
        <v>0</v>
      </c>
      <c r="AA919" s="325">
        <v>0</v>
      </c>
      <c r="AB919" s="325">
        <v>0</v>
      </c>
      <c r="AC919" s="1278">
        <v>0</v>
      </c>
      <c r="AD919" s="325">
        <v>0</v>
      </c>
      <c r="AE919" s="325">
        <v>0</v>
      </c>
      <c r="AF919" s="325">
        <v>0</v>
      </c>
      <c r="AG919" s="325">
        <v>0</v>
      </c>
      <c r="AH919" s="325">
        <v>0</v>
      </c>
      <c r="AI919" s="325">
        <v>0</v>
      </c>
    </row>
    <row r="920" spans="1:35" s="38" customFormat="1">
      <c r="A920" s="990">
        <v>836</v>
      </c>
      <c r="B920" s="990">
        <v>1</v>
      </c>
      <c r="C920" s="990">
        <v>920</v>
      </c>
      <c r="E920" s="1243">
        <v>1</v>
      </c>
      <c r="F920" s="5"/>
      <c r="G920" s="5"/>
      <c r="H920" s="5"/>
      <c r="I920" s="335"/>
      <c r="J920" s="5"/>
      <c r="K920" s="5"/>
      <c r="L920" s="5"/>
      <c r="M920" s="4"/>
      <c r="N920" s="45"/>
      <c r="O920" s="45" t="s">
        <v>323</v>
      </c>
      <c r="P920" s="4"/>
      <c r="Q920" s="2030"/>
      <c r="R920" s="2030"/>
      <c r="S920" s="2030"/>
      <c r="T920" s="2030"/>
      <c r="U920" s="2030"/>
      <c r="V920" s="2030"/>
      <c r="W920" s="2030"/>
      <c r="X920" s="2030"/>
      <c r="Y920" s="2030"/>
      <c r="Z920" s="2030"/>
      <c r="AA920" s="2030"/>
      <c r="AB920" s="2030"/>
      <c r="AC920" s="1511">
        <v>0</v>
      </c>
      <c r="AD920" s="44">
        <v>0</v>
      </c>
      <c r="AE920" s="44">
        <v>0</v>
      </c>
      <c r="AF920" s="44">
        <v>0</v>
      </c>
      <c r="AG920" s="44">
        <v>0</v>
      </c>
      <c r="AH920" s="44">
        <v>0</v>
      </c>
      <c r="AI920" s="44">
        <v>0</v>
      </c>
    </row>
    <row r="921" spans="1:35" s="38" customFormat="1">
      <c r="A921" s="990">
        <v>837</v>
      </c>
      <c r="B921" s="990">
        <v>1</v>
      </c>
      <c r="C921" s="990">
        <v>921</v>
      </c>
      <c r="E921" s="1243">
        <v>1</v>
      </c>
      <c r="F921" s="5"/>
      <c r="G921" s="5"/>
      <c r="H921" s="5"/>
      <c r="I921" s="335"/>
      <c r="J921" s="5"/>
      <c r="K921" s="5"/>
      <c r="L921" s="5"/>
      <c r="M921" s="4"/>
      <c r="N921" s="45"/>
      <c r="O921" s="45" t="s">
        <v>324</v>
      </c>
      <c r="P921" s="4"/>
      <c r="Q921" s="2030"/>
      <c r="R921" s="2030"/>
      <c r="S921" s="2030"/>
      <c r="T921" s="2030"/>
      <c r="U921" s="2030"/>
      <c r="V921" s="2030"/>
      <c r="W921" s="2030"/>
      <c r="X921" s="2030"/>
      <c r="Y921" s="2030"/>
      <c r="Z921" s="2030"/>
      <c r="AA921" s="2030"/>
      <c r="AB921" s="2030"/>
      <c r="AC921" s="1511">
        <v>0</v>
      </c>
      <c r="AD921" s="44">
        <v>0</v>
      </c>
      <c r="AE921" s="44">
        <v>0</v>
      </c>
      <c r="AF921" s="44">
        <v>0</v>
      </c>
      <c r="AG921" s="44">
        <v>0</v>
      </c>
      <c r="AH921" s="44">
        <v>0</v>
      </c>
      <c r="AI921" s="44">
        <v>0</v>
      </c>
    </row>
    <row r="922" spans="1:35" s="38" customFormat="1">
      <c r="A922" s="990">
        <v>838</v>
      </c>
      <c r="B922" s="990">
        <v>1</v>
      </c>
      <c r="C922" s="990">
        <v>922</v>
      </c>
      <c r="E922" s="1243">
        <v>1</v>
      </c>
      <c r="F922" s="5"/>
      <c r="G922" s="5"/>
      <c r="H922" s="5"/>
      <c r="I922" s="335"/>
      <c r="J922" s="5"/>
      <c r="K922" s="5"/>
      <c r="L922" s="5"/>
      <c r="M922" s="4"/>
      <c r="N922" s="45"/>
      <c r="O922" s="45" t="s">
        <v>325</v>
      </c>
      <c r="P922" s="4"/>
      <c r="Q922" s="2030"/>
      <c r="R922" s="2030"/>
      <c r="S922" s="2030"/>
      <c r="T922" s="2030"/>
      <c r="U922" s="2030"/>
      <c r="V922" s="2030"/>
      <c r="W922" s="2030"/>
      <c r="X922" s="2030"/>
      <c r="Y922" s="2030"/>
      <c r="Z922" s="2030"/>
      <c r="AA922" s="2030"/>
      <c r="AB922" s="2030"/>
      <c r="AC922" s="1511">
        <v>0</v>
      </c>
      <c r="AD922" s="44">
        <v>0</v>
      </c>
      <c r="AE922" s="44">
        <v>0</v>
      </c>
      <c r="AF922" s="44">
        <v>0</v>
      </c>
      <c r="AG922" s="44">
        <v>0</v>
      </c>
      <c r="AH922" s="44">
        <v>0</v>
      </c>
      <c r="AI922" s="44">
        <v>0</v>
      </c>
    </row>
    <row r="923" spans="1:35" s="38" customFormat="1">
      <c r="A923" s="990">
        <v>839</v>
      </c>
      <c r="B923" s="990">
        <v>1</v>
      </c>
      <c r="C923" s="990">
        <v>923</v>
      </c>
      <c r="E923" s="1243">
        <v>1</v>
      </c>
      <c r="F923" s="5"/>
      <c r="G923" s="5"/>
      <c r="H923" s="5"/>
      <c r="I923" s="335"/>
      <c r="J923" s="3"/>
      <c r="K923" s="3"/>
      <c r="L923" s="3"/>
      <c r="M923" s="2"/>
      <c r="N923" s="43"/>
      <c r="O923" s="43" t="s">
        <v>326</v>
      </c>
      <c r="P923" s="2"/>
      <c r="Q923" s="2029"/>
      <c r="R923" s="2029"/>
      <c r="S923" s="2029"/>
      <c r="T923" s="2029"/>
      <c r="U923" s="2029"/>
      <c r="V923" s="2029"/>
      <c r="W923" s="2029"/>
      <c r="X923" s="2029"/>
      <c r="Y923" s="2029"/>
      <c r="Z923" s="2029"/>
      <c r="AA923" s="2029"/>
      <c r="AB923" s="2029"/>
      <c r="AC923" s="1554">
        <v>0</v>
      </c>
      <c r="AD923" s="42">
        <v>0</v>
      </c>
      <c r="AE923" s="42">
        <v>0</v>
      </c>
      <c r="AF923" s="42">
        <v>0</v>
      </c>
      <c r="AG923" s="42">
        <v>0</v>
      </c>
      <c r="AH923" s="42">
        <v>0</v>
      </c>
      <c r="AI923" s="42">
        <v>0</v>
      </c>
    </row>
    <row r="924" spans="1:35" s="38" customFormat="1">
      <c r="A924" s="990">
        <v>840</v>
      </c>
      <c r="B924" s="990">
        <v>1</v>
      </c>
      <c r="C924" s="990">
        <v>924</v>
      </c>
      <c r="D924" s="38" t="s">
        <v>999</v>
      </c>
      <c r="E924" s="1243">
        <v>1</v>
      </c>
      <c r="F924" s="5"/>
      <c r="G924" s="5"/>
      <c r="H924" s="5"/>
      <c r="I924" s="335"/>
      <c r="J924" s="52" t="s">
        <v>73</v>
      </c>
      <c r="K924" s="52"/>
      <c r="L924" s="52"/>
      <c r="M924" s="51"/>
      <c r="N924" s="51"/>
      <c r="O924" s="51"/>
      <c r="P924" s="51"/>
      <c r="Q924" s="49">
        <v>0</v>
      </c>
      <c r="R924" s="49">
        <v>0</v>
      </c>
      <c r="S924" s="49">
        <v>0</v>
      </c>
      <c r="T924" s="49">
        <v>0</v>
      </c>
      <c r="U924" s="49">
        <v>0</v>
      </c>
      <c r="V924" s="49">
        <v>0</v>
      </c>
      <c r="W924" s="49">
        <v>0</v>
      </c>
      <c r="X924" s="49">
        <v>0</v>
      </c>
      <c r="Y924" s="49">
        <v>0</v>
      </c>
      <c r="Z924" s="49">
        <v>0</v>
      </c>
      <c r="AA924" s="49">
        <v>0</v>
      </c>
      <c r="AB924" s="49">
        <v>0</v>
      </c>
      <c r="AC924" s="1553">
        <v>0</v>
      </c>
      <c r="AD924" s="49">
        <v>0</v>
      </c>
      <c r="AE924" s="49">
        <v>0</v>
      </c>
      <c r="AF924" s="49">
        <v>0</v>
      </c>
      <c r="AG924" s="49">
        <v>0</v>
      </c>
      <c r="AH924" s="49">
        <v>0</v>
      </c>
      <c r="AI924" s="49">
        <v>0</v>
      </c>
    </row>
    <row r="925" spans="1:35" s="38" customFormat="1">
      <c r="A925" s="990">
        <v>841</v>
      </c>
      <c r="B925" s="990">
        <v>1</v>
      </c>
      <c r="C925" s="990">
        <v>925</v>
      </c>
      <c r="D925" s="1121"/>
      <c r="E925" s="1243">
        <v>1</v>
      </c>
      <c r="F925" s="5"/>
      <c r="G925" s="5"/>
      <c r="H925" s="5"/>
      <c r="I925" s="335"/>
      <c r="J925" s="5"/>
      <c r="K925" s="5"/>
      <c r="L925" s="4"/>
      <c r="M925" s="4"/>
      <c r="N925" s="45"/>
      <c r="O925" s="45" t="s">
        <v>119</v>
      </c>
      <c r="P925" s="45"/>
      <c r="Q925" s="2030"/>
      <c r="R925" s="2030"/>
      <c r="S925" s="2030"/>
      <c r="T925" s="2030"/>
      <c r="U925" s="2030"/>
      <c r="V925" s="2030"/>
      <c r="W925" s="2030"/>
      <c r="X925" s="2030"/>
      <c r="Y925" s="2030"/>
      <c r="Z925" s="2030"/>
      <c r="AA925" s="2030"/>
      <c r="AB925" s="2030"/>
      <c r="AC925" s="1511">
        <v>0</v>
      </c>
      <c r="AD925" s="44">
        <v>0</v>
      </c>
      <c r="AE925" s="44">
        <v>0</v>
      </c>
      <c r="AF925" s="44">
        <v>0</v>
      </c>
      <c r="AG925" s="44">
        <v>0</v>
      </c>
      <c r="AH925" s="44">
        <v>0</v>
      </c>
      <c r="AI925" s="44">
        <v>0</v>
      </c>
    </row>
    <row r="926" spans="1:35" s="38" customFormat="1">
      <c r="A926" s="990">
        <v>842</v>
      </c>
      <c r="B926" s="990">
        <v>1</v>
      </c>
      <c r="C926" s="990">
        <v>926</v>
      </c>
      <c r="E926" s="1243">
        <v>1</v>
      </c>
      <c r="F926" s="5"/>
      <c r="G926" s="5"/>
      <c r="H926" s="5"/>
      <c r="I926" s="335"/>
      <c r="J926" s="5"/>
      <c r="K926" s="5"/>
      <c r="L926" s="4"/>
      <c r="M926" s="4"/>
      <c r="N926" s="45"/>
      <c r="O926" s="45" t="s">
        <v>75</v>
      </c>
      <c r="P926" s="45"/>
      <c r="Q926" s="2030"/>
      <c r="R926" s="2030"/>
      <c r="S926" s="2030"/>
      <c r="T926" s="2030"/>
      <c r="U926" s="2030"/>
      <c r="V926" s="2030"/>
      <c r="W926" s="2030"/>
      <c r="X926" s="2030"/>
      <c r="Y926" s="2030"/>
      <c r="Z926" s="2030"/>
      <c r="AA926" s="2030"/>
      <c r="AB926" s="2030"/>
      <c r="AC926" s="1511">
        <v>0</v>
      </c>
      <c r="AD926" s="44">
        <v>0</v>
      </c>
      <c r="AE926" s="44">
        <v>0</v>
      </c>
      <c r="AF926" s="44">
        <v>0</v>
      </c>
      <c r="AG926" s="44">
        <v>0</v>
      </c>
      <c r="AH926" s="44">
        <v>0</v>
      </c>
      <c r="AI926" s="44">
        <v>0</v>
      </c>
    </row>
    <row r="927" spans="1:35" s="38" customFormat="1">
      <c r="A927" s="990">
        <v>843</v>
      </c>
      <c r="B927" s="990">
        <v>1</v>
      </c>
      <c r="C927" s="990">
        <v>927</v>
      </c>
      <c r="E927" s="1243">
        <v>1</v>
      </c>
      <c r="F927" s="5"/>
      <c r="G927" s="5"/>
      <c r="H927" s="5"/>
      <c r="I927" s="335"/>
      <c r="J927" s="5"/>
      <c r="K927" s="5"/>
      <c r="L927" s="4"/>
      <c r="M927" s="4"/>
      <c r="N927" s="45"/>
      <c r="O927" s="45" t="s">
        <v>76</v>
      </c>
      <c r="P927" s="45"/>
      <c r="Q927" s="2030"/>
      <c r="R927" s="2030"/>
      <c r="S927" s="2030"/>
      <c r="T927" s="2030"/>
      <c r="U927" s="2030"/>
      <c r="V927" s="2030"/>
      <c r="W927" s="2030"/>
      <c r="X927" s="2030"/>
      <c r="Y927" s="2030"/>
      <c r="Z927" s="2030"/>
      <c r="AA927" s="2030"/>
      <c r="AB927" s="2030"/>
      <c r="AC927" s="1511">
        <v>0</v>
      </c>
      <c r="AD927" s="44">
        <v>0</v>
      </c>
      <c r="AE927" s="44">
        <v>0</v>
      </c>
      <c r="AF927" s="44">
        <v>0</v>
      </c>
      <c r="AG927" s="44">
        <v>0</v>
      </c>
      <c r="AH927" s="44">
        <v>0</v>
      </c>
      <c r="AI927" s="44">
        <v>0</v>
      </c>
    </row>
    <row r="928" spans="1:35" s="38" customFormat="1">
      <c r="A928" s="990">
        <v>844</v>
      </c>
      <c r="B928" s="990">
        <v>1</v>
      </c>
      <c r="C928" s="990">
        <v>928</v>
      </c>
      <c r="E928" s="1243">
        <v>1</v>
      </c>
      <c r="F928" s="5"/>
      <c r="G928" s="5"/>
      <c r="H928" s="5"/>
      <c r="I928" s="335"/>
      <c r="J928" s="5"/>
      <c r="K928" s="5"/>
      <c r="L928" s="4"/>
      <c r="M928" s="4"/>
      <c r="N928" s="45"/>
      <c r="O928" s="45" t="s">
        <v>77</v>
      </c>
      <c r="P928" s="45"/>
      <c r="Q928" s="2030"/>
      <c r="R928" s="2030"/>
      <c r="S928" s="2030"/>
      <c r="T928" s="2030"/>
      <c r="U928" s="2030"/>
      <c r="V928" s="2030"/>
      <c r="W928" s="2030"/>
      <c r="X928" s="2030"/>
      <c r="Y928" s="2030"/>
      <c r="Z928" s="2030"/>
      <c r="AA928" s="2030"/>
      <c r="AB928" s="2030"/>
      <c r="AC928" s="1511">
        <v>0</v>
      </c>
      <c r="AD928" s="44">
        <v>0</v>
      </c>
      <c r="AE928" s="44">
        <v>0</v>
      </c>
      <c r="AF928" s="44">
        <v>0</v>
      </c>
      <c r="AG928" s="44">
        <v>0</v>
      </c>
      <c r="AH928" s="44">
        <v>0</v>
      </c>
      <c r="AI928" s="44">
        <v>0</v>
      </c>
    </row>
    <row r="929" spans="1:35" s="38" customFormat="1">
      <c r="A929" s="990">
        <v>845</v>
      </c>
      <c r="B929" s="990">
        <v>1</v>
      </c>
      <c r="C929" s="990">
        <v>929</v>
      </c>
      <c r="E929" s="1243">
        <v>1</v>
      </c>
      <c r="F929" s="5"/>
      <c r="G929" s="5"/>
      <c r="H929" s="5"/>
      <c r="I929" s="335"/>
      <c r="J929" s="5"/>
      <c r="K929" s="5"/>
      <c r="L929" s="4"/>
      <c r="M929" s="4"/>
      <c r="N929" s="45"/>
      <c r="O929" s="45" t="s">
        <v>11</v>
      </c>
      <c r="P929" s="45"/>
      <c r="Q929" s="2030"/>
      <c r="R929" s="2030"/>
      <c r="S929" s="2030"/>
      <c r="T929" s="2030"/>
      <c r="U929" s="2030"/>
      <c r="V929" s="2030"/>
      <c r="W929" s="2030"/>
      <c r="X929" s="2030"/>
      <c r="Y929" s="2030"/>
      <c r="Z929" s="2030"/>
      <c r="AA929" s="2030"/>
      <c r="AB929" s="2030"/>
      <c r="AC929" s="1511">
        <v>0</v>
      </c>
      <c r="AD929" s="44">
        <v>0</v>
      </c>
      <c r="AE929" s="44">
        <v>0</v>
      </c>
      <c r="AF929" s="44">
        <v>0</v>
      </c>
      <c r="AG929" s="44">
        <v>0</v>
      </c>
      <c r="AH929" s="44">
        <v>0</v>
      </c>
      <c r="AI929" s="44">
        <v>0</v>
      </c>
    </row>
    <row r="930" spans="1:35" s="38" customFormat="1">
      <c r="A930" s="990">
        <v>846</v>
      </c>
      <c r="B930" s="990">
        <v>1</v>
      </c>
      <c r="C930" s="990">
        <v>930</v>
      </c>
      <c r="D930" s="1121" t="s">
        <v>999</v>
      </c>
      <c r="E930" s="1243">
        <v>1</v>
      </c>
      <c r="F930" s="5"/>
      <c r="G930" s="5"/>
      <c r="H930" s="5"/>
      <c r="I930" s="335"/>
      <c r="J930" s="324" t="s">
        <v>332</v>
      </c>
      <c r="K930" s="324"/>
      <c r="L930" s="324"/>
      <c r="M930" s="323"/>
      <c r="N930" s="323"/>
      <c r="O930" s="323"/>
      <c r="P930" s="323"/>
      <c r="Q930" s="325">
        <v>0</v>
      </c>
      <c r="R930" s="325">
        <v>0</v>
      </c>
      <c r="S930" s="325">
        <v>0</v>
      </c>
      <c r="T930" s="325">
        <v>0</v>
      </c>
      <c r="U930" s="325">
        <v>0</v>
      </c>
      <c r="V930" s="325">
        <v>0</v>
      </c>
      <c r="W930" s="325">
        <v>0</v>
      </c>
      <c r="X930" s="325">
        <v>0</v>
      </c>
      <c r="Y930" s="325">
        <v>0</v>
      </c>
      <c r="Z930" s="325">
        <v>0</v>
      </c>
      <c r="AA930" s="325">
        <v>0</v>
      </c>
      <c r="AB930" s="325">
        <v>0</v>
      </c>
      <c r="AC930" s="1278">
        <v>0</v>
      </c>
      <c r="AD930" s="325">
        <v>0</v>
      </c>
      <c r="AE930" s="325">
        <v>0</v>
      </c>
      <c r="AF930" s="325">
        <v>0</v>
      </c>
      <c r="AG930" s="325">
        <v>0</v>
      </c>
      <c r="AH930" s="325">
        <v>0</v>
      </c>
      <c r="AI930" s="325">
        <v>0</v>
      </c>
    </row>
    <row r="931" spans="1:35" s="38" customFormat="1">
      <c r="A931" s="990">
        <v>847</v>
      </c>
      <c r="B931" s="990">
        <v>1</v>
      </c>
      <c r="C931" s="990">
        <v>931</v>
      </c>
      <c r="E931" s="1243">
        <v>1</v>
      </c>
      <c r="F931" s="5"/>
      <c r="G931" s="5"/>
      <c r="H931" s="5"/>
      <c r="I931" s="335"/>
      <c r="J931" s="5"/>
      <c r="K931" s="5"/>
      <c r="L931" s="4"/>
      <c r="M931" s="4"/>
      <c r="N931" s="45"/>
      <c r="O931" s="45" t="s">
        <v>79</v>
      </c>
      <c r="P931" s="45"/>
      <c r="Q931" s="2030"/>
      <c r="R931" s="2030"/>
      <c r="S931" s="2030"/>
      <c r="T931" s="2030"/>
      <c r="U931" s="2030"/>
      <c r="V931" s="2030"/>
      <c r="W931" s="2030"/>
      <c r="X931" s="2030"/>
      <c r="Y931" s="2030"/>
      <c r="Z931" s="2030"/>
      <c r="AA931" s="2030"/>
      <c r="AB931" s="2030"/>
      <c r="AC931" s="1511">
        <v>0</v>
      </c>
      <c r="AD931" s="44">
        <v>0</v>
      </c>
      <c r="AE931" s="44">
        <v>0</v>
      </c>
      <c r="AF931" s="44">
        <v>0</v>
      </c>
      <c r="AG931" s="44">
        <v>0</v>
      </c>
      <c r="AH931" s="44">
        <v>0</v>
      </c>
      <c r="AI931" s="44">
        <v>0</v>
      </c>
    </row>
    <row r="932" spans="1:35" s="38" customFormat="1">
      <c r="A932" s="990">
        <v>848</v>
      </c>
      <c r="B932" s="990">
        <v>1</v>
      </c>
      <c r="C932" s="990">
        <v>932</v>
      </c>
      <c r="E932" s="1243">
        <v>1</v>
      </c>
      <c r="F932" s="5"/>
      <c r="G932" s="5"/>
      <c r="H932" s="5"/>
      <c r="I932" s="335"/>
      <c r="J932" s="5"/>
      <c r="K932" s="5"/>
      <c r="L932" s="4"/>
      <c r="M932" s="4"/>
      <c r="N932" s="45"/>
      <c r="O932" s="45" t="s">
        <v>80</v>
      </c>
      <c r="P932" s="45"/>
      <c r="Q932" s="2030"/>
      <c r="R932" s="2030"/>
      <c r="S932" s="2030"/>
      <c r="T932" s="2030"/>
      <c r="U932" s="2030"/>
      <c r="V932" s="2030"/>
      <c r="W932" s="2030"/>
      <c r="X932" s="2030"/>
      <c r="Y932" s="2030"/>
      <c r="Z932" s="2030"/>
      <c r="AA932" s="2030"/>
      <c r="AB932" s="2030"/>
      <c r="AC932" s="1511">
        <v>0</v>
      </c>
      <c r="AD932" s="44">
        <v>0</v>
      </c>
      <c r="AE932" s="44">
        <v>0</v>
      </c>
      <c r="AF932" s="44">
        <v>0</v>
      </c>
      <c r="AG932" s="44">
        <v>0</v>
      </c>
      <c r="AH932" s="44">
        <v>0</v>
      </c>
      <c r="AI932" s="44">
        <v>0</v>
      </c>
    </row>
    <row r="933" spans="1:35" s="38" customFormat="1">
      <c r="A933" s="990">
        <v>849</v>
      </c>
      <c r="B933" s="990">
        <v>1</v>
      </c>
      <c r="C933" s="990">
        <v>933</v>
      </c>
      <c r="E933" s="1243">
        <v>1</v>
      </c>
      <c r="F933" s="5"/>
      <c r="G933" s="5"/>
      <c r="H933" s="5"/>
      <c r="I933" s="336"/>
      <c r="J933" s="3"/>
      <c r="K933" s="3"/>
      <c r="L933" s="2"/>
      <c r="M933" s="2"/>
      <c r="N933" s="43"/>
      <c r="O933" s="43" t="s">
        <v>81</v>
      </c>
      <c r="P933" s="43"/>
      <c r="Q933" s="2029"/>
      <c r="R933" s="2029"/>
      <c r="S933" s="2029"/>
      <c r="T933" s="2029"/>
      <c r="U933" s="2029"/>
      <c r="V933" s="2029"/>
      <c r="W933" s="2029"/>
      <c r="X933" s="2029"/>
      <c r="Y933" s="2029"/>
      <c r="Z933" s="2029"/>
      <c r="AA933" s="2029"/>
      <c r="AB933" s="2029"/>
      <c r="AC933" s="1554">
        <v>0</v>
      </c>
      <c r="AD933" s="42">
        <v>0</v>
      </c>
      <c r="AE933" s="42">
        <v>0</v>
      </c>
      <c r="AF933" s="42">
        <v>0</v>
      </c>
      <c r="AG933" s="42">
        <v>0</v>
      </c>
      <c r="AH933" s="42">
        <v>0</v>
      </c>
      <c r="AI933" s="42">
        <v>0</v>
      </c>
    </row>
    <row r="934" spans="1:35" s="38" customFormat="1">
      <c r="A934" s="990">
        <v>850</v>
      </c>
      <c r="B934" s="990">
        <v>1</v>
      </c>
      <c r="C934" s="990">
        <v>934</v>
      </c>
      <c r="D934" s="38" t="s">
        <v>999</v>
      </c>
      <c r="E934" s="1243">
        <v>1</v>
      </c>
      <c r="F934" s="5"/>
      <c r="G934" s="5"/>
      <c r="H934" s="5"/>
      <c r="I934" s="2657" t="s">
        <v>1110</v>
      </c>
      <c r="J934" s="2392"/>
      <c r="K934" s="2378"/>
      <c r="L934" s="2378"/>
      <c r="M934" s="2392"/>
      <c r="N934" s="2392"/>
      <c r="O934" s="2392"/>
      <c r="P934" s="2392"/>
      <c r="Q934" s="2050"/>
      <c r="R934" s="2050"/>
      <c r="S934" s="2050"/>
      <c r="T934" s="2050"/>
      <c r="U934" s="2050"/>
      <c r="V934" s="2050"/>
      <c r="W934" s="2050"/>
      <c r="X934" s="2050"/>
      <c r="Y934" s="2050"/>
      <c r="Z934" s="2050"/>
      <c r="AA934" s="2050"/>
      <c r="AB934" s="2050"/>
      <c r="AC934" s="2658">
        <v>0</v>
      </c>
      <c r="AD934" s="2527">
        <v>0</v>
      </c>
      <c r="AE934" s="2527">
        <v>0</v>
      </c>
      <c r="AF934" s="2527">
        <v>0</v>
      </c>
      <c r="AG934" s="2527">
        <v>0</v>
      </c>
      <c r="AH934" s="2527">
        <v>0</v>
      </c>
      <c r="AI934" s="2527">
        <v>0</v>
      </c>
    </row>
    <row r="935" spans="1:35" s="38" customFormat="1">
      <c r="A935" s="990">
        <v>851</v>
      </c>
      <c r="B935" s="990">
        <v>1</v>
      </c>
      <c r="C935" s="990">
        <v>935</v>
      </c>
      <c r="D935" s="38" t="s">
        <v>999</v>
      </c>
      <c r="E935" s="1243">
        <v>1</v>
      </c>
      <c r="F935" s="5"/>
      <c r="G935" s="5"/>
      <c r="H935" s="5"/>
      <c r="I935" s="5"/>
      <c r="J935" s="4"/>
      <c r="K935" s="5"/>
      <c r="L935" s="5"/>
      <c r="M935" s="4"/>
      <c r="N935" s="4"/>
      <c r="O935" s="4"/>
      <c r="P935" s="4"/>
      <c r="Q935" s="2225"/>
      <c r="R935" s="1151"/>
      <c r="S935" s="1151"/>
      <c r="T935" s="1151"/>
      <c r="U935" s="1151"/>
      <c r="V935" s="1151"/>
      <c r="W935" s="1151"/>
      <c r="X935" s="1151"/>
      <c r="Y935" s="1151"/>
      <c r="Z935" s="1151"/>
      <c r="AB935" s="1933"/>
    </row>
    <row r="936" spans="1:35" s="38" customFormat="1">
      <c r="A936" s="990">
        <v>852</v>
      </c>
      <c r="B936" s="990">
        <v>1</v>
      </c>
      <c r="C936" s="990">
        <v>936</v>
      </c>
      <c r="D936" s="1121" t="s">
        <v>999</v>
      </c>
      <c r="E936" s="1243">
        <v>1</v>
      </c>
      <c r="F936" s="5"/>
      <c r="G936" s="5"/>
      <c r="H936" s="5" t="s">
        <v>1035</v>
      </c>
      <c r="I936" s="5"/>
      <c r="J936" s="4"/>
      <c r="K936" s="5"/>
      <c r="L936" s="5"/>
      <c r="M936" s="4"/>
      <c r="N936" s="4"/>
      <c r="O936" s="4"/>
      <c r="P936" s="4"/>
      <c r="Q936" s="2225"/>
      <c r="R936" s="1151"/>
      <c r="S936" s="1151"/>
      <c r="T936" s="1151"/>
      <c r="U936" s="1151"/>
      <c r="V936" s="1151"/>
      <c r="W936" s="1151"/>
      <c r="X936" s="1151"/>
      <c r="Y936" s="1151"/>
      <c r="Z936" s="1151"/>
      <c r="AB936" s="1933"/>
    </row>
    <row r="937" spans="1:35" s="38" customFormat="1">
      <c r="A937" s="990">
        <v>853</v>
      </c>
      <c r="B937" s="990">
        <v>1</v>
      </c>
      <c r="C937" s="990">
        <v>937</v>
      </c>
      <c r="D937" s="38" t="s">
        <v>999</v>
      </c>
      <c r="E937" s="1243">
        <v>1</v>
      </c>
      <c r="F937" s="340"/>
      <c r="G937" s="340"/>
      <c r="H937" s="341"/>
      <c r="I937" s="2662" t="s">
        <v>328</v>
      </c>
      <c r="J937" s="2663"/>
      <c r="K937" s="1502"/>
      <c r="L937" s="1502"/>
      <c r="M937" s="1502"/>
      <c r="N937" s="1502"/>
      <c r="O937" s="1502"/>
      <c r="P937" s="1502"/>
      <c r="Q937" s="2121">
        <v>0</v>
      </c>
      <c r="R937" s="129">
        <v>0</v>
      </c>
      <c r="S937" s="129">
        <v>0</v>
      </c>
      <c r="T937" s="129">
        <v>0</v>
      </c>
      <c r="U937" s="129">
        <v>0</v>
      </c>
      <c r="V937" s="129">
        <v>0</v>
      </c>
      <c r="W937" s="129">
        <v>0</v>
      </c>
      <c r="X937" s="129">
        <v>0</v>
      </c>
      <c r="Y937" s="129">
        <v>0</v>
      </c>
      <c r="Z937" s="129">
        <v>0</v>
      </c>
      <c r="AA937" s="129">
        <v>0</v>
      </c>
      <c r="AB937" s="129">
        <v>0</v>
      </c>
      <c r="AC937" s="129">
        <v>0</v>
      </c>
      <c r="AD937" s="129">
        <v>0</v>
      </c>
      <c r="AE937" s="129">
        <v>0</v>
      </c>
      <c r="AF937" s="129">
        <v>0</v>
      </c>
      <c r="AG937" s="129">
        <v>0</v>
      </c>
      <c r="AH937" s="129">
        <v>0</v>
      </c>
      <c r="AI937" s="129">
        <v>0</v>
      </c>
    </row>
    <row r="938" spans="1:35" s="38" customFormat="1">
      <c r="A938" s="990">
        <v>854</v>
      </c>
      <c r="B938" s="990">
        <v>1</v>
      </c>
      <c r="C938" s="990">
        <v>938</v>
      </c>
      <c r="D938" s="38" t="s">
        <v>999</v>
      </c>
      <c r="E938" s="1243">
        <v>1</v>
      </c>
      <c r="F938" s="5"/>
      <c r="G938" s="5"/>
      <c r="H938" s="5"/>
      <c r="I938" s="331"/>
      <c r="J938" s="52" t="s">
        <v>62</v>
      </c>
      <c r="K938" s="52"/>
      <c r="L938" s="52"/>
      <c r="M938" s="51"/>
      <c r="N938" s="51"/>
      <c r="O938" s="51"/>
      <c r="P938" s="51"/>
      <c r="Q938" s="49">
        <v>0</v>
      </c>
      <c r="R938" s="49">
        <v>0</v>
      </c>
      <c r="S938" s="49">
        <v>0</v>
      </c>
      <c r="T938" s="49">
        <v>0</v>
      </c>
      <c r="U938" s="49">
        <v>0</v>
      </c>
      <c r="V938" s="49">
        <v>0</v>
      </c>
      <c r="W938" s="49">
        <v>0</v>
      </c>
      <c r="X938" s="49">
        <v>0</v>
      </c>
      <c r="Y938" s="49">
        <v>0</v>
      </c>
      <c r="Z938" s="49">
        <v>0</v>
      </c>
      <c r="AA938" s="49">
        <v>0</v>
      </c>
      <c r="AB938" s="49">
        <v>0</v>
      </c>
      <c r="AC938" s="1553">
        <v>0</v>
      </c>
      <c r="AD938" s="49">
        <v>0</v>
      </c>
      <c r="AE938" s="49">
        <v>0</v>
      </c>
      <c r="AF938" s="49">
        <v>0</v>
      </c>
      <c r="AG938" s="49">
        <v>0</v>
      </c>
      <c r="AH938" s="49">
        <v>0</v>
      </c>
      <c r="AI938" s="49">
        <v>0</v>
      </c>
    </row>
    <row r="939" spans="1:35" s="38" customFormat="1">
      <c r="A939" s="990">
        <v>855</v>
      </c>
      <c r="B939" s="990">
        <v>1</v>
      </c>
      <c r="C939" s="990">
        <v>939</v>
      </c>
      <c r="E939" s="1243">
        <v>1</v>
      </c>
      <c r="F939" s="5"/>
      <c r="G939" s="5"/>
      <c r="H939" s="5"/>
      <c r="I939" s="331"/>
      <c r="J939" s="5"/>
      <c r="K939" s="5"/>
      <c r="L939" s="5"/>
      <c r="M939" s="4"/>
      <c r="N939" s="45"/>
      <c r="O939" s="45" t="s">
        <v>125</v>
      </c>
      <c r="P939" s="4"/>
      <c r="Q939" s="2030"/>
      <c r="R939" s="2030"/>
      <c r="S939" s="2030"/>
      <c r="T939" s="2030"/>
      <c r="U939" s="2030"/>
      <c r="V939" s="2030"/>
      <c r="W939" s="2030"/>
      <c r="X939" s="2030"/>
      <c r="Y939" s="2030"/>
      <c r="Z939" s="2030"/>
      <c r="AA939" s="2030"/>
      <c r="AB939" s="2030"/>
      <c r="AC939" s="1511">
        <v>0</v>
      </c>
      <c r="AD939" s="44">
        <v>0</v>
      </c>
      <c r="AE939" s="44">
        <v>0</v>
      </c>
      <c r="AF939" s="44">
        <v>0</v>
      </c>
      <c r="AG939" s="44">
        <v>0</v>
      </c>
      <c r="AH939" s="44">
        <v>0</v>
      </c>
      <c r="AI939" s="44">
        <v>0</v>
      </c>
    </row>
    <row r="940" spans="1:35" s="38" customFormat="1">
      <c r="A940" s="990">
        <v>856</v>
      </c>
      <c r="B940" s="990">
        <v>1</v>
      </c>
      <c r="C940" s="990">
        <v>940</v>
      </c>
      <c r="D940" s="1121"/>
      <c r="E940" s="1243">
        <v>1</v>
      </c>
      <c r="F940" s="5"/>
      <c r="G940" s="5"/>
      <c r="H940" s="5"/>
      <c r="I940" s="331"/>
      <c r="J940" s="5"/>
      <c r="K940" s="5"/>
      <c r="L940" s="5"/>
      <c r="M940" s="4"/>
      <c r="N940" s="45"/>
      <c r="O940" s="45" t="s">
        <v>124</v>
      </c>
      <c r="P940" s="4"/>
      <c r="Q940" s="2030"/>
      <c r="R940" s="2030"/>
      <c r="S940" s="2030"/>
      <c r="T940" s="2030"/>
      <c r="U940" s="2030"/>
      <c r="V940" s="2030"/>
      <c r="W940" s="2030"/>
      <c r="X940" s="2030"/>
      <c r="Y940" s="2030"/>
      <c r="Z940" s="2030"/>
      <c r="AA940" s="2030"/>
      <c r="AB940" s="2030"/>
      <c r="AC940" s="1511">
        <v>0</v>
      </c>
      <c r="AD940" s="44">
        <v>0</v>
      </c>
      <c r="AE940" s="44">
        <v>0</v>
      </c>
      <c r="AF940" s="44">
        <v>0</v>
      </c>
      <c r="AG940" s="44">
        <v>0</v>
      </c>
      <c r="AH940" s="44">
        <v>0</v>
      </c>
      <c r="AI940" s="44">
        <v>0</v>
      </c>
    </row>
    <row r="941" spans="1:35" s="38" customFormat="1">
      <c r="A941" s="990">
        <v>857</v>
      </c>
      <c r="B941" s="990">
        <v>1</v>
      </c>
      <c r="C941" s="990">
        <v>941</v>
      </c>
      <c r="D941" s="1121"/>
      <c r="E941" s="1243">
        <v>1</v>
      </c>
      <c r="F941" s="5"/>
      <c r="G941" s="5"/>
      <c r="H941" s="5"/>
      <c r="I941" s="331"/>
      <c r="J941" s="5"/>
      <c r="K941" s="5"/>
      <c r="L941" s="5"/>
      <c r="M941" s="4"/>
      <c r="N941" s="45"/>
      <c r="O941" s="45" t="s">
        <v>123</v>
      </c>
      <c r="P941" s="4"/>
      <c r="Q941" s="2030"/>
      <c r="R941" s="2030"/>
      <c r="S941" s="2030"/>
      <c r="T941" s="2030"/>
      <c r="U941" s="2030"/>
      <c r="V941" s="2030"/>
      <c r="W941" s="2030"/>
      <c r="X941" s="2030"/>
      <c r="Y941" s="2030"/>
      <c r="Z941" s="2030"/>
      <c r="AA941" s="2030"/>
      <c r="AB941" s="2030"/>
      <c r="AC941" s="1511">
        <v>0</v>
      </c>
      <c r="AD941" s="44">
        <v>0</v>
      </c>
      <c r="AE941" s="44">
        <v>0</v>
      </c>
      <c r="AF941" s="44">
        <v>0</v>
      </c>
      <c r="AG941" s="44">
        <v>0</v>
      </c>
      <c r="AH941" s="44">
        <v>0</v>
      </c>
      <c r="AI941" s="44">
        <v>0</v>
      </c>
    </row>
    <row r="942" spans="1:35" s="38" customFormat="1">
      <c r="A942" s="990">
        <v>858</v>
      </c>
      <c r="B942" s="990">
        <v>1</v>
      </c>
      <c r="C942" s="990">
        <v>942</v>
      </c>
      <c r="D942" s="1121"/>
      <c r="E942" s="1243">
        <v>1</v>
      </c>
      <c r="F942" s="5"/>
      <c r="G942" s="5"/>
      <c r="H942" s="5"/>
      <c r="I942" s="331"/>
      <c r="J942" s="3"/>
      <c r="K942" s="3"/>
      <c r="L942" s="3"/>
      <c r="M942" s="2"/>
      <c r="N942" s="43"/>
      <c r="O942" s="43" t="s">
        <v>120</v>
      </c>
      <c r="P942" s="2"/>
      <c r="Q942" s="2029"/>
      <c r="R942" s="2029"/>
      <c r="S942" s="2029"/>
      <c r="T942" s="2029"/>
      <c r="U942" s="2029"/>
      <c r="V942" s="2029"/>
      <c r="W942" s="2029"/>
      <c r="X942" s="2029"/>
      <c r="Y942" s="2029"/>
      <c r="Z942" s="2029"/>
      <c r="AA942" s="2029"/>
      <c r="AB942" s="2029"/>
      <c r="AC942" s="1554">
        <v>0</v>
      </c>
      <c r="AD942" s="42">
        <v>0</v>
      </c>
      <c r="AE942" s="42">
        <v>0</v>
      </c>
      <c r="AF942" s="42">
        <v>0</v>
      </c>
      <c r="AG942" s="42">
        <v>0</v>
      </c>
      <c r="AH942" s="42">
        <v>0</v>
      </c>
      <c r="AI942" s="42">
        <v>0</v>
      </c>
    </row>
    <row r="943" spans="1:35" s="820" customFormat="1">
      <c r="A943" s="990">
        <v>859</v>
      </c>
      <c r="B943" s="990">
        <v>1</v>
      </c>
      <c r="C943" s="990">
        <v>943</v>
      </c>
      <c r="D943" s="1121" t="s">
        <v>999</v>
      </c>
      <c r="E943" s="1243">
        <v>1</v>
      </c>
      <c r="F943" s="5"/>
      <c r="G943" s="5"/>
      <c r="H943" s="5"/>
      <c r="I943" s="331"/>
      <c r="J943" s="52" t="s">
        <v>330</v>
      </c>
      <c r="K943" s="52"/>
      <c r="L943" s="52"/>
      <c r="M943" s="51"/>
      <c r="N943" s="51"/>
      <c r="O943" s="51"/>
      <c r="P943" s="51"/>
      <c r="Q943" s="49">
        <v>0</v>
      </c>
      <c r="R943" s="49">
        <v>0</v>
      </c>
      <c r="S943" s="49">
        <v>0</v>
      </c>
      <c r="T943" s="49">
        <v>0</v>
      </c>
      <c r="U943" s="49">
        <v>0</v>
      </c>
      <c r="V943" s="49">
        <v>0</v>
      </c>
      <c r="W943" s="49">
        <v>0</v>
      </c>
      <c r="X943" s="49">
        <v>0</v>
      </c>
      <c r="Y943" s="49">
        <v>0</v>
      </c>
      <c r="Z943" s="49">
        <v>0</v>
      </c>
      <c r="AA943" s="49">
        <v>0</v>
      </c>
      <c r="AB943" s="49">
        <v>0</v>
      </c>
      <c r="AC943" s="1553">
        <v>0</v>
      </c>
      <c r="AD943" s="49">
        <v>0</v>
      </c>
      <c r="AE943" s="49">
        <v>0</v>
      </c>
      <c r="AF943" s="49">
        <v>0</v>
      </c>
      <c r="AG943" s="49">
        <v>0</v>
      </c>
      <c r="AH943" s="49">
        <v>0</v>
      </c>
      <c r="AI943" s="49">
        <v>0</v>
      </c>
    </row>
    <row r="944" spans="1:35" s="38" customFormat="1">
      <c r="A944" s="990">
        <v>860</v>
      </c>
      <c r="B944" s="990">
        <v>1</v>
      </c>
      <c r="C944" s="990">
        <v>944</v>
      </c>
      <c r="D944" s="1121"/>
      <c r="E944" s="1243">
        <v>1</v>
      </c>
      <c r="F944" s="5"/>
      <c r="G944" s="5"/>
      <c r="H944" s="5"/>
      <c r="I944" s="331"/>
      <c r="J944" s="5"/>
      <c r="K944" s="5"/>
      <c r="L944" s="5"/>
      <c r="M944" s="4"/>
      <c r="N944" s="45"/>
      <c r="O944" s="45" t="s">
        <v>67</v>
      </c>
      <c r="P944" s="4"/>
      <c r="Q944" s="2030"/>
      <c r="R944" s="2030"/>
      <c r="S944" s="2030"/>
      <c r="T944" s="2030"/>
      <c r="U944" s="2030"/>
      <c r="V944" s="2030"/>
      <c r="W944" s="2030"/>
      <c r="X944" s="2030"/>
      <c r="Y944" s="2030"/>
      <c r="Z944" s="2030"/>
      <c r="AA944" s="2030"/>
      <c r="AB944" s="2030"/>
      <c r="AC944" s="1511">
        <v>0</v>
      </c>
      <c r="AD944" s="44">
        <v>0</v>
      </c>
      <c r="AE944" s="44">
        <v>0</v>
      </c>
      <c r="AF944" s="44">
        <v>0</v>
      </c>
      <c r="AG944" s="44">
        <v>0</v>
      </c>
      <c r="AH944" s="44">
        <v>0</v>
      </c>
      <c r="AI944" s="44">
        <v>0</v>
      </c>
    </row>
    <row r="945" spans="1:35" s="38" customFormat="1">
      <c r="A945" s="990">
        <v>861</v>
      </c>
      <c r="B945" s="990">
        <v>1</v>
      </c>
      <c r="C945" s="990">
        <v>945</v>
      </c>
      <c r="E945" s="1243">
        <v>1</v>
      </c>
      <c r="F945" s="5"/>
      <c r="G945" s="5"/>
      <c r="H945" s="5"/>
      <c r="I945" s="331"/>
      <c r="J945" s="5"/>
      <c r="K945" s="5"/>
      <c r="L945" s="5"/>
      <c r="M945" s="4"/>
      <c r="N945" s="45"/>
      <c r="O945" s="45" t="s">
        <v>68</v>
      </c>
      <c r="P945" s="4"/>
      <c r="Q945" s="2030"/>
      <c r="R945" s="2030"/>
      <c r="S945" s="2030"/>
      <c r="T945" s="2030"/>
      <c r="U945" s="2030"/>
      <c r="V945" s="2030"/>
      <c r="W945" s="2030"/>
      <c r="X945" s="2030"/>
      <c r="Y945" s="2030"/>
      <c r="Z945" s="2030"/>
      <c r="AA945" s="2030"/>
      <c r="AB945" s="2030"/>
      <c r="AC945" s="1511">
        <v>0</v>
      </c>
      <c r="AD945" s="44">
        <v>0</v>
      </c>
      <c r="AE945" s="44">
        <v>0</v>
      </c>
      <c r="AF945" s="44">
        <v>0</v>
      </c>
      <c r="AG945" s="44">
        <v>0</v>
      </c>
      <c r="AH945" s="44">
        <v>0</v>
      </c>
      <c r="AI945" s="44">
        <v>0</v>
      </c>
    </row>
    <row r="946" spans="1:35" s="38" customFormat="1">
      <c r="A946" s="990">
        <v>862</v>
      </c>
      <c r="B946" s="990">
        <v>1</v>
      </c>
      <c r="C946" s="990">
        <v>946</v>
      </c>
      <c r="E946" s="1243">
        <v>1</v>
      </c>
      <c r="F946" s="5"/>
      <c r="G946" s="5"/>
      <c r="H946" s="5"/>
      <c r="I946" s="331"/>
      <c r="J946" s="5"/>
      <c r="K946" s="5"/>
      <c r="L946" s="5"/>
      <c r="M946" s="4"/>
      <c r="N946" s="45"/>
      <c r="O946" s="45" t="s">
        <v>122</v>
      </c>
      <c r="P946" s="4"/>
      <c r="Q946" s="2030"/>
      <c r="R946" s="2030"/>
      <c r="S946" s="2030"/>
      <c r="T946" s="2030"/>
      <c r="U946" s="2030"/>
      <c r="V946" s="2030"/>
      <c r="W946" s="2030"/>
      <c r="X946" s="2030"/>
      <c r="Y946" s="2030"/>
      <c r="Z946" s="2030"/>
      <c r="AA946" s="2030"/>
      <c r="AB946" s="2030"/>
      <c r="AC946" s="1511">
        <v>0</v>
      </c>
      <c r="AD946" s="44">
        <v>0</v>
      </c>
      <c r="AE946" s="44">
        <v>0</v>
      </c>
      <c r="AF946" s="44">
        <v>0</v>
      </c>
      <c r="AG946" s="44">
        <v>0</v>
      </c>
      <c r="AH946" s="44">
        <v>0</v>
      </c>
      <c r="AI946" s="44">
        <v>0</v>
      </c>
    </row>
    <row r="947" spans="1:35" s="38" customFormat="1">
      <c r="A947" s="990">
        <v>863</v>
      </c>
      <c r="B947" s="990">
        <v>1</v>
      </c>
      <c r="C947" s="990">
        <v>947</v>
      </c>
      <c r="E947" s="1243">
        <v>1</v>
      </c>
      <c r="F947" s="5"/>
      <c r="G947" s="5"/>
      <c r="H947" s="5"/>
      <c r="I947" s="331"/>
      <c r="J947" s="5"/>
      <c r="K947" s="5"/>
      <c r="L947" s="5"/>
      <c r="M947" s="4"/>
      <c r="N947" s="45"/>
      <c r="O947" s="45" t="s">
        <v>121</v>
      </c>
      <c r="P947" s="4"/>
      <c r="Q947" s="2030"/>
      <c r="R947" s="2030"/>
      <c r="S947" s="2030"/>
      <c r="T947" s="2030"/>
      <c r="U947" s="2030"/>
      <c r="V947" s="2030"/>
      <c r="W947" s="2030"/>
      <c r="X947" s="2030"/>
      <c r="Y947" s="2030"/>
      <c r="Z947" s="2030"/>
      <c r="AA947" s="2030"/>
      <c r="AB947" s="2030"/>
      <c r="AC947" s="1511">
        <v>0</v>
      </c>
      <c r="AD947" s="44">
        <v>0</v>
      </c>
      <c r="AE947" s="44">
        <v>0</v>
      </c>
      <c r="AF947" s="44">
        <v>0</v>
      </c>
      <c r="AG947" s="44">
        <v>0</v>
      </c>
      <c r="AH947" s="44">
        <v>0</v>
      </c>
      <c r="AI947" s="44">
        <v>0</v>
      </c>
    </row>
    <row r="948" spans="1:35" s="38" customFormat="1">
      <c r="A948" s="990">
        <v>864</v>
      </c>
      <c r="B948" s="990">
        <v>1</v>
      </c>
      <c r="C948" s="990">
        <v>948</v>
      </c>
      <c r="E948" s="1243">
        <v>1</v>
      </c>
      <c r="F948" s="5"/>
      <c r="G948" s="5"/>
      <c r="H948" s="5"/>
      <c r="I948" s="331"/>
      <c r="J948" s="5"/>
      <c r="K948" s="5"/>
      <c r="L948" s="5"/>
      <c r="M948" s="4"/>
      <c r="N948" s="45"/>
      <c r="O948" s="45" t="s">
        <v>120</v>
      </c>
      <c r="P948" s="4"/>
      <c r="Q948" s="2030"/>
      <c r="R948" s="2030"/>
      <c r="S948" s="2030"/>
      <c r="T948" s="2030"/>
      <c r="U948" s="2030"/>
      <c r="V948" s="2030"/>
      <c r="W948" s="2030"/>
      <c r="X948" s="2030"/>
      <c r="Y948" s="2030"/>
      <c r="Z948" s="2030"/>
      <c r="AA948" s="2030"/>
      <c r="AB948" s="2030"/>
      <c r="AC948" s="1511">
        <v>0</v>
      </c>
      <c r="AD948" s="44">
        <v>0</v>
      </c>
      <c r="AE948" s="44">
        <v>0</v>
      </c>
      <c r="AF948" s="44">
        <v>0</v>
      </c>
      <c r="AG948" s="44">
        <v>0</v>
      </c>
      <c r="AH948" s="44">
        <v>0</v>
      </c>
      <c r="AI948" s="44">
        <v>0</v>
      </c>
    </row>
    <row r="949" spans="1:35" s="38" customFormat="1">
      <c r="A949" s="990">
        <v>865</v>
      </c>
      <c r="B949" s="990">
        <v>1</v>
      </c>
      <c r="C949" s="990">
        <v>949</v>
      </c>
      <c r="D949" s="1121" t="s">
        <v>999</v>
      </c>
      <c r="E949" s="1243">
        <v>1</v>
      </c>
      <c r="F949" s="5"/>
      <c r="G949" s="5"/>
      <c r="H949" s="5"/>
      <c r="I949" s="331"/>
      <c r="J949" s="324" t="s">
        <v>331</v>
      </c>
      <c r="K949" s="324"/>
      <c r="L949" s="324"/>
      <c r="M949" s="323"/>
      <c r="N949" s="323"/>
      <c r="O949" s="323"/>
      <c r="P949" s="323"/>
      <c r="Q949" s="325">
        <v>0</v>
      </c>
      <c r="R949" s="325">
        <v>0</v>
      </c>
      <c r="S949" s="325">
        <v>0</v>
      </c>
      <c r="T949" s="325">
        <v>0</v>
      </c>
      <c r="U949" s="325">
        <v>0</v>
      </c>
      <c r="V949" s="325">
        <v>0</v>
      </c>
      <c r="W949" s="325">
        <v>0</v>
      </c>
      <c r="X949" s="325">
        <v>0</v>
      </c>
      <c r="Y949" s="325">
        <v>0</v>
      </c>
      <c r="Z949" s="325">
        <v>0</v>
      </c>
      <c r="AA949" s="325">
        <v>0</v>
      </c>
      <c r="AB949" s="325">
        <v>0</v>
      </c>
      <c r="AC949" s="1278">
        <v>0</v>
      </c>
      <c r="AD949" s="325">
        <v>0</v>
      </c>
      <c r="AE949" s="325">
        <v>0</v>
      </c>
      <c r="AF949" s="325">
        <v>0</v>
      </c>
      <c r="AG949" s="325">
        <v>0</v>
      </c>
      <c r="AH949" s="325">
        <v>0</v>
      </c>
      <c r="AI949" s="325">
        <v>0</v>
      </c>
    </row>
    <row r="950" spans="1:35" s="38" customFormat="1">
      <c r="A950" s="990">
        <v>866</v>
      </c>
      <c r="B950" s="990">
        <v>1</v>
      </c>
      <c r="C950" s="990">
        <v>950</v>
      </c>
      <c r="E950" s="1243">
        <v>1</v>
      </c>
      <c r="F950" s="5"/>
      <c r="G950" s="5"/>
      <c r="H950" s="5"/>
      <c r="I950" s="331"/>
      <c r="J950" s="5"/>
      <c r="K950" s="5"/>
      <c r="L950" s="5"/>
      <c r="M950" s="4"/>
      <c r="N950" s="45"/>
      <c r="O950" s="45" t="s">
        <v>323</v>
      </c>
      <c r="P950" s="4"/>
      <c r="Q950" s="2030"/>
      <c r="R950" s="2030"/>
      <c r="S950" s="2030"/>
      <c r="T950" s="2030"/>
      <c r="U950" s="2030"/>
      <c r="V950" s="2030"/>
      <c r="W950" s="2030"/>
      <c r="X950" s="2030"/>
      <c r="Y950" s="2030"/>
      <c r="Z950" s="2030"/>
      <c r="AA950" s="2030"/>
      <c r="AB950" s="2030"/>
      <c r="AC950" s="1511">
        <v>0</v>
      </c>
      <c r="AD950" s="44">
        <v>0</v>
      </c>
      <c r="AE950" s="44">
        <v>0</v>
      </c>
      <c r="AF950" s="44">
        <v>0</v>
      </c>
      <c r="AG950" s="44">
        <v>0</v>
      </c>
      <c r="AH950" s="44">
        <v>0</v>
      </c>
      <c r="AI950" s="44">
        <v>0</v>
      </c>
    </row>
    <row r="951" spans="1:35" s="38" customFormat="1">
      <c r="A951" s="990">
        <v>867</v>
      </c>
      <c r="B951" s="990">
        <v>1</v>
      </c>
      <c r="C951" s="990">
        <v>951</v>
      </c>
      <c r="E951" s="1243">
        <v>1</v>
      </c>
      <c r="F951" s="5"/>
      <c r="G951" s="5"/>
      <c r="H951" s="5"/>
      <c r="I951" s="331"/>
      <c r="J951" s="5"/>
      <c r="K951" s="5"/>
      <c r="L951" s="5"/>
      <c r="M951" s="4"/>
      <c r="N951" s="45"/>
      <c r="O951" s="45" t="s">
        <v>324</v>
      </c>
      <c r="P951" s="4"/>
      <c r="Q951" s="2030"/>
      <c r="R951" s="2030"/>
      <c r="S951" s="2030"/>
      <c r="T951" s="2030"/>
      <c r="U951" s="2030"/>
      <c r="V951" s="2030"/>
      <c r="W951" s="2030"/>
      <c r="X951" s="2030"/>
      <c r="Y951" s="2030"/>
      <c r="Z951" s="2030"/>
      <c r="AA951" s="2030"/>
      <c r="AB951" s="2030"/>
      <c r="AC951" s="1511">
        <v>0</v>
      </c>
      <c r="AD951" s="44">
        <v>0</v>
      </c>
      <c r="AE951" s="44">
        <v>0</v>
      </c>
      <c r="AF951" s="44">
        <v>0</v>
      </c>
      <c r="AG951" s="44">
        <v>0</v>
      </c>
      <c r="AH951" s="44">
        <v>0</v>
      </c>
      <c r="AI951" s="44">
        <v>0</v>
      </c>
    </row>
    <row r="952" spans="1:35" s="38" customFormat="1">
      <c r="A952" s="990">
        <v>868</v>
      </c>
      <c r="B952" s="990">
        <v>1</v>
      </c>
      <c r="C952" s="990">
        <v>952</v>
      </c>
      <c r="E952" s="1243">
        <v>1</v>
      </c>
      <c r="F952" s="5"/>
      <c r="G952" s="5"/>
      <c r="H952" s="5"/>
      <c r="I952" s="331"/>
      <c r="J952" s="5"/>
      <c r="K952" s="5"/>
      <c r="L952" s="5"/>
      <c r="M952" s="4"/>
      <c r="N952" s="45"/>
      <c r="O952" s="45" t="s">
        <v>325</v>
      </c>
      <c r="P952" s="4"/>
      <c r="Q952" s="2030"/>
      <c r="R952" s="2030"/>
      <c r="S952" s="2030"/>
      <c r="T952" s="2030"/>
      <c r="U952" s="2030"/>
      <c r="V952" s="2030"/>
      <c r="W952" s="2030"/>
      <c r="X952" s="2030"/>
      <c r="Y952" s="2030"/>
      <c r="Z952" s="2030"/>
      <c r="AA952" s="2030"/>
      <c r="AB952" s="2030"/>
      <c r="AC952" s="1511">
        <v>0</v>
      </c>
      <c r="AD952" s="44">
        <v>0</v>
      </c>
      <c r="AE952" s="44">
        <v>0</v>
      </c>
      <c r="AF952" s="44">
        <v>0</v>
      </c>
      <c r="AG952" s="44">
        <v>0</v>
      </c>
      <c r="AH952" s="44">
        <v>0</v>
      </c>
      <c r="AI952" s="44">
        <v>0</v>
      </c>
    </row>
    <row r="953" spans="1:35" s="38" customFormat="1">
      <c r="A953" s="990">
        <v>869</v>
      </c>
      <c r="B953" s="990">
        <v>1</v>
      </c>
      <c r="C953" s="990">
        <v>953</v>
      </c>
      <c r="E953" s="1243">
        <v>1</v>
      </c>
      <c r="F953" s="5"/>
      <c r="G953" s="5"/>
      <c r="H953" s="5"/>
      <c r="I953" s="331"/>
      <c r="J953" s="3"/>
      <c r="K953" s="3"/>
      <c r="L953" s="3"/>
      <c r="M953" s="2"/>
      <c r="N953" s="43"/>
      <c r="O953" s="43" t="s">
        <v>326</v>
      </c>
      <c r="P953" s="2"/>
      <c r="Q953" s="2029"/>
      <c r="R953" s="2029"/>
      <c r="S953" s="2029"/>
      <c r="T953" s="2029"/>
      <c r="U953" s="2029"/>
      <c r="V953" s="2029"/>
      <c r="W953" s="2029"/>
      <c r="X953" s="2029"/>
      <c r="Y953" s="2029"/>
      <c r="Z953" s="2029"/>
      <c r="AA953" s="2029"/>
      <c r="AB953" s="2029"/>
      <c r="AC953" s="1554">
        <v>0</v>
      </c>
      <c r="AD953" s="42">
        <v>0</v>
      </c>
      <c r="AE953" s="42">
        <v>0</v>
      </c>
      <c r="AF953" s="42">
        <v>0</v>
      </c>
      <c r="AG953" s="42">
        <v>0</v>
      </c>
      <c r="AH953" s="42">
        <v>0</v>
      </c>
      <c r="AI953" s="42">
        <v>0</v>
      </c>
    </row>
    <row r="954" spans="1:35" s="38" customFormat="1">
      <c r="A954" s="990">
        <v>870</v>
      </c>
      <c r="B954" s="990">
        <v>1</v>
      </c>
      <c r="C954" s="990">
        <v>954</v>
      </c>
      <c r="D954" s="38" t="s">
        <v>999</v>
      </c>
      <c r="E954" s="1243">
        <v>1</v>
      </c>
      <c r="F954" s="5"/>
      <c r="G954" s="5"/>
      <c r="H954" s="5"/>
      <c r="I954" s="331"/>
      <c r="J954" s="52" t="s">
        <v>73</v>
      </c>
      <c r="K954" s="52"/>
      <c r="L954" s="52"/>
      <c r="M954" s="51"/>
      <c r="N954" s="51"/>
      <c r="O954" s="51"/>
      <c r="P954" s="51"/>
      <c r="Q954" s="49">
        <v>0</v>
      </c>
      <c r="R954" s="49">
        <v>0</v>
      </c>
      <c r="S954" s="49">
        <v>0</v>
      </c>
      <c r="T954" s="49">
        <v>0</v>
      </c>
      <c r="U954" s="49">
        <v>0</v>
      </c>
      <c r="V954" s="49">
        <v>0</v>
      </c>
      <c r="W954" s="49">
        <v>0</v>
      </c>
      <c r="X954" s="49">
        <v>0</v>
      </c>
      <c r="Y954" s="49">
        <v>0</v>
      </c>
      <c r="Z954" s="49">
        <v>0</v>
      </c>
      <c r="AA954" s="49">
        <v>0</v>
      </c>
      <c r="AB954" s="49">
        <v>0</v>
      </c>
      <c r="AC954" s="1553">
        <v>0</v>
      </c>
      <c r="AD954" s="49">
        <v>0</v>
      </c>
      <c r="AE954" s="49">
        <v>0</v>
      </c>
      <c r="AF954" s="49">
        <v>0</v>
      </c>
      <c r="AG954" s="49">
        <v>0</v>
      </c>
      <c r="AH954" s="49">
        <v>0</v>
      </c>
      <c r="AI954" s="49">
        <v>0</v>
      </c>
    </row>
    <row r="955" spans="1:35" s="38" customFormat="1">
      <c r="A955" s="990">
        <v>871</v>
      </c>
      <c r="B955" s="990">
        <v>1</v>
      </c>
      <c r="C955" s="990">
        <v>955</v>
      </c>
      <c r="D955" s="1121"/>
      <c r="E955" s="1243">
        <v>1</v>
      </c>
      <c r="F955" s="5"/>
      <c r="G955" s="5"/>
      <c r="H955" s="5"/>
      <c r="I955" s="331"/>
      <c r="J955" s="5"/>
      <c r="K955" s="5"/>
      <c r="L955" s="4"/>
      <c r="M955" s="4"/>
      <c r="N955" s="45"/>
      <c r="O955" s="45" t="s">
        <v>119</v>
      </c>
      <c r="P955" s="45"/>
      <c r="Q955" s="2030"/>
      <c r="R955" s="2030"/>
      <c r="S955" s="2030"/>
      <c r="T955" s="2030"/>
      <c r="U955" s="2030"/>
      <c r="V955" s="2030"/>
      <c r="W955" s="2030"/>
      <c r="X955" s="2030"/>
      <c r="Y955" s="2030"/>
      <c r="Z955" s="2030"/>
      <c r="AA955" s="2030"/>
      <c r="AB955" s="2030"/>
      <c r="AC955" s="1511">
        <v>0</v>
      </c>
      <c r="AD955" s="44">
        <v>0</v>
      </c>
      <c r="AE955" s="44">
        <v>0</v>
      </c>
      <c r="AF955" s="44">
        <v>0</v>
      </c>
      <c r="AG955" s="44">
        <v>0</v>
      </c>
      <c r="AH955" s="44">
        <v>0</v>
      </c>
      <c r="AI955" s="44">
        <v>0</v>
      </c>
    </row>
    <row r="956" spans="1:35" s="38" customFormat="1">
      <c r="A956" s="990">
        <v>872</v>
      </c>
      <c r="B956" s="990">
        <v>1</v>
      </c>
      <c r="C956" s="990">
        <v>956</v>
      </c>
      <c r="E956" s="1243">
        <v>1</v>
      </c>
      <c r="F956" s="5"/>
      <c r="G956" s="5"/>
      <c r="H956" s="5"/>
      <c r="I956" s="331"/>
      <c r="J956" s="5"/>
      <c r="K956" s="5"/>
      <c r="L956" s="4"/>
      <c r="M956" s="4"/>
      <c r="N956" s="45"/>
      <c r="O956" s="45" t="s">
        <v>75</v>
      </c>
      <c r="P956" s="45"/>
      <c r="Q956" s="2030"/>
      <c r="R956" s="2030"/>
      <c r="S956" s="2030"/>
      <c r="T956" s="2030"/>
      <c r="U956" s="2030"/>
      <c r="V956" s="2030"/>
      <c r="W956" s="2030"/>
      <c r="X956" s="2030"/>
      <c r="Y956" s="2030"/>
      <c r="Z956" s="2030"/>
      <c r="AA956" s="2030"/>
      <c r="AB956" s="2030"/>
      <c r="AC956" s="1511">
        <v>0</v>
      </c>
      <c r="AD956" s="44">
        <v>0</v>
      </c>
      <c r="AE956" s="44">
        <v>0</v>
      </c>
      <c r="AF956" s="44">
        <v>0</v>
      </c>
      <c r="AG956" s="44">
        <v>0</v>
      </c>
      <c r="AH956" s="44">
        <v>0</v>
      </c>
      <c r="AI956" s="44">
        <v>0</v>
      </c>
    </row>
    <row r="957" spans="1:35" s="38" customFormat="1">
      <c r="A957" s="990">
        <v>873</v>
      </c>
      <c r="B957" s="990">
        <v>1</v>
      </c>
      <c r="C957" s="990">
        <v>957</v>
      </c>
      <c r="E957" s="1243">
        <v>1</v>
      </c>
      <c r="F957" s="5"/>
      <c r="G957" s="5"/>
      <c r="H957" s="5"/>
      <c r="I957" s="331"/>
      <c r="J957" s="5"/>
      <c r="K957" s="5"/>
      <c r="L957" s="4"/>
      <c r="M957" s="4"/>
      <c r="N957" s="45"/>
      <c r="O957" s="45" t="s">
        <v>76</v>
      </c>
      <c r="P957" s="45"/>
      <c r="Q957" s="2030"/>
      <c r="R957" s="2030"/>
      <c r="S957" s="2030"/>
      <c r="T957" s="2030"/>
      <c r="U957" s="2030"/>
      <c r="V957" s="2030"/>
      <c r="W957" s="2030"/>
      <c r="X957" s="2030"/>
      <c r="Y957" s="2030"/>
      <c r="Z957" s="2030"/>
      <c r="AA957" s="2030"/>
      <c r="AB957" s="2030"/>
      <c r="AC957" s="1511">
        <v>0</v>
      </c>
      <c r="AD957" s="44">
        <v>0</v>
      </c>
      <c r="AE957" s="44">
        <v>0</v>
      </c>
      <c r="AF957" s="44">
        <v>0</v>
      </c>
      <c r="AG957" s="44">
        <v>0</v>
      </c>
      <c r="AH957" s="44">
        <v>0</v>
      </c>
      <c r="AI957" s="44">
        <v>0</v>
      </c>
    </row>
    <row r="958" spans="1:35" s="38" customFormat="1">
      <c r="A958" s="990">
        <v>874</v>
      </c>
      <c r="B958" s="990">
        <v>1</v>
      </c>
      <c r="C958" s="990">
        <v>958</v>
      </c>
      <c r="E958" s="1243">
        <v>1</v>
      </c>
      <c r="F958" s="5"/>
      <c r="G958" s="5"/>
      <c r="H958" s="5"/>
      <c r="I958" s="331"/>
      <c r="J958" s="5"/>
      <c r="K958" s="5"/>
      <c r="L958" s="4"/>
      <c r="M958" s="4"/>
      <c r="N958" s="45"/>
      <c r="O958" s="45" t="s">
        <v>77</v>
      </c>
      <c r="P958" s="45"/>
      <c r="Q958" s="2030"/>
      <c r="R958" s="2030"/>
      <c r="S958" s="2030"/>
      <c r="T958" s="2030"/>
      <c r="U958" s="2030"/>
      <c r="V958" s="2030"/>
      <c r="W958" s="2030"/>
      <c r="X958" s="2030"/>
      <c r="Y958" s="2030"/>
      <c r="Z958" s="2030"/>
      <c r="AA958" s="2030"/>
      <c r="AB958" s="2030"/>
      <c r="AC958" s="1511">
        <v>0</v>
      </c>
      <c r="AD958" s="44">
        <v>0</v>
      </c>
      <c r="AE958" s="44">
        <v>0</v>
      </c>
      <c r="AF958" s="44">
        <v>0</v>
      </c>
      <c r="AG958" s="44">
        <v>0</v>
      </c>
      <c r="AH958" s="44">
        <v>0</v>
      </c>
      <c r="AI958" s="44">
        <v>0</v>
      </c>
    </row>
    <row r="959" spans="1:35" s="38" customFormat="1">
      <c r="A959" s="990">
        <v>875</v>
      </c>
      <c r="B959" s="990">
        <v>1</v>
      </c>
      <c r="C959" s="990">
        <v>959</v>
      </c>
      <c r="E959" s="1243">
        <v>1</v>
      </c>
      <c r="F959" s="5"/>
      <c r="G959" s="5"/>
      <c r="H959" s="5"/>
      <c r="I959" s="331"/>
      <c r="J959" s="5"/>
      <c r="K959" s="5"/>
      <c r="L959" s="4"/>
      <c r="M959" s="4"/>
      <c r="N959" s="45"/>
      <c r="O959" s="45" t="s">
        <v>11</v>
      </c>
      <c r="P959" s="45"/>
      <c r="Q959" s="2030"/>
      <c r="R959" s="2030"/>
      <c r="S959" s="2030"/>
      <c r="T959" s="2030"/>
      <c r="U959" s="2030"/>
      <c r="V959" s="2030"/>
      <c r="W959" s="2030"/>
      <c r="X959" s="2030"/>
      <c r="Y959" s="2030"/>
      <c r="Z959" s="2030"/>
      <c r="AA959" s="2030"/>
      <c r="AB959" s="2030"/>
      <c r="AC959" s="1511">
        <v>0</v>
      </c>
      <c r="AD959" s="44">
        <v>0</v>
      </c>
      <c r="AE959" s="44">
        <v>0</v>
      </c>
      <c r="AF959" s="44">
        <v>0</v>
      </c>
      <c r="AG959" s="44">
        <v>0</v>
      </c>
      <c r="AH959" s="44">
        <v>0</v>
      </c>
      <c r="AI959" s="44">
        <v>0</v>
      </c>
    </row>
    <row r="960" spans="1:35" s="38" customFormat="1">
      <c r="A960" s="990">
        <v>876</v>
      </c>
      <c r="B960" s="990">
        <v>1</v>
      </c>
      <c r="C960" s="990">
        <v>960</v>
      </c>
      <c r="D960" s="1121" t="s">
        <v>999</v>
      </c>
      <c r="E960" s="1243">
        <v>1</v>
      </c>
      <c r="F960" s="5"/>
      <c r="G960" s="5"/>
      <c r="H960" s="5"/>
      <c r="I960" s="331"/>
      <c r="J960" s="324" t="s">
        <v>332</v>
      </c>
      <c r="K960" s="324"/>
      <c r="L960" s="324"/>
      <c r="M960" s="323"/>
      <c r="N960" s="323"/>
      <c r="O960" s="323"/>
      <c r="P960" s="323"/>
      <c r="Q960" s="325">
        <v>0</v>
      </c>
      <c r="R960" s="325">
        <v>0</v>
      </c>
      <c r="S960" s="325">
        <v>0</v>
      </c>
      <c r="T960" s="325">
        <v>0</v>
      </c>
      <c r="U960" s="325">
        <v>0</v>
      </c>
      <c r="V960" s="325">
        <v>0</v>
      </c>
      <c r="W960" s="325">
        <v>0</v>
      </c>
      <c r="X960" s="325">
        <v>0</v>
      </c>
      <c r="Y960" s="325">
        <v>0</v>
      </c>
      <c r="Z960" s="325">
        <v>0</v>
      </c>
      <c r="AA960" s="325">
        <v>0</v>
      </c>
      <c r="AB960" s="325">
        <v>0</v>
      </c>
      <c r="AC960" s="1278">
        <v>0</v>
      </c>
      <c r="AD960" s="325">
        <v>0</v>
      </c>
      <c r="AE960" s="325">
        <v>0</v>
      </c>
      <c r="AF960" s="325">
        <v>0</v>
      </c>
      <c r="AG960" s="325">
        <v>0</v>
      </c>
      <c r="AH960" s="325">
        <v>0</v>
      </c>
      <c r="AI960" s="325">
        <v>0</v>
      </c>
    </row>
    <row r="961" spans="1:35" s="38" customFormat="1">
      <c r="A961" s="990">
        <v>877</v>
      </c>
      <c r="B961" s="990">
        <v>1</v>
      </c>
      <c r="C961" s="990">
        <v>961</v>
      </c>
      <c r="E961" s="1243">
        <v>1</v>
      </c>
      <c r="F961" s="5"/>
      <c r="G961" s="5"/>
      <c r="H961" s="5"/>
      <c r="I961" s="331"/>
      <c r="J961" s="5"/>
      <c r="K961" s="5"/>
      <c r="L961" s="4"/>
      <c r="M961" s="4"/>
      <c r="N961" s="45"/>
      <c r="O961" s="45" t="s">
        <v>79</v>
      </c>
      <c r="P961" s="45"/>
      <c r="Q961" s="2030"/>
      <c r="R961" s="2030"/>
      <c r="S961" s="2030"/>
      <c r="T961" s="2030"/>
      <c r="U961" s="2030"/>
      <c r="V961" s="2030"/>
      <c r="W961" s="2030"/>
      <c r="X961" s="2030"/>
      <c r="Y961" s="2030"/>
      <c r="Z961" s="2030"/>
      <c r="AA961" s="2030"/>
      <c r="AB961" s="2030"/>
      <c r="AC961" s="1511">
        <v>0</v>
      </c>
      <c r="AD961" s="44">
        <v>0</v>
      </c>
      <c r="AE961" s="44">
        <v>0</v>
      </c>
      <c r="AF961" s="44">
        <v>0</v>
      </c>
      <c r="AG961" s="44">
        <v>0</v>
      </c>
      <c r="AH961" s="44">
        <v>0</v>
      </c>
      <c r="AI961" s="44">
        <v>0</v>
      </c>
    </row>
    <row r="962" spans="1:35" s="38" customFormat="1">
      <c r="A962" s="990">
        <v>878</v>
      </c>
      <c r="B962" s="990">
        <v>1</v>
      </c>
      <c r="C962" s="990">
        <v>962</v>
      </c>
      <c r="E962" s="1243">
        <v>1</v>
      </c>
      <c r="F962" s="5"/>
      <c r="G962" s="5"/>
      <c r="H962" s="5"/>
      <c r="I962" s="331"/>
      <c r="J962" s="5"/>
      <c r="K962" s="5"/>
      <c r="L962" s="4"/>
      <c r="M962" s="4"/>
      <c r="N962" s="45"/>
      <c r="O962" s="45" t="s">
        <v>80</v>
      </c>
      <c r="P962" s="45"/>
      <c r="Q962" s="2030"/>
      <c r="R962" s="2030"/>
      <c r="S962" s="2030"/>
      <c r="T962" s="2030"/>
      <c r="U962" s="2030"/>
      <c r="V962" s="2030"/>
      <c r="W962" s="2030"/>
      <c r="X962" s="2030"/>
      <c r="Y962" s="2030"/>
      <c r="Z962" s="2030"/>
      <c r="AA962" s="2030"/>
      <c r="AB962" s="2030"/>
      <c r="AC962" s="1511">
        <v>0</v>
      </c>
      <c r="AD962" s="44">
        <v>0</v>
      </c>
      <c r="AE962" s="44">
        <v>0</v>
      </c>
      <c r="AF962" s="44">
        <v>0</v>
      </c>
      <c r="AG962" s="44">
        <v>0</v>
      </c>
      <c r="AH962" s="44">
        <v>0</v>
      </c>
      <c r="AI962" s="44">
        <v>0</v>
      </c>
    </row>
    <row r="963" spans="1:35" s="38" customFormat="1">
      <c r="A963" s="990">
        <v>879</v>
      </c>
      <c r="B963" s="990">
        <v>1</v>
      </c>
      <c r="C963" s="990">
        <v>963</v>
      </c>
      <c r="E963" s="1243">
        <v>1</v>
      </c>
      <c r="F963" s="5"/>
      <c r="G963" s="5"/>
      <c r="H963" s="5"/>
      <c r="I963" s="332"/>
      <c r="J963" s="3"/>
      <c r="K963" s="3"/>
      <c r="L963" s="2"/>
      <c r="M963" s="2"/>
      <c r="N963" s="43"/>
      <c r="O963" s="43" t="s">
        <v>81</v>
      </c>
      <c r="P963" s="43"/>
      <c r="Q963" s="2029"/>
      <c r="R963" s="2029"/>
      <c r="S963" s="2029"/>
      <c r="T963" s="2029"/>
      <c r="U963" s="2029"/>
      <c r="V963" s="2029"/>
      <c r="W963" s="2029"/>
      <c r="X963" s="2029"/>
      <c r="Y963" s="2029"/>
      <c r="Z963" s="2029"/>
      <c r="AA963" s="2029"/>
      <c r="AB963" s="2029"/>
      <c r="AC963" s="1554">
        <v>0</v>
      </c>
      <c r="AD963" s="42">
        <v>0</v>
      </c>
      <c r="AE963" s="42">
        <v>0</v>
      </c>
      <c r="AF963" s="42">
        <v>0</v>
      </c>
      <c r="AG963" s="42">
        <v>0</v>
      </c>
      <c r="AH963" s="42">
        <v>0</v>
      </c>
      <c r="AI963" s="42">
        <v>0</v>
      </c>
    </row>
    <row r="964" spans="1:35" s="38" customFormat="1">
      <c r="A964" s="990">
        <v>880</v>
      </c>
      <c r="B964" s="990">
        <v>1</v>
      </c>
      <c r="C964" s="990">
        <v>964</v>
      </c>
      <c r="D964" s="38" t="s">
        <v>999</v>
      </c>
      <c r="E964" s="1243">
        <v>1</v>
      </c>
      <c r="F964" s="5"/>
      <c r="G964" s="5"/>
      <c r="H964" s="5"/>
      <c r="I964" s="2657" t="s">
        <v>1110</v>
      </c>
      <c r="J964" s="2392"/>
      <c r="K964" s="2378"/>
      <c r="L964" s="2378"/>
      <c r="M964" s="2392"/>
      <c r="N964" s="2392"/>
      <c r="O964" s="2392"/>
      <c r="P964" s="2392"/>
      <c r="Q964" s="2050"/>
      <c r="R964" s="2050"/>
      <c r="S964" s="2050"/>
      <c r="T964" s="2050"/>
      <c r="U964" s="2050"/>
      <c r="V964" s="2050"/>
      <c r="W964" s="2050"/>
      <c r="X964" s="2050"/>
      <c r="Y964" s="2050"/>
      <c r="Z964" s="2050"/>
      <c r="AA964" s="2050"/>
      <c r="AB964" s="2050"/>
      <c r="AC964" s="2658">
        <v>0</v>
      </c>
      <c r="AD964" s="2527">
        <v>0</v>
      </c>
      <c r="AE964" s="2527">
        <v>0</v>
      </c>
      <c r="AF964" s="2527">
        <v>0</v>
      </c>
      <c r="AG964" s="2527">
        <v>0</v>
      </c>
      <c r="AH964" s="2527">
        <v>0</v>
      </c>
      <c r="AI964" s="2527">
        <v>0</v>
      </c>
    </row>
    <row r="965" spans="1:35" s="38" customFormat="1">
      <c r="A965" s="990">
        <v>881</v>
      </c>
      <c r="B965" s="990">
        <v>1</v>
      </c>
      <c r="C965" s="990">
        <v>965</v>
      </c>
      <c r="D965" s="38" t="s">
        <v>999</v>
      </c>
      <c r="E965" s="1243">
        <v>1</v>
      </c>
      <c r="F965" s="5"/>
      <c r="G965" s="5"/>
      <c r="H965" s="5"/>
      <c r="I965" s="5"/>
      <c r="J965" s="4"/>
      <c r="K965" s="5"/>
      <c r="L965" s="5"/>
      <c r="M965" s="4"/>
      <c r="N965" s="4"/>
      <c r="O965" s="4"/>
      <c r="P965" s="4"/>
      <c r="Q965" s="2225"/>
      <c r="R965" s="1151"/>
      <c r="S965" s="1151"/>
      <c r="T965" s="1151"/>
      <c r="U965" s="1151"/>
      <c r="V965" s="1151"/>
      <c r="W965" s="1151"/>
      <c r="X965" s="1151"/>
      <c r="Y965" s="1151"/>
      <c r="Z965" s="1151"/>
      <c r="AB965" s="1933"/>
    </row>
    <row r="966" spans="1:35" s="38" customFormat="1">
      <c r="A966" s="990">
        <v>882</v>
      </c>
      <c r="B966" s="990">
        <v>1</v>
      </c>
      <c r="C966" s="990">
        <v>966</v>
      </c>
      <c r="D966" s="1121" t="s">
        <v>999</v>
      </c>
      <c r="E966" s="1243">
        <v>1</v>
      </c>
      <c r="F966" s="5"/>
      <c r="G966" s="5"/>
      <c r="H966" s="5" t="s">
        <v>1038</v>
      </c>
      <c r="I966" s="5"/>
      <c r="J966" s="4"/>
      <c r="K966" s="5"/>
      <c r="L966" s="5"/>
      <c r="M966" s="4"/>
      <c r="N966" s="4"/>
      <c r="O966" s="4"/>
      <c r="P966" s="4"/>
      <c r="Q966" s="2225"/>
      <c r="R966" s="1151"/>
      <c r="S966" s="1151"/>
      <c r="T966" s="1151"/>
      <c r="U966" s="1151"/>
      <c r="V966" s="1151"/>
      <c r="W966" s="1151"/>
      <c r="X966" s="1151"/>
      <c r="Y966" s="1151"/>
      <c r="Z966" s="1151"/>
      <c r="AB966" s="1933"/>
    </row>
    <row r="967" spans="1:35" s="38" customFormat="1">
      <c r="A967" s="990">
        <v>883</v>
      </c>
      <c r="B967" s="990">
        <v>1</v>
      </c>
      <c r="C967" s="990">
        <v>967</v>
      </c>
      <c r="D967" s="38" t="s">
        <v>999</v>
      </c>
      <c r="E967" s="1243">
        <v>1</v>
      </c>
      <c r="F967" s="340"/>
      <c r="G967" s="340"/>
      <c r="H967" s="341"/>
      <c r="I967" s="2664" t="s">
        <v>328</v>
      </c>
      <c r="J967" s="2665"/>
      <c r="K967" s="1503"/>
      <c r="L967" s="1503"/>
      <c r="M967" s="1503"/>
      <c r="N967" s="1503"/>
      <c r="O967" s="1503"/>
      <c r="P967" s="1503"/>
      <c r="Q967" s="2123">
        <v>0</v>
      </c>
      <c r="R967" s="455">
        <v>0</v>
      </c>
      <c r="S967" s="455">
        <v>0</v>
      </c>
      <c r="T967" s="455">
        <v>0</v>
      </c>
      <c r="U967" s="455">
        <v>0</v>
      </c>
      <c r="V967" s="455">
        <v>0</v>
      </c>
      <c r="W967" s="455">
        <v>0</v>
      </c>
      <c r="X967" s="455">
        <v>0</v>
      </c>
      <c r="Y967" s="455">
        <v>0</v>
      </c>
      <c r="Z967" s="455">
        <v>0</v>
      </c>
      <c r="AA967" s="455">
        <v>0</v>
      </c>
      <c r="AB967" s="455">
        <v>0</v>
      </c>
      <c r="AC967" s="455">
        <v>0</v>
      </c>
      <c r="AD967" s="455">
        <v>0</v>
      </c>
      <c r="AE967" s="455">
        <v>0</v>
      </c>
      <c r="AF967" s="455">
        <v>0</v>
      </c>
      <c r="AG967" s="455">
        <v>0</v>
      </c>
      <c r="AH967" s="455">
        <v>0</v>
      </c>
      <c r="AI967" s="455">
        <v>0</v>
      </c>
    </row>
    <row r="968" spans="1:35" s="38" customFormat="1">
      <c r="A968" s="990">
        <v>884</v>
      </c>
      <c r="B968" s="990">
        <v>1</v>
      </c>
      <c r="C968" s="990">
        <v>968</v>
      </c>
      <c r="D968" s="38" t="s">
        <v>999</v>
      </c>
      <c r="E968" s="1243">
        <v>1</v>
      </c>
      <c r="F968" s="5"/>
      <c r="G968" s="5"/>
      <c r="H968" s="5"/>
      <c r="I968" s="456"/>
      <c r="J968" s="52" t="s">
        <v>62</v>
      </c>
      <c r="K968" s="51"/>
      <c r="L968" s="52"/>
      <c r="M968" s="52"/>
      <c r="N968" s="51"/>
      <c r="O968" s="51"/>
      <c r="P968" s="51"/>
      <c r="Q968" s="49">
        <v>0</v>
      </c>
      <c r="R968" s="49">
        <v>0</v>
      </c>
      <c r="S968" s="49">
        <v>0</v>
      </c>
      <c r="T968" s="49">
        <v>0</v>
      </c>
      <c r="U968" s="49">
        <v>0</v>
      </c>
      <c r="V968" s="49">
        <v>0</v>
      </c>
      <c r="W968" s="49">
        <v>0</v>
      </c>
      <c r="X968" s="49">
        <v>0</v>
      </c>
      <c r="Y968" s="49">
        <v>0</v>
      </c>
      <c r="Z968" s="49">
        <v>0</v>
      </c>
      <c r="AA968" s="49">
        <v>0</v>
      </c>
      <c r="AB968" s="49">
        <v>0</v>
      </c>
      <c r="AC968" s="1553">
        <v>0</v>
      </c>
      <c r="AD968" s="49">
        <v>0</v>
      </c>
      <c r="AE968" s="49">
        <v>0</v>
      </c>
      <c r="AF968" s="49">
        <v>0</v>
      </c>
      <c r="AG968" s="49">
        <v>0</v>
      </c>
      <c r="AH968" s="49">
        <v>0</v>
      </c>
      <c r="AI968" s="49">
        <v>0</v>
      </c>
    </row>
    <row r="969" spans="1:35" s="38" customFormat="1">
      <c r="A969" s="990">
        <v>885</v>
      </c>
      <c r="B969" s="990">
        <v>1</v>
      </c>
      <c r="C969" s="990">
        <v>969</v>
      </c>
      <c r="E969" s="1243">
        <v>1</v>
      </c>
      <c r="F969" s="5"/>
      <c r="G969" s="5"/>
      <c r="H969" s="5"/>
      <c r="I969" s="456"/>
      <c r="J969" s="5"/>
      <c r="K969" s="4"/>
      <c r="L969" s="5"/>
      <c r="M969" s="5"/>
      <c r="N969" s="45"/>
      <c r="O969" s="45" t="s">
        <v>125</v>
      </c>
      <c r="P969" s="4"/>
      <c r="Q969" s="2030"/>
      <c r="R969" s="2030"/>
      <c r="S969" s="2030"/>
      <c r="T969" s="2030"/>
      <c r="U969" s="2030"/>
      <c r="V969" s="2030"/>
      <c r="W969" s="2030"/>
      <c r="X969" s="2030"/>
      <c r="Y969" s="2030"/>
      <c r="Z969" s="2030"/>
      <c r="AA969" s="2030"/>
      <c r="AB969" s="2030"/>
      <c r="AC969" s="1511">
        <v>0</v>
      </c>
      <c r="AD969" s="44">
        <v>0</v>
      </c>
      <c r="AE969" s="44">
        <v>0</v>
      </c>
      <c r="AF969" s="44">
        <v>0</v>
      </c>
      <c r="AG969" s="44">
        <v>0</v>
      </c>
      <c r="AH969" s="44">
        <v>0</v>
      </c>
      <c r="AI969" s="44">
        <v>0</v>
      </c>
    </row>
    <row r="970" spans="1:35" s="38" customFormat="1">
      <c r="A970" s="990">
        <v>886</v>
      </c>
      <c r="B970" s="990">
        <v>1</v>
      </c>
      <c r="C970" s="990">
        <v>970</v>
      </c>
      <c r="D970" s="1121"/>
      <c r="E970" s="1243">
        <v>1</v>
      </c>
      <c r="F970" s="5"/>
      <c r="G970" s="5"/>
      <c r="H970" s="5"/>
      <c r="I970" s="456"/>
      <c r="J970" s="5"/>
      <c r="K970" s="4"/>
      <c r="L970" s="5"/>
      <c r="M970" s="5"/>
      <c r="N970" s="45"/>
      <c r="O970" s="45" t="s">
        <v>124</v>
      </c>
      <c r="P970" s="4"/>
      <c r="Q970" s="2030"/>
      <c r="R970" s="2030"/>
      <c r="S970" s="2030"/>
      <c r="T970" s="2030"/>
      <c r="U970" s="2030"/>
      <c r="V970" s="2030"/>
      <c r="W970" s="2030"/>
      <c r="X970" s="2030"/>
      <c r="Y970" s="2030"/>
      <c r="Z970" s="2030"/>
      <c r="AA970" s="2030"/>
      <c r="AB970" s="2030"/>
      <c r="AC970" s="1511">
        <v>0</v>
      </c>
      <c r="AD970" s="44">
        <v>0</v>
      </c>
      <c r="AE970" s="44">
        <v>0</v>
      </c>
      <c r="AF970" s="44">
        <v>0</v>
      </c>
      <c r="AG970" s="44">
        <v>0</v>
      </c>
      <c r="AH970" s="44">
        <v>0</v>
      </c>
      <c r="AI970" s="44">
        <v>0</v>
      </c>
    </row>
    <row r="971" spans="1:35" s="38" customFormat="1">
      <c r="A971" s="990">
        <v>887</v>
      </c>
      <c r="B971" s="990">
        <v>1</v>
      </c>
      <c r="C971" s="990">
        <v>971</v>
      </c>
      <c r="D971" s="1121"/>
      <c r="E971" s="1243">
        <v>1</v>
      </c>
      <c r="F971" s="5"/>
      <c r="G971" s="5"/>
      <c r="H971" s="5"/>
      <c r="I971" s="456"/>
      <c r="J971" s="5"/>
      <c r="K971" s="4"/>
      <c r="L971" s="5"/>
      <c r="M971" s="5"/>
      <c r="N971" s="45"/>
      <c r="O971" s="45" t="s">
        <v>123</v>
      </c>
      <c r="P971" s="4"/>
      <c r="Q971" s="2030"/>
      <c r="R971" s="2030"/>
      <c r="S971" s="2030"/>
      <c r="T971" s="2030"/>
      <c r="U971" s="2030"/>
      <c r="V971" s="2030"/>
      <c r="W971" s="2030"/>
      <c r="X971" s="2030"/>
      <c r="Y971" s="2030"/>
      <c r="Z971" s="2030"/>
      <c r="AA971" s="2030"/>
      <c r="AB971" s="2030"/>
      <c r="AC971" s="1511">
        <v>0</v>
      </c>
      <c r="AD971" s="44">
        <v>0</v>
      </c>
      <c r="AE971" s="44">
        <v>0</v>
      </c>
      <c r="AF971" s="44">
        <v>0</v>
      </c>
      <c r="AG971" s="44">
        <v>0</v>
      </c>
      <c r="AH971" s="44">
        <v>0</v>
      </c>
      <c r="AI971" s="44">
        <v>0</v>
      </c>
    </row>
    <row r="972" spans="1:35">
      <c r="A972" s="990">
        <v>888</v>
      </c>
      <c r="B972" s="990">
        <v>1</v>
      </c>
      <c r="C972" s="990">
        <v>972</v>
      </c>
      <c r="D972" s="1121"/>
      <c r="E972" s="1243">
        <v>1</v>
      </c>
      <c r="F972" s="5"/>
      <c r="G972" s="5"/>
      <c r="H972" s="5"/>
      <c r="I972" s="456"/>
      <c r="J972" s="3"/>
      <c r="K972" s="2"/>
      <c r="L972" s="3"/>
      <c r="M972" s="3"/>
      <c r="N972" s="43"/>
      <c r="O972" s="43" t="s">
        <v>120</v>
      </c>
      <c r="P972" s="2"/>
      <c r="Q972" s="2029"/>
      <c r="R972" s="2029"/>
      <c r="S972" s="2029"/>
      <c r="T972" s="2029"/>
      <c r="U972" s="2029"/>
      <c r="V972" s="2029"/>
      <c r="W972" s="2029"/>
      <c r="X972" s="2029"/>
      <c r="Y972" s="2029"/>
      <c r="Z972" s="2029"/>
      <c r="AA972" s="2029"/>
      <c r="AB972" s="2029"/>
      <c r="AC972" s="1554">
        <v>0</v>
      </c>
      <c r="AD972" s="42">
        <v>0</v>
      </c>
      <c r="AE972" s="42">
        <v>0</v>
      </c>
      <c r="AF972" s="42">
        <v>0</v>
      </c>
      <c r="AG972" s="42">
        <v>0</v>
      </c>
      <c r="AH972" s="42">
        <v>0</v>
      </c>
      <c r="AI972" s="42">
        <v>0</v>
      </c>
    </row>
    <row r="973" spans="1:35">
      <c r="A973" s="990">
        <v>889</v>
      </c>
      <c r="B973" s="990">
        <v>1</v>
      </c>
      <c r="C973" s="990">
        <v>973</v>
      </c>
      <c r="D973" s="1121" t="s">
        <v>999</v>
      </c>
      <c r="E973" s="1243">
        <v>1</v>
      </c>
      <c r="F973" s="5"/>
      <c r="G973" s="5"/>
      <c r="H973" s="5"/>
      <c r="I973" s="456"/>
      <c r="J973" s="52" t="s">
        <v>330</v>
      </c>
      <c r="K973" s="51"/>
      <c r="L973" s="52"/>
      <c r="M973" s="52"/>
      <c r="N973" s="51"/>
      <c r="O973" s="51"/>
      <c r="P973" s="51"/>
      <c r="Q973" s="49">
        <v>0</v>
      </c>
      <c r="R973" s="49">
        <v>0</v>
      </c>
      <c r="S973" s="49">
        <v>0</v>
      </c>
      <c r="T973" s="49">
        <v>0</v>
      </c>
      <c r="U973" s="49">
        <v>0</v>
      </c>
      <c r="V973" s="49">
        <v>0</v>
      </c>
      <c r="W973" s="49">
        <v>0</v>
      </c>
      <c r="X973" s="49">
        <v>0</v>
      </c>
      <c r="Y973" s="49">
        <v>0</v>
      </c>
      <c r="Z973" s="49">
        <v>0</v>
      </c>
      <c r="AA973" s="49">
        <v>0</v>
      </c>
      <c r="AB973" s="49">
        <v>0</v>
      </c>
      <c r="AC973" s="1553">
        <v>0</v>
      </c>
      <c r="AD973" s="49">
        <v>0</v>
      </c>
      <c r="AE973" s="49">
        <v>0</v>
      </c>
      <c r="AF973" s="49">
        <v>0</v>
      </c>
      <c r="AG973" s="49">
        <v>0</v>
      </c>
      <c r="AH973" s="49">
        <v>0</v>
      </c>
      <c r="AI973" s="49">
        <v>0</v>
      </c>
    </row>
    <row r="974" spans="1:35">
      <c r="A974" s="990">
        <v>890</v>
      </c>
      <c r="B974" s="990">
        <v>1</v>
      </c>
      <c r="C974" s="990">
        <v>974</v>
      </c>
      <c r="D974" s="1121"/>
      <c r="E974" s="1243">
        <v>1</v>
      </c>
      <c r="F974" s="5"/>
      <c r="G974" s="5"/>
      <c r="H974" s="5"/>
      <c r="I974" s="456"/>
      <c r="J974" s="5"/>
      <c r="K974" s="4"/>
      <c r="L974" s="5"/>
      <c r="M974" s="5"/>
      <c r="N974" s="45"/>
      <c r="O974" s="45" t="s">
        <v>67</v>
      </c>
      <c r="P974" s="4"/>
      <c r="Q974" s="2030"/>
      <c r="R974" s="2030"/>
      <c r="S974" s="2030"/>
      <c r="T974" s="2030"/>
      <c r="U974" s="2030"/>
      <c r="V974" s="2030"/>
      <c r="W974" s="2030"/>
      <c r="X974" s="2030"/>
      <c r="Y974" s="2030"/>
      <c r="Z974" s="2030"/>
      <c r="AA974" s="2030"/>
      <c r="AB974" s="2030"/>
      <c r="AC974" s="1511">
        <v>0</v>
      </c>
      <c r="AD974" s="44">
        <v>0</v>
      </c>
      <c r="AE974" s="44">
        <v>0</v>
      </c>
      <c r="AF974" s="44">
        <v>0</v>
      </c>
      <c r="AG974" s="44">
        <v>0</v>
      </c>
      <c r="AH974" s="44">
        <v>0</v>
      </c>
      <c r="AI974" s="44">
        <v>0</v>
      </c>
    </row>
    <row r="975" spans="1:35">
      <c r="A975" s="990">
        <v>891</v>
      </c>
      <c r="B975" s="990">
        <v>1</v>
      </c>
      <c r="C975" s="990">
        <v>975</v>
      </c>
      <c r="D975" s="1121"/>
      <c r="E975" s="1243">
        <v>1</v>
      </c>
      <c r="F975" s="5"/>
      <c r="G975" s="5"/>
      <c r="H975" s="5"/>
      <c r="I975" s="456"/>
      <c r="J975" s="5"/>
      <c r="K975" s="4"/>
      <c r="L975" s="5"/>
      <c r="M975" s="5"/>
      <c r="N975" s="45"/>
      <c r="O975" s="45" t="s">
        <v>68</v>
      </c>
      <c r="P975" s="4"/>
      <c r="Q975" s="2030"/>
      <c r="R975" s="2030"/>
      <c r="S975" s="2030"/>
      <c r="T975" s="2030"/>
      <c r="U975" s="2030"/>
      <c r="V975" s="2030"/>
      <c r="W975" s="2030"/>
      <c r="X975" s="2030"/>
      <c r="Y975" s="2030"/>
      <c r="Z975" s="2030"/>
      <c r="AA975" s="2030"/>
      <c r="AB975" s="2030"/>
      <c r="AC975" s="1511">
        <v>0</v>
      </c>
      <c r="AD975" s="44">
        <v>0</v>
      </c>
      <c r="AE975" s="44">
        <v>0</v>
      </c>
      <c r="AF975" s="44">
        <v>0</v>
      </c>
      <c r="AG975" s="44">
        <v>0</v>
      </c>
      <c r="AH975" s="44">
        <v>0</v>
      </c>
      <c r="AI975" s="44">
        <v>0</v>
      </c>
    </row>
    <row r="976" spans="1:35">
      <c r="A976" s="990">
        <v>892</v>
      </c>
      <c r="B976" s="990">
        <v>1</v>
      </c>
      <c r="C976" s="990">
        <v>976</v>
      </c>
      <c r="D976" s="1121"/>
      <c r="E976" s="1243">
        <v>1</v>
      </c>
      <c r="F976" s="5"/>
      <c r="G976" s="5"/>
      <c r="H976" s="5"/>
      <c r="I976" s="456"/>
      <c r="J976" s="5"/>
      <c r="K976" s="4"/>
      <c r="L976" s="5"/>
      <c r="M976" s="5"/>
      <c r="N976" s="45"/>
      <c r="O976" s="45" t="s">
        <v>122</v>
      </c>
      <c r="P976" s="4"/>
      <c r="Q976" s="2030"/>
      <c r="R976" s="2030"/>
      <c r="S976" s="2030"/>
      <c r="T976" s="2030"/>
      <c r="U976" s="2030"/>
      <c r="V976" s="2030"/>
      <c r="W976" s="2030"/>
      <c r="X976" s="2030"/>
      <c r="Y976" s="2030"/>
      <c r="Z976" s="2030"/>
      <c r="AA976" s="2030"/>
      <c r="AB976" s="2030"/>
      <c r="AC976" s="1511">
        <v>0</v>
      </c>
      <c r="AD976" s="44">
        <v>0</v>
      </c>
      <c r="AE976" s="44">
        <v>0</v>
      </c>
      <c r="AF976" s="44">
        <v>0</v>
      </c>
      <c r="AG976" s="44">
        <v>0</v>
      </c>
      <c r="AH976" s="44">
        <v>0</v>
      </c>
      <c r="AI976" s="44">
        <v>0</v>
      </c>
    </row>
    <row r="977" spans="1:35">
      <c r="A977" s="990">
        <v>893</v>
      </c>
      <c r="B977" s="990">
        <v>1</v>
      </c>
      <c r="C977" s="990">
        <v>977</v>
      </c>
      <c r="D977" s="1121"/>
      <c r="E977" s="1243">
        <v>1</v>
      </c>
      <c r="F977" s="5"/>
      <c r="G977" s="5"/>
      <c r="H977" s="5"/>
      <c r="I977" s="456"/>
      <c r="J977" s="5"/>
      <c r="K977" s="4"/>
      <c r="L977" s="5"/>
      <c r="M977" s="5"/>
      <c r="N977" s="45"/>
      <c r="O977" s="45" t="s">
        <v>121</v>
      </c>
      <c r="P977" s="4"/>
      <c r="Q977" s="2030"/>
      <c r="R977" s="2030"/>
      <c r="S977" s="2030"/>
      <c r="T977" s="2030"/>
      <c r="U977" s="2030"/>
      <c r="V977" s="2030"/>
      <c r="W977" s="2030"/>
      <c r="X977" s="2030"/>
      <c r="Y977" s="2030"/>
      <c r="Z977" s="2030"/>
      <c r="AA977" s="2030"/>
      <c r="AB977" s="2030"/>
      <c r="AC977" s="1511">
        <v>0</v>
      </c>
      <c r="AD977" s="44">
        <v>0</v>
      </c>
      <c r="AE977" s="44">
        <v>0</v>
      </c>
      <c r="AF977" s="44">
        <v>0</v>
      </c>
      <c r="AG977" s="44">
        <v>0</v>
      </c>
      <c r="AH977" s="44">
        <v>0</v>
      </c>
      <c r="AI977" s="44">
        <v>0</v>
      </c>
    </row>
    <row r="978" spans="1:35">
      <c r="A978" s="990">
        <v>894</v>
      </c>
      <c r="B978" s="990">
        <v>1</v>
      </c>
      <c r="C978" s="990">
        <v>978</v>
      </c>
      <c r="D978" s="1121"/>
      <c r="E978" s="1243">
        <v>1</v>
      </c>
      <c r="F978" s="5"/>
      <c r="G978" s="5"/>
      <c r="H978" s="5"/>
      <c r="I978" s="456"/>
      <c r="J978" s="5"/>
      <c r="K978" s="4"/>
      <c r="L978" s="5"/>
      <c r="M978" s="5"/>
      <c r="N978" s="45"/>
      <c r="O978" s="45" t="s">
        <v>120</v>
      </c>
      <c r="P978" s="4"/>
      <c r="Q978" s="2030"/>
      <c r="R978" s="2030"/>
      <c r="S978" s="2030"/>
      <c r="T978" s="2030"/>
      <c r="U978" s="2030"/>
      <c r="V978" s="2030"/>
      <c r="W978" s="2030"/>
      <c r="X978" s="2030"/>
      <c r="Y978" s="2030"/>
      <c r="Z978" s="2030"/>
      <c r="AA978" s="2030"/>
      <c r="AB978" s="2030"/>
      <c r="AC978" s="1511">
        <v>0</v>
      </c>
      <c r="AD978" s="44">
        <v>0</v>
      </c>
      <c r="AE978" s="44">
        <v>0</v>
      </c>
      <c r="AF978" s="44">
        <v>0</v>
      </c>
      <c r="AG978" s="44">
        <v>0</v>
      </c>
      <c r="AH978" s="44">
        <v>0</v>
      </c>
      <c r="AI978" s="44">
        <v>0</v>
      </c>
    </row>
    <row r="979" spans="1:35">
      <c r="A979" s="990">
        <v>895</v>
      </c>
      <c r="B979" s="990">
        <v>1</v>
      </c>
      <c r="C979" s="990">
        <v>979</v>
      </c>
      <c r="D979" s="1121" t="s">
        <v>999</v>
      </c>
      <c r="E979" s="1243">
        <v>1</v>
      </c>
      <c r="F979" s="5"/>
      <c r="G979" s="5"/>
      <c r="H979" s="5"/>
      <c r="I979" s="456"/>
      <c r="J979" s="324" t="s">
        <v>331</v>
      </c>
      <c r="K979" s="323"/>
      <c r="L979" s="324"/>
      <c r="M979" s="324"/>
      <c r="N979" s="323"/>
      <c r="O979" s="323"/>
      <c r="P979" s="323"/>
      <c r="Q979" s="325">
        <v>0</v>
      </c>
      <c r="R979" s="325">
        <v>0</v>
      </c>
      <c r="S979" s="325">
        <v>0</v>
      </c>
      <c r="T979" s="325">
        <v>0</v>
      </c>
      <c r="U979" s="325">
        <v>0</v>
      </c>
      <c r="V979" s="325">
        <v>0</v>
      </c>
      <c r="W979" s="325">
        <v>0</v>
      </c>
      <c r="X979" s="325">
        <v>0</v>
      </c>
      <c r="Y979" s="325">
        <v>0</v>
      </c>
      <c r="Z979" s="325">
        <v>0</v>
      </c>
      <c r="AA979" s="325">
        <v>0</v>
      </c>
      <c r="AB979" s="325">
        <v>0</v>
      </c>
      <c r="AC979" s="1278">
        <v>0</v>
      </c>
      <c r="AD979" s="325">
        <v>0</v>
      </c>
      <c r="AE979" s="325">
        <v>0</v>
      </c>
      <c r="AF979" s="325">
        <v>0</v>
      </c>
      <c r="AG979" s="325">
        <v>0</v>
      </c>
      <c r="AH979" s="325">
        <v>0</v>
      </c>
      <c r="AI979" s="325">
        <v>0</v>
      </c>
    </row>
    <row r="980" spans="1:35">
      <c r="A980" s="990">
        <v>896</v>
      </c>
      <c r="B980" s="990">
        <v>1</v>
      </c>
      <c r="C980" s="990">
        <v>980</v>
      </c>
      <c r="D980" s="1121"/>
      <c r="E980" s="1243">
        <v>1</v>
      </c>
      <c r="F980" s="5"/>
      <c r="G980" s="5"/>
      <c r="H980" s="5"/>
      <c r="I980" s="456"/>
      <c r="J980" s="5"/>
      <c r="K980" s="4"/>
      <c r="L980" s="5"/>
      <c r="M980" s="5"/>
      <c r="N980" s="45"/>
      <c r="O980" s="45" t="s">
        <v>323</v>
      </c>
      <c r="P980" s="4"/>
      <c r="Q980" s="2030"/>
      <c r="R980" s="2030"/>
      <c r="S980" s="2030"/>
      <c r="T980" s="2030"/>
      <c r="U980" s="2030"/>
      <c r="V980" s="2030"/>
      <c r="W980" s="2030"/>
      <c r="X980" s="2030"/>
      <c r="Y980" s="2030"/>
      <c r="Z980" s="2030"/>
      <c r="AA980" s="2030"/>
      <c r="AB980" s="2030"/>
      <c r="AC980" s="1511">
        <v>0</v>
      </c>
      <c r="AD980" s="44">
        <v>0</v>
      </c>
      <c r="AE980" s="44">
        <v>0</v>
      </c>
      <c r="AF980" s="44">
        <v>0</v>
      </c>
      <c r="AG980" s="44">
        <v>0</v>
      </c>
      <c r="AH980" s="44">
        <v>0</v>
      </c>
      <c r="AI980" s="44">
        <v>0</v>
      </c>
    </row>
    <row r="981" spans="1:35">
      <c r="A981" s="990">
        <v>897</v>
      </c>
      <c r="B981" s="990">
        <v>1</v>
      </c>
      <c r="C981" s="990">
        <v>981</v>
      </c>
      <c r="D981" s="1121"/>
      <c r="E981" s="1243">
        <v>1</v>
      </c>
      <c r="F981" s="5"/>
      <c r="G981" s="5"/>
      <c r="H981" s="5"/>
      <c r="I981" s="456"/>
      <c r="J981" s="5"/>
      <c r="K981" s="4"/>
      <c r="L981" s="5"/>
      <c r="M981" s="5"/>
      <c r="N981" s="45"/>
      <c r="O981" s="45" t="s">
        <v>324</v>
      </c>
      <c r="P981" s="4"/>
      <c r="Q981" s="2030"/>
      <c r="R981" s="2030"/>
      <c r="S981" s="2030"/>
      <c r="T981" s="2030"/>
      <c r="U981" s="2030"/>
      <c r="V981" s="2030"/>
      <c r="W981" s="2030"/>
      <c r="X981" s="2030"/>
      <c r="Y981" s="2030"/>
      <c r="Z981" s="2030"/>
      <c r="AA981" s="2030"/>
      <c r="AB981" s="2030"/>
      <c r="AC981" s="1511">
        <v>0</v>
      </c>
      <c r="AD981" s="44">
        <v>0</v>
      </c>
      <c r="AE981" s="44">
        <v>0</v>
      </c>
      <c r="AF981" s="44">
        <v>0</v>
      </c>
      <c r="AG981" s="44">
        <v>0</v>
      </c>
      <c r="AH981" s="44">
        <v>0</v>
      </c>
      <c r="AI981" s="44">
        <v>0</v>
      </c>
    </row>
    <row r="982" spans="1:35">
      <c r="A982" s="990">
        <v>898</v>
      </c>
      <c r="B982" s="990">
        <v>1</v>
      </c>
      <c r="C982" s="990">
        <v>982</v>
      </c>
      <c r="D982" s="1121"/>
      <c r="E982" s="1243">
        <v>1</v>
      </c>
      <c r="F982" s="5"/>
      <c r="G982" s="5"/>
      <c r="H982" s="5"/>
      <c r="I982" s="456"/>
      <c r="J982" s="5"/>
      <c r="K982" s="4"/>
      <c r="L982" s="5"/>
      <c r="M982" s="5"/>
      <c r="N982" s="45"/>
      <c r="O982" s="45" t="s">
        <v>325</v>
      </c>
      <c r="P982" s="4"/>
      <c r="Q982" s="2030"/>
      <c r="R982" s="2030"/>
      <c r="S982" s="2030"/>
      <c r="T982" s="2030"/>
      <c r="U982" s="2030"/>
      <c r="V982" s="2030"/>
      <c r="W982" s="2030"/>
      <c r="X982" s="2030"/>
      <c r="Y982" s="2030"/>
      <c r="Z982" s="2030"/>
      <c r="AA982" s="2030"/>
      <c r="AB982" s="2030"/>
      <c r="AC982" s="1511">
        <v>0</v>
      </c>
      <c r="AD982" s="44">
        <v>0</v>
      </c>
      <c r="AE982" s="44">
        <v>0</v>
      </c>
      <c r="AF982" s="44">
        <v>0</v>
      </c>
      <c r="AG982" s="44">
        <v>0</v>
      </c>
      <c r="AH982" s="44">
        <v>0</v>
      </c>
      <c r="AI982" s="44">
        <v>0</v>
      </c>
    </row>
    <row r="983" spans="1:35">
      <c r="A983" s="990">
        <v>899</v>
      </c>
      <c r="B983" s="990">
        <v>1</v>
      </c>
      <c r="C983" s="990">
        <v>983</v>
      </c>
      <c r="D983" s="1121"/>
      <c r="E983" s="1243">
        <v>1</v>
      </c>
      <c r="F983" s="5"/>
      <c r="G983" s="5"/>
      <c r="H983" s="5"/>
      <c r="I983" s="456"/>
      <c r="J983" s="3"/>
      <c r="K983" s="2"/>
      <c r="L983" s="3"/>
      <c r="M983" s="3"/>
      <c r="N983" s="43"/>
      <c r="O983" s="43" t="s">
        <v>326</v>
      </c>
      <c r="P983" s="2"/>
      <c r="Q983" s="2029"/>
      <c r="R983" s="2029"/>
      <c r="S983" s="2029"/>
      <c r="T983" s="2029"/>
      <c r="U983" s="2029"/>
      <c r="V983" s="2029"/>
      <c r="W983" s="2029"/>
      <c r="X983" s="2029"/>
      <c r="Y983" s="2029"/>
      <c r="Z983" s="2029"/>
      <c r="AA983" s="2029"/>
      <c r="AB983" s="2029"/>
      <c r="AC983" s="1554">
        <v>0</v>
      </c>
      <c r="AD983" s="42">
        <v>0</v>
      </c>
      <c r="AE983" s="42">
        <v>0</v>
      </c>
      <c r="AF983" s="42">
        <v>0</v>
      </c>
      <c r="AG983" s="42">
        <v>0</v>
      </c>
      <c r="AH983" s="42">
        <v>0</v>
      </c>
      <c r="AI983" s="42">
        <v>0</v>
      </c>
    </row>
    <row r="984" spans="1:35">
      <c r="A984" s="990">
        <v>900</v>
      </c>
      <c r="B984" s="990">
        <v>1</v>
      </c>
      <c r="C984" s="990">
        <v>984</v>
      </c>
      <c r="D984" s="1121" t="s">
        <v>999</v>
      </c>
      <c r="E984" s="1243">
        <v>1</v>
      </c>
      <c r="F984" s="5"/>
      <c r="G984" s="5"/>
      <c r="H984" s="5"/>
      <c r="I984" s="456"/>
      <c r="J984" s="52" t="s">
        <v>73</v>
      </c>
      <c r="K984" s="51"/>
      <c r="L984" s="52"/>
      <c r="M984" s="52"/>
      <c r="N984" s="51"/>
      <c r="O984" s="51"/>
      <c r="P984" s="51"/>
      <c r="Q984" s="49">
        <v>0</v>
      </c>
      <c r="R984" s="49">
        <v>0</v>
      </c>
      <c r="S984" s="49">
        <v>0</v>
      </c>
      <c r="T984" s="49">
        <v>0</v>
      </c>
      <c r="U984" s="49">
        <v>0</v>
      </c>
      <c r="V984" s="49">
        <v>0</v>
      </c>
      <c r="W984" s="49">
        <v>0</v>
      </c>
      <c r="X984" s="49">
        <v>0</v>
      </c>
      <c r="Y984" s="49">
        <v>0</v>
      </c>
      <c r="Z984" s="49">
        <v>0</v>
      </c>
      <c r="AA984" s="49">
        <v>0</v>
      </c>
      <c r="AB984" s="49">
        <v>0</v>
      </c>
      <c r="AC984" s="1553">
        <v>0</v>
      </c>
      <c r="AD984" s="49">
        <v>0</v>
      </c>
      <c r="AE984" s="49">
        <v>0</v>
      </c>
      <c r="AF984" s="49">
        <v>0</v>
      </c>
      <c r="AG984" s="49">
        <v>0</v>
      </c>
      <c r="AH984" s="49">
        <v>0</v>
      </c>
      <c r="AI984" s="49">
        <v>0</v>
      </c>
    </row>
    <row r="985" spans="1:35">
      <c r="A985" s="990">
        <v>901</v>
      </c>
      <c r="B985" s="990">
        <v>1</v>
      </c>
      <c r="C985" s="990">
        <v>985</v>
      </c>
      <c r="D985" s="1121"/>
      <c r="E985" s="1243">
        <v>1</v>
      </c>
      <c r="F985" s="5"/>
      <c r="G985" s="5"/>
      <c r="H985" s="5"/>
      <c r="I985" s="456"/>
      <c r="J985" s="5"/>
      <c r="K985" s="4"/>
      <c r="L985" s="5"/>
      <c r="M985" s="4"/>
      <c r="N985" s="45"/>
      <c r="O985" s="45" t="s">
        <v>119</v>
      </c>
      <c r="P985" s="45"/>
      <c r="Q985" s="2030"/>
      <c r="R985" s="2030"/>
      <c r="S985" s="2030"/>
      <c r="T985" s="2030"/>
      <c r="U985" s="2030"/>
      <c r="V985" s="2030"/>
      <c r="W985" s="2030"/>
      <c r="X985" s="2030"/>
      <c r="Y985" s="2030"/>
      <c r="Z985" s="2030"/>
      <c r="AA985" s="2030"/>
      <c r="AB985" s="2030"/>
      <c r="AC985" s="1511">
        <v>0</v>
      </c>
      <c r="AD985" s="44">
        <v>0</v>
      </c>
      <c r="AE985" s="44">
        <v>0</v>
      </c>
      <c r="AF985" s="44">
        <v>0</v>
      </c>
      <c r="AG985" s="44">
        <v>0</v>
      </c>
      <c r="AH985" s="44">
        <v>0</v>
      </c>
      <c r="AI985" s="44">
        <v>0</v>
      </c>
    </row>
    <row r="986" spans="1:35">
      <c r="A986" s="990">
        <v>902</v>
      </c>
      <c r="B986" s="990">
        <v>1</v>
      </c>
      <c r="C986" s="990">
        <v>986</v>
      </c>
      <c r="D986" s="1121"/>
      <c r="E986" s="1243">
        <v>1</v>
      </c>
      <c r="F986" s="5"/>
      <c r="G986" s="5"/>
      <c r="H986" s="5"/>
      <c r="I986" s="456"/>
      <c r="J986" s="5"/>
      <c r="K986" s="4"/>
      <c r="L986" s="5"/>
      <c r="M986" s="4"/>
      <c r="N986" s="45"/>
      <c r="O986" s="45" t="s">
        <v>75</v>
      </c>
      <c r="P986" s="45"/>
      <c r="Q986" s="2030"/>
      <c r="R986" s="2030"/>
      <c r="S986" s="2030"/>
      <c r="T986" s="2030"/>
      <c r="U986" s="2030"/>
      <c r="V986" s="2030"/>
      <c r="W986" s="2030"/>
      <c r="X986" s="2030"/>
      <c r="Y986" s="2030"/>
      <c r="Z986" s="2030"/>
      <c r="AA986" s="2030"/>
      <c r="AB986" s="2030"/>
      <c r="AC986" s="1511">
        <v>0</v>
      </c>
      <c r="AD986" s="44">
        <v>0</v>
      </c>
      <c r="AE986" s="44">
        <v>0</v>
      </c>
      <c r="AF986" s="44">
        <v>0</v>
      </c>
      <c r="AG986" s="44">
        <v>0</v>
      </c>
      <c r="AH986" s="44">
        <v>0</v>
      </c>
      <c r="AI986" s="44">
        <v>0</v>
      </c>
    </row>
    <row r="987" spans="1:35">
      <c r="A987" s="990">
        <v>903</v>
      </c>
      <c r="B987" s="990">
        <v>1</v>
      </c>
      <c r="C987" s="990">
        <v>987</v>
      </c>
      <c r="D987" s="1121"/>
      <c r="E987" s="1243">
        <v>1</v>
      </c>
      <c r="F987" s="5"/>
      <c r="G987" s="5"/>
      <c r="H987" s="5"/>
      <c r="I987" s="456"/>
      <c r="J987" s="5"/>
      <c r="K987" s="4"/>
      <c r="L987" s="5"/>
      <c r="M987" s="4"/>
      <c r="N987" s="45"/>
      <c r="O987" s="45" t="s">
        <v>76</v>
      </c>
      <c r="P987" s="45"/>
      <c r="Q987" s="2030"/>
      <c r="R987" s="2030"/>
      <c r="S987" s="2030"/>
      <c r="T987" s="2030"/>
      <c r="U987" s="2030"/>
      <c r="V987" s="2030"/>
      <c r="W987" s="2030"/>
      <c r="X987" s="2030"/>
      <c r="Y987" s="2030"/>
      <c r="Z987" s="2030"/>
      <c r="AA987" s="2030"/>
      <c r="AB987" s="2030"/>
      <c r="AC987" s="1511">
        <v>0</v>
      </c>
      <c r="AD987" s="44">
        <v>0</v>
      </c>
      <c r="AE987" s="44">
        <v>0</v>
      </c>
      <c r="AF987" s="44">
        <v>0</v>
      </c>
      <c r="AG987" s="44">
        <v>0</v>
      </c>
      <c r="AH987" s="44">
        <v>0</v>
      </c>
      <c r="AI987" s="44">
        <v>0</v>
      </c>
    </row>
    <row r="988" spans="1:35">
      <c r="A988" s="990">
        <v>904</v>
      </c>
      <c r="B988" s="990">
        <v>1</v>
      </c>
      <c r="C988" s="990">
        <v>988</v>
      </c>
      <c r="D988" s="1121"/>
      <c r="E988" s="1243">
        <v>1</v>
      </c>
      <c r="F988" s="5"/>
      <c r="G988" s="5"/>
      <c r="H988" s="5"/>
      <c r="I988" s="456"/>
      <c r="J988" s="5"/>
      <c r="K988" s="4"/>
      <c r="L988" s="5"/>
      <c r="M988" s="4"/>
      <c r="N988" s="45"/>
      <c r="O988" s="45" t="s">
        <v>77</v>
      </c>
      <c r="P988" s="45"/>
      <c r="Q988" s="2030"/>
      <c r="R988" s="2030"/>
      <c r="S988" s="2030"/>
      <c r="T988" s="2030"/>
      <c r="U988" s="2030"/>
      <c r="V988" s="2030"/>
      <c r="W988" s="2030"/>
      <c r="X988" s="2030"/>
      <c r="Y988" s="2030"/>
      <c r="Z988" s="2030"/>
      <c r="AA988" s="2030"/>
      <c r="AB988" s="2030"/>
      <c r="AC988" s="1511">
        <v>0</v>
      </c>
      <c r="AD988" s="44">
        <v>0</v>
      </c>
      <c r="AE988" s="44">
        <v>0</v>
      </c>
      <c r="AF988" s="44">
        <v>0</v>
      </c>
      <c r="AG988" s="44">
        <v>0</v>
      </c>
      <c r="AH988" s="44">
        <v>0</v>
      </c>
      <c r="AI988" s="44">
        <v>0</v>
      </c>
    </row>
    <row r="989" spans="1:35">
      <c r="A989" s="990">
        <v>905</v>
      </c>
      <c r="B989" s="990">
        <v>1</v>
      </c>
      <c r="C989" s="990">
        <v>989</v>
      </c>
      <c r="D989" s="1121"/>
      <c r="E989" s="1243">
        <v>1</v>
      </c>
      <c r="F989" s="5"/>
      <c r="G989" s="5"/>
      <c r="H989" s="5"/>
      <c r="I989" s="456"/>
      <c r="J989" s="5"/>
      <c r="K989" s="4"/>
      <c r="L989" s="5"/>
      <c r="M989" s="4"/>
      <c r="N989" s="45"/>
      <c r="O989" s="45" t="s">
        <v>11</v>
      </c>
      <c r="P989" s="45"/>
      <c r="Q989" s="2030"/>
      <c r="R989" s="2030"/>
      <c r="S989" s="2030"/>
      <c r="T989" s="2030"/>
      <c r="U989" s="2030"/>
      <c r="V989" s="2030"/>
      <c r="W989" s="2030"/>
      <c r="X989" s="2030"/>
      <c r="Y989" s="2030"/>
      <c r="Z989" s="2030"/>
      <c r="AA989" s="2030"/>
      <c r="AB989" s="2030"/>
      <c r="AC989" s="1511">
        <v>0</v>
      </c>
      <c r="AD989" s="44">
        <v>0</v>
      </c>
      <c r="AE989" s="44">
        <v>0</v>
      </c>
      <c r="AF989" s="44">
        <v>0</v>
      </c>
      <c r="AG989" s="44">
        <v>0</v>
      </c>
      <c r="AH989" s="44">
        <v>0</v>
      </c>
      <c r="AI989" s="44">
        <v>0</v>
      </c>
    </row>
    <row r="990" spans="1:35">
      <c r="A990" s="990">
        <v>906</v>
      </c>
      <c r="B990" s="990">
        <v>1</v>
      </c>
      <c r="C990" s="990">
        <v>990</v>
      </c>
      <c r="D990" s="1121" t="s">
        <v>999</v>
      </c>
      <c r="E990" s="1243">
        <v>1</v>
      </c>
      <c r="F990" s="5"/>
      <c r="G990" s="5"/>
      <c r="H990" s="5"/>
      <c r="I990" s="456"/>
      <c r="J990" s="324" t="s">
        <v>332</v>
      </c>
      <c r="K990" s="323"/>
      <c r="L990" s="324"/>
      <c r="M990" s="324"/>
      <c r="N990" s="323"/>
      <c r="O990" s="323"/>
      <c r="P990" s="323"/>
      <c r="Q990" s="325">
        <v>0</v>
      </c>
      <c r="R990" s="325">
        <v>0</v>
      </c>
      <c r="S990" s="325">
        <v>0</v>
      </c>
      <c r="T990" s="325">
        <v>0</v>
      </c>
      <c r="U990" s="325">
        <v>0</v>
      </c>
      <c r="V990" s="325">
        <v>0</v>
      </c>
      <c r="W990" s="325">
        <v>0</v>
      </c>
      <c r="X990" s="325">
        <v>0</v>
      </c>
      <c r="Y990" s="325">
        <v>0</v>
      </c>
      <c r="Z990" s="325">
        <v>0</v>
      </c>
      <c r="AA990" s="325">
        <v>0</v>
      </c>
      <c r="AB990" s="325">
        <v>0</v>
      </c>
      <c r="AC990" s="1278">
        <v>0</v>
      </c>
      <c r="AD990" s="325">
        <v>0</v>
      </c>
      <c r="AE990" s="325">
        <v>0</v>
      </c>
      <c r="AF990" s="325">
        <v>0</v>
      </c>
      <c r="AG990" s="325">
        <v>0</v>
      </c>
      <c r="AH990" s="325">
        <v>0</v>
      </c>
      <c r="AI990" s="325">
        <v>0</v>
      </c>
    </row>
    <row r="991" spans="1:35">
      <c r="A991" s="990">
        <v>907</v>
      </c>
      <c r="B991" s="990">
        <v>1</v>
      </c>
      <c r="C991" s="990">
        <v>991</v>
      </c>
      <c r="D991" s="1121"/>
      <c r="E991" s="1243">
        <v>1</v>
      </c>
      <c r="F991" s="5"/>
      <c r="G991" s="5"/>
      <c r="H991" s="5"/>
      <c r="I991" s="456"/>
      <c r="J991" s="5"/>
      <c r="K991" s="4"/>
      <c r="L991" s="5"/>
      <c r="M991" s="4"/>
      <c r="N991" s="45"/>
      <c r="O991" s="45" t="s">
        <v>79</v>
      </c>
      <c r="P991" s="45"/>
      <c r="Q991" s="2030"/>
      <c r="R991" s="2030"/>
      <c r="S991" s="2030"/>
      <c r="T991" s="2030"/>
      <c r="U991" s="2030"/>
      <c r="V991" s="2030"/>
      <c r="W991" s="2030"/>
      <c r="X991" s="2030"/>
      <c r="Y991" s="2030"/>
      <c r="Z991" s="2030"/>
      <c r="AA991" s="2030"/>
      <c r="AB991" s="2030"/>
      <c r="AC991" s="1511">
        <v>0</v>
      </c>
      <c r="AD991" s="44">
        <v>0</v>
      </c>
      <c r="AE991" s="44">
        <v>0</v>
      </c>
      <c r="AF991" s="44">
        <v>0</v>
      </c>
      <c r="AG991" s="44">
        <v>0</v>
      </c>
      <c r="AH991" s="44">
        <v>0</v>
      </c>
      <c r="AI991" s="44">
        <v>0</v>
      </c>
    </row>
    <row r="992" spans="1:35">
      <c r="A992" s="990">
        <v>908</v>
      </c>
      <c r="B992" s="990">
        <v>1</v>
      </c>
      <c r="C992" s="990">
        <v>992</v>
      </c>
      <c r="D992" s="1121"/>
      <c r="E992" s="1243">
        <v>1</v>
      </c>
      <c r="F992" s="5"/>
      <c r="G992" s="5"/>
      <c r="H992" s="5"/>
      <c r="I992" s="456"/>
      <c r="J992" s="5"/>
      <c r="K992" s="4"/>
      <c r="L992" s="5"/>
      <c r="M992" s="4"/>
      <c r="N992" s="45"/>
      <c r="O992" s="45" t="s">
        <v>80</v>
      </c>
      <c r="P992" s="45"/>
      <c r="Q992" s="2030"/>
      <c r="R992" s="2030"/>
      <c r="S992" s="2030"/>
      <c r="T992" s="2030"/>
      <c r="U992" s="2030"/>
      <c r="V992" s="2030"/>
      <c r="W992" s="2030"/>
      <c r="X992" s="2030"/>
      <c r="Y992" s="2030"/>
      <c r="Z992" s="2030"/>
      <c r="AA992" s="2030"/>
      <c r="AB992" s="2030"/>
      <c r="AC992" s="1511">
        <v>0</v>
      </c>
      <c r="AD992" s="44">
        <v>0</v>
      </c>
      <c r="AE992" s="44">
        <v>0</v>
      </c>
      <c r="AF992" s="44">
        <v>0</v>
      </c>
      <c r="AG992" s="44">
        <v>0</v>
      </c>
      <c r="AH992" s="44">
        <v>0</v>
      </c>
      <c r="AI992" s="44">
        <v>0</v>
      </c>
    </row>
    <row r="993" spans="1:35">
      <c r="A993" s="990">
        <v>909</v>
      </c>
      <c r="B993" s="990">
        <v>1</v>
      </c>
      <c r="C993" s="990">
        <v>993</v>
      </c>
      <c r="D993" s="1121"/>
      <c r="E993" s="1243">
        <v>1</v>
      </c>
      <c r="F993" s="5"/>
      <c r="G993" s="5"/>
      <c r="H993" s="5"/>
      <c r="I993" s="457"/>
      <c r="J993" s="3"/>
      <c r="K993" s="2"/>
      <c r="L993" s="3"/>
      <c r="M993" s="2"/>
      <c r="N993" s="43"/>
      <c r="O993" s="43" t="s">
        <v>81</v>
      </c>
      <c r="P993" s="43"/>
      <c r="Q993" s="2029"/>
      <c r="R993" s="2029"/>
      <c r="S993" s="2029"/>
      <c r="T993" s="2029"/>
      <c r="U993" s="2029"/>
      <c r="V993" s="2029"/>
      <c r="W993" s="2029"/>
      <c r="X993" s="2029"/>
      <c r="Y993" s="2029"/>
      <c r="Z993" s="2029"/>
      <c r="AA993" s="2029"/>
      <c r="AB993" s="2029"/>
      <c r="AC993" s="1554">
        <v>0</v>
      </c>
      <c r="AD993" s="42">
        <v>0</v>
      </c>
      <c r="AE993" s="42">
        <v>0</v>
      </c>
      <c r="AF993" s="42">
        <v>0</v>
      </c>
      <c r="AG993" s="42">
        <v>0</v>
      </c>
      <c r="AH993" s="42">
        <v>0</v>
      </c>
      <c r="AI993" s="42">
        <v>0</v>
      </c>
    </row>
    <row r="994" spans="1:35">
      <c r="A994" s="990">
        <v>910</v>
      </c>
      <c r="B994" s="990">
        <v>1</v>
      </c>
      <c r="C994" s="990">
        <v>994</v>
      </c>
      <c r="D994" s="1121" t="s">
        <v>999</v>
      </c>
      <c r="E994" s="1243">
        <v>1</v>
      </c>
      <c r="F994" s="5"/>
      <c r="G994" s="5"/>
      <c r="H994" s="5"/>
      <c r="I994" s="2657" t="s">
        <v>1110</v>
      </c>
      <c r="J994" s="2392"/>
      <c r="K994" s="2378"/>
      <c r="L994" s="2378"/>
      <c r="M994" s="2392"/>
      <c r="N994" s="2392"/>
      <c r="O994" s="2392"/>
      <c r="P994" s="2392"/>
      <c r="Q994" s="2050"/>
      <c r="R994" s="2050"/>
      <c r="S994" s="2050"/>
      <c r="T994" s="2050"/>
      <c r="U994" s="2050"/>
      <c r="V994" s="2050"/>
      <c r="W994" s="2050"/>
      <c r="X994" s="2050"/>
      <c r="Y994" s="2050"/>
      <c r="Z994" s="2050"/>
      <c r="AA994" s="2050"/>
      <c r="AB994" s="2050"/>
      <c r="AC994" s="2658">
        <v>0</v>
      </c>
      <c r="AD994" s="2527">
        <v>0</v>
      </c>
      <c r="AE994" s="2527">
        <v>0</v>
      </c>
      <c r="AF994" s="2527">
        <v>0</v>
      </c>
      <c r="AG994" s="2527">
        <v>0</v>
      </c>
      <c r="AH994" s="2527">
        <v>0</v>
      </c>
      <c r="AI994" s="2527">
        <v>0</v>
      </c>
    </row>
    <row r="995" spans="1:35">
      <c r="A995" s="990">
        <v>911</v>
      </c>
      <c r="B995" s="990">
        <v>1</v>
      </c>
      <c r="C995" s="990">
        <v>995</v>
      </c>
      <c r="D995" s="9" t="s">
        <v>999</v>
      </c>
      <c r="E995" s="1243">
        <v>1</v>
      </c>
      <c r="F995" s="39"/>
      <c r="G995" s="39"/>
      <c r="H995" s="5"/>
      <c r="I995" s="39"/>
      <c r="J995" s="40"/>
      <c r="K995" s="39"/>
      <c r="L995" s="39"/>
      <c r="M995" s="39"/>
      <c r="N995" s="39"/>
      <c r="O995" s="39"/>
      <c r="P995" s="39"/>
      <c r="Q995" s="2225"/>
      <c r="R995" s="1151"/>
      <c r="S995" s="1151"/>
      <c r="T995" s="1151"/>
      <c r="U995" s="1151"/>
      <c r="V995" s="1151"/>
      <c r="W995" s="2179"/>
      <c r="X995" s="2179"/>
      <c r="Y995" s="2179"/>
      <c r="Z995" s="2179"/>
      <c r="AA995" s="38"/>
      <c r="AB995" s="1933"/>
      <c r="AC995" s="38"/>
      <c r="AD995" s="38"/>
      <c r="AE995" s="38"/>
      <c r="AF995" s="38"/>
      <c r="AG995" s="38"/>
      <c r="AH995" s="38"/>
      <c r="AI995" s="38"/>
    </row>
    <row r="996" spans="1:35">
      <c r="A996" s="990">
        <v>912</v>
      </c>
      <c r="B996" s="990">
        <v>1</v>
      </c>
      <c r="C996" s="990">
        <v>996</v>
      </c>
      <c r="D996" s="9" t="s">
        <v>999</v>
      </c>
      <c r="E996" s="1243">
        <v>1</v>
      </c>
      <c r="F996" s="5"/>
      <c r="G996" s="5"/>
      <c r="H996" s="5" t="s">
        <v>1050</v>
      </c>
      <c r="I996" s="5"/>
      <c r="J996" s="4"/>
      <c r="K996" s="5"/>
      <c r="L996" s="5"/>
      <c r="M996" s="4"/>
      <c r="N996" s="4"/>
      <c r="O996" s="4"/>
      <c r="P996" s="4"/>
      <c r="Q996" s="2225"/>
      <c r="R996" s="1151"/>
      <c r="S996" s="1151"/>
      <c r="T996" s="1151"/>
      <c r="U996" s="1151"/>
      <c r="V996" s="1151"/>
      <c r="W996" s="1151"/>
      <c r="X996" s="1151"/>
      <c r="Y996" s="1151"/>
      <c r="Z996" s="1151"/>
      <c r="AA996" s="38"/>
      <c r="AB996" s="1933"/>
      <c r="AC996" s="38"/>
      <c r="AD996" s="38"/>
      <c r="AE996" s="38"/>
      <c r="AF996" s="38"/>
      <c r="AG996" s="38"/>
      <c r="AH996" s="38"/>
      <c r="AI996" s="38"/>
    </row>
    <row r="997" spans="1:35">
      <c r="A997" s="990">
        <v>913</v>
      </c>
      <c r="B997" s="990">
        <v>1</v>
      </c>
      <c r="C997" s="990">
        <v>997</v>
      </c>
      <c r="D997" s="9" t="s">
        <v>999</v>
      </c>
      <c r="E997" s="1243">
        <v>1</v>
      </c>
      <c r="F997" s="5"/>
      <c r="G997" s="5"/>
      <c r="H997" s="341"/>
      <c r="I997" s="128" t="s">
        <v>328</v>
      </c>
      <c r="J997" s="829"/>
      <c r="K997" s="1186"/>
      <c r="L997" s="1186"/>
      <c r="M997" s="829"/>
      <c r="N997" s="829"/>
      <c r="O997" s="829"/>
      <c r="P997" s="829"/>
      <c r="Q997" s="2130">
        <v>0</v>
      </c>
      <c r="R997" s="125">
        <v>0</v>
      </c>
      <c r="S997" s="125">
        <v>0</v>
      </c>
      <c r="T997" s="125">
        <v>0</v>
      </c>
      <c r="U997" s="125">
        <v>0</v>
      </c>
      <c r="V997" s="125">
        <v>0</v>
      </c>
      <c r="W997" s="125">
        <v>0</v>
      </c>
      <c r="X997" s="125">
        <v>0</v>
      </c>
      <c r="Y997" s="125">
        <v>0</v>
      </c>
      <c r="Z997" s="125">
        <v>0</v>
      </c>
      <c r="AA997" s="125">
        <v>0</v>
      </c>
      <c r="AB997" s="125">
        <v>0</v>
      </c>
      <c r="AC997" s="125">
        <v>0</v>
      </c>
      <c r="AD997" s="125">
        <v>0</v>
      </c>
      <c r="AE997" s="125">
        <v>0</v>
      </c>
      <c r="AF997" s="125">
        <v>0</v>
      </c>
      <c r="AG997" s="125">
        <v>0</v>
      </c>
      <c r="AH997" s="125">
        <v>0</v>
      </c>
      <c r="AI997" s="125">
        <v>0</v>
      </c>
    </row>
    <row r="998" spans="1:35">
      <c r="A998" s="990">
        <v>914</v>
      </c>
      <c r="B998" s="990">
        <v>1</v>
      </c>
      <c r="C998" s="990">
        <v>998</v>
      </c>
      <c r="D998" s="9" t="s">
        <v>999</v>
      </c>
      <c r="E998" s="1243">
        <v>1</v>
      </c>
      <c r="F998" s="5"/>
      <c r="G998" s="5"/>
      <c r="H998" s="5"/>
      <c r="I998" s="329"/>
      <c r="J998" s="52" t="s">
        <v>62</v>
      </c>
      <c r="K998" s="51"/>
      <c r="L998" s="52"/>
      <c r="M998" s="52"/>
      <c r="N998" s="51"/>
      <c r="O998" s="51"/>
      <c r="P998" s="51"/>
      <c r="Q998" s="49">
        <v>0</v>
      </c>
      <c r="R998" s="49">
        <v>0</v>
      </c>
      <c r="S998" s="49">
        <v>0</v>
      </c>
      <c r="T998" s="49">
        <v>0</v>
      </c>
      <c r="U998" s="49">
        <v>0</v>
      </c>
      <c r="V998" s="49">
        <v>0</v>
      </c>
      <c r="W998" s="49">
        <v>0</v>
      </c>
      <c r="X998" s="49">
        <v>0</v>
      </c>
      <c r="Y998" s="49">
        <v>0</v>
      </c>
      <c r="Z998" s="49">
        <v>0</v>
      </c>
      <c r="AA998" s="49">
        <v>0</v>
      </c>
      <c r="AB998" s="49">
        <v>0</v>
      </c>
      <c r="AC998" s="1553">
        <v>0</v>
      </c>
      <c r="AD998" s="49">
        <v>0</v>
      </c>
      <c r="AE998" s="49">
        <v>0</v>
      </c>
      <c r="AF998" s="49">
        <v>0</v>
      </c>
      <c r="AG998" s="49">
        <v>0</v>
      </c>
      <c r="AH998" s="49">
        <v>0</v>
      </c>
      <c r="AI998" s="49">
        <v>0</v>
      </c>
    </row>
    <row r="999" spans="1:35">
      <c r="A999" s="990">
        <v>915</v>
      </c>
      <c r="B999" s="990">
        <v>1</v>
      </c>
      <c r="C999" s="990">
        <v>999</v>
      </c>
      <c r="E999" s="1243">
        <v>1</v>
      </c>
      <c r="F999" s="5"/>
      <c r="G999" s="5"/>
      <c r="H999" s="5"/>
      <c r="I999" s="329"/>
      <c r="J999" s="5"/>
      <c r="K999" s="4"/>
      <c r="L999" s="5"/>
      <c r="M999" s="5"/>
      <c r="N999" s="45"/>
      <c r="O999" s="45" t="s">
        <v>125</v>
      </c>
      <c r="P999" s="4"/>
      <c r="Q999" s="2030"/>
      <c r="R999" s="2030"/>
      <c r="S999" s="2030"/>
      <c r="T999" s="2030"/>
      <c r="U999" s="2030"/>
      <c r="V999" s="2030"/>
      <c r="W999" s="2030"/>
      <c r="X999" s="2030"/>
      <c r="Y999" s="2030"/>
      <c r="Z999" s="2030"/>
      <c r="AA999" s="2030"/>
      <c r="AB999" s="2030"/>
      <c r="AC999" s="1511">
        <v>0</v>
      </c>
      <c r="AD999" s="44">
        <v>0</v>
      </c>
      <c r="AE999" s="44">
        <v>0</v>
      </c>
      <c r="AF999" s="44">
        <v>0</v>
      </c>
      <c r="AG999" s="44">
        <v>0</v>
      </c>
      <c r="AH999" s="44">
        <v>0</v>
      </c>
      <c r="AI999" s="44">
        <v>0</v>
      </c>
    </row>
    <row r="1000" spans="1:35">
      <c r="A1000" s="990">
        <v>916</v>
      </c>
      <c r="B1000" s="990">
        <v>1</v>
      </c>
      <c r="C1000" s="990">
        <v>1000</v>
      </c>
      <c r="E1000" s="1243">
        <v>1</v>
      </c>
      <c r="F1000" s="5"/>
      <c r="G1000" s="5"/>
      <c r="H1000" s="5"/>
      <c r="I1000" s="329"/>
      <c r="J1000" s="5"/>
      <c r="K1000" s="4"/>
      <c r="L1000" s="5"/>
      <c r="M1000" s="5"/>
      <c r="N1000" s="45"/>
      <c r="O1000" s="45" t="s">
        <v>124</v>
      </c>
      <c r="P1000" s="4"/>
      <c r="Q1000" s="2030"/>
      <c r="R1000" s="2030"/>
      <c r="S1000" s="2030"/>
      <c r="T1000" s="2030"/>
      <c r="U1000" s="2030"/>
      <c r="V1000" s="2030"/>
      <c r="W1000" s="2030"/>
      <c r="X1000" s="2030"/>
      <c r="Y1000" s="2030"/>
      <c r="Z1000" s="2030"/>
      <c r="AA1000" s="2030"/>
      <c r="AB1000" s="2030"/>
      <c r="AC1000" s="1511">
        <v>0</v>
      </c>
      <c r="AD1000" s="44">
        <v>0</v>
      </c>
      <c r="AE1000" s="44">
        <v>0</v>
      </c>
      <c r="AF1000" s="44">
        <v>0</v>
      </c>
      <c r="AG1000" s="44">
        <v>0</v>
      </c>
      <c r="AH1000" s="44">
        <v>0</v>
      </c>
      <c r="AI1000" s="44">
        <v>0</v>
      </c>
    </row>
    <row r="1001" spans="1:35">
      <c r="A1001" s="990">
        <v>917</v>
      </c>
      <c r="B1001" s="990">
        <v>1</v>
      </c>
      <c r="C1001" s="990">
        <v>1001</v>
      </c>
      <c r="E1001" s="1243">
        <v>1</v>
      </c>
      <c r="F1001" s="5"/>
      <c r="G1001" s="5"/>
      <c r="H1001" s="5"/>
      <c r="I1001" s="329"/>
      <c r="J1001" s="5"/>
      <c r="K1001" s="4"/>
      <c r="L1001" s="5"/>
      <c r="M1001" s="5"/>
      <c r="N1001" s="45"/>
      <c r="O1001" s="45" t="s">
        <v>123</v>
      </c>
      <c r="P1001" s="4"/>
      <c r="Q1001" s="2030"/>
      <c r="R1001" s="2030"/>
      <c r="S1001" s="2030"/>
      <c r="T1001" s="2030"/>
      <c r="U1001" s="2030"/>
      <c r="V1001" s="2030"/>
      <c r="W1001" s="2030"/>
      <c r="X1001" s="2030"/>
      <c r="Y1001" s="2030"/>
      <c r="Z1001" s="2030"/>
      <c r="AA1001" s="2030"/>
      <c r="AB1001" s="2030"/>
      <c r="AC1001" s="1511">
        <v>0</v>
      </c>
      <c r="AD1001" s="44">
        <v>0</v>
      </c>
      <c r="AE1001" s="44">
        <v>0</v>
      </c>
      <c r="AF1001" s="44">
        <v>0</v>
      </c>
      <c r="AG1001" s="44">
        <v>0</v>
      </c>
      <c r="AH1001" s="44">
        <v>0</v>
      </c>
      <c r="AI1001" s="44">
        <v>0</v>
      </c>
    </row>
    <row r="1002" spans="1:35">
      <c r="A1002" s="990">
        <v>918</v>
      </c>
      <c r="B1002" s="990">
        <v>1</v>
      </c>
      <c r="C1002" s="990">
        <v>1002</v>
      </c>
      <c r="E1002" s="1243">
        <v>1</v>
      </c>
      <c r="F1002" s="5"/>
      <c r="G1002" s="5"/>
      <c r="H1002" s="5"/>
      <c r="I1002" s="329"/>
      <c r="J1002" s="3"/>
      <c r="K1002" s="2"/>
      <c r="L1002" s="3"/>
      <c r="M1002" s="3"/>
      <c r="N1002" s="43"/>
      <c r="O1002" s="43" t="s">
        <v>120</v>
      </c>
      <c r="P1002" s="2"/>
      <c r="Q1002" s="2029"/>
      <c r="R1002" s="2029"/>
      <c r="S1002" s="2029"/>
      <c r="T1002" s="2029"/>
      <c r="U1002" s="2029"/>
      <c r="V1002" s="2029"/>
      <c r="W1002" s="2029"/>
      <c r="X1002" s="2029"/>
      <c r="Y1002" s="2029"/>
      <c r="Z1002" s="2029"/>
      <c r="AA1002" s="2029"/>
      <c r="AB1002" s="2029"/>
      <c r="AC1002" s="1554">
        <v>0</v>
      </c>
      <c r="AD1002" s="42">
        <v>0</v>
      </c>
      <c r="AE1002" s="42">
        <v>0</v>
      </c>
      <c r="AF1002" s="42">
        <v>0</v>
      </c>
      <c r="AG1002" s="42">
        <v>0</v>
      </c>
      <c r="AH1002" s="42">
        <v>0</v>
      </c>
      <c r="AI1002" s="42">
        <v>0</v>
      </c>
    </row>
    <row r="1003" spans="1:35">
      <c r="A1003" s="990">
        <v>919</v>
      </c>
      <c r="B1003" s="990">
        <v>1</v>
      </c>
      <c r="C1003" s="990">
        <v>1003</v>
      </c>
      <c r="D1003" s="9" t="s">
        <v>999</v>
      </c>
      <c r="E1003" s="1243">
        <v>1</v>
      </c>
      <c r="F1003" s="5"/>
      <c r="G1003" s="5"/>
      <c r="H1003" s="5"/>
      <c r="I1003" s="329"/>
      <c r="J1003" s="52" t="s">
        <v>330</v>
      </c>
      <c r="K1003" s="51"/>
      <c r="L1003" s="52"/>
      <c r="M1003" s="52"/>
      <c r="N1003" s="51"/>
      <c r="O1003" s="51"/>
      <c r="P1003" s="51"/>
      <c r="Q1003" s="49">
        <v>0</v>
      </c>
      <c r="R1003" s="49">
        <v>0</v>
      </c>
      <c r="S1003" s="49">
        <v>0</v>
      </c>
      <c r="T1003" s="49">
        <v>0</v>
      </c>
      <c r="U1003" s="49">
        <v>0</v>
      </c>
      <c r="V1003" s="49">
        <v>0</v>
      </c>
      <c r="W1003" s="49">
        <v>0</v>
      </c>
      <c r="X1003" s="49">
        <v>0</v>
      </c>
      <c r="Y1003" s="49">
        <v>0</v>
      </c>
      <c r="Z1003" s="49">
        <v>0</v>
      </c>
      <c r="AA1003" s="49">
        <v>0</v>
      </c>
      <c r="AB1003" s="49">
        <v>0</v>
      </c>
      <c r="AC1003" s="1553">
        <v>0</v>
      </c>
      <c r="AD1003" s="49">
        <v>0</v>
      </c>
      <c r="AE1003" s="49">
        <v>0</v>
      </c>
      <c r="AF1003" s="49">
        <v>0</v>
      </c>
      <c r="AG1003" s="49">
        <v>0</v>
      </c>
      <c r="AH1003" s="49">
        <v>0</v>
      </c>
      <c r="AI1003" s="49">
        <v>0</v>
      </c>
    </row>
    <row r="1004" spans="1:35">
      <c r="A1004" s="990">
        <v>920</v>
      </c>
      <c r="B1004" s="990">
        <v>1</v>
      </c>
      <c r="C1004" s="990">
        <v>1004</v>
      </c>
      <c r="E1004" s="1243">
        <v>1</v>
      </c>
      <c r="F1004" s="5"/>
      <c r="G1004" s="5"/>
      <c r="H1004" s="5"/>
      <c r="I1004" s="329"/>
      <c r="J1004" s="5"/>
      <c r="K1004" s="4"/>
      <c r="L1004" s="5"/>
      <c r="M1004" s="5"/>
      <c r="N1004" s="45"/>
      <c r="O1004" s="45" t="s">
        <v>67</v>
      </c>
      <c r="P1004" s="4"/>
      <c r="Q1004" s="2030"/>
      <c r="R1004" s="2030"/>
      <c r="S1004" s="2030"/>
      <c r="T1004" s="2030"/>
      <c r="U1004" s="2030"/>
      <c r="V1004" s="2030"/>
      <c r="W1004" s="2030"/>
      <c r="X1004" s="2030"/>
      <c r="Y1004" s="2030"/>
      <c r="Z1004" s="2030"/>
      <c r="AA1004" s="2030"/>
      <c r="AB1004" s="2030"/>
      <c r="AC1004" s="1511">
        <v>0</v>
      </c>
      <c r="AD1004" s="44">
        <v>0</v>
      </c>
      <c r="AE1004" s="44">
        <v>0</v>
      </c>
      <c r="AF1004" s="44">
        <v>0</v>
      </c>
      <c r="AG1004" s="44">
        <v>0</v>
      </c>
      <c r="AH1004" s="44">
        <v>0</v>
      </c>
      <c r="AI1004" s="44">
        <v>0</v>
      </c>
    </row>
    <row r="1005" spans="1:35">
      <c r="A1005" s="990">
        <v>921</v>
      </c>
      <c r="B1005" s="990">
        <v>1</v>
      </c>
      <c r="C1005" s="990">
        <v>1005</v>
      </c>
      <c r="E1005" s="1243">
        <v>1</v>
      </c>
      <c r="F1005" s="5"/>
      <c r="G1005" s="5"/>
      <c r="H1005" s="5"/>
      <c r="I1005" s="329"/>
      <c r="J1005" s="5"/>
      <c r="K1005" s="4"/>
      <c r="L1005" s="5"/>
      <c r="M1005" s="5"/>
      <c r="N1005" s="45"/>
      <c r="O1005" s="45" t="s">
        <v>68</v>
      </c>
      <c r="P1005" s="4"/>
      <c r="Q1005" s="2030"/>
      <c r="R1005" s="2030"/>
      <c r="S1005" s="2030"/>
      <c r="T1005" s="2030"/>
      <c r="U1005" s="2030"/>
      <c r="V1005" s="2030"/>
      <c r="W1005" s="2030"/>
      <c r="X1005" s="2030"/>
      <c r="Y1005" s="2030"/>
      <c r="Z1005" s="2030"/>
      <c r="AA1005" s="2030"/>
      <c r="AB1005" s="2030"/>
      <c r="AC1005" s="1511">
        <v>0</v>
      </c>
      <c r="AD1005" s="44">
        <v>0</v>
      </c>
      <c r="AE1005" s="44">
        <v>0</v>
      </c>
      <c r="AF1005" s="44">
        <v>0</v>
      </c>
      <c r="AG1005" s="44">
        <v>0</v>
      </c>
      <c r="AH1005" s="44">
        <v>0</v>
      </c>
      <c r="AI1005" s="44">
        <v>0</v>
      </c>
    </row>
    <row r="1006" spans="1:35">
      <c r="A1006" s="990">
        <v>922</v>
      </c>
      <c r="B1006" s="990">
        <v>1</v>
      </c>
      <c r="C1006" s="990">
        <v>1006</v>
      </c>
      <c r="E1006" s="1243">
        <v>1</v>
      </c>
      <c r="F1006" s="5"/>
      <c r="G1006" s="5"/>
      <c r="H1006" s="5"/>
      <c r="I1006" s="329"/>
      <c r="J1006" s="5"/>
      <c r="K1006" s="4"/>
      <c r="L1006" s="5"/>
      <c r="M1006" s="5"/>
      <c r="N1006" s="45"/>
      <c r="O1006" s="45" t="s">
        <v>122</v>
      </c>
      <c r="P1006" s="4"/>
      <c r="Q1006" s="2030"/>
      <c r="R1006" s="2030"/>
      <c r="S1006" s="2030"/>
      <c r="T1006" s="2030"/>
      <c r="U1006" s="2030"/>
      <c r="V1006" s="2030"/>
      <c r="W1006" s="2030"/>
      <c r="X1006" s="2030"/>
      <c r="Y1006" s="2030"/>
      <c r="Z1006" s="2030"/>
      <c r="AA1006" s="2030"/>
      <c r="AB1006" s="2030"/>
      <c r="AC1006" s="1511">
        <v>0</v>
      </c>
      <c r="AD1006" s="44">
        <v>0</v>
      </c>
      <c r="AE1006" s="44">
        <v>0</v>
      </c>
      <c r="AF1006" s="44">
        <v>0</v>
      </c>
      <c r="AG1006" s="44">
        <v>0</v>
      </c>
      <c r="AH1006" s="44">
        <v>0</v>
      </c>
      <c r="AI1006" s="44">
        <v>0</v>
      </c>
    </row>
    <row r="1007" spans="1:35">
      <c r="A1007" s="990">
        <v>923</v>
      </c>
      <c r="B1007" s="990">
        <v>1</v>
      </c>
      <c r="C1007" s="990">
        <v>1007</v>
      </c>
      <c r="E1007" s="1243">
        <v>1</v>
      </c>
      <c r="F1007" s="5"/>
      <c r="G1007" s="5"/>
      <c r="H1007" s="5"/>
      <c r="I1007" s="329"/>
      <c r="J1007" s="5"/>
      <c r="K1007" s="4"/>
      <c r="L1007" s="5"/>
      <c r="M1007" s="5"/>
      <c r="N1007" s="45"/>
      <c r="O1007" s="45" t="s">
        <v>121</v>
      </c>
      <c r="P1007" s="4"/>
      <c r="Q1007" s="2030"/>
      <c r="R1007" s="2030"/>
      <c r="S1007" s="2030"/>
      <c r="T1007" s="2030"/>
      <c r="U1007" s="2030"/>
      <c r="V1007" s="2030"/>
      <c r="W1007" s="2030"/>
      <c r="X1007" s="2030"/>
      <c r="Y1007" s="2030"/>
      <c r="Z1007" s="2030"/>
      <c r="AA1007" s="2030"/>
      <c r="AB1007" s="2030"/>
      <c r="AC1007" s="1511">
        <v>0</v>
      </c>
      <c r="AD1007" s="44">
        <v>0</v>
      </c>
      <c r="AE1007" s="44">
        <v>0</v>
      </c>
      <c r="AF1007" s="44">
        <v>0</v>
      </c>
      <c r="AG1007" s="44">
        <v>0</v>
      </c>
      <c r="AH1007" s="44">
        <v>0</v>
      </c>
      <c r="AI1007" s="44">
        <v>0</v>
      </c>
    </row>
    <row r="1008" spans="1:35">
      <c r="A1008" s="990">
        <v>924</v>
      </c>
      <c r="B1008" s="990">
        <v>1</v>
      </c>
      <c r="C1008" s="990">
        <v>1008</v>
      </c>
      <c r="E1008" s="1243">
        <v>1</v>
      </c>
      <c r="F1008" s="5"/>
      <c r="G1008" s="5"/>
      <c r="H1008" s="5"/>
      <c r="I1008" s="329"/>
      <c r="J1008" s="5"/>
      <c r="K1008" s="4"/>
      <c r="L1008" s="5"/>
      <c r="M1008" s="5"/>
      <c r="N1008" s="45"/>
      <c r="O1008" s="45" t="s">
        <v>120</v>
      </c>
      <c r="P1008" s="4"/>
      <c r="Q1008" s="2030"/>
      <c r="R1008" s="2030"/>
      <c r="S1008" s="2030"/>
      <c r="T1008" s="2030"/>
      <c r="U1008" s="2030"/>
      <c r="V1008" s="2030"/>
      <c r="W1008" s="2030"/>
      <c r="X1008" s="2030"/>
      <c r="Y1008" s="2030"/>
      <c r="Z1008" s="2030"/>
      <c r="AA1008" s="2030"/>
      <c r="AB1008" s="2030"/>
      <c r="AC1008" s="1511">
        <v>0</v>
      </c>
      <c r="AD1008" s="44">
        <v>0</v>
      </c>
      <c r="AE1008" s="44">
        <v>0</v>
      </c>
      <c r="AF1008" s="44">
        <v>0</v>
      </c>
      <c r="AG1008" s="44">
        <v>0</v>
      </c>
      <c r="AH1008" s="44">
        <v>0</v>
      </c>
      <c r="AI1008" s="44">
        <v>0</v>
      </c>
    </row>
    <row r="1009" spans="1:35">
      <c r="A1009" s="990">
        <v>925</v>
      </c>
      <c r="B1009" s="990">
        <v>1</v>
      </c>
      <c r="C1009" s="990">
        <v>1009</v>
      </c>
      <c r="D1009" s="9" t="s">
        <v>999</v>
      </c>
      <c r="E1009" s="1243">
        <v>1</v>
      </c>
      <c r="F1009" s="5"/>
      <c r="G1009" s="5"/>
      <c r="H1009" s="5"/>
      <c r="I1009" s="329"/>
      <c r="J1009" s="324" t="s">
        <v>331</v>
      </c>
      <c r="K1009" s="323"/>
      <c r="L1009" s="324"/>
      <c r="M1009" s="324"/>
      <c r="N1009" s="323"/>
      <c r="O1009" s="323"/>
      <c r="P1009" s="323"/>
      <c r="Q1009" s="325">
        <v>0</v>
      </c>
      <c r="R1009" s="325">
        <v>0</v>
      </c>
      <c r="S1009" s="325">
        <v>0</v>
      </c>
      <c r="T1009" s="325">
        <v>0</v>
      </c>
      <c r="U1009" s="325">
        <v>0</v>
      </c>
      <c r="V1009" s="325">
        <v>0</v>
      </c>
      <c r="W1009" s="325">
        <v>0</v>
      </c>
      <c r="X1009" s="325">
        <v>0</v>
      </c>
      <c r="Y1009" s="325">
        <v>0</v>
      </c>
      <c r="Z1009" s="325">
        <v>0</v>
      </c>
      <c r="AA1009" s="325">
        <v>0</v>
      </c>
      <c r="AB1009" s="325">
        <v>0</v>
      </c>
      <c r="AC1009" s="1278">
        <v>0</v>
      </c>
      <c r="AD1009" s="325">
        <v>0</v>
      </c>
      <c r="AE1009" s="325">
        <v>0</v>
      </c>
      <c r="AF1009" s="325">
        <v>0</v>
      </c>
      <c r="AG1009" s="325">
        <v>0</v>
      </c>
      <c r="AH1009" s="325">
        <v>0</v>
      </c>
      <c r="AI1009" s="325">
        <v>0</v>
      </c>
    </row>
    <row r="1010" spans="1:35">
      <c r="A1010" s="990">
        <v>926</v>
      </c>
      <c r="B1010" s="990">
        <v>1</v>
      </c>
      <c r="C1010" s="990">
        <v>1010</v>
      </c>
      <c r="E1010" s="1243">
        <v>1</v>
      </c>
      <c r="F1010" s="5"/>
      <c r="G1010" s="5"/>
      <c r="H1010" s="5"/>
      <c r="I1010" s="329"/>
      <c r="J1010" s="5"/>
      <c r="K1010" s="4"/>
      <c r="L1010" s="5"/>
      <c r="M1010" s="5"/>
      <c r="N1010" s="45"/>
      <c r="O1010" s="45" t="s">
        <v>323</v>
      </c>
      <c r="P1010" s="4"/>
      <c r="Q1010" s="2030"/>
      <c r="R1010" s="2030"/>
      <c r="S1010" s="2030"/>
      <c r="T1010" s="2030"/>
      <c r="U1010" s="2030"/>
      <c r="V1010" s="2030"/>
      <c r="W1010" s="2030"/>
      <c r="X1010" s="2030"/>
      <c r="Y1010" s="2030"/>
      <c r="Z1010" s="2030"/>
      <c r="AA1010" s="2030"/>
      <c r="AB1010" s="2030"/>
      <c r="AC1010" s="1511">
        <v>0</v>
      </c>
      <c r="AD1010" s="44">
        <v>0</v>
      </c>
      <c r="AE1010" s="44">
        <v>0</v>
      </c>
      <c r="AF1010" s="44">
        <v>0</v>
      </c>
      <c r="AG1010" s="44">
        <v>0</v>
      </c>
      <c r="AH1010" s="44">
        <v>0</v>
      </c>
      <c r="AI1010" s="44">
        <v>0</v>
      </c>
    </row>
    <row r="1011" spans="1:35">
      <c r="A1011" s="990">
        <v>927</v>
      </c>
      <c r="B1011" s="990">
        <v>1</v>
      </c>
      <c r="C1011" s="990">
        <v>1011</v>
      </c>
      <c r="E1011" s="1243">
        <v>1</v>
      </c>
      <c r="F1011" s="5"/>
      <c r="G1011" s="5"/>
      <c r="H1011" s="5"/>
      <c r="I1011" s="329"/>
      <c r="J1011" s="5"/>
      <c r="K1011" s="4"/>
      <c r="L1011" s="5"/>
      <c r="M1011" s="5"/>
      <c r="N1011" s="45"/>
      <c r="O1011" s="45" t="s">
        <v>324</v>
      </c>
      <c r="P1011" s="4"/>
      <c r="Q1011" s="2030"/>
      <c r="R1011" s="2030"/>
      <c r="S1011" s="2030"/>
      <c r="T1011" s="2030"/>
      <c r="U1011" s="2030"/>
      <c r="V1011" s="2030"/>
      <c r="W1011" s="2030"/>
      <c r="X1011" s="2030"/>
      <c r="Y1011" s="2030"/>
      <c r="Z1011" s="2030"/>
      <c r="AA1011" s="2030"/>
      <c r="AB1011" s="2030"/>
      <c r="AC1011" s="1511">
        <v>0</v>
      </c>
      <c r="AD1011" s="44">
        <v>0</v>
      </c>
      <c r="AE1011" s="44">
        <v>0</v>
      </c>
      <c r="AF1011" s="44">
        <v>0</v>
      </c>
      <c r="AG1011" s="44">
        <v>0</v>
      </c>
      <c r="AH1011" s="44">
        <v>0</v>
      </c>
      <c r="AI1011" s="44">
        <v>0</v>
      </c>
    </row>
    <row r="1012" spans="1:35">
      <c r="A1012" s="990">
        <v>928</v>
      </c>
      <c r="B1012" s="990">
        <v>1</v>
      </c>
      <c r="C1012" s="990">
        <v>1012</v>
      </c>
      <c r="E1012" s="1243">
        <v>1</v>
      </c>
      <c r="F1012" s="5"/>
      <c r="G1012" s="5"/>
      <c r="H1012" s="5"/>
      <c r="I1012" s="329"/>
      <c r="J1012" s="5"/>
      <c r="K1012" s="4"/>
      <c r="L1012" s="5"/>
      <c r="M1012" s="5"/>
      <c r="N1012" s="45"/>
      <c r="O1012" s="45" t="s">
        <v>325</v>
      </c>
      <c r="P1012" s="4"/>
      <c r="Q1012" s="2030"/>
      <c r="R1012" s="2030"/>
      <c r="S1012" s="2030"/>
      <c r="T1012" s="2030"/>
      <c r="U1012" s="2030"/>
      <c r="V1012" s="2030"/>
      <c r="W1012" s="2030"/>
      <c r="X1012" s="2030"/>
      <c r="Y1012" s="2030"/>
      <c r="Z1012" s="2030"/>
      <c r="AA1012" s="2030"/>
      <c r="AB1012" s="2030"/>
      <c r="AC1012" s="1511">
        <v>0</v>
      </c>
      <c r="AD1012" s="44">
        <v>0</v>
      </c>
      <c r="AE1012" s="44">
        <v>0</v>
      </c>
      <c r="AF1012" s="44">
        <v>0</v>
      </c>
      <c r="AG1012" s="44">
        <v>0</v>
      </c>
      <c r="AH1012" s="44">
        <v>0</v>
      </c>
      <c r="AI1012" s="44">
        <v>0</v>
      </c>
    </row>
    <row r="1013" spans="1:35">
      <c r="A1013" s="990">
        <v>929</v>
      </c>
      <c r="B1013" s="990">
        <v>1</v>
      </c>
      <c r="C1013" s="990">
        <v>1013</v>
      </c>
      <c r="E1013" s="1243">
        <v>1</v>
      </c>
      <c r="F1013" s="5"/>
      <c r="G1013" s="5"/>
      <c r="H1013" s="5"/>
      <c r="I1013" s="329"/>
      <c r="J1013" s="3"/>
      <c r="K1013" s="2"/>
      <c r="L1013" s="3"/>
      <c r="M1013" s="3"/>
      <c r="N1013" s="43"/>
      <c r="O1013" s="43" t="s">
        <v>326</v>
      </c>
      <c r="P1013" s="2"/>
      <c r="Q1013" s="2029"/>
      <c r="R1013" s="2029"/>
      <c r="S1013" s="2029"/>
      <c r="T1013" s="2029"/>
      <c r="U1013" s="2029"/>
      <c r="V1013" s="2029"/>
      <c r="W1013" s="2029"/>
      <c r="X1013" s="2029"/>
      <c r="Y1013" s="2029"/>
      <c r="Z1013" s="2029"/>
      <c r="AA1013" s="2029"/>
      <c r="AB1013" s="2029"/>
      <c r="AC1013" s="1554">
        <v>0</v>
      </c>
      <c r="AD1013" s="42">
        <v>0</v>
      </c>
      <c r="AE1013" s="42">
        <v>0</v>
      </c>
      <c r="AF1013" s="42">
        <v>0</v>
      </c>
      <c r="AG1013" s="42">
        <v>0</v>
      </c>
      <c r="AH1013" s="42">
        <v>0</v>
      </c>
      <c r="AI1013" s="42">
        <v>0</v>
      </c>
    </row>
    <row r="1014" spans="1:35">
      <c r="A1014" s="990">
        <v>930</v>
      </c>
      <c r="B1014" s="990">
        <v>1</v>
      </c>
      <c r="C1014" s="990">
        <v>1014</v>
      </c>
      <c r="D1014" s="9" t="s">
        <v>999</v>
      </c>
      <c r="E1014" s="1243">
        <v>1</v>
      </c>
      <c r="F1014" s="5"/>
      <c r="G1014" s="5"/>
      <c r="H1014" s="5"/>
      <c r="I1014" s="329"/>
      <c r="J1014" s="52" t="s">
        <v>73</v>
      </c>
      <c r="K1014" s="51"/>
      <c r="L1014" s="52"/>
      <c r="M1014" s="52"/>
      <c r="N1014" s="51"/>
      <c r="O1014" s="51"/>
      <c r="P1014" s="51"/>
      <c r="Q1014" s="49">
        <v>0</v>
      </c>
      <c r="R1014" s="49">
        <v>0</v>
      </c>
      <c r="S1014" s="49">
        <v>0</v>
      </c>
      <c r="T1014" s="49">
        <v>0</v>
      </c>
      <c r="U1014" s="49">
        <v>0</v>
      </c>
      <c r="V1014" s="49">
        <v>0</v>
      </c>
      <c r="W1014" s="49">
        <v>0</v>
      </c>
      <c r="X1014" s="49">
        <v>0</v>
      </c>
      <c r="Y1014" s="49">
        <v>0</v>
      </c>
      <c r="Z1014" s="49">
        <v>0</v>
      </c>
      <c r="AA1014" s="49">
        <v>0</v>
      </c>
      <c r="AB1014" s="49">
        <v>0</v>
      </c>
      <c r="AC1014" s="1553">
        <v>0</v>
      </c>
      <c r="AD1014" s="49">
        <v>0</v>
      </c>
      <c r="AE1014" s="49">
        <v>0</v>
      </c>
      <c r="AF1014" s="49">
        <v>0</v>
      </c>
      <c r="AG1014" s="49">
        <v>0</v>
      </c>
      <c r="AH1014" s="49">
        <v>0</v>
      </c>
      <c r="AI1014" s="49">
        <v>0</v>
      </c>
    </row>
    <row r="1015" spans="1:35">
      <c r="A1015" s="990">
        <v>931</v>
      </c>
      <c r="B1015" s="990">
        <v>1</v>
      </c>
      <c r="C1015" s="990">
        <v>1015</v>
      </c>
      <c r="E1015" s="1243">
        <v>1</v>
      </c>
      <c r="F1015" s="5"/>
      <c r="G1015" s="5"/>
      <c r="H1015" s="5"/>
      <c r="I1015" s="329"/>
      <c r="J1015" s="5"/>
      <c r="K1015" s="4"/>
      <c r="L1015" s="5"/>
      <c r="M1015" s="4"/>
      <c r="N1015" s="45"/>
      <c r="O1015" s="45" t="s">
        <v>119</v>
      </c>
      <c r="P1015" s="45"/>
      <c r="Q1015" s="2030"/>
      <c r="R1015" s="2030"/>
      <c r="S1015" s="2030"/>
      <c r="T1015" s="2030"/>
      <c r="U1015" s="2030"/>
      <c r="V1015" s="2030"/>
      <c r="W1015" s="2030"/>
      <c r="X1015" s="2030"/>
      <c r="Y1015" s="2030"/>
      <c r="Z1015" s="2030"/>
      <c r="AA1015" s="2030"/>
      <c r="AB1015" s="2030"/>
      <c r="AC1015" s="1511">
        <v>0</v>
      </c>
      <c r="AD1015" s="44">
        <v>0</v>
      </c>
      <c r="AE1015" s="44">
        <v>0</v>
      </c>
      <c r="AF1015" s="44">
        <v>0</v>
      </c>
      <c r="AG1015" s="44">
        <v>0</v>
      </c>
      <c r="AH1015" s="44">
        <v>0</v>
      </c>
      <c r="AI1015" s="44">
        <v>0</v>
      </c>
    </row>
    <row r="1016" spans="1:35">
      <c r="A1016" s="990">
        <v>932</v>
      </c>
      <c r="B1016" s="990">
        <v>1</v>
      </c>
      <c r="C1016" s="990">
        <v>1016</v>
      </c>
      <c r="E1016" s="1243">
        <v>1</v>
      </c>
      <c r="F1016" s="5"/>
      <c r="G1016" s="5"/>
      <c r="H1016" s="5"/>
      <c r="I1016" s="329"/>
      <c r="J1016" s="5"/>
      <c r="K1016" s="4"/>
      <c r="L1016" s="5"/>
      <c r="M1016" s="4"/>
      <c r="N1016" s="45"/>
      <c r="O1016" s="45" t="s">
        <v>75</v>
      </c>
      <c r="P1016" s="45"/>
      <c r="Q1016" s="2030"/>
      <c r="R1016" s="2030"/>
      <c r="S1016" s="2030"/>
      <c r="T1016" s="2030"/>
      <c r="U1016" s="2030"/>
      <c r="V1016" s="2030"/>
      <c r="W1016" s="2030"/>
      <c r="X1016" s="2030"/>
      <c r="Y1016" s="2030"/>
      <c r="Z1016" s="2030"/>
      <c r="AA1016" s="2030"/>
      <c r="AB1016" s="2030"/>
      <c r="AC1016" s="1511">
        <v>0</v>
      </c>
      <c r="AD1016" s="44">
        <v>0</v>
      </c>
      <c r="AE1016" s="44">
        <v>0</v>
      </c>
      <c r="AF1016" s="44">
        <v>0</v>
      </c>
      <c r="AG1016" s="44">
        <v>0</v>
      </c>
      <c r="AH1016" s="44">
        <v>0</v>
      </c>
      <c r="AI1016" s="44">
        <v>0</v>
      </c>
    </row>
    <row r="1017" spans="1:35" s="75" customFormat="1">
      <c r="A1017" s="990">
        <v>933</v>
      </c>
      <c r="B1017" s="990">
        <v>1</v>
      </c>
      <c r="C1017" s="990">
        <v>1017</v>
      </c>
      <c r="D1017" s="1121"/>
      <c r="E1017" s="1243">
        <v>1</v>
      </c>
      <c r="F1017" s="5"/>
      <c r="G1017" s="5"/>
      <c r="H1017" s="5"/>
      <c r="I1017" s="329"/>
      <c r="J1017" s="5"/>
      <c r="K1017" s="4"/>
      <c r="L1017" s="5"/>
      <c r="M1017" s="4"/>
      <c r="N1017" s="45"/>
      <c r="O1017" s="45" t="s">
        <v>76</v>
      </c>
      <c r="P1017" s="45"/>
      <c r="Q1017" s="2030"/>
      <c r="R1017" s="2030"/>
      <c r="S1017" s="2030"/>
      <c r="T1017" s="2030"/>
      <c r="U1017" s="2030"/>
      <c r="V1017" s="2030"/>
      <c r="W1017" s="2030"/>
      <c r="X1017" s="2030"/>
      <c r="Y1017" s="2030"/>
      <c r="Z1017" s="2030"/>
      <c r="AA1017" s="2030"/>
      <c r="AB1017" s="2030"/>
      <c r="AC1017" s="1511">
        <v>0</v>
      </c>
      <c r="AD1017" s="44">
        <v>0</v>
      </c>
      <c r="AE1017" s="44">
        <v>0</v>
      </c>
      <c r="AF1017" s="44">
        <v>0</v>
      </c>
      <c r="AG1017" s="44">
        <v>0</v>
      </c>
      <c r="AH1017" s="44">
        <v>0</v>
      </c>
      <c r="AI1017" s="44">
        <v>0</v>
      </c>
    </row>
    <row r="1018" spans="1:35" s="998" customFormat="1" hidden="1" outlineLevel="1">
      <c r="A1018" s="1058">
        <v>934</v>
      </c>
      <c r="B1018" s="1058">
        <v>1</v>
      </c>
      <c r="C1018" s="1058">
        <v>1018</v>
      </c>
      <c r="D1018" s="1121"/>
      <c r="E1018" s="1243">
        <v>1</v>
      </c>
      <c r="F1018" s="5"/>
      <c r="G1018" s="5"/>
      <c r="H1018" s="5"/>
      <c r="I1018" s="329"/>
      <c r="J1018" s="5"/>
      <c r="K1018" s="4"/>
      <c r="L1018" s="5"/>
      <c r="M1018" s="4"/>
      <c r="N1018" s="45"/>
      <c r="O1018" s="45" t="s">
        <v>77</v>
      </c>
      <c r="P1018" s="45"/>
      <c r="Q1018" s="2030"/>
      <c r="R1018" s="2030"/>
      <c r="S1018" s="2030"/>
      <c r="T1018" s="2030"/>
      <c r="U1018" s="2030"/>
      <c r="V1018" s="2030"/>
      <c r="W1018" s="2030"/>
      <c r="X1018" s="2030"/>
      <c r="Y1018" s="2030"/>
      <c r="Z1018" s="2030"/>
      <c r="AA1018" s="2030"/>
      <c r="AB1018" s="2030"/>
      <c r="AC1018" s="1511">
        <v>0</v>
      </c>
      <c r="AD1018" s="44">
        <v>0</v>
      </c>
      <c r="AE1018" s="44">
        <v>0</v>
      </c>
      <c r="AF1018" s="44">
        <v>0</v>
      </c>
      <c r="AG1018" s="44">
        <v>0</v>
      </c>
      <c r="AH1018" s="44">
        <v>0</v>
      </c>
      <c r="AI1018" s="44">
        <v>0</v>
      </c>
    </row>
    <row r="1019" spans="1:35" s="998" customFormat="1" hidden="1" outlineLevel="1">
      <c r="A1019" s="1058">
        <v>935</v>
      </c>
      <c r="B1019" s="1058">
        <v>1</v>
      </c>
      <c r="C1019" s="1058">
        <v>1019</v>
      </c>
      <c r="D1019" s="1121"/>
      <c r="E1019" s="1243">
        <v>1</v>
      </c>
      <c r="F1019" s="5"/>
      <c r="G1019" s="5"/>
      <c r="H1019" s="5"/>
      <c r="I1019" s="329"/>
      <c r="J1019" s="5"/>
      <c r="K1019" s="4"/>
      <c r="L1019" s="5"/>
      <c r="M1019" s="4"/>
      <c r="N1019" s="45"/>
      <c r="O1019" s="45" t="s">
        <v>11</v>
      </c>
      <c r="P1019" s="45"/>
      <c r="Q1019" s="2030"/>
      <c r="R1019" s="2030"/>
      <c r="S1019" s="2030"/>
      <c r="T1019" s="2030"/>
      <c r="U1019" s="2030"/>
      <c r="V1019" s="2030"/>
      <c r="W1019" s="2030"/>
      <c r="X1019" s="2030"/>
      <c r="Y1019" s="2030"/>
      <c r="Z1019" s="2030"/>
      <c r="AA1019" s="2030"/>
      <c r="AB1019" s="2030"/>
      <c r="AC1019" s="1511">
        <v>0</v>
      </c>
      <c r="AD1019" s="44">
        <v>0</v>
      </c>
      <c r="AE1019" s="44">
        <v>0</v>
      </c>
      <c r="AF1019" s="44">
        <v>0</v>
      </c>
      <c r="AG1019" s="44">
        <v>0</v>
      </c>
      <c r="AH1019" s="44">
        <v>0</v>
      </c>
      <c r="AI1019" s="44">
        <v>0</v>
      </c>
    </row>
    <row r="1020" spans="1:35" s="998" customFormat="1" hidden="1" outlineLevel="1">
      <c r="A1020" s="1058">
        <v>936</v>
      </c>
      <c r="B1020" s="1058">
        <v>1</v>
      </c>
      <c r="C1020" s="1058">
        <v>1020</v>
      </c>
      <c r="D1020" s="1121" t="s">
        <v>999</v>
      </c>
      <c r="E1020" s="1243">
        <v>1</v>
      </c>
      <c r="F1020" s="5"/>
      <c r="G1020" s="5"/>
      <c r="H1020" s="5"/>
      <c r="I1020" s="329"/>
      <c r="J1020" s="324" t="s">
        <v>332</v>
      </c>
      <c r="K1020" s="323"/>
      <c r="L1020" s="324"/>
      <c r="M1020" s="324"/>
      <c r="N1020" s="323"/>
      <c r="O1020" s="323"/>
      <c r="P1020" s="323"/>
      <c r="Q1020" s="325">
        <v>0</v>
      </c>
      <c r="R1020" s="325">
        <v>0</v>
      </c>
      <c r="S1020" s="325">
        <v>0</v>
      </c>
      <c r="T1020" s="325">
        <v>0</v>
      </c>
      <c r="U1020" s="325">
        <v>0</v>
      </c>
      <c r="V1020" s="325">
        <v>0</v>
      </c>
      <c r="W1020" s="325">
        <v>0</v>
      </c>
      <c r="X1020" s="325">
        <v>0</v>
      </c>
      <c r="Y1020" s="325">
        <v>0</v>
      </c>
      <c r="Z1020" s="325">
        <v>0</v>
      </c>
      <c r="AA1020" s="325">
        <v>0</v>
      </c>
      <c r="AB1020" s="325">
        <v>0</v>
      </c>
      <c r="AC1020" s="1278">
        <v>0</v>
      </c>
      <c r="AD1020" s="325">
        <v>0</v>
      </c>
      <c r="AE1020" s="325">
        <v>0</v>
      </c>
      <c r="AF1020" s="325">
        <v>0</v>
      </c>
      <c r="AG1020" s="325">
        <v>0</v>
      </c>
      <c r="AH1020" s="325">
        <v>0</v>
      </c>
      <c r="AI1020" s="325">
        <v>0</v>
      </c>
    </row>
    <row r="1021" spans="1:35" s="998" customFormat="1" hidden="1" outlineLevel="1">
      <c r="A1021" s="1058">
        <v>937</v>
      </c>
      <c r="B1021" s="1058">
        <v>1</v>
      </c>
      <c r="C1021" s="1058">
        <v>1021</v>
      </c>
      <c r="D1021" s="1121"/>
      <c r="E1021" s="1243">
        <v>1</v>
      </c>
      <c r="F1021" s="5"/>
      <c r="G1021" s="5"/>
      <c r="H1021" s="5"/>
      <c r="I1021" s="329"/>
      <c r="J1021" s="5"/>
      <c r="K1021" s="4"/>
      <c r="L1021" s="5"/>
      <c r="M1021" s="4"/>
      <c r="N1021" s="45"/>
      <c r="O1021" s="45" t="s">
        <v>79</v>
      </c>
      <c r="P1021" s="45"/>
      <c r="Q1021" s="2030"/>
      <c r="R1021" s="2030"/>
      <c r="S1021" s="2030"/>
      <c r="T1021" s="2030"/>
      <c r="U1021" s="2030"/>
      <c r="V1021" s="2030"/>
      <c r="W1021" s="2030"/>
      <c r="X1021" s="2030"/>
      <c r="Y1021" s="2030"/>
      <c r="Z1021" s="2030"/>
      <c r="AA1021" s="2030"/>
      <c r="AB1021" s="2030"/>
      <c r="AC1021" s="1511">
        <v>0</v>
      </c>
      <c r="AD1021" s="44">
        <v>0</v>
      </c>
      <c r="AE1021" s="44">
        <v>0</v>
      </c>
      <c r="AF1021" s="44">
        <v>0</v>
      </c>
      <c r="AG1021" s="44">
        <v>0</v>
      </c>
      <c r="AH1021" s="44">
        <v>0</v>
      </c>
      <c r="AI1021" s="44">
        <v>0</v>
      </c>
    </row>
    <row r="1022" spans="1:35" s="998" customFormat="1" hidden="1" outlineLevel="1">
      <c r="A1022" s="1058">
        <v>938</v>
      </c>
      <c r="B1022" s="1058">
        <v>1</v>
      </c>
      <c r="C1022" s="1058">
        <v>1022</v>
      </c>
      <c r="D1022" s="1121"/>
      <c r="E1022" s="1243">
        <v>1</v>
      </c>
      <c r="F1022" s="5"/>
      <c r="G1022" s="5"/>
      <c r="H1022" s="5"/>
      <c r="I1022" s="329"/>
      <c r="J1022" s="5"/>
      <c r="K1022" s="4"/>
      <c r="L1022" s="5"/>
      <c r="M1022" s="4"/>
      <c r="N1022" s="45"/>
      <c r="O1022" s="45" t="s">
        <v>80</v>
      </c>
      <c r="P1022" s="45"/>
      <c r="Q1022" s="2030"/>
      <c r="R1022" s="2030"/>
      <c r="S1022" s="2030"/>
      <c r="T1022" s="2030"/>
      <c r="U1022" s="2030"/>
      <c r="V1022" s="2030"/>
      <c r="W1022" s="2030"/>
      <c r="X1022" s="2030"/>
      <c r="Y1022" s="2030"/>
      <c r="Z1022" s="2030"/>
      <c r="AA1022" s="2030"/>
      <c r="AB1022" s="2030"/>
      <c r="AC1022" s="1511">
        <v>0</v>
      </c>
      <c r="AD1022" s="44">
        <v>0</v>
      </c>
      <c r="AE1022" s="44">
        <v>0</v>
      </c>
      <c r="AF1022" s="44">
        <v>0</v>
      </c>
      <c r="AG1022" s="44">
        <v>0</v>
      </c>
      <c r="AH1022" s="44">
        <v>0</v>
      </c>
      <c r="AI1022" s="44">
        <v>0</v>
      </c>
    </row>
    <row r="1023" spans="1:35" s="998" customFormat="1" hidden="1" outlineLevel="1">
      <c r="A1023" s="1058">
        <v>939</v>
      </c>
      <c r="B1023" s="1058">
        <v>1</v>
      </c>
      <c r="C1023" s="1058">
        <v>1023</v>
      </c>
      <c r="D1023" s="1121"/>
      <c r="E1023" s="1243">
        <v>1</v>
      </c>
      <c r="F1023" s="5"/>
      <c r="G1023" s="5"/>
      <c r="H1023" s="5"/>
      <c r="I1023" s="330"/>
      <c r="J1023" s="3"/>
      <c r="K1023" s="2"/>
      <c r="L1023" s="3"/>
      <c r="M1023" s="2"/>
      <c r="N1023" s="43"/>
      <c r="O1023" s="43" t="s">
        <v>81</v>
      </c>
      <c r="P1023" s="43"/>
      <c r="Q1023" s="2029"/>
      <c r="R1023" s="2029"/>
      <c r="S1023" s="2029"/>
      <c r="T1023" s="2029"/>
      <c r="U1023" s="2029"/>
      <c r="V1023" s="2029"/>
      <c r="W1023" s="2029"/>
      <c r="X1023" s="2029"/>
      <c r="Y1023" s="2029"/>
      <c r="Z1023" s="2029"/>
      <c r="AA1023" s="2029"/>
      <c r="AB1023" s="2029"/>
      <c r="AC1023" s="1554">
        <v>0</v>
      </c>
      <c r="AD1023" s="42">
        <v>0</v>
      </c>
      <c r="AE1023" s="42">
        <v>0</v>
      </c>
      <c r="AF1023" s="42">
        <v>0</v>
      </c>
      <c r="AG1023" s="42">
        <v>0</v>
      </c>
      <c r="AH1023" s="42">
        <v>0</v>
      </c>
      <c r="AI1023" s="42">
        <v>0</v>
      </c>
    </row>
    <row r="1024" spans="1:35" s="998" customFormat="1" hidden="1" outlineLevel="1">
      <c r="A1024" s="1058">
        <v>940</v>
      </c>
      <c r="B1024" s="1058">
        <v>1</v>
      </c>
      <c r="C1024" s="1058">
        <v>1024</v>
      </c>
      <c r="D1024" s="1121" t="s">
        <v>999</v>
      </c>
      <c r="E1024" s="1243">
        <v>1</v>
      </c>
      <c r="F1024" s="5"/>
      <c r="G1024" s="5"/>
      <c r="H1024" s="5"/>
      <c r="I1024" s="2657" t="s">
        <v>1110</v>
      </c>
      <c r="J1024" s="2392"/>
      <c r="K1024" s="2378"/>
      <c r="L1024" s="2378"/>
      <c r="M1024" s="2392"/>
      <c r="N1024" s="2392"/>
      <c r="O1024" s="2392"/>
      <c r="P1024" s="2392"/>
      <c r="Q1024" s="2050"/>
      <c r="R1024" s="2050"/>
      <c r="S1024" s="2050"/>
      <c r="T1024" s="2050"/>
      <c r="U1024" s="2050"/>
      <c r="V1024" s="2050"/>
      <c r="W1024" s="2050"/>
      <c r="X1024" s="2050"/>
      <c r="Y1024" s="2050"/>
      <c r="Z1024" s="2050"/>
      <c r="AA1024" s="2050"/>
      <c r="AB1024" s="2050"/>
      <c r="AC1024" s="2658">
        <v>0</v>
      </c>
      <c r="AD1024" s="2527">
        <v>0</v>
      </c>
      <c r="AE1024" s="2527">
        <v>0</v>
      </c>
      <c r="AF1024" s="2527">
        <v>0</v>
      </c>
      <c r="AG1024" s="2527">
        <v>0</v>
      </c>
      <c r="AH1024" s="2527">
        <v>0</v>
      </c>
      <c r="AI1024" s="2527">
        <v>0</v>
      </c>
    </row>
    <row r="1025" spans="1:35" s="998" customFormat="1" hidden="1" outlineLevel="1">
      <c r="A1025" s="1058">
        <v>941</v>
      </c>
      <c r="B1025" s="1058">
        <v>1</v>
      </c>
      <c r="C1025" s="1058">
        <v>1025</v>
      </c>
      <c r="D1025" s="1121" t="s">
        <v>999</v>
      </c>
      <c r="E1025" s="1243">
        <v>1</v>
      </c>
      <c r="F1025" s="5"/>
      <c r="G1025" s="5"/>
      <c r="H1025" s="5"/>
      <c r="I1025" s="5"/>
      <c r="J1025" s="4"/>
      <c r="K1025" s="5"/>
      <c r="L1025" s="5"/>
      <c r="M1025" s="5"/>
      <c r="N1025" s="4"/>
      <c r="O1025" s="4"/>
      <c r="P1025" s="4"/>
      <c r="Q1025" s="2225"/>
      <c r="R1025" s="1151"/>
      <c r="S1025" s="1151"/>
      <c r="T1025" s="1151"/>
      <c r="U1025" s="1151"/>
      <c r="V1025" s="1151"/>
      <c r="W1025" s="1151"/>
      <c r="X1025" s="1151"/>
      <c r="Y1025" s="1151"/>
      <c r="Z1025" s="1151"/>
      <c r="AA1025" s="38"/>
      <c r="AB1025" s="1933"/>
      <c r="AC1025" s="38"/>
      <c r="AD1025" s="38"/>
      <c r="AE1025" s="38"/>
      <c r="AF1025" s="38"/>
      <c r="AG1025" s="38"/>
      <c r="AH1025" s="38"/>
      <c r="AI1025" s="38"/>
    </row>
    <row r="1026" spans="1:35" s="998" customFormat="1" hidden="1" outlineLevel="1">
      <c r="A1026" s="1058">
        <v>942</v>
      </c>
      <c r="B1026" s="1058">
        <v>1</v>
      </c>
      <c r="C1026" s="1058">
        <v>1026</v>
      </c>
      <c r="D1026" s="1121" t="s">
        <v>999</v>
      </c>
      <c r="E1026" s="1255">
        <v>1</v>
      </c>
      <c r="F1026" s="9"/>
      <c r="G1026" s="24"/>
      <c r="H1026" s="5" t="s">
        <v>1063</v>
      </c>
      <c r="I1026" s="5"/>
      <c r="J1026" s="4"/>
      <c r="K1026" s="5"/>
      <c r="L1026" s="5"/>
      <c r="M1026" s="4"/>
      <c r="N1026" s="4"/>
      <c r="O1026" s="4"/>
      <c r="P1026" s="4"/>
      <c r="Q1026" s="2225"/>
      <c r="R1026" s="1151"/>
      <c r="S1026" s="1151"/>
      <c r="T1026" s="1151"/>
      <c r="U1026" s="1151"/>
      <c r="V1026" s="1151"/>
      <c r="W1026" s="1151"/>
      <c r="X1026" s="1151"/>
      <c r="Y1026" s="1151"/>
      <c r="Z1026" s="1151"/>
      <c r="AA1026" s="38"/>
      <c r="AB1026" s="1933"/>
      <c r="AC1026" s="38"/>
      <c r="AD1026" s="38"/>
      <c r="AE1026" s="38"/>
      <c r="AF1026" s="38"/>
      <c r="AG1026" s="38"/>
      <c r="AH1026" s="38"/>
      <c r="AI1026" s="38"/>
    </row>
    <row r="1027" spans="1:35" s="998" customFormat="1" hidden="1" outlineLevel="1">
      <c r="A1027" s="1058">
        <v>943</v>
      </c>
      <c r="B1027" s="1058">
        <v>1</v>
      </c>
      <c r="C1027" s="1058">
        <v>1027</v>
      </c>
      <c r="D1027" s="1121" t="s">
        <v>999</v>
      </c>
      <c r="E1027" s="1243">
        <v>1</v>
      </c>
      <c r="F1027" s="340"/>
      <c r="G1027" s="340"/>
      <c r="H1027" s="341"/>
      <c r="I1027" s="2666" t="s">
        <v>328</v>
      </c>
      <c r="J1027" s="2667"/>
      <c r="K1027" s="1504"/>
      <c r="L1027" s="1504"/>
      <c r="M1027" s="1504"/>
      <c r="N1027" s="1504"/>
      <c r="O1027" s="1504"/>
      <c r="P1027" s="1504"/>
      <c r="Q1027" s="2132">
        <v>0</v>
      </c>
      <c r="R1027" s="136">
        <v>0</v>
      </c>
      <c r="S1027" s="136">
        <v>0</v>
      </c>
      <c r="T1027" s="136">
        <v>0</v>
      </c>
      <c r="U1027" s="136">
        <v>0</v>
      </c>
      <c r="V1027" s="136">
        <v>0</v>
      </c>
      <c r="W1027" s="136">
        <v>0</v>
      </c>
      <c r="X1027" s="136">
        <v>0</v>
      </c>
      <c r="Y1027" s="136">
        <v>0</v>
      </c>
      <c r="Z1027" s="136">
        <v>0</v>
      </c>
      <c r="AA1027" s="136">
        <v>0</v>
      </c>
      <c r="AB1027" s="136">
        <v>0</v>
      </c>
      <c r="AC1027" s="136">
        <v>0</v>
      </c>
      <c r="AD1027" s="136">
        <v>0</v>
      </c>
      <c r="AE1027" s="136">
        <v>0</v>
      </c>
      <c r="AF1027" s="136">
        <v>0</v>
      </c>
      <c r="AG1027" s="136">
        <v>0</v>
      </c>
      <c r="AH1027" s="136">
        <v>0</v>
      </c>
      <c r="AI1027" s="136">
        <v>0</v>
      </c>
    </row>
    <row r="1028" spans="1:35" s="998" customFormat="1" hidden="1" outlineLevel="1">
      <c r="A1028" s="1058">
        <v>944</v>
      </c>
      <c r="B1028" s="1058">
        <v>1</v>
      </c>
      <c r="C1028" s="1058">
        <v>1028</v>
      </c>
      <c r="D1028" s="1121" t="s">
        <v>999</v>
      </c>
      <c r="E1028" s="1243">
        <v>1</v>
      </c>
      <c r="F1028" s="5"/>
      <c r="G1028" s="5"/>
      <c r="H1028" s="5"/>
      <c r="I1028" s="333"/>
      <c r="J1028" s="52" t="s">
        <v>62</v>
      </c>
      <c r="K1028" s="51"/>
      <c r="L1028" s="52"/>
      <c r="M1028" s="52"/>
      <c r="N1028" s="51"/>
      <c r="O1028" s="51"/>
      <c r="P1028" s="51"/>
      <c r="Q1028" s="49">
        <v>0</v>
      </c>
      <c r="R1028" s="49">
        <v>0</v>
      </c>
      <c r="S1028" s="49">
        <v>0</v>
      </c>
      <c r="T1028" s="49">
        <v>0</v>
      </c>
      <c r="U1028" s="49">
        <v>0</v>
      </c>
      <c r="V1028" s="49">
        <v>0</v>
      </c>
      <c r="W1028" s="49">
        <v>0</v>
      </c>
      <c r="X1028" s="49">
        <v>0</v>
      </c>
      <c r="Y1028" s="49">
        <v>0</v>
      </c>
      <c r="Z1028" s="49">
        <v>0</v>
      </c>
      <c r="AA1028" s="49">
        <v>0</v>
      </c>
      <c r="AB1028" s="49">
        <v>0</v>
      </c>
      <c r="AC1028" s="1553">
        <v>0</v>
      </c>
      <c r="AD1028" s="49">
        <v>0</v>
      </c>
      <c r="AE1028" s="49">
        <v>0</v>
      </c>
      <c r="AF1028" s="49">
        <v>0</v>
      </c>
      <c r="AG1028" s="49">
        <v>0</v>
      </c>
      <c r="AH1028" s="49">
        <v>0</v>
      </c>
      <c r="AI1028" s="49">
        <v>0</v>
      </c>
    </row>
    <row r="1029" spans="1:35" s="998" customFormat="1" hidden="1" outlineLevel="1">
      <c r="A1029" s="1058">
        <v>945</v>
      </c>
      <c r="B1029" s="1058">
        <v>1</v>
      </c>
      <c r="C1029" s="1058">
        <v>1029</v>
      </c>
      <c r="D1029" s="1121"/>
      <c r="E1029" s="1243">
        <v>1</v>
      </c>
      <c r="F1029" s="5"/>
      <c r="G1029" s="5"/>
      <c r="H1029" s="5"/>
      <c r="I1029" s="333"/>
      <c r="J1029" s="5"/>
      <c r="K1029" s="4"/>
      <c r="L1029" s="5"/>
      <c r="M1029" s="5"/>
      <c r="N1029" s="45"/>
      <c r="O1029" s="45" t="s">
        <v>125</v>
      </c>
      <c r="P1029" s="4"/>
      <c r="Q1029" s="2030"/>
      <c r="R1029" s="2030"/>
      <c r="S1029" s="2030"/>
      <c r="T1029" s="2030"/>
      <c r="U1029" s="2030"/>
      <c r="V1029" s="2030"/>
      <c r="W1029" s="2030"/>
      <c r="X1029" s="2030"/>
      <c r="Y1029" s="2030"/>
      <c r="Z1029" s="2030"/>
      <c r="AA1029" s="2030"/>
      <c r="AB1029" s="2030"/>
      <c r="AC1029" s="1511">
        <v>0</v>
      </c>
      <c r="AD1029" s="44">
        <v>0</v>
      </c>
      <c r="AE1029" s="44">
        <v>0</v>
      </c>
      <c r="AF1029" s="44">
        <v>0</v>
      </c>
      <c r="AG1029" s="44">
        <v>0</v>
      </c>
      <c r="AH1029" s="44">
        <v>0</v>
      </c>
      <c r="AI1029" s="44">
        <v>0</v>
      </c>
    </row>
    <row r="1030" spans="1:35" s="998" customFormat="1" hidden="1" outlineLevel="1">
      <c r="A1030" s="1058">
        <v>946</v>
      </c>
      <c r="B1030" s="1058">
        <v>1</v>
      </c>
      <c r="C1030" s="1058">
        <v>1030</v>
      </c>
      <c r="D1030" s="1121"/>
      <c r="E1030" s="1255">
        <v>1</v>
      </c>
      <c r="F1030" s="9"/>
      <c r="G1030" s="5"/>
      <c r="H1030" s="5"/>
      <c r="I1030" s="333"/>
      <c r="J1030" s="5"/>
      <c r="K1030" s="4"/>
      <c r="L1030" s="5"/>
      <c r="M1030" s="5"/>
      <c r="N1030" s="45"/>
      <c r="O1030" s="45" t="s">
        <v>1112</v>
      </c>
      <c r="P1030" s="1144"/>
      <c r="Q1030" s="2030"/>
      <c r="R1030" s="2030"/>
      <c r="S1030" s="2030"/>
      <c r="T1030" s="2030"/>
      <c r="U1030" s="2030"/>
      <c r="V1030" s="2030"/>
      <c r="W1030" s="2030"/>
      <c r="X1030" s="2030"/>
      <c r="Y1030" s="2030"/>
      <c r="Z1030" s="2030"/>
      <c r="AA1030" s="2030"/>
      <c r="AB1030" s="2030"/>
      <c r="AC1030" s="1511">
        <v>0</v>
      </c>
      <c r="AD1030" s="44">
        <v>0</v>
      </c>
      <c r="AE1030" s="44">
        <v>0</v>
      </c>
      <c r="AF1030" s="44">
        <v>0</v>
      </c>
      <c r="AG1030" s="44">
        <v>0</v>
      </c>
      <c r="AH1030" s="44">
        <v>0</v>
      </c>
      <c r="AI1030" s="44">
        <v>0</v>
      </c>
    </row>
    <row r="1031" spans="1:35" s="998" customFormat="1" hidden="1" outlineLevel="1">
      <c r="A1031" s="1058">
        <v>947</v>
      </c>
      <c r="B1031" s="1058">
        <v>1</v>
      </c>
      <c r="C1031" s="1058">
        <v>1031</v>
      </c>
      <c r="D1031" s="1121"/>
      <c r="E1031" s="1243">
        <v>1</v>
      </c>
      <c r="F1031" s="5"/>
      <c r="G1031" s="5"/>
      <c r="H1031" s="5"/>
      <c r="I1031" s="333"/>
      <c r="J1031" s="5"/>
      <c r="K1031" s="4"/>
      <c r="L1031" s="5"/>
      <c r="M1031" s="5"/>
      <c r="N1031" s="45"/>
      <c r="O1031" s="45" t="s">
        <v>123</v>
      </c>
      <c r="P1031" s="4"/>
      <c r="Q1031" s="2030"/>
      <c r="R1031" s="2030"/>
      <c r="S1031" s="2030"/>
      <c r="T1031" s="2030"/>
      <c r="U1031" s="2030"/>
      <c r="V1031" s="2030"/>
      <c r="W1031" s="2030"/>
      <c r="X1031" s="2030"/>
      <c r="Y1031" s="2030"/>
      <c r="Z1031" s="2030"/>
      <c r="AA1031" s="2030"/>
      <c r="AB1031" s="2030"/>
      <c r="AC1031" s="1511">
        <v>0</v>
      </c>
      <c r="AD1031" s="44">
        <v>0</v>
      </c>
      <c r="AE1031" s="44">
        <v>0</v>
      </c>
      <c r="AF1031" s="44">
        <v>0</v>
      </c>
      <c r="AG1031" s="44">
        <v>0</v>
      </c>
      <c r="AH1031" s="44">
        <v>0</v>
      </c>
      <c r="AI1031" s="44">
        <v>0</v>
      </c>
    </row>
    <row r="1032" spans="1:35" s="998" customFormat="1" hidden="1" outlineLevel="1">
      <c r="A1032" s="1058">
        <v>948</v>
      </c>
      <c r="B1032" s="1058">
        <v>1</v>
      </c>
      <c r="C1032" s="1058">
        <v>1032</v>
      </c>
      <c r="D1032" s="1121"/>
      <c r="E1032" s="1243">
        <v>1</v>
      </c>
      <c r="F1032" s="5"/>
      <c r="G1032" s="5"/>
      <c r="H1032" s="5"/>
      <c r="I1032" s="333"/>
      <c r="J1032" s="3"/>
      <c r="K1032" s="2"/>
      <c r="L1032" s="3"/>
      <c r="M1032" s="3"/>
      <c r="N1032" s="43"/>
      <c r="O1032" s="43" t="s">
        <v>120</v>
      </c>
      <c r="P1032" s="2"/>
      <c r="Q1032" s="2029"/>
      <c r="R1032" s="2029"/>
      <c r="S1032" s="2029"/>
      <c r="T1032" s="2029"/>
      <c r="U1032" s="2029"/>
      <c r="V1032" s="2029"/>
      <c r="W1032" s="2029"/>
      <c r="X1032" s="2029"/>
      <c r="Y1032" s="2029"/>
      <c r="Z1032" s="2029"/>
      <c r="AA1032" s="2029"/>
      <c r="AB1032" s="2029"/>
      <c r="AC1032" s="1554">
        <v>0</v>
      </c>
      <c r="AD1032" s="42">
        <v>0</v>
      </c>
      <c r="AE1032" s="42">
        <v>0</v>
      </c>
      <c r="AF1032" s="42">
        <v>0</v>
      </c>
      <c r="AG1032" s="42">
        <v>0</v>
      </c>
      <c r="AH1032" s="42">
        <v>0</v>
      </c>
      <c r="AI1032" s="42">
        <v>0</v>
      </c>
    </row>
    <row r="1033" spans="1:35" s="998" customFormat="1" hidden="1" outlineLevel="1">
      <c r="A1033" s="1058">
        <v>949</v>
      </c>
      <c r="B1033" s="1058">
        <v>1</v>
      </c>
      <c r="C1033" s="1058">
        <v>1033</v>
      </c>
      <c r="D1033" s="1121" t="s">
        <v>999</v>
      </c>
      <c r="E1033" s="1243">
        <v>1</v>
      </c>
      <c r="F1033" s="5"/>
      <c r="G1033" s="5"/>
      <c r="H1033" s="5"/>
      <c r="I1033" s="333"/>
      <c r="J1033" s="52" t="s">
        <v>330</v>
      </c>
      <c r="K1033" s="51"/>
      <c r="L1033" s="52"/>
      <c r="M1033" s="52"/>
      <c r="N1033" s="51"/>
      <c r="O1033" s="51"/>
      <c r="P1033" s="51"/>
      <c r="Q1033" s="49">
        <v>0</v>
      </c>
      <c r="R1033" s="49">
        <v>0</v>
      </c>
      <c r="S1033" s="49">
        <v>0</v>
      </c>
      <c r="T1033" s="49">
        <v>0</v>
      </c>
      <c r="U1033" s="49">
        <v>0</v>
      </c>
      <c r="V1033" s="49">
        <v>0</v>
      </c>
      <c r="W1033" s="49">
        <v>0</v>
      </c>
      <c r="X1033" s="49">
        <v>0</v>
      </c>
      <c r="Y1033" s="49">
        <v>0</v>
      </c>
      <c r="Z1033" s="49">
        <v>0</v>
      </c>
      <c r="AA1033" s="49">
        <v>0</v>
      </c>
      <c r="AB1033" s="49">
        <v>0</v>
      </c>
      <c r="AC1033" s="1553">
        <v>0</v>
      </c>
      <c r="AD1033" s="49">
        <v>0</v>
      </c>
      <c r="AE1033" s="49">
        <v>0</v>
      </c>
      <c r="AF1033" s="49">
        <v>0</v>
      </c>
      <c r="AG1033" s="49">
        <v>0</v>
      </c>
      <c r="AH1033" s="49">
        <v>0</v>
      </c>
      <c r="AI1033" s="49">
        <v>0</v>
      </c>
    </row>
    <row r="1034" spans="1:35" s="998" customFormat="1" hidden="1" outlineLevel="1">
      <c r="A1034" s="1058">
        <v>950</v>
      </c>
      <c r="B1034" s="1058">
        <v>1</v>
      </c>
      <c r="C1034" s="1058">
        <v>1034</v>
      </c>
      <c r="D1034" s="1121"/>
      <c r="E1034" s="1243">
        <v>1</v>
      </c>
      <c r="F1034" s="5"/>
      <c r="G1034" s="5"/>
      <c r="H1034" s="5"/>
      <c r="I1034" s="333"/>
      <c r="J1034" s="5"/>
      <c r="K1034" s="4"/>
      <c r="L1034" s="5"/>
      <c r="M1034" s="5"/>
      <c r="N1034" s="45"/>
      <c r="O1034" s="45" t="s">
        <v>67</v>
      </c>
      <c r="P1034" s="4"/>
      <c r="Q1034" s="2030"/>
      <c r="R1034" s="2030"/>
      <c r="S1034" s="2030"/>
      <c r="T1034" s="2030"/>
      <c r="U1034" s="2030"/>
      <c r="V1034" s="2030"/>
      <c r="W1034" s="2030"/>
      <c r="X1034" s="2030"/>
      <c r="Y1034" s="2030"/>
      <c r="Z1034" s="2030"/>
      <c r="AA1034" s="2030"/>
      <c r="AB1034" s="2030"/>
      <c r="AC1034" s="1511">
        <v>0</v>
      </c>
      <c r="AD1034" s="44">
        <v>0</v>
      </c>
      <c r="AE1034" s="44">
        <v>0</v>
      </c>
      <c r="AF1034" s="44">
        <v>0</v>
      </c>
      <c r="AG1034" s="44">
        <v>0</v>
      </c>
      <c r="AH1034" s="44">
        <v>0</v>
      </c>
      <c r="AI1034" s="44">
        <v>0</v>
      </c>
    </row>
    <row r="1035" spans="1:35" s="998" customFormat="1" hidden="1" outlineLevel="1">
      <c r="A1035" s="1058">
        <v>951</v>
      </c>
      <c r="B1035" s="1058">
        <v>1</v>
      </c>
      <c r="C1035" s="1058">
        <v>1035</v>
      </c>
      <c r="D1035" s="1121"/>
      <c r="E1035" s="1255">
        <v>1</v>
      </c>
      <c r="F1035" s="9"/>
      <c r="G1035" s="5"/>
      <c r="H1035" s="5"/>
      <c r="I1035" s="333"/>
      <c r="J1035" s="5"/>
      <c r="K1035" s="4"/>
      <c r="L1035" s="5"/>
      <c r="M1035" s="5"/>
      <c r="N1035" s="45"/>
      <c r="O1035" s="45" t="s">
        <v>1113</v>
      </c>
      <c r="P1035" s="1144"/>
      <c r="Q1035" s="2030"/>
      <c r="R1035" s="2030"/>
      <c r="S1035" s="2030"/>
      <c r="T1035" s="2030"/>
      <c r="U1035" s="2030"/>
      <c r="V1035" s="2030"/>
      <c r="W1035" s="2030"/>
      <c r="X1035" s="2030"/>
      <c r="Y1035" s="2030"/>
      <c r="Z1035" s="2030"/>
      <c r="AA1035" s="2030"/>
      <c r="AB1035" s="2030"/>
      <c r="AC1035" s="1511">
        <v>0</v>
      </c>
      <c r="AD1035" s="44">
        <v>0</v>
      </c>
      <c r="AE1035" s="44">
        <v>0</v>
      </c>
      <c r="AF1035" s="44">
        <v>0</v>
      </c>
      <c r="AG1035" s="44">
        <v>0</v>
      </c>
      <c r="AH1035" s="44">
        <v>0</v>
      </c>
      <c r="AI1035" s="44">
        <v>0</v>
      </c>
    </row>
    <row r="1036" spans="1:35" s="998" customFormat="1" hidden="1" outlineLevel="1">
      <c r="A1036" s="1058">
        <v>952</v>
      </c>
      <c r="B1036" s="1058">
        <v>1</v>
      </c>
      <c r="C1036" s="1058">
        <v>1036</v>
      </c>
      <c r="D1036" s="1121"/>
      <c r="E1036" s="1243">
        <v>1</v>
      </c>
      <c r="F1036" s="5"/>
      <c r="G1036" s="5"/>
      <c r="H1036" s="5"/>
      <c r="I1036" s="333"/>
      <c r="J1036" s="5"/>
      <c r="K1036" s="4"/>
      <c r="L1036" s="5"/>
      <c r="M1036" s="5"/>
      <c r="N1036" s="45"/>
      <c r="O1036" s="45" t="s">
        <v>122</v>
      </c>
      <c r="P1036" s="4"/>
      <c r="Q1036" s="2030"/>
      <c r="R1036" s="2030"/>
      <c r="S1036" s="2030"/>
      <c r="T1036" s="2030"/>
      <c r="U1036" s="2030"/>
      <c r="V1036" s="2030"/>
      <c r="W1036" s="2030"/>
      <c r="X1036" s="2030"/>
      <c r="Y1036" s="2030"/>
      <c r="Z1036" s="2030"/>
      <c r="AA1036" s="2030"/>
      <c r="AB1036" s="2030"/>
      <c r="AC1036" s="1511">
        <v>0</v>
      </c>
      <c r="AD1036" s="44">
        <v>0</v>
      </c>
      <c r="AE1036" s="44">
        <v>0</v>
      </c>
      <c r="AF1036" s="44">
        <v>0</v>
      </c>
      <c r="AG1036" s="44">
        <v>0</v>
      </c>
      <c r="AH1036" s="44">
        <v>0</v>
      </c>
      <c r="AI1036" s="44">
        <v>0</v>
      </c>
    </row>
    <row r="1037" spans="1:35" s="998" customFormat="1" hidden="1" outlineLevel="1">
      <c r="A1037" s="1058">
        <v>953</v>
      </c>
      <c r="B1037" s="1058">
        <v>1</v>
      </c>
      <c r="C1037" s="1058">
        <v>1037</v>
      </c>
      <c r="D1037" s="1121"/>
      <c r="E1037" s="1243">
        <v>1</v>
      </c>
      <c r="F1037" s="5"/>
      <c r="G1037" s="5"/>
      <c r="H1037" s="5"/>
      <c r="I1037" s="333"/>
      <c r="J1037" s="5"/>
      <c r="K1037" s="4"/>
      <c r="L1037" s="5"/>
      <c r="M1037" s="5"/>
      <c r="N1037" s="45"/>
      <c r="O1037" s="45" t="s">
        <v>121</v>
      </c>
      <c r="P1037" s="4"/>
      <c r="Q1037" s="2030"/>
      <c r="R1037" s="2030"/>
      <c r="S1037" s="2030"/>
      <c r="T1037" s="2030"/>
      <c r="U1037" s="2030"/>
      <c r="V1037" s="2030"/>
      <c r="W1037" s="2030"/>
      <c r="X1037" s="2030"/>
      <c r="Y1037" s="2030"/>
      <c r="Z1037" s="2030"/>
      <c r="AA1037" s="2030"/>
      <c r="AB1037" s="2030"/>
      <c r="AC1037" s="1511">
        <v>0</v>
      </c>
      <c r="AD1037" s="44">
        <v>0</v>
      </c>
      <c r="AE1037" s="44">
        <v>0</v>
      </c>
      <c r="AF1037" s="44">
        <v>0</v>
      </c>
      <c r="AG1037" s="44">
        <v>0</v>
      </c>
      <c r="AH1037" s="44">
        <v>0</v>
      </c>
      <c r="AI1037" s="44">
        <v>0</v>
      </c>
    </row>
    <row r="1038" spans="1:35" s="998" customFormat="1" hidden="1" outlineLevel="1">
      <c r="A1038" s="1058">
        <v>954</v>
      </c>
      <c r="B1038" s="1058">
        <v>1</v>
      </c>
      <c r="C1038" s="1058">
        <v>1038</v>
      </c>
      <c r="D1038" s="1121"/>
      <c r="E1038" s="1243">
        <v>1</v>
      </c>
      <c r="F1038" s="5"/>
      <c r="G1038" s="5"/>
      <c r="H1038" s="5"/>
      <c r="I1038" s="333"/>
      <c r="J1038" s="5"/>
      <c r="K1038" s="4"/>
      <c r="L1038" s="5"/>
      <c r="M1038" s="5"/>
      <c r="N1038" s="45"/>
      <c r="O1038" s="45" t="s">
        <v>120</v>
      </c>
      <c r="P1038" s="4"/>
      <c r="Q1038" s="2030"/>
      <c r="R1038" s="2030"/>
      <c r="S1038" s="2030"/>
      <c r="T1038" s="2030"/>
      <c r="U1038" s="2030"/>
      <c r="V1038" s="2030"/>
      <c r="W1038" s="2030"/>
      <c r="X1038" s="2030"/>
      <c r="Y1038" s="2030"/>
      <c r="Z1038" s="2030"/>
      <c r="AA1038" s="2030"/>
      <c r="AB1038" s="2030"/>
      <c r="AC1038" s="1511">
        <v>0</v>
      </c>
      <c r="AD1038" s="44">
        <v>0</v>
      </c>
      <c r="AE1038" s="44">
        <v>0</v>
      </c>
      <c r="AF1038" s="44">
        <v>0</v>
      </c>
      <c r="AG1038" s="44">
        <v>0</v>
      </c>
      <c r="AH1038" s="44">
        <v>0</v>
      </c>
      <c r="AI1038" s="44">
        <v>0</v>
      </c>
    </row>
    <row r="1039" spans="1:35" s="998" customFormat="1" hidden="1" outlineLevel="1">
      <c r="A1039" s="1058">
        <v>955</v>
      </c>
      <c r="B1039" s="1058">
        <v>1</v>
      </c>
      <c r="C1039" s="1058">
        <v>1039</v>
      </c>
      <c r="D1039" s="1121" t="s">
        <v>999</v>
      </c>
      <c r="E1039" s="1243">
        <v>1</v>
      </c>
      <c r="F1039" s="5"/>
      <c r="G1039" s="5"/>
      <c r="H1039" s="5"/>
      <c r="I1039" s="333"/>
      <c r="J1039" s="324" t="s">
        <v>331</v>
      </c>
      <c r="K1039" s="324"/>
      <c r="L1039" s="324"/>
      <c r="M1039" s="323"/>
      <c r="N1039" s="323"/>
      <c r="O1039" s="323"/>
      <c r="P1039" s="323"/>
      <c r="Q1039" s="325">
        <v>0</v>
      </c>
      <c r="R1039" s="325">
        <v>0</v>
      </c>
      <c r="S1039" s="325">
        <v>0</v>
      </c>
      <c r="T1039" s="325">
        <v>0</v>
      </c>
      <c r="U1039" s="325">
        <v>0</v>
      </c>
      <c r="V1039" s="325">
        <v>0</v>
      </c>
      <c r="W1039" s="325">
        <v>0</v>
      </c>
      <c r="X1039" s="325">
        <v>0</v>
      </c>
      <c r="Y1039" s="325">
        <v>0</v>
      </c>
      <c r="Z1039" s="325">
        <v>0</v>
      </c>
      <c r="AA1039" s="325">
        <v>0</v>
      </c>
      <c r="AB1039" s="325">
        <v>0</v>
      </c>
      <c r="AC1039" s="1278">
        <v>0</v>
      </c>
      <c r="AD1039" s="325">
        <v>0</v>
      </c>
      <c r="AE1039" s="325">
        <v>0</v>
      </c>
      <c r="AF1039" s="325">
        <v>0</v>
      </c>
      <c r="AG1039" s="325">
        <v>0</v>
      </c>
      <c r="AH1039" s="325">
        <v>0</v>
      </c>
      <c r="AI1039" s="325">
        <v>0</v>
      </c>
    </row>
    <row r="1040" spans="1:35" s="998" customFormat="1" hidden="1" outlineLevel="1">
      <c r="A1040" s="1058">
        <v>956</v>
      </c>
      <c r="B1040" s="1058">
        <v>1</v>
      </c>
      <c r="C1040" s="1058">
        <v>1040</v>
      </c>
      <c r="D1040" s="1121"/>
      <c r="E1040" s="1243">
        <v>1</v>
      </c>
      <c r="F1040" s="5"/>
      <c r="G1040" s="5"/>
      <c r="H1040" s="5"/>
      <c r="I1040" s="333"/>
      <c r="J1040" s="5"/>
      <c r="K1040" s="5"/>
      <c r="L1040" s="5"/>
      <c r="M1040" s="4"/>
      <c r="N1040" s="45"/>
      <c r="O1040" s="45" t="s">
        <v>323</v>
      </c>
      <c r="P1040" s="4"/>
      <c r="Q1040" s="2030"/>
      <c r="R1040" s="2030"/>
      <c r="S1040" s="2030"/>
      <c r="T1040" s="2030"/>
      <c r="U1040" s="2030"/>
      <c r="V1040" s="2030"/>
      <c r="W1040" s="2030"/>
      <c r="X1040" s="2030"/>
      <c r="Y1040" s="2030"/>
      <c r="Z1040" s="2030"/>
      <c r="AA1040" s="2030"/>
      <c r="AB1040" s="2030"/>
      <c r="AC1040" s="1511">
        <v>0</v>
      </c>
      <c r="AD1040" s="44">
        <v>0</v>
      </c>
      <c r="AE1040" s="44">
        <v>0</v>
      </c>
      <c r="AF1040" s="44">
        <v>0</v>
      </c>
      <c r="AG1040" s="44">
        <v>0</v>
      </c>
      <c r="AH1040" s="44">
        <v>0</v>
      </c>
      <c r="AI1040" s="44">
        <v>0</v>
      </c>
    </row>
    <row r="1041" spans="1:35" s="998" customFormat="1" hidden="1" outlineLevel="1">
      <c r="A1041" s="1058">
        <v>957</v>
      </c>
      <c r="B1041" s="1058">
        <v>1</v>
      </c>
      <c r="C1041" s="1058">
        <v>1041</v>
      </c>
      <c r="D1041" s="1121"/>
      <c r="E1041" s="1243">
        <v>1</v>
      </c>
      <c r="F1041" s="5"/>
      <c r="G1041" s="5"/>
      <c r="H1041" s="5"/>
      <c r="I1041" s="333"/>
      <c r="J1041" s="5"/>
      <c r="K1041" s="5"/>
      <c r="L1041" s="5"/>
      <c r="M1041" s="4"/>
      <c r="N1041" s="45"/>
      <c r="O1041" s="45" t="s">
        <v>324</v>
      </c>
      <c r="P1041" s="4"/>
      <c r="Q1041" s="2030"/>
      <c r="R1041" s="2030"/>
      <c r="S1041" s="2030"/>
      <c r="T1041" s="2030"/>
      <c r="U1041" s="2030"/>
      <c r="V1041" s="2030"/>
      <c r="W1041" s="2030"/>
      <c r="X1041" s="2030"/>
      <c r="Y1041" s="2030"/>
      <c r="Z1041" s="2030"/>
      <c r="AA1041" s="2030"/>
      <c r="AB1041" s="2030"/>
      <c r="AC1041" s="1511">
        <v>0</v>
      </c>
      <c r="AD1041" s="44">
        <v>0</v>
      </c>
      <c r="AE1041" s="44">
        <v>0</v>
      </c>
      <c r="AF1041" s="44">
        <v>0</v>
      </c>
      <c r="AG1041" s="44">
        <v>0</v>
      </c>
      <c r="AH1041" s="44">
        <v>0</v>
      </c>
      <c r="AI1041" s="44">
        <v>0</v>
      </c>
    </row>
    <row r="1042" spans="1:35" s="998" customFormat="1" hidden="1" outlineLevel="1">
      <c r="A1042" s="1058">
        <v>958</v>
      </c>
      <c r="B1042" s="1058">
        <v>1</v>
      </c>
      <c r="C1042" s="1058">
        <v>1042</v>
      </c>
      <c r="D1042" s="1121"/>
      <c r="E1042" s="1243">
        <v>1</v>
      </c>
      <c r="F1042" s="5"/>
      <c r="G1042" s="5"/>
      <c r="H1042" s="5"/>
      <c r="I1042" s="333"/>
      <c r="J1042" s="5"/>
      <c r="K1042" s="5"/>
      <c r="L1042" s="5"/>
      <c r="M1042" s="4"/>
      <c r="N1042" s="45"/>
      <c r="O1042" s="45" t="s">
        <v>325</v>
      </c>
      <c r="P1042" s="4"/>
      <c r="Q1042" s="2030"/>
      <c r="R1042" s="2030"/>
      <c r="S1042" s="2030"/>
      <c r="T1042" s="2030"/>
      <c r="U1042" s="2030"/>
      <c r="V1042" s="2030"/>
      <c r="W1042" s="2030"/>
      <c r="X1042" s="2030"/>
      <c r="Y1042" s="2030"/>
      <c r="Z1042" s="2030"/>
      <c r="AA1042" s="2030"/>
      <c r="AB1042" s="2030"/>
      <c r="AC1042" s="1511">
        <v>0</v>
      </c>
      <c r="AD1042" s="44">
        <v>0</v>
      </c>
      <c r="AE1042" s="44">
        <v>0</v>
      </c>
      <c r="AF1042" s="44">
        <v>0</v>
      </c>
      <c r="AG1042" s="44">
        <v>0</v>
      </c>
      <c r="AH1042" s="44">
        <v>0</v>
      </c>
      <c r="AI1042" s="44">
        <v>0</v>
      </c>
    </row>
    <row r="1043" spans="1:35" s="998" customFormat="1" hidden="1" outlineLevel="1">
      <c r="A1043" s="1058">
        <v>959</v>
      </c>
      <c r="B1043" s="1058">
        <v>1</v>
      </c>
      <c r="C1043" s="1058">
        <v>1043</v>
      </c>
      <c r="D1043" s="1121"/>
      <c r="E1043" s="1243">
        <v>1</v>
      </c>
      <c r="F1043" s="5"/>
      <c r="G1043" s="5"/>
      <c r="H1043" s="5"/>
      <c r="I1043" s="333"/>
      <c r="J1043" s="3"/>
      <c r="K1043" s="3"/>
      <c r="L1043" s="3"/>
      <c r="M1043" s="2"/>
      <c r="N1043" s="43"/>
      <c r="O1043" s="43" t="s">
        <v>326</v>
      </c>
      <c r="P1043" s="2"/>
      <c r="Q1043" s="2029"/>
      <c r="R1043" s="2029"/>
      <c r="S1043" s="2029"/>
      <c r="T1043" s="2029"/>
      <c r="U1043" s="2029"/>
      <c r="V1043" s="2029"/>
      <c r="W1043" s="2029"/>
      <c r="X1043" s="2029"/>
      <c r="Y1043" s="2029"/>
      <c r="Z1043" s="2029"/>
      <c r="AA1043" s="2029"/>
      <c r="AB1043" s="2029"/>
      <c r="AC1043" s="1554">
        <v>0</v>
      </c>
      <c r="AD1043" s="42">
        <v>0</v>
      </c>
      <c r="AE1043" s="42">
        <v>0</v>
      </c>
      <c r="AF1043" s="42">
        <v>0</v>
      </c>
      <c r="AG1043" s="42">
        <v>0</v>
      </c>
      <c r="AH1043" s="42">
        <v>0</v>
      </c>
      <c r="AI1043" s="42">
        <v>0</v>
      </c>
    </row>
    <row r="1044" spans="1:35" s="998" customFormat="1" hidden="1" outlineLevel="1">
      <c r="A1044" s="1058">
        <v>960</v>
      </c>
      <c r="B1044" s="1058">
        <v>1</v>
      </c>
      <c r="C1044" s="1058">
        <v>1044</v>
      </c>
      <c r="D1044" s="1121" t="s">
        <v>999</v>
      </c>
      <c r="E1044" s="1243">
        <v>1</v>
      </c>
      <c r="F1044" s="5"/>
      <c r="G1044" s="5"/>
      <c r="H1044" s="5"/>
      <c r="I1044" s="333"/>
      <c r="J1044" s="52" t="s">
        <v>73</v>
      </c>
      <c r="K1044" s="52"/>
      <c r="L1044" s="52"/>
      <c r="M1044" s="51"/>
      <c r="N1044" s="51"/>
      <c r="O1044" s="51"/>
      <c r="P1044" s="51"/>
      <c r="Q1044" s="49">
        <v>0</v>
      </c>
      <c r="R1044" s="49">
        <v>0</v>
      </c>
      <c r="S1044" s="49">
        <v>0</v>
      </c>
      <c r="T1044" s="49">
        <v>0</v>
      </c>
      <c r="U1044" s="49">
        <v>0</v>
      </c>
      <c r="V1044" s="49">
        <v>0</v>
      </c>
      <c r="W1044" s="49">
        <v>0</v>
      </c>
      <c r="X1044" s="49">
        <v>0</v>
      </c>
      <c r="Y1044" s="49">
        <v>0</v>
      </c>
      <c r="Z1044" s="49">
        <v>0</v>
      </c>
      <c r="AA1044" s="49">
        <v>0</v>
      </c>
      <c r="AB1044" s="49">
        <v>0</v>
      </c>
      <c r="AC1044" s="1553">
        <v>0</v>
      </c>
      <c r="AD1044" s="49">
        <v>0</v>
      </c>
      <c r="AE1044" s="49">
        <v>0</v>
      </c>
      <c r="AF1044" s="49">
        <v>0</v>
      </c>
      <c r="AG1044" s="49">
        <v>0</v>
      </c>
      <c r="AH1044" s="49">
        <v>0</v>
      </c>
      <c r="AI1044" s="49">
        <v>0</v>
      </c>
    </row>
    <row r="1045" spans="1:35" s="998" customFormat="1" hidden="1" outlineLevel="1">
      <c r="A1045" s="1058">
        <v>961</v>
      </c>
      <c r="B1045" s="1058">
        <v>1</v>
      </c>
      <c r="C1045" s="1058">
        <v>1045</v>
      </c>
      <c r="D1045" s="1121"/>
      <c r="E1045" s="1243">
        <v>1</v>
      </c>
      <c r="F1045" s="5"/>
      <c r="G1045" s="5"/>
      <c r="H1045" s="5"/>
      <c r="I1045" s="333"/>
      <c r="J1045" s="5"/>
      <c r="K1045" s="5"/>
      <c r="L1045" s="4"/>
      <c r="M1045" s="4"/>
      <c r="N1045" s="45"/>
      <c r="O1045" s="45" t="s">
        <v>119</v>
      </c>
      <c r="P1045" s="45"/>
      <c r="Q1045" s="2030"/>
      <c r="R1045" s="2030"/>
      <c r="S1045" s="2030"/>
      <c r="T1045" s="2030"/>
      <c r="U1045" s="2030"/>
      <c r="V1045" s="2030"/>
      <c r="W1045" s="2030"/>
      <c r="X1045" s="2030"/>
      <c r="Y1045" s="2030"/>
      <c r="Z1045" s="2030"/>
      <c r="AA1045" s="2030"/>
      <c r="AB1045" s="2030"/>
      <c r="AC1045" s="1511">
        <v>0</v>
      </c>
      <c r="AD1045" s="44">
        <v>0</v>
      </c>
      <c r="AE1045" s="44">
        <v>0</v>
      </c>
      <c r="AF1045" s="44">
        <v>0</v>
      </c>
      <c r="AG1045" s="44">
        <v>0</v>
      </c>
      <c r="AH1045" s="44">
        <v>0</v>
      </c>
      <c r="AI1045" s="44">
        <v>0</v>
      </c>
    </row>
    <row r="1046" spans="1:35" s="998" customFormat="1" hidden="1" outlineLevel="1">
      <c r="A1046" s="1058">
        <v>962</v>
      </c>
      <c r="B1046" s="1058">
        <v>1</v>
      </c>
      <c r="C1046" s="1058">
        <v>1046</v>
      </c>
      <c r="D1046" s="1121"/>
      <c r="E1046" s="1243">
        <v>1</v>
      </c>
      <c r="F1046" s="5"/>
      <c r="G1046" s="5"/>
      <c r="H1046" s="5"/>
      <c r="I1046" s="333"/>
      <c r="J1046" s="5"/>
      <c r="K1046" s="5"/>
      <c r="L1046" s="4"/>
      <c r="M1046" s="4"/>
      <c r="N1046" s="45"/>
      <c r="O1046" s="45" t="s">
        <v>75</v>
      </c>
      <c r="P1046" s="45"/>
      <c r="Q1046" s="2030"/>
      <c r="R1046" s="2030"/>
      <c r="S1046" s="2030"/>
      <c r="T1046" s="2030"/>
      <c r="U1046" s="2030"/>
      <c r="V1046" s="2030"/>
      <c r="W1046" s="2030"/>
      <c r="X1046" s="2030"/>
      <c r="Y1046" s="2030"/>
      <c r="Z1046" s="2030"/>
      <c r="AA1046" s="2030"/>
      <c r="AB1046" s="2030"/>
      <c r="AC1046" s="1511">
        <v>0</v>
      </c>
      <c r="AD1046" s="44">
        <v>0</v>
      </c>
      <c r="AE1046" s="44">
        <v>0</v>
      </c>
      <c r="AF1046" s="44">
        <v>0</v>
      </c>
      <c r="AG1046" s="44">
        <v>0</v>
      </c>
      <c r="AH1046" s="44">
        <v>0</v>
      </c>
      <c r="AI1046" s="44">
        <v>0</v>
      </c>
    </row>
    <row r="1047" spans="1:35" s="998" customFormat="1" hidden="1" outlineLevel="1">
      <c r="A1047" s="1058">
        <v>963</v>
      </c>
      <c r="B1047" s="1058">
        <v>1</v>
      </c>
      <c r="C1047" s="1058">
        <v>1047</v>
      </c>
      <c r="D1047" s="1121"/>
      <c r="E1047" s="1243">
        <v>1</v>
      </c>
      <c r="F1047" s="5"/>
      <c r="G1047" s="5"/>
      <c r="H1047" s="5"/>
      <c r="I1047" s="333"/>
      <c r="J1047" s="5"/>
      <c r="K1047" s="5"/>
      <c r="L1047" s="4"/>
      <c r="M1047" s="4"/>
      <c r="N1047" s="45"/>
      <c r="O1047" s="45" t="s">
        <v>76</v>
      </c>
      <c r="P1047" s="45"/>
      <c r="Q1047" s="2030"/>
      <c r="R1047" s="2030"/>
      <c r="S1047" s="2030"/>
      <c r="T1047" s="2030"/>
      <c r="U1047" s="2030"/>
      <c r="V1047" s="2030"/>
      <c r="W1047" s="2030"/>
      <c r="X1047" s="2030"/>
      <c r="Y1047" s="2030"/>
      <c r="Z1047" s="2030"/>
      <c r="AA1047" s="2030"/>
      <c r="AB1047" s="2030"/>
      <c r="AC1047" s="1511">
        <v>0</v>
      </c>
      <c r="AD1047" s="44">
        <v>0</v>
      </c>
      <c r="AE1047" s="44">
        <v>0</v>
      </c>
      <c r="AF1047" s="44">
        <v>0</v>
      </c>
      <c r="AG1047" s="44">
        <v>0</v>
      </c>
      <c r="AH1047" s="44">
        <v>0</v>
      </c>
      <c r="AI1047" s="44">
        <v>0</v>
      </c>
    </row>
    <row r="1048" spans="1:35" s="998" customFormat="1" hidden="1" outlineLevel="1">
      <c r="A1048" s="1058">
        <v>964</v>
      </c>
      <c r="B1048" s="1058">
        <v>1</v>
      </c>
      <c r="C1048" s="1058">
        <v>1048</v>
      </c>
      <c r="D1048" s="1121"/>
      <c r="E1048" s="1243">
        <v>1</v>
      </c>
      <c r="F1048" s="5"/>
      <c r="G1048" s="5"/>
      <c r="H1048" s="5"/>
      <c r="I1048" s="333"/>
      <c r="J1048" s="5"/>
      <c r="K1048" s="5"/>
      <c r="L1048" s="4"/>
      <c r="M1048" s="4"/>
      <c r="N1048" s="45"/>
      <c r="O1048" s="45" t="s">
        <v>77</v>
      </c>
      <c r="P1048" s="45"/>
      <c r="Q1048" s="2030"/>
      <c r="R1048" s="2030"/>
      <c r="S1048" s="2030"/>
      <c r="T1048" s="2030"/>
      <c r="U1048" s="2030"/>
      <c r="V1048" s="2030"/>
      <c r="W1048" s="2030"/>
      <c r="X1048" s="2030"/>
      <c r="Y1048" s="2030"/>
      <c r="Z1048" s="2030"/>
      <c r="AA1048" s="2030"/>
      <c r="AB1048" s="2030"/>
      <c r="AC1048" s="1511">
        <v>0</v>
      </c>
      <c r="AD1048" s="44">
        <v>0</v>
      </c>
      <c r="AE1048" s="44">
        <v>0</v>
      </c>
      <c r="AF1048" s="44">
        <v>0</v>
      </c>
      <c r="AG1048" s="44">
        <v>0</v>
      </c>
      <c r="AH1048" s="44">
        <v>0</v>
      </c>
      <c r="AI1048" s="44">
        <v>0</v>
      </c>
    </row>
    <row r="1049" spans="1:35" s="998" customFormat="1" hidden="1" outlineLevel="1">
      <c r="A1049" s="1058">
        <v>965</v>
      </c>
      <c r="B1049" s="1058">
        <v>1</v>
      </c>
      <c r="C1049" s="1058">
        <v>1049</v>
      </c>
      <c r="D1049" s="1121"/>
      <c r="E1049" s="1243">
        <v>1</v>
      </c>
      <c r="F1049" s="5"/>
      <c r="G1049" s="5"/>
      <c r="H1049" s="5"/>
      <c r="I1049" s="333"/>
      <c r="J1049" s="5"/>
      <c r="K1049" s="5"/>
      <c r="L1049" s="4"/>
      <c r="M1049" s="4"/>
      <c r="N1049" s="45"/>
      <c r="O1049" s="45" t="s">
        <v>11</v>
      </c>
      <c r="P1049" s="45"/>
      <c r="Q1049" s="2030"/>
      <c r="R1049" s="2030"/>
      <c r="S1049" s="2030"/>
      <c r="T1049" s="2030"/>
      <c r="U1049" s="2030"/>
      <c r="V1049" s="2030"/>
      <c r="W1049" s="2030"/>
      <c r="X1049" s="2030"/>
      <c r="Y1049" s="2030"/>
      <c r="Z1049" s="2030"/>
      <c r="AA1049" s="2030"/>
      <c r="AB1049" s="2030"/>
      <c r="AC1049" s="1511">
        <v>0</v>
      </c>
      <c r="AD1049" s="44">
        <v>0</v>
      </c>
      <c r="AE1049" s="44">
        <v>0</v>
      </c>
      <c r="AF1049" s="44">
        <v>0</v>
      </c>
      <c r="AG1049" s="44">
        <v>0</v>
      </c>
      <c r="AH1049" s="44">
        <v>0</v>
      </c>
      <c r="AI1049" s="44">
        <v>0</v>
      </c>
    </row>
    <row r="1050" spans="1:35" s="998" customFormat="1" hidden="1" outlineLevel="1">
      <c r="A1050" s="1058">
        <v>966</v>
      </c>
      <c r="B1050" s="1058">
        <v>1</v>
      </c>
      <c r="C1050" s="1058">
        <v>1050</v>
      </c>
      <c r="D1050" s="1121" t="s">
        <v>999</v>
      </c>
      <c r="E1050" s="1243">
        <v>1</v>
      </c>
      <c r="F1050" s="5"/>
      <c r="G1050" s="5"/>
      <c r="H1050" s="5"/>
      <c r="I1050" s="333"/>
      <c r="J1050" s="324" t="s">
        <v>332</v>
      </c>
      <c r="K1050" s="324"/>
      <c r="L1050" s="324"/>
      <c r="M1050" s="323"/>
      <c r="N1050" s="323"/>
      <c r="O1050" s="323"/>
      <c r="P1050" s="323"/>
      <c r="Q1050" s="325">
        <v>0</v>
      </c>
      <c r="R1050" s="325">
        <v>0</v>
      </c>
      <c r="S1050" s="325">
        <v>0</v>
      </c>
      <c r="T1050" s="325">
        <v>0</v>
      </c>
      <c r="U1050" s="325">
        <v>0</v>
      </c>
      <c r="V1050" s="325">
        <v>0</v>
      </c>
      <c r="W1050" s="325">
        <v>0</v>
      </c>
      <c r="X1050" s="325">
        <v>0</v>
      </c>
      <c r="Y1050" s="325">
        <v>0</v>
      </c>
      <c r="Z1050" s="325">
        <v>0</v>
      </c>
      <c r="AA1050" s="325">
        <v>0</v>
      </c>
      <c r="AB1050" s="325">
        <v>0</v>
      </c>
      <c r="AC1050" s="1278">
        <v>0</v>
      </c>
      <c r="AD1050" s="325">
        <v>0</v>
      </c>
      <c r="AE1050" s="325">
        <v>0</v>
      </c>
      <c r="AF1050" s="325">
        <v>0</v>
      </c>
      <c r="AG1050" s="325">
        <v>0</v>
      </c>
      <c r="AH1050" s="325">
        <v>0</v>
      </c>
      <c r="AI1050" s="325">
        <v>0</v>
      </c>
    </row>
    <row r="1051" spans="1:35" s="998" customFormat="1" hidden="1" outlineLevel="1">
      <c r="A1051" s="1058">
        <v>967</v>
      </c>
      <c r="B1051" s="1058">
        <v>1</v>
      </c>
      <c r="C1051" s="1058">
        <v>1051</v>
      </c>
      <c r="D1051" s="1121"/>
      <c r="E1051" s="1243">
        <v>1</v>
      </c>
      <c r="F1051" s="5"/>
      <c r="G1051" s="5"/>
      <c r="H1051" s="5"/>
      <c r="I1051" s="333"/>
      <c r="J1051" s="5"/>
      <c r="K1051" s="5"/>
      <c r="L1051" s="4"/>
      <c r="M1051" s="4"/>
      <c r="N1051" s="45"/>
      <c r="O1051" s="45" t="s">
        <v>79</v>
      </c>
      <c r="P1051" s="45"/>
      <c r="Q1051" s="2030"/>
      <c r="R1051" s="2030"/>
      <c r="S1051" s="2030"/>
      <c r="T1051" s="2030"/>
      <c r="U1051" s="2030"/>
      <c r="V1051" s="2030"/>
      <c r="W1051" s="2030"/>
      <c r="X1051" s="2030"/>
      <c r="Y1051" s="2030"/>
      <c r="Z1051" s="2030"/>
      <c r="AA1051" s="2030"/>
      <c r="AB1051" s="2030"/>
      <c r="AC1051" s="1511">
        <v>0</v>
      </c>
      <c r="AD1051" s="44">
        <v>0</v>
      </c>
      <c r="AE1051" s="44">
        <v>0</v>
      </c>
      <c r="AF1051" s="44">
        <v>0</v>
      </c>
      <c r="AG1051" s="44">
        <v>0</v>
      </c>
      <c r="AH1051" s="44">
        <v>0</v>
      </c>
      <c r="AI1051" s="44">
        <v>0</v>
      </c>
    </row>
    <row r="1052" spans="1:35" s="998" customFormat="1" hidden="1" outlineLevel="1">
      <c r="A1052" s="1058">
        <v>968</v>
      </c>
      <c r="B1052" s="1058">
        <v>1</v>
      </c>
      <c r="C1052" s="1058">
        <v>1052</v>
      </c>
      <c r="D1052" s="1121"/>
      <c r="E1052" s="1243">
        <v>1</v>
      </c>
      <c r="F1052" s="5"/>
      <c r="G1052" s="5"/>
      <c r="H1052" s="5"/>
      <c r="I1052" s="333"/>
      <c r="J1052" s="5"/>
      <c r="K1052" s="5"/>
      <c r="L1052" s="4"/>
      <c r="M1052" s="4"/>
      <c r="N1052" s="45"/>
      <c r="O1052" s="45" t="s">
        <v>80</v>
      </c>
      <c r="P1052" s="45"/>
      <c r="Q1052" s="2030"/>
      <c r="R1052" s="2030"/>
      <c r="S1052" s="2030"/>
      <c r="T1052" s="2030"/>
      <c r="U1052" s="2030"/>
      <c r="V1052" s="2030"/>
      <c r="W1052" s="2030"/>
      <c r="X1052" s="2030"/>
      <c r="Y1052" s="2030"/>
      <c r="Z1052" s="2030"/>
      <c r="AA1052" s="2030"/>
      <c r="AB1052" s="2030"/>
      <c r="AC1052" s="1511">
        <v>0</v>
      </c>
      <c r="AD1052" s="44">
        <v>0</v>
      </c>
      <c r="AE1052" s="44">
        <v>0</v>
      </c>
      <c r="AF1052" s="44">
        <v>0</v>
      </c>
      <c r="AG1052" s="44">
        <v>0</v>
      </c>
      <c r="AH1052" s="44">
        <v>0</v>
      </c>
      <c r="AI1052" s="44">
        <v>0</v>
      </c>
    </row>
    <row r="1053" spans="1:35" s="998" customFormat="1" hidden="1" outlineLevel="1">
      <c r="A1053" s="1058">
        <v>969</v>
      </c>
      <c r="B1053" s="1058">
        <v>1</v>
      </c>
      <c r="C1053" s="1058">
        <v>1053</v>
      </c>
      <c r="D1053" s="1121"/>
      <c r="E1053" s="1243">
        <v>1</v>
      </c>
      <c r="F1053" s="5"/>
      <c r="G1053" s="5"/>
      <c r="H1053" s="5"/>
      <c r="I1053" s="334"/>
      <c r="J1053" s="3"/>
      <c r="K1053" s="3"/>
      <c r="L1053" s="2"/>
      <c r="M1053" s="2"/>
      <c r="N1053" s="43"/>
      <c r="O1053" s="43" t="s">
        <v>81</v>
      </c>
      <c r="P1053" s="43"/>
      <c r="Q1053" s="2029"/>
      <c r="R1053" s="2029"/>
      <c r="S1053" s="2029"/>
      <c r="T1053" s="2029"/>
      <c r="U1053" s="2029"/>
      <c r="V1053" s="2029"/>
      <c r="W1053" s="2029"/>
      <c r="X1053" s="2029"/>
      <c r="Y1053" s="2029"/>
      <c r="Z1053" s="2029"/>
      <c r="AA1053" s="2029"/>
      <c r="AB1053" s="2029"/>
      <c r="AC1053" s="1554">
        <v>0</v>
      </c>
      <c r="AD1053" s="42">
        <v>0</v>
      </c>
      <c r="AE1053" s="42">
        <v>0</v>
      </c>
      <c r="AF1053" s="42">
        <v>0</v>
      </c>
      <c r="AG1053" s="42">
        <v>0</v>
      </c>
      <c r="AH1053" s="42">
        <v>0</v>
      </c>
      <c r="AI1053" s="42">
        <v>0</v>
      </c>
    </row>
    <row r="1054" spans="1:35" s="998" customFormat="1" hidden="1" outlineLevel="1">
      <c r="A1054" s="1058">
        <v>970</v>
      </c>
      <c r="B1054" s="1058">
        <v>1</v>
      </c>
      <c r="C1054" s="1058">
        <v>1054</v>
      </c>
      <c r="D1054" s="1121" t="s">
        <v>999</v>
      </c>
      <c r="E1054" s="1243">
        <v>1</v>
      </c>
      <c r="F1054" s="5"/>
      <c r="G1054" s="5"/>
      <c r="H1054" s="5"/>
      <c r="I1054" s="2657" t="s">
        <v>1110</v>
      </c>
      <c r="J1054" s="2392"/>
      <c r="K1054" s="2378"/>
      <c r="L1054" s="2378"/>
      <c r="M1054" s="2392"/>
      <c r="N1054" s="2392"/>
      <c r="O1054" s="2392"/>
      <c r="P1054" s="2392"/>
      <c r="Q1054" s="2050"/>
      <c r="R1054" s="2050"/>
      <c r="S1054" s="2050"/>
      <c r="T1054" s="2050"/>
      <c r="U1054" s="2050"/>
      <c r="V1054" s="2050"/>
      <c r="W1054" s="2050"/>
      <c r="X1054" s="2050"/>
      <c r="Y1054" s="2050"/>
      <c r="Z1054" s="2050"/>
      <c r="AA1054" s="2050"/>
      <c r="AB1054" s="2050"/>
      <c r="AC1054" s="2658">
        <v>0</v>
      </c>
      <c r="AD1054" s="2527">
        <v>0</v>
      </c>
      <c r="AE1054" s="2527">
        <v>0</v>
      </c>
      <c r="AF1054" s="2527">
        <v>0</v>
      </c>
      <c r="AG1054" s="2527">
        <v>0</v>
      </c>
      <c r="AH1054" s="2527">
        <v>0</v>
      </c>
      <c r="AI1054" s="2527">
        <v>0</v>
      </c>
    </row>
    <row r="1055" spans="1:35" s="998" customFormat="1" hidden="1" outlineLevel="1">
      <c r="A1055" s="1058">
        <v>971</v>
      </c>
      <c r="B1055" s="1058">
        <v>1</v>
      </c>
      <c r="C1055" s="1058">
        <v>1055</v>
      </c>
      <c r="D1055" s="1121" t="s">
        <v>999</v>
      </c>
      <c r="E1055" s="1243">
        <v>1</v>
      </c>
      <c r="F1055" s="5"/>
      <c r="G1055" s="5"/>
      <c r="H1055" s="5"/>
      <c r="I1055" s="5"/>
      <c r="J1055" s="4"/>
      <c r="K1055" s="5"/>
      <c r="L1055" s="5"/>
      <c r="M1055" s="4"/>
      <c r="N1055" s="4"/>
      <c r="O1055" s="4"/>
      <c r="P1055" s="4"/>
      <c r="Q1055" s="2225"/>
      <c r="R1055" s="1151"/>
      <c r="S1055" s="1151"/>
      <c r="T1055" s="1151"/>
      <c r="U1055" s="1151"/>
      <c r="V1055" s="1151"/>
      <c r="W1055" s="1151"/>
      <c r="X1055" s="1151"/>
      <c r="Y1055" s="1151"/>
      <c r="Z1055" s="1151"/>
      <c r="AA1055" s="38"/>
      <c r="AB1055" s="1933"/>
      <c r="AC1055" s="38"/>
      <c r="AD1055" s="38"/>
      <c r="AE1055" s="38"/>
      <c r="AF1055" s="38"/>
      <c r="AG1055" s="38"/>
      <c r="AH1055" s="38"/>
      <c r="AI1055" s="38"/>
    </row>
    <row r="1056" spans="1:35" s="998" customFormat="1" ht="18" hidden="1" outlineLevel="1">
      <c r="A1056" s="1058">
        <v>972</v>
      </c>
      <c r="B1056" s="1058">
        <v>1</v>
      </c>
      <c r="C1056" s="1058">
        <v>1056</v>
      </c>
      <c r="D1056" s="1121" t="s">
        <v>999</v>
      </c>
      <c r="E1056" s="1243">
        <v>1</v>
      </c>
      <c r="F1056" s="314" t="s">
        <v>1114</v>
      </c>
      <c r="G1056" s="314"/>
      <c r="H1056" s="24"/>
      <c r="I1056" s="5"/>
      <c r="J1056" s="4"/>
      <c r="K1056" s="5"/>
      <c r="L1056" s="5"/>
      <c r="M1056" s="4"/>
      <c r="N1056" s="4"/>
      <c r="O1056" s="4"/>
      <c r="P1056" s="291"/>
      <c r="Q1056" s="2225"/>
      <c r="R1056" s="1151"/>
      <c r="S1056" s="1151"/>
      <c r="T1056" s="1151"/>
      <c r="U1056" s="1151"/>
      <c r="V1056" s="1151"/>
      <c r="W1056" s="1"/>
      <c r="X1056" s="1"/>
      <c r="Y1056" s="1"/>
      <c r="Z1056" s="1"/>
      <c r="AA1056" s="9"/>
      <c r="AB1056" s="86"/>
      <c r="AC1056" s="9"/>
      <c r="AD1056" s="9"/>
      <c r="AE1056" s="9"/>
      <c r="AF1056" s="9"/>
      <c r="AG1056" s="9"/>
      <c r="AH1056" s="9"/>
      <c r="AI1056" s="9"/>
    </row>
    <row r="1057" spans="1:35" s="998" customFormat="1" ht="15.5" hidden="1" outlineLevel="1">
      <c r="A1057" s="1058">
        <v>973</v>
      </c>
      <c r="B1057" s="1058">
        <v>1</v>
      </c>
      <c r="C1057" s="1058">
        <v>1057</v>
      </c>
      <c r="D1057" s="1121" t="s">
        <v>999</v>
      </c>
      <c r="E1057" s="1243">
        <v>1</v>
      </c>
      <c r="F1057" s="9"/>
      <c r="G1057" s="315" t="s">
        <v>1115</v>
      </c>
      <c r="H1057" s="24"/>
      <c r="I1057" s="5"/>
      <c r="J1057" s="4"/>
      <c r="K1057" s="5"/>
      <c r="L1057" s="5"/>
      <c r="M1057" s="4"/>
      <c r="N1057" s="4"/>
      <c r="O1057" s="4"/>
      <c r="P1057" s="4"/>
      <c r="Q1057" s="2225"/>
      <c r="R1057" s="1151"/>
      <c r="S1057" s="1151"/>
      <c r="T1057" s="1151"/>
      <c r="U1057" s="1151"/>
      <c r="V1057" s="1151"/>
      <c r="W1057" s="1"/>
      <c r="X1057" s="1"/>
      <c r="Y1057" s="1"/>
      <c r="Z1057" s="1"/>
      <c r="AA1057" s="9"/>
      <c r="AB1057" s="86"/>
      <c r="AC1057" s="9"/>
      <c r="AD1057" s="9"/>
      <c r="AE1057" s="9"/>
      <c r="AF1057" s="9"/>
      <c r="AG1057" s="9"/>
      <c r="AH1057" s="9"/>
      <c r="AI1057" s="9"/>
    </row>
    <row r="1058" spans="1:35" hidden="1" outlineLevel="1">
      <c r="A1058" s="990">
        <v>974</v>
      </c>
      <c r="B1058" s="990">
        <v>1</v>
      </c>
      <c r="C1058" s="990">
        <v>1058</v>
      </c>
      <c r="D1058" s="1121" t="s">
        <v>999</v>
      </c>
      <c r="E1058" s="1243">
        <v>1</v>
      </c>
      <c r="F1058" s="5"/>
      <c r="G1058" s="5"/>
      <c r="H1058" s="75"/>
      <c r="I1058" s="58"/>
      <c r="J1058" s="555"/>
      <c r="K1058" s="636"/>
      <c r="L1058" s="636"/>
      <c r="M1058" s="555"/>
      <c r="N1058" s="555"/>
      <c r="O1058" s="555"/>
      <c r="P1058" s="555"/>
      <c r="Q1058" s="2175">
        <v>44652</v>
      </c>
      <c r="R1058" s="2175">
        <v>44682</v>
      </c>
      <c r="S1058" s="2175">
        <v>44713</v>
      </c>
      <c r="T1058" s="2175">
        <v>44743</v>
      </c>
      <c r="U1058" s="2175">
        <v>44774</v>
      </c>
      <c r="V1058" s="2175">
        <v>44805</v>
      </c>
      <c r="W1058" s="2175">
        <v>44835</v>
      </c>
      <c r="X1058" s="2175">
        <v>44866</v>
      </c>
      <c r="Y1058" s="2175">
        <v>44896</v>
      </c>
      <c r="Z1058" s="2175">
        <v>44927</v>
      </c>
      <c r="AA1058" s="2175">
        <v>44958</v>
      </c>
      <c r="AB1058" s="2175">
        <v>44986</v>
      </c>
      <c r="AC1058" s="2590" t="s">
        <v>105</v>
      </c>
      <c r="AD1058" s="2591" t="s">
        <v>104</v>
      </c>
      <c r="AE1058" s="2591" t="s">
        <v>103</v>
      </c>
      <c r="AF1058" s="2591" t="s">
        <v>102</v>
      </c>
      <c r="AG1058" s="2591" t="s">
        <v>101</v>
      </c>
      <c r="AH1058" s="2591" t="s">
        <v>100</v>
      </c>
      <c r="AI1058" s="2591" t="s">
        <v>118</v>
      </c>
    </row>
    <row r="1059" spans="1:35" collapsed="1">
      <c r="A1059" s="990">
        <v>975</v>
      </c>
      <c r="B1059" s="990">
        <v>1</v>
      </c>
      <c r="C1059" s="990">
        <v>1059</v>
      </c>
      <c r="D1059" s="1121" t="s">
        <v>999</v>
      </c>
      <c r="E1059" s="1243">
        <v>1</v>
      </c>
      <c r="F1059" s="5"/>
      <c r="G1059" s="5"/>
      <c r="H1059" s="75"/>
      <c r="I1059" s="2657" t="s">
        <v>1116</v>
      </c>
      <c r="J1059" s="2378"/>
      <c r="K1059" s="2378"/>
      <c r="L1059" s="2378"/>
      <c r="M1059" s="2392"/>
      <c r="N1059" s="2392"/>
      <c r="O1059" s="2392"/>
      <c r="P1059" s="2392"/>
      <c r="Q1059" s="2226">
        <v>0</v>
      </c>
      <c r="R1059" s="2226">
        <v>0</v>
      </c>
      <c r="S1059" s="2226">
        <v>0</v>
      </c>
      <c r="T1059" s="2226">
        <v>0</v>
      </c>
      <c r="U1059" s="2226">
        <v>0</v>
      </c>
      <c r="V1059" s="2226">
        <v>0</v>
      </c>
      <c r="W1059" s="2226">
        <v>0</v>
      </c>
      <c r="X1059" s="2226">
        <v>0</v>
      </c>
      <c r="Y1059" s="2226">
        <v>0</v>
      </c>
      <c r="Z1059" s="2226">
        <v>0</v>
      </c>
      <c r="AA1059" s="2226">
        <v>0</v>
      </c>
      <c r="AB1059" s="2226">
        <v>0</v>
      </c>
      <c r="AC1059" s="2668">
        <v>0</v>
      </c>
      <c r="AD1059" s="2226">
        <v>0</v>
      </c>
      <c r="AE1059" s="2226">
        <v>0</v>
      </c>
      <c r="AF1059" s="2226">
        <v>0</v>
      </c>
      <c r="AG1059" s="2226">
        <v>0</v>
      </c>
      <c r="AH1059" s="2226">
        <v>0</v>
      </c>
      <c r="AI1059" s="2226">
        <v>0</v>
      </c>
    </row>
    <row r="1060" spans="1:35">
      <c r="A1060" s="990">
        <v>976</v>
      </c>
      <c r="B1060" s="990">
        <v>1</v>
      </c>
      <c r="C1060" s="990">
        <v>1060</v>
      </c>
      <c r="D1060" s="1121" t="s">
        <v>999</v>
      </c>
      <c r="E1060" s="1243">
        <v>1</v>
      </c>
      <c r="F1060" s="5"/>
      <c r="G1060" s="5"/>
      <c r="H1060" s="75"/>
      <c r="I1060" s="30"/>
      <c r="J1060" s="5"/>
      <c r="K1060" s="5"/>
      <c r="L1060" s="5"/>
      <c r="M1060" s="5"/>
      <c r="N1060" s="4" t="s">
        <v>1117</v>
      </c>
      <c r="O1060" s="4"/>
      <c r="P1060" s="4"/>
      <c r="Q1060" s="2080">
        <v>0</v>
      </c>
      <c r="R1060" s="2080">
        <v>0</v>
      </c>
      <c r="S1060" s="2080">
        <v>0</v>
      </c>
      <c r="T1060" s="2080">
        <v>0</v>
      </c>
      <c r="U1060" s="2080">
        <v>0</v>
      </c>
      <c r="V1060" s="2080">
        <v>0</v>
      </c>
      <c r="W1060" s="2080">
        <v>0</v>
      </c>
      <c r="X1060" s="2080">
        <v>0</v>
      </c>
      <c r="Y1060" s="2080">
        <v>0</v>
      </c>
      <c r="Z1060" s="2080">
        <v>0</v>
      </c>
      <c r="AA1060" s="2081">
        <v>0</v>
      </c>
      <c r="AB1060" s="2081">
        <v>0</v>
      </c>
      <c r="AC1060" s="100">
        <v>0</v>
      </c>
      <c r="AD1060" s="19">
        <v>0</v>
      </c>
      <c r="AE1060" s="19">
        <v>0</v>
      </c>
      <c r="AF1060" s="19">
        <v>0</v>
      </c>
      <c r="AG1060" s="19">
        <v>0</v>
      </c>
      <c r="AH1060" s="19">
        <v>0</v>
      </c>
      <c r="AI1060" s="19">
        <v>0</v>
      </c>
    </row>
    <row r="1061" spans="1:35">
      <c r="A1061" s="990">
        <v>977</v>
      </c>
      <c r="B1061" s="990">
        <v>1</v>
      </c>
      <c r="C1061" s="990">
        <v>1061</v>
      </c>
      <c r="D1061" s="1121" t="s">
        <v>999</v>
      </c>
      <c r="E1061" s="1243">
        <v>1</v>
      </c>
      <c r="F1061" s="9"/>
      <c r="G1061" s="9"/>
      <c r="H1061" s="75"/>
      <c r="I1061" s="30"/>
      <c r="J1061" s="5"/>
      <c r="K1061" s="5"/>
      <c r="L1061" s="5"/>
      <c r="M1061" s="5"/>
      <c r="N1061" s="4" t="s">
        <v>1118</v>
      </c>
      <c r="O1061" s="4"/>
      <c r="P1061" s="4"/>
      <c r="Q1061" s="2079">
        <v>0</v>
      </c>
      <c r="R1061" s="2079">
        <v>0</v>
      </c>
      <c r="S1061" s="2079">
        <v>0</v>
      </c>
      <c r="T1061" s="2079">
        <v>0</v>
      </c>
      <c r="U1061" s="2079">
        <v>0</v>
      </c>
      <c r="V1061" s="2079">
        <v>0</v>
      </c>
      <c r="W1061" s="2079">
        <v>0</v>
      </c>
      <c r="X1061" s="2079">
        <v>0</v>
      </c>
      <c r="Y1061" s="2079">
        <v>0</v>
      </c>
      <c r="Z1061" s="2079">
        <v>0</v>
      </c>
      <c r="AA1061" s="19">
        <v>0</v>
      </c>
      <c r="AB1061" s="19">
        <v>0</v>
      </c>
      <c r="AC1061" s="100">
        <v>0</v>
      </c>
      <c r="AD1061" s="19">
        <v>0</v>
      </c>
      <c r="AE1061" s="19">
        <v>0</v>
      </c>
      <c r="AF1061" s="19">
        <v>0</v>
      </c>
      <c r="AG1061" s="19">
        <v>0</v>
      </c>
      <c r="AH1061" s="19">
        <v>0</v>
      </c>
      <c r="AI1061" s="19">
        <v>0</v>
      </c>
    </row>
    <row r="1062" spans="1:35" s="998" customFormat="1">
      <c r="A1062" s="990">
        <v>978</v>
      </c>
      <c r="B1062" s="990">
        <v>1</v>
      </c>
      <c r="C1062" s="990">
        <v>1062</v>
      </c>
      <c r="D1062" s="1121" t="s">
        <v>999</v>
      </c>
      <c r="E1062" s="1243">
        <v>1</v>
      </c>
      <c r="F1062" s="5"/>
      <c r="G1062" s="5"/>
      <c r="H1062" s="75"/>
      <c r="I1062" s="28"/>
      <c r="J1062" s="5"/>
      <c r="K1062" s="5"/>
      <c r="L1062" s="5"/>
      <c r="M1062" s="5"/>
      <c r="N1062" s="4" t="s">
        <v>146</v>
      </c>
      <c r="O1062" s="4"/>
      <c r="P1062" s="4"/>
      <c r="Q1062" s="2033">
        <v>0</v>
      </c>
      <c r="R1062" s="2033">
        <v>0</v>
      </c>
      <c r="S1062" s="2033">
        <v>0</v>
      </c>
      <c r="T1062" s="2033">
        <v>0</v>
      </c>
      <c r="U1062" s="2033">
        <v>0</v>
      </c>
      <c r="V1062" s="2033">
        <v>0</v>
      </c>
      <c r="W1062" s="2033">
        <v>0</v>
      </c>
      <c r="X1062" s="2033">
        <v>0</v>
      </c>
      <c r="Y1062" s="2033">
        <v>0</v>
      </c>
      <c r="Z1062" s="2033">
        <v>0</v>
      </c>
      <c r="AA1062" s="17">
        <v>0</v>
      </c>
      <c r="AB1062" s="17">
        <v>0</v>
      </c>
      <c r="AC1062" s="100">
        <v>0</v>
      </c>
      <c r="AD1062" s="19">
        <v>0</v>
      </c>
      <c r="AE1062" s="19">
        <v>0</v>
      </c>
      <c r="AF1062" s="19">
        <v>0</v>
      </c>
      <c r="AG1062" s="19">
        <v>0</v>
      </c>
      <c r="AH1062" s="19">
        <v>0</v>
      </c>
      <c r="AI1062" s="19">
        <v>0</v>
      </c>
    </row>
    <row r="1063" spans="1:35" s="998" customFormat="1">
      <c r="A1063" s="990">
        <v>979</v>
      </c>
      <c r="B1063" s="990">
        <v>1</v>
      </c>
      <c r="C1063" s="990">
        <v>1063</v>
      </c>
      <c r="D1063" s="1121" t="s">
        <v>999</v>
      </c>
      <c r="E1063" s="1243">
        <v>1</v>
      </c>
      <c r="F1063" s="5"/>
      <c r="G1063" s="5"/>
      <c r="H1063" s="75"/>
      <c r="I1063" s="8" t="s">
        <v>98</v>
      </c>
      <c r="J1063" s="1206"/>
      <c r="K1063" s="1206"/>
      <c r="L1063" s="1206"/>
      <c r="M1063" s="1206"/>
      <c r="N1063" s="1207"/>
      <c r="O1063" s="1207"/>
      <c r="P1063" s="1207"/>
      <c r="Q1063" s="2068">
        <v>0</v>
      </c>
      <c r="R1063" s="2068">
        <v>0</v>
      </c>
      <c r="S1063" s="2068">
        <v>0</v>
      </c>
      <c r="T1063" s="2068">
        <v>0</v>
      </c>
      <c r="U1063" s="2068">
        <v>0</v>
      </c>
      <c r="V1063" s="2068">
        <v>0</v>
      </c>
      <c r="W1063" s="2068">
        <v>0</v>
      </c>
      <c r="X1063" s="2068">
        <v>0</v>
      </c>
      <c r="Y1063" s="2068">
        <v>0</v>
      </c>
      <c r="Z1063" s="2068">
        <v>0</v>
      </c>
      <c r="AA1063" s="2068">
        <v>0</v>
      </c>
      <c r="AB1063" s="2068">
        <v>0</v>
      </c>
      <c r="AC1063" s="2669">
        <v>0</v>
      </c>
      <c r="AD1063" s="2068">
        <v>0</v>
      </c>
      <c r="AE1063" s="2068">
        <v>0</v>
      </c>
      <c r="AF1063" s="2068">
        <v>0</v>
      </c>
      <c r="AG1063" s="2068">
        <v>0</v>
      </c>
      <c r="AH1063" s="2068">
        <v>0</v>
      </c>
      <c r="AI1063" s="2068">
        <v>0</v>
      </c>
    </row>
    <row r="1064" spans="1:35" s="998" customFormat="1">
      <c r="A1064" s="990">
        <v>980</v>
      </c>
      <c r="B1064" s="990">
        <v>1</v>
      </c>
      <c r="C1064" s="990">
        <v>1064</v>
      </c>
      <c r="D1064" s="1121" t="s">
        <v>999</v>
      </c>
      <c r="E1064" s="1243">
        <v>1</v>
      </c>
      <c r="F1064" s="5"/>
      <c r="G1064" s="5"/>
      <c r="H1064" s="75"/>
      <c r="I1064" s="30"/>
      <c r="J1064" s="5"/>
      <c r="K1064" s="5"/>
      <c r="L1064" s="5"/>
      <c r="M1064" s="5"/>
      <c r="N1064" s="4" t="s">
        <v>988</v>
      </c>
      <c r="O1064" s="4"/>
      <c r="P1064" s="4"/>
      <c r="Q1064" s="2032"/>
      <c r="R1064" s="2032"/>
      <c r="S1064" s="2032"/>
      <c r="T1064" s="2032"/>
      <c r="U1064" s="2032"/>
      <c r="V1064" s="2032"/>
      <c r="W1064" s="2032"/>
      <c r="X1064" s="2032"/>
      <c r="Y1064" s="2032"/>
      <c r="Z1064" s="2032"/>
      <c r="AA1064" s="2032"/>
      <c r="AB1064" s="2032"/>
      <c r="AC1064" s="89">
        <v>0</v>
      </c>
      <c r="AD1064" s="13">
        <v>0</v>
      </c>
      <c r="AE1064" s="13">
        <v>0</v>
      </c>
      <c r="AF1064" s="13">
        <v>0</v>
      </c>
      <c r="AG1064" s="13">
        <v>0</v>
      </c>
      <c r="AH1064" s="13">
        <v>0</v>
      </c>
      <c r="AI1064" s="13">
        <v>0</v>
      </c>
    </row>
    <row r="1065" spans="1:35" s="619" customFormat="1">
      <c r="A1065" s="1024">
        <v>981</v>
      </c>
      <c r="B1065" s="1024">
        <v>1</v>
      </c>
      <c r="C1065" s="1024">
        <v>1065</v>
      </c>
      <c r="D1065" s="1121" t="s">
        <v>999</v>
      </c>
      <c r="E1065" s="1243">
        <v>1</v>
      </c>
      <c r="F1065" s="5"/>
      <c r="G1065" s="5"/>
      <c r="H1065" s="75"/>
      <c r="I1065" s="28"/>
      <c r="J1065" s="5"/>
      <c r="K1065" s="5"/>
      <c r="L1065" s="5"/>
      <c r="M1065" s="5"/>
      <c r="N1065" s="4" t="s">
        <v>146</v>
      </c>
      <c r="O1065" s="4"/>
      <c r="P1065" s="4"/>
      <c r="Q1065" s="2032"/>
      <c r="R1065" s="2032"/>
      <c r="S1065" s="2032"/>
      <c r="T1065" s="2032"/>
      <c r="U1065" s="2032"/>
      <c r="V1065" s="2032"/>
      <c r="W1065" s="2032"/>
      <c r="X1065" s="2032"/>
      <c r="Y1065" s="2032"/>
      <c r="Z1065" s="2032"/>
      <c r="AA1065" s="2032"/>
      <c r="AB1065" s="2032"/>
      <c r="AC1065" s="89">
        <v>0</v>
      </c>
      <c r="AD1065" s="13">
        <v>0</v>
      </c>
      <c r="AE1065" s="13">
        <v>0</v>
      </c>
      <c r="AF1065" s="13">
        <v>0</v>
      </c>
      <c r="AG1065" s="13">
        <v>0</v>
      </c>
      <c r="AH1065" s="13">
        <v>0</v>
      </c>
      <c r="AI1065" s="13">
        <v>0</v>
      </c>
    </row>
    <row r="1066" spans="1:35" s="998" customFormat="1">
      <c r="A1066" s="990">
        <v>982</v>
      </c>
      <c r="B1066" s="990">
        <v>1</v>
      </c>
      <c r="C1066" s="990">
        <v>1066</v>
      </c>
      <c r="D1066" s="1121" t="s">
        <v>999</v>
      </c>
      <c r="E1066" s="1243">
        <v>1</v>
      </c>
      <c r="F1066" s="5"/>
      <c r="G1066" s="5"/>
      <c r="H1066" s="75"/>
      <c r="I1066" s="7" t="s">
        <v>1035</v>
      </c>
      <c r="J1066" s="1209"/>
      <c r="K1066" s="1209"/>
      <c r="L1066" s="1209"/>
      <c r="M1066" s="1209"/>
      <c r="N1066" s="1115"/>
      <c r="O1066" s="1115"/>
      <c r="P1066" s="1115"/>
      <c r="Q1066" s="2067">
        <v>0</v>
      </c>
      <c r="R1066" s="2067">
        <v>0</v>
      </c>
      <c r="S1066" s="2067">
        <v>0</v>
      </c>
      <c r="T1066" s="2067">
        <v>0</v>
      </c>
      <c r="U1066" s="2067">
        <v>0</v>
      </c>
      <c r="V1066" s="2067">
        <v>0</v>
      </c>
      <c r="W1066" s="2067">
        <v>0</v>
      </c>
      <c r="X1066" s="2067">
        <v>0</v>
      </c>
      <c r="Y1066" s="2067">
        <v>0</v>
      </c>
      <c r="Z1066" s="2067">
        <v>0</v>
      </c>
      <c r="AA1066" s="2067">
        <v>0</v>
      </c>
      <c r="AB1066" s="2067">
        <v>0</v>
      </c>
      <c r="AC1066" s="2670">
        <v>0</v>
      </c>
      <c r="AD1066" s="2067">
        <v>0</v>
      </c>
      <c r="AE1066" s="2067">
        <v>0</v>
      </c>
      <c r="AF1066" s="2067">
        <v>0</v>
      </c>
      <c r="AG1066" s="2067">
        <v>0</v>
      </c>
      <c r="AH1066" s="2067">
        <v>0</v>
      </c>
      <c r="AI1066" s="2067">
        <v>0</v>
      </c>
    </row>
    <row r="1067" spans="1:35" s="619" customFormat="1">
      <c r="A1067" s="1024">
        <v>983</v>
      </c>
      <c r="B1067" s="1024">
        <v>1</v>
      </c>
      <c r="C1067" s="1024">
        <v>1067</v>
      </c>
      <c r="D1067" s="1121" t="s">
        <v>999</v>
      </c>
      <c r="E1067" s="1243">
        <v>1</v>
      </c>
      <c r="F1067" s="5"/>
      <c r="G1067" s="5"/>
      <c r="H1067" s="75"/>
      <c r="I1067" s="30"/>
      <c r="J1067" s="5"/>
      <c r="K1067" s="5"/>
      <c r="L1067" s="5"/>
      <c r="M1067" s="5"/>
      <c r="N1067" s="4" t="s">
        <v>988</v>
      </c>
      <c r="O1067" s="4"/>
      <c r="P1067" s="4"/>
      <c r="Q1067" s="2032"/>
      <c r="R1067" s="2032"/>
      <c r="S1067" s="2032"/>
      <c r="T1067" s="2032"/>
      <c r="U1067" s="2032"/>
      <c r="V1067" s="2032"/>
      <c r="W1067" s="2032"/>
      <c r="X1067" s="2032"/>
      <c r="Y1067" s="2032"/>
      <c r="Z1067" s="2032"/>
      <c r="AA1067" s="2032"/>
      <c r="AB1067" s="2032"/>
      <c r="AC1067" s="89">
        <v>0</v>
      </c>
      <c r="AD1067" s="13">
        <v>0</v>
      </c>
      <c r="AE1067" s="13">
        <v>0</v>
      </c>
      <c r="AF1067" s="13">
        <v>0</v>
      </c>
      <c r="AG1067" s="13">
        <v>0</v>
      </c>
      <c r="AH1067" s="13">
        <v>0</v>
      </c>
      <c r="AI1067" s="13">
        <v>0</v>
      </c>
    </row>
    <row r="1068" spans="1:35" s="998" customFormat="1">
      <c r="A1068" s="990">
        <v>984</v>
      </c>
      <c r="B1068" s="990">
        <v>1</v>
      </c>
      <c r="C1068" s="990">
        <v>1068</v>
      </c>
      <c r="D1068" s="1121" t="s">
        <v>999</v>
      </c>
      <c r="E1068" s="1243">
        <v>1</v>
      </c>
      <c r="F1068" s="5"/>
      <c r="G1068" s="5"/>
      <c r="H1068" s="75"/>
      <c r="I1068" s="28"/>
      <c r="J1068" s="5"/>
      <c r="K1068" s="5"/>
      <c r="L1068" s="5"/>
      <c r="M1068" s="5"/>
      <c r="N1068" s="4" t="s">
        <v>146</v>
      </c>
      <c r="O1068" s="4"/>
      <c r="P1068" s="4"/>
      <c r="Q1068" s="2032"/>
      <c r="R1068" s="2032"/>
      <c r="S1068" s="2032"/>
      <c r="T1068" s="2032"/>
      <c r="U1068" s="2032"/>
      <c r="V1068" s="2032"/>
      <c r="W1068" s="2032"/>
      <c r="X1068" s="2032"/>
      <c r="Y1068" s="2032"/>
      <c r="Z1068" s="2032"/>
      <c r="AA1068" s="2032"/>
      <c r="AB1068" s="2032"/>
      <c r="AC1068" s="89">
        <v>0</v>
      </c>
      <c r="AD1068" s="13">
        <v>0</v>
      </c>
      <c r="AE1068" s="13">
        <v>0</v>
      </c>
      <c r="AF1068" s="13">
        <v>0</v>
      </c>
      <c r="AG1068" s="13">
        <v>0</v>
      </c>
      <c r="AH1068" s="13">
        <v>0</v>
      </c>
      <c r="AI1068" s="13">
        <v>0</v>
      </c>
    </row>
    <row r="1069" spans="1:35" s="998" customFormat="1">
      <c r="A1069" s="990">
        <v>985</v>
      </c>
      <c r="B1069" s="990">
        <v>1</v>
      </c>
      <c r="C1069" s="990">
        <v>1069</v>
      </c>
      <c r="D1069" s="1121" t="s">
        <v>999</v>
      </c>
      <c r="E1069" s="1243">
        <v>1</v>
      </c>
      <c r="F1069" s="5"/>
      <c r="G1069" s="5"/>
      <c r="H1069" s="75"/>
      <c r="I1069" s="443" t="s">
        <v>1038</v>
      </c>
      <c r="J1069" s="788"/>
      <c r="K1069" s="788"/>
      <c r="L1069" s="788"/>
      <c r="M1069" s="788"/>
      <c r="N1069" s="604"/>
      <c r="O1069" s="604"/>
      <c r="P1069" s="604"/>
      <c r="Q1069" s="2074">
        <v>0</v>
      </c>
      <c r="R1069" s="2074">
        <v>0</v>
      </c>
      <c r="S1069" s="2074">
        <v>0</v>
      </c>
      <c r="T1069" s="2074">
        <v>0</v>
      </c>
      <c r="U1069" s="2074">
        <v>0</v>
      </c>
      <c r="V1069" s="2074">
        <v>0</v>
      </c>
      <c r="W1069" s="2074">
        <v>0</v>
      </c>
      <c r="X1069" s="2074">
        <v>0</v>
      </c>
      <c r="Y1069" s="2074">
        <v>0</v>
      </c>
      <c r="Z1069" s="2074">
        <v>0</v>
      </c>
      <c r="AA1069" s="2074">
        <v>0</v>
      </c>
      <c r="AB1069" s="2074">
        <v>0</v>
      </c>
      <c r="AC1069" s="2641">
        <v>0</v>
      </c>
      <c r="AD1069" s="2074">
        <v>0</v>
      </c>
      <c r="AE1069" s="2074">
        <v>0</v>
      </c>
      <c r="AF1069" s="2074">
        <v>0</v>
      </c>
      <c r="AG1069" s="2074">
        <v>0</v>
      </c>
      <c r="AH1069" s="2074">
        <v>0</v>
      </c>
      <c r="AI1069" s="2074">
        <v>0</v>
      </c>
    </row>
    <row r="1070" spans="1:35" s="998" customFormat="1">
      <c r="A1070" s="990">
        <v>986</v>
      </c>
      <c r="B1070" s="990">
        <v>1</v>
      </c>
      <c r="C1070" s="990">
        <v>1070</v>
      </c>
      <c r="D1070" s="1121" t="s">
        <v>999</v>
      </c>
      <c r="E1070" s="1243">
        <v>1</v>
      </c>
      <c r="F1070" s="5"/>
      <c r="G1070" s="5"/>
      <c r="H1070" s="75"/>
      <c r="I1070" s="30"/>
      <c r="J1070" s="5"/>
      <c r="K1070" s="5"/>
      <c r="L1070" s="5"/>
      <c r="M1070" s="5"/>
      <c r="N1070" s="4" t="s">
        <v>1117</v>
      </c>
      <c r="O1070" s="4"/>
      <c r="P1070" s="4"/>
      <c r="Q1070" s="2032"/>
      <c r="R1070" s="2032"/>
      <c r="S1070" s="2032"/>
      <c r="T1070" s="2032"/>
      <c r="U1070" s="2032"/>
      <c r="V1070" s="2032"/>
      <c r="W1070" s="2032"/>
      <c r="X1070" s="2032"/>
      <c r="Y1070" s="2032"/>
      <c r="Z1070" s="2032"/>
      <c r="AA1070" s="2032"/>
      <c r="AB1070" s="2032"/>
      <c r="AC1070" s="89">
        <v>0</v>
      </c>
      <c r="AD1070" s="13">
        <v>0</v>
      </c>
      <c r="AE1070" s="13">
        <v>0</v>
      </c>
      <c r="AF1070" s="13">
        <v>0</v>
      </c>
      <c r="AG1070" s="13">
        <v>0</v>
      </c>
      <c r="AH1070" s="13">
        <v>0</v>
      </c>
      <c r="AI1070" s="13">
        <v>0</v>
      </c>
    </row>
    <row r="1071" spans="1:35" s="998" customFormat="1">
      <c r="A1071" s="990">
        <v>987</v>
      </c>
      <c r="B1071" s="990">
        <v>1</v>
      </c>
      <c r="C1071" s="990">
        <v>1071</v>
      </c>
      <c r="D1071" s="1121" t="s">
        <v>999</v>
      </c>
      <c r="E1071" s="1243">
        <v>1</v>
      </c>
      <c r="F1071" s="9"/>
      <c r="G1071" s="9"/>
      <c r="H1071" s="75"/>
      <c r="I1071" s="30"/>
      <c r="J1071" s="5"/>
      <c r="K1071" s="5"/>
      <c r="L1071" s="5"/>
      <c r="M1071" s="5"/>
      <c r="N1071" s="4" t="s">
        <v>1118</v>
      </c>
      <c r="O1071" s="4"/>
      <c r="P1071" s="4"/>
      <c r="Q1071" s="2032"/>
      <c r="R1071" s="2032"/>
      <c r="S1071" s="2032"/>
      <c r="T1071" s="2032"/>
      <c r="U1071" s="2032"/>
      <c r="V1071" s="2032"/>
      <c r="W1071" s="2032"/>
      <c r="X1071" s="2032"/>
      <c r="Y1071" s="2032"/>
      <c r="Z1071" s="2032"/>
      <c r="AA1071" s="2032"/>
      <c r="AB1071" s="2032"/>
      <c r="AC1071" s="89">
        <v>0</v>
      </c>
      <c r="AD1071" s="13">
        <v>0</v>
      </c>
      <c r="AE1071" s="13">
        <v>0</v>
      </c>
      <c r="AF1071" s="13">
        <v>0</v>
      </c>
      <c r="AG1071" s="13">
        <v>0</v>
      </c>
      <c r="AH1071" s="13">
        <v>0</v>
      </c>
      <c r="AI1071" s="13">
        <v>0</v>
      </c>
    </row>
    <row r="1072" spans="1:35" s="619" customFormat="1">
      <c r="A1072" s="1024">
        <v>988</v>
      </c>
      <c r="B1072" s="1024">
        <v>1</v>
      </c>
      <c r="C1072" s="1024">
        <v>1072</v>
      </c>
      <c r="D1072" s="1121" t="s">
        <v>999</v>
      </c>
      <c r="E1072" s="1243">
        <v>1</v>
      </c>
      <c r="F1072" s="5"/>
      <c r="G1072" s="5"/>
      <c r="H1072" s="75"/>
      <c r="I1072" s="28"/>
      <c r="J1072" s="3"/>
      <c r="K1072" s="3"/>
      <c r="L1072" s="3"/>
      <c r="M1072" s="3"/>
      <c r="N1072" s="2" t="s">
        <v>146</v>
      </c>
      <c r="O1072" s="2"/>
      <c r="P1072" s="2"/>
      <c r="Q1072" s="2032"/>
      <c r="R1072" s="2032"/>
      <c r="S1072" s="2032"/>
      <c r="T1072" s="2032"/>
      <c r="U1072" s="2032"/>
      <c r="V1072" s="2032"/>
      <c r="W1072" s="2032"/>
      <c r="X1072" s="2032"/>
      <c r="Y1072" s="2032"/>
      <c r="Z1072" s="2032"/>
      <c r="AA1072" s="2032"/>
      <c r="AB1072" s="2032"/>
      <c r="AC1072" s="89">
        <v>0</v>
      </c>
      <c r="AD1072" s="13">
        <v>0</v>
      </c>
      <c r="AE1072" s="13">
        <v>0</v>
      </c>
      <c r="AF1072" s="13">
        <v>0</v>
      </c>
      <c r="AG1072" s="13">
        <v>0</v>
      </c>
      <c r="AH1072" s="13">
        <v>0</v>
      </c>
      <c r="AI1072" s="13">
        <v>0</v>
      </c>
    </row>
    <row r="1073" spans="1:35" s="998" customFormat="1">
      <c r="A1073" s="990">
        <v>989</v>
      </c>
      <c r="B1073" s="990">
        <v>1</v>
      </c>
      <c r="C1073" s="990">
        <v>1073</v>
      </c>
      <c r="D1073" s="1121" t="s">
        <v>999</v>
      </c>
      <c r="E1073" s="1243">
        <v>1</v>
      </c>
      <c r="F1073" s="5"/>
      <c r="G1073" s="5"/>
      <c r="H1073" s="75"/>
      <c r="I1073" s="6" t="s">
        <v>1075</v>
      </c>
      <c r="J1073" s="1186"/>
      <c r="K1073" s="1186"/>
      <c r="L1073" s="1186"/>
      <c r="M1073" s="1186"/>
      <c r="N1073" s="829"/>
      <c r="O1073" s="829"/>
      <c r="P1073" s="829"/>
      <c r="Q1073" s="2066">
        <v>0</v>
      </c>
      <c r="R1073" s="2066">
        <v>0</v>
      </c>
      <c r="S1073" s="2066">
        <v>0</v>
      </c>
      <c r="T1073" s="2066">
        <v>0</v>
      </c>
      <c r="U1073" s="2066">
        <v>0</v>
      </c>
      <c r="V1073" s="2066">
        <v>0</v>
      </c>
      <c r="W1073" s="2066">
        <v>0</v>
      </c>
      <c r="X1073" s="2066">
        <v>0</v>
      </c>
      <c r="Y1073" s="2066">
        <v>0</v>
      </c>
      <c r="Z1073" s="2066">
        <v>0</v>
      </c>
      <c r="AA1073" s="2066">
        <v>0</v>
      </c>
      <c r="AB1073" s="2066">
        <v>0</v>
      </c>
      <c r="AC1073" s="2671">
        <v>0</v>
      </c>
      <c r="AD1073" s="2066">
        <v>0</v>
      </c>
      <c r="AE1073" s="2066">
        <v>0</v>
      </c>
      <c r="AF1073" s="2066">
        <v>0</v>
      </c>
      <c r="AG1073" s="2066">
        <v>0</v>
      </c>
      <c r="AH1073" s="2066">
        <v>0</v>
      </c>
      <c r="AI1073" s="2066">
        <v>0</v>
      </c>
    </row>
    <row r="1074" spans="1:35" s="998" customFormat="1">
      <c r="A1074" s="990">
        <v>990</v>
      </c>
      <c r="B1074" s="990">
        <v>1</v>
      </c>
      <c r="C1074" s="990">
        <v>1074</v>
      </c>
      <c r="D1074" s="1121" t="s">
        <v>999</v>
      </c>
      <c r="E1074" s="1243">
        <v>1</v>
      </c>
      <c r="F1074" s="5"/>
      <c r="G1074" s="5"/>
      <c r="H1074" s="75"/>
      <c r="I1074" s="30"/>
      <c r="J1074" s="5"/>
      <c r="K1074" s="5"/>
      <c r="L1074" s="5"/>
      <c r="M1074" s="5"/>
      <c r="N1074" s="4" t="s">
        <v>988</v>
      </c>
      <c r="O1074" s="4"/>
      <c r="P1074" s="4"/>
      <c r="Q1074" s="2032"/>
      <c r="R1074" s="2032"/>
      <c r="S1074" s="2032"/>
      <c r="T1074" s="2032"/>
      <c r="U1074" s="2032"/>
      <c r="V1074" s="2032"/>
      <c r="W1074" s="2032"/>
      <c r="X1074" s="2032"/>
      <c r="Y1074" s="2032"/>
      <c r="Z1074" s="2032"/>
      <c r="AA1074" s="2032"/>
      <c r="AB1074" s="2032"/>
      <c r="AC1074" s="89">
        <v>0</v>
      </c>
      <c r="AD1074" s="13">
        <v>0</v>
      </c>
      <c r="AE1074" s="13">
        <v>0</v>
      </c>
      <c r="AF1074" s="13">
        <v>0</v>
      </c>
      <c r="AG1074" s="13">
        <v>0</v>
      </c>
      <c r="AH1074" s="13">
        <v>0</v>
      </c>
      <c r="AI1074" s="13">
        <v>0</v>
      </c>
    </row>
    <row r="1075" spans="1:35" s="998" customFormat="1">
      <c r="A1075" s="990">
        <v>991</v>
      </c>
      <c r="B1075" s="990">
        <v>1</v>
      </c>
      <c r="C1075" s="990">
        <v>1075</v>
      </c>
      <c r="D1075" s="1121" t="s">
        <v>999</v>
      </c>
      <c r="E1075" s="1243">
        <v>1</v>
      </c>
      <c r="F1075" s="5"/>
      <c r="G1075" s="5"/>
      <c r="H1075" s="75"/>
      <c r="I1075" s="28"/>
      <c r="J1075" s="3"/>
      <c r="K1075" s="3"/>
      <c r="L1075" s="3"/>
      <c r="M1075" s="3"/>
      <c r="N1075" s="2" t="s">
        <v>146</v>
      </c>
      <c r="O1075" s="2"/>
      <c r="P1075" s="2"/>
      <c r="Q1075" s="2031"/>
      <c r="R1075" s="2031"/>
      <c r="S1075" s="2031"/>
      <c r="T1075" s="2031"/>
      <c r="U1075" s="2031"/>
      <c r="V1075" s="2031"/>
      <c r="W1075" s="2031"/>
      <c r="X1075" s="2031"/>
      <c r="Y1075" s="2031"/>
      <c r="Z1075" s="2031"/>
      <c r="AA1075" s="2031"/>
      <c r="AB1075" s="2031"/>
      <c r="AC1075" s="1560">
        <v>0</v>
      </c>
      <c r="AD1075" s="11">
        <v>0</v>
      </c>
      <c r="AE1075" s="11">
        <v>0</v>
      </c>
      <c r="AF1075" s="11">
        <v>0</v>
      </c>
      <c r="AG1075" s="11">
        <v>0</v>
      </c>
      <c r="AH1075" s="11">
        <v>0</v>
      </c>
      <c r="AI1075" s="11">
        <v>0</v>
      </c>
    </row>
    <row r="1076" spans="1:35">
      <c r="A1076" s="990">
        <v>992</v>
      </c>
      <c r="B1076" s="990">
        <v>1</v>
      </c>
      <c r="C1076" s="990">
        <v>1076</v>
      </c>
      <c r="D1076" s="1121" t="s">
        <v>999</v>
      </c>
      <c r="E1076" s="1255">
        <v>1</v>
      </c>
      <c r="F1076" s="9"/>
      <c r="G1076" s="5"/>
      <c r="H1076" s="75"/>
      <c r="I1076" s="16" t="s">
        <v>1063</v>
      </c>
      <c r="J1076" s="580"/>
      <c r="K1076" s="580"/>
      <c r="L1076" s="580"/>
      <c r="M1076" s="580"/>
      <c r="N1076" s="580"/>
      <c r="O1076" s="580"/>
      <c r="P1076" s="580"/>
      <c r="Q1076" s="2078">
        <v>0</v>
      </c>
      <c r="R1076" s="2078">
        <v>0</v>
      </c>
      <c r="S1076" s="2078">
        <v>0</v>
      </c>
      <c r="T1076" s="2078">
        <v>0</v>
      </c>
      <c r="U1076" s="2078">
        <v>0</v>
      </c>
      <c r="V1076" s="2078">
        <v>0</v>
      </c>
      <c r="W1076" s="2078">
        <v>0</v>
      </c>
      <c r="X1076" s="2078">
        <v>0</v>
      </c>
      <c r="Y1076" s="2078">
        <v>0</v>
      </c>
      <c r="Z1076" s="2078">
        <v>0</v>
      </c>
      <c r="AA1076" s="2078">
        <v>0</v>
      </c>
      <c r="AB1076" s="2078">
        <v>0</v>
      </c>
      <c r="AC1076" s="2672">
        <v>0</v>
      </c>
      <c r="AD1076" s="2078">
        <v>0</v>
      </c>
      <c r="AE1076" s="2078">
        <v>0</v>
      </c>
      <c r="AF1076" s="2078">
        <v>0</v>
      </c>
      <c r="AG1076" s="2078">
        <v>0</v>
      </c>
      <c r="AH1076" s="2078">
        <v>0</v>
      </c>
      <c r="AI1076" s="2078">
        <v>0</v>
      </c>
    </row>
    <row r="1077" spans="1:35">
      <c r="A1077" s="990">
        <v>993</v>
      </c>
      <c r="B1077" s="990">
        <v>1</v>
      </c>
      <c r="C1077" s="990">
        <v>1077</v>
      </c>
      <c r="D1077" s="1121" t="s">
        <v>999</v>
      </c>
      <c r="E1077" s="1243">
        <v>1</v>
      </c>
      <c r="F1077" s="5"/>
      <c r="G1077" s="5"/>
      <c r="H1077" s="75"/>
      <c r="I1077" s="32"/>
      <c r="J1077" s="5"/>
      <c r="K1077" s="5"/>
      <c r="L1077" s="5"/>
      <c r="M1077" s="5"/>
      <c r="N1077" s="4" t="s">
        <v>988</v>
      </c>
      <c r="O1077" s="4"/>
      <c r="P1077" s="4"/>
      <c r="Q1077" s="2032"/>
      <c r="R1077" s="2032"/>
      <c r="S1077" s="2032"/>
      <c r="T1077" s="2032"/>
      <c r="U1077" s="2032"/>
      <c r="V1077" s="2032"/>
      <c r="W1077" s="2032"/>
      <c r="X1077" s="2032"/>
      <c r="Y1077" s="2032"/>
      <c r="Z1077" s="2032"/>
      <c r="AA1077" s="2032"/>
      <c r="AB1077" s="2032"/>
      <c r="AC1077" s="89">
        <v>0</v>
      </c>
      <c r="AD1077" s="13">
        <v>0</v>
      </c>
      <c r="AE1077" s="13">
        <v>0</v>
      </c>
      <c r="AF1077" s="13">
        <v>0</v>
      </c>
      <c r="AG1077" s="13">
        <v>0</v>
      </c>
      <c r="AH1077" s="13">
        <v>0</v>
      </c>
      <c r="AI1077" s="13">
        <v>0</v>
      </c>
    </row>
    <row r="1078" spans="1:35" s="998" customFormat="1">
      <c r="A1078" s="990">
        <v>994</v>
      </c>
      <c r="B1078" s="990">
        <v>1</v>
      </c>
      <c r="C1078" s="990">
        <v>1078</v>
      </c>
      <c r="D1078" s="1121" t="s">
        <v>999</v>
      </c>
      <c r="E1078" s="1243">
        <v>1</v>
      </c>
      <c r="F1078" s="5"/>
      <c r="G1078" s="5"/>
      <c r="H1078" s="75"/>
      <c r="I1078" s="459"/>
      <c r="J1078" s="3"/>
      <c r="K1078" s="3"/>
      <c r="L1078" s="3"/>
      <c r="M1078" s="3"/>
      <c r="N1078" s="2" t="s">
        <v>146</v>
      </c>
      <c r="O1078" s="2"/>
      <c r="P1078" s="2"/>
      <c r="Q1078" s="2031"/>
      <c r="R1078" s="2031"/>
      <c r="S1078" s="2031"/>
      <c r="T1078" s="2031"/>
      <c r="U1078" s="2031"/>
      <c r="V1078" s="2031"/>
      <c r="W1078" s="2031"/>
      <c r="X1078" s="2031"/>
      <c r="Y1078" s="2031"/>
      <c r="Z1078" s="2031"/>
      <c r="AA1078" s="2031"/>
      <c r="AB1078" s="2031"/>
      <c r="AC1078" s="1560">
        <v>0</v>
      </c>
      <c r="AD1078" s="11">
        <v>0</v>
      </c>
      <c r="AE1078" s="11">
        <v>0</v>
      </c>
      <c r="AF1078" s="11">
        <v>0</v>
      </c>
      <c r="AG1078" s="11">
        <v>0</v>
      </c>
      <c r="AH1078" s="11">
        <v>0</v>
      </c>
      <c r="AI1078" s="11">
        <v>0</v>
      </c>
    </row>
    <row r="1079" spans="1:35" s="998" customFormat="1">
      <c r="A1079" s="990">
        <v>995</v>
      </c>
      <c r="B1079" s="990"/>
      <c r="C1079" s="990">
        <v>1079</v>
      </c>
      <c r="D1079" s="1121"/>
      <c r="E1079" s="1243">
        <v>1</v>
      </c>
      <c r="F1079" s="10"/>
      <c r="G1079" s="10"/>
      <c r="H1079" s="5"/>
      <c r="I1079" s="5"/>
      <c r="J1079" s="4"/>
      <c r="K1079" s="4"/>
      <c r="L1079" s="4"/>
      <c r="M1079" s="4"/>
      <c r="N1079" s="4"/>
      <c r="O1079" s="4"/>
      <c r="P1079" s="4"/>
      <c r="Q1079" s="2225"/>
      <c r="R1079" s="1151"/>
      <c r="S1079" s="1151"/>
      <c r="T1079" s="1151"/>
      <c r="U1079" s="1151"/>
      <c r="V1079" s="1151"/>
      <c r="W1079" s="1"/>
      <c r="X1079" s="1"/>
      <c r="Y1079" s="1"/>
      <c r="Z1079" s="1"/>
      <c r="AA1079" s="9"/>
      <c r="AB1079" s="86"/>
      <c r="AC1079" s="9"/>
      <c r="AD1079" s="9"/>
      <c r="AE1079" s="9"/>
      <c r="AF1079" s="9"/>
      <c r="AG1079" s="9"/>
      <c r="AH1079" s="9"/>
      <c r="AI1079" s="9"/>
    </row>
    <row r="1080" spans="1:35" s="998" customFormat="1" ht="15.5">
      <c r="A1080" s="990">
        <v>996</v>
      </c>
      <c r="B1080" s="990">
        <v>1</v>
      </c>
      <c r="C1080" s="990">
        <v>1080</v>
      </c>
      <c r="D1080" s="1121"/>
      <c r="E1080" s="1255">
        <v>1</v>
      </c>
      <c r="F1080" s="9"/>
      <c r="G1080" s="315" t="s">
        <v>941</v>
      </c>
      <c r="H1080" s="5"/>
      <c r="I1080" s="5"/>
      <c r="J1080" s="4"/>
      <c r="K1080" s="4"/>
      <c r="L1080" s="4"/>
      <c r="M1080" s="4"/>
      <c r="N1080" s="4"/>
      <c r="O1080" s="4"/>
      <c r="P1080" s="4"/>
      <c r="Q1080" s="2225"/>
      <c r="R1080" s="1151"/>
      <c r="S1080" s="1151"/>
      <c r="T1080" s="1151"/>
      <c r="U1080" s="1151"/>
      <c r="V1080" s="1151"/>
      <c r="W1080" s="1"/>
      <c r="X1080" s="1"/>
      <c r="Y1080" s="1"/>
      <c r="Z1080" s="1"/>
      <c r="AA1080" s="9"/>
      <c r="AB1080" s="86"/>
      <c r="AC1080" s="9"/>
      <c r="AD1080" s="9"/>
      <c r="AE1080" s="9"/>
      <c r="AF1080" s="9"/>
      <c r="AG1080" s="9"/>
      <c r="AH1080" s="9"/>
      <c r="AI1080" s="9"/>
    </row>
    <row r="1081" spans="1:35" s="619" customFormat="1">
      <c r="A1081" s="1024">
        <v>997</v>
      </c>
      <c r="B1081" s="1024">
        <v>1</v>
      </c>
      <c r="C1081" s="1024">
        <v>1081</v>
      </c>
      <c r="D1081" s="1121"/>
      <c r="E1081" s="1255">
        <v>1</v>
      </c>
      <c r="F1081" s="9"/>
      <c r="G1081" s="10"/>
      <c r="H1081" s="5"/>
      <c r="I1081" s="443" t="s">
        <v>1038</v>
      </c>
      <c r="J1081" s="788"/>
      <c r="K1081" s="788"/>
      <c r="L1081" s="788"/>
      <c r="M1081" s="788"/>
      <c r="N1081" s="604"/>
      <c r="O1081" s="604"/>
      <c r="P1081" s="604"/>
      <c r="Q1081" s="2166">
        <v>0</v>
      </c>
      <c r="R1081" s="2166">
        <v>0</v>
      </c>
      <c r="S1081" s="2166">
        <v>0</v>
      </c>
      <c r="T1081" s="2166">
        <v>0</v>
      </c>
      <c r="U1081" s="2166">
        <v>0</v>
      </c>
      <c r="V1081" s="2166">
        <v>0</v>
      </c>
      <c r="W1081" s="2167">
        <v>0</v>
      </c>
      <c r="X1081" s="2167">
        <v>0</v>
      </c>
      <c r="Y1081" s="2167">
        <v>0</v>
      </c>
      <c r="Z1081" s="2167">
        <v>0</v>
      </c>
      <c r="AA1081" s="2167">
        <v>0</v>
      </c>
      <c r="AB1081" s="2167">
        <v>0</v>
      </c>
      <c r="AC1081" s="2673">
        <v>0</v>
      </c>
      <c r="AD1081" s="2167">
        <v>0</v>
      </c>
      <c r="AE1081" s="2167">
        <v>0</v>
      </c>
      <c r="AF1081" s="2167">
        <v>0</v>
      </c>
      <c r="AG1081" s="2167">
        <v>0</v>
      </c>
      <c r="AH1081" s="2167">
        <v>0</v>
      </c>
      <c r="AI1081" s="2167">
        <v>0</v>
      </c>
    </row>
    <row r="1082" spans="1:35" s="998" customFormat="1">
      <c r="A1082" s="990">
        <v>998</v>
      </c>
      <c r="B1082" s="990">
        <v>1</v>
      </c>
      <c r="C1082" s="990">
        <v>1082</v>
      </c>
      <c r="D1082" s="1121"/>
      <c r="E1082" s="1255">
        <v>1</v>
      </c>
      <c r="F1082" s="9"/>
      <c r="G1082" s="10"/>
      <c r="H1082" s="5"/>
      <c r="I1082" s="30"/>
      <c r="J1082" s="4"/>
      <c r="K1082" s="4"/>
      <c r="L1082" s="4"/>
      <c r="M1082" s="4"/>
      <c r="N1082" s="4" t="s">
        <v>1119</v>
      </c>
      <c r="O1082" s="51"/>
      <c r="P1082" s="51"/>
      <c r="Q1082" s="49">
        <v>0</v>
      </c>
      <c r="R1082" s="49">
        <v>0</v>
      </c>
      <c r="S1082" s="49">
        <v>0</v>
      </c>
      <c r="T1082" s="49">
        <v>0</v>
      </c>
      <c r="U1082" s="49">
        <v>0</v>
      </c>
      <c r="V1082" s="49">
        <v>0</v>
      </c>
      <c r="W1082" s="49">
        <v>0</v>
      </c>
      <c r="X1082" s="49">
        <v>0</v>
      </c>
      <c r="Y1082" s="49">
        <v>0</v>
      </c>
      <c r="Z1082" s="49">
        <v>0</v>
      </c>
      <c r="AA1082" s="49">
        <v>0</v>
      </c>
      <c r="AB1082" s="49">
        <v>0</v>
      </c>
      <c r="AC1082" s="1553">
        <v>0</v>
      </c>
      <c r="AD1082" s="49">
        <v>0</v>
      </c>
      <c r="AE1082" s="49">
        <v>0</v>
      </c>
      <c r="AF1082" s="49">
        <v>0</v>
      </c>
      <c r="AG1082" s="49">
        <v>0</v>
      </c>
      <c r="AH1082" s="49">
        <v>0</v>
      </c>
      <c r="AI1082" s="49">
        <v>0</v>
      </c>
    </row>
    <row r="1083" spans="1:35" s="619" customFormat="1">
      <c r="A1083" s="1024">
        <v>999</v>
      </c>
      <c r="B1083" s="1024">
        <v>1</v>
      </c>
      <c r="C1083" s="1024">
        <v>1083</v>
      </c>
      <c r="D1083" s="1121"/>
      <c r="E1083" s="1255">
        <v>1</v>
      </c>
      <c r="F1083" s="9"/>
      <c r="G1083" s="10"/>
      <c r="H1083" s="5"/>
      <c r="I1083" s="30"/>
      <c r="J1083" s="4"/>
      <c r="K1083" s="4"/>
      <c r="L1083" s="4"/>
      <c r="M1083" s="4"/>
      <c r="N1083" s="4"/>
      <c r="O1083" s="1246" t="s">
        <v>989</v>
      </c>
      <c r="P1083" s="4"/>
      <c r="Q1083" s="2159"/>
      <c r="R1083" s="2159"/>
      <c r="S1083" s="2159"/>
      <c r="T1083" s="2159"/>
      <c r="U1083" s="2159"/>
      <c r="V1083" s="2159"/>
      <c r="W1083" s="2091"/>
      <c r="X1083" s="2091"/>
      <c r="Y1083" s="2091"/>
      <c r="Z1083" s="2091"/>
      <c r="AA1083" s="2091"/>
      <c r="AB1083" s="2091"/>
      <c r="AC1083" s="100">
        <v>0</v>
      </c>
      <c r="AD1083" s="19">
        <v>0</v>
      </c>
      <c r="AE1083" s="19">
        <v>0</v>
      </c>
      <c r="AF1083" s="19">
        <v>0</v>
      </c>
      <c r="AG1083" s="19">
        <v>0</v>
      </c>
      <c r="AH1083" s="19">
        <v>0</v>
      </c>
      <c r="AI1083" s="19">
        <v>0</v>
      </c>
    </row>
    <row r="1084" spans="1:35" s="998" customFormat="1">
      <c r="A1084" s="990">
        <v>1000</v>
      </c>
      <c r="B1084" s="990">
        <v>1</v>
      </c>
      <c r="C1084" s="990">
        <v>1084</v>
      </c>
      <c r="D1084" s="1121"/>
      <c r="E1084" s="1255">
        <v>1</v>
      </c>
      <c r="F1084" s="9"/>
      <c r="G1084" s="10"/>
      <c r="H1084" s="5"/>
      <c r="I1084" s="30"/>
      <c r="J1084" s="4"/>
      <c r="K1084" s="4"/>
      <c r="L1084" s="4"/>
      <c r="M1084" s="4"/>
      <c r="N1084" s="4"/>
      <c r="O1084" s="1246" t="s">
        <v>1120</v>
      </c>
      <c r="P1084" s="4"/>
      <c r="Q1084" s="2159"/>
      <c r="R1084" s="2159"/>
      <c r="S1084" s="2159"/>
      <c r="T1084" s="2159"/>
      <c r="U1084" s="2159"/>
      <c r="V1084" s="2159"/>
      <c r="W1084" s="2091"/>
      <c r="X1084" s="2091"/>
      <c r="Y1084" s="2091"/>
      <c r="Z1084" s="2091"/>
      <c r="AA1084" s="2091"/>
      <c r="AB1084" s="2091"/>
      <c r="AC1084" s="100">
        <v>0</v>
      </c>
      <c r="AD1084" s="19">
        <v>0</v>
      </c>
      <c r="AE1084" s="19">
        <v>0</v>
      </c>
      <c r="AF1084" s="19">
        <v>0</v>
      </c>
      <c r="AG1084" s="19">
        <v>0</v>
      </c>
      <c r="AH1084" s="19">
        <v>0</v>
      </c>
      <c r="AI1084" s="19">
        <v>0</v>
      </c>
    </row>
    <row r="1085" spans="1:35" s="998" customFormat="1">
      <c r="A1085" s="990">
        <v>1001</v>
      </c>
      <c r="B1085" s="990">
        <v>1</v>
      </c>
      <c r="C1085" s="990">
        <v>1085</v>
      </c>
      <c r="D1085" s="1121"/>
      <c r="E1085" s="1255">
        <v>1</v>
      </c>
      <c r="F1085" s="9"/>
      <c r="G1085" s="10"/>
      <c r="H1085" s="5"/>
      <c r="I1085" s="30"/>
      <c r="J1085" s="4"/>
      <c r="K1085" s="4"/>
      <c r="L1085" s="4"/>
      <c r="M1085" s="4"/>
      <c r="N1085" s="4"/>
      <c r="O1085" s="1246" t="s">
        <v>1041</v>
      </c>
      <c r="P1085" s="4"/>
      <c r="Q1085" s="41">
        <v>0</v>
      </c>
      <c r="R1085" s="41">
        <v>0</v>
      </c>
      <c r="S1085" s="41">
        <v>0</v>
      </c>
      <c r="T1085" s="41">
        <v>0</v>
      </c>
      <c r="U1085" s="41">
        <v>0</v>
      </c>
      <c r="V1085" s="41">
        <v>0</v>
      </c>
      <c r="W1085" s="19">
        <v>0</v>
      </c>
      <c r="X1085" s="19">
        <v>0</v>
      </c>
      <c r="Y1085" s="19">
        <v>0</v>
      </c>
      <c r="Z1085" s="19">
        <v>0</v>
      </c>
      <c r="AA1085" s="19">
        <v>0</v>
      </c>
      <c r="AB1085" s="19">
        <v>0</v>
      </c>
      <c r="AC1085" s="100">
        <v>0</v>
      </c>
      <c r="AD1085" s="19">
        <v>0</v>
      </c>
      <c r="AE1085" s="19">
        <v>0</v>
      </c>
      <c r="AF1085" s="19">
        <v>0</v>
      </c>
      <c r="AG1085" s="19">
        <v>0</v>
      </c>
      <c r="AH1085" s="19">
        <v>0</v>
      </c>
      <c r="AI1085" s="19">
        <v>0</v>
      </c>
    </row>
    <row r="1086" spans="1:35" s="998" customFormat="1">
      <c r="A1086" s="990">
        <v>1002</v>
      </c>
      <c r="B1086" s="990">
        <v>1</v>
      </c>
      <c r="C1086" s="990">
        <v>1086</v>
      </c>
      <c r="D1086" s="1121"/>
      <c r="E1086" s="1255">
        <v>1</v>
      </c>
      <c r="F1086" s="9"/>
      <c r="G1086" s="10"/>
      <c r="H1086" s="5"/>
      <c r="I1086" s="30"/>
      <c r="J1086" s="4"/>
      <c r="K1086" s="4"/>
      <c r="L1086" s="4"/>
      <c r="M1086" s="4"/>
      <c r="N1086" s="2"/>
      <c r="O1086" s="1247" t="s">
        <v>11</v>
      </c>
      <c r="P1086" s="2"/>
      <c r="Q1086" s="66">
        <v>0</v>
      </c>
      <c r="R1086" s="66">
        <v>0</v>
      </c>
      <c r="S1086" s="66">
        <v>0</v>
      </c>
      <c r="T1086" s="66">
        <v>0</v>
      </c>
      <c r="U1086" s="66">
        <v>0</v>
      </c>
      <c r="V1086" s="66">
        <v>0</v>
      </c>
      <c r="W1086" s="17">
        <v>0</v>
      </c>
      <c r="X1086" s="17">
        <v>0</v>
      </c>
      <c r="Y1086" s="17">
        <v>0</v>
      </c>
      <c r="Z1086" s="17">
        <v>0</v>
      </c>
      <c r="AA1086" s="17">
        <v>0</v>
      </c>
      <c r="AB1086" s="17">
        <v>0</v>
      </c>
      <c r="AC1086" s="99">
        <v>0</v>
      </c>
      <c r="AD1086" s="17">
        <v>0</v>
      </c>
      <c r="AE1086" s="17">
        <v>0</v>
      </c>
      <c r="AF1086" s="17">
        <v>0</v>
      </c>
      <c r="AG1086" s="17">
        <v>0</v>
      </c>
      <c r="AH1086" s="17">
        <v>0</v>
      </c>
      <c r="AI1086" s="17">
        <v>0</v>
      </c>
    </row>
    <row r="1087" spans="1:35" s="998" customFormat="1">
      <c r="A1087" s="990">
        <v>1003</v>
      </c>
      <c r="B1087" s="990">
        <v>1</v>
      </c>
      <c r="C1087" s="990">
        <v>1087</v>
      </c>
      <c r="D1087" s="1121"/>
      <c r="E1087" s="1255">
        <v>1</v>
      </c>
      <c r="F1087" s="9"/>
      <c r="G1087" s="10"/>
      <c r="H1087" s="5"/>
      <c r="I1087" s="30"/>
      <c r="J1087" s="4"/>
      <c r="K1087" s="4"/>
      <c r="L1087" s="4"/>
      <c r="M1087" s="4"/>
      <c r="N1087" s="4" t="s">
        <v>1121</v>
      </c>
      <c r="O1087" s="51"/>
      <c r="P1087" s="51"/>
      <c r="Q1087" s="49">
        <v>0</v>
      </c>
      <c r="R1087" s="49">
        <v>0</v>
      </c>
      <c r="S1087" s="49">
        <v>0</v>
      </c>
      <c r="T1087" s="49">
        <v>0</v>
      </c>
      <c r="U1087" s="49">
        <v>0</v>
      </c>
      <c r="V1087" s="49">
        <v>0</v>
      </c>
      <c r="W1087" s="49">
        <v>0</v>
      </c>
      <c r="X1087" s="49">
        <v>0</v>
      </c>
      <c r="Y1087" s="49">
        <v>0</v>
      </c>
      <c r="Z1087" s="49">
        <v>0</v>
      </c>
      <c r="AA1087" s="49">
        <v>0</v>
      </c>
      <c r="AB1087" s="49">
        <v>0</v>
      </c>
      <c r="AC1087" s="1553">
        <v>0</v>
      </c>
      <c r="AD1087" s="49">
        <v>0</v>
      </c>
      <c r="AE1087" s="49">
        <v>0</v>
      </c>
      <c r="AF1087" s="49">
        <v>0</v>
      </c>
      <c r="AG1087" s="49">
        <v>0</v>
      </c>
      <c r="AH1087" s="49">
        <v>0</v>
      </c>
      <c r="AI1087" s="49">
        <v>0</v>
      </c>
    </row>
    <row r="1088" spans="1:35" s="619" customFormat="1">
      <c r="A1088" s="1024">
        <v>1004</v>
      </c>
      <c r="B1088" s="1024">
        <v>1</v>
      </c>
      <c r="C1088" s="1024">
        <v>1088</v>
      </c>
      <c r="D1088" s="1121"/>
      <c r="E1088" s="1255">
        <v>1</v>
      </c>
      <c r="F1088" s="9"/>
      <c r="G1088" s="10"/>
      <c r="H1088" s="5"/>
      <c r="I1088" s="30"/>
      <c r="J1088" s="4"/>
      <c r="K1088" s="4"/>
      <c r="L1088" s="4"/>
      <c r="M1088" s="4"/>
      <c r="N1088" s="4"/>
      <c r="O1088" s="1246" t="s">
        <v>989</v>
      </c>
      <c r="P1088" s="4"/>
      <c r="Q1088" s="2159"/>
      <c r="R1088" s="2159"/>
      <c r="S1088" s="2159"/>
      <c r="T1088" s="2159"/>
      <c r="U1088" s="2159"/>
      <c r="V1088" s="2159"/>
      <c r="W1088" s="2091"/>
      <c r="X1088" s="2091"/>
      <c r="Y1088" s="2091"/>
      <c r="Z1088" s="2091"/>
      <c r="AA1088" s="2091"/>
      <c r="AB1088" s="2091"/>
      <c r="AC1088" s="100">
        <v>0</v>
      </c>
      <c r="AD1088" s="19">
        <v>0</v>
      </c>
      <c r="AE1088" s="19">
        <v>0</v>
      </c>
      <c r="AF1088" s="19">
        <v>0</v>
      </c>
      <c r="AG1088" s="19">
        <v>0</v>
      </c>
      <c r="AH1088" s="19">
        <v>0</v>
      </c>
      <c r="AI1088" s="19">
        <v>0</v>
      </c>
    </row>
    <row r="1089" spans="1:36" s="998" customFormat="1">
      <c r="A1089" s="990">
        <v>1005</v>
      </c>
      <c r="B1089" s="990">
        <v>1</v>
      </c>
      <c r="C1089" s="990">
        <v>1089</v>
      </c>
      <c r="D1089" s="1121"/>
      <c r="E1089" s="1255">
        <v>1</v>
      </c>
      <c r="F1089" s="9"/>
      <c r="G1089" s="10"/>
      <c r="H1089" s="5"/>
      <c r="I1089" s="30"/>
      <c r="J1089" s="4"/>
      <c r="K1089" s="4"/>
      <c r="L1089" s="4"/>
      <c r="M1089" s="4"/>
      <c r="N1089" s="4"/>
      <c r="O1089" s="1246" t="s">
        <v>1120</v>
      </c>
      <c r="P1089" s="4"/>
      <c r="Q1089" s="2159"/>
      <c r="R1089" s="2159"/>
      <c r="S1089" s="2159"/>
      <c r="T1089" s="2159"/>
      <c r="U1089" s="2159"/>
      <c r="V1089" s="2159"/>
      <c r="W1089" s="2091"/>
      <c r="X1089" s="2091"/>
      <c r="Y1089" s="2091"/>
      <c r="Z1089" s="2091"/>
      <c r="AA1089" s="2091"/>
      <c r="AB1089" s="2091"/>
      <c r="AC1089" s="100">
        <v>0</v>
      </c>
      <c r="AD1089" s="19">
        <v>0</v>
      </c>
      <c r="AE1089" s="19">
        <v>0</v>
      </c>
      <c r="AF1089" s="19">
        <v>0</v>
      </c>
      <c r="AG1089" s="19">
        <v>0</v>
      </c>
      <c r="AH1089" s="19">
        <v>0</v>
      </c>
      <c r="AI1089" s="19">
        <v>0</v>
      </c>
    </row>
    <row r="1090" spans="1:36" s="998" customFormat="1">
      <c r="A1090" s="990">
        <v>1006</v>
      </c>
      <c r="B1090" s="990">
        <v>1</v>
      </c>
      <c r="C1090" s="990">
        <v>1090</v>
      </c>
      <c r="D1090" s="1121"/>
      <c r="E1090" s="1255">
        <v>1</v>
      </c>
      <c r="F1090" s="9"/>
      <c r="G1090" s="10"/>
      <c r="H1090" s="5"/>
      <c r="I1090" s="28"/>
      <c r="J1090" s="2"/>
      <c r="K1090" s="2"/>
      <c r="L1090" s="2"/>
      <c r="M1090" s="2"/>
      <c r="N1090" s="2"/>
      <c r="O1090" s="1247" t="s">
        <v>11</v>
      </c>
      <c r="P1090" s="2"/>
      <c r="Q1090" s="66">
        <v>0</v>
      </c>
      <c r="R1090" s="66">
        <v>0</v>
      </c>
      <c r="S1090" s="66">
        <v>0</v>
      </c>
      <c r="T1090" s="66">
        <v>0</v>
      </c>
      <c r="U1090" s="66">
        <v>0</v>
      </c>
      <c r="V1090" s="66">
        <v>0</v>
      </c>
      <c r="W1090" s="17">
        <v>0</v>
      </c>
      <c r="X1090" s="17">
        <v>0</v>
      </c>
      <c r="Y1090" s="17">
        <v>0</v>
      </c>
      <c r="Z1090" s="17">
        <v>0</v>
      </c>
      <c r="AA1090" s="17">
        <v>0</v>
      </c>
      <c r="AB1090" s="17">
        <v>0</v>
      </c>
      <c r="AC1090" s="99">
        <v>0</v>
      </c>
      <c r="AD1090" s="17">
        <v>0</v>
      </c>
      <c r="AE1090" s="17">
        <v>0</v>
      </c>
      <c r="AF1090" s="17">
        <v>0</v>
      </c>
      <c r="AG1090" s="17">
        <v>0</v>
      </c>
      <c r="AH1090" s="17">
        <v>0</v>
      </c>
      <c r="AI1090" s="17">
        <v>0</v>
      </c>
    </row>
    <row r="1091" spans="1:36" s="998" customFormat="1">
      <c r="A1091" s="990">
        <v>1007</v>
      </c>
      <c r="B1091" s="990">
        <v>1</v>
      </c>
      <c r="C1091" s="990">
        <v>1091</v>
      </c>
      <c r="D1091" s="1121"/>
      <c r="E1091" s="1243">
        <v>1</v>
      </c>
      <c r="F1091" s="10"/>
      <c r="G1091" s="10"/>
      <c r="H1091" s="5"/>
      <c r="I1091" s="5"/>
      <c r="J1091" s="4"/>
      <c r="K1091" s="4"/>
      <c r="L1091" s="4"/>
      <c r="M1091" s="4"/>
      <c r="N1091" s="1245"/>
      <c r="O1091" s="4"/>
      <c r="P1091" s="4"/>
      <c r="Q1091" s="2225"/>
      <c r="R1091" s="1151"/>
      <c r="S1091" s="1151"/>
      <c r="T1091" s="1151"/>
      <c r="U1091" s="1151"/>
      <c r="V1091" s="1151"/>
      <c r="W1091" s="1"/>
      <c r="X1091" s="1"/>
      <c r="Y1091" s="1"/>
      <c r="Z1091" s="1"/>
      <c r="AA1091" s="9"/>
      <c r="AB1091" s="86"/>
      <c r="AC1091" s="9"/>
      <c r="AD1091" s="9"/>
      <c r="AE1091" s="9"/>
      <c r="AF1091" s="9"/>
      <c r="AG1091" s="9"/>
      <c r="AH1091" s="9"/>
      <c r="AI1091" s="9"/>
    </row>
    <row r="1092" spans="1:36" ht="18">
      <c r="A1092" s="990">
        <v>1008</v>
      </c>
      <c r="B1092" s="990">
        <v>1</v>
      </c>
      <c r="C1092" s="990">
        <v>1092</v>
      </c>
      <c r="D1092" s="1121"/>
      <c r="E1092" s="1243">
        <v>1</v>
      </c>
      <c r="F1092" s="314" t="s">
        <v>1122</v>
      </c>
      <c r="G1092" s="314"/>
      <c r="Q1092" s="2200"/>
      <c r="AB1092" s="86"/>
    </row>
    <row r="1093" spans="1:36" ht="15.5">
      <c r="A1093" s="990">
        <v>1009</v>
      </c>
      <c r="B1093" s="990">
        <v>1</v>
      </c>
      <c r="C1093" s="990">
        <v>1093</v>
      </c>
      <c r="D1093" s="1121"/>
      <c r="E1093" s="1243">
        <v>1</v>
      </c>
      <c r="F1093" s="316"/>
      <c r="G1093" s="315" t="s">
        <v>1123</v>
      </c>
      <c r="P1093" s="770" t="s">
        <v>611</v>
      </c>
      <c r="Q1093" s="2200"/>
      <c r="AB1093" s="86"/>
    </row>
    <row r="1094" spans="1:36">
      <c r="A1094" s="990">
        <v>1010</v>
      </c>
      <c r="B1094" s="990">
        <v>1</v>
      </c>
      <c r="C1094" s="990">
        <v>1094</v>
      </c>
      <c r="D1094" s="1121"/>
      <c r="E1094" s="1243">
        <v>1</v>
      </c>
      <c r="F1094" s="316"/>
      <c r="I1094" s="2674" t="s">
        <v>1124</v>
      </c>
      <c r="J1094" s="2675"/>
      <c r="K1094" s="2675"/>
      <c r="L1094" s="2675"/>
      <c r="M1094" s="2675"/>
      <c r="N1094" s="2675"/>
      <c r="O1094" s="2675"/>
      <c r="P1094" s="2676" t="s">
        <v>1125</v>
      </c>
      <c r="Q1094" s="2102"/>
      <c r="R1094" s="2102"/>
      <c r="S1094" s="2102"/>
      <c r="T1094" s="2102"/>
      <c r="U1094" s="2102"/>
      <c r="V1094" s="2102"/>
      <c r="W1094" s="2102"/>
      <c r="X1094" s="2102"/>
      <c r="Y1094" s="2102"/>
      <c r="Z1094" s="2102"/>
      <c r="AA1094" s="2102"/>
      <c r="AB1094" s="2102"/>
      <c r="AC1094" s="2677">
        <v>0</v>
      </c>
      <c r="AD1094" s="2571">
        <v>0</v>
      </c>
      <c r="AE1094" s="2571">
        <v>0</v>
      </c>
      <c r="AF1094" s="2571">
        <v>0</v>
      </c>
      <c r="AG1094" s="2571">
        <v>0</v>
      </c>
      <c r="AH1094" s="2571">
        <v>0</v>
      </c>
      <c r="AI1094" s="2571">
        <v>0</v>
      </c>
    </row>
    <row r="1095" spans="1:36" s="998" customFormat="1">
      <c r="A1095" s="990">
        <v>1011</v>
      </c>
      <c r="B1095" s="990">
        <v>1</v>
      </c>
      <c r="C1095" s="990">
        <v>1095</v>
      </c>
      <c r="D1095" s="1121"/>
      <c r="E1095" s="1243">
        <v>1</v>
      </c>
      <c r="F1095" s="316"/>
      <c r="G1095" s="10"/>
      <c r="H1095" s="24"/>
      <c r="I1095" s="752" t="s">
        <v>1126</v>
      </c>
      <c r="J1095" s="753"/>
      <c r="K1095" s="753"/>
      <c r="L1095" s="753"/>
      <c r="M1095" s="753"/>
      <c r="N1095" s="753"/>
      <c r="O1095" s="753"/>
      <c r="P1095" s="753"/>
      <c r="Q1095" s="754">
        <v>0</v>
      </c>
      <c r="R1095" s="754">
        <v>0</v>
      </c>
      <c r="S1095" s="754">
        <v>0</v>
      </c>
      <c r="T1095" s="754">
        <v>0</v>
      </c>
      <c r="U1095" s="754">
        <v>0</v>
      </c>
      <c r="V1095" s="754">
        <v>0</v>
      </c>
      <c r="W1095" s="754">
        <v>0</v>
      </c>
      <c r="X1095" s="754">
        <v>0</v>
      </c>
      <c r="Y1095" s="754">
        <v>0</v>
      </c>
      <c r="Z1095" s="754">
        <v>0</v>
      </c>
      <c r="AA1095" s="754">
        <v>0</v>
      </c>
      <c r="AB1095" s="754">
        <v>0</v>
      </c>
      <c r="AC1095" s="1564">
        <v>0</v>
      </c>
      <c r="AD1095" s="754">
        <v>0</v>
      </c>
      <c r="AE1095" s="754">
        <v>0</v>
      </c>
      <c r="AF1095" s="754">
        <v>0</v>
      </c>
      <c r="AG1095" s="754">
        <v>0</v>
      </c>
      <c r="AH1095" s="754">
        <v>0</v>
      </c>
      <c r="AI1095" s="754">
        <v>0</v>
      </c>
    </row>
    <row r="1096" spans="1:36" s="998" customFormat="1">
      <c r="A1096" s="990">
        <v>1012</v>
      </c>
      <c r="B1096" s="990">
        <v>1</v>
      </c>
      <c r="C1096" s="990">
        <v>1096</v>
      </c>
      <c r="D1096" s="1121"/>
      <c r="E1096" s="1243">
        <v>1</v>
      </c>
      <c r="F1096" s="316"/>
      <c r="G1096" s="10"/>
      <c r="H1096" s="24"/>
      <c r="I1096" s="755"/>
      <c r="J1096" s="756" t="s">
        <v>723</v>
      </c>
      <c r="K1096" s="756"/>
      <c r="L1096" s="756"/>
      <c r="M1096" s="756"/>
      <c r="N1096" s="756"/>
      <c r="O1096" s="756"/>
      <c r="P1096" s="756"/>
      <c r="Q1096" s="2105"/>
      <c r="R1096" s="2105"/>
      <c r="S1096" s="2105"/>
      <c r="T1096" s="2105"/>
      <c r="U1096" s="2105"/>
      <c r="V1096" s="2105"/>
      <c r="W1096" s="2105"/>
      <c r="X1096" s="2105"/>
      <c r="Y1096" s="2105"/>
      <c r="Z1096" s="2105"/>
      <c r="AA1096" s="2105"/>
      <c r="AB1096" s="2105"/>
      <c r="AC1096" s="1565">
        <v>0</v>
      </c>
      <c r="AD1096" s="760">
        <v>0</v>
      </c>
      <c r="AE1096" s="760">
        <v>0</v>
      </c>
      <c r="AF1096" s="760">
        <v>0</v>
      </c>
      <c r="AG1096" s="760">
        <v>0</v>
      </c>
      <c r="AH1096" s="760">
        <v>0</v>
      </c>
      <c r="AI1096" s="760">
        <v>0</v>
      </c>
    </row>
    <row r="1097" spans="1:36" s="1030" customFormat="1">
      <c r="A1097" s="990">
        <v>1013</v>
      </c>
      <c r="B1097" s="990">
        <v>1</v>
      </c>
      <c r="C1097" s="990">
        <v>1097</v>
      </c>
      <c r="D1097" s="1121"/>
      <c r="E1097" s="1243">
        <v>1</v>
      </c>
      <c r="F1097" s="316"/>
      <c r="G1097" s="10"/>
      <c r="H1097" s="24"/>
      <c r="I1097" s="751"/>
      <c r="J1097" s="748" t="s">
        <v>724</v>
      </c>
      <c r="K1097" s="748"/>
      <c r="L1097" s="748"/>
      <c r="M1097" s="748"/>
      <c r="N1097" s="748"/>
      <c r="O1097" s="748"/>
      <c r="P1097" s="748"/>
      <c r="Q1097" s="2106"/>
      <c r="R1097" s="2106"/>
      <c r="S1097" s="2106"/>
      <c r="T1097" s="2106"/>
      <c r="U1097" s="2106"/>
      <c r="V1097" s="2106"/>
      <c r="W1097" s="2106"/>
      <c r="X1097" s="2106"/>
      <c r="Y1097" s="2106"/>
      <c r="Z1097" s="2106"/>
      <c r="AA1097" s="2106"/>
      <c r="AB1097" s="2106"/>
      <c r="AC1097" s="1566">
        <v>0</v>
      </c>
      <c r="AD1097" s="763">
        <v>0</v>
      </c>
      <c r="AE1097" s="763">
        <v>0</v>
      </c>
      <c r="AF1097" s="763">
        <v>0</v>
      </c>
      <c r="AG1097" s="763">
        <v>0</v>
      </c>
      <c r="AH1097" s="763">
        <v>0</v>
      </c>
      <c r="AI1097" s="763">
        <v>0</v>
      </c>
    </row>
    <row r="1098" spans="1:36" s="1002" customFormat="1">
      <c r="A1098" s="990">
        <v>1014</v>
      </c>
      <c r="B1098" s="990">
        <v>1</v>
      </c>
      <c r="C1098" s="990">
        <v>1098</v>
      </c>
      <c r="D1098" s="1121"/>
      <c r="E1098" s="1243">
        <v>1</v>
      </c>
      <c r="F1098" s="316"/>
      <c r="G1098" s="10"/>
      <c r="H1098" s="24"/>
      <c r="I1098" s="24"/>
      <c r="J1098" s="75"/>
      <c r="K1098" s="24"/>
      <c r="L1098" s="24"/>
      <c r="M1098" s="75"/>
      <c r="N1098" s="75"/>
      <c r="O1098" s="75"/>
      <c r="P1098" s="75"/>
      <c r="Q1098" s="2200"/>
      <c r="R1098" s="1"/>
      <c r="S1098" s="1"/>
      <c r="T1098" s="1"/>
      <c r="U1098" s="1"/>
      <c r="V1098" s="1"/>
      <c r="W1098" s="1"/>
      <c r="X1098" s="1"/>
      <c r="Y1098" s="1"/>
      <c r="Z1098" s="1"/>
      <c r="AA1098" s="9"/>
      <c r="AB1098" s="86"/>
      <c r="AC1098" s="9"/>
      <c r="AD1098" s="9"/>
      <c r="AE1098" s="9"/>
      <c r="AF1098" s="9"/>
      <c r="AG1098" s="9"/>
      <c r="AH1098" s="9"/>
      <c r="AI1098" s="9"/>
    </row>
    <row r="1099" spans="1:36" s="1002" customFormat="1" ht="15.5">
      <c r="A1099" s="990">
        <v>1015</v>
      </c>
      <c r="B1099" s="990">
        <v>1</v>
      </c>
      <c r="C1099" s="990">
        <v>1099</v>
      </c>
      <c r="D1099" s="1121"/>
      <c r="E1099" s="1243">
        <v>1</v>
      </c>
      <c r="F1099" s="316"/>
      <c r="G1099" s="315" t="s">
        <v>1127</v>
      </c>
      <c r="H1099" s="24"/>
      <c r="I1099" s="24"/>
      <c r="J1099" s="75"/>
      <c r="K1099" s="24"/>
      <c r="L1099" s="24"/>
      <c r="M1099" s="75"/>
      <c r="N1099" s="75"/>
      <c r="O1099" s="75"/>
      <c r="P1099" s="770" t="s">
        <v>611</v>
      </c>
      <c r="Q1099" s="2200"/>
      <c r="R1099" s="1"/>
      <c r="S1099" s="1"/>
      <c r="T1099" s="1"/>
      <c r="U1099" s="1"/>
      <c r="V1099" s="1"/>
      <c r="W1099" s="1"/>
      <c r="X1099" s="1"/>
      <c r="Y1099" s="1"/>
      <c r="Z1099" s="1"/>
      <c r="AA1099" s="9"/>
      <c r="AB1099" s="86"/>
      <c r="AC1099" s="9"/>
      <c r="AD1099" s="9"/>
      <c r="AE1099" s="9"/>
      <c r="AF1099" s="9"/>
      <c r="AG1099" s="9"/>
      <c r="AH1099" s="9"/>
      <c r="AI1099" s="9"/>
    </row>
    <row r="1100" spans="1:36" s="1002" customFormat="1">
      <c r="A1100" s="990">
        <v>1016</v>
      </c>
      <c r="B1100" s="990">
        <v>1</v>
      </c>
      <c r="C1100" s="990">
        <v>1100</v>
      </c>
      <c r="D1100" s="1121"/>
      <c r="E1100" s="1243">
        <v>1</v>
      </c>
      <c r="F1100" s="316"/>
      <c r="G1100" s="10"/>
      <c r="H1100" s="24"/>
      <c r="I1100" s="2678" t="s">
        <v>1128</v>
      </c>
      <c r="J1100" s="2679"/>
      <c r="K1100" s="2679"/>
      <c r="L1100" s="2679"/>
      <c r="M1100" s="2679"/>
      <c r="N1100" s="2679"/>
      <c r="O1100" s="2679"/>
      <c r="P1100" s="2679"/>
      <c r="Q1100" s="2102"/>
      <c r="R1100" s="2102"/>
      <c r="S1100" s="2102"/>
      <c r="T1100" s="2102"/>
      <c r="U1100" s="2102"/>
      <c r="V1100" s="2102"/>
      <c r="W1100" s="2102"/>
      <c r="X1100" s="2102"/>
      <c r="Y1100" s="2102"/>
      <c r="Z1100" s="2102"/>
      <c r="AA1100" s="2102"/>
      <c r="AB1100" s="2102"/>
      <c r="AC1100" s="2677">
        <v>0</v>
      </c>
      <c r="AD1100" s="2571">
        <v>0</v>
      </c>
      <c r="AE1100" s="2571">
        <v>0</v>
      </c>
      <c r="AF1100" s="2571">
        <v>0</v>
      </c>
      <c r="AG1100" s="2571">
        <v>0</v>
      </c>
      <c r="AH1100" s="2571">
        <v>0</v>
      </c>
      <c r="AI1100" s="2571">
        <v>0</v>
      </c>
    </row>
    <row r="1101" spans="1:36" s="998" customFormat="1">
      <c r="A1101" s="990">
        <v>1017</v>
      </c>
      <c r="B1101" s="990"/>
      <c r="C1101" s="990" t="s">
        <v>1129</v>
      </c>
      <c r="D1101" s="1121" t="s">
        <v>999</v>
      </c>
      <c r="E1101" s="1243">
        <v>1</v>
      </c>
      <c r="F1101" s="316"/>
      <c r="G1101" s="316"/>
      <c r="H1101" s="563"/>
      <c r="I1101" s="282"/>
      <c r="J1101" s="282"/>
      <c r="K1101" s="282"/>
      <c r="L1101" s="275"/>
      <c r="M1101" s="24"/>
      <c r="N1101" s="75"/>
      <c r="O1101" s="75"/>
      <c r="P1101" s="75"/>
      <c r="Q1101" s="2227"/>
      <c r="R1101" s="2049"/>
      <c r="S1101" s="2049"/>
      <c r="T1101" s="2049"/>
      <c r="U1101" s="2049"/>
      <c r="V1101" s="2049"/>
      <c r="W1101" s="2049"/>
      <c r="X1101" s="2049"/>
      <c r="Y1101" s="2049"/>
      <c r="Z1101" s="2049"/>
      <c r="AA1101" s="2049"/>
      <c r="AB1101" s="2228"/>
      <c r="AC1101" s="283"/>
      <c r="AD1101" s="283"/>
      <c r="AE1101" s="283"/>
      <c r="AF1101" s="283"/>
      <c r="AG1101" s="283"/>
      <c r="AH1101" s="283"/>
      <c r="AI1101" s="283"/>
    </row>
    <row r="1102" spans="1:36" s="1030" customFormat="1" ht="18">
      <c r="A1102" s="990">
        <v>1</v>
      </c>
      <c r="B1102" s="990">
        <v>1</v>
      </c>
      <c r="C1102" s="990" t="s">
        <v>1129</v>
      </c>
      <c r="D1102" s="1121" t="s">
        <v>999</v>
      </c>
      <c r="E1102" s="1463" t="s">
        <v>1521</v>
      </c>
      <c r="F1102" s="1460" t="s">
        <v>1543</v>
      </c>
      <c r="G1102" s="314"/>
      <c r="H1102" s="24"/>
      <c r="I1102" s="10"/>
      <c r="J1102" s="9"/>
      <c r="K1102" s="10"/>
      <c r="L1102" s="10"/>
      <c r="M1102" s="9"/>
      <c r="N1102" s="9"/>
      <c r="O1102" s="9"/>
      <c r="P1102" s="9"/>
      <c r="Q1102" s="2200"/>
      <c r="R1102" s="1"/>
      <c r="S1102" s="1"/>
      <c r="T1102" s="1"/>
      <c r="U1102" s="1"/>
      <c r="V1102" s="1"/>
      <c r="W1102" s="1"/>
      <c r="X1102" s="1"/>
      <c r="Y1102" s="1"/>
      <c r="Z1102" s="1"/>
      <c r="AA1102" s="9"/>
      <c r="AB1102" s="86"/>
      <c r="AC1102" s="9"/>
      <c r="AD1102" s="9"/>
      <c r="AE1102" s="9"/>
      <c r="AF1102" s="9"/>
      <c r="AG1102" s="9"/>
      <c r="AH1102" s="9"/>
      <c r="AI1102" s="9"/>
    </row>
    <row r="1103" spans="1:36" s="998" customFormat="1">
      <c r="A1103" s="990">
        <v>1</v>
      </c>
      <c r="B1103" s="990">
        <v>1</v>
      </c>
      <c r="C1103" s="990" t="s">
        <v>1129</v>
      </c>
      <c r="D1103" s="1121" t="s">
        <v>999</v>
      </c>
      <c r="E1103" s="1463" t="s">
        <v>1521</v>
      </c>
      <c r="F1103" s="1461"/>
      <c r="G1103" s="24" t="s">
        <v>1544</v>
      </c>
      <c r="H1103" s="24"/>
      <c r="I1103" s="10"/>
      <c r="J1103" s="9"/>
      <c r="K1103" s="10"/>
      <c r="L1103" s="10"/>
      <c r="M1103" s="9"/>
      <c r="N1103" s="9"/>
      <c r="O1103" s="586" t="s">
        <v>1545</v>
      </c>
      <c r="P1103" s="9"/>
      <c r="Q1103" s="2200"/>
      <c r="R1103" s="1"/>
      <c r="S1103" s="1"/>
      <c r="T1103" s="1"/>
      <c r="U1103" s="1"/>
      <c r="V1103" s="1"/>
      <c r="W1103" s="1"/>
      <c r="X1103" s="1"/>
      <c r="Y1103" s="1"/>
      <c r="Z1103" s="1"/>
      <c r="AA1103" s="9"/>
      <c r="AB1103" s="86"/>
      <c r="AC1103" s="9"/>
      <c r="AD1103" s="9"/>
      <c r="AE1103" s="9"/>
      <c r="AF1103" s="9"/>
      <c r="AG1103" s="9"/>
      <c r="AH1103" s="9"/>
      <c r="AI1103" s="9"/>
      <c r="AJ1103" s="1002"/>
    </row>
    <row r="1104" spans="1:36" s="1030" customFormat="1">
      <c r="A1104" s="990">
        <v>1</v>
      </c>
      <c r="B1104" s="990">
        <v>1</v>
      </c>
      <c r="C1104" s="990" t="s">
        <v>1129</v>
      </c>
      <c r="D1104" s="1121" t="s">
        <v>999</v>
      </c>
      <c r="E1104" s="1463" t="s">
        <v>1521</v>
      </c>
      <c r="F1104" s="1453"/>
      <c r="G1104" s="585"/>
      <c r="H1104" s="197"/>
      <c r="I1104" s="1465" t="s">
        <v>1546</v>
      </c>
      <c r="J1104" s="205"/>
      <c r="K1104" s="205"/>
      <c r="L1104" s="205"/>
      <c r="M1104" s="204"/>
      <c r="N1104" s="204"/>
      <c r="O1104" s="204"/>
      <c r="P1104" s="204"/>
      <c r="Q1104" s="1935"/>
      <c r="R1104" s="9"/>
      <c r="S1104" s="196"/>
      <c r="T1104" s="198"/>
      <c r="U1104" s="197"/>
      <c r="V1104" s="197"/>
      <c r="W1104" s="197"/>
      <c r="X1104" s="197"/>
      <c r="Y1104" s="197"/>
      <c r="Z1104" s="197"/>
      <c r="AA1104" s="197"/>
      <c r="AB1104" s="2229"/>
      <c r="AC1104" s="197"/>
      <c r="AD1104" s="197"/>
      <c r="AE1104" s="197"/>
      <c r="AF1104" s="197"/>
      <c r="AG1104" s="197"/>
      <c r="AH1104" s="197"/>
      <c r="AI1104" s="197"/>
    </row>
    <row r="1105" spans="1:35" s="1002" customFormat="1">
      <c r="A1105" s="990">
        <v>1</v>
      </c>
      <c r="B1105" s="990">
        <v>1</v>
      </c>
      <c r="C1105" s="990" t="s">
        <v>1129</v>
      </c>
      <c r="D1105" s="1121" t="s">
        <v>999</v>
      </c>
      <c r="E1105" s="1463" t="s">
        <v>1521</v>
      </c>
      <c r="F1105" s="1454"/>
      <c r="G1105" s="310"/>
      <c r="H1105" s="310"/>
      <c r="I1105" s="2680" t="s">
        <v>1547</v>
      </c>
      <c r="J1105" s="513"/>
      <c r="K1105" s="510"/>
      <c r="L1105" s="510"/>
      <c r="M1105" s="511"/>
      <c r="N1105" s="511"/>
      <c r="O1105" s="511"/>
      <c r="P1105" s="511"/>
      <c r="Q1105" s="2022">
        <v>0</v>
      </c>
      <c r="R1105" s="2022">
        <v>0</v>
      </c>
      <c r="S1105" s="2022">
        <v>0</v>
      </c>
      <c r="T1105" s="2022">
        <v>0</v>
      </c>
      <c r="U1105" s="2022">
        <v>0</v>
      </c>
      <c r="V1105" s="2022">
        <v>0</v>
      </c>
      <c r="W1105" s="2022">
        <v>0</v>
      </c>
      <c r="X1105" s="2022">
        <v>0</v>
      </c>
      <c r="Y1105" s="2022">
        <v>0</v>
      </c>
      <c r="Z1105" s="2022">
        <v>0</v>
      </c>
      <c r="AA1105" s="2022">
        <v>0</v>
      </c>
      <c r="AB1105" s="2022">
        <v>0</v>
      </c>
      <c r="AC1105" s="2681">
        <v>0</v>
      </c>
      <c r="AD1105" s="2022">
        <v>0</v>
      </c>
      <c r="AE1105" s="2022">
        <v>0</v>
      </c>
      <c r="AF1105" s="2022">
        <v>0</v>
      </c>
      <c r="AG1105" s="2022">
        <v>0</v>
      </c>
      <c r="AH1105" s="2022">
        <v>0</v>
      </c>
      <c r="AI1105" s="2022">
        <v>0</v>
      </c>
    </row>
    <row r="1106" spans="1:35" s="1002" customFormat="1">
      <c r="A1106" s="990">
        <v>1</v>
      </c>
      <c r="B1106" s="990">
        <v>1</v>
      </c>
      <c r="C1106" s="990" t="s">
        <v>1129</v>
      </c>
      <c r="D1106" s="1121" t="s">
        <v>999</v>
      </c>
      <c r="E1106" s="1463" t="s">
        <v>1521</v>
      </c>
      <c r="F1106" s="1462"/>
      <c r="G1106" s="309"/>
      <c r="H1106" s="309"/>
      <c r="I1106" s="514"/>
      <c r="J1106" s="2682" t="s">
        <v>1548</v>
      </c>
      <c r="K1106" s="501"/>
      <c r="L1106" s="501"/>
      <c r="M1106" s="502"/>
      <c r="N1106" s="2683"/>
      <c r="O1106" s="502"/>
      <c r="P1106" s="502"/>
      <c r="Q1106" s="2021">
        <v>0</v>
      </c>
      <c r="R1106" s="2021">
        <v>0</v>
      </c>
      <c r="S1106" s="2021">
        <v>0</v>
      </c>
      <c r="T1106" s="2021">
        <v>0</v>
      </c>
      <c r="U1106" s="2021">
        <v>0</v>
      </c>
      <c r="V1106" s="2021">
        <v>0</v>
      </c>
      <c r="W1106" s="2021">
        <v>0</v>
      </c>
      <c r="X1106" s="2021">
        <v>0</v>
      </c>
      <c r="Y1106" s="2021">
        <v>0</v>
      </c>
      <c r="Z1106" s="2021">
        <v>0</v>
      </c>
      <c r="AA1106" s="2021">
        <v>0</v>
      </c>
      <c r="AB1106" s="2021">
        <v>0</v>
      </c>
      <c r="AC1106" s="2684">
        <v>0</v>
      </c>
      <c r="AD1106" s="2021">
        <v>0</v>
      </c>
      <c r="AE1106" s="2021">
        <v>0</v>
      </c>
      <c r="AF1106" s="2021">
        <v>0</v>
      </c>
      <c r="AG1106" s="2021">
        <v>0</v>
      </c>
      <c r="AH1106" s="2021">
        <v>0</v>
      </c>
      <c r="AI1106" s="2021">
        <v>0</v>
      </c>
    </row>
    <row r="1107" spans="1:35" s="1002" customFormat="1">
      <c r="A1107" s="990">
        <v>1</v>
      </c>
      <c r="B1107" s="990">
        <v>1</v>
      </c>
      <c r="C1107" s="990" t="s">
        <v>1129</v>
      </c>
      <c r="D1107" s="1121" t="s">
        <v>999</v>
      </c>
      <c r="E1107" s="1463" t="s">
        <v>1521</v>
      </c>
      <c r="F1107" s="1454"/>
      <c r="G1107" s="310"/>
      <c r="H1107" s="310"/>
      <c r="I1107" s="506"/>
      <c r="J1107" s="505"/>
      <c r="K1107" s="2685" t="s">
        <v>315</v>
      </c>
      <c r="L1107" s="2686"/>
      <c r="M1107" s="2687"/>
      <c r="N1107" s="2687"/>
      <c r="O1107" s="2687"/>
      <c r="P1107" s="2687"/>
      <c r="Q1107" s="1995">
        <v>0</v>
      </c>
      <c r="R1107" s="1995">
        <v>0</v>
      </c>
      <c r="S1107" s="1995">
        <v>0</v>
      </c>
      <c r="T1107" s="1995">
        <v>0</v>
      </c>
      <c r="U1107" s="1995">
        <v>0</v>
      </c>
      <c r="V1107" s="1995">
        <v>0</v>
      </c>
      <c r="W1107" s="1995">
        <v>0</v>
      </c>
      <c r="X1107" s="1995">
        <v>0</v>
      </c>
      <c r="Y1107" s="1995">
        <v>0</v>
      </c>
      <c r="Z1107" s="1995">
        <v>0</v>
      </c>
      <c r="AA1107" s="1995">
        <v>0</v>
      </c>
      <c r="AB1107" s="1995">
        <v>0</v>
      </c>
      <c r="AC1107" s="2688">
        <v>0</v>
      </c>
      <c r="AD1107" s="1995">
        <v>0</v>
      </c>
      <c r="AE1107" s="1995">
        <v>0</v>
      </c>
      <c r="AF1107" s="1995">
        <v>0</v>
      </c>
      <c r="AG1107" s="1995">
        <v>0</v>
      </c>
      <c r="AH1107" s="1995">
        <v>0</v>
      </c>
      <c r="AI1107" s="1995">
        <v>0</v>
      </c>
    </row>
    <row r="1108" spans="1:35" s="998" customFormat="1">
      <c r="A1108" s="990">
        <v>1</v>
      </c>
      <c r="B1108" s="990">
        <v>1</v>
      </c>
      <c r="C1108" s="990" t="s">
        <v>1129</v>
      </c>
      <c r="D1108" s="1121" t="s">
        <v>999</v>
      </c>
      <c r="E1108" s="1463" t="s">
        <v>1521</v>
      </c>
      <c r="F1108" s="1454"/>
      <c r="G1108" s="500"/>
      <c r="H1108" s="500"/>
      <c r="I1108" s="506"/>
      <c r="J1108" s="504"/>
      <c r="K1108" s="2689" t="s">
        <v>98</v>
      </c>
      <c r="L1108" s="524"/>
      <c r="M1108" s="525"/>
      <c r="N1108" s="525"/>
      <c r="O1108" s="525"/>
      <c r="P1108" s="525"/>
      <c r="Q1108" s="1436">
        <v>0</v>
      </c>
      <c r="R1108" s="1436">
        <v>0</v>
      </c>
      <c r="S1108" s="1436">
        <v>0</v>
      </c>
      <c r="T1108" s="1436">
        <v>0</v>
      </c>
      <c r="U1108" s="1436">
        <v>0</v>
      </c>
      <c r="V1108" s="1436">
        <v>0</v>
      </c>
      <c r="W1108" s="1436">
        <v>0</v>
      </c>
      <c r="X1108" s="1436">
        <v>0</v>
      </c>
      <c r="Y1108" s="1436">
        <v>0</v>
      </c>
      <c r="Z1108" s="1436">
        <v>0</v>
      </c>
      <c r="AA1108" s="1436">
        <v>0</v>
      </c>
      <c r="AB1108" s="1436">
        <v>0</v>
      </c>
      <c r="AC1108" s="1570">
        <v>0</v>
      </c>
      <c r="AD1108" s="1436">
        <v>0</v>
      </c>
      <c r="AE1108" s="1436">
        <v>0</v>
      </c>
      <c r="AF1108" s="1436">
        <v>0</v>
      </c>
      <c r="AG1108" s="1436">
        <v>0</v>
      </c>
      <c r="AH1108" s="1436">
        <v>0</v>
      </c>
      <c r="AI1108" s="1436">
        <v>0</v>
      </c>
    </row>
    <row r="1109" spans="1:35" s="1030" customFormat="1">
      <c r="A1109" s="990">
        <v>1</v>
      </c>
      <c r="B1109" s="990">
        <v>1</v>
      </c>
      <c r="C1109" s="990" t="s">
        <v>1129</v>
      </c>
      <c r="D1109" s="9" t="s">
        <v>999</v>
      </c>
      <c r="E1109" s="1463" t="s">
        <v>1521</v>
      </c>
      <c r="F1109" s="1454"/>
      <c r="G1109" s="500"/>
      <c r="H1109" s="500"/>
      <c r="I1109" s="506"/>
      <c r="J1109" s="503"/>
      <c r="K1109" s="519"/>
      <c r="L1109" s="494" t="s">
        <v>1549</v>
      </c>
      <c r="M1109" s="1429"/>
      <c r="N1109" s="1419"/>
      <c r="O1109" s="1419"/>
      <c r="P1109" s="1419"/>
      <c r="Q1109" s="1437">
        <v>0</v>
      </c>
      <c r="R1109" s="1437">
        <v>0</v>
      </c>
      <c r="S1109" s="1437">
        <v>0</v>
      </c>
      <c r="T1109" s="1437">
        <v>0</v>
      </c>
      <c r="U1109" s="1437">
        <v>0</v>
      </c>
      <c r="V1109" s="1437">
        <v>0</v>
      </c>
      <c r="W1109" s="1437">
        <v>0</v>
      </c>
      <c r="X1109" s="1437">
        <v>0</v>
      </c>
      <c r="Y1109" s="1437">
        <v>0</v>
      </c>
      <c r="Z1109" s="1437">
        <v>0</v>
      </c>
      <c r="AA1109" s="1437">
        <v>0</v>
      </c>
      <c r="AB1109" s="1437">
        <v>0</v>
      </c>
      <c r="AC1109" s="1571">
        <v>0</v>
      </c>
      <c r="AD1109" s="1437">
        <v>0</v>
      </c>
      <c r="AE1109" s="1437">
        <v>0</v>
      </c>
      <c r="AF1109" s="1437">
        <v>0</v>
      </c>
      <c r="AG1109" s="1437">
        <v>0</v>
      </c>
      <c r="AH1109" s="1437">
        <v>0</v>
      </c>
      <c r="AI1109" s="1437">
        <v>0</v>
      </c>
    </row>
    <row r="1110" spans="1:35" s="998" customFormat="1">
      <c r="A1110" s="990">
        <v>1</v>
      </c>
      <c r="B1110" s="990">
        <v>1</v>
      </c>
      <c r="C1110" s="990" t="s">
        <v>1129</v>
      </c>
      <c r="D1110" s="9" t="s">
        <v>999</v>
      </c>
      <c r="E1110" s="1463" t="s">
        <v>1521</v>
      </c>
      <c r="F1110" s="1454"/>
      <c r="G1110" s="310"/>
      <c r="H1110" s="310"/>
      <c r="I1110" s="506"/>
      <c r="J1110" s="503"/>
      <c r="K1110" s="519"/>
      <c r="L1110" s="1427"/>
      <c r="M1110" s="1430"/>
      <c r="N1110" s="496" t="s">
        <v>152</v>
      </c>
      <c r="O1110" s="1420"/>
      <c r="P1110" s="1420"/>
      <c r="Q1110" s="1936"/>
      <c r="R1110" s="1936"/>
      <c r="S1110" s="1936"/>
      <c r="T1110" s="1936"/>
      <c r="U1110" s="1936"/>
      <c r="V1110" s="1936"/>
      <c r="W1110" s="1936"/>
      <c r="X1110" s="1936"/>
      <c r="Y1110" s="1936"/>
      <c r="Z1110" s="1936"/>
      <c r="AA1110" s="1936"/>
      <c r="AB1110" s="1936"/>
      <c r="AC1110" s="1572">
        <v>0</v>
      </c>
      <c r="AD1110" s="1438">
        <v>0</v>
      </c>
      <c r="AE1110" s="1438">
        <v>0</v>
      </c>
      <c r="AF1110" s="1438">
        <v>0</v>
      </c>
      <c r="AG1110" s="1438">
        <v>0</v>
      </c>
      <c r="AH1110" s="1438">
        <v>0</v>
      </c>
      <c r="AI1110" s="1438">
        <v>0</v>
      </c>
    </row>
    <row r="1111" spans="1:35" s="1030" customFormat="1">
      <c r="A1111" s="990">
        <v>1</v>
      </c>
      <c r="B1111" s="990">
        <v>1</v>
      </c>
      <c r="C1111" s="990" t="s">
        <v>1129</v>
      </c>
      <c r="D1111" s="9" t="s">
        <v>999</v>
      </c>
      <c r="E1111" s="1463" t="s">
        <v>1521</v>
      </c>
      <c r="F1111" s="1454"/>
      <c r="G1111" s="310"/>
      <c r="H1111" s="310"/>
      <c r="I1111" s="506"/>
      <c r="J1111" s="503"/>
      <c r="K1111" s="519"/>
      <c r="L1111" s="1427"/>
      <c r="M1111" s="1430"/>
      <c r="N1111" s="497" t="s">
        <v>151</v>
      </c>
      <c r="O1111" s="1421"/>
      <c r="P1111" s="1421"/>
      <c r="Q1111" s="1937"/>
      <c r="R1111" s="1937"/>
      <c r="S1111" s="1937"/>
      <c r="T1111" s="1937"/>
      <c r="U1111" s="1937"/>
      <c r="V1111" s="1937"/>
      <c r="W1111" s="1937"/>
      <c r="X1111" s="1937"/>
      <c r="Y1111" s="1937"/>
      <c r="Z1111" s="1937"/>
      <c r="AA1111" s="1937"/>
      <c r="AB1111" s="1937"/>
      <c r="AC1111" s="1573">
        <v>0</v>
      </c>
      <c r="AD1111" s="1439">
        <v>0</v>
      </c>
      <c r="AE1111" s="1439">
        <v>0</v>
      </c>
      <c r="AF1111" s="1439">
        <v>0</v>
      </c>
      <c r="AG1111" s="1439">
        <v>0</v>
      </c>
      <c r="AH1111" s="1439">
        <v>0</v>
      </c>
      <c r="AI1111" s="1439">
        <v>0</v>
      </c>
    </row>
    <row r="1112" spans="1:35">
      <c r="A1112" s="990">
        <v>1</v>
      </c>
      <c r="B1112" s="990">
        <v>1</v>
      </c>
      <c r="C1112" s="990" t="s">
        <v>1129</v>
      </c>
      <c r="D1112" s="9" t="s">
        <v>999</v>
      </c>
      <c r="E1112" s="1463" t="s">
        <v>1521</v>
      </c>
      <c r="F1112" s="1454"/>
      <c r="G1112" s="310"/>
      <c r="H1112" s="310"/>
      <c r="I1112" s="506"/>
      <c r="J1112" s="503"/>
      <c r="K1112" s="519"/>
      <c r="L1112" s="1428"/>
      <c r="M1112" s="1431"/>
      <c r="N1112" s="498" t="s">
        <v>150</v>
      </c>
      <c r="O1112" s="1422"/>
      <c r="P1112" s="1422"/>
      <c r="Q1112" s="1938"/>
      <c r="R1112" s="1938"/>
      <c r="S1112" s="1938"/>
      <c r="T1112" s="1938"/>
      <c r="U1112" s="1938"/>
      <c r="V1112" s="1938"/>
      <c r="W1112" s="1938"/>
      <c r="X1112" s="1938"/>
      <c r="Y1112" s="1938"/>
      <c r="Z1112" s="1938"/>
      <c r="AA1112" s="1938"/>
      <c r="AB1112" s="1938"/>
      <c r="AC1112" s="1574">
        <v>0</v>
      </c>
      <c r="AD1112" s="1440">
        <v>0</v>
      </c>
      <c r="AE1112" s="1440">
        <v>0</v>
      </c>
      <c r="AF1112" s="1440">
        <v>0</v>
      </c>
      <c r="AG1112" s="1440">
        <v>0</v>
      </c>
      <c r="AH1112" s="1440">
        <v>0</v>
      </c>
      <c r="AI1112" s="1440">
        <v>0</v>
      </c>
    </row>
    <row r="1113" spans="1:35">
      <c r="A1113" s="990">
        <v>1</v>
      </c>
      <c r="B1113" s="990">
        <v>1</v>
      </c>
      <c r="C1113" s="990" t="s">
        <v>1129</v>
      </c>
      <c r="D1113" s="9" t="s">
        <v>999</v>
      </c>
      <c r="E1113" s="1463" t="s">
        <v>1521</v>
      </c>
      <c r="F1113" s="1454"/>
      <c r="G1113" s="500"/>
      <c r="H1113" s="500"/>
      <c r="I1113" s="506"/>
      <c r="J1113" s="503"/>
      <c r="K1113" s="519"/>
      <c r="L1113" s="494" t="s">
        <v>312</v>
      </c>
      <c r="M1113" s="197"/>
      <c r="N1113" s="495"/>
      <c r="O1113" s="1422"/>
      <c r="P1113" s="1422"/>
      <c r="Q1113" s="1440">
        <v>0</v>
      </c>
      <c r="R1113" s="1440">
        <v>0</v>
      </c>
      <c r="S1113" s="1440">
        <v>0</v>
      </c>
      <c r="T1113" s="1440">
        <v>0</v>
      </c>
      <c r="U1113" s="1440">
        <v>0</v>
      </c>
      <c r="V1113" s="1440">
        <v>0</v>
      </c>
      <c r="W1113" s="1440">
        <v>0</v>
      </c>
      <c r="X1113" s="1440">
        <v>0</v>
      </c>
      <c r="Y1113" s="1440">
        <v>0</v>
      </c>
      <c r="Z1113" s="1440">
        <v>0</v>
      </c>
      <c r="AA1113" s="1440">
        <v>0</v>
      </c>
      <c r="AB1113" s="1440">
        <v>0</v>
      </c>
      <c r="AC1113" s="1574">
        <v>0</v>
      </c>
      <c r="AD1113" s="1440">
        <v>0</v>
      </c>
      <c r="AE1113" s="1440">
        <v>0</v>
      </c>
      <c r="AF1113" s="1440">
        <v>0</v>
      </c>
      <c r="AG1113" s="1440">
        <v>0</v>
      </c>
      <c r="AH1113" s="1440">
        <v>0</v>
      </c>
      <c r="AI1113" s="1440">
        <v>0</v>
      </c>
    </row>
    <row r="1114" spans="1:35">
      <c r="A1114" s="990">
        <v>1</v>
      </c>
      <c r="B1114" s="990">
        <v>1</v>
      </c>
      <c r="C1114" s="990" t="s">
        <v>1129</v>
      </c>
      <c r="D1114" s="9" t="s">
        <v>999</v>
      </c>
      <c r="E1114" s="1463" t="s">
        <v>1521</v>
      </c>
      <c r="F1114" s="1454"/>
      <c r="G1114" s="310"/>
      <c r="H1114" s="310"/>
      <c r="I1114" s="506"/>
      <c r="J1114" s="503"/>
      <c r="K1114" s="519"/>
      <c r="L1114" s="1427"/>
      <c r="M1114" s="1430"/>
      <c r="N1114" s="496" t="s">
        <v>11</v>
      </c>
      <c r="O1114" s="1420"/>
      <c r="P1114" s="1420"/>
      <c r="Q1114" s="1936"/>
      <c r="R1114" s="1936"/>
      <c r="S1114" s="1936"/>
      <c r="T1114" s="1936"/>
      <c r="U1114" s="1936"/>
      <c r="V1114" s="1936"/>
      <c r="W1114" s="1936"/>
      <c r="X1114" s="1936"/>
      <c r="Y1114" s="1936"/>
      <c r="Z1114" s="1936"/>
      <c r="AA1114" s="1936"/>
      <c r="AB1114" s="1936"/>
      <c r="AC1114" s="1572">
        <v>0</v>
      </c>
      <c r="AD1114" s="1438">
        <v>0</v>
      </c>
      <c r="AE1114" s="1438">
        <v>0</v>
      </c>
      <c r="AF1114" s="1438">
        <v>0</v>
      </c>
      <c r="AG1114" s="1438">
        <v>0</v>
      </c>
      <c r="AH1114" s="1438">
        <v>0</v>
      </c>
      <c r="AI1114" s="1438">
        <v>0</v>
      </c>
    </row>
    <row r="1115" spans="1:35">
      <c r="A1115" s="990">
        <v>1</v>
      </c>
      <c r="B1115" s="990">
        <v>1</v>
      </c>
      <c r="C1115" s="990" t="s">
        <v>1129</v>
      </c>
      <c r="D1115" s="9" t="s">
        <v>999</v>
      </c>
      <c r="E1115" s="1463" t="s">
        <v>1521</v>
      </c>
      <c r="F1115" s="1454"/>
      <c r="G1115" s="310"/>
      <c r="H1115" s="310"/>
      <c r="I1115" s="506"/>
      <c r="J1115" s="503"/>
      <c r="K1115" s="519"/>
      <c r="L1115" s="1427"/>
      <c r="M1115" s="1430"/>
      <c r="N1115" s="497" t="s">
        <v>1550</v>
      </c>
      <c r="O1115" s="1421"/>
      <c r="P1115" s="1421"/>
      <c r="Q1115" s="1937"/>
      <c r="R1115" s="1937"/>
      <c r="S1115" s="1937"/>
      <c r="T1115" s="1937"/>
      <c r="U1115" s="1937"/>
      <c r="V1115" s="1937"/>
      <c r="W1115" s="1937"/>
      <c r="X1115" s="1937"/>
      <c r="Y1115" s="1937"/>
      <c r="Z1115" s="1937"/>
      <c r="AA1115" s="1937"/>
      <c r="AB1115" s="1937"/>
      <c r="AC1115" s="1573">
        <v>0</v>
      </c>
      <c r="AD1115" s="1439">
        <v>0</v>
      </c>
      <c r="AE1115" s="1439">
        <v>0</v>
      </c>
      <c r="AF1115" s="1439">
        <v>0</v>
      </c>
      <c r="AG1115" s="1439">
        <v>0</v>
      </c>
      <c r="AH1115" s="1439">
        <v>0</v>
      </c>
      <c r="AI1115" s="1439">
        <v>0</v>
      </c>
    </row>
    <row r="1116" spans="1:35">
      <c r="A1116" s="990">
        <v>1</v>
      </c>
      <c r="B1116" s="990">
        <v>1</v>
      </c>
      <c r="C1116" s="990" t="s">
        <v>1129</v>
      </c>
      <c r="D1116" s="9" t="s">
        <v>999</v>
      </c>
      <c r="E1116" s="1463" t="s">
        <v>1521</v>
      </c>
      <c r="F1116" s="1454"/>
      <c r="G1116" s="310"/>
      <c r="H1116" s="310"/>
      <c r="I1116" s="506"/>
      <c r="J1116" s="503"/>
      <c r="K1116" s="520"/>
      <c r="L1116" s="1428"/>
      <c r="M1116" s="1432"/>
      <c r="N1116" s="499" t="s">
        <v>1084</v>
      </c>
      <c r="O1116" s="1423"/>
      <c r="P1116" s="1423"/>
      <c r="Q1116" s="1939"/>
      <c r="R1116" s="1939"/>
      <c r="S1116" s="1939"/>
      <c r="T1116" s="1939"/>
      <c r="U1116" s="1939"/>
      <c r="V1116" s="1939"/>
      <c r="W1116" s="1939"/>
      <c r="X1116" s="1939"/>
      <c r="Y1116" s="1939"/>
      <c r="Z1116" s="1939"/>
      <c r="AA1116" s="1939"/>
      <c r="AB1116" s="1939"/>
      <c r="AC1116" s="1575">
        <v>0</v>
      </c>
      <c r="AD1116" s="1441">
        <v>0</v>
      </c>
      <c r="AE1116" s="1441">
        <v>0</v>
      </c>
      <c r="AF1116" s="1441">
        <v>0</v>
      </c>
      <c r="AG1116" s="1441">
        <v>0</v>
      </c>
      <c r="AH1116" s="1441">
        <v>0</v>
      </c>
      <c r="AI1116" s="1441">
        <v>0</v>
      </c>
    </row>
    <row r="1117" spans="1:35">
      <c r="A1117" s="990">
        <v>1</v>
      </c>
      <c r="B1117" s="990">
        <v>1</v>
      </c>
      <c r="C1117" s="990" t="s">
        <v>1129</v>
      </c>
      <c r="D1117" s="9" t="s">
        <v>999</v>
      </c>
      <c r="E1117" s="1463" t="s">
        <v>1521</v>
      </c>
      <c r="F1117" s="1454"/>
      <c r="G1117" s="500"/>
      <c r="H1117" s="500"/>
      <c r="I1117" s="507"/>
      <c r="J1117" s="504"/>
      <c r="K1117" s="2689" t="s">
        <v>1035</v>
      </c>
      <c r="L1117" s="524"/>
      <c r="M1117" s="525"/>
      <c r="N1117" s="525"/>
      <c r="O1117" s="525"/>
      <c r="P1117" s="525"/>
      <c r="Q1117" s="1436">
        <v>0</v>
      </c>
      <c r="R1117" s="1436">
        <v>0</v>
      </c>
      <c r="S1117" s="1436">
        <v>0</v>
      </c>
      <c r="T1117" s="1436">
        <v>0</v>
      </c>
      <c r="U1117" s="1436">
        <v>0</v>
      </c>
      <c r="V1117" s="1436">
        <v>0</v>
      </c>
      <c r="W1117" s="1436">
        <v>0</v>
      </c>
      <c r="X1117" s="1436">
        <v>0</v>
      </c>
      <c r="Y1117" s="1436">
        <v>0</v>
      </c>
      <c r="Z1117" s="1436">
        <v>0</v>
      </c>
      <c r="AA1117" s="1436">
        <v>0</v>
      </c>
      <c r="AB1117" s="1436">
        <v>0</v>
      </c>
      <c r="AC1117" s="1570">
        <v>0</v>
      </c>
      <c r="AD1117" s="1436">
        <v>0</v>
      </c>
      <c r="AE1117" s="1436">
        <v>0</v>
      </c>
      <c r="AF1117" s="1436">
        <v>0</v>
      </c>
      <c r="AG1117" s="1436">
        <v>0</v>
      </c>
      <c r="AH1117" s="1436">
        <v>0</v>
      </c>
      <c r="AI1117" s="1436">
        <v>0</v>
      </c>
    </row>
    <row r="1118" spans="1:35">
      <c r="A1118" s="990">
        <v>1</v>
      </c>
      <c r="B1118" s="990">
        <v>1</v>
      </c>
      <c r="C1118" s="990" t="s">
        <v>1129</v>
      </c>
      <c r="D1118" s="9" t="s">
        <v>999</v>
      </c>
      <c r="E1118" s="1463" t="s">
        <v>1521</v>
      </c>
      <c r="F1118" s="1454"/>
      <c r="G1118" s="500"/>
      <c r="H1118" s="500"/>
      <c r="I1118" s="506"/>
      <c r="J1118" s="503"/>
      <c r="K1118" s="519"/>
      <c r="L1118" s="494" t="s">
        <v>1549</v>
      </c>
      <c r="M1118" s="197"/>
      <c r="N1118" s="495"/>
      <c r="O1118" s="1419"/>
      <c r="P1118" s="1419"/>
      <c r="Q1118" s="1437">
        <v>0</v>
      </c>
      <c r="R1118" s="1437">
        <v>0</v>
      </c>
      <c r="S1118" s="1437">
        <v>0</v>
      </c>
      <c r="T1118" s="1437">
        <v>0</v>
      </c>
      <c r="U1118" s="1437">
        <v>0</v>
      </c>
      <c r="V1118" s="1437">
        <v>0</v>
      </c>
      <c r="W1118" s="1437">
        <v>0</v>
      </c>
      <c r="X1118" s="1437">
        <v>0</v>
      </c>
      <c r="Y1118" s="1437">
        <v>0</v>
      </c>
      <c r="Z1118" s="1437">
        <v>0</v>
      </c>
      <c r="AA1118" s="1437">
        <v>0</v>
      </c>
      <c r="AB1118" s="1437">
        <v>0</v>
      </c>
      <c r="AC1118" s="1571">
        <v>0</v>
      </c>
      <c r="AD1118" s="1437">
        <v>0</v>
      </c>
      <c r="AE1118" s="1437">
        <v>0</v>
      </c>
      <c r="AF1118" s="1437">
        <v>0</v>
      </c>
      <c r="AG1118" s="1437">
        <v>0</v>
      </c>
      <c r="AH1118" s="1437">
        <v>0</v>
      </c>
      <c r="AI1118" s="1437">
        <v>0</v>
      </c>
    </row>
    <row r="1119" spans="1:35">
      <c r="A1119" s="990">
        <v>1</v>
      </c>
      <c r="B1119" s="990">
        <v>1</v>
      </c>
      <c r="C1119" s="990" t="s">
        <v>1129</v>
      </c>
      <c r="D1119" s="9" t="s">
        <v>999</v>
      </c>
      <c r="E1119" s="1463" t="s">
        <v>1521</v>
      </c>
      <c r="F1119" s="1454"/>
      <c r="G1119" s="310"/>
      <c r="H1119" s="310"/>
      <c r="I1119" s="506"/>
      <c r="J1119" s="503"/>
      <c r="K1119" s="519"/>
      <c r="L1119" s="1427"/>
      <c r="M1119" s="1430"/>
      <c r="N1119" s="496" t="s">
        <v>152</v>
      </c>
      <c r="O1119" s="1420"/>
      <c r="P1119" s="1420"/>
      <c r="Q1119" s="1936"/>
      <c r="R1119" s="1936"/>
      <c r="S1119" s="1936"/>
      <c r="T1119" s="1936"/>
      <c r="U1119" s="1936"/>
      <c r="V1119" s="1936"/>
      <c r="W1119" s="1936"/>
      <c r="X1119" s="1936"/>
      <c r="Y1119" s="1936"/>
      <c r="Z1119" s="1936"/>
      <c r="AA1119" s="1936"/>
      <c r="AB1119" s="1936"/>
      <c r="AC1119" s="1572">
        <v>0</v>
      </c>
      <c r="AD1119" s="1438">
        <v>0</v>
      </c>
      <c r="AE1119" s="1438">
        <v>0</v>
      </c>
      <c r="AF1119" s="1438">
        <v>0</v>
      </c>
      <c r="AG1119" s="1438">
        <v>0</v>
      </c>
      <c r="AH1119" s="1438">
        <v>0</v>
      </c>
      <c r="AI1119" s="1438">
        <v>0</v>
      </c>
    </row>
    <row r="1120" spans="1:35">
      <c r="A1120" s="990">
        <v>1</v>
      </c>
      <c r="B1120" s="990">
        <v>1</v>
      </c>
      <c r="C1120" s="990" t="s">
        <v>1129</v>
      </c>
      <c r="D1120" s="9" t="s">
        <v>999</v>
      </c>
      <c r="E1120" s="1463" t="s">
        <v>1521</v>
      </c>
      <c r="F1120" s="1454"/>
      <c r="G1120" s="310"/>
      <c r="H1120" s="310"/>
      <c r="I1120" s="506"/>
      <c r="J1120" s="503"/>
      <c r="K1120" s="519"/>
      <c r="L1120" s="1427"/>
      <c r="M1120" s="1430"/>
      <c r="N1120" s="497" t="s">
        <v>151</v>
      </c>
      <c r="O1120" s="1421"/>
      <c r="P1120" s="1421"/>
      <c r="Q1120" s="1937"/>
      <c r="R1120" s="1937"/>
      <c r="S1120" s="1937"/>
      <c r="T1120" s="1937"/>
      <c r="U1120" s="1937"/>
      <c r="V1120" s="1937"/>
      <c r="W1120" s="1937"/>
      <c r="X1120" s="1937"/>
      <c r="Y1120" s="1937"/>
      <c r="Z1120" s="1937"/>
      <c r="AA1120" s="1937"/>
      <c r="AB1120" s="1937"/>
      <c r="AC1120" s="1573">
        <v>0</v>
      </c>
      <c r="AD1120" s="1439">
        <v>0</v>
      </c>
      <c r="AE1120" s="1439">
        <v>0</v>
      </c>
      <c r="AF1120" s="1439">
        <v>0</v>
      </c>
      <c r="AG1120" s="1439">
        <v>0</v>
      </c>
      <c r="AH1120" s="1439">
        <v>0</v>
      </c>
      <c r="AI1120" s="1439">
        <v>0</v>
      </c>
    </row>
    <row r="1121" spans="1:35">
      <c r="A1121" s="990">
        <v>1</v>
      </c>
      <c r="B1121" s="990">
        <v>1</v>
      </c>
      <c r="C1121" s="990" t="s">
        <v>1129</v>
      </c>
      <c r="D1121" s="9" t="s">
        <v>999</v>
      </c>
      <c r="E1121" s="1463" t="s">
        <v>1521</v>
      </c>
      <c r="F1121" s="1454"/>
      <c r="G1121" s="310"/>
      <c r="H1121" s="310"/>
      <c r="I1121" s="506"/>
      <c r="J1121" s="503"/>
      <c r="K1121" s="519"/>
      <c r="L1121" s="1428"/>
      <c r="M1121" s="1431"/>
      <c r="N1121" s="498" t="s">
        <v>150</v>
      </c>
      <c r="O1121" s="1422"/>
      <c r="P1121" s="1422"/>
      <c r="Q1121" s="1938"/>
      <c r="R1121" s="1938"/>
      <c r="S1121" s="1938"/>
      <c r="T1121" s="1938"/>
      <c r="U1121" s="1938"/>
      <c r="V1121" s="1938"/>
      <c r="W1121" s="1938"/>
      <c r="X1121" s="1938"/>
      <c r="Y1121" s="1938"/>
      <c r="Z1121" s="1938"/>
      <c r="AA1121" s="1938"/>
      <c r="AB1121" s="1938"/>
      <c r="AC1121" s="1574">
        <v>0</v>
      </c>
      <c r="AD1121" s="1440">
        <v>0</v>
      </c>
      <c r="AE1121" s="1440">
        <v>0</v>
      </c>
      <c r="AF1121" s="1440">
        <v>0</v>
      </c>
      <c r="AG1121" s="1440">
        <v>0</v>
      </c>
      <c r="AH1121" s="1440">
        <v>0</v>
      </c>
      <c r="AI1121" s="1440">
        <v>0</v>
      </c>
    </row>
    <row r="1122" spans="1:35">
      <c r="A1122" s="990">
        <v>1</v>
      </c>
      <c r="B1122" s="990">
        <v>1</v>
      </c>
      <c r="C1122" s="990" t="s">
        <v>1129</v>
      </c>
      <c r="D1122" s="9" t="s">
        <v>999</v>
      </c>
      <c r="E1122" s="1463" t="s">
        <v>1521</v>
      </c>
      <c r="F1122" s="1454"/>
      <c r="G1122" s="310"/>
      <c r="H1122" s="310"/>
      <c r="I1122" s="506"/>
      <c r="J1122" s="503"/>
      <c r="K1122" s="519"/>
      <c r="L1122" s="494" t="s">
        <v>312</v>
      </c>
      <c r="M1122" s="197"/>
      <c r="N1122" s="495"/>
      <c r="O1122" s="1422"/>
      <c r="P1122" s="1422"/>
      <c r="Q1122" s="1440">
        <v>0</v>
      </c>
      <c r="R1122" s="1440">
        <v>0</v>
      </c>
      <c r="S1122" s="1440">
        <v>0</v>
      </c>
      <c r="T1122" s="1440">
        <v>0</v>
      </c>
      <c r="U1122" s="1440">
        <v>0</v>
      </c>
      <c r="V1122" s="1440">
        <v>0</v>
      </c>
      <c r="W1122" s="1440">
        <v>0</v>
      </c>
      <c r="X1122" s="1440">
        <v>0</v>
      </c>
      <c r="Y1122" s="1440">
        <v>0</v>
      </c>
      <c r="Z1122" s="1440">
        <v>0</v>
      </c>
      <c r="AA1122" s="1440">
        <v>0</v>
      </c>
      <c r="AB1122" s="1440">
        <v>0</v>
      </c>
      <c r="AC1122" s="1574">
        <v>0</v>
      </c>
      <c r="AD1122" s="1440">
        <v>0</v>
      </c>
      <c r="AE1122" s="1440">
        <v>0</v>
      </c>
      <c r="AF1122" s="1440">
        <v>0</v>
      </c>
      <c r="AG1122" s="1440">
        <v>0</v>
      </c>
      <c r="AH1122" s="1440">
        <v>0</v>
      </c>
      <c r="AI1122" s="1440">
        <v>0</v>
      </c>
    </row>
    <row r="1123" spans="1:35">
      <c r="A1123" s="990">
        <v>1</v>
      </c>
      <c r="B1123" s="990">
        <v>1</v>
      </c>
      <c r="C1123" s="990" t="s">
        <v>1129</v>
      </c>
      <c r="D1123" s="9" t="s">
        <v>999</v>
      </c>
      <c r="E1123" s="1463" t="s">
        <v>1521</v>
      </c>
      <c r="F1123" s="1454"/>
      <c r="G1123" s="310"/>
      <c r="H1123" s="310"/>
      <c r="I1123" s="506"/>
      <c r="J1123" s="503"/>
      <c r="K1123" s="519"/>
      <c r="L1123" s="1427"/>
      <c r="M1123" s="1430"/>
      <c r="N1123" s="496" t="s">
        <v>11</v>
      </c>
      <c r="O1123" s="1420"/>
      <c r="P1123" s="1420"/>
      <c r="Q1123" s="1936"/>
      <c r="R1123" s="1936"/>
      <c r="S1123" s="1936"/>
      <c r="T1123" s="1936"/>
      <c r="U1123" s="1936"/>
      <c r="V1123" s="1936"/>
      <c r="W1123" s="1936"/>
      <c r="X1123" s="1936"/>
      <c r="Y1123" s="1936"/>
      <c r="Z1123" s="1936"/>
      <c r="AA1123" s="1936"/>
      <c r="AB1123" s="1936"/>
      <c r="AC1123" s="1572">
        <v>0</v>
      </c>
      <c r="AD1123" s="1438">
        <v>0</v>
      </c>
      <c r="AE1123" s="1438">
        <v>0</v>
      </c>
      <c r="AF1123" s="1438">
        <v>0</v>
      </c>
      <c r="AG1123" s="1438">
        <v>0</v>
      </c>
      <c r="AH1123" s="1438">
        <v>0</v>
      </c>
      <c r="AI1123" s="1438">
        <v>0</v>
      </c>
    </row>
    <row r="1124" spans="1:35">
      <c r="A1124" s="990">
        <v>1</v>
      </c>
      <c r="B1124" s="990">
        <v>1</v>
      </c>
      <c r="C1124" s="990" t="s">
        <v>1129</v>
      </c>
      <c r="D1124" s="9" t="s">
        <v>999</v>
      </c>
      <c r="E1124" s="1463" t="s">
        <v>1521</v>
      </c>
      <c r="F1124" s="1454"/>
      <c r="G1124" s="310"/>
      <c r="H1124" s="310"/>
      <c r="I1124" s="506"/>
      <c r="J1124" s="503"/>
      <c r="K1124" s="519"/>
      <c r="L1124" s="1427"/>
      <c r="M1124" s="1430"/>
      <c r="N1124" s="497" t="s">
        <v>1550</v>
      </c>
      <c r="O1124" s="1421"/>
      <c r="P1124" s="1421"/>
      <c r="Q1124" s="1937"/>
      <c r="R1124" s="1937"/>
      <c r="S1124" s="1937"/>
      <c r="T1124" s="1937"/>
      <c r="U1124" s="1937"/>
      <c r="V1124" s="1937"/>
      <c r="W1124" s="1937"/>
      <c r="X1124" s="1937"/>
      <c r="Y1124" s="1937"/>
      <c r="Z1124" s="1937"/>
      <c r="AA1124" s="1937"/>
      <c r="AB1124" s="1937"/>
      <c r="AC1124" s="1573">
        <v>0</v>
      </c>
      <c r="AD1124" s="1439">
        <v>0</v>
      </c>
      <c r="AE1124" s="1439">
        <v>0</v>
      </c>
      <c r="AF1124" s="1439">
        <v>0</v>
      </c>
      <c r="AG1124" s="1439">
        <v>0</v>
      </c>
      <c r="AH1124" s="1439">
        <v>0</v>
      </c>
      <c r="AI1124" s="1439">
        <v>0</v>
      </c>
    </row>
    <row r="1125" spans="1:35">
      <c r="A1125" s="990">
        <v>1</v>
      </c>
      <c r="B1125" s="990">
        <v>1</v>
      </c>
      <c r="C1125" s="990" t="s">
        <v>1129</v>
      </c>
      <c r="D1125" s="9" t="s">
        <v>999</v>
      </c>
      <c r="E1125" s="1463" t="s">
        <v>1521</v>
      </c>
      <c r="F1125" s="1454"/>
      <c r="G1125" s="310"/>
      <c r="H1125" s="310"/>
      <c r="I1125" s="506"/>
      <c r="J1125" s="503"/>
      <c r="K1125" s="520"/>
      <c r="L1125" s="1428"/>
      <c r="M1125" s="1432"/>
      <c r="N1125" s="499" t="s">
        <v>1084</v>
      </c>
      <c r="O1125" s="1423"/>
      <c r="P1125" s="1423"/>
      <c r="Q1125" s="1939"/>
      <c r="R1125" s="1939"/>
      <c r="S1125" s="1939"/>
      <c r="T1125" s="1939"/>
      <c r="U1125" s="1939"/>
      <c r="V1125" s="1939"/>
      <c r="W1125" s="1939"/>
      <c r="X1125" s="1939"/>
      <c r="Y1125" s="1939"/>
      <c r="Z1125" s="1939"/>
      <c r="AA1125" s="1939"/>
      <c r="AB1125" s="1939"/>
      <c r="AC1125" s="1575">
        <v>0</v>
      </c>
      <c r="AD1125" s="1441">
        <v>0</v>
      </c>
      <c r="AE1125" s="1441">
        <v>0</v>
      </c>
      <c r="AF1125" s="1441">
        <v>0</v>
      </c>
      <c r="AG1125" s="1441">
        <v>0</v>
      </c>
      <c r="AH1125" s="1441">
        <v>0</v>
      </c>
      <c r="AI1125" s="1441">
        <v>0</v>
      </c>
    </row>
    <row r="1126" spans="1:35">
      <c r="A1126" s="990">
        <v>1</v>
      </c>
      <c r="B1126" s="990">
        <v>1</v>
      </c>
      <c r="C1126" s="990" t="s">
        <v>1129</v>
      </c>
      <c r="D1126" s="9" t="s">
        <v>999</v>
      </c>
      <c r="E1126" s="1463" t="s">
        <v>1521</v>
      </c>
      <c r="F1126" s="1454"/>
      <c r="G1126" s="310"/>
      <c r="H1126" s="310"/>
      <c r="I1126" s="506"/>
      <c r="J1126" s="503"/>
      <c r="K1126" s="2689" t="s">
        <v>1038</v>
      </c>
      <c r="L1126" s="524"/>
      <c r="M1126" s="526"/>
      <c r="N1126" s="526"/>
      <c r="O1126" s="526"/>
      <c r="P1126" s="526"/>
      <c r="Q1126" s="1436">
        <v>0</v>
      </c>
      <c r="R1126" s="1436">
        <v>0</v>
      </c>
      <c r="S1126" s="1436">
        <v>0</v>
      </c>
      <c r="T1126" s="1436">
        <v>0</v>
      </c>
      <c r="U1126" s="1436">
        <v>0</v>
      </c>
      <c r="V1126" s="1436">
        <v>0</v>
      </c>
      <c r="W1126" s="1436">
        <v>0</v>
      </c>
      <c r="X1126" s="1436">
        <v>0</v>
      </c>
      <c r="Y1126" s="1436">
        <v>0</v>
      </c>
      <c r="Z1126" s="1436">
        <v>0</v>
      </c>
      <c r="AA1126" s="1436">
        <v>0</v>
      </c>
      <c r="AB1126" s="1436">
        <v>0</v>
      </c>
      <c r="AC1126" s="1570">
        <v>0</v>
      </c>
      <c r="AD1126" s="1436">
        <v>0</v>
      </c>
      <c r="AE1126" s="1436">
        <v>0</v>
      </c>
      <c r="AF1126" s="1436">
        <v>0</v>
      </c>
      <c r="AG1126" s="1436">
        <v>0</v>
      </c>
      <c r="AH1126" s="1436">
        <v>0</v>
      </c>
      <c r="AI1126" s="1436">
        <v>0</v>
      </c>
    </row>
    <row r="1127" spans="1:35">
      <c r="A1127" s="990">
        <v>1</v>
      </c>
      <c r="B1127" s="990">
        <v>1</v>
      </c>
      <c r="C1127" s="990" t="s">
        <v>1129</v>
      </c>
      <c r="D1127" s="9" t="s">
        <v>999</v>
      </c>
      <c r="E1127" s="1463" t="s">
        <v>1521</v>
      </c>
      <c r="F1127" s="1454"/>
      <c r="G1127" s="310"/>
      <c r="H1127" s="310"/>
      <c r="I1127" s="506"/>
      <c r="J1127" s="503"/>
      <c r="K1127" s="519"/>
      <c r="L1127" s="494" t="s">
        <v>1549</v>
      </c>
      <c r="M1127" s="197"/>
      <c r="N1127" s="494" t="s">
        <v>1040</v>
      </c>
      <c r="O1127" s="1424"/>
      <c r="P1127" s="1424"/>
      <c r="Q1127" s="1936"/>
      <c r="R1127" s="1936"/>
      <c r="S1127" s="1936"/>
      <c r="T1127" s="1936"/>
      <c r="U1127" s="1936"/>
      <c r="V1127" s="1936"/>
      <c r="W1127" s="1936"/>
      <c r="X1127" s="1936"/>
      <c r="Y1127" s="1936"/>
      <c r="Z1127" s="1936"/>
      <c r="AA1127" s="1936"/>
      <c r="AB1127" s="1936"/>
      <c r="AC1127" s="1572">
        <v>0</v>
      </c>
      <c r="AD1127" s="1438">
        <v>0</v>
      </c>
      <c r="AE1127" s="1438">
        <v>0</v>
      </c>
      <c r="AF1127" s="1438">
        <v>0</v>
      </c>
      <c r="AG1127" s="1438">
        <v>0</v>
      </c>
      <c r="AH1127" s="1438">
        <v>0</v>
      </c>
      <c r="AI1127" s="1438">
        <v>0</v>
      </c>
    </row>
    <row r="1128" spans="1:35">
      <c r="A1128" s="990">
        <v>1</v>
      </c>
      <c r="B1128" s="990">
        <v>1</v>
      </c>
      <c r="C1128" s="990" t="s">
        <v>1129</v>
      </c>
      <c r="D1128" s="9" t="s">
        <v>999</v>
      </c>
      <c r="E1128" s="1463" t="s">
        <v>1521</v>
      </c>
      <c r="F1128" s="1454"/>
      <c r="G1128" s="310"/>
      <c r="H1128" s="310"/>
      <c r="I1128" s="506"/>
      <c r="J1128" s="503"/>
      <c r="K1128" s="520"/>
      <c r="L1128" s="664" t="s">
        <v>312</v>
      </c>
      <c r="M1128" s="1432"/>
      <c r="N1128" s="665" t="s">
        <v>1551</v>
      </c>
      <c r="O1128" s="1425"/>
      <c r="P1128" s="1425"/>
      <c r="Q1128" s="1939"/>
      <c r="R1128" s="1939"/>
      <c r="S1128" s="1939"/>
      <c r="T1128" s="1939"/>
      <c r="U1128" s="1939"/>
      <c r="V1128" s="1939"/>
      <c r="W1128" s="1939"/>
      <c r="X1128" s="1939"/>
      <c r="Y1128" s="1939"/>
      <c r="Z1128" s="1939"/>
      <c r="AA1128" s="1939"/>
      <c r="AB1128" s="1939"/>
      <c r="AC1128" s="1575">
        <v>0</v>
      </c>
      <c r="AD1128" s="1441">
        <v>0</v>
      </c>
      <c r="AE1128" s="1441">
        <v>0</v>
      </c>
      <c r="AF1128" s="1441">
        <v>0</v>
      </c>
      <c r="AG1128" s="1441">
        <v>0</v>
      </c>
      <c r="AH1128" s="1441">
        <v>0</v>
      </c>
      <c r="AI1128" s="1441">
        <v>0</v>
      </c>
    </row>
    <row r="1129" spans="1:35">
      <c r="A1129" s="990">
        <v>1</v>
      </c>
      <c r="B1129" s="990">
        <v>1</v>
      </c>
      <c r="C1129" s="990" t="s">
        <v>1129</v>
      </c>
      <c r="D1129" s="9" t="s">
        <v>999</v>
      </c>
      <c r="E1129" s="1463" t="s">
        <v>1521</v>
      </c>
      <c r="F1129" s="1454"/>
      <c r="G1129" s="310"/>
      <c r="H1129" s="310"/>
      <c r="I1129" s="506"/>
      <c r="J1129" s="503"/>
      <c r="K1129" s="521" t="s">
        <v>1075</v>
      </c>
      <c r="L1129" s="523"/>
      <c r="M1129" s="527"/>
      <c r="N1129" s="528"/>
      <c r="O1129" s="528"/>
      <c r="P1129" s="528"/>
      <c r="Q1129" s="1940"/>
      <c r="R1129" s="1940"/>
      <c r="S1129" s="1940"/>
      <c r="T1129" s="1940"/>
      <c r="U1129" s="1940"/>
      <c r="V1129" s="1940"/>
      <c r="W1129" s="1940"/>
      <c r="X1129" s="1940"/>
      <c r="Y1129" s="1940"/>
      <c r="Z1129" s="1940"/>
      <c r="AA1129" s="1940"/>
      <c r="AB1129" s="1940"/>
      <c r="AC1129" s="2690">
        <v>0</v>
      </c>
      <c r="AD1129" s="2691">
        <v>0</v>
      </c>
      <c r="AE1129" s="2691">
        <v>0</v>
      </c>
      <c r="AF1129" s="2691">
        <v>0</v>
      </c>
      <c r="AG1129" s="2691">
        <v>0</v>
      </c>
      <c r="AH1129" s="2691">
        <v>0</v>
      </c>
      <c r="AI1129" s="2691">
        <v>0</v>
      </c>
    </row>
    <row r="1130" spans="1:35">
      <c r="A1130" s="990">
        <v>1</v>
      </c>
      <c r="B1130" s="990">
        <v>1</v>
      </c>
      <c r="C1130" s="990" t="s">
        <v>1129</v>
      </c>
      <c r="D1130" s="9" t="s">
        <v>999</v>
      </c>
      <c r="E1130" s="1463" t="s">
        <v>1521</v>
      </c>
      <c r="F1130" s="1454"/>
      <c r="G1130" s="310"/>
      <c r="H1130" s="310"/>
      <c r="I1130" s="506"/>
      <c r="J1130" s="503"/>
      <c r="K1130" s="2692" t="s">
        <v>1063</v>
      </c>
      <c r="L1130" s="2686"/>
      <c r="M1130" s="523"/>
      <c r="N1130" s="523"/>
      <c r="O1130" s="523"/>
      <c r="P1130" s="523"/>
      <c r="Q1130" s="1443"/>
      <c r="R1130" s="1443"/>
      <c r="S1130" s="1443"/>
      <c r="T1130" s="1443"/>
      <c r="U1130" s="1443"/>
      <c r="V1130" s="1443"/>
      <c r="W1130" s="1443"/>
      <c r="X1130" s="1443"/>
      <c r="Y1130" s="1443"/>
      <c r="Z1130" s="1443"/>
      <c r="AA1130" s="1443"/>
      <c r="AB1130" s="1443"/>
      <c r="AC1130" s="1577">
        <v>0</v>
      </c>
      <c r="AD1130" s="1443">
        <v>0</v>
      </c>
      <c r="AE1130" s="1443">
        <v>0</v>
      </c>
      <c r="AF1130" s="1443">
        <v>0</v>
      </c>
      <c r="AG1130" s="1443">
        <v>0</v>
      </c>
      <c r="AH1130" s="1443">
        <v>0</v>
      </c>
      <c r="AI1130" s="1443">
        <v>0</v>
      </c>
    </row>
    <row r="1131" spans="1:35">
      <c r="A1131" s="990">
        <v>1</v>
      </c>
      <c r="B1131" s="990">
        <v>1</v>
      </c>
      <c r="C1131" s="990" t="s">
        <v>1129</v>
      </c>
      <c r="D1131" s="9" t="s">
        <v>999</v>
      </c>
      <c r="E1131" s="1463" t="s">
        <v>1521</v>
      </c>
      <c r="F1131" s="1454"/>
      <c r="G1131" s="310"/>
      <c r="H1131" s="310"/>
      <c r="I1131" s="506"/>
      <c r="J1131" s="503"/>
      <c r="K1131" s="2693" t="s">
        <v>436</v>
      </c>
      <c r="L1131" s="2694"/>
      <c r="M1131" s="2694"/>
      <c r="N1131" s="2695"/>
      <c r="O1131" s="1426"/>
      <c r="P1131" s="1426"/>
      <c r="Q1131" s="1941"/>
      <c r="R1131" s="1941"/>
      <c r="S1131" s="1941"/>
      <c r="T1131" s="1941"/>
      <c r="U1131" s="1941"/>
      <c r="V1131" s="1941"/>
      <c r="W1131" s="1941"/>
      <c r="X1131" s="1941"/>
      <c r="Y1131" s="1941"/>
      <c r="Z1131" s="1941"/>
      <c r="AA1131" s="1941"/>
      <c r="AB1131" s="1941"/>
      <c r="AC1131" s="2696">
        <v>0</v>
      </c>
      <c r="AD1131" s="2697">
        <v>0</v>
      </c>
      <c r="AE1131" s="2697">
        <v>0</v>
      </c>
      <c r="AF1131" s="2697">
        <v>0</v>
      </c>
      <c r="AG1131" s="2697">
        <v>0</v>
      </c>
      <c r="AH1131" s="2697">
        <v>0</v>
      </c>
      <c r="AI1131" s="2697">
        <v>0</v>
      </c>
    </row>
    <row r="1132" spans="1:35">
      <c r="A1132" s="990">
        <v>1</v>
      </c>
      <c r="B1132" s="990">
        <v>1</v>
      </c>
      <c r="C1132" s="990" t="s">
        <v>1129</v>
      </c>
      <c r="D1132" s="9" t="s">
        <v>999</v>
      </c>
      <c r="E1132" s="1463" t="s">
        <v>1521</v>
      </c>
      <c r="F1132" s="1454"/>
      <c r="G1132" s="310"/>
      <c r="H1132" s="310"/>
      <c r="I1132" s="508"/>
      <c r="J1132" s="512"/>
      <c r="K1132" s="2698" t="s">
        <v>437</v>
      </c>
      <c r="L1132" s="2699"/>
      <c r="M1132" s="2700"/>
      <c r="N1132" s="2696"/>
      <c r="O1132" s="2700"/>
      <c r="P1132" s="2700"/>
      <c r="Q1132" s="1996"/>
      <c r="R1132" s="1996"/>
      <c r="S1132" s="1996"/>
      <c r="T1132" s="1996"/>
      <c r="U1132" s="1996"/>
      <c r="V1132" s="1996"/>
      <c r="W1132" s="1996"/>
      <c r="X1132" s="1996"/>
      <c r="Y1132" s="1996"/>
      <c r="Z1132" s="1996"/>
      <c r="AA1132" s="1996"/>
      <c r="AB1132" s="1996"/>
      <c r="AC1132" s="2696">
        <v>0</v>
      </c>
      <c r="AD1132" s="2697">
        <v>0</v>
      </c>
      <c r="AE1132" s="2697">
        <v>0</v>
      </c>
      <c r="AF1132" s="2697">
        <v>0</v>
      </c>
      <c r="AG1132" s="2697">
        <v>0</v>
      </c>
      <c r="AH1132" s="2697">
        <v>0</v>
      </c>
      <c r="AI1132" s="2697">
        <v>0</v>
      </c>
    </row>
    <row r="1133" spans="1:35">
      <c r="A1133" s="990">
        <v>1</v>
      </c>
      <c r="B1133" s="990">
        <v>1</v>
      </c>
      <c r="C1133" s="990" t="s">
        <v>1129</v>
      </c>
      <c r="D1133" s="9" t="s">
        <v>999</v>
      </c>
      <c r="E1133" s="1463" t="s">
        <v>1521</v>
      </c>
      <c r="F1133" s="1454"/>
      <c r="G1133" s="310"/>
      <c r="H1133" s="310"/>
      <c r="I1133" s="509"/>
      <c r="J1133" s="2701" t="s">
        <v>1552</v>
      </c>
      <c r="K1133" s="2702"/>
      <c r="L1133" s="2702"/>
      <c r="M1133" s="2694"/>
      <c r="N1133" s="2694"/>
      <c r="O1133" s="2694"/>
      <c r="P1133" s="2694"/>
      <c r="Q1133" s="1996"/>
      <c r="R1133" s="1996"/>
      <c r="S1133" s="1996"/>
      <c r="T1133" s="1996"/>
      <c r="U1133" s="1996"/>
      <c r="V1133" s="1996"/>
      <c r="W1133" s="1996"/>
      <c r="X1133" s="1996"/>
      <c r="Y1133" s="1996"/>
      <c r="Z1133" s="1996"/>
      <c r="AA1133" s="1996"/>
      <c r="AB1133" s="1996"/>
      <c r="AC1133" s="2696">
        <v>0</v>
      </c>
      <c r="AD1133" s="2697">
        <v>0</v>
      </c>
      <c r="AE1133" s="2697">
        <v>0</v>
      </c>
      <c r="AF1133" s="2697">
        <v>0</v>
      </c>
      <c r="AG1133" s="2697">
        <v>0</v>
      </c>
      <c r="AH1133" s="2697">
        <v>0</v>
      </c>
      <c r="AI1133" s="2697">
        <v>0</v>
      </c>
    </row>
    <row r="1134" spans="1:35">
      <c r="A1134" s="990">
        <v>1</v>
      </c>
      <c r="B1134" s="990">
        <v>1</v>
      </c>
      <c r="C1134" s="990" t="s">
        <v>1129</v>
      </c>
      <c r="D1134" s="9" t="s">
        <v>999</v>
      </c>
      <c r="E1134" s="1463" t="s">
        <v>1521</v>
      </c>
      <c r="F1134" s="1454"/>
      <c r="G1134" s="310"/>
      <c r="H1134" s="310"/>
      <c r="I1134" s="9"/>
      <c r="K1134" s="9"/>
      <c r="L1134" s="9"/>
      <c r="Q1134" s="212"/>
      <c r="R1134" s="9"/>
      <c r="S1134" s="9"/>
      <c r="T1134" s="9"/>
      <c r="U1134" s="9"/>
      <c r="V1134" s="9"/>
      <c r="W1134" s="9"/>
      <c r="X1134" s="198"/>
      <c r="Y1134" s="198"/>
      <c r="Z1134" s="197"/>
      <c r="AA1134" s="197"/>
      <c r="AB1134" s="2229"/>
      <c r="AC1134" s="197"/>
      <c r="AD1134" s="197"/>
      <c r="AE1134" s="197"/>
      <c r="AF1134" s="197"/>
      <c r="AG1134" s="197"/>
      <c r="AH1134" s="197"/>
      <c r="AI1134" s="197"/>
    </row>
    <row r="1135" spans="1:35">
      <c r="A1135" s="990">
        <v>1</v>
      </c>
      <c r="B1135" s="990">
        <v>1</v>
      </c>
      <c r="C1135" s="990" t="s">
        <v>1129</v>
      </c>
      <c r="D1135" s="9" t="s">
        <v>999</v>
      </c>
      <c r="E1135" s="1463" t="s">
        <v>1521</v>
      </c>
      <c r="F1135" s="1461"/>
      <c r="G1135" s="24" t="s">
        <v>1553</v>
      </c>
      <c r="O1135" s="586"/>
      <c r="Q1135" s="2200"/>
      <c r="AB1135" s="86"/>
    </row>
    <row r="1136" spans="1:35">
      <c r="A1136" s="990">
        <v>1</v>
      </c>
      <c r="B1136" s="990">
        <v>1</v>
      </c>
      <c r="C1136" s="990" t="s">
        <v>1129</v>
      </c>
      <c r="D1136" s="9" t="s">
        <v>999</v>
      </c>
      <c r="E1136" s="1463" t="s">
        <v>1521</v>
      </c>
      <c r="F1136" s="1454"/>
      <c r="G1136" s="310"/>
      <c r="H1136" s="639"/>
      <c r="I1136" s="1465" t="s">
        <v>1554</v>
      </c>
      <c r="J1136" s="206"/>
      <c r="K1136" s="1445"/>
      <c r="L1136" s="1445"/>
      <c r="M1136" s="1445"/>
      <c r="N1136" s="204"/>
      <c r="O1136" s="204"/>
      <c r="P1136" s="204"/>
      <c r="Q1136" s="212"/>
      <c r="R1136" s="9"/>
      <c r="S1136" s="9"/>
      <c r="T1136" s="9"/>
      <c r="U1136" s="9"/>
      <c r="V1136" s="9"/>
      <c r="W1136" s="9"/>
      <c r="X1136" s="638"/>
      <c r="Y1136" s="638"/>
      <c r="Z1136" s="638"/>
      <c r="AA1136" s="639"/>
      <c r="AB1136" s="1581"/>
      <c r="AC1136" s="639"/>
      <c r="AD1136" s="639"/>
      <c r="AE1136" s="639"/>
      <c r="AF1136" s="639"/>
      <c r="AG1136" s="639"/>
      <c r="AH1136" s="639"/>
      <c r="AI1136" s="639"/>
    </row>
    <row r="1137" spans="1:35">
      <c r="A1137" s="990">
        <v>1</v>
      </c>
      <c r="B1137" s="990">
        <v>1</v>
      </c>
      <c r="C1137" s="990" t="s">
        <v>1129</v>
      </c>
      <c r="D1137" s="9" t="s">
        <v>999</v>
      </c>
      <c r="E1137" s="1463" t="s">
        <v>1521</v>
      </c>
      <c r="F1137" s="1454"/>
      <c r="G1137" s="310"/>
      <c r="H1137" s="639"/>
      <c r="I1137" s="2703" t="s">
        <v>315</v>
      </c>
      <c r="J1137" s="487"/>
      <c r="K1137" s="487"/>
      <c r="L1137" s="487"/>
      <c r="M1137" s="487"/>
      <c r="N1137" s="596"/>
      <c r="O1137" s="596"/>
      <c r="P1137" s="596"/>
      <c r="Q1137" s="2195">
        <v>0</v>
      </c>
      <c r="R1137" s="2196">
        <v>0</v>
      </c>
      <c r="S1137" s="2196">
        <v>0</v>
      </c>
      <c r="T1137" s="2196">
        <v>0</v>
      </c>
      <c r="U1137" s="2196">
        <v>0</v>
      </c>
      <c r="V1137" s="2196">
        <v>0</v>
      </c>
      <c r="W1137" s="2196">
        <v>0</v>
      </c>
      <c r="X1137" s="2197">
        <v>0</v>
      </c>
      <c r="Y1137" s="2197">
        <v>0</v>
      </c>
      <c r="Z1137" s="2198">
        <v>0</v>
      </c>
      <c r="AA1137" s="2198">
        <v>0</v>
      </c>
      <c r="AB1137" s="2198">
        <v>0</v>
      </c>
      <c r="AC1137" s="2704">
        <v>0</v>
      </c>
      <c r="AD1137" s="2198">
        <v>0</v>
      </c>
      <c r="AE1137" s="2198">
        <v>0</v>
      </c>
      <c r="AF1137" s="2198">
        <v>0</v>
      </c>
      <c r="AG1137" s="2198">
        <v>0</v>
      </c>
      <c r="AH1137" s="2198">
        <v>0</v>
      </c>
      <c r="AI1137" s="2198">
        <v>0</v>
      </c>
    </row>
    <row r="1138" spans="1:35">
      <c r="A1138" s="990">
        <v>1</v>
      </c>
      <c r="B1138" s="990">
        <v>1</v>
      </c>
      <c r="C1138" s="990" t="s">
        <v>1129</v>
      </c>
      <c r="D1138" s="9" t="s">
        <v>999</v>
      </c>
      <c r="E1138" s="1463" t="s">
        <v>1521</v>
      </c>
      <c r="F1138" s="1454"/>
      <c r="G1138" s="310"/>
      <c r="H1138" s="639"/>
      <c r="I1138" s="295"/>
      <c r="J1138" s="532"/>
      <c r="K1138" s="533" t="s">
        <v>1555</v>
      </c>
      <c r="L1138" s="530"/>
      <c r="M1138" s="1446"/>
      <c r="N1138" s="530"/>
      <c r="O1138" s="530"/>
      <c r="P1138" s="530"/>
      <c r="Q1138" s="2302"/>
      <c r="R1138" s="2302"/>
      <c r="S1138" s="2302"/>
      <c r="T1138" s="2302"/>
      <c r="U1138" s="2302"/>
      <c r="V1138" s="2302"/>
      <c r="W1138" s="2302"/>
      <c r="X1138" s="2303"/>
      <c r="Y1138" s="2303"/>
      <c r="Z1138" s="2303"/>
      <c r="AA1138" s="2303"/>
      <c r="AB1138" s="2303"/>
      <c r="AC1138" s="1579">
        <v>0</v>
      </c>
      <c r="AD1138" s="1449">
        <v>0</v>
      </c>
      <c r="AE1138" s="1449">
        <v>0</v>
      </c>
      <c r="AF1138" s="1449">
        <v>0</v>
      </c>
      <c r="AG1138" s="1449">
        <v>0</v>
      </c>
      <c r="AH1138" s="1449">
        <v>0</v>
      </c>
      <c r="AI1138" s="1449">
        <v>0</v>
      </c>
    </row>
    <row r="1139" spans="1:35">
      <c r="A1139" s="990">
        <v>1</v>
      </c>
      <c r="B1139" s="990">
        <v>1</v>
      </c>
      <c r="C1139" s="990" t="s">
        <v>1129</v>
      </c>
      <c r="D1139" s="9" t="s">
        <v>999</v>
      </c>
      <c r="E1139" s="1463" t="s">
        <v>1521</v>
      </c>
      <c r="F1139" s="1454"/>
      <c r="G1139" s="310"/>
      <c r="H1139" s="639"/>
      <c r="I1139" s="295"/>
      <c r="J1139" s="532"/>
      <c r="K1139" s="534" t="s">
        <v>312</v>
      </c>
      <c r="L1139" s="531"/>
      <c r="M1139" s="1447"/>
      <c r="N1139" s="531"/>
      <c r="O1139" s="531"/>
      <c r="P1139" s="531"/>
      <c r="Q1139" s="2304"/>
      <c r="R1139" s="2304"/>
      <c r="S1139" s="2304"/>
      <c r="T1139" s="2304"/>
      <c r="U1139" s="2304"/>
      <c r="V1139" s="2304"/>
      <c r="W1139" s="2304"/>
      <c r="X1139" s="2305"/>
      <c r="Y1139" s="2305"/>
      <c r="Z1139" s="2305"/>
      <c r="AA1139" s="2305"/>
      <c r="AB1139" s="2305"/>
      <c r="AC1139" s="1580">
        <v>0</v>
      </c>
      <c r="AD1139" s="1450">
        <v>0</v>
      </c>
      <c r="AE1139" s="1450">
        <v>0</v>
      </c>
      <c r="AF1139" s="1450">
        <v>0</v>
      </c>
      <c r="AG1139" s="1450">
        <v>0</v>
      </c>
      <c r="AH1139" s="1450">
        <v>0</v>
      </c>
      <c r="AI1139" s="1450">
        <v>0</v>
      </c>
    </row>
    <row r="1140" spans="1:35">
      <c r="A1140" s="990">
        <v>1</v>
      </c>
      <c r="B1140" s="990">
        <v>1</v>
      </c>
      <c r="C1140" s="990" t="s">
        <v>1129</v>
      </c>
      <c r="D1140" s="9" t="s">
        <v>999</v>
      </c>
      <c r="E1140" s="1463" t="s">
        <v>1521</v>
      </c>
      <c r="F1140" s="1454"/>
      <c r="G1140" s="310"/>
      <c r="H1140" s="639"/>
      <c r="I1140" s="295"/>
      <c r="J1140" s="532"/>
      <c r="K1140" s="535" t="s">
        <v>313</v>
      </c>
      <c r="L1140" s="492"/>
      <c r="M1140" s="639"/>
      <c r="N1140" s="492" t="s">
        <v>1556</v>
      </c>
      <c r="O1140" s="492"/>
      <c r="P1140" s="492"/>
      <c r="Q1140" s="2306"/>
      <c r="R1140" s="2306"/>
      <c r="S1140" s="2306"/>
      <c r="T1140" s="2306"/>
      <c r="U1140" s="2306"/>
      <c r="V1140" s="2306"/>
      <c r="W1140" s="2306"/>
      <c r="X1140" s="2307"/>
      <c r="Y1140" s="2307"/>
      <c r="Z1140" s="2307"/>
      <c r="AA1140" s="2307"/>
      <c r="AB1140" s="2307"/>
      <c r="AC1140" s="1581">
        <v>0</v>
      </c>
      <c r="AD1140" s="1451">
        <v>0</v>
      </c>
      <c r="AE1140" s="1451">
        <v>0</v>
      </c>
      <c r="AF1140" s="1451">
        <v>0</v>
      </c>
      <c r="AG1140" s="1451">
        <v>0</v>
      </c>
      <c r="AH1140" s="1451">
        <v>0</v>
      </c>
      <c r="AI1140" s="1451">
        <v>0</v>
      </c>
    </row>
    <row r="1141" spans="1:35">
      <c r="A1141" s="990">
        <v>1</v>
      </c>
      <c r="B1141" s="990">
        <v>1</v>
      </c>
      <c r="C1141" s="990" t="s">
        <v>1129</v>
      </c>
      <c r="D1141" s="9" t="s">
        <v>999</v>
      </c>
      <c r="E1141" s="1463" t="s">
        <v>1521</v>
      </c>
      <c r="F1141" s="1454"/>
      <c r="G1141" s="310"/>
      <c r="H1141" s="639"/>
      <c r="I1141" s="295"/>
      <c r="J1141" s="532"/>
      <c r="K1141" s="535" t="s">
        <v>314</v>
      </c>
      <c r="L1141" s="492"/>
      <c r="M1141" s="639"/>
      <c r="N1141" s="492" t="s">
        <v>1556</v>
      </c>
      <c r="O1141" s="492"/>
      <c r="P1141" s="492"/>
      <c r="Q1141" s="2306"/>
      <c r="R1141" s="2306"/>
      <c r="S1141" s="2306"/>
      <c r="T1141" s="2306"/>
      <c r="U1141" s="2306"/>
      <c r="V1141" s="2306"/>
      <c r="W1141" s="2306"/>
      <c r="X1141" s="2307"/>
      <c r="Y1141" s="2307"/>
      <c r="Z1141" s="2307"/>
      <c r="AA1141" s="2307"/>
      <c r="AB1141" s="2307"/>
      <c r="AC1141" s="1581">
        <v>0</v>
      </c>
      <c r="AD1141" s="1451">
        <v>0</v>
      </c>
      <c r="AE1141" s="1451">
        <v>0</v>
      </c>
      <c r="AF1141" s="1451">
        <v>0</v>
      </c>
      <c r="AG1141" s="1451">
        <v>0</v>
      </c>
      <c r="AH1141" s="1451">
        <v>0</v>
      </c>
      <c r="AI1141" s="1451">
        <v>0</v>
      </c>
    </row>
    <row r="1142" spans="1:35">
      <c r="A1142" s="990">
        <v>1</v>
      </c>
      <c r="B1142" s="990">
        <v>1</v>
      </c>
      <c r="C1142" s="990" t="s">
        <v>1129</v>
      </c>
      <c r="D1142" s="9" t="s">
        <v>999</v>
      </c>
      <c r="E1142" s="1463" t="s">
        <v>1521</v>
      </c>
      <c r="F1142" s="1454"/>
      <c r="G1142" s="310"/>
      <c r="H1142" s="639"/>
      <c r="I1142" s="295"/>
      <c r="J1142" s="532"/>
      <c r="K1142" s="535" t="s">
        <v>1557</v>
      </c>
      <c r="L1142" s="492"/>
      <c r="M1142" s="639"/>
      <c r="N1142" s="492" t="s">
        <v>1558</v>
      </c>
      <c r="O1142" s="492"/>
      <c r="P1142" s="492"/>
      <c r="Q1142" s="2306"/>
      <c r="R1142" s="2306"/>
      <c r="S1142" s="2306"/>
      <c r="T1142" s="2306"/>
      <c r="U1142" s="2306"/>
      <c r="V1142" s="2306"/>
      <c r="W1142" s="2306"/>
      <c r="X1142" s="2307"/>
      <c r="Y1142" s="2307"/>
      <c r="Z1142" s="2307"/>
      <c r="AA1142" s="2307"/>
      <c r="AB1142" s="2307"/>
      <c r="AC1142" s="1581">
        <v>0</v>
      </c>
      <c r="AD1142" s="1451">
        <v>0</v>
      </c>
      <c r="AE1142" s="1451">
        <v>0</v>
      </c>
      <c r="AF1142" s="1451">
        <v>0</v>
      </c>
      <c r="AG1142" s="1451">
        <v>0</v>
      </c>
      <c r="AH1142" s="1451">
        <v>0</v>
      </c>
      <c r="AI1142" s="1451">
        <v>0</v>
      </c>
    </row>
    <row r="1143" spans="1:35">
      <c r="A1143" s="990">
        <v>1</v>
      </c>
      <c r="B1143" s="990">
        <v>1</v>
      </c>
      <c r="C1143" s="990" t="s">
        <v>1129</v>
      </c>
      <c r="D1143" s="9" t="s">
        <v>999</v>
      </c>
      <c r="E1143" s="1463" t="s">
        <v>1521</v>
      </c>
      <c r="F1143" s="1454"/>
      <c r="G1143" s="310"/>
      <c r="H1143" s="639"/>
      <c r="I1143" s="295"/>
      <c r="J1143" s="532"/>
      <c r="K1143" s="535" t="s">
        <v>1559</v>
      </c>
      <c r="L1143" s="492"/>
      <c r="M1143" s="639"/>
      <c r="N1143" s="492" t="s">
        <v>1560</v>
      </c>
      <c r="O1143" s="492"/>
      <c r="P1143" s="492"/>
      <c r="Q1143" s="2306"/>
      <c r="R1143" s="2306"/>
      <c r="S1143" s="2306"/>
      <c r="T1143" s="2306"/>
      <c r="U1143" s="2306"/>
      <c r="V1143" s="2306"/>
      <c r="W1143" s="2306"/>
      <c r="X1143" s="2307"/>
      <c r="Y1143" s="2307"/>
      <c r="Z1143" s="2307"/>
      <c r="AA1143" s="2307"/>
      <c r="AB1143" s="2307"/>
      <c r="AC1143" s="1581">
        <v>0</v>
      </c>
      <c r="AD1143" s="1451">
        <v>0</v>
      </c>
      <c r="AE1143" s="1451">
        <v>0</v>
      </c>
      <c r="AF1143" s="1451">
        <v>0</v>
      </c>
      <c r="AG1143" s="1451">
        <v>0</v>
      </c>
      <c r="AH1143" s="1451">
        <v>0</v>
      </c>
      <c r="AI1143" s="1451">
        <v>0</v>
      </c>
    </row>
    <row r="1144" spans="1:35">
      <c r="A1144" s="990">
        <v>1</v>
      </c>
      <c r="B1144" s="990">
        <v>1</v>
      </c>
      <c r="C1144" s="990" t="s">
        <v>1129</v>
      </c>
      <c r="D1144" s="9" t="s">
        <v>999</v>
      </c>
      <c r="E1144" s="1463" t="s">
        <v>1521</v>
      </c>
      <c r="F1144" s="1454"/>
      <c r="G1144" s="310"/>
      <c r="H1144" s="639"/>
      <c r="I1144" s="296"/>
      <c r="J1144" s="536"/>
      <c r="K1144" s="537" t="s">
        <v>1550</v>
      </c>
      <c r="L1144" s="297"/>
      <c r="M1144" s="297"/>
      <c r="N1144" s="12" t="s">
        <v>1561</v>
      </c>
      <c r="O1144" s="12"/>
      <c r="P1144" s="12"/>
      <c r="Q1144" s="2308"/>
      <c r="R1144" s="2308"/>
      <c r="S1144" s="2308"/>
      <c r="T1144" s="2308"/>
      <c r="U1144" s="2308"/>
      <c r="V1144" s="2308"/>
      <c r="W1144" s="2308"/>
      <c r="X1144" s="2309"/>
      <c r="Y1144" s="2309"/>
      <c r="Z1144" s="2309"/>
      <c r="AA1144" s="2309"/>
      <c r="AB1144" s="2309"/>
      <c r="AC1144" s="1582">
        <v>0</v>
      </c>
      <c r="AD1144" s="1452">
        <v>0</v>
      </c>
      <c r="AE1144" s="1452">
        <v>0</v>
      </c>
      <c r="AF1144" s="1452">
        <v>0</v>
      </c>
      <c r="AG1144" s="1452">
        <v>0</v>
      </c>
      <c r="AH1144" s="1452">
        <v>0</v>
      </c>
      <c r="AI1144" s="1452">
        <v>0</v>
      </c>
    </row>
    <row r="1145" spans="1:35">
      <c r="A1145" s="990">
        <v>1</v>
      </c>
      <c r="B1145" s="990">
        <v>1</v>
      </c>
      <c r="C1145" s="990" t="s">
        <v>1129</v>
      </c>
      <c r="D1145" s="9" t="s">
        <v>999</v>
      </c>
      <c r="E1145" s="1463" t="s">
        <v>1521</v>
      </c>
      <c r="F1145" s="1454"/>
      <c r="G1145" s="310"/>
      <c r="H1145" s="197"/>
      <c r="I1145" s="9"/>
      <c r="K1145" s="197"/>
      <c r="L1145" s="9"/>
      <c r="P1145" s="200" t="s">
        <v>1562</v>
      </c>
      <c r="Q1145" s="2230" t="s">
        <v>1563</v>
      </c>
      <c r="R1145" s="1942" t="s">
        <v>1563</v>
      </c>
      <c r="S1145" s="1942" t="s">
        <v>1563</v>
      </c>
      <c r="T1145" s="1942" t="s">
        <v>1563</v>
      </c>
      <c r="U1145" s="1942" t="s">
        <v>1563</v>
      </c>
      <c r="V1145" s="1942" t="s">
        <v>1563</v>
      </c>
      <c r="W1145" s="1942" t="s">
        <v>1563</v>
      </c>
      <c r="X1145" s="1942" t="s">
        <v>1563</v>
      </c>
      <c r="Y1145" s="1942" t="s">
        <v>1563</v>
      </c>
      <c r="Z1145" s="1942" t="s">
        <v>1563</v>
      </c>
      <c r="AA1145" s="1942" t="s">
        <v>1563</v>
      </c>
      <c r="AB1145" s="2231" t="s">
        <v>1563</v>
      </c>
      <c r="AC1145" s="197"/>
      <c r="AD1145" s="197"/>
      <c r="AE1145" s="197"/>
      <c r="AF1145" s="197"/>
      <c r="AG1145" s="197"/>
      <c r="AH1145" s="197"/>
      <c r="AI1145" s="197"/>
    </row>
    <row r="1146" spans="1:35">
      <c r="A1146" s="990">
        <v>1</v>
      </c>
      <c r="B1146" s="990">
        <v>1</v>
      </c>
      <c r="C1146" s="990" t="s">
        <v>1129</v>
      </c>
      <c r="D1146" s="9" t="s">
        <v>999</v>
      </c>
      <c r="E1146" s="1463" t="s">
        <v>1521</v>
      </c>
      <c r="F1146" s="1461"/>
      <c r="G1146" s="24" t="s">
        <v>1564</v>
      </c>
      <c r="O1146" s="586"/>
      <c r="Q1146" s="2200"/>
      <c r="AB1146" s="86"/>
    </row>
    <row r="1147" spans="1:35">
      <c r="A1147" s="990">
        <v>1</v>
      </c>
      <c r="B1147" s="990">
        <v>1</v>
      </c>
      <c r="C1147" s="990" t="s">
        <v>1129</v>
      </c>
      <c r="D1147" s="9" t="s">
        <v>999</v>
      </c>
      <c r="E1147" s="1463" t="s">
        <v>1521</v>
      </c>
      <c r="F1147" s="1454"/>
      <c r="G1147" s="310"/>
      <c r="H1147" s="197"/>
      <c r="I1147" s="1465" t="s">
        <v>1565</v>
      </c>
      <c r="J1147" s="206"/>
      <c r="K1147" s="205"/>
      <c r="L1147" s="205"/>
      <c r="M1147" s="205"/>
      <c r="N1147" s="204"/>
      <c r="O1147" s="204"/>
      <c r="P1147" s="204"/>
      <c r="Q1147" s="212"/>
      <c r="R1147" s="9"/>
      <c r="S1147" s="9"/>
      <c r="T1147" s="9"/>
      <c r="U1147" s="9"/>
      <c r="V1147" s="9"/>
      <c r="W1147" s="9"/>
      <c r="X1147" s="198"/>
      <c r="Y1147" s="198"/>
      <c r="Z1147" s="198"/>
      <c r="AA1147" s="197"/>
      <c r="AB1147" s="2229"/>
      <c r="AC1147" s="197"/>
      <c r="AD1147" s="197"/>
      <c r="AE1147" s="197"/>
      <c r="AF1147" s="197"/>
      <c r="AG1147" s="197"/>
      <c r="AH1147" s="197"/>
      <c r="AI1147" s="197"/>
    </row>
    <row r="1148" spans="1:35">
      <c r="A1148" s="990">
        <v>1</v>
      </c>
      <c r="B1148" s="990">
        <v>1</v>
      </c>
      <c r="C1148" s="990" t="s">
        <v>1129</v>
      </c>
      <c r="D1148" s="9" t="s">
        <v>999</v>
      </c>
      <c r="E1148" s="1463" t="s">
        <v>1521</v>
      </c>
      <c r="F1148" s="1454"/>
      <c r="G1148" s="310"/>
      <c r="H1148" s="197"/>
      <c r="I1148" s="2705" t="s">
        <v>1566</v>
      </c>
      <c r="J1148" s="571"/>
      <c r="K1148" s="571"/>
      <c r="L1148" s="571"/>
      <c r="M1148" s="572"/>
      <c r="N1148" s="572"/>
      <c r="O1148" s="572"/>
      <c r="P1148" s="572"/>
      <c r="Q1148" s="2083">
        <v>0</v>
      </c>
      <c r="R1148" s="2084">
        <v>0</v>
      </c>
      <c r="S1148" s="2084">
        <v>0</v>
      </c>
      <c r="T1148" s="2084">
        <v>0</v>
      </c>
      <c r="U1148" s="2084">
        <v>0</v>
      </c>
      <c r="V1148" s="2085">
        <v>0</v>
      </c>
      <c r="W1148" s="2085">
        <v>0</v>
      </c>
      <c r="X1148" s="2085">
        <v>0</v>
      </c>
      <c r="Y1148" s="2085">
        <v>0</v>
      </c>
      <c r="Z1148" s="2085">
        <v>0</v>
      </c>
      <c r="AA1148" s="2085">
        <v>0</v>
      </c>
      <c r="AB1148" s="2086">
        <v>0</v>
      </c>
      <c r="AC1148" s="202"/>
      <c r="AD1148" s="202"/>
      <c r="AE1148" s="202"/>
      <c r="AF1148" s="202"/>
      <c r="AG1148" s="202"/>
      <c r="AH1148" s="202"/>
      <c r="AI1148" s="202"/>
    </row>
    <row r="1149" spans="1:35">
      <c r="A1149" s="990">
        <v>1</v>
      </c>
      <c r="B1149" s="990">
        <v>1</v>
      </c>
      <c r="C1149" s="990" t="s">
        <v>1129</v>
      </c>
      <c r="D1149" s="9" t="s">
        <v>999</v>
      </c>
      <c r="E1149" s="1463" t="s">
        <v>1521</v>
      </c>
      <c r="F1149" s="1454"/>
      <c r="G1149" s="310"/>
      <c r="H1149" s="197"/>
      <c r="I1149" s="574"/>
      <c r="J1149" s="357" t="s">
        <v>451</v>
      </c>
      <c r="K1149" s="357"/>
      <c r="L1149" s="357"/>
      <c r="M1149" s="576"/>
      <c r="N1149" s="576"/>
      <c r="O1149" s="576"/>
      <c r="P1149" s="576"/>
      <c r="Q1149" s="1943">
        <v>0</v>
      </c>
      <c r="R1149" s="1944">
        <v>0</v>
      </c>
      <c r="S1149" s="1944">
        <v>0</v>
      </c>
      <c r="T1149" s="1944">
        <v>0</v>
      </c>
      <c r="U1149" s="1944">
        <v>0</v>
      </c>
      <c r="V1149" s="1945">
        <v>0</v>
      </c>
      <c r="W1149" s="1945">
        <v>0</v>
      </c>
      <c r="X1149" s="1945">
        <v>0</v>
      </c>
      <c r="Y1149" s="1945">
        <v>0</v>
      </c>
      <c r="Z1149" s="1945">
        <v>0</v>
      </c>
      <c r="AA1149" s="1945">
        <v>0</v>
      </c>
      <c r="AB1149" s="1946">
        <v>0</v>
      </c>
      <c r="AC1149" s="201"/>
      <c r="AD1149" s="201"/>
      <c r="AE1149" s="201"/>
      <c r="AF1149" s="201"/>
      <c r="AG1149" s="201"/>
      <c r="AH1149" s="201"/>
      <c r="AI1149" s="201"/>
    </row>
    <row r="1150" spans="1:35">
      <c r="A1150" s="990">
        <v>1</v>
      </c>
      <c r="B1150" s="990">
        <v>1</v>
      </c>
      <c r="C1150" s="990" t="s">
        <v>1129</v>
      </c>
      <c r="D1150" s="9" t="s">
        <v>999</v>
      </c>
      <c r="E1150" s="1463" t="s">
        <v>1521</v>
      </c>
      <c r="F1150" s="1454"/>
      <c r="G1150" s="310"/>
      <c r="H1150" s="197"/>
      <c r="I1150" s="574"/>
      <c r="J1150" s="357"/>
      <c r="K1150" s="567" t="s">
        <v>449</v>
      </c>
      <c r="L1150" s="567"/>
      <c r="M1150" s="568"/>
      <c r="N1150" s="568"/>
      <c r="O1150" s="568"/>
      <c r="P1150" s="568"/>
      <c r="Q1150" s="2288"/>
      <c r="R1150" s="1947"/>
      <c r="S1150" s="1947"/>
      <c r="T1150" s="1947"/>
      <c r="U1150" s="1427"/>
      <c r="V1150" s="1427"/>
      <c r="W1150" s="1427"/>
      <c r="X1150" s="1427"/>
      <c r="Y1150" s="1427"/>
      <c r="Z1150" s="1427"/>
      <c r="AA1150" s="1427"/>
      <c r="AB1150" s="1948"/>
      <c r="AC1150" s="201"/>
      <c r="AD1150" s="201"/>
      <c r="AE1150" s="201"/>
      <c r="AF1150" s="201"/>
      <c r="AG1150" s="201"/>
      <c r="AH1150" s="201"/>
      <c r="AI1150" s="201"/>
    </row>
    <row r="1151" spans="1:35">
      <c r="A1151" s="990">
        <v>1</v>
      </c>
      <c r="B1151" s="990">
        <v>1</v>
      </c>
      <c r="C1151" s="990" t="s">
        <v>1129</v>
      </c>
      <c r="D1151" s="9" t="s">
        <v>999</v>
      </c>
      <c r="E1151" s="1463" t="s">
        <v>1521</v>
      </c>
      <c r="F1151" s="1454"/>
      <c r="G1151" s="310"/>
      <c r="H1151" s="197"/>
      <c r="I1151" s="574"/>
      <c r="J1151" s="565"/>
      <c r="K1151" s="294" t="s">
        <v>1567</v>
      </c>
      <c r="L1151" s="294"/>
      <c r="M1151" s="203"/>
      <c r="N1151" s="203"/>
      <c r="O1151" s="203"/>
      <c r="P1151" s="203"/>
      <c r="Q1151" s="2289"/>
      <c r="R1151" s="1949"/>
      <c r="S1151" s="1949"/>
      <c r="T1151" s="1949"/>
      <c r="U1151" s="664"/>
      <c r="V1151" s="664"/>
      <c r="W1151" s="664"/>
      <c r="X1151" s="664"/>
      <c r="Y1151" s="664"/>
      <c r="Z1151" s="664"/>
      <c r="AA1151" s="664"/>
      <c r="AB1151" s="1950"/>
      <c r="AC1151" s="201"/>
      <c r="AD1151" s="201"/>
      <c r="AE1151" s="201"/>
      <c r="AF1151" s="201"/>
      <c r="AG1151" s="201"/>
      <c r="AH1151" s="201"/>
      <c r="AI1151" s="201"/>
    </row>
    <row r="1152" spans="1:35">
      <c r="A1152" s="990">
        <v>1</v>
      </c>
      <c r="B1152" s="990">
        <v>1</v>
      </c>
      <c r="C1152" s="990" t="s">
        <v>1129</v>
      </c>
      <c r="D1152" s="9" t="s">
        <v>999</v>
      </c>
      <c r="E1152" s="1463" t="s">
        <v>1521</v>
      </c>
      <c r="F1152" s="1454"/>
      <c r="G1152" s="310"/>
      <c r="H1152" s="197"/>
      <c r="I1152" s="574"/>
      <c r="J1152" s="488" t="s">
        <v>452</v>
      </c>
      <c r="K1152" s="488"/>
      <c r="L1152" s="488"/>
      <c r="M1152" s="538"/>
      <c r="N1152" s="538"/>
      <c r="O1152" s="538"/>
      <c r="P1152" s="538"/>
      <c r="Q1152" s="2075">
        <v>0</v>
      </c>
      <c r="R1152" s="2076">
        <v>0</v>
      </c>
      <c r="S1152" s="2076">
        <v>0</v>
      </c>
      <c r="T1152" s="2076">
        <v>0</v>
      </c>
      <c r="U1152" s="2076">
        <v>0</v>
      </c>
      <c r="V1152" s="2077">
        <v>0</v>
      </c>
      <c r="W1152" s="2077">
        <v>0</v>
      </c>
      <c r="X1152" s="2076">
        <v>0</v>
      </c>
      <c r="Y1152" s="2077">
        <v>0</v>
      </c>
      <c r="Z1152" s="2077">
        <v>0</v>
      </c>
      <c r="AA1152" s="2077">
        <v>0</v>
      </c>
      <c r="AB1152" s="2082">
        <v>0</v>
      </c>
      <c r="AC1152" s="197"/>
      <c r="AD1152" s="202"/>
      <c r="AE1152" s="202"/>
      <c r="AF1152" s="202"/>
      <c r="AG1152" s="202"/>
      <c r="AH1152" s="202"/>
      <c r="AI1152" s="202"/>
    </row>
    <row r="1153" spans="1:35">
      <c r="A1153" s="990">
        <v>1</v>
      </c>
      <c r="B1153" s="990">
        <v>1</v>
      </c>
      <c r="C1153" s="990" t="s">
        <v>1129</v>
      </c>
      <c r="D1153" s="9" t="s">
        <v>999</v>
      </c>
      <c r="E1153" s="1463" t="s">
        <v>1521</v>
      </c>
      <c r="F1153" s="1454"/>
      <c r="G1153" s="310"/>
      <c r="H1153" s="197"/>
      <c r="I1153" s="574"/>
      <c r="J1153" s="489"/>
      <c r="K1153" s="567" t="s">
        <v>449</v>
      </c>
      <c r="L1153" s="567"/>
      <c r="M1153" s="568"/>
      <c r="N1153" s="568"/>
      <c r="O1153" s="568"/>
      <c r="P1153" s="568"/>
      <c r="Q1153" s="1951">
        <v>0</v>
      </c>
      <c r="R1153" s="1952">
        <v>0</v>
      </c>
      <c r="S1153" s="1952">
        <v>0</v>
      </c>
      <c r="T1153" s="1952">
        <v>0</v>
      </c>
      <c r="U1153" s="1952">
        <v>0</v>
      </c>
      <c r="V1153" s="1953">
        <v>0</v>
      </c>
      <c r="W1153" s="1953">
        <v>0</v>
      </c>
      <c r="X1153" s="1953">
        <v>0</v>
      </c>
      <c r="Y1153" s="1953">
        <v>0</v>
      </c>
      <c r="Z1153" s="1953">
        <v>0</v>
      </c>
      <c r="AA1153" s="1953">
        <v>0</v>
      </c>
      <c r="AB1153" s="1954">
        <v>0</v>
      </c>
      <c r="AC1153" s="197"/>
      <c r="AD1153" s="201"/>
      <c r="AE1153" s="201"/>
      <c r="AF1153" s="201"/>
      <c r="AG1153" s="201"/>
      <c r="AH1153" s="201"/>
      <c r="AI1153" s="201"/>
    </row>
    <row r="1154" spans="1:35">
      <c r="A1154" s="990">
        <v>1</v>
      </c>
      <c r="B1154" s="990">
        <v>1</v>
      </c>
      <c r="C1154" s="990" t="s">
        <v>1129</v>
      </c>
      <c r="D1154" s="9" t="s">
        <v>999</v>
      </c>
      <c r="E1154" s="1463" t="s">
        <v>1521</v>
      </c>
      <c r="F1154" s="1454"/>
      <c r="G1154" s="310"/>
      <c r="H1154" s="197"/>
      <c r="I1154" s="574"/>
      <c r="J1154" s="490"/>
      <c r="K1154" s="294" t="s">
        <v>1567</v>
      </c>
      <c r="L1154" s="294"/>
      <c r="M1154" s="203"/>
      <c r="N1154" s="203"/>
      <c r="O1154" s="203"/>
      <c r="P1154" s="203"/>
      <c r="Q1154" s="1955">
        <v>0</v>
      </c>
      <c r="R1154" s="1956">
        <v>0</v>
      </c>
      <c r="S1154" s="1956">
        <v>0</v>
      </c>
      <c r="T1154" s="1956">
        <v>0</v>
      </c>
      <c r="U1154" s="1956">
        <v>0</v>
      </c>
      <c r="V1154" s="1957">
        <v>0</v>
      </c>
      <c r="W1154" s="1957">
        <v>0</v>
      </c>
      <c r="X1154" s="1957">
        <v>0</v>
      </c>
      <c r="Y1154" s="1957">
        <v>0</v>
      </c>
      <c r="Z1154" s="1957">
        <v>0</v>
      </c>
      <c r="AA1154" s="1957">
        <v>0</v>
      </c>
      <c r="AB1154" s="1958">
        <v>0</v>
      </c>
      <c r="AC1154" s="201"/>
      <c r="AD1154" s="201"/>
      <c r="AE1154" s="201"/>
      <c r="AF1154" s="201"/>
      <c r="AG1154" s="201"/>
      <c r="AH1154" s="201"/>
      <c r="AI1154" s="201"/>
    </row>
    <row r="1155" spans="1:35">
      <c r="A1155" s="990">
        <v>1</v>
      </c>
      <c r="B1155" s="990">
        <v>1</v>
      </c>
      <c r="C1155" s="990" t="s">
        <v>1129</v>
      </c>
      <c r="D1155" s="9" t="s">
        <v>999</v>
      </c>
      <c r="E1155" s="1463" t="s">
        <v>1521</v>
      </c>
      <c r="F1155" s="1454"/>
      <c r="G1155" s="310"/>
      <c r="H1155" s="197"/>
      <c r="I1155" s="574"/>
      <c r="J1155" s="488" t="s">
        <v>11</v>
      </c>
      <c r="K1155" s="488"/>
      <c r="L1155" s="488"/>
      <c r="M1155" s="538"/>
      <c r="N1155" s="538"/>
      <c r="O1155" s="538"/>
      <c r="P1155" s="538"/>
      <c r="Q1155" s="2075">
        <v>0</v>
      </c>
      <c r="R1155" s="2076">
        <v>0</v>
      </c>
      <c r="S1155" s="2076">
        <v>0</v>
      </c>
      <c r="T1155" s="2076">
        <v>0</v>
      </c>
      <c r="U1155" s="2076">
        <v>0</v>
      </c>
      <c r="V1155" s="2077">
        <v>0</v>
      </c>
      <c r="W1155" s="2077">
        <v>0</v>
      </c>
      <c r="X1155" s="2077">
        <v>0</v>
      </c>
      <c r="Y1155" s="2077">
        <v>0</v>
      </c>
      <c r="Z1155" s="2077">
        <v>0</v>
      </c>
      <c r="AA1155" s="2077">
        <v>0</v>
      </c>
      <c r="AB1155" s="2082">
        <v>0</v>
      </c>
      <c r="AC1155" s="202"/>
      <c r="AD1155" s="202"/>
      <c r="AE1155" s="202"/>
      <c r="AF1155" s="202"/>
      <c r="AG1155" s="202"/>
      <c r="AH1155" s="202"/>
      <c r="AI1155" s="202"/>
    </row>
    <row r="1156" spans="1:35">
      <c r="A1156" s="990">
        <v>1</v>
      </c>
      <c r="B1156" s="990">
        <v>1</v>
      </c>
      <c r="C1156" s="990" t="s">
        <v>1129</v>
      </c>
      <c r="D1156" s="9" t="s">
        <v>999</v>
      </c>
      <c r="E1156" s="1463" t="s">
        <v>1521</v>
      </c>
      <c r="F1156" s="1454"/>
      <c r="G1156" s="310"/>
      <c r="H1156" s="197"/>
      <c r="I1156" s="574"/>
      <c r="J1156" s="489"/>
      <c r="K1156" s="567" t="s">
        <v>1568</v>
      </c>
      <c r="L1156" s="567"/>
      <c r="M1156" s="568"/>
      <c r="N1156" s="568"/>
      <c r="O1156" s="568"/>
      <c r="P1156" s="568"/>
      <c r="Q1156" s="2288"/>
      <c r="R1156" s="1959"/>
      <c r="S1156" s="1959"/>
      <c r="T1156" s="1959"/>
      <c r="U1156" s="1959"/>
      <c r="V1156" s="1960"/>
      <c r="W1156" s="1960"/>
      <c r="X1156" s="1960"/>
      <c r="Y1156" s="1960"/>
      <c r="Z1156" s="1960"/>
      <c r="AA1156" s="1960"/>
      <c r="AB1156" s="1961"/>
      <c r="AC1156" s="201"/>
      <c r="AD1156" s="201"/>
      <c r="AE1156" s="201"/>
      <c r="AF1156" s="201"/>
      <c r="AG1156" s="201"/>
      <c r="AH1156" s="201"/>
      <c r="AI1156" s="201"/>
    </row>
    <row r="1157" spans="1:35" ht="14.5">
      <c r="A1157" s="990">
        <v>1</v>
      </c>
      <c r="B1157" s="990">
        <v>1</v>
      </c>
      <c r="C1157" s="990" t="s">
        <v>1129</v>
      </c>
      <c r="D1157" s="9" t="s">
        <v>999</v>
      </c>
      <c r="E1157" s="1463" t="s">
        <v>1521</v>
      </c>
      <c r="F1157" s="1454"/>
      <c r="G1157" s="310"/>
      <c r="H1157" s="197"/>
      <c r="I1157" s="575"/>
      <c r="J1157" s="490"/>
      <c r="K1157" s="1687" t="s">
        <v>1569</v>
      </c>
      <c r="L1157" s="276"/>
      <c r="M1157" s="398"/>
      <c r="N1157" s="398"/>
      <c r="O1157" s="398"/>
      <c r="P1157" s="398"/>
      <c r="Q1157" s="2289"/>
      <c r="R1157" s="1962"/>
      <c r="S1157" s="1962"/>
      <c r="T1157" s="1962"/>
      <c r="U1157" s="1962"/>
      <c r="V1157" s="1963"/>
      <c r="W1157" s="1963"/>
      <c r="X1157" s="1963"/>
      <c r="Y1157" s="1963"/>
      <c r="Z1157" s="1963"/>
      <c r="AA1157" s="1963"/>
      <c r="AB1157" s="1964"/>
      <c r="AC1157" s="201"/>
      <c r="AD1157" s="201"/>
      <c r="AE1157" s="201"/>
      <c r="AF1157" s="201"/>
      <c r="AG1157" s="201"/>
      <c r="AH1157" s="201"/>
      <c r="AI1157" s="201"/>
    </row>
    <row r="1158" spans="1:35">
      <c r="A1158" s="990">
        <v>1</v>
      </c>
      <c r="B1158" s="990">
        <v>1</v>
      </c>
      <c r="C1158" s="990" t="s">
        <v>1129</v>
      </c>
      <c r="D1158" s="9" t="s">
        <v>999</v>
      </c>
      <c r="E1158" s="1463" t="s">
        <v>1521</v>
      </c>
      <c r="F1158" s="1454"/>
      <c r="G1158" s="310"/>
      <c r="H1158" s="197"/>
      <c r="I1158" s="2705" t="s">
        <v>1570</v>
      </c>
      <c r="J1158" s="571"/>
      <c r="K1158" s="571"/>
      <c r="L1158" s="571"/>
      <c r="M1158" s="572"/>
      <c r="N1158" s="572"/>
      <c r="O1158" s="572"/>
      <c r="P1158" s="572"/>
      <c r="Q1158" s="2083">
        <v>0</v>
      </c>
      <c r="R1158" s="2084">
        <v>0</v>
      </c>
      <c r="S1158" s="2084">
        <v>0</v>
      </c>
      <c r="T1158" s="2084">
        <v>0</v>
      </c>
      <c r="U1158" s="2084">
        <v>0</v>
      </c>
      <c r="V1158" s="2085">
        <v>0</v>
      </c>
      <c r="W1158" s="2085">
        <v>0</v>
      </c>
      <c r="X1158" s="2085">
        <v>0</v>
      </c>
      <c r="Y1158" s="2085">
        <v>0</v>
      </c>
      <c r="Z1158" s="2085">
        <v>0</v>
      </c>
      <c r="AA1158" s="2085">
        <v>0</v>
      </c>
      <c r="AB1158" s="2086">
        <v>0</v>
      </c>
      <c r="AC1158" s="202"/>
      <c r="AD1158" s="202"/>
      <c r="AE1158" s="202"/>
      <c r="AF1158" s="202"/>
      <c r="AG1158" s="202"/>
      <c r="AH1158" s="202"/>
      <c r="AI1158" s="202"/>
    </row>
    <row r="1159" spans="1:35">
      <c r="A1159" s="990">
        <v>1</v>
      </c>
      <c r="B1159" s="990">
        <v>1</v>
      </c>
      <c r="C1159" s="990" t="s">
        <v>1129</v>
      </c>
      <c r="D1159" s="9" t="s">
        <v>999</v>
      </c>
      <c r="E1159" s="1463" t="s">
        <v>1521</v>
      </c>
      <c r="F1159" s="1454"/>
      <c r="G1159" s="310"/>
      <c r="H1159" s="197"/>
      <c r="I1159" s="574"/>
      <c r="J1159" s="489" t="s">
        <v>1571</v>
      </c>
      <c r="K1159" s="489"/>
      <c r="L1159" s="489"/>
      <c r="M1159" s="573"/>
      <c r="N1159" s="573"/>
      <c r="O1159" s="573"/>
      <c r="P1159" s="573"/>
      <c r="Q1159" s="1965">
        <v>0</v>
      </c>
      <c r="R1159" s="1966">
        <v>0</v>
      </c>
      <c r="S1159" s="1966">
        <v>0</v>
      </c>
      <c r="T1159" s="1966">
        <v>0</v>
      </c>
      <c r="U1159" s="1966">
        <v>0</v>
      </c>
      <c r="V1159" s="1967">
        <v>0</v>
      </c>
      <c r="W1159" s="1967">
        <v>0</v>
      </c>
      <c r="X1159" s="1967">
        <v>0</v>
      </c>
      <c r="Y1159" s="1967">
        <v>0</v>
      </c>
      <c r="Z1159" s="1967">
        <v>0</v>
      </c>
      <c r="AA1159" s="1967">
        <v>0</v>
      </c>
      <c r="AB1159" s="1968">
        <v>0</v>
      </c>
      <c r="AC1159" s="201"/>
      <c r="AD1159" s="201"/>
      <c r="AE1159" s="201"/>
      <c r="AF1159" s="201"/>
      <c r="AG1159" s="201"/>
      <c r="AH1159" s="201"/>
      <c r="AI1159" s="201"/>
    </row>
    <row r="1160" spans="1:35">
      <c r="A1160" s="990">
        <v>1</v>
      </c>
      <c r="B1160" s="990">
        <v>1</v>
      </c>
      <c r="C1160" s="990" t="s">
        <v>1129</v>
      </c>
      <c r="D1160" s="9" t="s">
        <v>999</v>
      </c>
      <c r="E1160" s="1463" t="s">
        <v>1521</v>
      </c>
      <c r="F1160" s="1454"/>
      <c r="G1160" s="310"/>
      <c r="H1160" s="197"/>
      <c r="I1160" s="574"/>
      <c r="J1160" s="489"/>
      <c r="K1160" s="567" t="s">
        <v>449</v>
      </c>
      <c r="L1160" s="567"/>
      <c r="M1160" s="570"/>
      <c r="N1160" s="570"/>
      <c r="O1160" s="570"/>
      <c r="P1160" s="570"/>
      <c r="Q1160" s="1969">
        <v>0</v>
      </c>
      <c r="R1160" s="1947">
        <v>0</v>
      </c>
      <c r="S1160" s="1947">
        <v>0</v>
      </c>
      <c r="T1160" s="1947">
        <v>0</v>
      </c>
      <c r="U1160" s="1947">
        <v>0</v>
      </c>
      <c r="V1160" s="1427">
        <v>0</v>
      </c>
      <c r="W1160" s="1427">
        <v>0</v>
      </c>
      <c r="X1160" s="1427">
        <v>0</v>
      </c>
      <c r="Y1160" s="1427">
        <v>0</v>
      </c>
      <c r="Z1160" s="1427">
        <v>0</v>
      </c>
      <c r="AA1160" s="1427">
        <v>0</v>
      </c>
      <c r="AB1160" s="1948">
        <v>0</v>
      </c>
      <c r="AC1160" s="201"/>
      <c r="AD1160" s="201"/>
      <c r="AE1160" s="201"/>
      <c r="AF1160" s="201"/>
      <c r="AG1160" s="201"/>
      <c r="AH1160" s="201"/>
      <c r="AI1160" s="201"/>
    </row>
    <row r="1161" spans="1:35">
      <c r="A1161" s="990">
        <v>1</v>
      </c>
      <c r="B1161" s="990">
        <v>1</v>
      </c>
      <c r="C1161" s="990" t="s">
        <v>1129</v>
      </c>
      <c r="D1161" s="9" t="s">
        <v>999</v>
      </c>
      <c r="E1161" s="1463" t="s">
        <v>1521</v>
      </c>
      <c r="F1161" s="1454"/>
      <c r="G1161" s="310"/>
      <c r="H1161" s="197"/>
      <c r="I1161" s="574"/>
      <c r="J1161" s="489"/>
      <c r="K1161" s="567"/>
      <c r="L1161" s="588" t="s">
        <v>677</v>
      </c>
      <c r="M1161" s="589" t="s">
        <v>1130</v>
      </c>
      <c r="N1161" s="589"/>
      <c r="O1161" s="589"/>
      <c r="P1161" s="589"/>
      <c r="Q1161" s="1970"/>
      <c r="R1161" s="1971"/>
      <c r="S1161" s="1971"/>
      <c r="T1161" s="1971"/>
      <c r="U1161" s="1971"/>
      <c r="V1161" s="1972"/>
      <c r="W1161" s="1972"/>
      <c r="X1161" s="1972"/>
      <c r="Y1161" s="1972"/>
      <c r="Z1161" s="1972"/>
      <c r="AA1161" s="1972"/>
      <c r="AB1161" s="1973"/>
      <c r="AC1161" s="201"/>
      <c r="AD1161" s="201"/>
      <c r="AE1161" s="201"/>
      <c r="AF1161" s="201"/>
      <c r="AG1161" s="201"/>
      <c r="AH1161" s="201"/>
      <c r="AI1161" s="201"/>
    </row>
    <row r="1162" spans="1:35">
      <c r="A1162" s="990">
        <v>1</v>
      </c>
      <c r="B1162" s="990">
        <v>1</v>
      </c>
      <c r="C1162" s="990" t="s">
        <v>1129</v>
      </c>
      <c r="D1162" s="9" t="s">
        <v>999</v>
      </c>
      <c r="E1162" s="1463" t="s">
        <v>1521</v>
      </c>
      <c r="F1162" s="1454"/>
      <c r="G1162" s="310"/>
      <c r="H1162" s="197"/>
      <c r="I1162" s="574"/>
      <c r="J1162" s="489"/>
      <c r="K1162" s="567"/>
      <c r="L1162" s="567"/>
      <c r="M1162" s="570" t="s">
        <v>1572</v>
      </c>
      <c r="N1162" s="570"/>
      <c r="O1162" s="570"/>
      <c r="P1162" s="570"/>
      <c r="Q1162" s="1969">
        <v>0</v>
      </c>
      <c r="R1162" s="1947">
        <v>0</v>
      </c>
      <c r="S1162" s="1947">
        <v>0</v>
      </c>
      <c r="T1162" s="1947">
        <v>0</v>
      </c>
      <c r="U1162" s="1947">
        <v>0</v>
      </c>
      <c r="V1162" s="1427">
        <v>0</v>
      </c>
      <c r="W1162" s="1427">
        <v>0</v>
      </c>
      <c r="X1162" s="1427">
        <v>0</v>
      </c>
      <c r="Y1162" s="1427">
        <v>0</v>
      </c>
      <c r="Z1162" s="1427">
        <v>0</v>
      </c>
      <c r="AA1162" s="1427">
        <v>0</v>
      </c>
      <c r="AB1162" s="1948">
        <v>0</v>
      </c>
      <c r="AC1162" s="201"/>
      <c r="AD1162" s="201"/>
      <c r="AE1162" s="201"/>
      <c r="AF1162" s="201"/>
      <c r="AG1162" s="201"/>
      <c r="AH1162" s="201"/>
      <c r="AI1162" s="201"/>
    </row>
    <row r="1163" spans="1:35">
      <c r="A1163" s="990">
        <v>1</v>
      </c>
      <c r="B1163" s="990">
        <v>1</v>
      </c>
      <c r="C1163" s="990" t="s">
        <v>1129</v>
      </c>
      <c r="D1163" s="9" t="s">
        <v>999</v>
      </c>
      <c r="E1163" s="1463" t="s">
        <v>1521</v>
      </c>
      <c r="F1163" s="1454"/>
      <c r="G1163" s="310"/>
      <c r="H1163" s="197"/>
      <c r="I1163" s="574"/>
      <c r="J1163" s="489"/>
      <c r="K1163" s="567"/>
      <c r="L1163" s="590"/>
      <c r="M1163" s="591" t="s">
        <v>1573</v>
      </c>
      <c r="N1163" s="591"/>
      <c r="O1163" s="591"/>
      <c r="P1163" s="591"/>
      <c r="Q1163" s="1974">
        <v>0</v>
      </c>
      <c r="R1163" s="1975">
        <v>0</v>
      </c>
      <c r="S1163" s="1975">
        <v>0</v>
      </c>
      <c r="T1163" s="1975">
        <v>0</v>
      </c>
      <c r="U1163" s="1975">
        <v>0</v>
      </c>
      <c r="V1163" s="1428">
        <v>0</v>
      </c>
      <c r="W1163" s="1428">
        <v>0</v>
      </c>
      <c r="X1163" s="1428">
        <v>0</v>
      </c>
      <c r="Y1163" s="1428">
        <v>0</v>
      </c>
      <c r="Z1163" s="1428">
        <v>0</v>
      </c>
      <c r="AA1163" s="1428">
        <v>0</v>
      </c>
      <c r="AB1163" s="1976">
        <v>0</v>
      </c>
      <c r="AC1163" s="201"/>
      <c r="AD1163" s="201"/>
      <c r="AE1163" s="201"/>
      <c r="AF1163" s="201"/>
      <c r="AG1163" s="201"/>
      <c r="AH1163" s="201"/>
      <c r="AI1163" s="201"/>
    </row>
    <row r="1164" spans="1:35">
      <c r="A1164" s="990">
        <v>1</v>
      </c>
      <c r="B1164" s="990">
        <v>1</v>
      </c>
      <c r="C1164" s="990" t="s">
        <v>1129</v>
      </c>
      <c r="D1164" s="9" t="s">
        <v>999</v>
      </c>
      <c r="E1164" s="1463" t="s">
        <v>1521</v>
      </c>
      <c r="F1164" s="1454"/>
      <c r="G1164" s="310"/>
      <c r="H1164" s="197"/>
      <c r="I1164" s="574"/>
      <c r="J1164" s="489"/>
      <c r="K1164" s="567"/>
      <c r="L1164" s="567" t="s">
        <v>53</v>
      </c>
      <c r="M1164" s="589" t="s">
        <v>1130</v>
      </c>
      <c r="N1164" s="589"/>
      <c r="O1164" s="589"/>
      <c r="P1164" s="589"/>
      <c r="Q1164" s="1970"/>
      <c r="R1164" s="1971"/>
      <c r="S1164" s="1971"/>
      <c r="T1164" s="1971"/>
      <c r="U1164" s="1971"/>
      <c r="V1164" s="1972"/>
      <c r="W1164" s="1972"/>
      <c r="X1164" s="1972"/>
      <c r="Y1164" s="1972"/>
      <c r="Z1164" s="1972"/>
      <c r="AA1164" s="1972"/>
      <c r="AB1164" s="1973"/>
      <c r="AC1164" s="201"/>
      <c r="AD1164" s="201"/>
      <c r="AE1164" s="201"/>
      <c r="AF1164" s="201"/>
      <c r="AG1164" s="201"/>
      <c r="AH1164" s="201"/>
      <c r="AI1164" s="201"/>
    </row>
    <row r="1165" spans="1:35">
      <c r="A1165" s="990">
        <v>1</v>
      </c>
      <c r="B1165" s="990">
        <v>1</v>
      </c>
      <c r="C1165" s="990" t="s">
        <v>1129</v>
      </c>
      <c r="D1165" s="9" t="s">
        <v>999</v>
      </c>
      <c r="E1165" s="1463" t="s">
        <v>1521</v>
      </c>
      <c r="F1165" s="1454"/>
      <c r="G1165" s="310"/>
      <c r="H1165" s="197"/>
      <c r="I1165" s="574"/>
      <c r="J1165" s="489"/>
      <c r="K1165" s="567"/>
      <c r="L1165" s="567"/>
      <c r="M1165" s="570" t="s">
        <v>1572</v>
      </c>
      <c r="N1165" s="570"/>
      <c r="O1165" s="570"/>
      <c r="P1165" s="570"/>
      <c r="Q1165" s="1969">
        <v>0</v>
      </c>
      <c r="R1165" s="1947">
        <v>0</v>
      </c>
      <c r="S1165" s="1947">
        <v>0</v>
      </c>
      <c r="T1165" s="1947">
        <v>0</v>
      </c>
      <c r="U1165" s="1947">
        <v>0</v>
      </c>
      <c r="V1165" s="1427">
        <v>0</v>
      </c>
      <c r="W1165" s="1427">
        <v>0</v>
      </c>
      <c r="X1165" s="1427">
        <v>0</v>
      </c>
      <c r="Y1165" s="1427">
        <v>0</v>
      </c>
      <c r="Z1165" s="1427">
        <v>0</v>
      </c>
      <c r="AA1165" s="1427">
        <v>0</v>
      </c>
      <c r="AB1165" s="1948">
        <v>0</v>
      </c>
      <c r="AC1165" s="201"/>
      <c r="AD1165" s="201"/>
      <c r="AE1165" s="201"/>
      <c r="AF1165" s="201"/>
      <c r="AG1165" s="201"/>
      <c r="AH1165" s="201"/>
      <c r="AI1165" s="201"/>
    </row>
    <row r="1166" spans="1:35">
      <c r="A1166" s="990">
        <v>1</v>
      </c>
      <c r="B1166" s="990">
        <v>1</v>
      </c>
      <c r="C1166" s="990" t="s">
        <v>1129</v>
      </c>
      <c r="D1166" s="9" t="s">
        <v>999</v>
      </c>
      <c r="E1166" s="1463" t="s">
        <v>1521</v>
      </c>
      <c r="F1166" s="1454"/>
      <c r="G1166" s="310"/>
      <c r="H1166" s="197"/>
      <c r="I1166" s="574"/>
      <c r="J1166" s="489"/>
      <c r="K1166" s="567"/>
      <c r="L1166" s="590"/>
      <c r="M1166" s="591" t="s">
        <v>1573</v>
      </c>
      <c r="N1166" s="591"/>
      <c r="O1166" s="591"/>
      <c r="P1166" s="591"/>
      <c r="Q1166" s="1974">
        <v>0</v>
      </c>
      <c r="R1166" s="1975">
        <v>0</v>
      </c>
      <c r="S1166" s="1975">
        <v>0</v>
      </c>
      <c r="T1166" s="1975">
        <v>0</v>
      </c>
      <c r="U1166" s="1975">
        <v>0</v>
      </c>
      <c r="V1166" s="1428">
        <v>0</v>
      </c>
      <c r="W1166" s="1428">
        <v>0</v>
      </c>
      <c r="X1166" s="1428">
        <v>0</v>
      </c>
      <c r="Y1166" s="1428">
        <v>0</v>
      </c>
      <c r="Z1166" s="1428">
        <v>0</v>
      </c>
      <c r="AA1166" s="1428">
        <v>0</v>
      </c>
      <c r="AB1166" s="1976">
        <v>0</v>
      </c>
      <c r="AC1166" s="201"/>
      <c r="AD1166" s="201"/>
      <c r="AE1166" s="201"/>
      <c r="AF1166" s="201"/>
      <c r="AG1166" s="201"/>
      <c r="AH1166" s="201"/>
      <c r="AI1166" s="201"/>
    </row>
    <row r="1167" spans="1:35">
      <c r="A1167" s="990">
        <v>1</v>
      </c>
      <c r="B1167" s="990">
        <v>1</v>
      </c>
      <c r="C1167" s="990" t="s">
        <v>1129</v>
      </c>
      <c r="D1167" s="9" t="s">
        <v>999</v>
      </c>
      <c r="E1167" s="1463" t="s">
        <v>1521</v>
      </c>
      <c r="F1167" s="1454"/>
      <c r="G1167" s="310"/>
      <c r="H1167" s="197"/>
      <c r="I1167" s="574"/>
      <c r="J1167" s="489"/>
      <c r="K1167" s="590"/>
      <c r="L1167" s="590" t="s">
        <v>11</v>
      </c>
      <c r="M1167" s="591" t="s">
        <v>1574</v>
      </c>
      <c r="N1167" s="591"/>
      <c r="O1167" s="591"/>
      <c r="P1167" s="591"/>
      <c r="Q1167" s="1977"/>
      <c r="R1167" s="1978"/>
      <c r="S1167" s="1978"/>
      <c r="T1167" s="1978"/>
      <c r="U1167" s="1978"/>
      <c r="V1167" s="1979"/>
      <c r="W1167" s="1979"/>
      <c r="X1167" s="1979"/>
      <c r="Y1167" s="1979"/>
      <c r="Z1167" s="1979"/>
      <c r="AA1167" s="1979"/>
      <c r="AB1167" s="1980"/>
      <c r="AC1167" s="201"/>
      <c r="AD1167" s="201"/>
      <c r="AE1167" s="201"/>
      <c r="AF1167" s="201"/>
      <c r="AG1167" s="201"/>
      <c r="AH1167" s="201"/>
      <c r="AI1167" s="201"/>
    </row>
    <row r="1168" spans="1:35">
      <c r="A1168" s="990">
        <v>1</v>
      </c>
      <c r="B1168" s="990">
        <v>1</v>
      </c>
      <c r="C1168" s="990" t="s">
        <v>1129</v>
      </c>
      <c r="D1168" s="9" t="s">
        <v>999</v>
      </c>
      <c r="E1168" s="1463" t="s">
        <v>1521</v>
      </c>
      <c r="F1168" s="1454"/>
      <c r="G1168" s="310"/>
      <c r="H1168" s="197"/>
      <c r="I1168" s="574"/>
      <c r="J1168" s="489"/>
      <c r="K1168" s="567" t="s">
        <v>1567</v>
      </c>
      <c r="L1168" s="567"/>
      <c r="M1168" s="570"/>
      <c r="N1168" s="570"/>
      <c r="O1168" s="570"/>
      <c r="P1168" s="570"/>
      <c r="Q1168" s="1969">
        <v>0</v>
      </c>
      <c r="R1168" s="1947">
        <v>0</v>
      </c>
      <c r="S1168" s="1947">
        <v>0</v>
      </c>
      <c r="T1168" s="1947">
        <v>0</v>
      </c>
      <c r="U1168" s="1947">
        <v>0</v>
      </c>
      <c r="V1168" s="1427">
        <v>0</v>
      </c>
      <c r="W1168" s="1427">
        <v>0</v>
      </c>
      <c r="X1168" s="1427">
        <v>0</v>
      </c>
      <c r="Y1168" s="1427">
        <v>0</v>
      </c>
      <c r="Z1168" s="1427">
        <v>0</v>
      </c>
      <c r="AA1168" s="1427">
        <v>0</v>
      </c>
      <c r="AB1168" s="1948">
        <v>0</v>
      </c>
      <c r="AC1168" s="201"/>
      <c r="AD1168" s="201"/>
      <c r="AE1168" s="201"/>
      <c r="AF1168" s="201"/>
      <c r="AG1168" s="201"/>
      <c r="AH1168" s="201"/>
      <c r="AI1168" s="201"/>
    </row>
    <row r="1169" spans="1:35">
      <c r="A1169" s="990">
        <v>1</v>
      </c>
      <c r="B1169" s="990">
        <v>1</v>
      </c>
      <c r="C1169" s="990" t="s">
        <v>1129</v>
      </c>
      <c r="D1169" s="9" t="s">
        <v>999</v>
      </c>
      <c r="E1169" s="1463" t="s">
        <v>1521</v>
      </c>
      <c r="F1169" s="1454"/>
      <c r="G1169" s="310"/>
      <c r="H1169" s="197"/>
      <c r="I1169" s="574"/>
      <c r="J1169" s="489"/>
      <c r="K1169" s="567"/>
      <c r="L1169" s="567" t="s">
        <v>677</v>
      </c>
      <c r="M1169" s="570"/>
      <c r="N1169" s="570"/>
      <c r="O1169" s="570"/>
      <c r="P1169" s="570"/>
      <c r="Q1169" s="2288"/>
      <c r="R1169" s="1959"/>
      <c r="S1169" s="1959"/>
      <c r="T1169" s="1959"/>
      <c r="U1169" s="1959"/>
      <c r="V1169" s="1960"/>
      <c r="W1169" s="1960"/>
      <c r="X1169" s="1960"/>
      <c r="Y1169" s="1960"/>
      <c r="Z1169" s="1960"/>
      <c r="AA1169" s="1960"/>
      <c r="AB1169" s="1961"/>
      <c r="AC1169" s="201"/>
      <c r="AD1169" s="201"/>
      <c r="AE1169" s="201"/>
      <c r="AF1169" s="201"/>
      <c r="AG1169" s="201"/>
      <c r="AH1169" s="201"/>
      <c r="AI1169" s="201"/>
    </row>
    <row r="1170" spans="1:35">
      <c r="A1170" s="990">
        <v>1</v>
      </c>
      <c r="B1170" s="990">
        <v>1</v>
      </c>
      <c r="C1170" s="990" t="s">
        <v>1129</v>
      </c>
      <c r="D1170" s="9" t="s">
        <v>999</v>
      </c>
      <c r="E1170" s="1463" t="s">
        <v>1521</v>
      </c>
      <c r="F1170" s="1454"/>
      <c r="G1170" s="310"/>
      <c r="H1170" s="197"/>
      <c r="I1170" s="574"/>
      <c r="J1170" s="489"/>
      <c r="K1170" s="567"/>
      <c r="L1170" s="567" t="s">
        <v>53</v>
      </c>
      <c r="M1170" s="570"/>
      <c r="N1170" s="570"/>
      <c r="O1170" s="570"/>
      <c r="P1170" s="570"/>
      <c r="Q1170" s="2288"/>
      <c r="R1170" s="1959"/>
      <c r="S1170" s="1959"/>
      <c r="T1170" s="1959"/>
      <c r="U1170" s="1959"/>
      <c r="V1170" s="1960"/>
      <c r="W1170" s="1960"/>
      <c r="X1170" s="1960"/>
      <c r="Y1170" s="1960"/>
      <c r="Z1170" s="1960"/>
      <c r="AA1170" s="1960"/>
      <c r="AB1170" s="1961"/>
      <c r="AC1170" s="201"/>
      <c r="AD1170" s="201"/>
      <c r="AE1170" s="201"/>
      <c r="AF1170" s="201"/>
      <c r="AG1170" s="201"/>
      <c r="AH1170" s="201"/>
      <c r="AI1170" s="201"/>
    </row>
    <row r="1171" spans="1:35">
      <c r="A1171" s="990">
        <v>1</v>
      </c>
      <c r="B1171" s="990">
        <v>1</v>
      </c>
      <c r="C1171" s="990" t="s">
        <v>1129</v>
      </c>
      <c r="D1171" s="9" t="s">
        <v>999</v>
      </c>
      <c r="E1171" s="1463" t="s">
        <v>1521</v>
      </c>
      <c r="F1171" s="1454"/>
      <c r="G1171" s="310"/>
      <c r="H1171" s="197"/>
      <c r="I1171" s="574"/>
      <c r="J1171" s="489"/>
      <c r="K1171" s="567"/>
      <c r="L1171" s="567" t="s">
        <v>11</v>
      </c>
      <c r="M1171" s="591" t="s">
        <v>1574</v>
      </c>
      <c r="N1171" s="570"/>
      <c r="O1171" s="570"/>
      <c r="P1171" s="570"/>
      <c r="Q1171" s="2288"/>
      <c r="R1171" s="1959"/>
      <c r="S1171" s="1959"/>
      <c r="T1171" s="1959"/>
      <c r="U1171" s="1959"/>
      <c r="V1171" s="1960"/>
      <c r="W1171" s="1960"/>
      <c r="X1171" s="1960"/>
      <c r="Y1171" s="1960"/>
      <c r="Z1171" s="1960"/>
      <c r="AA1171" s="1960"/>
      <c r="AB1171" s="1961"/>
      <c r="AC1171" s="201"/>
      <c r="AD1171" s="201"/>
      <c r="AE1171" s="201"/>
      <c r="AF1171" s="201"/>
      <c r="AG1171" s="201"/>
      <c r="AH1171" s="201"/>
      <c r="AI1171" s="201"/>
    </row>
    <row r="1172" spans="1:35">
      <c r="A1172" s="990">
        <v>1</v>
      </c>
      <c r="B1172" s="990">
        <v>1</v>
      </c>
      <c r="C1172" s="990" t="s">
        <v>1129</v>
      </c>
      <c r="D1172" s="9" t="s">
        <v>999</v>
      </c>
      <c r="E1172" s="1463" t="s">
        <v>1521</v>
      </c>
      <c r="F1172" s="1454"/>
      <c r="G1172" s="310"/>
      <c r="H1172" s="197"/>
      <c r="I1172" s="574"/>
      <c r="J1172" s="488" t="s">
        <v>453</v>
      </c>
      <c r="K1172" s="488"/>
      <c r="L1172" s="488"/>
      <c r="M1172" s="538"/>
      <c r="N1172" s="538"/>
      <c r="O1172" s="538"/>
      <c r="P1172" s="538"/>
      <c r="Q1172" s="2290"/>
      <c r="R1172" s="2291"/>
      <c r="S1172" s="2291"/>
      <c r="T1172" s="2291"/>
      <c r="U1172" s="2291"/>
      <c r="V1172" s="2292"/>
      <c r="W1172" s="2292"/>
      <c r="X1172" s="2292"/>
      <c r="Y1172" s="2292"/>
      <c r="Z1172" s="2292"/>
      <c r="AA1172" s="2292"/>
      <c r="AB1172" s="2293"/>
      <c r="AC1172" s="202"/>
      <c r="AD1172" s="202"/>
      <c r="AE1172" s="202"/>
      <c r="AF1172" s="202"/>
      <c r="AG1172" s="202"/>
      <c r="AH1172" s="202"/>
      <c r="AI1172" s="202"/>
    </row>
    <row r="1173" spans="1:35">
      <c r="A1173" s="990">
        <v>1</v>
      </c>
      <c r="B1173" s="990">
        <v>1</v>
      </c>
      <c r="C1173" s="990" t="s">
        <v>1129</v>
      </c>
      <c r="D1173" s="9" t="s">
        <v>999</v>
      </c>
      <c r="E1173" s="1463" t="s">
        <v>1521</v>
      </c>
      <c r="F1173" s="1454"/>
      <c r="G1173" s="310"/>
      <c r="H1173" s="197"/>
      <c r="I1173" s="574"/>
      <c r="J1173" s="488" t="s">
        <v>11</v>
      </c>
      <c r="K1173" s="488"/>
      <c r="L1173" s="488"/>
      <c r="M1173" s="538"/>
      <c r="N1173" s="538"/>
      <c r="O1173" s="538"/>
      <c r="P1173" s="538"/>
      <c r="Q1173" s="2075">
        <v>0</v>
      </c>
      <c r="R1173" s="2076">
        <v>0</v>
      </c>
      <c r="S1173" s="2076">
        <v>0</v>
      </c>
      <c r="T1173" s="2076">
        <v>0</v>
      </c>
      <c r="U1173" s="2076">
        <v>0</v>
      </c>
      <c r="V1173" s="2077">
        <v>0</v>
      </c>
      <c r="W1173" s="2077">
        <v>0</v>
      </c>
      <c r="X1173" s="2077">
        <v>0</v>
      </c>
      <c r="Y1173" s="2077">
        <v>0</v>
      </c>
      <c r="Z1173" s="2077">
        <v>0</v>
      </c>
      <c r="AA1173" s="2077">
        <v>0</v>
      </c>
      <c r="AB1173" s="2082">
        <v>0</v>
      </c>
      <c r="AC1173" s="202"/>
      <c r="AD1173" s="202"/>
      <c r="AE1173" s="202"/>
      <c r="AF1173" s="202"/>
      <c r="AG1173" s="202"/>
      <c r="AH1173" s="202"/>
      <c r="AI1173" s="202"/>
    </row>
    <row r="1174" spans="1:35" ht="14.5">
      <c r="A1174" s="990">
        <v>1</v>
      </c>
      <c r="B1174" s="990">
        <v>1</v>
      </c>
      <c r="C1174" s="990" t="s">
        <v>1129</v>
      </c>
      <c r="D1174" s="9" t="s">
        <v>999</v>
      </c>
      <c r="E1174" s="1463" t="s">
        <v>1521</v>
      </c>
      <c r="F1174" s="1454"/>
      <c r="G1174" s="310"/>
      <c r="H1174" s="197"/>
      <c r="I1174" s="574"/>
      <c r="J1174" s="489"/>
      <c r="K1174" s="1688" t="s">
        <v>1569</v>
      </c>
      <c r="L1174" s="75"/>
      <c r="M1174" s="1689"/>
      <c r="N1174" s="1689"/>
      <c r="O1174" s="1689"/>
      <c r="P1174" s="1689"/>
      <c r="Q1174" s="2294"/>
      <c r="R1174" s="2295"/>
      <c r="S1174" s="2295"/>
      <c r="T1174" s="2295"/>
      <c r="U1174" s="2295"/>
      <c r="V1174" s="2296"/>
      <c r="W1174" s="2296"/>
      <c r="X1174" s="2296"/>
      <c r="Y1174" s="2296"/>
      <c r="Z1174" s="2296"/>
      <c r="AA1174" s="2296"/>
      <c r="AB1174" s="2297"/>
      <c r="AC1174" s="202"/>
      <c r="AD1174" s="202"/>
      <c r="AE1174" s="202"/>
      <c r="AF1174" s="202"/>
      <c r="AG1174" s="202"/>
      <c r="AH1174" s="202"/>
      <c r="AI1174" s="202"/>
    </row>
    <row r="1175" spans="1:35" ht="14.5">
      <c r="A1175" s="990">
        <v>1</v>
      </c>
      <c r="B1175" s="990">
        <v>1</v>
      </c>
      <c r="C1175" s="990" t="s">
        <v>1129</v>
      </c>
      <c r="D1175" s="9" t="s">
        <v>999</v>
      </c>
      <c r="E1175" s="1463" t="s">
        <v>1521</v>
      </c>
      <c r="F1175" s="1454"/>
      <c r="G1175" s="310"/>
      <c r="H1175" s="197"/>
      <c r="I1175" s="574"/>
      <c r="J1175" s="489"/>
      <c r="K1175" s="1688" t="s">
        <v>1569</v>
      </c>
      <c r="L1175" s="75"/>
      <c r="M1175" s="1689"/>
      <c r="N1175" s="1689"/>
      <c r="O1175" s="1689"/>
      <c r="P1175" s="1689"/>
      <c r="Q1175" s="2294"/>
      <c r="R1175" s="2295"/>
      <c r="S1175" s="2295"/>
      <c r="T1175" s="2295"/>
      <c r="U1175" s="2295"/>
      <c r="V1175" s="2296"/>
      <c r="W1175" s="2296"/>
      <c r="X1175" s="2296"/>
      <c r="Y1175" s="2296"/>
      <c r="Z1175" s="2296"/>
      <c r="AA1175" s="2296"/>
      <c r="AB1175" s="2297"/>
      <c r="AC1175" s="202"/>
      <c r="AD1175" s="202"/>
      <c r="AE1175" s="202"/>
      <c r="AF1175" s="202"/>
      <c r="AG1175" s="202"/>
      <c r="AH1175" s="202"/>
      <c r="AI1175" s="202"/>
    </row>
    <row r="1176" spans="1:35">
      <c r="A1176" s="990">
        <v>1</v>
      </c>
      <c r="B1176" s="990">
        <v>1</v>
      </c>
      <c r="C1176" s="990" t="s">
        <v>1129</v>
      </c>
      <c r="D1176" s="9" t="s">
        <v>999</v>
      </c>
      <c r="E1176" s="1463" t="s">
        <v>1521</v>
      </c>
      <c r="F1176" s="1454"/>
      <c r="G1176" s="310"/>
      <c r="H1176" s="197"/>
      <c r="I1176" s="574"/>
      <c r="J1176" s="490"/>
      <c r="K1176" s="276" t="s">
        <v>11</v>
      </c>
      <c r="L1176" s="276"/>
      <c r="M1176" s="592"/>
      <c r="N1176" s="592"/>
      <c r="O1176" s="592"/>
      <c r="P1176" s="592"/>
      <c r="Q1176" s="2298"/>
      <c r="R1176" s="2299"/>
      <c r="S1176" s="2299"/>
      <c r="T1176" s="2299"/>
      <c r="U1176" s="2299"/>
      <c r="V1176" s="2300"/>
      <c r="W1176" s="2300"/>
      <c r="X1176" s="2300"/>
      <c r="Y1176" s="2300"/>
      <c r="Z1176" s="2300"/>
      <c r="AA1176" s="2300"/>
      <c r="AB1176" s="2301"/>
      <c r="AC1176" s="202"/>
      <c r="AD1176" s="202"/>
      <c r="AE1176" s="202"/>
      <c r="AF1176" s="202"/>
      <c r="AG1176" s="202"/>
      <c r="AH1176" s="202"/>
      <c r="AI1176" s="202"/>
    </row>
    <row r="1177" spans="1:35">
      <c r="A1177" s="990">
        <v>1</v>
      </c>
      <c r="B1177" s="990">
        <v>1</v>
      </c>
      <c r="C1177" s="990" t="s">
        <v>1129</v>
      </c>
      <c r="D1177" s="9" t="s">
        <v>999</v>
      </c>
      <c r="E1177" s="1463" t="s">
        <v>1521</v>
      </c>
      <c r="F1177" s="1454"/>
      <c r="G1177" s="310"/>
      <c r="H1177" s="197"/>
      <c r="I1177" s="574"/>
      <c r="J1177" s="564" t="s">
        <v>454</v>
      </c>
      <c r="K1177" s="564"/>
      <c r="L1177" s="564"/>
      <c r="M1177" s="569"/>
      <c r="N1177" s="569"/>
      <c r="O1177" s="569"/>
      <c r="P1177" s="569"/>
      <c r="Q1177" s="1997">
        <v>0</v>
      </c>
      <c r="R1177" s="1998">
        <v>0</v>
      </c>
      <c r="S1177" s="1998">
        <v>0</v>
      </c>
      <c r="T1177" s="1998">
        <v>0</v>
      </c>
      <c r="U1177" s="1998">
        <v>0</v>
      </c>
      <c r="V1177" s="2023">
        <v>0</v>
      </c>
      <c r="W1177" s="2023">
        <v>0</v>
      </c>
      <c r="X1177" s="2023">
        <v>0</v>
      </c>
      <c r="Y1177" s="2023">
        <v>0</v>
      </c>
      <c r="Z1177" s="2023">
        <v>0</v>
      </c>
      <c r="AA1177" s="2023">
        <v>0</v>
      </c>
      <c r="AB1177" s="1999">
        <v>0</v>
      </c>
      <c r="AC1177" s="201"/>
      <c r="AD1177" s="201"/>
      <c r="AE1177" s="201"/>
      <c r="AF1177" s="201"/>
      <c r="AG1177" s="201"/>
      <c r="AH1177" s="201"/>
      <c r="AI1177" s="201"/>
    </row>
    <row r="1178" spans="1:35">
      <c r="A1178" s="990">
        <v>1</v>
      </c>
      <c r="B1178" s="990">
        <v>1</v>
      </c>
      <c r="C1178" s="990" t="s">
        <v>1129</v>
      </c>
      <c r="D1178" s="9" t="s">
        <v>999</v>
      </c>
      <c r="E1178" s="1463" t="s">
        <v>1521</v>
      </c>
      <c r="F1178" s="1454"/>
      <c r="G1178" s="310"/>
      <c r="H1178" s="197"/>
      <c r="I1178" s="574"/>
      <c r="J1178" s="357"/>
      <c r="K1178" s="567" t="s">
        <v>449</v>
      </c>
      <c r="L1178" s="567"/>
      <c r="M1178" s="570"/>
      <c r="N1178" s="570"/>
      <c r="O1178" s="570"/>
      <c r="P1178" s="570"/>
      <c r="Q1178" s="1969">
        <v>0</v>
      </c>
      <c r="R1178" s="1947">
        <v>0</v>
      </c>
      <c r="S1178" s="1947">
        <v>0</v>
      </c>
      <c r="T1178" s="1947">
        <v>0</v>
      </c>
      <c r="U1178" s="1947">
        <v>0</v>
      </c>
      <c r="V1178" s="1947">
        <v>0</v>
      </c>
      <c r="W1178" s="1947">
        <v>0</v>
      </c>
      <c r="X1178" s="1947">
        <v>0</v>
      </c>
      <c r="Y1178" s="1947">
        <v>0</v>
      </c>
      <c r="Z1178" s="1947">
        <v>0</v>
      </c>
      <c r="AA1178" s="1947">
        <v>0</v>
      </c>
      <c r="AB1178" s="1948">
        <v>0</v>
      </c>
      <c r="AC1178" s="201"/>
      <c r="AD1178" s="201"/>
      <c r="AE1178" s="201"/>
      <c r="AF1178" s="201"/>
      <c r="AG1178" s="201"/>
      <c r="AH1178" s="201"/>
      <c r="AI1178" s="201"/>
    </row>
    <row r="1179" spans="1:35">
      <c r="A1179" s="990">
        <v>1</v>
      </c>
      <c r="B1179" s="990">
        <v>1</v>
      </c>
      <c r="C1179" s="990" t="s">
        <v>1129</v>
      </c>
      <c r="D1179" s="9" t="s">
        <v>999</v>
      </c>
      <c r="E1179" s="1463" t="s">
        <v>1521</v>
      </c>
      <c r="F1179" s="1455"/>
      <c r="G1179" s="308"/>
      <c r="H1179" s="197"/>
      <c r="I1179" s="575"/>
      <c r="J1179" s="565"/>
      <c r="K1179" s="276" t="s">
        <v>11</v>
      </c>
      <c r="L1179" s="276"/>
      <c r="M1179" s="398"/>
      <c r="N1179" s="398"/>
      <c r="O1179" s="398"/>
      <c r="P1179" s="398"/>
      <c r="Q1179" s="1981">
        <v>0</v>
      </c>
      <c r="R1179" s="1949">
        <v>0</v>
      </c>
      <c r="S1179" s="1949">
        <v>0</v>
      </c>
      <c r="T1179" s="1949">
        <v>0</v>
      </c>
      <c r="U1179" s="1949">
        <v>0</v>
      </c>
      <c r="V1179" s="1949">
        <v>0</v>
      </c>
      <c r="W1179" s="1949">
        <v>0</v>
      </c>
      <c r="X1179" s="1949">
        <v>0</v>
      </c>
      <c r="Y1179" s="1949">
        <v>0</v>
      </c>
      <c r="Z1179" s="1949">
        <v>0</v>
      </c>
      <c r="AA1179" s="1949">
        <v>0</v>
      </c>
      <c r="AB1179" s="1950">
        <v>0</v>
      </c>
      <c r="AC1179" s="201"/>
      <c r="AD1179" s="201"/>
      <c r="AE1179" s="201"/>
      <c r="AF1179" s="201"/>
      <c r="AG1179" s="201"/>
      <c r="AH1179" s="201"/>
      <c r="AI1179" s="201"/>
    </row>
    <row r="1180" spans="1:35">
      <c r="A1180" s="990">
        <v>1</v>
      </c>
      <c r="B1180" s="990">
        <v>1</v>
      </c>
      <c r="C1180" s="990" t="s">
        <v>1129</v>
      </c>
      <c r="D1180" s="9" t="s">
        <v>999</v>
      </c>
      <c r="E1180" s="1463" t="s">
        <v>1521</v>
      </c>
      <c r="F1180" s="1456"/>
      <c r="G1180" s="198"/>
      <c r="H1180" s="197"/>
      <c r="I1180" s="9"/>
      <c r="K1180" s="197"/>
      <c r="L1180" s="200"/>
      <c r="M1180" s="196"/>
      <c r="O1180" s="197"/>
      <c r="P1180" s="200" t="s">
        <v>1575</v>
      </c>
      <c r="Q1180" s="2230" t="s">
        <v>1563</v>
      </c>
      <c r="R1180" s="1942" t="s">
        <v>1563</v>
      </c>
      <c r="S1180" s="1942" t="s">
        <v>1563</v>
      </c>
      <c r="T1180" s="1942" t="s">
        <v>1563</v>
      </c>
      <c r="U1180" s="1942" t="s">
        <v>1563</v>
      </c>
      <c r="V1180" s="1942" t="s">
        <v>1563</v>
      </c>
      <c r="W1180" s="1942" t="s">
        <v>1563</v>
      </c>
      <c r="X1180" s="1942" t="s">
        <v>1563</v>
      </c>
      <c r="Y1180" s="1942" t="s">
        <v>1563</v>
      </c>
      <c r="Z1180" s="1942" t="s">
        <v>1563</v>
      </c>
      <c r="AA1180" s="1942" t="s">
        <v>1563</v>
      </c>
      <c r="AB1180" s="2231" t="s">
        <v>1563</v>
      </c>
      <c r="AC1180" s="199"/>
      <c r="AD1180" s="199"/>
      <c r="AE1180" s="199"/>
      <c r="AF1180" s="199"/>
      <c r="AG1180" s="199"/>
      <c r="AH1180" s="197"/>
      <c r="AI1180" s="197"/>
    </row>
    <row r="1181" spans="1:35">
      <c r="A1181" s="990">
        <v>1</v>
      </c>
      <c r="B1181" s="990">
        <v>1</v>
      </c>
      <c r="C1181" s="990" t="s">
        <v>1129</v>
      </c>
      <c r="D1181" s="9" t="s">
        <v>999</v>
      </c>
      <c r="E1181" s="1463" t="s">
        <v>1521</v>
      </c>
      <c r="F1181" s="1457"/>
      <c r="G1181" s="644"/>
      <c r="H1181" s="644"/>
      <c r="I1181" s="643" t="s">
        <v>1576</v>
      </c>
      <c r="J1181" s="642"/>
      <c r="K1181" s="642"/>
      <c r="L1181" s="642"/>
      <c r="M1181" s="642"/>
      <c r="N1181" s="642"/>
      <c r="O1181" s="642"/>
      <c r="P1181" s="642"/>
      <c r="Q1181" s="2232"/>
      <c r="R1181" s="642"/>
      <c r="S1181" s="642"/>
      <c r="T1181" s="642"/>
      <c r="U1181" s="642"/>
      <c r="V1181" s="642"/>
      <c r="W1181" s="642"/>
      <c r="X1181" s="642"/>
      <c r="Y1181" s="642"/>
      <c r="Z1181" s="642"/>
      <c r="AA1181" s="644"/>
      <c r="AB1181" s="2233"/>
      <c r="AC1181" s="644"/>
      <c r="AD1181" s="644"/>
      <c r="AE1181" s="644"/>
      <c r="AF1181" s="644"/>
      <c r="AG1181" s="644"/>
      <c r="AH1181" s="644"/>
      <c r="AI1181" s="644"/>
    </row>
    <row r="1182" spans="1:35">
      <c r="A1182" s="990">
        <v>1</v>
      </c>
      <c r="B1182" s="990">
        <v>1</v>
      </c>
      <c r="C1182" s="990" t="s">
        <v>1129</v>
      </c>
      <c r="D1182" s="9" t="s">
        <v>999</v>
      </c>
      <c r="E1182" s="1463" t="s">
        <v>1521</v>
      </c>
      <c r="F1182" s="1458"/>
      <c r="G1182" s="646"/>
      <c r="H1182" s="646"/>
      <c r="I1182" s="2706"/>
      <c r="J1182" s="645" t="s">
        <v>1577</v>
      </c>
      <c r="K1182" s="645"/>
      <c r="L1182" s="645"/>
      <c r="M1182" s="645"/>
      <c r="N1182" s="645"/>
      <c r="O1182" s="645"/>
      <c r="P1182" s="645"/>
      <c r="Q1182" s="2234">
        <v>0</v>
      </c>
      <c r="R1182" s="2093">
        <v>0</v>
      </c>
      <c r="S1182" s="2093">
        <v>0</v>
      </c>
      <c r="T1182" s="2093">
        <v>0</v>
      </c>
      <c r="U1182" s="2093">
        <v>0</v>
      </c>
      <c r="V1182" s="2093">
        <v>0</v>
      </c>
      <c r="W1182" s="2093">
        <v>0</v>
      </c>
      <c r="X1182" s="2093">
        <v>0</v>
      </c>
      <c r="Y1182" s="2093">
        <v>0</v>
      </c>
      <c r="Z1182" s="2093">
        <v>0</v>
      </c>
      <c r="AA1182" s="2093">
        <v>0</v>
      </c>
      <c r="AB1182" s="2235">
        <v>0</v>
      </c>
      <c r="AC1182" s="646"/>
      <c r="AD1182" s="646"/>
      <c r="AE1182" s="646"/>
      <c r="AF1182" s="646"/>
      <c r="AG1182" s="646"/>
      <c r="AH1182" s="646"/>
      <c r="AI1182" s="646"/>
    </row>
    <row r="1183" spans="1:35">
      <c r="A1183" s="990">
        <v>1</v>
      </c>
      <c r="B1183" s="990">
        <v>1</v>
      </c>
      <c r="C1183" s="990" t="s">
        <v>1129</v>
      </c>
      <c r="D1183" s="9" t="s">
        <v>999</v>
      </c>
      <c r="E1183" s="1463" t="s">
        <v>1521</v>
      </c>
      <c r="F1183" s="1458"/>
      <c r="G1183" s="646"/>
      <c r="H1183" s="646"/>
      <c r="I1183" s="647"/>
      <c r="J1183" s="648" t="s">
        <v>1578</v>
      </c>
      <c r="K1183" s="648"/>
      <c r="L1183" s="648"/>
      <c r="M1183" s="648"/>
      <c r="N1183" s="648"/>
      <c r="O1183" s="648"/>
      <c r="P1183" s="648"/>
      <c r="Q1183" s="2236">
        <v>0</v>
      </c>
      <c r="R1183" s="2094">
        <v>0</v>
      </c>
      <c r="S1183" s="2094">
        <v>0</v>
      </c>
      <c r="T1183" s="2094">
        <v>0</v>
      </c>
      <c r="U1183" s="2094">
        <v>0</v>
      </c>
      <c r="V1183" s="2094">
        <v>0</v>
      </c>
      <c r="W1183" s="2094">
        <v>0</v>
      </c>
      <c r="X1183" s="2094">
        <v>0</v>
      </c>
      <c r="Y1183" s="2094">
        <v>0</v>
      </c>
      <c r="Z1183" s="2094">
        <v>0</v>
      </c>
      <c r="AA1183" s="2094">
        <v>0</v>
      </c>
      <c r="AB1183" s="2237">
        <v>0</v>
      </c>
      <c r="AC1183" s="646"/>
      <c r="AD1183" s="646"/>
      <c r="AE1183" s="646"/>
      <c r="AF1183" s="646"/>
      <c r="AG1183" s="646"/>
      <c r="AH1183" s="646"/>
      <c r="AI1183" s="646"/>
    </row>
    <row r="1184" spans="1:35">
      <c r="A1184" s="990">
        <v>1</v>
      </c>
      <c r="B1184" s="990">
        <v>1</v>
      </c>
      <c r="C1184" s="990" t="s">
        <v>1129</v>
      </c>
      <c r="D1184" s="9" t="s">
        <v>999</v>
      </c>
      <c r="E1184" s="1463" t="s">
        <v>1521</v>
      </c>
      <c r="F1184" s="1458"/>
      <c r="G1184" s="646"/>
      <c r="H1184" s="646"/>
      <c r="I1184" s="647"/>
      <c r="J1184" s="648" t="s">
        <v>1579</v>
      </c>
      <c r="K1184" s="648"/>
      <c r="L1184" s="648"/>
      <c r="M1184" s="648"/>
      <c r="N1184" s="648"/>
      <c r="O1184" s="648"/>
      <c r="P1184" s="648"/>
      <c r="Q1184" s="2236">
        <v>0</v>
      </c>
      <c r="R1184" s="2094">
        <v>0</v>
      </c>
      <c r="S1184" s="2094">
        <v>0</v>
      </c>
      <c r="T1184" s="2094">
        <v>0</v>
      </c>
      <c r="U1184" s="2094">
        <v>0</v>
      </c>
      <c r="V1184" s="2094">
        <v>0</v>
      </c>
      <c r="W1184" s="2094">
        <v>0</v>
      </c>
      <c r="X1184" s="2094">
        <v>0</v>
      </c>
      <c r="Y1184" s="2094">
        <v>0</v>
      </c>
      <c r="Z1184" s="2094">
        <v>0</v>
      </c>
      <c r="AA1184" s="2094">
        <v>0</v>
      </c>
      <c r="AB1184" s="2237">
        <v>0</v>
      </c>
      <c r="AC1184" s="646"/>
      <c r="AD1184" s="646"/>
      <c r="AE1184" s="646"/>
      <c r="AF1184" s="646"/>
      <c r="AG1184" s="646"/>
      <c r="AH1184" s="646"/>
      <c r="AI1184" s="646"/>
    </row>
    <row r="1185" spans="1:35">
      <c r="A1185" s="990">
        <v>1</v>
      </c>
      <c r="B1185" s="990">
        <v>1</v>
      </c>
      <c r="C1185" s="990" t="s">
        <v>1129</v>
      </c>
      <c r="D1185" s="9" t="s">
        <v>999</v>
      </c>
      <c r="E1185" s="1463" t="s">
        <v>1521</v>
      </c>
      <c r="F1185" s="1458"/>
      <c r="G1185" s="646"/>
      <c r="H1185" s="646"/>
      <c r="I1185" s="647"/>
      <c r="J1185" s="646" t="s">
        <v>453</v>
      </c>
      <c r="K1185" s="648"/>
      <c r="L1185" s="648"/>
      <c r="M1185" s="648"/>
      <c r="N1185" s="648"/>
      <c r="O1185" s="648"/>
      <c r="P1185" s="648"/>
      <c r="Q1185" s="2236">
        <v>0</v>
      </c>
      <c r="R1185" s="2094">
        <v>0</v>
      </c>
      <c r="S1185" s="2094">
        <v>0</v>
      </c>
      <c r="T1185" s="2094">
        <v>0</v>
      </c>
      <c r="U1185" s="2094">
        <v>0</v>
      </c>
      <c r="V1185" s="2094">
        <v>0</v>
      </c>
      <c r="W1185" s="2094">
        <v>0</v>
      </c>
      <c r="X1185" s="2094">
        <v>0</v>
      </c>
      <c r="Y1185" s="2094">
        <v>0</v>
      </c>
      <c r="Z1185" s="2094">
        <v>0</v>
      </c>
      <c r="AA1185" s="2094">
        <v>0</v>
      </c>
      <c r="AB1185" s="2237">
        <v>0</v>
      </c>
      <c r="AC1185" s="646"/>
      <c r="AD1185" s="646"/>
      <c r="AE1185" s="646"/>
      <c r="AF1185" s="646"/>
      <c r="AG1185" s="646"/>
      <c r="AH1185" s="646"/>
      <c r="AI1185" s="646"/>
    </row>
    <row r="1186" spans="1:35">
      <c r="A1186" s="990">
        <v>1</v>
      </c>
      <c r="B1186" s="990">
        <v>1</v>
      </c>
      <c r="C1186" s="990" t="s">
        <v>1129</v>
      </c>
      <c r="D1186" s="9" t="s">
        <v>999</v>
      </c>
      <c r="E1186" s="1463" t="s">
        <v>1521</v>
      </c>
      <c r="F1186" s="1458"/>
      <c r="G1186" s="646"/>
      <c r="H1186" s="646"/>
      <c r="I1186" s="649"/>
      <c r="J1186" s="650"/>
      <c r="K1186" s="651" t="s">
        <v>1580</v>
      </c>
      <c r="L1186" s="651"/>
      <c r="M1186" s="652"/>
      <c r="N1186" s="652"/>
      <c r="O1186" s="652"/>
      <c r="P1186" s="652"/>
      <c r="Q1186" s="2238">
        <v>0</v>
      </c>
      <c r="R1186" s="2095">
        <v>0</v>
      </c>
      <c r="S1186" s="2095">
        <v>0</v>
      </c>
      <c r="T1186" s="2095">
        <v>0</v>
      </c>
      <c r="U1186" s="2095">
        <v>0</v>
      </c>
      <c r="V1186" s="2095">
        <v>0</v>
      </c>
      <c r="W1186" s="2095">
        <v>0</v>
      </c>
      <c r="X1186" s="2095">
        <v>0</v>
      </c>
      <c r="Y1186" s="2095">
        <v>0</v>
      </c>
      <c r="Z1186" s="2095">
        <v>0</v>
      </c>
      <c r="AA1186" s="2095">
        <v>0</v>
      </c>
      <c r="AB1186" s="2239">
        <v>0</v>
      </c>
      <c r="AC1186" s="646"/>
      <c r="AD1186" s="646"/>
      <c r="AE1186" s="646"/>
      <c r="AF1186" s="646"/>
      <c r="AG1186" s="646"/>
      <c r="AH1186" s="646"/>
      <c r="AI1186" s="646"/>
    </row>
    <row r="1187" spans="1:35">
      <c r="A1187" s="990">
        <v>1</v>
      </c>
      <c r="B1187" s="990">
        <v>1</v>
      </c>
      <c r="C1187" s="990" t="s">
        <v>1129</v>
      </c>
      <c r="D1187" s="9" t="s">
        <v>999</v>
      </c>
      <c r="E1187" s="1463" t="s">
        <v>1521</v>
      </c>
      <c r="F1187" s="1458"/>
      <c r="G1187" s="646"/>
      <c r="H1187" s="646"/>
      <c r="I1187" s="2707" t="s">
        <v>1570</v>
      </c>
      <c r="J1187" s="2708"/>
      <c r="K1187" s="2708"/>
      <c r="L1187" s="2708"/>
      <c r="M1187" s="2708"/>
      <c r="N1187" s="2708"/>
      <c r="O1187" s="2708"/>
      <c r="P1187" s="2708"/>
      <c r="Q1187" s="2240">
        <v>0</v>
      </c>
      <c r="R1187" s="2096">
        <v>0</v>
      </c>
      <c r="S1187" s="2096">
        <v>0</v>
      </c>
      <c r="T1187" s="2096">
        <v>0</v>
      </c>
      <c r="U1187" s="2096">
        <v>0</v>
      </c>
      <c r="V1187" s="2096">
        <v>0</v>
      </c>
      <c r="W1187" s="2096">
        <v>0</v>
      </c>
      <c r="X1187" s="2096">
        <v>0</v>
      </c>
      <c r="Y1187" s="2096">
        <v>0</v>
      </c>
      <c r="Z1187" s="2096">
        <v>0</v>
      </c>
      <c r="AA1187" s="2096">
        <v>0</v>
      </c>
      <c r="AB1187" s="2241">
        <v>0</v>
      </c>
      <c r="AC1187" s="646"/>
      <c r="AD1187" s="646"/>
      <c r="AE1187" s="646"/>
      <c r="AF1187" s="646"/>
      <c r="AG1187" s="646"/>
      <c r="AH1187" s="646"/>
      <c r="AI1187" s="646"/>
    </row>
    <row r="1188" spans="1:35" ht="14.5">
      <c r="A1188" s="990">
        <v>1</v>
      </c>
      <c r="B1188" s="990">
        <v>1</v>
      </c>
      <c r="C1188" s="990" t="s">
        <v>1129</v>
      </c>
      <c r="D1188" s="9" t="s">
        <v>999</v>
      </c>
      <c r="E1188" s="1463" t="s">
        <v>1521</v>
      </c>
      <c r="F1188" s="1459"/>
      <c r="G1188" s="641"/>
      <c r="H1188" s="641"/>
      <c r="I1188" s="640"/>
      <c r="J1188" s="640"/>
      <c r="K1188" s="640" t="s">
        <v>1581</v>
      </c>
      <c r="L1188" s="640"/>
      <c r="M1188" s="640"/>
      <c r="N1188" s="640"/>
      <c r="O1188" s="640"/>
      <c r="P1188" s="640"/>
      <c r="Q1188" s="2242">
        <v>0</v>
      </c>
      <c r="R1188" s="2243">
        <v>0</v>
      </c>
      <c r="S1188" s="2243">
        <v>0</v>
      </c>
      <c r="T1188" s="2243">
        <v>0</v>
      </c>
      <c r="U1188" s="2243">
        <v>0</v>
      </c>
      <c r="V1188" s="2243">
        <v>0</v>
      </c>
      <c r="W1188" s="2243">
        <v>0</v>
      </c>
      <c r="X1188" s="2243">
        <v>0</v>
      </c>
      <c r="Y1188" s="2243">
        <v>0</v>
      </c>
      <c r="Z1188" s="2243">
        <v>0</v>
      </c>
      <c r="AA1188" s="2243">
        <v>0</v>
      </c>
      <c r="AB1188" s="2243">
        <v>0</v>
      </c>
      <c r="AC1188" s="641"/>
      <c r="AD1188" s="641"/>
      <c r="AE1188" s="641"/>
      <c r="AF1188" s="641"/>
      <c r="AG1188" s="641"/>
      <c r="AH1188" s="641"/>
      <c r="AI1188" s="641"/>
    </row>
    <row r="1189" spans="1:35" ht="18">
      <c r="A1189" s="990">
        <v>1</v>
      </c>
      <c r="B1189" s="990">
        <v>1</v>
      </c>
      <c r="C1189" s="990" t="s">
        <v>1129</v>
      </c>
      <c r="D1189" s="9" t="s">
        <v>999</v>
      </c>
      <c r="E1189" s="1463" t="s">
        <v>1521</v>
      </c>
      <c r="F1189" s="1459"/>
      <c r="G1189" s="314"/>
      <c r="J1189" s="638"/>
      <c r="K1189" s="638"/>
      <c r="L1189" s="638"/>
      <c r="M1189" s="638"/>
      <c r="N1189" s="638"/>
      <c r="O1189" s="638"/>
      <c r="P1189" s="638"/>
      <c r="Q1189" s="2244"/>
      <c r="R1189" s="638"/>
      <c r="S1189" s="638"/>
      <c r="T1189" s="638"/>
      <c r="U1189" s="638"/>
      <c r="V1189" s="638"/>
      <c r="W1189" s="638"/>
      <c r="X1189" s="638"/>
      <c r="Y1189" s="638"/>
      <c r="Z1189" s="639"/>
      <c r="AA1189" s="639"/>
      <c r="AB1189" s="639"/>
      <c r="AC1189" s="639"/>
      <c r="AD1189" s="639"/>
      <c r="AE1189" s="639"/>
      <c r="AF1189" s="639"/>
      <c r="AG1189" s="639"/>
      <c r="AH1189" s="639"/>
      <c r="AI1189" s="639"/>
    </row>
    <row r="1190" spans="1:35" ht="18">
      <c r="A1190" s="990">
        <v>1</v>
      </c>
      <c r="B1190" s="990">
        <v>1</v>
      </c>
      <c r="C1190" s="990" t="s">
        <v>1129</v>
      </c>
      <c r="E1190" s="1463" t="s">
        <v>1521</v>
      </c>
      <c r="F1190" s="314" t="s">
        <v>1582</v>
      </c>
      <c r="G1190" s="314"/>
      <c r="J1190" s="638"/>
      <c r="K1190" s="638"/>
      <c r="L1190" s="638"/>
      <c r="M1190" s="638"/>
      <c r="N1190" s="638"/>
      <c r="O1190" s="638"/>
      <c r="P1190" s="638"/>
      <c r="Q1190" s="2244"/>
      <c r="R1190" s="638"/>
      <c r="S1190" s="638"/>
      <c r="T1190" s="638"/>
      <c r="U1190" s="638"/>
      <c r="V1190" s="638"/>
      <c r="W1190" s="638"/>
      <c r="X1190" s="638"/>
      <c r="Y1190" s="638"/>
      <c r="Z1190" s="639"/>
      <c r="AA1190" s="639"/>
      <c r="AB1190" s="639"/>
      <c r="AC1190" s="639"/>
      <c r="AD1190" s="639"/>
      <c r="AE1190" s="639"/>
      <c r="AF1190" s="639"/>
      <c r="AG1190" s="639"/>
      <c r="AH1190" s="639"/>
      <c r="AI1190" s="639"/>
    </row>
    <row r="1191" spans="1:35" ht="14.5">
      <c r="A1191" s="990">
        <v>1</v>
      </c>
      <c r="B1191" s="990">
        <v>1</v>
      </c>
      <c r="C1191" s="990" t="s">
        <v>1129</v>
      </c>
      <c r="E1191" s="1463" t="s">
        <v>1521</v>
      </c>
      <c r="F1191" s="1459"/>
      <c r="G1191" s="24"/>
      <c r="I1191" s="1465" t="s">
        <v>1583</v>
      </c>
      <c r="J1191" s="206"/>
      <c r="K1191" s="205"/>
      <c r="L1191" s="205"/>
      <c r="M1191" s="205"/>
      <c r="N1191" s="204"/>
      <c r="O1191" s="204"/>
      <c r="P1191" s="204"/>
      <c r="Q1191" s="2244"/>
      <c r="R1191" s="638"/>
      <c r="S1191" s="638"/>
      <c r="T1191" s="638"/>
      <c r="U1191" s="638"/>
      <c r="V1191" s="638"/>
      <c r="W1191" s="638"/>
      <c r="X1191" s="638"/>
      <c r="Y1191" s="638"/>
      <c r="Z1191" s="639"/>
      <c r="AA1191" s="639"/>
      <c r="AB1191" s="1469"/>
      <c r="AC1191" s="1469"/>
      <c r="AD1191" s="639"/>
      <c r="AE1191" s="639"/>
      <c r="AF1191" s="639"/>
      <c r="AG1191" s="639"/>
      <c r="AH1191" s="639"/>
      <c r="AI1191" s="639"/>
    </row>
    <row r="1192" spans="1:35" ht="14.5">
      <c r="A1192" s="990">
        <v>1</v>
      </c>
      <c r="B1192" s="990">
        <v>1</v>
      </c>
      <c r="C1192" s="990" t="s">
        <v>1129</v>
      </c>
      <c r="E1192" s="1463" t="s">
        <v>1521</v>
      </c>
      <c r="F1192" s="1459"/>
      <c r="G1192" s="639"/>
      <c r="H1192" s="639"/>
      <c r="I1192" s="2709"/>
      <c r="J1192" s="2710"/>
      <c r="K1192" s="2710"/>
      <c r="L1192" s="2710"/>
      <c r="M1192" s="2710"/>
      <c r="N1192" s="2711"/>
      <c r="O1192" s="2711"/>
      <c r="P1192" s="2711"/>
      <c r="Q1192" s="2712" t="s">
        <v>1584</v>
      </c>
      <c r="R1192" s="2713" t="s">
        <v>0</v>
      </c>
      <c r="S1192" s="2713" t="s">
        <v>116</v>
      </c>
      <c r="T1192" s="2713" t="s">
        <v>115</v>
      </c>
      <c r="U1192" s="2713" t="s">
        <v>114</v>
      </c>
      <c r="V1192" s="2713" t="s">
        <v>113</v>
      </c>
      <c r="W1192" s="2713" t="s">
        <v>112</v>
      </c>
      <c r="X1192" s="2713" t="s">
        <v>111</v>
      </c>
      <c r="Y1192" s="2713" t="s">
        <v>110</v>
      </c>
      <c r="Z1192" s="2713" t="s">
        <v>109</v>
      </c>
      <c r="AA1192" s="2713" t="s">
        <v>108</v>
      </c>
      <c r="AB1192" s="2713" t="s">
        <v>107</v>
      </c>
      <c r="AC1192" s="2714" t="s">
        <v>105</v>
      </c>
      <c r="AD1192" s="2713" t="s">
        <v>104</v>
      </c>
      <c r="AE1192" s="2713" t="s">
        <v>103</v>
      </c>
      <c r="AF1192" s="2713" t="s">
        <v>102</v>
      </c>
      <c r="AG1192" s="2713" t="s">
        <v>101</v>
      </c>
      <c r="AH1192" s="2713" t="s">
        <v>100</v>
      </c>
      <c r="AI1192" s="2713" t="s">
        <v>1585</v>
      </c>
    </row>
    <row r="1193" spans="1:35" ht="14.5">
      <c r="A1193" s="990">
        <v>1</v>
      </c>
      <c r="B1193" s="990">
        <v>1</v>
      </c>
      <c r="C1193" s="990" t="s">
        <v>1129</v>
      </c>
      <c r="E1193" s="1463" t="s">
        <v>1521</v>
      </c>
      <c r="F1193" s="1459"/>
      <c r="G1193" s="639"/>
      <c r="H1193" s="639"/>
      <c r="I1193" s="2715" t="s">
        <v>1586</v>
      </c>
      <c r="J1193" s="1468"/>
      <c r="K1193" s="1468"/>
      <c r="L1193" s="1468"/>
      <c r="M1193" s="1468"/>
      <c r="N1193" s="2716" t="s">
        <v>1587</v>
      </c>
      <c r="O1193" s="2717"/>
      <c r="P1193" s="2717"/>
      <c r="Q1193" s="2026"/>
      <c r="R1193" s="2027"/>
      <c r="S1193" s="2027"/>
      <c r="T1193" s="2283"/>
      <c r="U1193" s="2283"/>
      <c r="V1193" s="2283"/>
      <c r="W1193" s="2283"/>
      <c r="X1193" s="2283"/>
      <c r="Y1193" s="2283"/>
      <c r="Z1193" s="2283"/>
      <c r="AA1193" s="2283"/>
      <c r="AB1193" s="2283"/>
      <c r="AC1193" s="2718">
        <v>0</v>
      </c>
      <c r="AD1193" s="2719">
        <v>0</v>
      </c>
      <c r="AE1193" s="2719">
        <v>0</v>
      </c>
      <c r="AF1193" s="2719">
        <v>0</v>
      </c>
      <c r="AG1193" s="2719">
        <v>0</v>
      </c>
      <c r="AH1193" s="2719">
        <v>0</v>
      </c>
      <c r="AI1193" s="2025">
        <v>0</v>
      </c>
    </row>
    <row r="1194" spans="1:35" ht="14.5">
      <c r="A1194" s="990">
        <v>1</v>
      </c>
      <c r="B1194" s="990">
        <v>1</v>
      </c>
      <c r="C1194" s="990" t="s">
        <v>1129</v>
      </c>
      <c r="E1194" s="1463" t="s">
        <v>1521</v>
      </c>
      <c r="F1194" s="1459"/>
      <c r="G1194" s="639"/>
      <c r="H1194" s="639"/>
      <c r="I1194" s="1475"/>
      <c r="J1194" s="639"/>
      <c r="K1194" s="639"/>
      <c r="L1194" s="639"/>
      <c r="M1194" s="639"/>
      <c r="N1194" s="2715" t="s">
        <v>899</v>
      </c>
      <c r="O1194" s="1476" t="s">
        <v>677</v>
      </c>
      <c r="P1194" s="1476" t="s">
        <v>1588</v>
      </c>
      <c r="Q1194" s="2284"/>
      <c r="R1194" s="2285"/>
      <c r="S1194" s="2285"/>
      <c r="T1194" s="2285"/>
      <c r="U1194" s="2285"/>
      <c r="V1194" s="2285"/>
      <c r="W1194" s="2285"/>
      <c r="X1194" s="2285"/>
      <c r="Y1194" s="2285"/>
      <c r="Z1194" s="2285"/>
      <c r="AA1194" s="2285"/>
      <c r="AB1194" s="2285"/>
      <c r="AC1194" s="1494">
        <v>0</v>
      </c>
      <c r="AD1194" s="1412">
        <v>0</v>
      </c>
      <c r="AE1194" s="1412">
        <v>0</v>
      </c>
      <c r="AF1194" s="1412">
        <v>0</v>
      </c>
      <c r="AG1194" s="1412">
        <v>0</v>
      </c>
      <c r="AH1194" s="1412">
        <v>0</v>
      </c>
      <c r="AI1194" s="1416">
        <v>0</v>
      </c>
    </row>
    <row r="1195" spans="1:35" ht="14.5">
      <c r="A1195" s="990">
        <v>1</v>
      </c>
      <c r="B1195" s="990">
        <v>1</v>
      </c>
      <c r="C1195" s="990" t="s">
        <v>1129</v>
      </c>
      <c r="E1195" s="1463" t="s">
        <v>1521</v>
      </c>
      <c r="F1195" s="1459"/>
      <c r="G1195" s="639"/>
      <c r="H1195" s="639"/>
      <c r="I1195" s="1584" t="s">
        <v>1589</v>
      </c>
      <c r="J1195" s="639"/>
      <c r="K1195" s="639"/>
      <c r="L1195" s="639"/>
      <c r="M1195" s="639"/>
      <c r="N1195" s="1475"/>
      <c r="O1195" s="1477"/>
      <c r="P1195" s="1477" t="s">
        <v>1590</v>
      </c>
      <c r="Q1195" s="2284"/>
      <c r="R1195" s="2285"/>
      <c r="S1195" s="2285"/>
      <c r="T1195" s="2285"/>
      <c r="U1195" s="2285"/>
      <c r="V1195" s="2285"/>
      <c r="W1195" s="2285"/>
      <c r="X1195" s="2285"/>
      <c r="Y1195" s="2285"/>
      <c r="Z1195" s="2285"/>
      <c r="AA1195" s="2285"/>
      <c r="AB1195" s="2285"/>
      <c r="AC1195" s="1494">
        <v>0</v>
      </c>
      <c r="AD1195" s="1412">
        <v>0</v>
      </c>
      <c r="AE1195" s="1412">
        <v>0</v>
      </c>
      <c r="AF1195" s="1412">
        <v>0</v>
      </c>
      <c r="AG1195" s="1412">
        <v>0</v>
      </c>
      <c r="AH1195" s="1412">
        <v>0</v>
      </c>
      <c r="AI1195" s="1416">
        <v>0</v>
      </c>
    </row>
    <row r="1196" spans="1:35" ht="14.5">
      <c r="A1196" s="990">
        <v>1</v>
      </c>
      <c r="B1196" s="990">
        <v>1</v>
      </c>
      <c r="C1196" s="990" t="s">
        <v>1129</v>
      </c>
      <c r="E1196" s="1781" t="s">
        <v>1013</v>
      </c>
      <c r="F1196" s="1782"/>
      <c r="G1196" s="639"/>
      <c r="H1196" s="639"/>
      <c r="I1196" s="1584" t="s">
        <v>1591</v>
      </c>
      <c r="J1196" s="639"/>
      <c r="K1196" s="639"/>
      <c r="L1196" s="639"/>
      <c r="M1196" s="639"/>
      <c r="N1196" s="1475"/>
      <c r="O1196" s="1478"/>
      <c r="P1196" s="1478" t="s">
        <v>275</v>
      </c>
      <c r="Q1196" s="2286"/>
      <c r="R1196" s="2287"/>
      <c r="S1196" s="2287"/>
      <c r="T1196" s="2287"/>
      <c r="U1196" s="2287"/>
      <c r="V1196" s="2287"/>
      <c r="W1196" s="2287"/>
      <c r="X1196" s="2287"/>
      <c r="Y1196" s="2287"/>
      <c r="Z1196" s="2287"/>
      <c r="AA1196" s="2287"/>
      <c r="AB1196" s="2287"/>
      <c r="AC1196" s="1495">
        <v>0</v>
      </c>
      <c r="AD1196" s="1413">
        <v>0</v>
      </c>
      <c r="AE1196" s="1413">
        <v>0</v>
      </c>
      <c r="AF1196" s="1413">
        <v>0</v>
      </c>
      <c r="AG1196" s="1413">
        <v>0</v>
      </c>
      <c r="AH1196" s="1413">
        <v>0</v>
      </c>
      <c r="AI1196" s="1417">
        <v>0</v>
      </c>
    </row>
    <row r="1197" spans="1:35" ht="14.5">
      <c r="A1197" s="990">
        <v>1</v>
      </c>
      <c r="B1197" s="990">
        <v>1</v>
      </c>
      <c r="C1197" s="990" t="s">
        <v>1129</v>
      </c>
      <c r="E1197" s="1463" t="s">
        <v>1521</v>
      </c>
      <c r="F1197" s="1459"/>
      <c r="G1197" s="639"/>
      <c r="H1197" s="639"/>
      <c r="I1197" s="1584" t="s">
        <v>1592</v>
      </c>
      <c r="J1197" s="639"/>
      <c r="K1197" s="639"/>
      <c r="L1197" s="639"/>
      <c r="M1197" s="639"/>
      <c r="N1197" s="1475"/>
      <c r="O1197" s="1478" t="s">
        <v>954</v>
      </c>
      <c r="P1197" s="1478"/>
      <c r="Q1197" s="2286"/>
      <c r="R1197" s="2287"/>
      <c r="S1197" s="2287"/>
      <c r="T1197" s="2287"/>
      <c r="U1197" s="2287"/>
      <c r="V1197" s="2287"/>
      <c r="W1197" s="2287"/>
      <c r="X1197" s="2287"/>
      <c r="Y1197" s="2287"/>
      <c r="Z1197" s="2287"/>
      <c r="AA1197" s="2287"/>
      <c r="AB1197" s="2287"/>
      <c r="AC1197" s="1495">
        <v>0</v>
      </c>
      <c r="AD1197" s="1413">
        <v>0</v>
      </c>
      <c r="AE1197" s="1413">
        <v>0</v>
      </c>
      <c r="AF1197" s="1413">
        <v>0</v>
      </c>
      <c r="AG1197" s="1413">
        <v>0</v>
      </c>
      <c r="AH1197" s="1413">
        <v>0</v>
      </c>
      <c r="AI1197" s="1417">
        <v>0</v>
      </c>
    </row>
    <row r="1198" spans="1:35" ht="14.5">
      <c r="A1198" s="990">
        <v>1</v>
      </c>
      <c r="B1198" s="990">
        <v>1</v>
      </c>
      <c r="C1198" s="990" t="s">
        <v>1129</v>
      </c>
      <c r="E1198" s="1463" t="s">
        <v>1521</v>
      </c>
      <c r="F1198" s="1459"/>
      <c r="G1198" s="639"/>
      <c r="H1198" s="639"/>
      <c r="I1198" s="1584"/>
      <c r="J1198" s="639"/>
      <c r="K1198" s="639"/>
      <c r="L1198" s="639"/>
      <c r="M1198" s="639"/>
      <c r="N1198" s="1479"/>
      <c r="O1198" s="1480" t="s">
        <v>1130</v>
      </c>
      <c r="P1198" s="1480"/>
      <c r="Q1198" s="1982">
        <v>0</v>
      </c>
      <c r="R1198" s="1414">
        <v>0</v>
      </c>
      <c r="S1198" s="1414">
        <v>0</v>
      </c>
      <c r="T1198" s="1414">
        <v>0</v>
      </c>
      <c r="U1198" s="1414">
        <v>0</v>
      </c>
      <c r="V1198" s="1414">
        <v>0</v>
      </c>
      <c r="W1198" s="1414">
        <v>0</v>
      </c>
      <c r="X1198" s="1414">
        <v>0</v>
      </c>
      <c r="Y1198" s="1414">
        <v>0</v>
      </c>
      <c r="Z1198" s="1414">
        <v>0</v>
      </c>
      <c r="AA1198" s="1414">
        <v>0</v>
      </c>
      <c r="AB1198" s="1414">
        <v>0</v>
      </c>
      <c r="AC1198" s="1496">
        <v>0</v>
      </c>
      <c r="AD1198" s="1415">
        <v>0</v>
      </c>
      <c r="AE1198" s="1415">
        <v>0</v>
      </c>
      <c r="AF1198" s="1415">
        <v>0</v>
      </c>
      <c r="AG1198" s="1415">
        <v>0</v>
      </c>
      <c r="AH1198" s="1415">
        <v>0</v>
      </c>
      <c r="AI1198" s="1414">
        <v>0</v>
      </c>
    </row>
    <row r="1199" spans="1:35" ht="14.5">
      <c r="A1199" s="990">
        <v>1</v>
      </c>
      <c r="B1199" s="990">
        <v>1</v>
      </c>
      <c r="C1199" s="990" t="s">
        <v>1129</v>
      </c>
      <c r="E1199" s="1463" t="s">
        <v>1521</v>
      </c>
      <c r="F1199" s="1459"/>
      <c r="G1199" s="639"/>
      <c r="H1199" s="639"/>
      <c r="I1199" s="1475"/>
      <c r="J1199" s="639"/>
      <c r="K1199" s="639"/>
      <c r="L1199" s="639"/>
      <c r="M1199" s="639"/>
      <c r="N1199" s="1475" t="s">
        <v>45</v>
      </c>
      <c r="O1199" s="1477" t="s">
        <v>677</v>
      </c>
      <c r="P1199" s="1477" t="s">
        <v>1588</v>
      </c>
      <c r="Q1199" s="2284"/>
      <c r="R1199" s="2285"/>
      <c r="S1199" s="2285"/>
      <c r="T1199" s="2285"/>
      <c r="U1199" s="2285"/>
      <c r="V1199" s="2285"/>
      <c r="W1199" s="2285"/>
      <c r="X1199" s="2285"/>
      <c r="Y1199" s="2285"/>
      <c r="Z1199" s="2285"/>
      <c r="AA1199" s="2285"/>
      <c r="AB1199" s="2285"/>
      <c r="AC1199" s="1494">
        <v>0</v>
      </c>
      <c r="AD1199" s="1412">
        <v>0</v>
      </c>
      <c r="AE1199" s="1412">
        <v>0</v>
      </c>
      <c r="AF1199" s="1412">
        <v>0</v>
      </c>
      <c r="AG1199" s="1412">
        <v>0</v>
      </c>
      <c r="AH1199" s="1412">
        <v>0</v>
      </c>
      <c r="AI1199" s="1416">
        <v>0</v>
      </c>
    </row>
    <row r="1200" spans="1:35" ht="14.5">
      <c r="A1200" s="990">
        <v>1</v>
      </c>
      <c r="B1200" s="990">
        <v>1</v>
      </c>
      <c r="C1200" s="990" t="s">
        <v>1129</v>
      </c>
      <c r="E1200" s="1463" t="s">
        <v>1521</v>
      </c>
      <c r="F1200" s="1459"/>
      <c r="G1200" s="639"/>
      <c r="H1200" s="639"/>
      <c r="I1200" s="1475"/>
      <c r="J1200" s="639"/>
      <c r="K1200" s="639"/>
      <c r="L1200" s="639"/>
      <c r="M1200" s="639"/>
      <c r="N1200" s="1475"/>
      <c r="O1200" s="1477"/>
      <c r="P1200" s="1477" t="s">
        <v>1590</v>
      </c>
      <c r="Q1200" s="2284"/>
      <c r="R1200" s="2285"/>
      <c r="S1200" s="2285"/>
      <c r="T1200" s="2285"/>
      <c r="U1200" s="2285"/>
      <c r="V1200" s="2285"/>
      <c r="W1200" s="2285"/>
      <c r="X1200" s="2285"/>
      <c r="Y1200" s="2285"/>
      <c r="Z1200" s="2285"/>
      <c r="AA1200" s="2285"/>
      <c r="AB1200" s="2285"/>
      <c r="AC1200" s="1494">
        <v>0</v>
      </c>
      <c r="AD1200" s="1412">
        <v>0</v>
      </c>
      <c r="AE1200" s="1412">
        <v>0</v>
      </c>
      <c r="AF1200" s="1412">
        <v>0</v>
      </c>
      <c r="AG1200" s="1412">
        <v>0</v>
      </c>
      <c r="AH1200" s="1412">
        <v>0</v>
      </c>
      <c r="AI1200" s="1416">
        <v>0</v>
      </c>
    </row>
    <row r="1201" spans="1:35" ht="14.5">
      <c r="A1201" s="990">
        <v>1</v>
      </c>
      <c r="B1201" s="990">
        <v>1</v>
      </c>
      <c r="C1201" s="990" t="s">
        <v>1129</v>
      </c>
      <c r="E1201" s="1781" t="s">
        <v>1013</v>
      </c>
      <c r="F1201" s="1782"/>
      <c r="G1201" s="639"/>
      <c r="H1201" s="639"/>
      <c r="I1201" s="1584"/>
      <c r="J1201" s="639"/>
      <c r="K1201" s="639"/>
      <c r="L1201" s="639"/>
      <c r="M1201" s="639"/>
      <c r="N1201" s="1475"/>
      <c r="O1201" s="1478"/>
      <c r="P1201" s="1478" t="s">
        <v>275</v>
      </c>
      <c r="Q1201" s="2286"/>
      <c r="R1201" s="2287"/>
      <c r="S1201" s="2287"/>
      <c r="T1201" s="2287"/>
      <c r="U1201" s="2287"/>
      <c r="V1201" s="2287"/>
      <c r="W1201" s="2287"/>
      <c r="X1201" s="2287"/>
      <c r="Y1201" s="2287"/>
      <c r="Z1201" s="2287"/>
      <c r="AA1201" s="2287"/>
      <c r="AB1201" s="2287"/>
      <c r="AC1201" s="1495">
        <v>0</v>
      </c>
      <c r="AD1201" s="1413">
        <v>0</v>
      </c>
      <c r="AE1201" s="1413">
        <v>0</v>
      </c>
      <c r="AF1201" s="1413">
        <v>0</v>
      </c>
      <c r="AG1201" s="1413">
        <v>0</v>
      </c>
      <c r="AH1201" s="1413">
        <v>0</v>
      </c>
      <c r="AI1201" s="1417">
        <v>0</v>
      </c>
    </row>
    <row r="1202" spans="1:35" ht="14.5">
      <c r="A1202" s="990">
        <v>1</v>
      </c>
      <c r="B1202" s="990">
        <v>1</v>
      </c>
      <c r="C1202" s="990" t="s">
        <v>1129</v>
      </c>
      <c r="E1202" s="1463" t="s">
        <v>1521</v>
      </c>
      <c r="F1202" s="1459"/>
      <c r="G1202" s="639"/>
      <c r="H1202" s="639"/>
      <c r="I1202" s="1475"/>
      <c r="J1202" s="639"/>
      <c r="K1202" s="639"/>
      <c r="L1202" s="639"/>
      <c r="M1202" s="639"/>
      <c r="N1202" s="1475"/>
      <c r="O1202" s="1478" t="s">
        <v>954</v>
      </c>
      <c r="P1202" s="1478"/>
      <c r="Q1202" s="2286"/>
      <c r="R1202" s="2287"/>
      <c r="S1202" s="2287"/>
      <c r="T1202" s="2287"/>
      <c r="U1202" s="2287"/>
      <c r="V1202" s="2287"/>
      <c r="W1202" s="2287"/>
      <c r="X1202" s="2287"/>
      <c r="Y1202" s="2287"/>
      <c r="Z1202" s="2287"/>
      <c r="AA1202" s="2287"/>
      <c r="AB1202" s="2287"/>
      <c r="AC1202" s="1495">
        <v>0</v>
      </c>
      <c r="AD1202" s="1413">
        <v>0</v>
      </c>
      <c r="AE1202" s="1413">
        <v>0</v>
      </c>
      <c r="AF1202" s="1413">
        <v>0</v>
      </c>
      <c r="AG1202" s="1413">
        <v>0</v>
      </c>
      <c r="AH1202" s="1413">
        <v>0</v>
      </c>
      <c r="AI1202" s="1417">
        <v>0</v>
      </c>
    </row>
    <row r="1203" spans="1:35" ht="14.5">
      <c r="A1203" s="990">
        <v>1</v>
      </c>
      <c r="B1203" s="990">
        <v>1</v>
      </c>
      <c r="C1203" s="990" t="s">
        <v>1129</v>
      </c>
      <c r="E1203" s="1463" t="s">
        <v>1521</v>
      </c>
      <c r="F1203" s="1459"/>
      <c r="G1203" s="639"/>
      <c r="H1203" s="639"/>
      <c r="I1203" s="1479"/>
      <c r="J1203" s="1469"/>
      <c r="K1203" s="1469"/>
      <c r="L1203" s="1469"/>
      <c r="M1203" s="1469"/>
      <c r="N1203" s="1479"/>
      <c r="O1203" s="1480" t="s">
        <v>1130</v>
      </c>
      <c r="P1203" s="1480"/>
      <c r="Q1203" s="1982">
        <v>0</v>
      </c>
      <c r="R1203" s="1414">
        <v>0</v>
      </c>
      <c r="S1203" s="1414">
        <v>0</v>
      </c>
      <c r="T1203" s="1414">
        <v>0</v>
      </c>
      <c r="U1203" s="1414">
        <v>0</v>
      </c>
      <c r="V1203" s="1414">
        <v>0</v>
      </c>
      <c r="W1203" s="1414">
        <v>0</v>
      </c>
      <c r="X1203" s="1414">
        <v>0</v>
      </c>
      <c r="Y1203" s="1414">
        <v>0</v>
      </c>
      <c r="Z1203" s="1414">
        <v>0</v>
      </c>
      <c r="AA1203" s="1414">
        <v>0</v>
      </c>
      <c r="AB1203" s="1414">
        <v>0</v>
      </c>
      <c r="AC1203" s="1496">
        <v>0</v>
      </c>
      <c r="AD1203" s="1415">
        <v>0</v>
      </c>
      <c r="AE1203" s="1415">
        <v>0</v>
      </c>
      <c r="AF1203" s="1415">
        <v>0</v>
      </c>
      <c r="AG1203" s="1415">
        <v>0</v>
      </c>
      <c r="AH1203" s="1415">
        <v>0</v>
      </c>
      <c r="AI1203" s="1414">
        <v>0</v>
      </c>
    </row>
    <row r="1204" spans="1:35" ht="14.5">
      <c r="A1204" s="990">
        <v>1</v>
      </c>
      <c r="B1204" s="990">
        <v>1</v>
      </c>
      <c r="C1204" s="990" t="s">
        <v>1129</v>
      </c>
      <c r="E1204" s="1463" t="s">
        <v>1521</v>
      </c>
      <c r="F1204" s="1459"/>
      <c r="G1204" s="639"/>
      <c r="H1204" s="639"/>
      <c r="I1204" s="2715" t="s">
        <v>1593</v>
      </c>
      <c r="J1204" s="1468"/>
      <c r="K1204" s="1468"/>
      <c r="L1204" s="1468"/>
      <c r="M1204" s="1468"/>
      <c r="N1204" s="2716" t="s">
        <v>1587</v>
      </c>
      <c r="O1204" s="2717"/>
      <c r="P1204" s="2717"/>
      <c r="Q1204" s="2026"/>
      <c r="R1204" s="2027"/>
      <c r="S1204" s="2027"/>
      <c r="T1204" s="2283"/>
      <c r="U1204" s="2283"/>
      <c r="V1204" s="2283"/>
      <c r="W1204" s="2283"/>
      <c r="X1204" s="2283"/>
      <c r="Y1204" s="2283"/>
      <c r="Z1204" s="2283"/>
      <c r="AA1204" s="2283"/>
      <c r="AB1204" s="2283"/>
      <c r="AC1204" s="2718">
        <v>0</v>
      </c>
      <c r="AD1204" s="2719">
        <v>0</v>
      </c>
      <c r="AE1204" s="2719">
        <v>0</v>
      </c>
      <c r="AF1204" s="2719">
        <v>0</v>
      </c>
      <c r="AG1204" s="2719">
        <v>0</v>
      </c>
      <c r="AH1204" s="2719">
        <v>0</v>
      </c>
      <c r="AI1204" s="2025">
        <v>0</v>
      </c>
    </row>
    <row r="1205" spans="1:35" ht="14.5">
      <c r="A1205" s="990">
        <v>1</v>
      </c>
      <c r="B1205" s="990">
        <v>1</v>
      </c>
      <c r="C1205" s="990" t="s">
        <v>1129</v>
      </c>
      <c r="E1205" s="1463" t="s">
        <v>1521</v>
      </c>
      <c r="F1205" s="1459"/>
      <c r="G1205" s="639"/>
      <c r="H1205" s="639"/>
      <c r="I1205" s="1475"/>
      <c r="J1205" s="639"/>
      <c r="K1205" s="639"/>
      <c r="L1205" s="639"/>
      <c r="M1205" s="639"/>
      <c r="N1205" s="2715" t="s">
        <v>899</v>
      </c>
      <c r="O1205" s="1476" t="s">
        <v>677</v>
      </c>
      <c r="P1205" s="1476" t="s">
        <v>1588</v>
      </c>
      <c r="Q1205" s="2284"/>
      <c r="R1205" s="2285"/>
      <c r="S1205" s="2285"/>
      <c r="T1205" s="2285"/>
      <c r="U1205" s="2285"/>
      <c r="V1205" s="2285"/>
      <c r="W1205" s="2285"/>
      <c r="X1205" s="2285"/>
      <c r="Y1205" s="2285"/>
      <c r="Z1205" s="2285"/>
      <c r="AA1205" s="2285"/>
      <c r="AB1205" s="2285"/>
      <c r="AC1205" s="1494">
        <v>0</v>
      </c>
      <c r="AD1205" s="1412">
        <v>0</v>
      </c>
      <c r="AE1205" s="1412">
        <v>0</v>
      </c>
      <c r="AF1205" s="1412">
        <v>0</v>
      </c>
      <c r="AG1205" s="1412">
        <v>0</v>
      </c>
      <c r="AH1205" s="1412">
        <v>0</v>
      </c>
      <c r="AI1205" s="1416">
        <v>0</v>
      </c>
    </row>
    <row r="1206" spans="1:35" ht="14.5">
      <c r="A1206" s="990">
        <v>1</v>
      </c>
      <c r="B1206" s="990">
        <v>1</v>
      </c>
      <c r="C1206" s="990" t="s">
        <v>1129</v>
      </c>
      <c r="E1206" s="1463" t="s">
        <v>1521</v>
      </c>
      <c r="F1206" s="1459"/>
      <c r="G1206" s="639"/>
      <c r="H1206" s="639"/>
      <c r="I1206" s="1584" t="s">
        <v>1271</v>
      </c>
      <c r="J1206" s="639"/>
      <c r="K1206" s="639"/>
      <c r="L1206" s="639"/>
      <c r="M1206" s="639"/>
      <c r="N1206" s="1475"/>
      <c r="O1206" s="1477"/>
      <c r="P1206" s="1477" t="s">
        <v>1590</v>
      </c>
      <c r="Q1206" s="2284"/>
      <c r="R1206" s="2285"/>
      <c r="S1206" s="2285"/>
      <c r="T1206" s="2285"/>
      <c r="U1206" s="2285"/>
      <c r="V1206" s="2285"/>
      <c r="W1206" s="2285"/>
      <c r="X1206" s="2285"/>
      <c r="Y1206" s="2285"/>
      <c r="Z1206" s="2285"/>
      <c r="AA1206" s="2285"/>
      <c r="AB1206" s="2285"/>
      <c r="AC1206" s="1494">
        <v>0</v>
      </c>
      <c r="AD1206" s="1412">
        <v>0</v>
      </c>
      <c r="AE1206" s="1412">
        <v>0</v>
      </c>
      <c r="AF1206" s="1412">
        <v>0</v>
      </c>
      <c r="AG1206" s="1412">
        <v>0</v>
      </c>
      <c r="AH1206" s="1412">
        <v>0</v>
      </c>
      <c r="AI1206" s="1416">
        <v>0</v>
      </c>
    </row>
    <row r="1207" spans="1:35" ht="14.5">
      <c r="A1207" s="990">
        <v>1</v>
      </c>
      <c r="B1207" s="990">
        <v>1</v>
      </c>
      <c r="C1207" s="990" t="s">
        <v>1129</v>
      </c>
      <c r="E1207" s="1781" t="s">
        <v>1013</v>
      </c>
      <c r="F1207" s="1782"/>
      <c r="G1207" s="639"/>
      <c r="H1207" s="639"/>
      <c r="I1207" s="1584" t="s">
        <v>1594</v>
      </c>
      <c r="J1207" s="639"/>
      <c r="K1207" s="639"/>
      <c r="L1207" s="639"/>
      <c r="M1207" s="639"/>
      <c r="N1207" s="1475"/>
      <c r="O1207" s="1478"/>
      <c r="P1207" s="1478" t="s">
        <v>275</v>
      </c>
      <c r="Q1207" s="2286"/>
      <c r="R1207" s="2287"/>
      <c r="S1207" s="2287"/>
      <c r="T1207" s="2287"/>
      <c r="U1207" s="2287"/>
      <c r="V1207" s="2287"/>
      <c r="W1207" s="2287"/>
      <c r="X1207" s="2287"/>
      <c r="Y1207" s="2287"/>
      <c r="Z1207" s="2287"/>
      <c r="AA1207" s="2287"/>
      <c r="AB1207" s="2287"/>
      <c r="AC1207" s="1495">
        <v>0</v>
      </c>
      <c r="AD1207" s="1413">
        <v>0</v>
      </c>
      <c r="AE1207" s="1413">
        <v>0</v>
      </c>
      <c r="AF1207" s="1413">
        <v>0</v>
      </c>
      <c r="AG1207" s="1413">
        <v>0</v>
      </c>
      <c r="AH1207" s="1413">
        <v>0</v>
      </c>
      <c r="AI1207" s="1417">
        <v>0</v>
      </c>
    </row>
    <row r="1208" spans="1:35" ht="14.5">
      <c r="A1208" s="990">
        <v>1</v>
      </c>
      <c r="B1208" s="990">
        <v>1</v>
      </c>
      <c r="C1208" s="990" t="s">
        <v>1129</v>
      </c>
      <c r="E1208" s="1463" t="s">
        <v>1521</v>
      </c>
      <c r="F1208" s="1459"/>
      <c r="G1208" s="639"/>
      <c r="H1208" s="639"/>
      <c r="I1208" s="1584" t="s">
        <v>1595</v>
      </c>
      <c r="J1208" s="639"/>
      <c r="K1208" s="639"/>
      <c r="L1208" s="639"/>
      <c r="M1208" s="639"/>
      <c r="N1208" s="1475"/>
      <c r="O1208" s="1478" t="s">
        <v>954</v>
      </c>
      <c r="P1208" s="1478"/>
      <c r="Q1208" s="2286"/>
      <c r="R1208" s="2287"/>
      <c r="S1208" s="2287"/>
      <c r="T1208" s="2287"/>
      <c r="U1208" s="2287"/>
      <c r="V1208" s="2287"/>
      <c r="W1208" s="2287"/>
      <c r="X1208" s="2287"/>
      <c r="Y1208" s="2287"/>
      <c r="Z1208" s="2287"/>
      <c r="AA1208" s="2287"/>
      <c r="AB1208" s="2287"/>
      <c r="AC1208" s="1495">
        <v>0</v>
      </c>
      <c r="AD1208" s="1413">
        <v>0</v>
      </c>
      <c r="AE1208" s="1413">
        <v>0</v>
      </c>
      <c r="AF1208" s="1413">
        <v>0</v>
      </c>
      <c r="AG1208" s="1413">
        <v>0</v>
      </c>
      <c r="AH1208" s="1413">
        <v>0</v>
      </c>
      <c r="AI1208" s="1417">
        <v>0</v>
      </c>
    </row>
    <row r="1209" spans="1:35" ht="14.5">
      <c r="A1209" s="990">
        <v>1</v>
      </c>
      <c r="B1209" s="990">
        <v>1</v>
      </c>
      <c r="C1209" s="990" t="s">
        <v>1129</v>
      </c>
      <c r="E1209" s="1463" t="s">
        <v>1521</v>
      </c>
      <c r="F1209" s="1459"/>
      <c r="G1209" s="639"/>
      <c r="H1209" s="639"/>
      <c r="I1209" s="1584" t="s">
        <v>1596</v>
      </c>
      <c r="J1209" s="639"/>
      <c r="K1209" s="639"/>
      <c r="L1209" s="639"/>
      <c r="M1209" s="639"/>
      <c r="N1209" s="1479"/>
      <c r="O1209" s="1480" t="s">
        <v>1130</v>
      </c>
      <c r="P1209" s="1480"/>
      <c r="Q1209" s="1982">
        <v>0</v>
      </c>
      <c r="R1209" s="1414">
        <v>0</v>
      </c>
      <c r="S1209" s="1414">
        <v>0</v>
      </c>
      <c r="T1209" s="1414">
        <v>0</v>
      </c>
      <c r="U1209" s="1414">
        <v>0</v>
      </c>
      <c r="V1209" s="1414">
        <v>0</v>
      </c>
      <c r="W1209" s="1414">
        <v>0</v>
      </c>
      <c r="X1209" s="1414">
        <v>0</v>
      </c>
      <c r="Y1209" s="1414">
        <v>0</v>
      </c>
      <c r="Z1209" s="1414">
        <v>0</v>
      </c>
      <c r="AA1209" s="1414">
        <v>0</v>
      </c>
      <c r="AB1209" s="1414">
        <v>0</v>
      </c>
      <c r="AC1209" s="1496">
        <v>0</v>
      </c>
      <c r="AD1209" s="1415">
        <v>0</v>
      </c>
      <c r="AE1209" s="1415">
        <v>0</v>
      </c>
      <c r="AF1209" s="1415">
        <v>0</v>
      </c>
      <c r="AG1209" s="1415">
        <v>0</v>
      </c>
      <c r="AH1209" s="1415">
        <v>0</v>
      </c>
      <c r="AI1209" s="1414">
        <v>0</v>
      </c>
    </row>
    <row r="1210" spans="1:35" ht="14.5">
      <c r="A1210" s="990">
        <v>1</v>
      </c>
      <c r="B1210" s="990">
        <v>1</v>
      </c>
      <c r="C1210" s="990" t="s">
        <v>1129</v>
      </c>
      <c r="E1210" s="1463" t="s">
        <v>1521</v>
      </c>
      <c r="F1210" s="1459"/>
      <c r="G1210" s="639"/>
      <c r="H1210" s="639"/>
      <c r="I1210" s="1475"/>
      <c r="J1210" s="639"/>
      <c r="K1210" s="639"/>
      <c r="L1210" s="639"/>
      <c r="M1210" s="639"/>
      <c r="N1210" s="1475" t="s">
        <v>45</v>
      </c>
      <c r="O1210" s="1477" t="s">
        <v>677</v>
      </c>
      <c r="P1210" s="1477" t="s">
        <v>1588</v>
      </c>
      <c r="Q1210" s="2284"/>
      <c r="R1210" s="2285"/>
      <c r="S1210" s="2285"/>
      <c r="T1210" s="2285"/>
      <c r="U1210" s="2285"/>
      <c r="V1210" s="2285"/>
      <c r="W1210" s="2285"/>
      <c r="X1210" s="2285"/>
      <c r="Y1210" s="2285"/>
      <c r="Z1210" s="2285"/>
      <c r="AA1210" s="2285"/>
      <c r="AB1210" s="2285"/>
      <c r="AC1210" s="1494">
        <v>0</v>
      </c>
      <c r="AD1210" s="1412">
        <v>0</v>
      </c>
      <c r="AE1210" s="1412">
        <v>0</v>
      </c>
      <c r="AF1210" s="1412">
        <v>0</v>
      </c>
      <c r="AG1210" s="1412">
        <v>0</v>
      </c>
      <c r="AH1210" s="1412">
        <v>0</v>
      </c>
      <c r="AI1210" s="1416">
        <v>0</v>
      </c>
    </row>
    <row r="1211" spans="1:35" ht="14.5">
      <c r="A1211" s="990">
        <v>1</v>
      </c>
      <c r="B1211" s="990">
        <v>1</v>
      </c>
      <c r="C1211" s="990" t="s">
        <v>1129</v>
      </c>
      <c r="E1211" s="1463" t="s">
        <v>1521</v>
      </c>
      <c r="F1211" s="1459"/>
      <c r="G1211" s="639"/>
      <c r="H1211" s="639"/>
      <c r="I1211" s="1475"/>
      <c r="J1211" s="639"/>
      <c r="K1211" s="639"/>
      <c r="L1211" s="639"/>
      <c r="M1211" s="639"/>
      <c r="N1211" s="1475"/>
      <c r="O1211" s="1477"/>
      <c r="P1211" s="1477" t="s">
        <v>1590</v>
      </c>
      <c r="Q1211" s="2284"/>
      <c r="R1211" s="2285"/>
      <c r="S1211" s="2285"/>
      <c r="T1211" s="2285"/>
      <c r="U1211" s="2285"/>
      <c r="V1211" s="2285"/>
      <c r="W1211" s="2285"/>
      <c r="X1211" s="2285"/>
      <c r="Y1211" s="2285"/>
      <c r="Z1211" s="2285"/>
      <c r="AA1211" s="2285"/>
      <c r="AB1211" s="2285"/>
      <c r="AC1211" s="1494">
        <v>0</v>
      </c>
      <c r="AD1211" s="1412">
        <v>0</v>
      </c>
      <c r="AE1211" s="1412">
        <v>0</v>
      </c>
      <c r="AF1211" s="1412">
        <v>0</v>
      </c>
      <c r="AG1211" s="1412">
        <v>0</v>
      </c>
      <c r="AH1211" s="1412">
        <v>0</v>
      </c>
      <c r="AI1211" s="1416">
        <v>0</v>
      </c>
    </row>
    <row r="1212" spans="1:35" ht="14.5">
      <c r="A1212" s="990">
        <v>1</v>
      </c>
      <c r="B1212" s="990">
        <v>1</v>
      </c>
      <c r="C1212" s="990" t="s">
        <v>1129</v>
      </c>
      <c r="E1212" s="1781" t="s">
        <v>1013</v>
      </c>
      <c r="F1212" s="1782"/>
      <c r="G1212" s="639"/>
      <c r="H1212" s="639"/>
      <c r="I1212" s="1584"/>
      <c r="J1212" s="639"/>
      <c r="K1212" s="639"/>
      <c r="L1212" s="639"/>
      <c r="M1212" s="639"/>
      <c r="N1212" s="1475"/>
      <c r="O1212" s="1478"/>
      <c r="P1212" s="1478" t="s">
        <v>275</v>
      </c>
      <c r="Q1212" s="2286"/>
      <c r="R1212" s="2287"/>
      <c r="S1212" s="2287"/>
      <c r="T1212" s="2287"/>
      <c r="U1212" s="2287"/>
      <c r="V1212" s="2287"/>
      <c r="W1212" s="2287"/>
      <c r="X1212" s="2287"/>
      <c r="Y1212" s="2287"/>
      <c r="Z1212" s="2287"/>
      <c r="AA1212" s="2287"/>
      <c r="AB1212" s="2287"/>
      <c r="AC1212" s="1495">
        <v>0</v>
      </c>
      <c r="AD1212" s="1413">
        <v>0</v>
      </c>
      <c r="AE1212" s="1413">
        <v>0</v>
      </c>
      <c r="AF1212" s="1413">
        <v>0</v>
      </c>
      <c r="AG1212" s="1413">
        <v>0</v>
      </c>
      <c r="AH1212" s="1413">
        <v>0</v>
      </c>
      <c r="AI1212" s="1417">
        <v>0</v>
      </c>
    </row>
    <row r="1213" spans="1:35" ht="14.5">
      <c r="A1213" s="990">
        <v>1</v>
      </c>
      <c r="B1213" s="990">
        <v>1</v>
      </c>
      <c r="C1213" s="990" t="s">
        <v>1129</v>
      </c>
      <c r="E1213" s="1463" t="s">
        <v>1521</v>
      </c>
      <c r="F1213" s="1459"/>
      <c r="G1213" s="639"/>
      <c r="H1213" s="639"/>
      <c r="I1213" s="1475"/>
      <c r="J1213" s="639"/>
      <c r="K1213" s="639"/>
      <c r="L1213" s="639"/>
      <c r="M1213" s="639"/>
      <c r="N1213" s="1475"/>
      <c r="O1213" s="1478" t="s">
        <v>954</v>
      </c>
      <c r="P1213" s="1478"/>
      <c r="Q1213" s="2286"/>
      <c r="R1213" s="2287"/>
      <c r="S1213" s="2287"/>
      <c r="T1213" s="2287"/>
      <c r="U1213" s="2287"/>
      <c r="V1213" s="2287"/>
      <c r="W1213" s="2287"/>
      <c r="X1213" s="2287"/>
      <c r="Y1213" s="2287"/>
      <c r="Z1213" s="2287"/>
      <c r="AA1213" s="2287"/>
      <c r="AB1213" s="2287"/>
      <c r="AC1213" s="1495">
        <v>0</v>
      </c>
      <c r="AD1213" s="1413">
        <v>0</v>
      </c>
      <c r="AE1213" s="1413">
        <v>0</v>
      </c>
      <c r="AF1213" s="1413">
        <v>0</v>
      </c>
      <c r="AG1213" s="1413">
        <v>0</v>
      </c>
      <c r="AH1213" s="1413">
        <v>0</v>
      </c>
      <c r="AI1213" s="1417">
        <v>0</v>
      </c>
    </row>
    <row r="1214" spans="1:35" ht="14.5">
      <c r="A1214" s="990">
        <v>1</v>
      </c>
      <c r="B1214" s="990">
        <v>1</v>
      </c>
      <c r="C1214" s="990" t="s">
        <v>1129</v>
      </c>
      <c r="E1214" s="1463" t="s">
        <v>1521</v>
      </c>
      <c r="F1214" s="1459"/>
      <c r="G1214" s="639"/>
      <c r="H1214" s="639"/>
      <c r="I1214" s="1479"/>
      <c r="J1214" s="1469"/>
      <c r="K1214" s="1469"/>
      <c r="L1214" s="1469"/>
      <c r="M1214" s="1469"/>
      <c r="N1214" s="1479"/>
      <c r="O1214" s="1480" t="s">
        <v>1130</v>
      </c>
      <c r="P1214" s="1480"/>
      <c r="Q1214" s="1983">
        <v>0</v>
      </c>
      <c r="R1214" s="1416">
        <v>0</v>
      </c>
      <c r="S1214" s="1416">
        <v>0</v>
      </c>
      <c r="T1214" s="1416">
        <v>0</v>
      </c>
      <c r="U1214" s="1416">
        <v>0</v>
      </c>
      <c r="V1214" s="1416">
        <v>0</v>
      </c>
      <c r="W1214" s="1416">
        <v>0</v>
      </c>
      <c r="X1214" s="1416">
        <v>0</v>
      </c>
      <c r="Y1214" s="1416">
        <v>0</v>
      </c>
      <c r="Z1214" s="1416">
        <v>0</v>
      </c>
      <c r="AA1214" s="1416">
        <v>0</v>
      </c>
      <c r="AB1214" s="1416">
        <v>0</v>
      </c>
      <c r="AC1214" s="1496">
        <v>0</v>
      </c>
      <c r="AD1214" s="1415">
        <v>0</v>
      </c>
      <c r="AE1214" s="1415">
        <v>0</v>
      </c>
      <c r="AF1214" s="1415">
        <v>0</v>
      </c>
      <c r="AG1214" s="1415">
        <v>0</v>
      </c>
      <c r="AH1214" s="1415">
        <v>0</v>
      </c>
      <c r="AI1214" s="1414">
        <v>0</v>
      </c>
    </row>
    <row r="1215" spans="1:35" ht="14.5">
      <c r="A1215" s="990">
        <v>1</v>
      </c>
      <c r="B1215" s="990">
        <v>1</v>
      </c>
      <c r="C1215" s="990" t="s">
        <v>1129</v>
      </c>
      <c r="E1215" s="1463" t="s">
        <v>1521</v>
      </c>
      <c r="F1215" s="1459"/>
      <c r="G1215" s="639"/>
      <c r="H1215" s="639"/>
      <c r="I1215" s="2715" t="s">
        <v>1130</v>
      </c>
      <c r="J1215" s="1468"/>
      <c r="K1215" s="1468"/>
      <c r="L1215" s="1468"/>
      <c r="M1215" s="1468"/>
      <c r="N1215" s="2716" t="s">
        <v>1587</v>
      </c>
      <c r="O1215" s="2717"/>
      <c r="P1215" s="2717"/>
      <c r="Q1215" s="2024">
        <v>0</v>
      </c>
      <c r="R1215" s="2025">
        <v>0</v>
      </c>
      <c r="S1215" s="2025">
        <v>0</v>
      </c>
      <c r="T1215" s="2025">
        <v>0</v>
      </c>
      <c r="U1215" s="2025">
        <v>0</v>
      </c>
      <c r="V1215" s="2025">
        <v>0</v>
      </c>
      <c r="W1215" s="2025">
        <v>0</v>
      </c>
      <c r="X1215" s="2025">
        <v>0</v>
      </c>
      <c r="Y1215" s="2025">
        <v>0</v>
      </c>
      <c r="Z1215" s="2025">
        <v>0</v>
      </c>
      <c r="AA1215" s="2025">
        <v>0</v>
      </c>
      <c r="AB1215" s="2025">
        <v>0</v>
      </c>
      <c r="AC1215" s="2718">
        <v>0</v>
      </c>
      <c r="AD1215" s="2719">
        <v>0</v>
      </c>
      <c r="AE1215" s="2719">
        <v>0</v>
      </c>
      <c r="AF1215" s="2720">
        <v>0</v>
      </c>
      <c r="AG1215" s="2720">
        <v>0</v>
      </c>
      <c r="AH1215" s="2719">
        <v>0</v>
      </c>
      <c r="AI1215" s="2721">
        <v>0</v>
      </c>
    </row>
    <row r="1216" spans="1:35" ht="14.5">
      <c r="A1216" s="990">
        <v>1</v>
      </c>
      <c r="B1216" s="990">
        <v>1</v>
      </c>
      <c r="C1216" s="990" t="s">
        <v>1129</v>
      </c>
      <c r="E1216" s="1463" t="s">
        <v>1521</v>
      </c>
      <c r="F1216" s="1459"/>
      <c r="G1216" s="639"/>
      <c r="H1216" s="639"/>
      <c r="I1216" s="1475"/>
      <c r="J1216" s="639"/>
      <c r="K1216" s="639"/>
      <c r="L1216" s="639"/>
      <c r="M1216" s="639"/>
      <c r="N1216" s="2715" t="s">
        <v>899</v>
      </c>
      <c r="O1216" s="1476" t="s">
        <v>677</v>
      </c>
      <c r="P1216" s="1476" t="s">
        <v>1588</v>
      </c>
      <c r="Q1216" s="1983">
        <v>0</v>
      </c>
      <c r="R1216" s="1416">
        <v>0</v>
      </c>
      <c r="S1216" s="1416">
        <v>0</v>
      </c>
      <c r="T1216" s="1416">
        <v>0</v>
      </c>
      <c r="U1216" s="1416">
        <v>0</v>
      </c>
      <c r="V1216" s="1416">
        <v>0</v>
      </c>
      <c r="W1216" s="1416">
        <v>0</v>
      </c>
      <c r="X1216" s="1416">
        <v>0</v>
      </c>
      <c r="Y1216" s="1416">
        <v>0</v>
      </c>
      <c r="Z1216" s="1416">
        <v>0</v>
      </c>
      <c r="AA1216" s="1416">
        <v>0</v>
      </c>
      <c r="AB1216" s="1416">
        <v>0</v>
      </c>
      <c r="AC1216" s="1494">
        <v>0</v>
      </c>
      <c r="AD1216" s="1412">
        <v>0</v>
      </c>
      <c r="AE1216" s="1412">
        <v>0</v>
      </c>
      <c r="AF1216" s="1488">
        <v>0</v>
      </c>
      <c r="AG1216" s="1488">
        <v>0</v>
      </c>
      <c r="AH1216" s="1412">
        <v>0</v>
      </c>
      <c r="AI1216" s="1483">
        <v>0</v>
      </c>
    </row>
    <row r="1217" spans="1:35" ht="14.5">
      <c r="A1217" s="990">
        <v>1</v>
      </c>
      <c r="B1217" s="990">
        <v>1</v>
      </c>
      <c r="C1217" s="990" t="s">
        <v>1129</v>
      </c>
      <c r="E1217" s="1463" t="s">
        <v>1521</v>
      </c>
      <c r="F1217" s="1459"/>
      <c r="G1217" s="639"/>
      <c r="H1217" s="639"/>
      <c r="I1217" s="1475"/>
      <c r="J1217" s="639"/>
      <c r="K1217" s="639"/>
      <c r="L1217" s="639"/>
      <c r="M1217" s="639"/>
      <c r="N1217" s="1475"/>
      <c r="O1217" s="1477"/>
      <c r="P1217" s="1477" t="s">
        <v>1590</v>
      </c>
      <c r="Q1217" s="1983">
        <v>0</v>
      </c>
      <c r="R1217" s="1416">
        <v>0</v>
      </c>
      <c r="S1217" s="1416">
        <v>0</v>
      </c>
      <c r="T1217" s="1416">
        <v>0</v>
      </c>
      <c r="U1217" s="1416">
        <v>0</v>
      </c>
      <c r="V1217" s="1416">
        <v>0</v>
      </c>
      <c r="W1217" s="1416">
        <v>0</v>
      </c>
      <c r="X1217" s="1416">
        <v>0</v>
      </c>
      <c r="Y1217" s="1416">
        <v>0</v>
      </c>
      <c r="Z1217" s="1416">
        <v>0</v>
      </c>
      <c r="AA1217" s="1416">
        <v>0</v>
      </c>
      <c r="AB1217" s="1416">
        <v>0</v>
      </c>
      <c r="AC1217" s="1494">
        <v>0</v>
      </c>
      <c r="AD1217" s="1412">
        <v>0</v>
      </c>
      <c r="AE1217" s="1412">
        <v>0</v>
      </c>
      <c r="AF1217" s="1488">
        <v>0</v>
      </c>
      <c r="AG1217" s="1488">
        <v>0</v>
      </c>
      <c r="AH1217" s="1412">
        <v>0</v>
      </c>
      <c r="AI1217" s="1483">
        <v>0</v>
      </c>
    </row>
    <row r="1218" spans="1:35" ht="14.5">
      <c r="A1218" s="990">
        <v>1</v>
      </c>
      <c r="B1218" s="990">
        <v>1</v>
      </c>
      <c r="C1218" s="990" t="s">
        <v>1129</v>
      </c>
      <c r="E1218" s="1781" t="s">
        <v>1013</v>
      </c>
      <c r="F1218" s="1782"/>
      <c r="G1218" s="639"/>
      <c r="H1218" s="639"/>
      <c r="I1218" s="1475"/>
      <c r="J1218" s="639"/>
      <c r="K1218" s="639"/>
      <c r="L1218" s="639"/>
      <c r="M1218" s="639"/>
      <c r="N1218" s="1475"/>
      <c r="O1218" s="1478"/>
      <c r="P1218" s="1478" t="s">
        <v>275</v>
      </c>
      <c r="Q1218" s="1984">
        <v>0</v>
      </c>
      <c r="R1218" s="1417">
        <v>0</v>
      </c>
      <c r="S1218" s="1417">
        <v>0</v>
      </c>
      <c r="T1218" s="1417">
        <v>0</v>
      </c>
      <c r="U1218" s="1417">
        <v>0</v>
      </c>
      <c r="V1218" s="1417">
        <v>0</v>
      </c>
      <c r="W1218" s="1417">
        <v>0</v>
      </c>
      <c r="X1218" s="1417">
        <v>0</v>
      </c>
      <c r="Y1218" s="1417">
        <v>0</v>
      </c>
      <c r="Z1218" s="1417">
        <v>0</v>
      </c>
      <c r="AA1218" s="1417">
        <v>0</v>
      </c>
      <c r="AB1218" s="1417">
        <v>0</v>
      </c>
      <c r="AC1218" s="1495">
        <v>0</v>
      </c>
      <c r="AD1218" s="1413">
        <v>0</v>
      </c>
      <c r="AE1218" s="1413">
        <v>0</v>
      </c>
      <c r="AF1218" s="1489">
        <v>0</v>
      </c>
      <c r="AG1218" s="1489">
        <v>0</v>
      </c>
      <c r="AH1218" s="1413">
        <v>0</v>
      </c>
      <c r="AI1218" s="1484">
        <v>0</v>
      </c>
    </row>
    <row r="1219" spans="1:35" ht="14.5">
      <c r="A1219" s="990">
        <v>1</v>
      </c>
      <c r="B1219" s="990">
        <v>1</v>
      </c>
      <c r="C1219" s="990" t="s">
        <v>1129</v>
      </c>
      <c r="E1219" s="1463" t="s">
        <v>1521</v>
      </c>
      <c r="F1219" s="1459"/>
      <c r="G1219" s="639"/>
      <c r="H1219" s="639"/>
      <c r="I1219" s="1475"/>
      <c r="J1219" s="639"/>
      <c r="K1219" s="639"/>
      <c r="L1219" s="639"/>
      <c r="M1219" s="639"/>
      <c r="N1219" s="1475"/>
      <c r="O1219" s="1478" t="s">
        <v>954</v>
      </c>
      <c r="P1219" s="1478"/>
      <c r="Q1219" s="1984">
        <v>0</v>
      </c>
      <c r="R1219" s="1417">
        <v>0</v>
      </c>
      <c r="S1219" s="1417">
        <v>0</v>
      </c>
      <c r="T1219" s="1417">
        <v>0</v>
      </c>
      <c r="U1219" s="1417">
        <v>0</v>
      </c>
      <c r="V1219" s="1417">
        <v>0</v>
      </c>
      <c r="W1219" s="1417">
        <v>0</v>
      </c>
      <c r="X1219" s="1417">
        <v>0</v>
      </c>
      <c r="Y1219" s="1417">
        <v>0</v>
      </c>
      <c r="Z1219" s="1417">
        <v>0</v>
      </c>
      <c r="AA1219" s="1417">
        <v>0</v>
      </c>
      <c r="AB1219" s="1417">
        <v>0</v>
      </c>
      <c r="AC1219" s="1495">
        <v>0</v>
      </c>
      <c r="AD1219" s="1413">
        <v>0</v>
      </c>
      <c r="AE1219" s="1413">
        <v>0</v>
      </c>
      <c r="AF1219" s="1489">
        <v>0</v>
      </c>
      <c r="AG1219" s="1489">
        <v>0</v>
      </c>
      <c r="AH1219" s="1413">
        <v>0</v>
      </c>
      <c r="AI1219" s="1484">
        <v>0</v>
      </c>
    </row>
    <row r="1220" spans="1:35" ht="14.5">
      <c r="A1220" s="990">
        <v>1</v>
      </c>
      <c r="B1220" s="990">
        <v>1</v>
      </c>
      <c r="C1220" s="990" t="s">
        <v>1129</v>
      </c>
      <c r="E1220" s="1463" t="s">
        <v>1521</v>
      </c>
      <c r="F1220" s="1459"/>
      <c r="G1220" s="639"/>
      <c r="H1220" s="639"/>
      <c r="I1220" s="1475"/>
      <c r="J1220" s="639"/>
      <c r="K1220" s="639"/>
      <c r="L1220" s="639"/>
      <c r="M1220" s="639"/>
      <c r="N1220" s="1479"/>
      <c r="O1220" s="1480" t="s">
        <v>1130</v>
      </c>
      <c r="P1220" s="1480"/>
      <c r="Q1220" s="1985">
        <v>0</v>
      </c>
      <c r="R1220" s="1986">
        <v>0</v>
      </c>
      <c r="S1220" s="1986">
        <v>0</v>
      </c>
      <c r="T1220" s="1986">
        <v>0</v>
      </c>
      <c r="U1220" s="1986">
        <v>0</v>
      </c>
      <c r="V1220" s="1986">
        <v>0</v>
      </c>
      <c r="W1220" s="1986">
        <v>0</v>
      </c>
      <c r="X1220" s="1986">
        <v>0</v>
      </c>
      <c r="Y1220" s="1986">
        <v>0</v>
      </c>
      <c r="Z1220" s="1986">
        <v>0</v>
      </c>
      <c r="AA1220" s="1986">
        <v>0</v>
      </c>
      <c r="AB1220" s="1986">
        <v>0</v>
      </c>
      <c r="AC1220" s="1496">
        <v>0</v>
      </c>
      <c r="AD1220" s="1415">
        <v>0</v>
      </c>
      <c r="AE1220" s="1415">
        <v>0</v>
      </c>
      <c r="AF1220" s="1415">
        <v>0</v>
      </c>
      <c r="AG1220" s="1415">
        <v>0</v>
      </c>
      <c r="AH1220" s="1415">
        <v>0</v>
      </c>
      <c r="AI1220" s="1414">
        <v>0</v>
      </c>
    </row>
    <row r="1221" spans="1:35" ht="14.5">
      <c r="A1221" s="990">
        <v>1</v>
      </c>
      <c r="B1221" s="990">
        <v>1</v>
      </c>
      <c r="C1221" s="990" t="s">
        <v>1129</v>
      </c>
      <c r="E1221" s="1463" t="s">
        <v>1521</v>
      </c>
      <c r="F1221" s="1459"/>
      <c r="G1221" s="639"/>
      <c r="H1221" s="639"/>
      <c r="I1221" s="1475"/>
      <c r="J1221" s="639"/>
      <c r="K1221" s="639"/>
      <c r="L1221" s="639"/>
      <c r="M1221" s="639"/>
      <c r="N1221" s="1475" t="s">
        <v>45</v>
      </c>
      <c r="O1221" s="1477" t="s">
        <v>677</v>
      </c>
      <c r="P1221" s="1477" t="s">
        <v>1588</v>
      </c>
      <c r="Q1221" s="1983">
        <v>0</v>
      </c>
      <c r="R1221" s="1416">
        <v>0</v>
      </c>
      <c r="S1221" s="1416">
        <v>0</v>
      </c>
      <c r="T1221" s="1416">
        <v>0</v>
      </c>
      <c r="U1221" s="1416">
        <v>0</v>
      </c>
      <c r="V1221" s="1416">
        <v>0</v>
      </c>
      <c r="W1221" s="1416">
        <v>0</v>
      </c>
      <c r="X1221" s="1416">
        <v>0</v>
      </c>
      <c r="Y1221" s="1416">
        <v>0</v>
      </c>
      <c r="Z1221" s="1416">
        <v>0</v>
      </c>
      <c r="AA1221" s="1416">
        <v>0</v>
      </c>
      <c r="AB1221" s="1416">
        <v>0</v>
      </c>
      <c r="AC1221" s="1494">
        <v>0</v>
      </c>
      <c r="AD1221" s="1412">
        <v>0</v>
      </c>
      <c r="AE1221" s="1412">
        <v>0</v>
      </c>
      <c r="AF1221" s="1488">
        <v>0</v>
      </c>
      <c r="AG1221" s="1488">
        <v>0</v>
      </c>
      <c r="AH1221" s="1412">
        <v>0</v>
      </c>
      <c r="AI1221" s="1483">
        <v>0</v>
      </c>
    </row>
    <row r="1222" spans="1:35" ht="14.5">
      <c r="A1222" s="990">
        <v>1</v>
      </c>
      <c r="B1222" s="990">
        <v>1</v>
      </c>
      <c r="C1222" s="990" t="s">
        <v>1129</v>
      </c>
      <c r="E1222" s="1463" t="s">
        <v>1521</v>
      </c>
      <c r="F1222" s="1459"/>
      <c r="G1222" s="639"/>
      <c r="H1222" s="639"/>
      <c r="I1222" s="1475"/>
      <c r="J1222" s="639"/>
      <c r="K1222" s="639"/>
      <c r="L1222" s="639"/>
      <c r="M1222" s="639"/>
      <c r="N1222" s="1475"/>
      <c r="O1222" s="1477"/>
      <c r="P1222" s="1477" t="s">
        <v>1590</v>
      </c>
      <c r="Q1222" s="1983">
        <v>0</v>
      </c>
      <c r="R1222" s="1416">
        <v>0</v>
      </c>
      <c r="S1222" s="1416">
        <v>0</v>
      </c>
      <c r="T1222" s="1416">
        <v>0</v>
      </c>
      <c r="U1222" s="1416">
        <v>0</v>
      </c>
      <c r="V1222" s="1416">
        <v>0</v>
      </c>
      <c r="W1222" s="1416">
        <v>0</v>
      </c>
      <c r="X1222" s="1416">
        <v>0</v>
      </c>
      <c r="Y1222" s="1416">
        <v>0</v>
      </c>
      <c r="Z1222" s="1416">
        <v>0</v>
      </c>
      <c r="AA1222" s="1416">
        <v>0</v>
      </c>
      <c r="AB1222" s="1416">
        <v>0</v>
      </c>
      <c r="AC1222" s="1494">
        <v>0</v>
      </c>
      <c r="AD1222" s="1412">
        <v>0</v>
      </c>
      <c r="AE1222" s="1412">
        <v>0</v>
      </c>
      <c r="AF1222" s="1488">
        <v>0</v>
      </c>
      <c r="AG1222" s="1488">
        <v>0</v>
      </c>
      <c r="AH1222" s="1412">
        <v>0</v>
      </c>
      <c r="AI1222" s="1483">
        <v>0</v>
      </c>
    </row>
    <row r="1223" spans="1:35" ht="14.5">
      <c r="A1223" s="990">
        <v>1</v>
      </c>
      <c r="B1223" s="990">
        <v>1</v>
      </c>
      <c r="C1223" s="990" t="s">
        <v>1129</v>
      </c>
      <c r="E1223" s="1781" t="s">
        <v>1013</v>
      </c>
      <c r="F1223" s="1782"/>
      <c r="G1223" s="639"/>
      <c r="H1223" s="639"/>
      <c r="I1223" s="1475"/>
      <c r="J1223" s="639"/>
      <c r="K1223" s="639"/>
      <c r="L1223" s="639"/>
      <c r="M1223" s="639"/>
      <c r="N1223" s="1475"/>
      <c r="O1223" s="1478"/>
      <c r="P1223" s="1478" t="s">
        <v>275</v>
      </c>
      <c r="Q1223" s="1984">
        <v>0</v>
      </c>
      <c r="R1223" s="1417">
        <v>0</v>
      </c>
      <c r="S1223" s="1417">
        <v>0</v>
      </c>
      <c r="T1223" s="1417">
        <v>0</v>
      </c>
      <c r="U1223" s="1417">
        <v>0</v>
      </c>
      <c r="V1223" s="1417">
        <v>0</v>
      </c>
      <c r="W1223" s="1417">
        <v>0</v>
      </c>
      <c r="X1223" s="1417">
        <v>0</v>
      </c>
      <c r="Y1223" s="1417">
        <v>0</v>
      </c>
      <c r="Z1223" s="1417">
        <v>0</v>
      </c>
      <c r="AA1223" s="1417">
        <v>0</v>
      </c>
      <c r="AB1223" s="1417">
        <v>0</v>
      </c>
      <c r="AC1223" s="1495">
        <v>0</v>
      </c>
      <c r="AD1223" s="1413">
        <v>0</v>
      </c>
      <c r="AE1223" s="1413">
        <v>0</v>
      </c>
      <c r="AF1223" s="1489">
        <v>0</v>
      </c>
      <c r="AG1223" s="1489">
        <v>0</v>
      </c>
      <c r="AH1223" s="1413">
        <v>0</v>
      </c>
      <c r="AI1223" s="1484">
        <v>0</v>
      </c>
    </row>
    <row r="1224" spans="1:35" ht="14.5">
      <c r="A1224" s="990">
        <v>1</v>
      </c>
      <c r="B1224" s="990">
        <v>1</v>
      </c>
      <c r="C1224" s="990" t="s">
        <v>1129</v>
      </c>
      <c r="E1224" s="1463" t="s">
        <v>1521</v>
      </c>
      <c r="F1224" s="1459"/>
      <c r="G1224" s="639"/>
      <c r="H1224" s="639"/>
      <c r="I1224" s="1475"/>
      <c r="J1224" s="639"/>
      <c r="K1224" s="639"/>
      <c r="L1224" s="639"/>
      <c r="M1224" s="639"/>
      <c r="N1224" s="1475"/>
      <c r="O1224" s="1478" t="s">
        <v>954</v>
      </c>
      <c r="P1224" s="1478"/>
      <c r="Q1224" s="1984">
        <v>0</v>
      </c>
      <c r="R1224" s="1417">
        <v>0</v>
      </c>
      <c r="S1224" s="1417">
        <v>0</v>
      </c>
      <c r="T1224" s="1417">
        <v>0</v>
      </c>
      <c r="U1224" s="1417">
        <v>0</v>
      </c>
      <c r="V1224" s="1417">
        <v>0</v>
      </c>
      <c r="W1224" s="1417">
        <v>0</v>
      </c>
      <c r="X1224" s="1417">
        <v>0</v>
      </c>
      <c r="Y1224" s="1417">
        <v>0</v>
      </c>
      <c r="Z1224" s="1417">
        <v>0</v>
      </c>
      <c r="AA1224" s="1417">
        <v>0</v>
      </c>
      <c r="AB1224" s="1417">
        <v>0</v>
      </c>
      <c r="AC1224" s="1495">
        <v>0</v>
      </c>
      <c r="AD1224" s="1413">
        <v>0</v>
      </c>
      <c r="AE1224" s="1413">
        <v>0</v>
      </c>
      <c r="AF1224" s="1489">
        <v>0</v>
      </c>
      <c r="AG1224" s="1489">
        <v>0</v>
      </c>
      <c r="AH1224" s="1413">
        <v>0</v>
      </c>
      <c r="AI1224" s="1484">
        <v>0</v>
      </c>
    </row>
    <row r="1225" spans="1:35" ht="14.5">
      <c r="A1225" s="990">
        <v>1</v>
      </c>
      <c r="B1225" s="990">
        <v>1</v>
      </c>
      <c r="C1225" s="990" t="s">
        <v>1129</v>
      </c>
      <c r="E1225" s="1463" t="s">
        <v>1521</v>
      </c>
      <c r="F1225" s="1459"/>
      <c r="G1225" s="639"/>
      <c r="H1225" s="639"/>
      <c r="I1225" s="1479"/>
      <c r="J1225" s="1469"/>
      <c r="K1225" s="1469"/>
      <c r="L1225" s="1469"/>
      <c r="M1225" s="1469"/>
      <c r="N1225" s="1479"/>
      <c r="O1225" s="1480" t="s">
        <v>1130</v>
      </c>
      <c r="P1225" s="1480"/>
      <c r="Q1225" s="1982">
        <v>0</v>
      </c>
      <c r="R1225" s="1414">
        <v>0</v>
      </c>
      <c r="S1225" s="1414">
        <v>0</v>
      </c>
      <c r="T1225" s="1414">
        <v>0</v>
      </c>
      <c r="U1225" s="1414">
        <v>0</v>
      </c>
      <c r="V1225" s="1414">
        <v>0</v>
      </c>
      <c r="W1225" s="1414">
        <v>0</v>
      </c>
      <c r="X1225" s="1414">
        <v>0</v>
      </c>
      <c r="Y1225" s="1414">
        <v>0</v>
      </c>
      <c r="Z1225" s="1414">
        <v>0</v>
      </c>
      <c r="AA1225" s="1414">
        <v>0</v>
      </c>
      <c r="AB1225" s="1414">
        <v>0</v>
      </c>
      <c r="AC1225" s="1496">
        <v>0</v>
      </c>
      <c r="AD1225" s="1415">
        <v>0</v>
      </c>
      <c r="AE1225" s="1415">
        <v>0</v>
      </c>
      <c r="AF1225" s="1415">
        <v>0</v>
      </c>
      <c r="AG1225" s="1415">
        <v>0</v>
      </c>
      <c r="AH1225" s="1415">
        <v>0</v>
      </c>
      <c r="AI1225" s="1414">
        <v>0</v>
      </c>
    </row>
    <row r="1226" spans="1:35" ht="14.5">
      <c r="A1226" s="990">
        <v>1</v>
      </c>
      <c r="B1226" s="990">
        <v>1</v>
      </c>
      <c r="C1226" s="990" t="s">
        <v>1129</v>
      </c>
      <c r="E1226" s="1463" t="s">
        <v>1521</v>
      </c>
      <c r="F1226" s="1459"/>
      <c r="G1226" s="639"/>
      <c r="H1226" s="639"/>
      <c r="I1226" s="2715" t="s">
        <v>1253</v>
      </c>
      <c r="J1226" s="1468"/>
      <c r="K1226" s="1468"/>
      <c r="L1226" s="1468"/>
      <c r="M1226" s="1468"/>
      <c r="N1226" s="1476"/>
      <c r="O1226" s="1476" t="s">
        <v>96</v>
      </c>
      <c r="P1226" s="1476"/>
      <c r="Q1226" s="2284"/>
      <c r="R1226" s="2285"/>
      <c r="S1226" s="2285"/>
      <c r="T1226" s="2285"/>
      <c r="U1226" s="2285"/>
      <c r="V1226" s="2285"/>
      <c r="W1226" s="2285"/>
      <c r="X1226" s="2285"/>
      <c r="Y1226" s="2285"/>
      <c r="Z1226" s="2285"/>
      <c r="AA1226" s="2285"/>
      <c r="AB1226" s="2285"/>
      <c r="AC1226" s="2722">
        <v>0</v>
      </c>
      <c r="AD1226" s="2723">
        <v>0</v>
      </c>
      <c r="AE1226" s="2723">
        <v>0</v>
      </c>
      <c r="AF1226" s="2724">
        <v>0</v>
      </c>
      <c r="AG1226" s="2724">
        <v>0</v>
      </c>
      <c r="AH1226" s="2723">
        <v>0</v>
      </c>
      <c r="AI1226" s="2722">
        <v>0</v>
      </c>
    </row>
    <row r="1227" spans="1:35" ht="14.5">
      <c r="A1227" s="990">
        <v>1</v>
      </c>
      <c r="B1227" s="990">
        <v>1</v>
      </c>
      <c r="C1227" s="990" t="s">
        <v>1129</v>
      </c>
      <c r="E1227" s="1463" t="s">
        <v>1521</v>
      </c>
      <c r="F1227" s="1459"/>
      <c r="G1227" s="639"/>
      <c r="H1227" s="639"/>
      <c r="I1227" s="1475"/>
      <c r="J1227" s="639"/>
      <c r="K1227" s="639"/>
      <c r="L1227" s="639"/>
      <c r="M1227" s="639"/>
      <c r="N1227" s="1477"/>
      <c r="O1227" s="1477" t="s">
        <v>143</v>
      </c>
      <c r="P1227" s="1477"/>
      <c r="Q1227" s="2284"/>
      <c r="R1227" s="2285"/>
      <c r="S1227" s="2285"/>
      <c r="T1227" s="2285"/>
      <c r="U1227" s="2285"/>
      <c r="V1227" s="2285"/>
      <c r="W1227" s="2285"/>
      <c r="X1227" s="2285"/>
      <c r="Y1227" s="2285"/>
      <c r="Z1227" s="2285"/>
      <c r="AA1227" s="2285"/>
      <c r="AB1227" s="2285"/>
      <c r="AC1227" s="1494">
        <v>0</v>
      </c>
      <c r="AD1227" s="1412">
        <v>0</v>
      </c>
      <c r="AE1227" s="1412">
        <v>0</v>
      </c>
      <c r="AF1227" s="1488">
        <v>0</v>
      </c>
      <c r="AG1227" s="1488">
        <v>0</v>
      </c>
      <c r="AH1227" s="1412">
        <v>0</v>
      </c>
      <c r="AI1227" s="1494">
        <v>0</v>
      </c>
    </row>
    <row r="1228" spans="1:35" ht="14.5">
      <c r="A1228" s="990">
        <v>1</v>
      </c>
      <c r="B1228" s="990">
        <v>1</v>
      </c>
      <c r="C1228" s="990" t="s">
        <v>1129</v>
      </c>
      <c r="E1228" s="1463" t="s">
        <v>1521</v>
      </c>
      <c r="F1228" s="1459"/>
      <c r="G1228" s="639"/>
      <c r="H1228" s="639"/>
      <c r="I1228" s="1475"/>
      <c r="J1228" s="639"/>
      <c r="K1228" s="639"/>
      <c r="L1228" s="639"/>
      <c r="M1228" s="639"/>
      <c r="N1228" s="1477"/>
      <c r="O1228" s="1478" t="s">
        <v>142</v>
      </c>
      <c r="P1228" s="1478"/>
      <c r="Q1228" s="2286"/>
      <c r="R1228" s="2287"/>
      <c r="S1228" s="2287"/>
      <c r="T1228" s="2287"/>
      <c r="U1228" s="2287"/>
      <c r="V1228" s="2287"/>
      <c r="W1228" s="2287"/>
      <c r="X1228" s="2287"/>
      <c r="Y1228" s="2287"/>
      <c r="Z1228" s="2287"/>
      <c r="AA1228" s="2287"/>
      <c r="AB1228" s="2287"/>
      <c r="AC1228" s="1495">
        <v>0</v>
      </c>
      <c r="AD1228" s="1413">
        <v>0</v>
      </c>
      <c r="AE1228" s="1413">
        <v>0</v>
      </c>
      <c r="AF1228" s="1489">
        <v>0</v>
      </c>
      <c r="AG1228" s="1489">
        <v>0</v>
      </c>
      <c r="AH1228" s="1413">
        <v>0</v>
      </c>
      <c r="AI1228" s="1495">
        <v>0</v>
      </c>
    </row>
    <row r="1229" spans="1:35" ht="14.5">
      <c r="A1229" s="990">
        <v>1</v>
      </c>
      <c r="B1229" s="990">
        <v>1</v>
      </c>
      <c r="C1229" s="990" t="s">
        <v>1129</v>
      </c>
      <c r="E1229" s="1463" t="s">
        <v>1521</v>
      </c>
      <c r="F1229" s="1459"/>
      <c r="G1229" s="639"/>
      <c r="H1229" s="639"/>
      <c r="I1229" s="1479"/>
      <c r="J1229" s="1469"/>
      <c r="K1229" s="1469"/>
      <c r="L1229" s="1469"/>
      <c r="M1229" s="1469"/>
      <c r="N1229" s="1480"/>
      <c r="O1229" s="1480" t="s">
        <v>1130</v>
      </c>
      <c r="P1229" s="1480"/>
      <c r="Q1229" s="1490">
        <v>0</v>
      </c>
      <c r="R1229" s="1415">
        <v>0</v>
      </c>
      <c r="S1229" s="1415">
        <v>0</v>
      </c>
      <c r="T1229" s="1415">
        <v>0</v>
      </c>
      <c r="U1229" s="1415">
        <v>0</v>
      </c>
      <c r="V1229" s="1415">
        <v>0</v>
      </c>
      <c r="W1229" s="1415">
        <v>0</v>
      </c>
      <c r="X1229" s="1415">
        <v>0</v>
      </c>
      <c r="Y1229" s="1415">
        <v>0</v>
      </c>
      <c r="Z1229" s="1415">
        <v>0</v>
      </c>
      <c r="AA1229" s="1415">
        <v>0</v>
      </c>
      <c r="AB1229" s="1415">
        <v>0</v>
      </c>
      <c r="AC1229" s="1496">
        <v>0</v>
      </c>
      <c r="AD1229" s="1415">
        <v>0</v>
      </c>
      <c r="AE1229" s="1415">
        <v>0</v>
      </c>
      <c r="AF1229" s="1490">
        <v>0</v>
      </c>
      <c r="AG1229" s="1490">
        <v>0</v>
      </c>
      <c r="AH1229" s="1415">
        <v>0</v>
      </c>
      <c r="AI1229" s="1496">
        <v>0</v>
      </c>
    </row>
    <row r="1230" spans="1:35" ht="14.5">
      <c r="A1230" s="990">
        <v>1</v>
      </c>
      <c r="B1230" s="990">
        <v>1</v>
      </c>
      <c r="C1230" s="990" t="s">
        <v>1129</v>
      </c>
      <c r="E1230" s="1463" t="s">
        <v>1521</v>
      </c>
      <c r="F1230" s="1459"/>
      <c r="G1230" s="639"/>
      <c r="H1230" s="639"/>
      <c r="I1230" s="638"/>
      <c r="J1230" s="638"/>
      <c r="K1230" s="638"/>
      <c r="L1230" s="638"/>
      <c r="M1230" s="638"/>
      <c r="N1230" s="638"/>
      <c r="O1230" s="638"/>
      <c r="P1230" s="638"/>
      <c r="Q1230" s="638"/>
      <c r="R1230" s="638"/>
      <c r="S1230" s="638"/>
      <c r="T1230" s="638"/>
      <c r="U1230" s="638"/>
      <c r="V1230" s="638"/>
      <c r="W1230" s="638"/>
      <c r="X1230" s="638"/>
      <c r="Y1230" s="638"/>
      <c r="Z1230" s="639"/>
      <c r="AA1230" s="639"/>
      <c r="AB1230" s="639"/>
      <c r="AC1230" s="639"/>
      <c r="AD1230" s="639"/>
      <c r="AE1230" s="639"/>
      <c r="AF1230" s="639"/>
      <c r="AG1230" s="639"/>
      <c r="AH1230" s="639"/>
      <c r="AI1230" s="639"/>
    </row>
    <row r="1231" spans="1:35" ht="18">
      <c r="A1231" s="990">
        <v>1018</v>
      </c>
      <c r="C1231" s="990" t="s">
        <v>1129</v>
      </c>
      <c r="D1231" s="9" t="s">
        <v>999</v>
      </c>
      <c r="E1231" s="1243">
        <v>1</v>
      </c>
      <c r="F1231" s="1059" t="s">
        <v>1283</v>
      </c>
      <c r="G1231" s="1059"/>
      <c r="H1231" s="1000"/>
      <c r="I1231" s="999"/>
      <c r="J1231" s="998"/>
      <c r="K1231" s="999"/>
      <c r="L1231" s="999"/>
      <c r="M1231" s="998"/>
      <c r="N1231" s="998"/>
      <c r="O1231" s="998"/>
      <c r="P1231" s="998"/>
      <c r="Q1231" s="2141"/>
      <c r="R1231" s="2141"/>
      <c r="S1231" s="2141"/>
      <c r="T1231" s="2141"/>
      <c r="U1231" s="2141"/>
      <c r="V1231" s="2141"/>
      <c r="W1231" s="2141"/>
      <c r="X1231" s="2141"/>
      <c r="Y1231" s="2141"/>
      <c r="Z1231" s="2141"/>
      <c r="AA1231" s="998"/>
      <c r="AB1231" s="998"/>
      <c r="AC1231" s="998"/>
      <c r="AD1231" s="998"/>
      <c r="AE1231" s="998"/>
      <c r="AF1231" s="998"/>
      <c r="AG1231" s="998"/>
      <c r="AH1231" s="998"/>
      <c r="AI1231" s="998"/>
    </row>
    <row r="1232" spans="1:35">
      <c r="A1232" s="990">
        <v>1019</v>
      </c>
      <c r="C1232" s="990" t="s">
        <v>1129</v>
      </c>
      <c r="D1232" s="9" t="s">
        <v>999</v>
      </c>
      <c r="E1232" s="1243">
        <v>1</v>
      </c>
      <c r="F1232" s="999"/>
      <c r="G1232" s="1000" t="s">
        <v>1597</v>
      </c>
      <c r="H1232" s="999"/>
      <c r="I1232" s="999"/>
      <c r="J1232" s="998"/>
      <c r="K1232" s="999"/>
      <c r="L1232" s="999"/>
      <c r="M1232" s="998"/>
      <c r="N1232" s="998"/>
      <c r="O1232" s="998"/>
      <c r="P1232" s="999"/>
      <c r="Q1232" s="2141"/>
      <c r="R1232" s="2141"/>
      <c r="S1232" s="2141"/>
      <c r="T1232" s="2141"/>
      <c r="U1232" s="2141"/>
      <c r="V1232" s="2141"/>
      <c r="W1232" s="2141"/>
      <c r="X1232" s="2141"/>
      <c r="Y1232" s="2141"/>
      <c r="Z1232" s="2141"/>
      <c r="AA1232" s="998"/>
      <c r="AB1232" s="998"/>
      <c r="AC1232" s="998"/>
      <c r="AD1232" s="998"/>
      <c r="AE1232" s="998"/>
      <c r="AF1232" s="998"/>
      <c r="AG1232" s="998"/>
      <c r="AH1232" s="998"/>
      <c r="AI1232" s="998"/>
    </row>
    <row r="1233" spans="1:35">
      <c r="A1233" s="990">
        <v>1020</v>
      </c>
      <c r="C1233" s="990" t="s">
        <v>1129</v>
      </c>
      <c r="D1233" s="9" t="s">
        <v>999</v>
      </c>
      <c r="E1233" s="1243">
        <v>1</v>
      </c>
      <c r="F1233" s="999"/>
      <c r="G1233" s="1000"/>
      <c r="H1233" s="999"/>
      <c r="I1233" s="2725" t="s">
        <v>1130</v>
      </c>
      <c r="J1233" s="1061"/>
      <c r="K1233" s="1062"/>
      <c r="L1233" s="1062"/>
      <c r="M1233" s="1061"/>
      <c r="N1233" s="1061"/>
      <c r="O1233" s="1061"/>
      <c r="P1233" s="1728"/>
      <c r="Q1233" s="2142"/>
      <c r="R1233" s="2142"/>
      <c r="S1233" s="2142"/>
      <c r="T1233" s="2142"/>
      <c r="U1233" s="2142"/>
      <c r="V1233" s="2142"/>
      <c r="W1233" s="2142"/>
      <c r="X1233" s="2142"/>
      <c r="Y1233" s="2142"/>
      <c r="Z1233" s="2142"/>
      <c r="AA1233" s="2142"/>
      <c r="AB1233" s="2142"/>
      <c r="AC1233" s="2726">
        <v>0</v>
      </c>
      <c r="AD1233" s="2726">
        <v>0</v>
      </c>
      <c r="AE1233" s="2726">
        <v>0</v>
      </c>
      <c r="AF1233" s="2726">
        <v>0</v>
      </c>
      <c r="AG1233" s="2726">
        <v>0</v>
      </c>
      <c r="AH1233" s="2726">
        <v>0</v>
      </c>
      <c r="AI1233" s="2726">
        <v>0</v>
      </c>
    </row>
    <row r="1234" spans="1:35">
      <c r="A1234" s="990">
        <v>1021</v>
      </c>
      <c r="C1234" s="990" t="s">
        <v>1129</v>
      </c>
      <c r="D1234" s="9" t="s">
        <v>999</v>
      </c>
      <c r="E1234" s="1243">
        <v>1</v>
      </c>
      <c r="F1234" s="999"/>
      <c r="G1234" s="1000"/>
      <c r="H1234" s="999"/>
      <c r="I1234" s="1065"/>
      <c r="J1234" s="2727" t="s">
        <v>1131</v>
      </c>
      <c r="K1234" s="1067"/>
      <c r="L1234" s="1067"/>
      <c r="M1234" s="1068"/>
      <c r="N1234" s="1068"/>
      <c r="O1234" s="1068"/>
      <c r="P1234" s="1729"/>
      <c r="Q1234" s="2143">
        <v>0</v>
      </c>
      <c r="R1234" s="2143">
        <v>0</v>
      </c>
      <c r="S1234" s="2143">
        <v>0</v>
      </c>
      <c r="T1234" s="2143">
        <v>0</v>
      </c>
      <c r="U1234" s="2143">
        <v>0</v>
      </c>
      <c r="V1234" s="2143">
        <v>0</v>
      </c>
      <c r="W1234" s="2143">
        <v>0</v>
      </c>
      <c r="X1234" s="2143">
        <v>0</v>
      </c>
      <c r="Y1234" s="2143">
        <v>0</v>
      </c>
      <c r="Z1234" s="2143">
        <v>0</v>
      </c>
      <c r="AA1234" s="2143">
        <v>0</v>
      </c>
      <c r="AB1234" s="2143">
        <v>0</v>
      </c>
      <c r="AC1234" s="1070">
        <v>0</v>
      </c>
      <c r="AD1234" s="1070">
        <v>0</v>
      </c>
      <c r="AE1234" s="1070">
        <v>0</v>
      </c>
      <c r="AF1234" s="1070">
        <v>0</v>
      </c>
      <c r="AG1234" s="1070">
        <v>0</v>
      </c>
      <c r="AH1234" s="1070">
        <v>0</v>
      </c>
      <c r="AI1234" s="1070">
        <v>0</v>
      </c>
    </row>
    <row r="1235" spans="1:35">
      <c r="A1235" s="990">
        <v>1022</v>
      </c>
      <c r="C1235" s="990" t="s">
        <v>1129</v>
      </c>
      <c r="D1235" s="9" t="s">
        <v>999</v>
      </c>
      <c r="E1235" s="1243">
        <v>1</v>
      </c>
      <c r="F1235" s="999"/>
      <c r="G1235" s="1000"/>
      <c r="H1235" s="1000"/>
      <c r="I1235" s="1071"/>
      <c r="J1235" s="1072" t="s">
        <v>1132</v>
      </c>
      <c r="K1235" s="1073"/>
      <c r="L1235" s="1073"/>
      <c r="M1235" s="1074"/>
      <c r="N1235" s="1074"/>
      <c r="O1235" s="1074"/>
      <c r="P1235" s="1075"/>
      <c r="Q1235" s="2144">
        <v>0</v>
      </c>
      <c r="R1235" s="2144">
        <v>0</v>
      </c>
      <c r="S1235" s="2144">
        <v>0</v>
      </c>
      <c r="T1235" s="2144">
        <v>0</v>
      </c>
      <c r="U1235" s="2144">
        <v>0</v>
      </c>
      <c r="V1235" s="2144">
        <v>0</v>
      </c>
      <c r="W1235" s="2144">
        <v>0</v>
      </c>
      <c r="X1235" s="2144">
        <v>0</v>
      </c>
      <c r="Y1235" s="2144">
        <v>0</v>
      </c>
      <c r="Z1235" s="2144">
        <v>0</v>
      </c>
      <c r="AA1235" s="2144">
        <v>0</v>
      </c>
      <c r="AB1235" s="2144">
        <v>0</v>
      </c>
      <c r="AC1235" s="1076">
        <v>0</v>
      </c>
      <c r="AD1235" s="1076">
        <v>0</v>
      </c>
      <c r="AE1235" s="1076">
        <v>0</v>
      </c>
      <c r="AF1235" s="1076">
        <v>0</v>
      </c>
      <c r="AG1235" s="1076">
        <v>0</v>
      </c>
      <c r="AH1235" s="1076">
        <v>0</v>
      </c>
      <c r="AI1235" s="1076">
        <v>0</v>
      </c>
    </row>
    <row r="1236" spans="1:35">
      <c r="A1236" s="990">
        <v>1023</v>
      </c>
      <c r="C1236" s="990" t="s">
        <v>1129</v>
      </c>
      <c r="D1236" s="9" t="s">
        <v>999</v>
      </c>
      <c r="E1236" s="1243">
        <v>1</v>
      </c>
      <c r="F1236" s="999"/>
      <c r="G1236" s="999"/>
      <c r="H1236" s="1000"/>
      <c r="I1236" s="999"/>
      <c r="J1236" s="998"/>
      <c r="K1236" s="999"/>
      <c r="L1236" s="999"/>
      <c r="M1236" s="998"/>
      <c r="N1236" s="998"/>
      <c r="O1236" s="998"/>
      <c r="P1236" s="998"/>
      <c r="Q1236" s="2141"/>
      <c r="R1236" s="2141"/>
      <c r="S1236" s="2141"/>
      <c r="T1236" s="2141"/>
      <c r="U1236" s="2141"/>
      <c r="V1236" s="2141"/>
      <c r="W1236" s="2141"/>
      <c r="X1236" s="2141"/>
      <c r="Y1236" s="2141"/>
      <c r="Z1236" s="2141"/>
      <c r="AA1236" s="998"/>
      <c r="AB1236" s="998"/>
      <c r="AC1236" s="998"/>
      <c r="AD1236" s="998"/>
      <c r="AE1236" s="998"/>
      <c r="AF1236" s="998"/>
      <c r="AG1236" s="998"/>
      <c r="AH1236" s="998"/>
      <c r="AI1236" s="998"/>
    </row>
    <row r="1237" spans="1:35" ht="15.5">
      <c r="A1237" s="990">
        <v>1024</v>
      </c>
      <c r="C1237" s="990" t="s">
        <v>1129</v>
      </c>
      <c r="D1237" s="9" t="s">
        <v>999</v>
      </c>
      <c r="E1237" s="1243">
        <v>1</v>
      </c>
      <c r="F1237" s="999"/>
      <c r="G1237" s="1077" t="s">
        <v>1598</v>
      </c>
      <c r="H1237" s="1000"/>
      <c r="I1237" s="999"/>
      <c r="J1237" s="1078"/>
      <c r="K1237" s="1079"/>
      <c r="L1237" s="1078"/>
      <c r="M1237" s="1078"/>
      <c r="N1237" s="1079"/>
      <c r="O1237" s="1079"/>
      <c r="P1237" s="1079"/>
      <c r="Q1237" s="2182"/>
      <c r="R1237" s="2182"/>
      <c r="S1237" s="2182"/>
      <c r="T1237" s="2182"/>
      <c r="U1237" s="2182"/>
      <c r="V1237" s="2182"/>
      <c r="W1237" s="1080"/>
      <c r="X1237" s="1080"/>
      <c r="Y1237" s="1080"/>
      <c r="Z1237" s="1080"/>
      <c r="AA1237" s="1080"/>
      <c r="AB1237" s="1080"/>
      <c r="AC1237" s="1080"/>
      <c r="AD1237" s="1080"/>
      <c r="AE1237" s="1080"/>
      <c r="AF1237" s="1080"/>
      <c r="AG1237" s="1080"/>
      <c r="AH1237" s="1080"/>
      <c r="AI1237" s="1080"/>
    </row>
    <row r="1238" spans="1:35">
      <c r="A1238" s="990">
        <v>1025</v>
      </c>
      <c r="C1238" s="990" t="s">
        <v>1129</v>
      </c>
      <c r="D1238" s="9" t="s">
        <v>999</v>
      </c>
      <c r="E1238" s="1243">
        <v>1</v>
      </c>
      <c r="F1238" s="999"/>
      <c r="G1238" s="1000"/>
      <c r="H1238" s="1000"/>
      <c r="I1238" s="2728" t="s">
        <v>1130</v>
      </c>
      <c r="J1238" s="2729"/>
      <c r="K1238" s="2730"/>
      <c r="L1238" s="2731"/>
      <c r="M1238" s="2731"/>
      <c r="N1238" s="2730"/>
      <c r="O1238" s="2730"/>
      <c r="P1238" s="2730"/>
      <c r="Q1238" s="2145">
        <v>0</v>
      </c>
      <c r="R1238" s="2145">
        <v>0</v>
      </c>
      <c r="S1238" s="2145">
        <v>0</v>
      </c>
      <c r="T1238" s="2145">
        <v>0</v>
      </c>
      <c r="U1238" s="2145">
        <v>0</v>
      </c>
      <c r="V1238" s="2145">
        <v>0</v>
      </c>
      <c r="W1238" s="2145">
        <v>0</v>
      </c>
      <c r="X1238" s="2145">
        <v>0</v>
      </c>
      <c r="Y1238" s="2145">
        <v>0</v>
      </c>
      <c r="Z1238" s="2145">
        <v>0</v>
      </c>
      <c r="AA1238" s="2145">
        <v>0</v>
      </c>
      <c r="AB1238" s="2145">
        <v>0</v>
      </c>
      <c r="AC1238" s="2145">
        <v>0</v>
      </c>
      <c r="AD1238" s="2145">
        <v>0</v>
      </c>
      <c r="AE1238" s="2145">
        <v>0</v>
      </c>
      <c r="AF1238" s="2145">
        <v>0</v>
      </c>
      <c r="AG1238" s="2145">
        <v>0</v>
      </c>
      <c r="AH1238" s="2145">
        <v>0</v>
      </c>
      <c r="AI1238" s="2145">
        <v>0</v>
      </c>
    </row>
    <row r="1239" spans="1:35">
      <c r="A1239" s="990">
        <v>1026</v>
      </c>
      <c r="C1239" s="990" t="s">
        <v>1129</v>
      </c>
      <c r="D1239" s="9" t="s">
        <v>999</v>
      </c>
      <c r="E1239" s="1243">
        <v>1</v>
      </c>
      <c r="F1239" s="999"/>
      <c r="G1239" s="1000"/>
      <c r="H1239" s="1000"/>
      <c r="I1239" s="1086"/>
      <c r="J1239" s="1086"/>
      <c r="K1239" s="1079"/>
      <c r="L1239" s="1078"/>
      <c r="M1239" s="1079" t="s">
        <v>455</v>
      </c>
      <c r="N1239" s="1079"/>
      <c r="O1239" s="1079"/>
      <c r="P1239" s="1079"/>
      <c r="Q1239" s="2146"/>
      <c r="R1239" s="2146"/>
      <c r="S1239" s="2146"/>
      <c r="T1239" s="2146"/>
      <c r="U1239" s="2146"/>
      <c r="V1239" s="2146"/>
      <c r="W1239" s="2146"/>
      <c r="X1239" s="2146"/>
      <c r="Y1239" s="2146"/>
      <c r="Z1239" s="2146"/>
      <c r="AA1239" s="2147"/>
      <c r="AB1239" s="2147"/>
      <c r="AC1239" s="1087">
        <v>0</v>
      </c>
      <c r="AD1239" s="1087">
        <v>0</v>
      </c>
      <c r="AE1239" s="1087">
        <v>0</v>
      </c>
      <c r="AF1239" s="1087">
        <v>0</v>
      </c>
      <c r="AG1239" s="1087">
        <v>0</v>
      </c>
      <c r="AH1239" s="1087">
        <v>0</v>
      </c>
      <c r="AI1239" s="1087">
        <v>0</v>
      </c>
    </row>
    <row r="1240" spans="1:35">
      <c r="A1240" s="990">
        <v>1027</v>
      </c>
      <c r="C1240" s="990" t="s">
        <v>1129</v>
      </c>
      <c r="D1240" s="9" t="s">
        <v>999</v>
      </c>
      <c r="E1240" s="1243">
        <v>1</v>
      </c>
      <c r="F1240" s="999"/>
      <c r="G1240" s="1000"/>
      <c r="H1240" s="1000"/>
      <c r="I1240" s="1088"/>
      <c r="J1240" s="1089"/>
      <c r="K1240" s="1090"/>
      <c r="L1240" s="1091"/>
      <c r="M1240" s="1090" t="s">
        <v>1133</v>
      </c>
      <c r="N1240" s="1090"/>
      <c r="O1240" s="1090"/>
      <c r="P1240" s="1090"/>
      <c r="Q1240" s="2148"/>
      <c r="R1240" s="2148"/>
      <c r="S1240" s="2148"/>
      <c r="T1240" s="2148"/>
      <c r="U1240" s="2148"/>
      <c r="V1240" s="2148"/>
      <c r="W1240" s="2148"/>
      <c r="X1240" s="2148"/>
      <c r="Y1240" s="2148"/>
      <c r="Z1240" s="2148"/>
      <c r="AA1240" s="2148"/>
      <c r="AB1240" s="2148"/>
      <c r="AC1240" s="1092">
        <v>0</v>
      </c>
      <c r="AD1240" s="1092">
        <v>0</v>
      </c>
      <c r="AE1240" s="1092">
        <v>0</v>
      </c>
      <c r="AF1240" s="1092">
        <v>0</v>
      </c>
      <c r="AG1240" s="1092">
        <v>0</v>
      </c>
      <c r="AH1240" s="1092">
        <v>0</v>
      </c>
      <c r="AI1240" s="1092">
        <v>0</v>
      </c>
    </row>
    <row r="1241" spans="1:35">
      <c r="A1241" s="990">
        <v>1028</v>
      </c>
      <c r="C1241" s="990" t="s">
        <v>1129</v>
      </c>
      <c r="D1241" s="9" t="s">
        <v>999</v>
      </c>
      <c r="E1241" s="1243">
        <v>1</v>
      </c>
      <c r="F1241" s="999"/>
      <c r="G1241" s="1000"/>
      <c r="H1241" s="1000"/>
      <c r="I1241" s="1078"/>
      <c r="J1241" s="1078"/>
      <c r="K1241" s="1079"/>
      <c r="L1241" s="1078"/>
      <c r="M1241" s="1079"/>
      <c r="N1241" s="1079"/>
      <c r="O1241" s="1079"/>
      <c r="P1241" s="1079"/>
      <c r="Q1241" s="2149"/>
      <c r="R1241" s="2149"/>
      <c r="S1241" s="2149"/>
      <c r="T1241" s="2149"/>
      <c r="U1241" s="2149"/>
      <c r="V1241" s="2149"/>
      <c r="W1241" s="1093"/>
      <c r="X1241" s="1093"/>
      <c r="Y1241" s="1093"/>
      <c r="Z1241" s="1093"/>
      <c r="AA1241" s="1093"/>
      <c r="AB1241" s="1093"/>
      <c r="AC1241" s="1093"/>
      <c r="AD1241" s="1093"/>
      <c r="AE1241" s="1093"/>
      <c r="AF1241" s="1093"/>
      <c r="AG1241" s="1093"/>
      <c r="AH1241" s="1093"/>
      <c r="AI1241" s="1093"/>
    </row>
    <row r="1242" spans="1:35" ht="15.5">
      <c r="A1242" s="990">
        <v>1029</v>
      </c>
      <c r="C1242" s="990" t="s">
        <v>1129</v>
      </c>
      <c r="D1242" s="9" t="s">
        <v>999</v>
      </c>
      <c r="E1242" s="1243">
        <v>1</v>
      </c>
      <c r="F1242" s="999"/>
      <c r="G1242" s="1077" t="s">
        <v>1599</v>
      </c>
      <c r="H1242" s="1002"/>
      <c r="I1242" s="999"/>
      <c r="J1242" s="1078"/>
      <c r="K1242" s="1079"/>
      <c r="L1242" s="1078"/>
      <c r="M1242" s="1079"/>
      <c r="N1242" s="1079"/>
      <c r="O1242" s="1079"/>
      <c r="P1242" s="1079"/>
      <c r="Q1242" s="2149"/>
      <c r="R1242" s="2149"/>
      <c r="S1242" s="2149"/>
      <c r="T1242" s="2149"/>
      <c r="U1242" s="2149"/>
      <c r="V1242" s="2149"/>
      <c r="W1242" s="1093"/>
      <c r="X1242" s="1093"/>
      <c r="Y1242" s="1093"/>
      <c r="Z1242" s="1093"/>
      <c r="AA1242" s="1093"/>
      <c r="AB1242" s="1093"/>
      <c r="AC1242" s="1093"/>
      <c r="AD1242" s="1093"/>
      <c r="AE1242" s="1093"/>
      <c r="AF1242" s="1093"/>
      <c r="AG1242" s="1093"/>
      <c r="AH1242" s="1093"/>
      <c r="AI1242" s="1093"/>
    </row>
    <row r="1243" spans="1:35">
      <c r="A1243" s="990">
        <v>1030</v>
      </c>
      <c r="C1243" s="990" t="s">
        <v>1129</v>
      </c>
      <c r="D1243" s="9" t="s">
        <v>999</v>
      </c>
      <c r="E1243" s="1243">
        <v>1</v>
      </c>
      <c r="F1243" s="999"/>
      <c r="G1243" s="1000"/>
      <c r="H1243" s="1000"/>
      <c r="I1243" s="2728" t="s">
        <v>1130</v>
      </c>
      <c r="J1243" s="2729"/>
      <c r="K1243" s="2730"/>
      <c r="L1243" s="2731"/>
      <c r="M1243" s="2731"/>
      <c r="N1243" s="2730"/>
      <c r="O1243" s="2730"/>
      <c r="P1243" s="2730"/>
      <c r="Q1243" s="2145">
        <v>0</v>
      </c>
      <c r="R1243" s="2145">
        <v>0</v>
      </c>
      <c r="S1243" s="2145">
        <v>0</v>
      </c>
      <c r="T1243" s="2145">
        <v>0</v>
      </c>
      <c r="U1243" s="2145">
        <v>0</v>
      </c>
      <c r="V1243" s="2145">
        <v>0</v>
      </c>
      <c r="W1243" s="2145">
        <v>0</v>
      </c>
      <c r="X1243" s="2145">
        <v>0</v>
      </c>
      <c r="Y1243" s="2145">
        <v>0</v>
      </c>
      <c r="Z1243" s="2145">
        <v>0</v>
      </c>
      <c r="AA1243" s="2145">
        <v>0</v>
      </c>
      <c r="AB1243" s="2145">
        <v>0</v>
      </c>
      <c r="AC1243" s="2145">
        <v>0</v>
      </c>
      <c r="AD1243" s="2145">
        <v>0</v>
      </c>
      <c r="AE1243" s="2145">
        <v>0</v>
      </c>
      <c r="AF1243" s="2145">
        <v>0</v>
      </c>
      <c r="AG1243" s="2145">
        <v>0</v>
      </c>
      <c r="AH1243" s="2145">
        <v>0</v>
      </c>
      <c r="AI1243" s="2145">
        <v>0</v>
      </c>
    </row>
    <row r="1244" spans="1:35">
      <c r="A1244" s="990">
        <v>1031</v>
      </c>
      <c r="C1244" s="990" t="s">
        <v>1129</v>
      </c>
      <c r="D1244" s="9" t="s">
        <v>999</v>
      </c>
      <c r="E1244" s="1243">
        <v>1</v>
      </c>
      <c r="F1244" s="999"/>
      <c r="G1244" s="1000"/>
      <c r="H1244" s="1000"/>
      <c r="I1244" s="1086"/>
      <c r="J1244" s="1086"/>
      <c r="K1244" s="1079"/>
      <c r="L1244" s="1078"/>
      <c r="M1244" s="1079" t="s">
        <v>455</v>
      </c>
      <c r="N1244" s="1079"/>
      <c r="O1244" s="1079"/>
      <c r="P1244" s="1079"/>
      <c r="Q1244" s="2146"/>
      <c r="R1244" s="2146"/>
      <c r="S1244" s="2146"/>
      <c r="T1244" s="2146"/>
      <c r="U1244" s="2146"/>
      <c r="V1244" s="2146"/>
      <c r="W1244" s="2146"/>
      <c r="X1244" s="2146"/>
      <c r="Y1244" s="2146"/>
      <c r="Z1244" s="2146"/>
      <c r="AA1244" s="2150"/>
      <c r="AB1244" s="2150"/>
      <c r="AC1244" s="2732">
        <v>0</v>
      </c>
      <c r="AD1244" s="2732">
        <v>0</v>
      </c>
      <c r="AE1244" s="2732">
        <v>0</v>
      </c>
      <c r="AF1244" s="2732">
        <v>0</v>
      </c>
      <c r="AG1244" s="2732">
        <v>0</v>
      </c>
      <c r="AH1244" s="2732">
        <v>0</v>
      </c>
      <c r="AI1244" s="2732">
        <v>0</v>
      </c>
    </row>
    <row r="1245" spans="1:35">
      <c r="A1245" s="990">
        <v>1032</v>
      </c>
      <c r="C1245" s="990" t="s">
        <v>1129</v>
      </c>
      <c r="D1245" s="9" t="s">
        <v>999</v>
      </c>
      <c r="E1245" s="1243">
        <v>1</v>
      </c>
      <c r="F1245" s="999"/>
      <c r="G1245" s="1000"/>
      <c r="H1245" s="1000"/>
      <c r="I1245" s="1088"/>
      <c r="J1245" s="1089"/>
      <c r="K1245" s="1090"/>
      <c r="L1245" s="1091"/>
      <c r="M1245" s="1090" t="s">
        <v>1133</v>
      </c>
      <c r="N1245" s="1090"/>
      <c r="O1245" s="1090"/>
      <c r="P1245" s="1090"/>
      <c r="Q1245" s="2148"/>
      <c r="R1245" s="2148"/>
      <c r="S1245" s="2148"/>
      <c r="T1245" s="2148"/>
      <c r="U1245" s="2148"/>
      <c r="V1245" s="2148"/>
      <c r="W1245" s="2148"/>
      <c r="X1245" s="2148"/>
      <c r="Y1245" s="2148"/>
      <c r="Z1245" s="2148"/>
      <c r="AA1245" s="2151"/>
      <c r="AB1245" s="2151"/>
      <c r="AC1245" s="1092">
        <v>0</v>
      </c>
      <c r="AD1245" s="1092">
        <v>0</v>
      </c>
      <c r="AE1245" s="1092">
        <v>0</v>
      </c>
      <c r="AF1245" s="1092">
        <v>0</v>
      </c>
      <c r="AG1245" s="1092">
        <v>0</v>
      </c>
      <c r="AH1245" s="1092">
        <v>0</v>
      </c>
      <c r="AI1245" s="1092">
        <v>0</v>
      </c>
    </row>
    <row r="1246" spans="1:35">
      <c r="A1246" s="990">
        <v>1033</v>
      </c>
      <c r="C1246" s="990" t="s">
        <v>1129</v>
      </c>
      <c r="D1246" s="9" t="s">
        <v>999</v>
      </c>
      <c r="E1246" s="1243">
        <v>1</v>
      </c>
      <c r="F1246" s="999"/>
      <c r="G1246" s="1000"/>
      <c r="H1246" s="1000"/>
      <c r="I1246" s="999"/>
      <c r="J1246" s="998"/>
      <c r="K1246" s="999"/>
      <c r="L1246" s="999"/>
      <c r="M1246" s="998"/>
      <c r="N1246" s="998"/>
      <c r="O1246" s="998"/>
      <c r="P1246" s="998"/>
      <c r="Q1246" s="2141"/>
      <c r="R1246" s="2141"/>
      <c r="S1246" s="2141"/>
      <c r="T1246" s="2141"/>
      <c r="U1246" s="2141"/>
      <c r="V1246" s="2141"/>
      <c r="W1246" s="2141"/>
      <c r="X1246" s="2141"/>
      <c r="Y1246" s="2141"/>
      <c r="Z1246" s="2141"/>
      <c r="AA1246" s="998"/>
      <c r="AB1246" s="998"/>
      <c r="AC1246" s="998"/>
      <c r="AD1246" s="998"/>
      <c r="AE1246" s="998"/>
      <c r="AF1246" s="998"/>
      <c r="AG1246" s="998"/>
      <c r="AH1246" s="998"/>
      <c r="AI1246" s="998"/>
    </row>
    <row r="1247" spans="1:35" ht="15.5">
      <c r="A1247" s="990">
        <v>1034</v>
      </c>
      <c r="C1247" s="990" t="s">
        <v>1129</v>
      </c>
      <c r="D1247" s="9" t="s">
        <v>999</v>
      </c>
      <c r="E1247" s="1243">
        <v>1</v>
      </c>
      <c r="F1247" s="999"/>
      <c r="G1247" s="1077" t="s">
        <v>1600</v>
      </c>
      <c r="H1247" s="1000"/>
      <c r="I1247" s="999"/>
      <c r="J1247" s="998"/>
      <c r="K1247" s="999"/>
      <c r="L1247" s="999"/>
      <c r="M1247" s="999"/>
      <c r="N1247" s="998"/>
      <c r="O1247" s="998"/>
      <c r="P1247" s="998"/>
      <c r="Q1247" s="2141"/>
      <c r="R1247" s="2141"/>
      <c r="S1247" s="2141"/>
      <c r="T1247" s="2141"/>
      <c r="U1247" s="2141"/>
      <c r="V1247" s="2141"/>
      <c r="W1247" s="2141"/>
      <c r="X1247" s="2141"/>
      <c r="Y1247" s="2141"/>
      <c r="Z1247" s="2183"/>
      <c r="AA1247" s="1002"/>
      <c r="AB1247" s="1002"/>
      <c r="AC1247" s="998"/>
      <c r="AD1247" s="998"/>
      <c r="AE1247" s="998"/>
      <c r="AF1247" s="998"/>
      <c r="AG1247" s="998"/>
      <c r="AH1247" s="998"/>
      <c r="AI1247" s="998"/>
    </row>
    <row r="1248" spans="1:35">
      <c r="A1248" s="990">
        <v>1035</v>
      </c>
      <c r="C1248" s="990" t="s">
        <v>1129</v>
      </c>
      <c r="D1248" s="9" t="s">
        <v>999</v>
      </c>
      <c r="E1248" s="1243">
        <v>1</v>
      </c>
      <c r="F1248" s="999"/>
      <c r="G1248" s="1000"/>
      <c r="H1248" s="1000"/>
      <c r="I1248" s="2733" t="s">
        <v>54</v>
      </c>
      <c r="J1248" s="2734"/>
      <c r="K1248" s="2734"/>
      <c r="L1248" s="2734"/>
      <c r="M1248" s="2735" t="s">
        <v>822</v>
      </c>
      <c r="N1248" s="2736"/>
      <c r="O1248" s="2736"/>
      <c r="P1248" s="2735" t="s">
        <v>823</v>
      </c>
      <c r="Q1248" s="2184">
        <v>44652</v>
      </c>
      <c r="R1248" s="2184">
        <v>44682</v>
      </c>
      <c r="S1248" s="2184">
        <v>44713</v>
      </c>
      <c r="T1248" s="2184">
        <v>44743</v>
      </c>
      <c r="U1248" s="2184">
        <v>44774</v>
      </c>
      <c r="V1248" s="2184">
        <v>44805</v>
      </c>
      <c r="W1248" s="2184">
        <v>44835</v>
      </c>
      <c r="X1248" s="2184">
        <v>44866</v>
      </c>
      <c r="Y1248" s="2184">
        <v>44896</v>
      </c>
      <c r="Z1248" s="2184">
        <v>44927</v>
      </c>
      <c r="AA1248" s="2184">
        <v>44958</v>
      </c>
      <c r="AB1248" s="2184">
        <v>44986</v>
      </c>
      <c r="AC1248" s="2184" t="s">
        <v>105</v>
      </c>
      <c r="AD1248" s="2184" t="s">
        <v>104</v>
      </c>
      <c r="AE1248" s="2184" t="s">
        <v>103</v>
      </c>
      <c r="AF1248" s="2184" t="s">
        <v>102</v>
      </c>
      <c r="AG1248" s="2184" t="s">
        <v>101</v>
      </c>
      <c r="AH1248" s="2184" t="s">
        <v>100</v>
      </c>
      <c r="AI1248" s="2184" t="s">
        <v>118</v>
      </c>
    </row>
    <row r="1249" spans="1:35">
      <c r="A1249" s="990">
        <v>1036</v>
      </c>
      <c r="C1249" s="990" t="s">
        <v>1129</v>
      </c>
      <c r="D1249" s="9" t="s">
        <v>999</v>
      </c>
      <c r="E1249" s="1243">
        <v>1</v>
      </c>
      <c r="F1249" s="999"/>
      <c r="G1249" s="1000"/>
      <c r="H1249" s="1000"/>
      <c r="I1249" s="1098"/>
      <c r="J1249" s="1067" t="s">
        <v>989</v>
      </c>
      <c r="K1249" s="1068"/>
      <c r="L1249" s="1068"/>
      <c r="M1249" s="1068" t="s">
        <v>824</v>
      </c>
      <c r="N1249" s="1068"/>
      <c r="O1249" s="1068"/>
      <c r="P1249" s="1068" t="s">
        <v>55</v>
      </c>
      <c r="Q1249" s="2152"/>
      <c r="R1249" s="2152"/>
      <c r="S1249" s="2152"/>
      <c r="T1249" s="2152"/>
      <c r="U1249" s="2152"/>
      <c r="V1249" s="2152"/>
      <c r="W1249" s="2152"/>
      <c r="X1249" s="2152"/>
      <c r="Y1249" s="2152"/>
      <c r="Z1249" s="2152"/>
      <c r="AA1249" s="2152"/>
      <c r="AB1249" s="2152"/>
      <c r="AC1249" s="2737">
        <v>0</v>
      </c>
      <c r="AD1249" s="2737">
        <v>0</v>
      </c>
      <c r="AE1249" s="2737">
        <v>0</v>
      </c>
      <c r="AF1249" s="2737">
        <v>0</v>
      </c>
      <c r="AG1249" s="2737">
        <v>0</v>
      </c>
      <c r="AH1249" s="2737">
        <v>0</v>
      </c>
      <c r="AI1249" s="2737">
        <v>0</v>
      </c>
    </row>
    <row r="1250" spans="1:35">
      <c r="A1250" s="990">
        <v>1037</v>
      </c>
      <c r="C1250" s="990" t="s">
        <v>1129</v>
      </c>
      <c r="D1250" s="9" t="s">
        <v>999</v>
      </c>
      <c r="E1250" s="1243">
        <v>1</v>
      </c>
      <c r="F1250" s="999"/>
      <c r="G1250" s="1000"/>
      <c r="H1250" s="999"/>
      <c r="I1250" s="1100"/>
      <c r="J1250" s="1101"/>
      <c r="K1250" s="1101"/>
      <c r="L1250" s="1101"/>
      <c r="M1250" s="1101" t="s">
        <v>825</v>
      </c>
      <c r="N1250" s="1101"/>
      <c r="O1250" s="1101"/>
      <c r="P1250" s="1102" t="s">
        <v>826</v>
      </c>
      <c r="Q1250" s="2153"/>
      <c r="R1250" s="2153"/>
      <c r="S1250" s="2153"/>
      <c r="T1250" s="2153"/>
      <c r="U1250" s="2153"/>
      <c r="V1250" s="2153"/>
      <c r="W1250" s="2153"/>
      <c r="X1250" s="2153"/>
      <c r="Y1250" s="2153"/>
      <c r="Z1250" s="2153"/>
      <c r="AA1250" s="2153"/>
      <c r="AB1250" s="2153"/>
      <c r="AC1250" s="1103">
        <v>0</v>
      </c>
      <c r="AD1250" s="1103">
        <v>0</v>
      </c>
      <c r="AE1250" s="1103">
        <v>0</v>
      </c>
      <c r="AF1250" s="1103">
        <v>0</v>
      </c>
      <c r="AG1250" s="1103">
        <v>0</v>
      </c>
      <c r="AH1250" s="1103">
        <v>0</v>
      </c>
      <c r="AI1250" s="1103">
        <v>0</v>
      </c>
    </row>
    <row r="1251" spans="1:35">
      <c r="A1251" s="990">
        <v>1038</v>
      </c>
      <c r="C1251" s="990" t="s">
        <v>1129</v>
      </c>
      <c r="D1251" s="9" t="s">
        <v>999</v>
      </c>
      <c r="E1251" s="1243">
        <v>1</v>
      </c>
      <c r="F1251" s="999"/>
      <c r="G1251" s="1000"/>
      <c r="H1251" s="999"/>
      <c r="I1251" s="1098"/>
      <c r="J1251" s="1104" t="s">
        <v>1040</v>
      </c>
      <c r="K1251" s="1105"/>
      <c r="L1251" s="1105"/>
      <c r="M1251" s="1106" t="s">
        <v>1134</v>
      </c>
      <c r="N1251" s="1105"/>
      <c r="O1251" s="1105"/>
      <c r="P1251" s="1105" t="s">
        <v>828</v>
      </c>
      <c r="Q1251" s="2154"/>
      <c r="R1251" s="2154"/>
      <c r="S1251" s="2154"/>
      <c r="T1251" s="2154"/>
      <c r="U1251" s="2154"/>
      <c r="V1251" s="2154"/>
      <c r="W1251" s="2154"/>
      <c r="X1251" s="2154"/>
      <c r="Y1251" s="2154"/>
      <c r="Z1251" s="2154"/>
      <c r="AA1251" s="2154"/>
      <c r="AB1251" s="2154"/>
      <c r="AC1251" s="1107">
        <v>0</v>
      </c>
      <c r="AD1251" s="1107">
        <v>0</v>
      </c>
      <c r="AE1251" s="1107">
        <v>0</v>
      </c>
      <c r="AF1251" s="1107">
        <v>0</v>
      </c>
      <c r="AG1251" s="1107">
        <v>0</v>
      </c>
      <c r="AH1251" s="1107">
        <v>0</v>
      </c>
      <c r="AI1251" s="1107">
        <v>0</v>
      </c>
    </row>
    <row r="1252" spans="1:35">
      <c r="A1252" s="990">
        <v>1039</v>
      </c>
      <c r="C1252" s="990" t="s">
        <v>1129</v>
      </c>
      <c r="D1252" s="9" t="s">
        <v>999</v>
      </c>
      <c r="E1252" s="1243">
        <v>1</v>
      </c>
      <c r="F1252" s="999"/>
      <c r="G1252" s="1000"/>
      <c r="H1252" s="999"/>
      <c r="I1252" s="1100"/>
      <c r="J1252" s="1101"/>
      <c r="K1252" s="1101"/>
      <c r="L1252" s="1101"/>
      <c r="M1252" s="1101" t="s">
        <v>829</v>
      </c>
      <c r="N1252" s="1101"/>
      <c r="O1252" s="1101"/>
      <c r="P1252" s="1101" t="s">
        <v>830</v>
      </c>
      <c r="Q1252" s="2153"/>
      <c r="R1252" s="2153"/>
      <c r="S1252" s="2153"/>
      <c r="T1252" s="2153"/>
      <c r="U1252" s="2155"/>
      <c r="V1252" s="2153"/>
      <c r="W1252" s="2153"/>
      <c r="X1252" s="2153"/>
      <c r="Y1252" s="2153"/>
      <c r="Z1252" s="2153"/>
      <c r="AA1252" s="2153"/>
      <c r="AB1252" s="2153"/>
      <c r="AC1252" s="1103">
        <v>0</v>
      </c>
      <c r="AD1252" s="1103">
        <v>0</v>
      </c>
      <c r="AE1252" s="1103">
        <v>0</v>
      </c>
      <c r="AF1252" s="1103">
        <v>0</v>
      </c>
      <c r="AG1252" s="1103">
        <v>0</v>
      </c>
      <c r="AH1252" s="1103">
        <v>0</v>
      </c>
      <c r="AI1252" s="1103">
        <v>0</v>
      </c>
    </row>
    <row r="1253" spans="1:35">
      <c r="A1253" s="990">
        <v>1040</v>
      </c>
      <c r="C1253" s="990" t="s">
        <v>1129</v>
      </c>
      <c r="D1253" s="9" t="s">
        <v>999</v>
      </c>
      <c r="E1253" s="1243">
        <v>1</v>
      </c>
      <c r="F1253" s="999"/>
      <c r="G1253" s="1000"/>
      <c r="H1253" s="999"/>
      <c r="I1253" s="1098"/>
      <c r="J1253" s="1104" t="s">
        <v>1041</v>
      </c>
      <c r="K1253" s="1105"/>
      <c r="L1253" s="1105"/>
      <c r="M1253" s="1105" t="s">
        <v>831</v>
      </c>
      <c r="N1253" s="1105"/>
      <c r="O1253" s="1105"/>
      <c r="P1253" s="1108" t="s">
        <v>832</v>
      </c>
      <c r="Q1253" s="2154"/>
      <c r="R1253" s="2154"/>
      <c r="S1253" s="2154"/>
      <c r="T1253" s="2154"/>
      <c r="U1253" s="2154"/>
      <c r="V1253" s="2154"/>
      <c r="W1253" s="2154"/>
      <c r="X1253" s="2154"/>
      <c r="Y1253" s="2154"/>
      <c r="Z1253" s="2154"/>
      <c r="AA1253" s="2154"/>
      <c r="AB1253" s="2154"/>
      <c r="AC1253" s="1107">
        <v>0</v>
      </c>
      <c r="AD1253" s="1107">
        <v>0</v>
      </c>
      <c r="AE1253" s="1107">
        <v>0</v>
      </c>
      <c r="AF1253" s="1107">
        <v>0</v>
      </c>
      <c r="AG1253" s="1107">
        <v>0</v>
      </c>
      <c r="AH1253" s="1107">
        <v>0</v>
      </c>
      <c r="AI1253" s="1107">
        <v>0</v>
      </c>
    </row>
    <row r="1254" spans="1:35">
      <c r="A1254" s="990">
        <v>1041</v>
      </c>
      <c r="C1254" s="990" t="s">
        <v>1129</v>
      </c>
      <c r="D1254" s="9" t="s">
        <v>999</v>
      </c>
      <c r="E1254" s="1243">
        <v>1</v>
      </c>
      <c r="F1254" s="999"/>
      <c r="G1254" s="1000"/>
      <c r="H1254" s="999"/>
      <c r="I1254" s="1098"/>
      <c r="J1254" s="998"/>
      <c r="K1254" s="998"/>
      <c r="L1254" s="998"/>
      <c r="M1254" s="998" t="s">
        <v>833</v>
      </c>
      <c r="N1254" s="998"/>
      <c r="O1254" s="998"/>
      <c r="P1254" s="1109" t="s">
        <v>834</v>
      </c>
      <c r="Q1254" s="2156"/>
      <c r="R1254" s="2156"/>
      <c r="S1254" s="2156"/>
      <c r="T1254" s="2156"/>
      <c r="U1254" s="2156"/>
      <c r="V1254" s="2156"/>
      <c r="W1254" s="2156"/>
      <c r="X1254" s="2156"/>
      <c r="Y1254" s="2156"/>
      <c r="Z1254" s="2156"/>
      <c r="AA1254" s="2156"/>
      <c r="AB1254" s="2156"/>
      <c r="AC1254" s="1023">
        <v>0</v>
      </c>
      <c r="AD1254" s="1023">
        <v>0</v>
      </c>
      <c r="AE1254" s="1023">
        <v>0</v>
      </c>
      <c r="AF1254" s="1023">
        <v>0</v>
      </c>
      <c r="AG1254" s="1023">
        <v>0</v>
      </c>
      <c r="AH1254" s="1023">
        <v>0</v>
      </c>
      <c r="AI1254" s="1023">
        <v>0</v>
      </c>
    </row>
    <row r="1255" spans="1:35">
      <c r="A1255" s="990">
        <v>1042</v>
      </c>
      <c r="C1255" s="990" t="s">
        <v>1129</v>
      </c>
      <c r="D1255" s="9" t="s">
        <v>999</v>
      </c>
      <c r="E1255" s="1243">
        <v>1</v>
      </c>
      <c r="F1255" s="999"/>
      <c r="G1255" s="1000"/>
      <c r="H1255" s="999"/>
      <c r="I1255" s="1100"/>
      <c r="J1255" s="998"/>
      <c r="K1255" s="998"/>
      <c r="L1255" s="998"/>
      <c r="M1255" s="998" t="s">
        <v>835</v>
      </c>
      <c r="N1255" s="998"/>
      <c r="O1255" s="998"/>
      <c r="P1255" s="1109" t="s">
        <v>836</v>
      </c>
      <c r="Q1255" s="2156"/>
      <c r="R1255" s="2156"/>
      <c r="S1255" s="2156"/>
      <c r="T1255" s="2156"/>
      <c r="U1255" s="2156"/>
      <c r="V1255" s="2156"/>
      <c r="W1255" s="2156"/>
      <c r="X1255" s="2156"/>
      <c r="Y1255" s="2156"/>
      <c r="Z1255" s="2156"/>
      <c r="AA1255" s="2156"/>
      <c r="AB1255" s="2156"/>
      <c r="AC1255" s="1023">
        <v>0</v>
      </c>
      <c r="AD1255" s="1023">
        <v>0</v>
      </c>
      <c r="AE1255" s="1023">
        <v>0</v>
      </c>
      <c r="AF1255" s="1023">
        <v>0</v>
      </c>
      <c r="AG1255" s="1023">
        <v>0</v>
      </c>
      <c r="AH1255" s="1023">
        <v>0</v>
      </c>
      <c r="AI1255" s="1023">
        <v>0</v>
      </c>
    </row>
    <row r="1256" spans="1:35">
      <c r="A1256" s="990">
        <v>1043</v>
      </c>
      <c r="C1256" s="990" t="s">
        <v>1129</v>
      </c>
      <c r="D1256" s="9" t="s">
        <v>999</v>
      </c>
      <c r="E1256" s="1243">
        <v>1</v>
      </c>
      <c r="F1256" s="999"/>
      <c r="G1256" s="1000"/>
      <c r="H1256" s="999"/>
      <c r="I1256" s="1100"/>
      <c r="J1256" s="998"/>
      <c r="K1256" s="998"/>
      <c r="L1256" s="998"/>
      <c r="M1256" s="998" t="s">
        <v>837</v>
      </c>
      <c r="N1256" s="998"/>
      <c r="O1256" s="998"/>
      <c r="P1256" s="1109" t="s">
        <v>838</v>
      </c>
      <c r="Q1256" s="2156"/>
      <c r="R1256" s="2156"/>
      <c r="S1256" s="2156"/>
      <c r="T1256" s="2156"/>
      <c r="U1256" s="2156"/>
      <c r="V1256" s="2156"/>
      <c r="W1256" s="2156"/>
      <c r="X1256" s="2156"/>
      <c r="Y1256" s="2156"/>
      <c r="Z1256" s="2156"/>
      <c r="AA1256" s="2156"/>
      <c r="AB1256" s="2156"/>
      <c r="AC1256" s="1023">
        <v>0</v>
      </c>
      <c r="AD1256" s="1023">
        <v>0</v>
      </c>
      <c r="AE1256" s="1023">
        <v>0</v>
      </c>
      <c r="AF1256" s="1023">
        <v>0</v>
      </c>
      <c r="AG1256" s="1023">
        <v>0</v>
      </c>
      <c r="AH1256" s="1023">
        <v>0</v>
      </c>
      <c r="AI1256" s="1023">
        <v>0</v>
      </c>
    </row>
    <row r="1257" spans="1:35">
      <c r="A1257" s="990">
        <v>1044</v>
      </c>
      <c r="C1257" s="990" t="s">
        <v>1129</v>
      </c>
      <c r="D1257" s="9" t="s">
        <v>999</v>
      </c>
      <c r="E1257" s="1243">
        <v>1</v>
      </c>
      <c r="F1257" s="999"/>
      <c r="G1257" s="1000"/>
      <c r="H1257" s="999"/>
      <c r="I1257" s="1100"/>
      <c r="J1257" s="998"/>
      <c r="K1257" s="998"/>
      <c r="L1257" s="998"/>
      <c r="M1257" s="998" t="s">
        <v>839</v>
      </c>
      <c r="N1257" s="998"/>
      <c r="O1257" s="998"/>
      <c r="P1257" s="1109" t="s">
        <v>840</v>
      </c>
      <c r="Q1257" s="2156"/>
      <c r="R1257" s="2156"/>
      <c r="S1257" s="2156"/>
      <c r="T1257" s="2156"/>
      <c r="U1257" s="2156"/>
      <c r="V1257" s="2156"/>
      <c r="W1257" s="2156"/>
      <c r="X1257" s="2156"/>
      <c r="Y1257" s="2156"/>
      <c r="Z1257" s="2156"/>
      <c r="AA1257" s="2156"/>
      <c r="AB1257" s="2156"/>
      <c r="AC1257" s="1023">
        <v>0</v>
      </c>
      <c r="AD1257" s="1023">
        <v>0</v>
      </c>
      <c r="AE1257" s="1023">
        <v>0</v>
      </c>
      <c r="AF1257" s="1023">
        <v>0</v>
      </c>
      <c r="AG1257" s="1023">
        <v>0</v>
      </c>
      <c r="AH1257" s="1023">
        <v>0</v>
      </c>
      <c r="AI1257" s="1023">
        <v>0</v>
      </c>
    </row>
    <row r="1258" spans="1:35">
      <c r="A1258" s="990">
        <v>1045</v>
      </c>
      <c r="C1258" s="990" t="s">
        <v>1129</v>
      </c>
      <c r="D1258" s="9" t="s">
        <v>999</v>
      </c>
      <c r="E1258" s="1243">
        <v>1</v>
      </c>
      <c r="F1258" s="999"/>
      <c r="G1258" s="1000"/>
      <c r="H1258" s="999"/>
      <c r="I1258" s="1100"/>
      <c r="J1258" s="998"/>
      <c r="K1258" s="998"/>
      <c r="L1258" s="998"/>
      <c r="M1258" s="998" t="s">
        <v>841</v>
      </c>
      <c r="N1258" s="998"/>
      <c r="O1258" s="998"/>
      <c r="P1258" s="1109" t="s">
        <v>842</v>
      </c>
      <c r="Q1258" s="2156"/>
      <c r="R1258" s="2156"/>
      <c r="S1258" s="2156"/>
      <c r="T1258" s="2156"/>
      <c r="U1258" s="2156"/>
      <c r="V1258" s="2156"/>
      <c r="W1258" s="2156"/>
      <c r="X1258" s="2156"/>
      <c r="Y1258" s="2156"/>
      <c r="Z1258" s="2156"/>
      <c r="AA1258" s="2156"/>
      <c r="AB1258" s="2156"/>
      <c r="AC1258" s="1023">
        <v>0</v>
      </c>
      <c r="AD1258" s="1023">
        <v>0</v>
      </c>
      <c r="AE1258" s="1023">
        <v>0</v>
      </c>
      <c r="AF1258" s="1023">
        <v>0</v>
      </c>
      <c r="AG1258" s="1023">
        <v>0</v>
      </c>
      <c r="AH1258" s="1023">
        <v>0</v>
      </c>
      <c r="AI1258" s="1023">
        <v>0</v>
      </c>
    </row>
    <row r="1259" spans="1:35">
      <c r="A1259" s="990">
        <v>1046</v>
      </c>
      <c r="C1259" s="990" t="s">
        <v>1129</v>
      </c>
      <c r="D1259" s="9" t="s">
        <v>999</v>
      </c>
      <c r="E1259" s="1243">
        <v>1</v>
      </c>
      <c r="F1259" s="999"/>
      <c r="G1259" s="1000"/>
      <c r="H1259" s="999"/>
      <c r="I1259" s="1098"/>
      <c r="J1259" s="998"/>
      <c r="K1259" s="998"/>
      <c r="L1259" s="998"/>
      <c r="M1259" s="998" t="s">
        <v>843</v>
      </c>
      <c r="N1259" s="998"/>
      <c r="O1259" s="998"/>
      <c r="P1259" s="1109" t="s">
        <v>844</v>
      </c>
      <c r="Q1259" s="2156"/>
      <c r="R1259" s="2156"/>
      <c r="S1259" s="2156"/>
      <c r="T1259" s="2156"/>
      <c r="U1259" s="2156"/>
      <c r="V1259" s="2156"/>
      <c r="W1259" s="2156"/>
      <c r="X1259" s="2156"/>
      <c r="Y1259" s="2156"/>
      <c r="Z1259" s="2156"/>
      <c r="AA1259" s="2156"/>
      <c r="AB1259" s="2156"/>
      <c r="AC1259" s="1023">
        <v>0</v>
      </c>
      <c r="AD1259" s="1023">
        <v>0</v>
      </c>
      <c r="AE1259" s="1023">
        <v>0</v>
      </c>
      <c r="AF1259" s="1023">
        <v>0</v>
      </c>
      <c r="AG1259" s="1023">
        <v>0</v>
      </c>
      <c r="AH1259" s="1023">
        <v>0</v>
      </c>
      <c r="AI1259" s="1023">
        <v>0</v>
      </c>
    </row>
    <row r="1260" spans="1:35">
      <c r="A1260" s="990">
        <v>1047</v>
      </c>
      <c r="C1260" s="990" t="s">
        <v>1129</v>
      </c>
      <c r="D1260" s="9" t="s">
        <v>999</v>
      </c>
      <c r="E1260" s="1243">
        <v>1</v>
      </c>
      <c r="F1260" s="999"/>
      <c r="G1260" s="1000"/>
      <c r="H1260" s="999"/>
      <c r="I1260" s="1098"/>
      <c r="J1260" s="998"/>
      <c r="K1260" s="998"/>
      <c r="L1260" s="998"/>
      <c r="M1260" s="998" t="s">
        <v>845</v>
      </c>
      <c r="N1260" s="998"/>
      <c r="O1260" s="998"/>
      <c r="P1260" s="1109" t="s">
        <v>846</v>
      </c>
      <c r="Q1260" s="2156"/>
      <c r="R1260" s="2156"/>
      <c r="S1260" s="2156"/>
      <c r="T1260" s="2156"/>
      <c r="U1260" s="2156"/>
      <c r="V1260" s="2156"/>
      <c r="W1260" s="2156"/>
      <c r="X1260" s="2156"/>
      <c r="Y1260" s="2156"/>
      <c r="Z1260" s="2156"/>
      <c r="AA1260" s="2156"/>
      <c r="AB1260" s="2156"/>
      <c r="AC1260" s="1023">
        <v>0</v>
      </c>
      <c r="AD1260" s="1023">
        <v>0</v>
      </c>
      <c r="AE1260" s="1023">
        <v>0</v>
      </c>
      <c r="AF1260" s="1023">
        <v>0</v>
      </c>
      <c r="AG1260" s="1023">
        <v>0</v>
      </c>
      <c r="AH1260" s="1023">
        <v>0</v>
      </c>
      <c r="AI1260" s="1023">
        <v>0</v>
      </c>
    </row>
    <row r="1261" spans="1:35">
      <c r="A1261" s="990">
        <v>1048</v>
      </c>
      <c r="C1261" s="990" t="s">
        <v>1129</v>
      </c>
      <c r="D1261" s="9" t="s">
        <v>999</v>
      </c>
      <c r="E1261" s="1243">
        <v>1</v>
      </c>
      <c r="F1261" s="999"/>
      <c r="G1261" s="1000"/>
      <c r="H1261" s="999"/>
      <c r="I1261" s="1098"/>
      <c r="J1261" s="1104" t="s">
        <v>1042</v>
      </c>
      <c r="K1261" s="1105"/>
      <c r="L1261" s="1105"/>
      <c r="M1261" s="1105" t="s">
        <v>847</v>
      </c>
      <c r="N1261" s="1105"/>
      <c r="O1261" s="1105"/>
      <c r="P1261" s="1105" t="s">
        <v>847</v>
      </c>
      <c r="Q1261" s="2154"/>
      <c r="R1261" s="2154"/>
      <c r="S1261" s="2154"/>
      <c r="T1261" s="2154"/>
      <c r="U1261" s="2154"/>
      <c r="V1261" s="2154"/>
      <c r="W1261" s="2154"/>
      <c r="X1261" s="2154"/>
      <c r="Y1261" s="2154"/>
      <c r="Z1261" s="2154"/>
      <c r="AA1261" s="2154"/>
      <c r="AB1261" s="2154"/>
      <c r="AC1261" s="1107">
        <v>0</v>
      </c>
      <c r="AD1261" s="1107">
        <v>0</v>
      </c>
      <c r="AE1261" s="1107">
        <v>0</v>
      </c>
      <c r="AF1261" s="1107">
        <v>0</v>
      </c>
      <c r="AG1261" s="1107">
        <v>0</v>
      </c>
      <c r="AH1261" s="1107">
        <v>0</v>
      </c>
      <c r="AI1261" s="1107">
        <v>0</v>
      </c>
    </row>
    <row r="1262" spans="1:35">
      <c r="A1262" s="990">
        <v>1049</v>
      </c>
      <c r="C1262" s="990" t="s">
        <v>1129</v>
      </c>
      <c r="D1262" s="9" t="s">
        <v>999</v>
      </c>
      <c r="E1262" s="1243">
        <v>1</v>
      </c>
      <c r="F1262" s="999"/>
      <c r="G1262" s="1000"/>
      <c r="H1262" s="999"/>
      <c r="I1262" s="1100"/>
      <c r="J1262" s="998"/>
      <c r="K1262" s="998"/>
      <c r="L1262" s="998"/>
      <c r="M1262" s="998" t="s">
        <v>848</v>
      </c>
      <c r="N1262" s="998"/>
      <c r="O1262" s="998"/>
      <c r="P1262" s="1109" t="s">
        <v>849</v>
      </c>
      <c r="Q1262" s="2156"/>
      <c r="R1262" s="2156"/>
      <c r="S1262" s="2156"/>
      <c r="T1262" s="2156"/>
      <c r="U1262" s="2156"/>
      <c r="V1262" s="2156"/>
      <c r="W1262" s="2156"/>
      <c r="X1262" s="2156"/>
      <c r="Y1262" s="2156"/>
      <c r="Z1262" s="2156"/>
      <c r="AA1262" s="2156"/>
      <c r="AB1262" s="2156"/>
      <c r="AC1262" s="1023">
        <v>0</v>
      </c>
      <c r="AD1262" s="1023">
        <v>0</v>
      </c>
      <c r="AE1262" s="1023">
        <v>0</v>
      </c>
      <c r="AF1262" s="1023">
        <v>0</v>
      </c>
      <c r="AG1262" s="1023">
        <v>0</v>
      </c>
      <c r="AH1262" s="1023">
        <v>0</v>
      </c>
      <c r="AI1262" s="1023">
        <v>0</v>
      </c>
    </row>
    <row r="1263" spans="1:35">
      <c r="A1263" s="990">
        <v>1050</v>
      </c>
      <c r="C1263" s="990" t="s">
        <v>1129</v>
      </c>
      <c r="D1263" s="9" t="s">
        <v>999</v>
      </c>
      <c r="E1263" s="1243">
        <v>1</v>
      </c>
      <c r="F1263" s="999"/>
      <c r="G1263" s="1000"/>
      <c r="H1263" s="999"/>
      <c r="I1263" s="1100"/>
      <c r="J1263" s="1101"/>
      <c r="K1263" s="1101"/>
      <c r="L1263" s="1101"/>
      <c r="M1263" s="1101" t="s">
        <v>850</v>
      </c>
      <c r="N1263" s="1101"/>
      <c r="O1263" s="1101"/>
      <c r="P1263" s="1102" t="s">
        <v>851</v>
      </c>
      <c r="Q1263" s="2153"/>
      <c r="R1263" s="2153"/>
      <c r="S1263" s="2153"/>
      <c r="T1263" s="2153"/>
      <c r="U1263" s="2153"/>
      <c r="V1263" s="2153"/>
      <c r="W1263" s="2153"/>
      <c r="X1263" s="2153"/>
      <c r="Y1263" s="2153"/>
      <c r="Z1263" s="2153"/>
      <c r="AA1263" s="2153"/>
      <c r="AB1263" s="2153"/>
      <c r="AC1263" s="1103">
        <v>0</v>
      </c>
      <c r="AD1263" s="1103">
        <v>0</v>
      </c>
      <c r="AE1263" s="1103">
        <v>0</v>
      </c>
      <c r="AF1263" s="1103">
        <v>0</v>
      </c>
      <c r="AG1263" s="1103">
        <v>0</v>
      </c>
      <c r="AH1263" s="1103">
        <v>0</v>
      </c>
      <c r="AI1263" s="1103">
        <v>0</v>
      </c>
    </row>
    <row r="1264" spans="1:35">
      <c r="A1264" s="990">
        <v>1051</v>
      </c>
      <c r="C1264" s="990" t="s">
        <v>1129</v>
      </c>
      <c r="D1264" s="9" t="s">
        <v>999</v>
      </c>
      <c r="E1264" s="1243">
        <v>1</v>
      </c>
      <c r="F1264" s="999"/>
      <c r="G1264" s="1000"/>
      <c r="H1264" s="999"/>
      <c r="I1264" s="1098"/>
      <c r="J1264" s="999" t="s">
        <v>852</v>
      </c>
      <c r="K1264" s="998"/>
      <c r="L1264" s="998"/>
      <c r="M1264" s="1109" t="s">
        <v>853</v>
      </c>
      <c r="N1264" s="998"/>
      <c r="O1264" s="998"/>
      <c r="P1264" s="1109" t="s">
        <v>854</v>
      </c>
      <c r="Q1264" s="2156"/>
      <c r="R1264" s="2156"/>
      <c r="S1264" s="2156"/>
      <c r="T1264" s="2156"/>
      <c r="U1264" s="2156"/>
      <c r="V1264" s="2156"/>
      <c r="W1264" s="2156"/>
      <c r="X1264" s="2156"/>
      <c r="Y1264" s="2156"/>
      <c r="Z1264" s="2156"/>
      <c r="AA1264" s="2156"/>
      <c r="AB1264" s="2156"/>
      <c r="AC1264" s="1023">
        <v>0</v>
      </c>
      <c r="AD1264" s="1023">
        <v>0</v>
      </c>
      <c r="AE1264" s="1023">
        <v>0</v>
      </c>
      <c r="AF1264" s="1023">
        <v>0</v>
      </c>
      <c r="AG1264" s="1023">
        <v>0</v>
      </c>
      <c r="AH1264" s="1023">
        <v>0</v>
      </c>
      <c r="AI1264" s="1023">
        <v>0</v>
      </c>
    </row>
    <row r="1265" spans="1:35">
      <c r="A1265" s="990">
        <v>1052</v>
      </c>
      <c r="C1265" s="990" t="s">
        <v>1129</v>
      </c>
      <c r="D1265" s="9" t="s">
        <v>999</v>
      </c>
      <c r="E1265" s="1243">
        <v>1</v>
      </c>
      <c r="F1265" s="999"/>
      <c r="G1265" s="1000"/>
      <c r="H1265" s="999"/>
      <c r="I1265" s="1098"/>
      <c r="J1265" s="998"/>
      <c r="K1265" s="998"/>
      <c r="L1265" s="998"/>
      <c r="M1265" s="1109" t="s">
        <v>855</v>
      </c>
      <c r="N1265" s="998"/>
      <c r="O1265" s="998"/>
      <c r="P1265" s="1109" t="s">
        <v>856</v>
      </c>
      <c r="Q1265" s="2156"/>
      <c r="R1265" s="2156"/>
      <c r="S1265" s="2156"/>
      <c r="T1265" s="2156"/>
      <c r="U1265" s="2156"/>
      <c r="V1265" s="2156"/>
      <c r="W1265" s="2156"/>
      <c r="X1265" s="2156"/>
      <c r="Y1265" s="2156"/>
      <c r="Z1265" s="2156"/>
      <c r="AA1265" s="2156"/>
      <c r="AB1265" s="2156"/>
      <c r="AC1265" s="1023">
        <v>0</v>
      </c>
      <c r="AD1265" s="1023">
        <v>0</v>
      </c>
      <c r="AE1265" s="1023">
        <v>0</v>
      </c>
      <c r="AF1265" s="1023">
        <v>0</v>
      </c>
      <c r="AG1265" s="1023">
        <v>0</v>
      </c>
      <c r="AH1265" s="1023">
        <v>0</v>
      </c>
      <c r="AI1265" s="1023">
        <v>0</v>
      </c>
    </row>
    <row r="1266" spans="1:35">
      <c r="A1266" s="990">
        <v>1053</v>
      </c>
      <c r="C1266" s="990" t="s">
        <v>1129</v>
      </c>
      <c r="D1266" s="9" t="s">
        <v>999</v>
      </c>
      <c r="E1266" s="1243">
        <v>1</v>
      </c>
      <c r="F1266" s="999"/>
      <c r="G1266" s="1000"/>
      <c r="H1266" s="999"/>
      <c r="I1266" s="1098"/>
      <c r="J1266" s="998"/>
      <c r="K1266" s="998"/>
      <c r="L1266" s="998"/>
      <c r="M1266" s="1109" t="s">
        <v>857</v>
      </c>
      <c r="N1266" s="998"/>
      <c r="O1266" s="998"/>
      <c r="P1266" s="1109" t="s">
        <v>858</v>
      </c>
      <c r="Q1266" s="2156"/>
      <c r="R1266" s="2156"/>
      <c r="S1266" s="2156"/>
      <c r="T1266" s="2156"/>
      <c r="U1266" s="2156"/>
      <c r="V1266" s="2156"/>
      <c r="W1266" s="2156"/>
      <c r="X1266" s="2156"/>
      <c r="Y1266" s="2156"/>
      <c r="Z1266" s="2156"/>
      <c r="AA1266" s="2156"/>
      <c r="AB1266" s="2156"/>
      <c r="AC1266" s="1023">
        <v>0</v>
      </c>
      <c r="AD1266" s="1023">
        <v>0</v>
      </c>
      <c r="AE1266" s="1023">
        <v>0</v>
      </c>
      <c r="AF1266" s="1023">
        <v>0</v>
      </c>
      <c r="AG1266" s="1023">
        <v>0</v>
      </c>
      <c r="AH1266" s="1023">
        <v>0</v>
      </c>
      <c r="AI1266" s="1023">
        <v>0</v>
      </c>
    </row>
    <row r="1267" spans="1:35">
      <c r="A1267" s="990">
        <v>1054</v>
      </c>
      <c r="C1267" s="990" t="s">
        <v>1129</v>
      </c>
      <c r="D1267" s="9" t="s">
        <v>999</v>
      </c>
      <c r="E1267" s="1243">
        <v>1</v>
      </c>
      <c r="F1267" s="999"/>
      <c r="G1267" s="1000"/>
      <c r="H1267" s="999"/>
      <c r="I1267" s="1098"/>
      <c r="J1267" s="998"/>
      <c r="K1267" s="998"/>
      <c r="L1267" s="998"/>
      <c r="M1267" s="1109" t="s">
        <v>859</v>
      </c>
      <c r="N1267" s="998"/>
      <c r="O1267" s="998"/>
      <c r="P1267" s="1109" t="s">
        <v>860</v>
      </c>
      <c r="Q1267" s="2156"/>
      <c r="R1267" s="2156"/>
      <c r="S1267" s="2156"/>
      <c r="T1267" s="2156"/>
      <c r="U1267" s="2156"/>
      <c r="V1267" s="2156"/>
      <c r="W1267" s="2156"/>
      <c r="X1267" s="2156"/>
      <c r="Y1267" s="2156"/>
      <c r="Z1267" s="2156"/>
      <c r="AA1267" s="2156"/>
      <c r="AB1267" s="2156"/>
      <c r="AC1267" s="1023">
        <v>0</v>
      </c>
      <c r="AD1267" s="1023">
        <v>0</v>
      </c>
      <c r="AE1267" s="1023">
        <v>0</v>
      </c>
      <c r="AF1267" s="1023">
        <v>0</v>
      </c>
      <c r="AG1267" s="1023">
        <v>0</v>
      </c>
      <c r="AH1267" s="1023">
        <v>0</v>
      </c>
      <c r="AI1267" s="1023">
        <v>0</v>
      </c>
    </row>
    <row r="1268" spans="1:35">
      <c r="A1268" s="990">
        <v>1055</v>
      </c>
      <c r="C1268" s="990" t="s">
        <v>1129</v>
      </c>
      <c r="D1268" s="9" t="s">
        <v>999</v>
      </c>
      <c r="E1268" s="1243">
        <v>1</v>
      </c>
      <c r="F1268" s="999"/>
      <c r="G1268" s="1000"/>
      <c r="H1268" s="999"/>
      <c r="I1268" s="1098"/>
      <c r="J1268" s="998"/>
      <c r="K1268" s="998"/>
      <c r="L1268" s="998"/>
      <c r="M1268" s="1109" t="s">
        <v>861</v>
      </c>
      <c r="N1268" s="998"/>
      <c r="O1268" s="998"/>
      <c r="P1268" s="1109" t="s">
        <v>862</v>
      </c>
      <c r="Q1268" s="2156"/>
      <c r="R1268" s="2156"/>
      <c r="S1268" s="2156"/>
      <c r="T1268" s="2156"/>
      <c r="U1268" s="2156"/>
      <c r="V1268" s="2156"/>
      <c r="W1268" s="2156"/>
      <c r="X1268" s="2156"/>
      <c r="Y1268" s="2156"/>
      <c r="Z1268" s="2156"/>
      <c r="AA1268" s="2156"/>
      <c r="AB1268" s="2156"/>
      <c r="AC1268" s="1023">
        <v>0</v>
      </c>
      <c r="AD1268" s="1023">
        <v>0</v>
      </c>
      <c r="AE1268" s="1023">
        <v>0</v>
      </c>
      <c r="AF1268" s="1023">
        <v>0</v>
      </c>
      <c r="AG1268" s="1023">
        <v>0</v>
      </c>
      <c r="AH1268" s="1023">
        <v>0</v>
      </c>
      <c r="AI1268" s="1023">
        <v>0</v>
      </c>
    </row>
    <row r="1269" spans="1:35">
      <c r="A1269" s="990">
        <v>1056</v>
      </c>
      <c r="C1269" s="990" t="s">
        <v>1129</v>
      </c>
      <c r="D1269" s="9" t="s">
        <v>999</v>
      </c>
      <c r="E1269" s="1243">
        <v>1</v>
      </c>
      <c r="F1269" s="999"/>
      <c r="G1269" s="1000"/>
      <c r="H1269" s="999"/>
      <c r="I1269" s="1098"/>
      <c r="J1269" s="1101"/>
      <c r="K1269" s="1101"/>
      <c r="L1269" s="1101"/>
      <c r="M1269" s="1101" t="s">
        <v>11</v>
      </c>
      <c r="N1269" s="1101"/>
      <c r="O1269" s="1101"/>
      <c r="P1269" s="1102"/>
      <c r="Q1269" s="2153"/>
      <c r="R1269" s="2153"/>
      <c r="S1269" s="2153"/>
      <c r="T1269" s="2153"/>
      <c r="U1269" s="2153"/>
      <c r="V1269" s="2153"/>
      <c r="W1269" s="2153"/>
      <c r="X1269" s="2153"/>
      <c r="Y1269" s="2153"/>
      <c r="Z1269" s="2153"/>
      <c r="AA1269" s="2153"/>
      <c r="AB1269" s="2153"/>
      <c r="AC1269" s="1103">
        <v>0</v>
      </c>
      <c r="AD1269" s="1103">
        <v>0</v>
      </c>
      <c r="AE1269" s="1103">
        <v>0</v>
      </c>
      <c r="AF1269" s="1103">
        <v>0</v>
      </c>
      <c r="AG1269" s="1103">
        <v>0</v>
      </c>
      <c r="AH1269" s="1103">
        <v>0</v>
      </c>
      <c r="AI1269" s="1103">
        <v>0</v>
      </c>
    </row>
    <row r="1270" spans="1:35">
      <c r="A1270" s="990">
        <v>1057</v>
      </c>
      <c r="C1270" s="990" t="s">
        <v>1129</v>
      </c>
      <c r="D1270" s="9" t="s">
        <v>999</v>
      </c>
      <c r="E1270" s="1243">
        <v>1</v>
      </c>
      <c r="F1270" s="999"/>
      <c r="G1270" s="1000"/>
      <c r="H1270" s="999"/>
      <c r="I1270" s="1110"/>
      <c r="J1270" s="1111" t="s">
        <v>11</v>
      </c>
      <c r="K1270" s="1111"/>
      <c r="L1270" s="1111"/>
      <c r="M1270" s="1111"/>
      <c r="N1270" s="1111"/>
      <c r="O1270" s="1111"/>
      <c r="P1270" s="1112"/>
      <c r="Q1270" s="2157"/>
      <c r="R1270" s="2157"/>
      <c r="S1270" s="2157"/>
      <c r="T1270" s="2157"/>
      <c r="U1270" s="2157"/>
      <c r="V1270" s="2157"/>
      <c r="W1270" s="2157"/>
      <c r="X1270" s="2157"/>
      <c r="Y1270" s="2157"/>
      <c r="Z1270" s="2157"/>
      <c r="AA1270" s="2157"/>
      <c r="AB1270" s="2157"/>
      <c r="AC1270" s="1113">
        <v>0</v>
      </c>
      <c r="AD1270" s="1113">
        <v>0</v>
      </c>
      <c r="AE1270" s="1113">
        <v>0</v>
      </c>
      <c r="AF1270" s="1113">
        <v>0</v>
      </c>
      <c r="AG1270" s="1113">
        <v>0</v>
      </c>
      <c r="AH1270" s="1113">
        <v>0</v>
      </c>
      <c r="AI1270" s="1113">
        <v>0</v>
      </c>
    </row>
    <row r="1271" spans="1:35">
      <c r="A1271" s="990">
        <v>1058</v>
      </c>
      <c r="C1271" s="990" t="s">
        <v>1129</v>
      </c>
      <c r="D1271" s="9" t="s">
        <v>999</v>
      </c>
      <c r="E1271" s="1243">
        <v>1</v>
      </c>
    </row>
    <row r="1272" spans="1:35" ht="15.5">
      <c r="A1272" s="990">
        <v>1</v>
      </c>
      <c r="B1272" s="990">
        <v>1</v>
      </c>
      <c r="C1272" s="990" t="s">
        <v>1129</v>
      </c>
      <c r="D1272" s="9" t="s">
        <v>999</v>
      </c>
      <c r="E1272" s="1463" t="s">
        <v>1521</v>
      </c>
      <c r="F1272" s="1459"/>
      <c r="G1272" s="1077" t="s">
        <v>1320</v>
      </c>
      <c r="I1272" s="1585"/>
      <c r="J1272" s="1585"/>
      <c r="K1272" s="1585"/>
      <c r="P1272" s="1595" t="s">
        <v>1601</v>
      </c>
    </row>
    <row r="1273" spans="1:35" ht="14.5">
      <c r="A1273" s="990">
        <v>1</v>
      </c>
      <c r="B1273" s="990">
        <v>1</v>
      </c>
      <c r="C1273" s="990" t="s">
        <v>1129</v>
      </c>
      <c r="D1273" s="9" t="s">
        <v>999</v>
      </c>
      <c r="E1273" s="1463" t="s">
        <v>1521</v>
      </c>
      <c r="F1273" s="1459"/>
      <c r="I1273" s="2738"/>
      <c r="J1273" s="2739"/>
      <c r="K1273" s="2739"/>
      <c r="L1273" s="2739"/>
      <c r="M1273" s="2739"/>
      <c r="N1273" s="2739"/>
      <c r="O1273" s="2739"/>
      <c r="P1273" s="2739"/>
      <c r="Q1273" s="2245" t="s">
        <v>1602</v>
      </c>
      <c r="R1273" s="2245" t="s">
        <v>1603</v>
      </c>
      <c r="S1273" s="2245" t="s">
        <v>1604</v>
      </c>
      <c r="T1273" s="2245" t="s">
        <v>1605</v>
      </c>
      <c r="U1273" s="2245" t="s">
        <v>1606</v>
      </c>
      <c r="V1273" s="2249" t="s">
        <v>1607</v>
      </c>
      <c r="W1273" s="2245" t="s">
        <v>1608</v>
      </c>
      <c r="X1273" s="2245" t="s">
        <v>1609</v>
      </c>
      <c r="Y1273" s="2245" t="s">
        <v>1610</v>
      </c>
      <c r="Z1273" s="2245" t="s">
        <v>1611</v>
      </c>
      <c r="AA1273" s="2245" t="s">
        <v>1612</v>
      </c>
      <c r="AB1273" s="2245" t="s">
        <v>1613</v>
      </c>
    </row>
    <row r="1274" spans="1:35" ht="14.5">
      <c r="A1274" s="990">
        <v>1</v>
      </c>
      <c r="B1274" s="990">
        <v>1</v>
      </c>
      <c r="C1274" s="990" t="s">
        <v>1129</v>
      </c>
      <c r="D1274" s="9" t="s">
        <v>999</v>
      </c>
      <c r="E1274" s="1463" t="s">
        <v>1521</v>
      </c>
      <c r="F1274" s="1459"/>
      <c r="I1274" s="1588" t="s">
        <v>1614</v>
      </c>
      <c r="J1274" s="1594"/>
      <c r="K1274" s="1594"/>
      <c r="L1274" s="1594"/>
      <c r="M1274" s="1589" t="s">
        <v>1130</v>
      </c>
      <c r="N1274" s="1589"/>
      <c r="O1274" s="1589"/>
      <c r="P1274" s="1589"/>
      <c r="Q1274" s="2246">
        <v>0</v>
      </c>
      <c r="R1274" s="2246">
        <v>0</v>
      </c>
      <c r="S1274" s="2246">
        <v>0</v>
      </c>
      <c r="T1274" s="2246">
        <v>0</v>
      </c>
      <c r="U1274" s="2246">
        <v>0</v>
      </c>
      <c r="V1274" s="2246">
        <v>0</v>
      </c>
      <c r="W1274" s="2246">
        <v>0</v>
      </c>
      <c r="X1274" s="2246">
        <v>0</v>
      </c>
      <c r="Y1274" s="2246">
        <v>0</v>
      </c>
      <c r="Z1274" s="2246">
        <v>0</v>
      </c>
      <c r="AA1274" s="2246">
        <v>0</v>
      </c>
      <c r="AB1274" s="2246">
        <v>0</v>
      </c>
    </row>
    <row r="1275" spans="1:35" ht="14.5">
      <c r="A1275" s="990">
        <v>1</v>
      </c>
      <c r="B1275" s="990">
        <v>1</v>
      </c>
      <c r="C1275" s="990" t="s">
        <v>1129</v>
      </c>
      <c r="D1275" s="9" t="s">
        <v>999</v>
      </c>
      <c r="E1275" s="1463" t="s">
        <v>1521</v>
      </c>
      <c r="F1275" s="1459"/>
      <c r="I1275" s="1588"/>
      <c r="J1275" s="1590"/>
      <c r="K1275" s="1590"/>
      <c r="L1275" s="1590"/>
      <c r="M1275" s="1590" t="s">
        <v>137</v>
      </c>
      <c r="N1275" s="1590"/>
      <c r="O1275" s="1590"/>
      <c r="P1275" s="1590"/>
      <c r="Q1275" s="2250">
        <v>0</v>
      </c>
      <c r="R1275" s="2247">
        <v>0</v>
      </c>
      <c r="S1275" s="2247">
        <v>0</v>
      </c>
      <c r="T1275" s="2247">
        <v>0</v>
      </c>
      <c r="U1275" s="2247">
        <v>0</v>
      </c>
      <c r="V1275" s="2247">
        <v>0</v>
      </c>
      <c r="W1275" s="2247">
        <v>0</v>
      </c>
      <c r="X1275" s="2247">
        <v>0</v>
      </c>
      <c r="Y1275" s="2247">
        <v>0</v>
      </c>
      <c r="Z1275" s="2247">
        <v>0</v>
      </c>
      <c r="AA1275" s="2247">
        <v>0</v>
      </c>
      <c r="AB1275" s="2247">
        <v>0</v>
      </c>
    </row>
    <row r="1276" spans="1:35" ht="14.5">
      <c r="A1276" s="990">
        <v>1</v>
      </c>
      <c r="B1276" s="990">
        <v>1</v>
      </c>
      <c r="C1276" s="990" t="s">
        <v>1129</v>
      </c>
      <c r="D1276" s="9" t="s">
        <v>999</v>
      </c>
      <c r="E1276" s="1463" t="s">
        <v>1521</v>
      </c>
      <c r="F1276" s="1459"/>
      <c r="I1276" s="1588"/>
      <c r="J1276" s="1590"/>
      <c r="K1276" s="1590"/>
      <c r="L1276" s="1590"/>
      <c r="M1276" s="1590" t="s">
        <v>95</v>
      </c>
      <c r="N1276" s="1590"/>
      <c r="O1276" s="1590"/>
      <c r="P1276" s="1590"/>
      <c r="Q1276" s="2250">
        <v>0</v>
      </c>
      <c r="R1276" s="2247">
        <v>0</v>
      </c>
      <c r="S1276" s="2247">
        <v>0</v>
      </c>
      <c r="T1276" s="2247">
        <v>0</v>
      </c>
      <c r="U1276" s="2247">
        <v>0</v>
      </c>
      <c r="V1276" s="2247">
        <v>0</v>
      </c>
      <c r="W1276" s="2247">
        <v>0</v>
      </c>
      <c r="X1276" s="2247">
        <v>0</v>
      </c>
      <c r="Y1276" s="2247">
        <v>0</v>
      </c>
      <c r="Z1276" s="2247">
        <v>0</v>
      </c>
      <c r="AA1276" s="2247">
        <v>0</v>
      </c>
      <c r="AB1276" s="2247">
        <v>0</v>
      </c>
    </row>
    <row r="1277" spans="1:35" ht="14.5">
      <c r="A1277" s="990">
        <v>1</v>
      </c>
      <c r="B1277" s="990">
        <v>1</v>
      </c>
      <c r="C1277" s="990" t="s">
        <v>1129</v>
      </c>
      <c r="D1277" s="9" t="s">
        <v>999</v>
      </c>
      <c r="E1277" s="1463" t="s">
        <v>1521</v>
      </c>
      <c r="F1277" s="1459"/>
      <c r="I1277" s="1591"/>
      <c r="J1277" s="1592"/>
      <c r="K1277" s="1592"/>
      <c r="L1277" s="1592"/>
      <c r="M1277" s="1592" t="s">
        <v>11</v>
      </c>
      <c r="N1277" s="1590"/>
      <c r="O1277" s="1590"/>
      <c r="P1277" s="1590"/>
      <c r="Q1277" s="2250">
        <v>0</v>
      </c>
      <c r="R1277" s="2247">
        <v>0</v>
      </c>
      <c r="S1277" s="2247">
        <v>0</v>
      </c>
      <c r="T1277" s="2247">
        <v>0</v>
      </c>
      <c r="U1277" s="2247">
        <v>0</v>
      </c>
      <c r="V1277" s="2247">
        <v>0</v>
      </c>
      <c r="W1277" s="2247">
        <v>0</v>
      </c>
      <c r="X1277" s="2247">
        <v>0</v>
      </c>
      <c r="Y1277" s="2247">
        <v>0</v>
      </c>
      <c r="Z1277" s="2247">
        <v>0</v>
      </c>
      <c r="AA1277" s="2247">
        <v>0</v>
      </c>
      <c r="AB1277" s="2247">
        <v>0</v>
      </c>
    </row>
    <row r="1278" spans="1:35" ht="14.5">
      <c r="A1278" s="990">
        <v>1</v>
      </c>
      <c r="B1278" s="990">
        <v>1</v>
      </c>
      <c r="C1278" s="990" t="s">
        <v>1129</v>
      </c>
      <c r="D1278" s="9" t="s">
        <v>999</v>
      </c>
      <c r="E1278" s="1463" t="s">
        <v>1521</v>
      </c>
      <c r="F1278" s="1459"/>
      <c r="I1278" s="1588" t="s">
        <v>677</v>
      </c>
      <c r="J1278" s="1594"/>
      <c r="K1278" s="1594"/>
      <c r="L1278" s="1594"/>
      <c r="M1278" s="1589" t="s">
        <v>1130</v>
      </c>
      <c r="N1278" s="1589"/>
      <c r="O1278" s="1589"/>
      <c r="P1278" s="1589"/>
      <c r="Q1278" s="2248">
        <v>0</v>
      </c>
      <c r="R1278" s="2248">
        <v>0</v>
      </c>
      <c r="S1278" s="2248">
        <v>0</v>
      </c>
      <c r="T1278" s="2248">
        <v>0</v>
      </c>
      <c r="U1278" s="2248">
        <v>0</v>
      </c>
      <c r="V1278" s="2248">
        <v>0</v>
      </c>
      <c r="W1278" s="2248">
        <v>0</v>
      </c>
      <c r="X1278" s="2248">
        <v>0</v>
      </c>
      <c r="Y1278" s="2248">
        <v>0</v>
      </c>
      <c r="Z1278" s="2248">
        <v>0</v>
      </c>
      <c r="AA1278" s="2248">
        <v>0</v>
      </c>
      <c r="AB1278" s="2248">
        <v>0</v>
      </c>
    </row>
    <row r="1279" spans="1:35" ht="14.5">
      <c r="A1279" s="990">
        <v>1</v>
      </c>
      <c r="B1279" s="990">
        <v>1</v>
      </c>
      <c r="C1279" s="990" t="s">
        <v>1129</v>
      </c>
      <c r="D1279" s="9" t="s">
        <v>999</v>
      </c>
      <c r="E1279" s="1463" t="s">
        <v>1521</v>
      </c>
      <c r="F1279" s="1459"/>
      <c r="I1279" s="1588"/>
      <c r="J1279" s="1590"/>
      <c r="K1279" s="1590"/>
      <c r="L1279" s="1590"/>
      <c r="M1279" s="1590" t="s">
        <v>137</v>
      </c>
      <c r="N1279" s="1590"/>
      <c r="O1279" s="1590"/>
      <c r="P1279" s="1590"/>
      <c r="Q1279" s="2277"/>
      <c r="R1279" s="2278"/>
      <c r="S1279" s="2278"/>
      <c r="T1279" s="2278"/>
      <c r="U1279" s="2278"/>
      <c r="V1279" s="2278"/>
      <c r="W1279" s="2278"/>
      <c r="X1279" s="2278"/>
      <c r="Y1279" s="2278"/>
      <c r="Z1279" s="2278"/>
      <c r="AA1279" s="2278"/>
      <c r="AB1279" s="2278"/>
    </row>
    <row r="1280" spans="1:35" ht="14.5">
      <c r="A1280" s="990">
        <v>1</v>
      </c>
      <c r="B1280" s="990">
        <v>1</v>
      </c>
      <c r="C1280" s="990" t="s">
        <v>1129</v>
      </c>
      <c r="D1280" s="9" t="s">
        <v>999</v>
      </c>
      <c r="E1280" s="1463" t="s">
        <v>1521</v>
      </c>
      <c r="F1280" s="1459"/>
      <c r="I1280" s="1588"/>
      <c r="J1280" s="1590"/>
      <c r="K1280" s="1590"/>
      <c r="L1280" s="1590"/>
      <c r="M1280" s="1590" t="s">
        <v>95</v>
      </c>
      <c r="N1280" s="1590"/>
      <c r="O1280" s="1590"/>
      <c r="P1280" s="1590"/>
      <c r="Q1280" s="2277"/>
      <c r="R1280" s="2278"/>
      <c r="S1280" s="2278"/>
      <c r="T1280" s="2278"/>
      <c r="U1280" s="2278"/>
      <c r="V1280" s="2278"/>
      <c r="W1280" s="2278"/>
      <c r="X1280" s="2278"/>
      <c r="Y1280" s="2278"/>
      <c r="Z1280" s="2278"/>
      <c r="AA1280" s="2278"/>
      <c r="AB1280" s="2278"/>
    </row>
    <row r="1281" spans="1:35" ht="14.5">
      <c r="A1281" s="990">
        <v>1</v>
      </c>
      <c r="B1281" s="990">
        <v>1</v>
      </c>
      <c r="C1281" s="990" t="s">
        <v>1129</v>
      </c>
      <c r="D1281" s="9" t="s">
        <v>999</v>
      </c>
      <c r="E1281" s="1463" t="s">
        <v>1521</v>
      </c>
      <c r="F1281" s="1459"/>
      <c r="I1281" s="1591"/>
      <c r="J1281" s="1592"/>
      <c r="K1281" s="1592"/>
      <c r="L1281" s="1592"/>
      <c r="M1281" s="1592" t="s">
        <v>11</v>
      </c>
      <c r="N1281" s="1590"/>
      <c r="O1281" s="1590"/>
      <c r="P1281" s="1590"/>
      <c r="Q1281" s="2277"/>
      <c r="R1281" s="2278"/>
      <c r="S1281" s="2278"/>
      <c r="T1281" s="2278"/>
      <c r="U1281" s="2278"/>
      <c r="V1281" s="2278"/>
      <c r="W1281" s="2278"/>
      <c r="X1281" s="2278"/>
      <c r="Y1281" s="2278"/>
      <c r="Z1281" s="2278"/>
      <c r="AA1281" s="2278"/>
      <c r="AB1281" s="2278"/>
    </row>
    <row r="1282" spans="1:35" ht="14.5">
      <c r="A1282" s="990">
        <v>1</v>
      </c>
      <c r="B1282" s="990">
        <v>1</v>
      </c>
      <c r="C1282" s="990" t="s">
        <v>1129</v>
      </c>
      <c r="D1282" s="9" t="s">
        <v>999</v>
      </c>
      <c r="E1282" s="1463" t="s">
        <v>1521</v>
      </c>
      <c r="F1282" s="1459"/>
      <c r="I1282" s="1588" t="s">
        <v>53</v>
      </c>
      <c r="J1282" s="1594"/>
      <c r="K1282" s="1594"/>
      <c r="L1282" s="1594"/>
      <c r="M1282" s="1589" t="s">
        <v>1130</v>
      </c>
      <c r="N1282" s="1589"/>
      <c r="O1282" s="1589"/>
      <c r="P1282" s="1589"/>
      <c r="Q1282" s="2248">
        <v>0</v>
      </c>
      <c r="R1282" s="2248">
        <v>0</v>
      </c>
      <c r="S1282" s="2248">
        <v>0</v>
      </c>
      <c r="T1282" s="2248">
        <v>0</v>
      </c>
      <c r="U1282" s="2248">
        <v>0</v>
      </c>
      <c r="V1282" s="2248">
        <v>0</v>
      </c>
      <c r="W1282" s="2248">
        <v>0</v>
      </c>
      <c r="X1282" s="2248">
        <v>0</v>
      </c>
      <c r="Y1282" s="2248">
        <v>0</v>
      </c>
      <c r="Z1282" s="2248">
        <v>0</v>
      </c>
      <c r="AA1282" s="2248">
        <v>0</v>
      </c>
      <c r="AB1282" s="2248">
        <v>0</v>
      </c>
    </row>
    <row r="1283" spans="1:35" ht="14.5">
      <c r="A1283" s="990">
        <v>1</v>
      </c>
      <c r="B1283" s="990">
        <v>1</v>
      </c>
      <c r="C1283" s="990" t="s">
        <v>1129</v>
      </c>
      <c r="D1283" s="9" t="s">
        <v>999</v>
      </c>
      <c r="E1283" s="1463" t="s">
        <v>1521</v>
      </c>
      <c r="F1283" s="1459"/>
      <c r="I1283" s="1588"/>
      <c r="J1283" s="1590"/>
      <c r="K1283" s="1590"/>
      <c r="L1283" s="1590"/>
      <c r="M1283" s="1590" t="s">
        <v>137</v>
      </c>
      <c r="N1283" s="1590"/>
      <c r="O1283" s="1590"/>
      <c r="P1283" s="1590"/>
      <c r="Q1283" s="2277"/>
      <c r="R1283" s="2278"/>
      <c r="S1283" s="2278"/>
      <c r="T1283" s="2278"/>
      <c r="U1283" s="2278"/>
      <c r="V1283" s="2278"/>
      <c r="W1283" s="2278"/>
      <c r="X1283" s="2278"/>
      <c r="Y1283" s="2278"/>
      <c r="Z1283" s="2278"/>
      <c r="AA1283" s="2278"/>
      <c r="AB1283" s="2278"/>
    </row>
    <row r="1284" spans="1:35" ht="14.5">
      <c r="A1284" s="990">
        <v>1</v>
      </c>
      <c r="B1284" s="990">
        <v>1</v>
      </c>
      <c r="C1284" s="990" t="s">
        <v>1129</v>
      </c>
      <c r="D1284" s="9" t="s">
        <v>999</v>
      </c>
      <c r="E1284" s="1463" t="s">
        <v>1521</v>
      </c>
      <c r="F1284" s="1459"/>
      <c r="I1284" s="1588"/>
      <c r="J1284" s="1590"/>
      <c r="K1284" s="1590"/>
      <c r="L1284" s="1590"/>
      <c r="M1284" s="1590" t="s">
        <v>95</v>
      </c>
      <c r="N1284" s="1590"/>
      <c r="O1284" s="1590"/>
      <c r="P1284" s="1590"/>
      <c r="Q1284" s="2277"/>
      <c r="R1284" s="2278"/>
      <c r="S1284" s="2278"/>
      <c r="T1284" s="2278"/>
      <c r="U1284" s="2278"/>
      <c r="V1284" s="2278"/>
      <c r="W1284" s="2278"/>
      <c r="X1284" s="2278"/>
      <c r="Y1284" s="2278"/>
      <c r="Z1284" s="2278"/>
      <c r="AA1284" s="2278"/>
      <c r="AB1284" s="2278"/>
    </row>
    <row r="1285" spans="1:35" ht="14.5">
      <c r="A1285" s="990">
        <v>1</v>
      </c>
      <c r="B1285" s="990">
        <v>1</v>
      </c>
      <c r="C1285" s="990" t="s">
        <v>1129</v>
      </c>
      <c r="D1285" s="9" t="s">
        <v>999</v>
      </c>
      <c r="E1285" s="1463" t="s">
        <v>1521</v>
      </c>
      <c r="F1285" s="1459"/>
      <c r="I1285" s="1591"/>
      <c r="J1285" s="1592"/>
      <c r="K1285" s="1592"/>
      <c r="L1285" s="1592"/>
      <c r="M1285" s="1592" t="s">
        <v>11</v>
      </c>
      <c r="N1285" s="1592"/>
      <c r="O1285" s="1592"/>
      <c r="P1285" s="1592"/>
      <c r="Q1285" s="2277"/>
      <c r="R1285" s="2278"/>
      <c r="S1285" s="2278"/>
      <c r="T1285" s="2278"/>
      <c r="U1285" s="2278"/>
      <c r="V1285" s="2278"/>
      <c r="W1285" s="2278"/>
      <c r="X1285" s="2278"/>
      <c r="Y1285" s="2278"/>
      <c r="Z1285" s="2278"/>
      <c r="AA1285" s="2278"/>
      <c r="AB1285" s="2278"/>
    </row>
    <row r="1286" spans="1:35" ht="14.5">
      <c r="A1286" s="990">
        <v>1</v>
      </c>
      <c r="B1286" s="990">
        <v>1</v>
      </c>
      <c r="C1286" s="990" t="s">
        <v>1129</v>
      </c>
      <c r="D1286" s="9" t="s">
        <v>999</v>
      </c>
      <c r="E1286" s="1463" t="s">
        <v>1521</v>
      </c>
      <c r="F1286" s="1459"/>
      <c r="I1286" s="1591" t="s">
        <v>954</v>
      </c>
      <c r="J1286" s="1593"/>
      <c r="K1286" s="1593"/>
      <c r="L1286" s="1593"/>
      <c r="M1286" s="1593" t="s">
        <v>1130</v>
      </c>
      <c r="N1286" s="1593"/>
      <c r="O1286" s="1593"/>
      <c r="P1286" s="1593"/>
      <c r="Q1286" s="2279"/>
      <c r="R1286" s="2280"/>
      <c r="S1286" s="2280"/>
      <c r="T1286" s="2280"/>
      <c r="U1286" s="2280"/>
      <c r="V1286" s="2280"/>
      <c r="W1286" s="2280"/>
      <c r="X1286" s="2280"/>
      <c r="Y1286" s="2280"/>
      <c r="Z1286" s="2280"/>
      <c r="AA1286" s="2280"/>
      <c r="AB1286" s="2280"/>
    </row>
    <row r="1287" spans="1:35" ht="14.5">
      <c r="A1287" s="990">
        <v>1</v>
      </c>
      <c r="B1287" s="990">
        <v>1</v>
      </c>
      <c r="C1287" s="990" t="s">
        <v>1129</v>
      </c>
      <c r="D1287" s="9" t="s">
        <v>999</v>
      </c>
      <c r="E1287" s="1463" t="s">
        <v>1521</v>
      </c>
      <c r="F1287" s="1459"/>
      <c r="I1287" s="1591" t="s">
        <v>54</v>
      </c>
      <c r="J1287" s="1593"/>
      <c r="K1287" s="1593"/>
      <c r="L1287" s="1593"/>
      <c r="M1287" s="1593" t="s">
        <v>1130</v>
      </c>
      <c r="N1287" s="1593"/>
      <c r="O1287" s="1593"/>
      <c r="P1287" s="1593"/>
      <c r="Q1287" s="2281"/>
      <c r="R1287" s="2282"/>
      <c r="S1287" s="2282"/>
      <c r="T1287" s="2282"/>
      <c r="U1287" s="2282"/>
      <c r="V1287" s="2282"/>
      <c r="W1287" s="2282"/>
      <c r="X1287" s="2282"/>
      <c r="Y1287" s="2282"/>
      <c r="Z1287" s="2282"/>
      <c r="AA1287" s="2282"/>
      <c r="AB1287" s="2282"/>
    </row>
    <row r="1288" spans="1:35">
      <c r="A1288" s="990">
        <v>1</v>
      </c>
      <c r="B1288" s="990">
        <v>1</v>
      </c>
      <c r="C1288" s="990" t="s">
        <v>1129</v>
      </c>
      <c r="D1288" s="9" t="s">
        <v>999</v>
      </c>
      <c r="E1288" s="1243">
        <v>1</v>
      </c>
    </row>
    <row r="1289" spans="1:35" ht="25">
      <c r="A1289" s="990">
        <v>1</v>
      </c>
      <c r="B1289" s="990">
        <v>1</v>
      </c>
      <c r="C1289" s="990" t="s">
        <v>1129</v>
      </c>
      <c r="D1289" s="9" t="s">
        <v>999</v>
      </c>
      <c r="E1289" s="1243">
        <v>1</v>
      </c>
      <c r="F1289" s="60" t="s">
        <v>1615</v>
      </c>
      <c r="G1289" s="60"/>
      <c r="H1289" s="59"/>
      <c r="I1289" s="5"/>
      <c r="J1289" s="4"/>
      <c r="K1289" s="39"/>
      <c r="L1289" s="39"/>
      <c r="M1289" s="40"/>
      <c r="N1289" s="40"/>
      <c r="O1289" s="40"/>
      <c r="P1289" s="40"/>
      <c r="Q1289" s="1596"/>
      <c r="AC1289" s="187"/>
    </row>
    <row r="1290" spans="1:35" ht="14.5">
      <c r="A1290" s="990">
        <v>1</v>
      </c>
      <c r="B1290" s="990">
        <v>1</v>
      </c>
      <c r="C1290" s="990" t="s">
        <v>1129</v>
      </c>
      <c r="D1290" s="9" t="s">
        <v>999</v>
      </c>
      <c r="E1290" s="1463" t="s">
        <v>1521</v>
      </c>
      <c r="F1290" s="1459"/>
      <c r="G1290" s="93" t="s">
        <v>1616</v>
      </c>
      <c r="H1290" s="93"/>
      <c r="I1290" s="39"/>
      <c r="J1290" s="40"/>
      <c r="K1290" s="39"/>
      <c r="L1290" s="39"/>
      <c r="M1290" s="40"/>
      <c r="N1290" s="40"/>
      <c r="O1290" s="40"/>
      <c r="P1290" s="40"/>
      <c r="Q1290" s="2175">
        <v>44652</v>
      </c>
      <c r="R1290" s="2175">
        <v>44682</v>
      </c>
      <c r="S1290" s="2175">
        <v>44713</v>
      </c>
      <c r="T1290" s="2175">
        <v>44743</v>
      </c>
      <c r="U1290" s="2175">
        <v>44774</v>
      </c>
      <c r="V1290" s="2175">
        <v>44805</v>
      </c>
      <c r="W1290" s="2175">
        <v>44835</v>
      </c>
      <c r="X1290" s="2175">
        <v>44866</v>
      </c>
      <c r="Y1290" s="2175">
        <v>44896</v>
      </c>
      <c r="Z1290" s="2175">
        <v>44927</v>
      </c>
      <c r="AA1290" s="2175">
        <v>44958</v>
      </c>
      <c r="AB1290" s="2175">
        <v>44986</v>
      </c>
      <c r="AC1290" s="2591" t="s">
        <v>105</v>
      </c>
      <c r="AD1290" s="2591" t="s">
        <v>104</v>
      </c>
      <c r="AE1290" s="2591" t="s">
        <v>103</v>
      </c>
      <c r="AF1290" s="2591" t="s">
        <v>102</v>
      </c>
      <c r="AG1290" s="2591" t="s">
        <v>101</v>
      </c>
      <c r="AH1290" s="2591" t="s">
        <v>100</v>
      </c>
      <c r="AI1290" s="2591" t="s">
        <v>118</v>
      </c>
    </row>
    <row r="1291" spans="1:35" ht="14.5">
      <c r="A1291" s="990">
        <v>1</v>
      </c>
      <c r="B1291" s="990">
        <v>1</v>
      </c>
      <c r="C1291" s="990" t="s">
        <v>1129</v>
      </c>
      <c r="D1291" s="9" t="s">
        <v>999</v>
      </c>
      <c r="E1291" s="1463" t="s">
        <v>1521</v>
      </c>
      <c r="F1291" s="1459"/>
      <c r="G1291" s="257" t="s">
        <v>94</v>
      </c>
      <c r="H1291" s="257" t="s">
        <v>99</v>
      </c>
      <c r="I1291" s="2592" t="s">
        <v>9</v>
      </c>
      <c r="J1291" s="2593"/>
      <c r="K1291" s="2593"/>
      <c r="L1291" s="2593"/>
      <c r="M1291" s="2593"/>
      <c r="N1291" s="2593"/>
      <c r="O1291" s="2593"/>
      <c r="P1291" s="2100"/>
      <c r="Q1291" s="2101">
        <v>0</v>
      </c>
      <c r="R1291" s="2101">
        <v>0</v>
      </c>
      <c r="S1291" s="2101">
        <v>0</v>
      </c>
      <c r="T1291" s="2101">
        <v>0</v>
      </c>
      <c r="U1291" s="2101">
        <v>0</v>
      </c>
      <c r="V1291" s="2101">
        <v>0</v>
      </c>
      <c r="W1291" s="2101">
        <v>0</v>
      </c>
      <c r="X1291" s="2101">
        <v>0</v>
      </c>
      <c r="Y1291" s="2101">
        <v>0</v>
      </c>
      <c r="Z1291" s="2101">
        <v>0</v>
      </c>
      <c r="AA1291" s="2101">
        <v>0</v>
      </c>
      <c r="AB1291" s="2101">
        <v>0</v>
      </c>
      <c r="AC1291" s="2101">
        <v>0</v>
      </c>
      <c r="AD1291" s="2101">
        <v>0</v>
      </c>
      <c r="AE1291" s="2101">
        <v>0</v>
      </c>
      <c r="AF1291" s="2101">
        <v>0</v>
      </c>
      <c r="AG1291" s="2101">
        <v>0</v>
      </c>
      <c r="AH1291" s="2101">
        <v>0</v>
      </c>
      <c r="AI1291" s="2101">
        <v>0</v>
      </c>
    </row>
    <row r="1292" spans="1:35" ht="14.5">
      <c r="A1292" s="990">
        <v>1</v>
      </c>
      <c r="B1292" s="990">
        <v>1</v>
      </c>
      <c r="C1292" s="990" t="s">
        <v>1129</v>
      </c>
      <c r="D1292" s="9" t="s">
        <v>999</v>
      </c>
      <c r="E1292" s="1463" t="s">
        <v>1521</v>
      </c>
      <c r="F1292" s="1459"/>
      <c r="G1292" s="257" t="s">
        <v>94</v>
      </c>
      <c r="H1292" s="257" t="s">
        <v>99</v>
      </c>
      <c r="I1292" s="2592" t="s">
        <v>680</v>
      </c>
      <c r="J1292" s="2593"/>
      <c r="K1292" s="2593"/>
      <c r="L1292" s="2593"/>
      <c r="M1292" s="2740" t="s">
        <v>679</v>
      </c>
      <c r="N1292" s="2593"/>
      <c r="O1292" s="2593"/>
      <c r="P1292" s="2100"/>
      <c r="Q1292" s="2101">
        <v>0</v>
      </c>
      <c r="R1292" s="2101">
        <v>0</v>
      </c>
      <c r="S1292" s="2101">
        <v>0</v>
      </c>
      <c r="T1292" s="2101">
        <v>0</v>
      </c>
      <c r="U1292" s="2101">
        <v>0</v>
      </c>
      <c r="V1292" s="2101">
        <v>0</v>
      </c>
      <c r="W1292" s="2101">
        <v>0</v>
      </c>
      <c r="X1292" s="2101">
        <v>0</v>
      </c>
      <c r="Y1292" s="2101">
        <v>0</v>
      </c>
      <c r="Z1292" s="2101">
        <v>0</v>
      </c>
      <c r="AA1292" s="2101">
        <v>0</v>
      </c>
      <c r="AB1292" s="2101">
        <v>0</v>
      </c>
      <c r="AC1292" s="2101">
        <v>0</v>
      </c>
      <c r="AD1292" s="2101">
        <v>0</v>
      </c>
      <c r="AE1292" s="2101">
        <v>0</v>
      </c>
      <c r="AF1292" s="2101">
        <v>0</v>
      </c>
      <c r="AG1292" s="2101">
        <v>0</v>
      </c>
      <c r="AH1292" s="2101">
        <v>0</v>
      </c>
      <c r="AI1292" s="2101">
        <v>0</v>
      </c>
    </row>
    <row r="1293" spans="1:35" ht="14.5">
      <c r="A1293" s="990">
        <v>1</v>
      </c>
      <c r="B1293" s="990">
        <v>1</v>
      </c>
      <c r="C1293" s="990" t="s">
        <v>1129</v>
      </c>
      <c r="D1293" s="9" t="s">
        <v>999</v>
      </c>
      <c r="E1293" s="1463" t="s">
        <v>1521</v>
      </c>
      <c r="F1293" s="1459"/>
      <c r="G1293" s="257" t="s">
        <v>94</v>
      </c>
      <c r="H1293" s="257" t="s">
        <v>99</v>
      </c>
      <c r="I1293" s="58" t="s">
        <v>106</v>
      </c>
      <c r="J1293" s="555"/>
      <c r="K1293" s="636"/>
      <c r="L1293" s="636"/>
      <c r="M1293" s="555"/>
      <c r="N1293" s="555"/>
      <c r="O1293" s="555"/>
      <c r="P1293" s="117"/>
      <c r="Q1293" s="2120">
        <v>0</v>
      </c>
      <c r="R1293" s="2120">
        <v>0</v>
      </c>
      <c r="S1293" s="2120">
        <v>0</v>
      </c>
      <c r="T1293" s="2120">
        <v>0</v>
      </c>
      <c r="U1293" s="2120">
        <v>0</v>
      </c>
      <c r="V1293" s="2120">
        <v>0</v>
      </c>
      <c r="W1293" s="2120">
        <v>0</v>
      </c>
      <c r="X1293" s="2120">
        <v>0</v>
      </c>
      <c r="Y1293" s="2120">
        <v>0</v>
      </c>
      <c r="Z1293" s="2120">
        <v>0</v>
      </c>
      <c r="AA1293" s="2120">
        <v>0</v>
      </c>
      <c r="AB1293" s="2120">
        <v>0</v>
      </c>
      <c r="AC1293" s="2120">
        <v>0</v>
      </c>
      <c r="AD1293" s="2120">
        <v>0</v>
      </c>
      <c r="AE1293" s="2120">
        <v>0</v>
      </c>
      <c r="AF1293" s="2120">
        <v>0</v>
      </c>
      <c r="AG1293" s="2120">
        <v>0</v>
      </c>
      <c r="AH1293" s="2120">
        <v>0</v>
      </c>
      <c r="AI1293" s="2120">
        <v>0</v>
      </c>
    </row>
    <row r="1294" spans="1:35" ht="14.5">
      <c r="A1294" s="990">
        <v>1</v>
      </c>
      <c r="B1294" s="990">
        <v>1</v>
      </c>
      <c r="C1294" s="990" t="s">
        <v>1129</v>
      </c>
      <c r="D1294" s="9" t="s">
        <v>999</v>
      </c>
      <c r="E1294" s="1463" t="s">
        <v>1521</v>
      </c>
      <c r="F1294" s="1459"/>
      <c r="G1294" s="257" t="s">
        <v>94</v>
      </c>
      <c r="H1294" s="257" t="s">
        <v>99</v>
      </c>
      <c r="I1294" s="183" t="s">
        <v>134</v>
      </c>
      <c r="J1294" s="1497"/>
      <c r="K1294" s="1497"/>
      <c r="L1294" s="1497"/>
      <c r="M1294" s="1497"/>
      <c r="N1294" s="1497"/>
      <c r="O1294" s="1497"/>
      <c r="P1294" s="181"/>
      <c r="Q1294" s="2117">
        <v>0</v>
      </c>
      <c r="R1294" s="2117">
        <v>0</v>
      </c>
      <c r="S1294" s="2117">
        <v>0</v>
      </c>
      <c r="T1294" s="2117">
        <v>0</v>
      </c>
      <c r="U1294" s="2117">
        <v>0</v>
      </c>
      <c r="V1294" s="2117">
        <v>0</v>
      </c>
      <c r="W1294" s="2117">
        <v>0</v>
      </c>
      <c r="X1294" s="2117">
        <v>0</v>
      </c>
      <c r="Y1294" s="2117">
        <v>0</v>
      </c>
      <c r="Z1294" s="2117">
        <v>0</v>
      </c>
      <c r="AA1294" s="2117">
        <v>0</v>
      </c>
      <c r="AB1294" s="2117">
        <v>0</v>
      </c>
      <c r="AC1294" s="2117">
        <v>0</v>
      </c>
      <c r="AD1294" s="2117">
        <v>0</v>
      </c>
      <c r="AE1294" s="2117">
        <v>0</v>
      </c>
      <c r="AF1294" s="2117">
        <v>0</v>
      </c>
      <c r="AG1294" s="2117">
        <v>0</v>
      </c>
      <c r="AH1294" s="2117">
        <v>0</v>
      </c>
      <c r="AI1294" s="2117">
        <v>0</v>
      </c>
    </row>
    <row r="1295" spans="1:35" ht="14.5">
      <c r="A1295" s="990">
        <v>1</v>
      </c>
      <c r="B1295" s="990">
        <v>1</v>
      </c>
      <c r="C1295" s="990" t="s">
        <v>1129</v>
      </c>
      <c r="D1295" s="9" t="s">
        <v>999</v>
      </c>
      <c r="E1295" s="1463" t="s">
        <v>1521</v>
      </c>
      <c r="F1295" s="1459"/>
      <c r="G1295" s="257" t="s">
        <v>94</v>
      </c>
      <c r="H1295" s="257" t="s">
        <v>99</v>
      </c>
      <c r="I1295" s="260" t="s">
        <v>134</v>
      </c>
      <c r="J1295" s="119"/>
      <c r="K1295" s="120"/>
      <c r="L1295" s="120"/>
      <c r="M1295" s="119"/>
      <c r="N1295" s="119"/>
      <c r="O1295" s="119"/>
      <c r="P1295" s="171" t="s">
        <v>135</v>
      </c>
      <c r="Q1295" s="261">
        <v>0</v>
      </c>
      <c r="R1295" s="261">
        <v>0</v>
      </c>
      <c r="S1295" s="261">
        <v>0</v>
      </c>
      <c r="T1295" s="261">
        <v>0</v>
      </c>
      <c r="U1295" s="261">
        <v>0</v>
      </c>
      <c r="V1295" s="261">
        <v>0</v>
      </c>
      <c r="W1295" s="261">
        <v>0</v>
      </c>
      <c r="X1295" s="261">
        <v>0</v>
      </c>
      <c r="Y1295" s="261">
        <v>0</v>
      </c>
      <c r="Z1295" s="261">
        <v>0</v>
      </c>
      <c r="AA1295" s="261">
        <v>0</v>
      </c>
      <c r="AB1295" s="261">
        <v>0</v>
      </c>
      <c r="AC1295" s="261">
        <v>0</v>
      </c>
      <c r="AD1295" s="261">
        <v>0</v>
      </c>
      <c r="AE1295" s="261">
        <v>0</v>
      </c>
      <c r="AF1295" s="261">
        <v>0</v>
      </c>
      <c r="AG1295" s="261">
        <v>0</v>
      </c>
      <c r="AH1295" s="261">
        <v>0</v>
      </c>
      <c r="AI1295" s="261">
        <v>0</v>
      </c>
    </row>
    <row r="1296" spans="1:35" ht="14.5">
      <c r="A1296" s="990">
        <v>1</v>
      </c>
      <c r="B1296" s="990">
        <v>1</v>
      </c>
      <c r="C1296" s="990" t="s">
        <v>1129</v>
      </c>
      <c r="D1296" s="9" t="s">
        <v>999</v>
      </c>
      <c r="E1296" s="1463" t="s">
        <v>1521</v>
      </c>
      <c r="F1296" s="1459"/>
      <c r="G1296" s="257" t="s">
        <v>94</v>
      </c>
      <c r="H1296" s="257" t="s">
        <v>99</v>
      </c>
      <c r="I1296" s="183" t="s">
        <v>97</v>
      </c>
      <c r="J1296" s="1497"/>
      <c r="K1296" s="1497"/>
      <c r="L1296" s="1497"/>
      <c r="M1296" s="1497"/>
      <c r="N1296" s="1497"/>
      <c r="O1296" s="1497"/>
      <c r="P1296" s="181"/>
      <c r="Q1296" s="2117">
        <v>0</v>
      </c>
      <c r="R1296" s="2117">
        <v>0</v>
      </c>
      <c r="S1296" s="2117">
        <v>0</v>
      </c>
      <c r="T1296" s="2117">
        <v>0</v>
      </c>
      <c r="U1296" s="2117">
        <v>0</v>
      </c>
      <c r="V1296" s="2117">
        <v>0</v>
      </c>
      <c r="W1296" s="2117">
        <v>0</v>
      </c>
      <c r="X1296" s="2117">
        <v>0</v>
      </c>
      <c r="Y1296" s="2117">
        <v>0</v>
      </c>
      <c r="Z1296" s="2117">
        <v>0</v>
      </c>
      <c r="AA1296" s="2117">
        <v>0</v>
      </c>
      <c r="AB1296" s="2117">
        <v>0</v>
      </c>
      <c r="AC1296" s="2117">
        <v>0</v>
      </c>
      <c r="AD1296" s="2117">
        <v>0</v>
      </c>
      <c r="AE1296" s="2117">
        <v>0</v>
      </c>
      <c r="AF1296" s="2117">
        <v>0</v>
      </c>
      <c r="AG1296" s="2117">
        <v>0</v>
      </c>
      <c r="AH1296" s="2117">
        <v>0</v>
      </c>
      <c r="AI1296" s="2117">
        <v>0</v>
      </c>
    </row>
    <row r="1297" spans="1:35" ht="14.5">
      <c r="A1297" s="990">
        <v>1</v>
      </c>
      <c r="B1297" s="990">
        <v>1</v>
      </c>
      <c r="C1297" s="990" t="s">
        <v>1129</v>
      </c>
      <c r="D1297" s="9" t="s">
        <v>999</v>
      </c>
      <c r="E1297" s="1463" t="s">
        <v>1521</v>
      </c>
      <c r="F1297" s="1459"/>
      <c r="G1297" s="257" t="s">
        <v>94</v>
      </c>
      <c r="H1297" s="257" t="s">
        <v>99</v>
      </c>
      <c r="I1297" s="262" t="s">
        <v>97</v>
      </c>
      <c r="J1297" s="40"/>
      <c r="K1297" s="39"/>
      <c r="L1297" s="39"/>
      <c r="M1297" s="40"/>
      <c r="N1297" s="40"/>
      <c r="O1297" s="40"/>
      <c r="P1297" s="179" t="s">
        <v>135</v>
      </c>
      <c r="Q1297" s="263">
        <v>0</v>
      </c>
      <c r="R1297" s="263">
        <v>0</v>
      </c>
      <c r="S1297" s="263">
        <v>0</v>
      </c>
      <c r="T1297" s="263">
        <v>0</v>
      </c>
      <c r="U1297" s="263">
        <v>0</v>
      </c>
      <c r="V1297" s="263">
        <v>0</v>
      </c>
      <c r="W1297" s="263">
        <v>0</v>
      </c>
      <c r="X1297" s="263">
        <v>0</v>
      </c>
      <c r="Y1297" s="263">
        <v>0</v>
      </c>
      <c r="Z1297" s="263">
        <v>0</v>
      </c>
      <c r="AA1297" s="263">
        <v>0</v>
      </c>
      <c r="AB1297" s="263">
        <v>0</v>
      </c>
      <c r="AC1297" s="263">
        <v>0</v>
      </c>
      <c r="AD1297" s="263">
        <v>0</v>
      </c>
      <c r="AE1297" s="263">
        <v>0</v>
      </c>
      <c r="AF1297" s="263">
        <v>0</v>
      </c>
      <c r="AG1297" s="263">
        <v>0</v>
      </c>
      <c r="AH1297" s="263">
        <v>0</v>
      </c>
      <c r="AI1297" s="263">
        <v>0</v>
      </c>
    </row>
    <row r="1298" spans="1:35" ht="14.5">
      <c r="A1298" s="990">
        <v>1</v>
      </c>
      <c r="B1298" s="990">
        <v>1</v>
      </c>
      <c r="C1298" s="990" t="s">
        <v>1129</v>
      </c>
      <c r="D1298" s="9" t="s">
        <v>999</v>
      </c>
      <c r="E1298" s="1463" t="s">
        <v>1521</v>
      </c>
      <c r="F1298" s="1459"/>
      <c r="G1298" s="257" t="s">
        <v>94</v>
      </c>
      <c r="H1298" s="257" t="s">
        <v>99</v>
      </c>
      <c r="I1298" s="262" t="s">
        <v>97</v>
      </c>
      <c r="J1298" s="123" t="s">
        <v>143</v>
      </c>
      <c r="K1298" s="123"/>
      <c r="L1298" s="178"/>
      <c r="M1298" s="123"/>
      <c r="N1298" s="123"/>
      <c r="O1298" s="123"/>
      <c r="P1298" s="185"/>
      <c r="Q1298" s="41">
        <v>0</v>
      </c>
      <c r="R1298" s="41">
        <v>0</v>
      </c>
      <c r="S1298" s="41">
        <v>0</v>
      </c>
      <c r="T1298" s="41">
        <v>0</v>
      </c>
      <c r="U1298" s="41">
        <v>0</v>
      </c>
      <c r="V1298" s="41">
        <v>0</v>
      </c>
      <c r="W1298" s="41">
        <v>0</v>
      </c>
      <c r="X1298" s="41">
        <v>0</v>
      </c>
      <c r="Y1298" s="41">
        <v>0</v>
      </c>
      <c r="Z1298" s="41">
        <v>0</v>
      </c>
      <c r="AA1298" s="41">
        <v>0</v>
      </c>
      <c r="AB1298" s="41">
        <v>0</v>
      </c>
      <c r="AC1298" s="264">
        <v>0</v>
      </c>
      <c r="AD1298" s="264">
        <v>0</v>
      </c>
      <c r="AE1298" s="264">
        <v>0</v>
      </c>
      <c r="AF1298" s="264">
        <v>0</v>
      </c>
      <c r="AG1298" s="264">
        <v>0</v>
      </c>
      <c r="AH1298" s="264">
        <v>0</v>
      </c>
      <c r="AI1298" s="264">
        <v>0</v>
      </c>
    </row>
    <row r="1299" spans="1:35" ht="14.5">
      <c r="A1299" s="990">
        <v>1</v>
      </c>
      <c r="B1299" s="990">
        <v>1</v>
      </c>
      <c r="C1299" s="990" t="s">
        <v>1129</v>
      </c>
      <c r="D1299" s="9" t="s">
        <v>999</v>
      </c>
      <c r="E1299" s="1463" t="s">
        <v>1521</v>
      </c>
      <c r="F1299" s="1459"/>
      <c r="G1299" s="257" t="s">
        <v>94</v>
      </c>
      <c r="H1299" s="257" t="s">
        <v>99</v>
      </c>
      <c r="I1299" s="262" t="s">
        <v>97</v>
      </c>
      <c r="J1299" s="40" t="s">
        <v>96</v>
      </c>
      <c r="K1299" s="40"/>
      <c r="L1299" s="39"/>
      <c r="M1299" s="40"/>
      <c r="N1299" s="40"/>
      <c r="O1299" s="40"/>
      <c r="P1299" s="179"/>
      <c r="Q1299" s="41">
        <v>0</v>
      </c>
      <c r="R1299" s="41">
        <v>0</v>
      </c>
      <c r="S1299" s="41">
        <v>0</v>
      </c>
      <c r="T1299" s="41">
        <v>0</v>
      </c>
      <c r="U1299" s="41">
        <v>0</v>
      </c>
      <c r="V1299" s="41">
        <v>0</v>
      </c>
      <c r="W1299" s="41">
        <v>0</v>
      </c>
      <c r="X1299" s="41">
        <v>0</v>
      </c>
      <c r="Y1299" s="41">
        <v>0</v>
      </c>
      <c r="Z1299" s="41">
        <v>0</v>
      </c>
      <c r="AA1299" s="41">
        <v>0</v>
      </c>
      <c r="AB1299" s="41">
        <v>0</v>
      </c>
      <c r="AC1299" s="41">
        <v>0</v>
      </c>
      <c r="AD1299" s="41">
        <v>0</v>
      </c>
      <c r="AE1299" s="41">
        <v>0</v>
      </c>
      <c r="AF1299" s="41">
        <v>0</v>
      </c>
      <c r="AG1299" s="41">
        <v>0</v>
      </c>
      <c r="AH1299" s="41">
        <v>0</v>
      </c>
      <c r="AI1299" s="41">
        <v>0</v>
      </c>
    </row>
    <row r="1300" spans="1:35" ht="14.5">
      <c r="A1300" s="990">
        <v>1</v>
      </c>
      <c r="B1300" s="990">
        <v>1</v>
      </c>
      <c r="C1300" s="990" t="s">
        <v>1129</v>
      </c>
      <c r="D1300" s="9" t="s">
        <v>999</v>
      </c>
      <c r="E1300" s="1463" t="s">
        <v>1521</v>
      </c>
      <c r="F1300" s="1459"/>
      <c r="G1300" s="257" t="s">
        <v>94</v>
      </c>
      <c r="H1300" s="257" t="s">
        <v>99</v>
      </c>
      <c r="I1300" s="262" t="s">
        <v>97</v>
      </c>
      <c r="J1300" s="40" t="s">
        <v>142</v>
      </c>
      <c r="K1300" s="40"/>
      <c r="L1300" s="39"/>
      <c r="M1300" s="40"/>
      <c r="N1300" s="40"/>
      <c r="O1300" s="40"/>
      <c r="P1300" s="179"/>
      <c r="Q1300" s="41">
        <v>0</v>
      </c>
      <c r="R1300" s="41">
        <v>0</v>
      </c>
      <c r="S1300" s="41">
        <v>0</v>
      </c>
      <c r="T1300" s="41">
        <v>0</v>
      </c>
      <c r="U1300" s="41">
        <v>0</v>
      </c>
      <c r="V1300" s="41">
        <v>0</v>
      </c>
      <c r="W1300" s="41">
        <v>0</v>
      </c>
      <c r="X1300" s="41">
        <v>0</v>
      </c>
      <c r="Y1300" s="41">
        <v>0</v>
      </c>
      <c r="Z1300" s="41">
        <v>0</v>
      </c>
      <c r="AA1300" s="41">
        <v>0</v>
      </c>
      <c r="AB1300" s="41">
        <v>0</v>
      </c>
      <c r="AC1300" s="41">
        <v>0</v>
      </c>
      <c r="AD1300" s="41">
        <v>0</v>
      </c>
      <c r="AE1300" s="41">
        <v>0</v>
      </c>
      <c r="AF1300" s="41">
        <v>0</v>
      </c>
      <c r="AG1300" s="41">
        <v>0</v>
      </c>
      <c r="AH1300" s="41">
        <v>0</v>
      </c>
      <c r="AI1300" s="41">
        <v>0</v>
      </c>
    </row>
    <row r="1301" spans="1:35" ht="14.5">
      <c r="A1301" s="990">
        <v>1</v>
      </c>
      <c r="B1301" s="990">
        <v>1</v>
      </c>
      <c r="C1301" s="990" t="s">
        <v>1129</v>
      </c>
      <c r="D1301" s="9" t="s">
        <v>999</v>
      </c>
      <c r="E1301" s="1463" t="s">
        <v>1521</v>
      </c>
      <c r="F1301" s="1459"/>
      <c r="G1301" s="257" t="s">
        <v>94</v>
      </c>
      <c r="H1301" s="257" t="s">
        <v>99</v>
      </c>
      <c r="I1301" s="183" t="s">
        <v>136</v>
      </c>
      <c r="J1301" s="1497"/>
      <c r="K1301" s="1497"/>
      <c r="L1301" s="1497"/>
      <c r="M1301" s="1497"/>
      <c r="N1301" s="1497"/>
      <c r="O1301" s="1497"/>
      <c r="P1301" s="181"/>
      <c r="Q1301" s="2117">
        <v>0</v>
      </c>
      <c r="R1301" s="2117">
        <v>0</v>
      </c>
      <c r="S1301" s="2117">
        <v>0</v>
      </c>
      <c r="T1301" s="2117">
        <v>0</v>
      </c>
      <c r="U1301" s="2117">
        <v>0</v>
      </c>
      <c r="V1301" s="2117">
        <v>0</v>
      </c>
      <c r="W1301" s="2117">
        <v>0</v>
      </c>
      <c r="X1301" s="2117">
        <v>0</v>
      </c>
      <c r="Y1301" s="2117">
        <v>0</v>
      </c>
      <c r="Z1301" s="2117">
        <v>0</v>
      </c>
      <c r="AA1301" s="2117">
        <v>0</v>
      </c>
      <c r="AB1301" s="2117">
        <v>0</v>
      </c>
      <c r="AC1301" s="2117">
        <v>0</v>
      </c>
      <c r="AD1301" s="2117">
        <v>0</v>
      </c>
      <c r="AE1301" s="2117">
        <v>0</v>
      </c>
      <c r="AF1301" s="2117">
        <v>0</v>
      </c>
      <c r="AG1301" s="2117">
        <v>0</v>
      </c>
      <c r="AH1301" s="2117">
        <v>0</v>
      </c>
      <c r="AI1301" s="2117">
        <v>0</v>
      </c>
    </row>
    <row r="1302" spans="1:35" ht="14.5">
      <c r="A1302" s="990">
        <v>1</v>
      </c>
      <c r="B1302" s="990">
        <v>1</v>
      </c>
      <c r="C1302" s="990" t="s">
        <v>1129</v>
      </c>
      <c r="D1302" s="9" t="s">
        <v>999</v>
      </c>
      <c r="E1302" s="1463" t="s">
        <v>1521</v>
      </c>
      <c r="F1302" s="1459"/>
      <c r="G1302" s="257" t="s">
        <v>94</v>
      </c>
      <c r="H1302" s="257" t="s">
        <v>99</v>
      </c>
      <c r="I1302" s="262" t="s">
        <v>136</v>
      </c>
      <c r="J1302" s="40"/>
      <c r="K1302" s="39"/>
      <c r="L1302" s="39"/>
      <c r="M1302" s="40"/>
      <c r="N1302" s="40"/>
      <c r="O1302" s="40"/>
      <c r="P1302" s="179" t="s">
        <v>135</v>
      </c>
      <c r="Q1302" s="265">
        <v>0</v>
      </c>
      <c r="R1302" s="265">
        <v>0</v>
      </c>
      <c r="S1302" s="265">
        <v>0</v>
      </c>
      <c r="T1302" s="265">
        <v>0</v>
      </c>
      <c r="U1302" s="265">
        <v>0</v>
      </c>
      <c r="V1302" s="265">
        <v>0</v>
      </c>
      <c r="W1302" s="265">
        <v>0</v>
      </c>
      <c r="X1302" s="265">
        <v>0</v>
      </c>
      <c r="Y1302" s="265">
        <v>0</v>
      </c>
      <c r="Z1302" s="265">
        <v>0</v>
      </c>
      <c r="AA1302" s="265">
        <v>0</v>
      </c>
      <c r="AB1302" s="265">
        <v>0</v>
      </c>
      <c r="AC1302" s="265">
        <v>0</v>
      </c>
      <c r="AD1302" s="265">
        <v>0</v>
      </c>
      <c r="AE1302" s="265">
        <v>0</v>
      </c>
      <c r="AF1302" s="265">
        <v>0</v>
      </c>
      <c r="AG1302" s="265">
        <v>0</v>
      </c>
      <c r="AH1302" s="265">
        <v>0</v>
      </c>
      <c r="AI1302" s="265">
        <v>0</v>
      </c>
    </row>
    <row r="1303" spans="1:35" ht="14.5">
      <c r="A1303" s="990">
        <v>1</v>
      </c>
      <c r="B1303" s="990">
        <v>1</v>
      </c>
      <c r="C1303" s="990" t="s">
        <v>1129</v>
      </c>
      <c r="D1303" s="9" t="s">
        <v>999</v>
      </c>
      <c r="E1303" s="1463" t="s">
        <v>1521</v>
      </c>
      <c r="F1303" s="1459"/>
      <c r="G1303" s="266" t="s">
        <v>94</v>
      </c>
      <c r="H1303" s="266" t="s">
        <v>99</v>
      </c>
      <c r="I1303" s="175" t="s">
        <v>504</v>
      </c>
      <c r="J1303" s="40"/>
      <c r="K1303" s="39"/>
      <c r="L1303" s="39"/>
      <c r="M1303" s="40"/>
      <c r="N1303" s="40"/>
      <c r="O1303" s="40"/>
      <c r="P1303" s="174"/>
      <c r="Q1303" s="41">
        <v>0</v>
      </c>
      <c r="R1303" s="41">
        <v>0</v>
      </c>
      <c r="S1303" s="41">
        <v>0</v>
      </c>
      <c r="T1303" s="41">
        <v>0</v>
      </c>
      <c r="U1303" s="41">
        <v>0</v>
      </c>
      <c r="V1303" s="41">
        <v>0</v>
      </c>
      <c r="W1303" s="41">
        <v>0</v>
      </c>
      <c r="X1303" s="41">
        <v>0</v>
      </c>
      <c r="Y1303" s="41">
        <v>0</v>
      </c>
      <c r="Z1303" s="41">
        <v>0</v>
      </c>
      <c r="AA1303" s="41">
        <v>0</v>
      </c>
      <c r="AB1303" s="41">
        <v>0</v>
      </c>
      <c r="AC1303" s="41">
        <v>0</v>
      </c>
      <c r="AD1303" s="41">
        <v>0</v>
      </c>
      <c r="AE1303" s="41">
        <v>0</v>
      </c>
      <c r="AF1303" s="41">
        <v>0</v>
      </c>
      <c r="AG1303" s="41">
        <v>0</v>
      </c>
      <c r="AH1303" s="41">
        <v>0</v>
      </c>
      <c r="AI1303" s="41">
        <v>0</v>
      </c>
    </row>
    <row r="1304" spans="1:35" ht="14.5">
      <c r="A1304" s="990">
        <v>1</v>
      </c>
      <c r="B1304" s="990">
        <v>1</v>
      </c>
      <c r="C1304" s="990" t="s">
        <v>1129</v>
      </c>
      <c r="D1304" s="9" t="s">
        <v>999</v>
      </c>
      <c r="E1304" s="1463" t="s">
        <v>1521</v>
      </c>
      <c r="F1304" s="1459"/>
      <c r="G1304" s="266" t="s">
        <v>94</v>
      </c>
      <c r="H1304" s="266" t="s">
        <v>99</v>
      </c>
      <c r="I1304" s="121" t="s">
        <v>1002</v>
      </c>
      <c r="J1304" s="119"/>
      <c r="K1304" s="120"/>
      <c r="L1304" s="120"/>
      <c r="M1304" s="119"/>
      <c r="N1304" s="119"/>
      <c r="O1304" s="119"/>
      <c r="P1304" s="118"/>
      <c r="Q1304" s="66">
        <v>0</v>
      </c>
      <c r="R1304" s="66">
        <v>0</v>
      </c>
      <c r="S1304" s="66">
        <v>0</v>
      </c>
      <c r="T1304" s="66">
        <v>0</v>
      </c>
      <c r="U1304" s="66">
        <v>0</v>
      </c>
      <c r="V1304" s="66">
        <v>0</v>
      </c>
      <c r="W1304" s="66">
        <v>0</v>
      </c>
      <c r="X1304" s="66">
        <v>0</v>
      </c>
      <c r="Y1304" s="66">
        <v>0</v>
      </c>
      <c r="Z1304" s="66">
        <v>0</v>
      </c>
      <c r="AA1304" s="66">
        <v>0</v>
      </c>
      <c r="AB1304" s="66">
        <v>0</v>
      </c>
      <c r="AC1304" s="66">
        <v>0</v>
      </c>
      <c r="AD1304" s="66">
        <v>0</v>
      </c>
      <c r="AE1304" s="66">
        <v>0</v>
      </c>
      <c r="AF1304" s="66">
        <v>0</v>
      </c>
      <c r="AG1304" s="66">
        <v>0</v>
      </c>
      <c r="AH1304" s="66">
        <v>0</v>
      </c>
      <c r="AI1304" s="66">
        <v>0</v>
      </c>
    </row>
    <row r="1305" spans="1:35" ht="14.5">
      <c r="A1305" s="990">
        <v>1</v>
      </c>
      <c r="B1305" s="990">
        <v>1</v>
      </c>
      <c r="C1305" s="990" t="s">
        <v>1129</v>
      </c>
      <c r="D1305" s="9" t="s">
        <v>999</v>
      </c>
      <c r="E1305" s="1463" t="s">
        <v>1521</v>
      </c>
      <c r="F1305" s="1459"/>
      <c r="G1305" s="266" t="s">
        <v>94</v>
      </c>
      <c r="H1305" s="266" t="s">
        <v>99</v>
      </c>
      <c r="I1305" s="183" t="s">
        <v>10</v>
      </c>
      <c r="J1305" s="1497"/>
      <c r="K1305" s="1497"/>
      <c r="L1305" s="1497"/>
      <c r="M1305" s="1497"/>
      <c r="N1305" s="1497"/>
      <c r="O1305" s="1497"/>
      <c r="P1305" s="181"/>
      <c r="Q1305" s="2117">
        <v>0</v>
      </c>
      <c r="R1305" s="2117">
        <v>0</v>
      </c>
      <c r="S1305" s="2117">
        <v>0</v>
      </c>
      <c r="T1305" s="2117">
        <v>0</v>
      </c>
      <c r="U1305" s="2117">
        <v>0</v>
      </c>
      <c r="V1305" s="2117">
        <v>0</v>
      </c>
      <c r="W1305" s="2117">
        <v>0</v>
      </c>
      <c r="X1305" s="2117">
        <v>0</v>
      </c>
      <c r="Y1305" s="2117">
        <v>0</v>
      </c>
      <c r="Z1305" s="2117">
        <v>0</v>
      </c>
      <c r="AA1305" s="2117">
        <v>0</v>
      </c>
      <c r="AB1305" s="2117">
        <v>0</v>
      </c>
      <c r="AC1305" s="2117">
        <v>0</v>
      </c>
      <c r="AD1305" s="2117">
        <v>0</v>
      </c>
      <c r="AE1305" s="2117">
        <v>0</v>
      </c>
      <c r="AF1305" s="2117">
        <v>0</v>
      </c>
      <c r="AG1305" s="2117">
        <v>0</v>
      </c>
      <c r="AH1305" s="2117">
        <v>0</v>
      </c>
      <c r="AI1305" s="2117">
        <v>0</v>
      </c>
    </row>
    <row r="1306" spans="1:35" ht="14.5">
      <c r="A1306" s="990">
        <v>1</v>
      </c>
      <c r="B1306" s="990">
        <v>1</v>
      </c>
      <c r="C1306" s="990" t="s">
        <v>1129</v>
      </c>
      <c r="D1306" s="9" t="s">
        <v>999</v>
      </c>
      <c r="E1306" s="1463" t="s">
        <v>1521</v>
      </c>
      <c r="F1306" s="1459"/>
      <c r="G1306" s="266" t="s">
        <v>94</v>
      </c>
      <c r="H1306" s="266" t="s">
        <v>99</v>
      </c>
      <c r="I1306" s="260" t="s">
        <v>10</v>
      </c>
      <c r="J1306" s="119"/>
      <c r="K1306" s="120"/>
      <c r="L1306" s="120"/>
      <c r="M1306" s="119"/>
      <c r="N1306" s="119"/>
      <c r="O1306" s="119"/>
      <c r="P1306" s="171" t="s">
        <v>135</v>
      </c>
      <c r="Q1306" s="261">
        <v>0</v>
      </c>
      <c r="R1306" s="261">
        <v>0</v>
      </c>
      <c r="S1306" s="261">
        <v>0</v>
      </c>
      <c r="T1306" s="261">
        <v>0</v>
      </c>
      <c r="U1306" s="261">
        <v>0</v>
      </c>
      <c r="V1306" s="261">
        <v>0</v>
      </c>
      <c r="W1306" s="261">
        <v>0</v>
      </c>
      <c r="X1306" s="261">
        <v>0</v>
      </c>
      <c r="Y1306" s="261">
        <v>0</v>
      </c>
      <c r="Z1306" s="261">
        <v>0</v>
      </c>
      <c r="AA1306" s="261">
        <v>0</v>
      </c>
      <c r="AB1306" s="261">
        <v>0</v>
      </c>
      <c r="AC1306" s="261">
        <v>0</v>
      </c>
      <c r="AD1306" s="261">
        <v>0</v>
      </c>
      <c r="AE1306" s="261">
        <v>0</v>
      </c>
      <c r="AF1306" s="261">
        <v>0</v>
      </c>
      <c r="AG1306" s="261">
        <v>0</v>
      </c>
      <c r="AH1306" s="261">
        <v>0</v>
      </c>
      <c r="AI1306" s="261">
        <v>0</v>
      </c>
    </row>
    <row r="1307" spans="1:35" ht="14.5">
      <c r="A1307" s="990">
        <v>1</v>
      </c>
      <c r="B1307" s="990">
        <v>1</v>
      </c>
      <c r="C1307" s="990" t="s">
        <v>1129</v>
      </c>
      <c r="D1307" s="9" t="s">
        <v>999</v>
      </c>
      <c r="E1307" s="1463" t="s">
        <v>1521</v>
      </c>
      <c r="F1307" s="1459"/>
      <c r="G1307" s="266" t="s">
        <v>94</v>
      </c>
      <c r="H1307" s="266" t="s">
        <v>99</v>
      </c>
      <c r="I1307" s="175" t="s">
        <v>1003</v>
      </c>
      <c r="J1307" s="40"/>
      <c r="K1307" s="39"/>
      <c r="L1307" s="39"/>
      <c r="M1307" s="40"/>
      <c r="N1307" s="40"/>
      <c r="O1307" s="40"/>
      <c r="P1307" s="179"/>
      <c r="Q1307" s="41">
        <v>0</v>
      </c>
      <c r="R1307" s="41">
        <v>0</v>
      </c>
      <c r="S1307" s="41">
        <v>0</v>
      </c>
      <c r="T1307" s="41">
        <v>0</v>
      </c>
      <c r="U1307" s="41">
        <v>0</v>
      </c>
      <c r="V1307" s="41">
        <v>0</v>
      </c>
      <c r="W1307" s="41">
        <v>0</v>
      </c>
      <c r="X1307" s="41">
        <v>0</v>
      </c>
      <c r="Y1307" s="41">
        <v>0</v>
      </c>
      <c r="Z1307" s="41">
        <v>0</v>
      </c>
      <c r="AA1307" s="41">
        <v>0</v>
      </c>
      <c r="AB1307" s="41">
        <v>0</v>
      </c>
      <c r="AC1307" s="41">
        <v>0</v>
      </c>
      <c r="AD1307" s="41">
        <v>0</v>
      </c>
      <c r="AE1307" s="41">
        <v>0</v>
      </c>
      <c r="AF1307" s="41">
        <v>0</v>
      </c>
      <c r="AG1307" s="41">
        <v>0</v>
      </c>
      <c r="AH1307" s="41">
        <v>0</v>
      </c>
      <c r="AI1307" s="41">
        <v>0</v>
      </c>
    </row>
    <row r="1308" spans="1:35" ht="14.5">
      <c r="A1308" s="990">
        <v>1</v>
      </c>
      <c r="B1308" s="990">
        <v>1</v>
      </c>
      <c r="C1308" s="990" t="s">
        <v>1129</v>
      </c>
      <c r="D1308" s="9" t="s">
        <v>999</v>
      </c>
      <c r="E1308" s="1463" t="s">
        <v>1521</v>
      </c>
      <c r="F1308" s="1459"/>
      <c r="G1308" s="257" t="s">
        <v>94</v>
      </c>
      <c r="H1308" s="257" t="s">
        <v>99</v>
      </c>
      <c r="I1308" s="267" t="s">
        <v>280</v>
      </c>
      <c r="J1308" s="123" t="s">
        <v>280</v>
      </c>
      <c r="K1308" s="123"/>
      <c r="L1308" s="178"/>
      <c r="M1308" s="123"/>
      <c r="N1308" s="123"/>
      <c r="O1308" s="123"/>
      <c r="P1308" s="177"/>
      <c r="Q1308" s="2099">
        <v>0</v>
      </c>
      <c r="R1308" s="2099">
        <v>0</v>
      </c>
      <c r="S1308" s="2099">
        <v>0</v>
      </c>
      <c r="T1308" s="2099">
        <v>0</v>
      </c>
      <c r="U1308" s="2099">
        <v>0</v>
      </c>
      <c r="V1308" s="2099">
        <v>0</v>
      </c>
      <c r="W1308" s="2099">
        <v>0</v>
      </c>
      <c r="X1308" s="2099">
        <v>0</v>
      </c>
      <c r="Y1308" s="2099">
        <v>0</v>
      </c>
      <c r="Z1308" s="2099">
        <v>0</v>
      </c>
      <c r="AA1308" s="2099">
        <v>0</v>
      </c>
      <c r="AB1308" s="2099">
        <v>0</v>
      </c>
      <c r="AC1308" s="264">
        <v>0</v>
      </c>
      <c r="AD1308" s="264">
        <v>0</v>
      </c>
      <c r="AE1308" s="264">
        <v>0</v>
      </c>
      <c r="AF1308" s="264">
        <v>0</v>
      </c>
      <c r="AG1308" s="264">
        <v>0</v>
      </c>
      <c r="AH1308" s="264">
        <v>0</v>
      </c>
      <c r="AI1308" s="264">
        <v>0</v>
      </c>
    </row>
    <row r="1309" spans="1:35" ht="14.5">
      <c r="A1309" s="990">
        <v>1</v>
      </c>
      <c r="B1309" s="990">
        <v>1</v>
      </c>
      <c r="C1309" s="990" t="s">
        <v>1129</v>
      </c>
      <c r="D1309" s="9" t="s">
        <v>999</v>
      </c>
      <c r="E1309" s="1463" t="s">
        <v>1521</v>
      </c>
      <c r="F1309" s="1459"/>
      <c r="G1309" s="257" t="s">
        <v>94</v>
      </c>
      <c r="H1309" s="257" t="s">
        <v>99</v>
      </c>
      <c r="I1309" s="267" t="s">
        <v>281</v>
      </c>
      <c r="J1309" s="40" t="s">
        <v>281</v>
      </c>
      <c r="K1309" s="40"/>
      <c r="L1309" s="39"/>
      <c r="M1309" s="40"/>
      <c r="N1309" s="40"/>
      <c r="O1309" s="40"/>
      <c r="P1309" s="174"/>
      <c r="Q1309" s="2047">
        <v>0</v>
      </c>
      <c r="R1309" s="2047">
        <v>0</v>
      </c>
      <c r="S1309" s="2047">
        <v>0</v>
      </c>
      <c r="T1309" s="2047">
        <v>0</v>
      </c>
      <c r="U1309" s="2047">
        <v>0</v>
      </c>
      <c r="V1309" s="2047">
        <v>0</v>
      </c>
      <c r="W1309" s="2047">
        <v>0</v>
      </c>
      <c r="X1309" s="2047">
        <v>0</v>
      </c>
      <c r="Y1309" s="2047">
        <v>0</v>
      </c>
      <c r="Z1309" s="2047">
        <v>0</v>
      </c>
      <c r="AA1309" s="2047">
        <v>0</v>
      </c>
      <c r="AB1309" s="2047">
        <v>0</v>
      </c>
      <c r="AC1309" s="41">
        <v>0</v>
      </c>
      <c r="AD1309" s="41">
        <v>0</v>
      </c>
      <c r="AE1309" s="41">
        <v>0</v>
      </c>
      <c r="AF1309" s="41">
        <v>0</v>
      </c>
      <c r="AG1309" s="41">
        <v>0</v>
      </c>
      <c r="AH1309" s="41">
        <v>0</v>
      </c>
      <c r="AI1309" s="41">
        <v>0</v>
      </c>
    </row>
    <row r="1310" spans="1:35" ht="14.5">
      <c r="A1310" s="990">
        <v>1</v>
      </c>
      <c r="B1310" s="990">
        <v>1</v>
      </c>
      <c r="C1310" s="990" t="s">
        <v>1129</v>
      </c>
      <c r="D1310" s="9" t="s">
        <v>999</v>
      </c>
      <c r="E1310" s="1463" t="s">
        <v>1521</v>
      </c>
      <c r="F1310" s="1459"/>
      <c r="G1310" s="266" t="s">
        <v>94</v>
      </c>
      <c r="H1310" s="266" t="s">
        <v>99</v>
      </c>
      <c r="I1310" s="2592" t="s">
        <v>144</v>
      </c>
      <c r="J1310" s="2593"/>
      <c r="K1310" s="2593"/>
      <c r="L1310" s="2593"/>
      <c r="M1310" s="2593"/>
      <c r="N1310" s="2593"/>
      <c r="O1310" s="2593"/>
      <c r="P1310" s="2100"/>
      <c r="Q1310" s="2101">
        <v>0</v>
      </c>
      <c r="R1310" s="2101">
        <v>0</v>
      </c>
      <c r="S1310" s="2101">
        <v>0</v>
      </c>
      <c r="T1310" s="2101">
        <v>0</v>
      </c>
      <c r="U1310" s="2101">
        <v>0</v>
      </c>
      <c r="V1310" s="2101">
        <v>0</v>
      </c>
      <c r="W1310" s="2101">
        <v>0</v>
      </c>
      <c r="X1310" s="2101">
        <v>0</v>
      </c>
      <c r="Y1310" s="2101">
        <v>0</v>
      </c>
      <c r="Z1310" s="2101">
        <v>0</v>
      </c>
      <c r="AA1310" s="2101">
        <v>0</v>
      </c>
      <c r="AB1310" s="2101">
        <v>0</v>
      </c>
      <c r="AC1310" s="2101">
        <v>0</v>
      </c>
      <c r="AD1310" s="2101">
        <v>0</v>
      </c>
      <c r="AE1310" s="2101">
        <v>0</v>
      </c>
      <c r="AF1310" s="2101">
        <v>0</v>
      </c>
      <c r="AG1310" s="2101">
        <v>0</v>
      </c>
      <c r="AH1310" s="2101">
        <v>0</v>
      </c>
      <c r="AI1310" s="2101">
        <v>0</v>
      </c>
    </row>
    <row r="1311" spans="1:35" ht="14.5">
      <c r="A1311" s="990">
        <v>1</v>
      </c>
      <c r="B1311" s="990">
        <v>1</v>
      </c>
      <c r="C1311" s="990" t="s">
        <v>1129</v>
      </c>
      <c r="D1311" s="9" t="s">
        <v>999</v>
      </c>
      <c r="E1311" s="1463" t="s">
        <v>1521</v>
      </c>
      <c r="F1311" s="1459"/>
      <c r="G1311" s="266" t="s">
        <v>94</v>
      </c>
      <c r="H1311" s="266" t="s">
        <v>99</v>
      </c>
      <c r="I1311" s="58" t="s">
        <v>1004</v>
      </c>
      <c r="J1311" s="555"/>
      <c r="K1311" s="636"/>
      <c r="L1311" s="636"/>
      <c r="M1311" s="555"/>
      <c r="N1311" s="555"/>
      <c r="O1311" s="555"/>
      <c r="P1311" s="117"/>
      <c r="Q1311" s="2016">
        <v>0</v>
      </c>
      <c r="R1311" s="2016">
        <v>0</v>
      </c>
      <c r="S1311" s="2016">
        <v>0</v>
      </c>
      <c r="T1311" s="2016">
        <v>0</v>
      </c>
      <c r="U1311" s="2016">
        <v>0</v>
      </c>
      <c r="V1311" s="2016">
        <v>0</v>
      </c>
      <c r="W1311" s="2016">
        <v>0</v>
      </c>
      <c r="X1311" s="2016">
        <v>0</v>
      </c>
      <c r="Y1311" s="2016">
        <v>0</v>
      </c>
      <c r="Z1311" s="2016">
        <v>0</v>
      </c>
      <c r="AA1311" s="2016">
        <v>0</v>
      </c>
      <c r="AB1311" s="2016">
        <v>0</v>
      </c>
      <c r="AC1311" s="2120">
        <v>0</v>
      </c>
      <c r="AD1311" s="2120">
        <v>0</v>
      </c>
      <c r="AE1311" s="2120">
        <v>0</v>
      </c>
      <c r="AF1311" s="2120">
        <v>0</v>
      </c>
      <c r="AG1311" s="2120">
        <v>0</v>
      </c>
      <c r="AH1311" s="2120">
        <v>0</v>
      </c>
      <c r="AI1311" s="2120">
        <v>0</v>
      </c>
    </row>
    <row r="1312" spans="1:35" ht="14.5">
      <c r="A1312" s="990">
        <v>1</v>
      </c>
      <c r="B1312" s="990">
        <v>1</v>
      </c>
      <c r="C1312" s="990" t="s">
        <v>1129</v>
      </c>
      <c r="D1312" s="9" t="s">
        <v>999</v>
      </c>
      <c r="E1312" s="1463" t="s">
        <v>1521</v>
      </c>
      <c r="F1312" s="1459"/>
      <c r="G1312" s="266" t="s">
        <v>94</v>
      </c>
      <c r="H1312" s="266" t="s">
        <v>99</v>
      </c>
      <c r="I1312" s="2592" t="s">
        <v>285</v>
      </c>
      <c r="J1312" s="2593"/>
      <c r="K1312" s="2593"/>
      <c r="L1312" s="2593"/>
      <c r="M1312" s="2593"/>
      <c r="N1312" s="2593"/>
      <c r="O1312" s="2593"/>
      <c r="P1312" s="2100"/>
      <c r="Q1312" s="2101">
        <v>0</v>
      </c>
      <c r="R1312" s="2101">
        <v>0</v>
      </c>
      <c r="S1312" s="2101">
        <v>0</v>
      </c>
      <c r="T1312" s="2101">
        <v>0</v>
      </c>
      <c r="U1312" s="2101">
        <v>0</v>
      </c>
      <c r="V1312" s="2101">
        <v>0</v>
      </c>
      <c r="W1312" s="2101">
        <v>0</v>
      </c>
      <c r="X1312" s="2101">
        <v>0</v>
      </c>
      <c r="Y1312" s="2101">
        <v>0</v>
      </c>
      <c r="Z1312" s="2101">
        <v>0</v>
      </c>
      <c r="AA1312" s="2101">
        <v>0</v>
      </c>
      <c r="AB1312" s="2101">
        <v>0</v>
      </c>
      <c r="AC1312" s="2101">
        <v>0</v>
      </c>
      <c r="AD1312" s="2101">
        <v>0</v>
      </c>
      <c r="AE1312" s="2101">
        <v>0</v>
      </c>
      <c r="AF1312" s="2101">
        <v>0</v>
      </c>
      <c r="AG1312" s="2101">
        <v>0</v>
      </c>
      <c r="AH1312" s="2101">
        <v>0</v>
      </c>
      <c r="AI1312" s="2101">
        <v>0</v>
      </c>
    </row>
    <row r="1313" spans="1:35" ht="14.5">
      <c r="A1313" s="990">
        <v>1</v>
      </c>
      <c r="B1313" s="990">
        <v>1</v>
      </c>
      <c r="C1313" s="990" t="s">
        <v>1129</v>
      </c>
      <c r="D1313" s="9" t="s">
        <v>999</v>
      </c>
      <c r="E1313" s="1463" t="s">
        <v>1521</v>
      </c>
      <c r="F1313" s="1459"/>
      <c r="G1313" s="266" t="s">
        <v>94</v>
      </c>
      <c r="H1313" s="266" t="s">
        <v>99</v>
      </c>
      <c r="I1313" s="260" t="s">
        <v>285</v>
      </c>
      <c r="J1313" s="119"/>
      <c r="K1313" s="120"/>
      <c r="L1313" s="120"/>
      <c r="M1313" s="119"/>
      <c r="N1313" s="119"/>
      <c r="O1313" s="119"/>
      <c r="P1313" s="171" t="s">
        <v>135</v>
      </c>
      <c r="Q1313" s="261">
        <v>0</v>
      </c>
      <c r="R1313" s="261">
        <v>0</v>
      </c>
      <c r="S1313" s="261">
        <v>0</v>
      </c>
      <c r="T1313" s="261">
        <v>0</v>
      </c>
      <c r="U1313" s="261">
        <v>0</v>
      </c>
      <c r="V1313" s="261">
        <v>0</v>
      </c>
      <c r="W1313" s="261">
        <v>0</v>
      </c>
      <c r="X1313" s="261">
        <v>0</v>
      </c>
      <c r="Y1313" s="261">
        <v>0</v>
      </c>
      <c r="Z1313" s="261">
        <v>0</v>
      </c>
      <c r="AA1313" s="261">
        <v>0</v>
      </c>
      <c r="AB1313" s="261">
        <v>0</v>
      </c>
      <c r="AC1313" s="268">
        <v>0</v>
      </c>
      <c r="AD1313" s="268">
        <v>0</v>
      </c>
      <c r="AE1313" s="268">
        <v>0</v>
      </c>
      <c r="AF1313" s="268">
        <v>0</v>
      </c>
      <c r="AG1313" s="268">
        <v>0</v>
      </c>
      <c r="AH1313" s="268">
        <v>0</v>
      </c>
      <c r="AI1313" s="268">
        <v>0</v>
      </c>
    </row>
    <row r="1314" spans="1:35" ht="14.5">
      <c r="A1314" s="990">
        <v>1</v>
      </c>
      <c r="B1314" s="990">
        <v>1</v>
      </c>
      <c r="C1314" s="990" t="s">
        <v>1129</v>
      </c>
      <c r="D1314" s="9" t="s">
        <v>999</v>
      </c>
      <c r="E1314" s="1463" t="s">
        <v>1521</v>
      </c>
      <c r="F1314" s="1459"/>
      <c r="G1314" s="269" t="s">
        <v>94</v>
      </c>
      <c r="H1314" s="269" t="s">
        <v>99</v>
      </c>
      <c r="Q1314" s="2046"/>
      <c r="R1314" s="2046"/>
      <c r="S1314" s="2046"/>
      <c r="T1314" s="2046"/>
      <c r="U1314" s="2046"/>
      <c r="V1314" s="2046"/>
      <c r="W1314" s="2046"/>
      <c r="X1314" s="2046"/>
      <c r="Y1314" s="2046"/>
      <c r="Z1314" s="270"/>
      <c r="AA1314" s="270"/>
      <c r="AB1314" s="270"/>
      <c r="AC1314" s="270"/>
      <c r="AD1314" s="270"/>
      <c r="AE1314" s="270"/>
      <c r="AF1314" s="270"/>
      <c r="AG1314" s="270"/>
      <c r="AH1314" s="270"/>
      <c r="AI1314" s="270"/>
    </row>
    <row r="1315" spans="1:35" ht="14.5">
      <c r="A1315" s="990">
        <v>1</v>
      </c>
      <c r="B1315" s="990">
        <v>1</v>
      </c>
      <c r="C1315" s="990" t="s">
        <v>1129</v>
      </c>
      <c r="D1315" s="9" t="s">
        <v>999</v>
      </c>
      <c r="E1315" s="1463" t="s">
        <v>1521</v>
      </c>
      <c r="F1315" s="1459"/>
      <c r="G1315" s="93" t="s">
        <v>1617</v>
      </c>
      <c r="H1315"/>
      <c r="I1315"/>
      <c r="J1315"/>
      <c r="K1315"/>
      <c r="L1315"/>
      <c r="M1315"/>
      <c r="N1315"/>
      <c r="O1315"/>
      <c r="P1315"/>
      <c r="Q1315"/>
      <c r="R1315"/>
      <c r="S1315"/>
      <c r="T1315"/>
      <c r="U1315"/>
      <c r="V1315"/>
      <c r="W1315"/>
      <c r="X1315"/>
      <c r="Y1315"/>
      <c r="Z1315"/>
      <c r="AA1315"/>
      <c r="AB1315"/>
      <c r="AC1315"/>
      <c r="AD1315"/>
      <c r="AE1315"/>
      <c r="AF1315"/>
      <c r="AG1315"/>
      <c r="AH1315"/>
      <c r="AI1315"/>
    </row>
    <row r="1316" spans="1:35" ht="14.5">
      <c r="A1316" s="990">
        <v>1</v>
      </c>
      <c r="B1316" s="990">
        <v>1</v>
      </c>
      <c r="C1316" s="990" t="s">
        <v>1129</v>
      </c>
      <c r="D1316" s="9" t="s">
        <v>999</v>
      </c>
      <c r="E1316" s="1463" t="s">
        <v>1521</v>
      </c>
      <c r="F1316" s="1459"/>
      <c r="G1316"/>
      <c r="H1316" s="5" t="s">
        <v>1618</v>
      </c>
      <c r="I1316" s="5"/>
      <c r="J1316" s="4"/>
      <c r="K1316" s="5"/>
      <c r="L1316" s="5"/>
      <c r="M1316" s="4"/>
      <c r="N1316" s="4"/>
      <c r="O1316" s="4"/>
      <c r="P1316" s="4"/>
      <c r="Q1316" s="1151"/>
      <c r="R1316" s="1151"/>
      <c r="S1316" s="1151"/>
      <c r="T1316" s="1151"/>
      <c r="U1316" s="1151"/>
      <c r="V1316" s="1151"/>
    </row>
    <row r="1317" spans="1:35" ht="14.5">
      <c r="A1317" s="990">
        <v>1</v>
      </c>
      <c r="B1317" s="990">
        <v>1</v>
      </c>
      <c r="C1317" s="990" t="s">
        <v>1129</v>
      </c>
      <c r="D1317" s="9" t="s">
        <v>999</v>
      </c>
      <c r="E1317" s="1463" t="s">
        <v>1521</v>
      </c>
      <c r="F1317" s="1459"/>
      <c r="G1317"/>
      <c r="H1317" s="5"/>
      <c r="I1317" s="1801" t="s">
        <v>9</v>
      </c>
      <c r="J1317" s="1802"/>
      <c r="K1317" s="1803"/>
      <c r="L1317" s="1803"/>
      <c r="M1317" s="1803"/>
      <c r="N1317" s="1803"/>
      <c r="O1317" s="1803"/>
      <c r="P1317" s="2741"/>
      <c r="Q1317" s="1806"/>
      <c r="R1317" s="1806"/>
      <c r="S1317" s="1806"/>
      <c r="T1317" s="1806"/>
      <c r="U1317" s="1806"/>
      <c r="V1317" s="1806"/>
      <c r="W1317" s="1806"/>
      <c r="X1317" s="1806"/>
      <c r="Y1317" s="1806"/>
      <c r="Z1317" s="1806"/>
      <c r="AA1317" s="1806"/>
      <c r="AB1317" s="1806"/>
      <c r="AC1317" s="1806">
        <v>0</v>
      </c>
      <c r="AD1317" s="1806">
        <v>0</v>
      </c>
      <c r="AE1317" s="1806">
        <v>0</v>
      </c>
      <c r="AF1317" s="1806">
        <v>0</v>
      </c>
      <c r="AG1317" s="1806">
        <v>0</v>
      </c>
      <c r="AH1317" s="1806">
        <v>0</v>
      </c>
      <c r="AI1317" s="1806">
        <v>0</v>
      </c>
    </row>
    <row r="1318" spans="1:35" ht="14.5">
      <c r="A1318" s="990">
        <v>1</v>
      </c>
      <c r="B1318" s="990">
        <v>1</v>
      </c>
      <c r="C1318" s="990" t="s">
        <v>1129</v>
      </c>
      <c r="D1318" s="9" t="s">
        <v>999</v>
      </c>
      <c r="E1318" s="1463" t="s">
        <v>1521</v>
      </c>
      <c r="F1318" s="1459"/>
      <c r="G1318"/>
      <c r="H1318" s="5"/>
      <c r="I1318" s="1801" t="s">
        <v>680</v>
      </c>
      <c r="J1318" s="1802"/>
      <c r="K1318" s="1803"/>
      <c r="L1318" s="1803"/>
      <c r="M1318" s="1808" t="s">
        <v>679</v>
      </c>
      <c r="N1318" s="1803"/>
      <c r="O1318" s="1803"/>
      <c r="P1318" s="2741"/>
      <c r="Q1318" s="1806"/>
      <c r="R1318" s="1806"/>
      <c r="S1318" s="1806"/>
      <c r="T1318" s="1806"/>
      <c r="U1318" s="1806"/>
      <c r="V1318" s="1806"/>
      <c r="W1318" s="1806"/>
      <c r="X1318" s="1806"/>
      <c r="Y1318" s="1806"/>
      <c r="Z1318" s="1806"/>
      <c r="AA1318" s="1806"/>
      <c r="AB1318" s="1806"/>
      <c r="AC1318" s="1806">
        <v>0</v>
      </c>
      <c r="AD1318" s="1806">
        <v>0</v>
      </c>
      <c r="AE1318" s="1806">
        <v>0</v>
      </c>
      <c r="AF1318" s="1806">
        <v>0</v>
      </c>
      <c r="AG1318" s="1806">
        <v>0</v>
      </c>
      <c r="AH1318" s="1806">
        <v>0</v>
      </c>
      <c r="AI1318" s="1806">
        <v>0</v>
      </c>
    </row>
    <row r="1319" spans="1:35" ht="14.5">
      <c r="A1319" s="990">
        <v>1</v>
      </c>
      <c r="B1319" s="990">
        <v>1</v>
      </c>
      <c r="C1319" s="990" t="s">
        <v>1129</v>
      </c>
      <c r="D1319" s="9" t="s">
        <v>999</v>
      </c>
      <c r="E1319" s="1463" t="s">
        <v>1521</v>
      </c>
      <c r="F1319" s="1459"/>
      <c r="G1319"/>
      <c r="H1319" s="5"/>
      <c r="I1319" s="1801" t="s">
        <v>134</v>
      </c>
      <c r="J1319" s="1802"/>
      <c r="K1319" s="1803"/>
      <c r="L1319" s="1803"/>
      <c r="M1319" s="1803"/>
      <c r="N1319" s="1803"/>
      <c r="O1319" s="1803"/>
      <c r="P1319" s="2741"/>
      <c r="Q1319" s="1806"/>
      <c r="R1319" s="1806"/>
      <c r="S1319" s="1806"/>
      <c r="T1319" s="1806"/>
      <c r="U1319" s="1806"/>
      <c r="V1319" s="1806"/>
      <c r="W1319" s="1806"/>
      <c r="X1319" s="1806"/>
      <c r="Y1319" s="1806"/>
      <c r="Z1319" s="1806"/>
      <c r="AA1319" s="1806"/>
      <c r="AB1319" s="1806"/>
      <c r="AC1319" s="1806">
        <v>0</v>
      </c>
      <c r="AD1319" s="1806">
        <v>0</v>
      </c>
      <c r="AE1319" s="1806">
        <v>0</v>
      </c>
      <c r="AF1319" s="1806">
        <v>0</v>
      </c>
      <c r="AG1319" s="1806">
        <v>0</v>
      </c>
      <c r="AH1319" s="1806">
        <v>0</v>
      </c>
      <c r="AI1319" s="1806">
        <v>0</v>
      </c>
    </row>
    <row r="1320" spans="1:35" ht="14.5">
      <c r="A1320" s="990">
        <v>1</v>
      </c>
      <c r="B1320" s="990">
        <v>1</v>
      </c>
      <c r="C1320" s="990" t="s">
        <v>1129</v>
      </c>
      <c r="D1320" s="9" t="s">
        <v>999</v>
      </c>
      <c r="E1320" s="1463" t="s">
        <v>1521</v>
      </c>
      <c r="F1320" s="1459"/>
      <c r="G1320"/>
      <c r="H1320" s="5"/>
      <c r="I1320" s="30"/>
      <c r="J1320" s="4" t="s">
        <v>135</v>
      </c>
      <c r="K1320" s="5"/>
      <c r="L1320" s="5"/>
      <c r="M1320" s="5"/>
      <c r="N1320" s="5"/>
      <c r="O1320" s="5"/>
      <c r="P1320" s="91"/>
      <c r="Q1320" s="90">
        <v>0</v>
      </c>
      <c r="R1320" s="90">
        <v>0</v>
      </c>
      <c r="S1320" s="90">
        <v>0</v>
      </c>
      <c r="T1320" s="90">
        <v>0</v>
      </c>
      <c r="U1320" s="90">
        <v>0</v>
      </c>
      <c r="V1320" s="90">
        <v>0</v>
      </c>
      <c r="W1320" s="90">
        <v>0</v>
      </c>
      <c r="X1320" s="90">
        <v>0</v>
      </c>
      <c r="Y1320" s="90">
        <v>0</v>
      </c>
      <c r="Z1320" s="90">
        <v>0</v>
      </c>
      <c r="AA1320" s="90">
        <v>0</v>
      </c>
      <c r="AB1320" s="90">
        <v>0</v>
      </c>
      <c r="AC1320" s="90">
        <v>0</v>
      </c>
      <c r="AD1320" s="90">
        <v>0</v>
      </c>
      <c r="AE1320" s="90">
        <v>0</v>
      </c>
      <c r="AF1320" s="90">
        <v>0</v>
      </c>
      <c r="AG1320" s="90">
        <v>0</v>
      </c>
      <c r="AH1320" s="90">
        <v>0</v>
      </c>
      <c r="AI1320" s="90">
        <v>0</v>
      </c>
    </row>
    <row r="1321" spans="1:35" ht="14.5">
      <c r="A1321" s="990">
        <v>1</v>
      </c>
      <c r="B1321" s="990">
        <v>1</v>
      </c>
      <c r="C1321" s="990" t="s">
        <v>1129</v>
      </c>
      <c r="D1321" s="9" t="s">
        <v>999</v>
      </c>
      <c r="E1321" s="1463" t="s">
        <v>1521</v>
      </c>
      <c r="F1321" s="1459"/>
      <c r="G1321"/>
      <c r="H1321" s="5"/>
      <c r="I1321" s="1809" t="s">
        <v>97</v>
      </c>
      <c r="J1321" s="1810"/>
      <c r="K1321" s="1811"/>
      <c r="L1321" s="1811"/>
      <c r="M1321" s="1811"/>
      <c r="N1321" s="1811"/>
      <c r="O1321" s="1811"/>
      <c r="P1321" s="1812"/>
      <c r="Q1321" s="1813">
        <v>0</v>
      </c>
      <c r="R1321" s="1813">
        <v>0</v>
      </c>
      <c r="S1321" s="1813">
        <v>0</v>
      </c>
      <c r="T1321" s="1813">
        <v>0</v>
      </c>
      <c r="U1321" s="1813">
        <v>0</v>
      </c>
      <c r="V1321" s="1813">
        <v>0</v>
      </c>
      <c r="W1321" s="1813">
        <v>0</v>
      </c>
      <c r="X1321" s="1813">
        <v>0</v>
      </c>
      <c r="Y1321" s="1813">
        <v>0</v>
      </c>
      <c r="Z1321" s="1813">
        <v>0</v>
      </c>
      <c r="AA1321" s="1813">
        <v>0</v>
      </c>
      <c r="AB1321" s="1813">
        <v>0</v>
      </c>
      <c r="AC1321" s="1813">
        <v>0</v>
      </c>
      <c r="AD1321" s="1813">
        <v>0</v>
      </c>
      <c r="AE1321" s="1813">
        <v>0</v>
      </c>
      <c r="AF1321" s="1813">
        <v>0</v>
      </c>
      <c r="AG1321" s="1813">
        <v>0</v>
      </c>
      <c r="AH1321" s="1813">
        <v>0</v>
      </c>
      <c r="AI1321" s="1813">
        <v>0</v>
      </c>
    </row>
    <row r="1322" spans="1:35" ht="14.5">
      <c r="A1322" s="990">
        <v>1</v>
      </c>
      <c r="B1322" s="990">
        <v>1</v>
      </c>
      <c r="C1322" s="990" t="s">
        <v>1129</v>
      </c>
      <c r="D1322" s="9" t="s">
        <v>999</v>
      </c>
      <c r="E1322" s="1463" t="s">
        <v>1521</v>
      </c>
      <c r="F1322" s="1459"/>
      <c r="G1322"/>
      <c r="H1322" s="5"/>
      <c r="I1322" s="30"/>
      <c r="J1322" s="40" t="s">
        <v>143</v>
      </c>
      <c r="K1322" s="5"/>
      <c r="L1322" s="5"/>
      <c r="M1322" s="4"/>
      <c r="N1322" s="4"/>
      <c r="O1322" s="4"/>
      <c r="P1322" s="29"/>
      <c r="Q1322" s="2039"/>
      <c r="R1322" s="2039"/>
      <c r="S1322" s="2039"/>
      <c r="T1322" s="2039"/>
      <c r="U1322" s="2039"/>
      <c r="V1322" s="2039"/>
      <c r="W1322" s="2039"/>
      <c r="X1322" s="2039"/>
      <c r="Y1322" s="2039"/>
      <c r="Z1322" s="2039"/>
      <c r="AA1322" s="2039"/>
      <c r="AB1322" s="2039"/>
      <c r="AC1322" s="89">
        <v>0</v>
      </c>
      <c r="AD1322" s="89">
        <v>0</v>
      </c>
      <c r="AE1322" s="89">
        <v>0</v>
      </c>
      <c r="AF1322" s="89">
        <v>0</v>
      </c>
      <c r="AG1322" s="89">
        <v>0</v>
      </c>
      <c r="AH1322" s="89">
        <v>0</v>
      </c>
      <c r="AI1322" s="89">
        <v>0</v>
      </c>
    </row>
    <row r="1323" spans="1:35" ht="14.5">
      <c r="A1323" s="990">
        <v>1</v>
      </c>
      <c r="B1323" s="990">
        <v>1</v>
      </c>
      <c r="C1323" s="990" t="s">
        <v>1129</v>
      </c>
      <c r="D1323" s="9" t="s">
        <v>999</v>
      </c>
      <c r="E1323" s="1463" t="s">
        <v>1521</v>
      </c>
      <c r="F1323" s="1459"/>
      <c r="G1323"/>
      <c r="H1323" s="5"/>
      <c r="I1323" s="30"/>
      <c r="J1323" s="40" t="s">
        <v>96</v>
      </c>
      <c r="K1323" s="5"/>
      <c r="L1323" s="5"/>
      <c r="M1323" s="4"/>
      <c r="N1323" s="4"/>
      <c r="O1323" s="4"/>
      <c r="P1323" s="29"/>
      <c r="Q1323" s="2039"/>
      <c r="R1323" s="2039"/>
      <c r="S1323" s="2039"/>
      <c r="T1323" s="2039"/>
      <c r="U1323" s="2039"/>
      <c r="V1323" s="2039"/>
      <c r="W1323" s="2039"/>
      <c r="X1323" s="2039"/>
      <c r="Y1323" s="2039"/>
      <c r="Z1323" s="2039"/>
      <c r="AA1323" s="2039"/>
      <c r="AB1323" s="2039"/>
      <c r="AC1323" s="89">
        <v>0</v>
      </c>
      <c r="AD1323" s="89">
        <v>0</v>
      </c>
      <c r="AE1323" s="89">
        <v>0</v>
      </c>
      <c r="AF1323" s="89">
        <v>0</v>
      </c>
      <c r="AG1323" s="89">
        <v>0</v>
      </c>
      <c r="AH1323" s="89">
        <v>0</v>
      </c>
      <c r="AI1323" s="89">
        <v>0</v>
      </c>
    </row>
    <row r="1324" spans="1:35" ht="14.5">
      <c r="A1324" s="990">
        <v>1</v>
      </c>
      <c r="B1324" s="990">
        <v>1</v>
      </c>
      <c r="C1324" s="990" t="s">
        <v>1129</v>
      </c>
      <c r="D1324" s="9" t="s">
        <v>999</v>
      </c>
      <c r="E1324" s="1463" t="s">
        <v>1521</v>
      </c>
      <c r="F1324" s="1459"/>
      <c r="G1324"/>
      <c r="H1324" s="5"/>
      <c r="I1324" s="30"/>
      <c r="J1324" s="40" t="s">
        <v>142</v>
      </c>
      <c r="K1324" s="52"/>
      <c r="L1324" s="52"/>
      <c r="M1324" s="51"/>
      <c r="N1324" s="51"/>
      <c r="O1324" s="51"/>
      <c r="P1324" s="50"/>
      <c r="Q1324" s="2043"/>
      <c r="R1324" s="2043"/>
      <c r="S1324" s="2043"/>
      <c r="T1324" s="2043"/>
      <c r="U1324" s="2043"/>
      <c r="V1324" s="2043"/>
      <c r="W1324" s="2043"/>
      <c r="X1324" s="2043"/>
      <c r="Y1324" s="2043"/>
      <c r="Z1324" s="2043"/>
      <c r="AA1324" s="2043"/>
      <c r="AB1324" s="2043"/>
      <c r="AC1324" s="134">
        <v>0</v>
      </c>
      <c r="AD1324" s="134">
        <v>0</v>
      </c>
      <c r="AE1324" s="134">
        <v>0</v>
      </c>
      <c r="AF1324" s="134">
        <v>0</v>
      </c>
      <c r="AG1324" s="134">
        <v>0</v>
      </c>
      <c r="AH1324" s="134">
        <v>0</v>
      </c>
      <c r="AI1324" s="134">
        <v>0</v>
      </c>
    </row>
    <row r="1325" spans="1:35" ht="14.5">
      <c r="A1325" s="990">
        <v>1</v>
      </c>
      <c r="B1325" s="990">
        <v>1</v>
      </c>
      <c r="C1325" s="990" t="s">
        <v>1129</v>
      </c>
      <c r="D1325" s="9" t="s">
        <v>999</v>
      </c>
      <c r="E1325" s="1463" t="s">
        <v>1521</v>
      </c>
      <c r="F1325" s="1459"/>
      <c r="G1325"/>
      <c r="H1325" s="5"/>
      <c r="I1325" s="1814" t="s">
        <v>136</v>
      </c>
      <c r="J1325" s="1815"/>
      <c r="K1325" s="1816"/>
      <c r="L1325" s="1816"/>
      <c r="M1325" s="1816"/>
      <c r="N1325" s="1816"/>
      <c r="O1325" s="1816"/>
      <c r="P1325" s="1818"/>
      <c r="Q1325" s="181">
        <v>0</v>
      </c>
      <c r="R1325" s="181">
        <v>0</v>
      </c>
      <c r="S1325" s="181">
        <v>0</v>
      </c>
      <c r="T1325" s="181">
        <v>0</v>
      </c>
      <c r="U1325" s="181">
        <v>0</v>
      </c>
      <c r="V1325" s="181">
        <v>0</v>
      </c>
      <c r="W1325" s="181">
        <v>0</v>
      </c>
      <c r="X1325" s="181">
        <v>0</v>
      </c>
      <c r="Y1325" s="181">
        <v>0</v>
      </c>
      <c r="Z1325" s="181">
        <v>0</v>
      </c>
      <c r="AA1325" s="181">
        <v>0</v>
      </c>
      <c r="AB1325" s="181">
        <v>0</v>
      </c>
      <c r="AC1325" s="181">
        <v>0</v>
      </c>
      <c r="AD1325" s="181">
        <v>0</v>
      </c>
      <c r="AE1325" s="181">
        <v>0</v>
      </c>
      <c r="AF1325" s="181">
        <v>0</v>
      </c>
      <c r="AG1325" s="181">
        <v>0</v>
      </c>
      <c r="AH1325" s="181">
        <v>0</v>
      </c>
      <c r="AI1325" s="181">
        <v>0</v>
      </c>
    </row>
    <row r="1326" spans="1:35" ht="14.5">
      <c r="A1326" s="990">
        <v>1</v>
      </c>
      <c r="B1326" s="990">
        <v>1</v>
      </c>
      <c r="C1326" s="990" t="s">
        <v>1129</v>
      </c>
      <c r="D1326" s="9" t="s">
        <v>999</v>
      </c>
      <c r="E1326" s="1463" t="s">
        <v>1521</v>
      </c>
      <c r="F1326" s="1459"/>
      <c r="G1326"/>
      <c r="H1326" s="5"/>
      <c r="I1326" s="28"/>
      <c r="J1326" s="2" t="s">
        <v>135</v>
      </c>
      <c r="K1326" s="3"/>
      <c r="L1326" s="3"/>
      <c r="M1326" s="2"/>
      <c r="N1326" s="2"/>
      <c r="O1326" s="2"/>
      <c r="P1326" s="27"/>
      <c r="Q1326" s="124">
        <v>0</v>
      </c>
      <c r="R1326" s="124">
        <v>0</v>
      </c>
      <c r="S1326" s="124">
        <v>0</v>
      </c>
      <c r="T1326" s="124">
        <v>0</v>
      </c>
      <c r="U1326" s="124">
        <v>0</v>
      </c>
      <c r="V1326" s="124">
        <v>0</v>
      </c>
      <c r="W1326" s="124">
        <v>0</v>
      </c>
      <c r="X1326" s="124">
        <v>0</v>
      </c>
      <c r="Y1326" s="124">
        <v>0</v>
      </c>
      <c r="Z1326" s="124">
        <v>0</v>
      </c>
      <c r="AA1326" s="124">
        <v>0</v>
      </c>
      <c r="AB1326" s="124">
        <v>0</v>
      </c>
      <c r="AC1326" s="124">
        <v>0</v>
      </c>
      <c r="AD1326" s="124">
        <v>0</v>
      </c>
      <c r="AE1326" s="124">
        <v>0</v>
      </c>
      <c r="AF1326" s="124">
        <v>0</v>
      </c>
      <c r="AG1326" s="124">
        <v>0</v>
      </c>
      <c r="AH1326" s="124">
        <v>0</v>
      </c>
      <c r="AI1326" s="124">
        <v>0</v>
      </c>
    </row>
    <row r="1327" spans="1:35" ht="14.5">
      <c r="A1327" s="990">
        <v>1</v>
      </c>
      <c r="B1327" s="990">
        <v>1</v>
      </c>
      <c r="C1327" s="990" t="s">
        <v>1129</v>
      </c>
      <c r="D1327" s="9" t="s">
        <v>999</v>
      </c>
      <c r="E1327" s="1463" t="s">
        <v>1521</v>
      </c>
      <c r="F1327" s="1459"/>
      <c r="G1327"/>
      <c r="H1327" s="5"/>
      <c r="I1327" s="58" t="s">
        <v>504</v>
      </c>
      <c r="J1327" s="555"/>
      <c r="K1327" s="636"/>
      <c r="L1327" s="636"/>
      <c r="M1327" s="555"/>
      <c r="N1327" s="555"/>
      <c r="O1327" s="555"/>
      <c r="P1327" s="117"/>
      <c r="Q1327" s="2618"/>
      <c r="R1327" s="1718"/>
      <c r="S1327" s="1718"/>
      <c r="T1327" s="1718"/>
      <c r="U1327" s="1718"/>
      <c r="V1327" s="1718"/>
      <c r="W1327" s="1718"/>
      <c r="X1327" s="1718"/>
      <c r="Y1327" s="1718"/>
      <c r="Z1327" s="1718"/>
      <c r="AA1327" s="1718"/>
      <c r="AB1327" s="1718"/>
      <c r="AC1327" s="117">
        <v>0</v>
      </c>
      <c r="AD1327" s="117">
        <v>0</v>
      </c>
      <c r="AE1327" s="117">
        <v>0</v>
      </c>
      <c r="AF1327" s="117">
        <v>0</v>
      </c>
      <c r="AG1327" s="117">
        <v>0</v>
      </c>
      <c r="AH1327" s="117">
        <v>0</v>
      </c>
      <c r="AI1327" s="117">
        <v>0</v>
      </c>
    </row>
    <row r="1328" spans="1:35" ht="14.5">
      <c r="A1328" s="990">
        <v>1</v>
      </c>
      <c r="B1328" s="990">
        <v>1</v>
      </c>
      <c r="C1328" s="990" t="s">
        <v>1129</v>
      </c>
      <c r="D1328" s="9" t="s">
        <v>999</v>
      </c>
      <c r="E1328" s="1463" t="s">
        <v>1521</v>
      </c>
      <c r="F1328" s="1459"/>
      <c r="G1328"/>
      <c r="H1328" s="5"/>
      <c r="I1328" s="121" t="s">
        <v>1002</v>
      </c>
      <c r="J1328" s="119"/>
      <c r="K1328" s="120"/>
      <c r="L1328" s="120"/>
      <c r="M1328" s="119"/>
      <c r="N1328" s="119"/>
      <c r="O1328" s="119"/>
      <c r="P1328" s="118"/>
      <c r="Q1328" s="2035"/>
      <c r="R1328" s="2178"/>
      <c r="S1328" s="2178"/>
      <c r="T1328" s="2178"/>
      <c r="U1328" s="2178"/>
      <c r="V1328" s="2178"/>
      <c r="W1328" s="2178"/>
      <c r="X1328" s="2178"/>
      <c r="Y1328" s="2178"/>
      <c r="Z1328" s="2178"/>
      <c r="AA1328" s="2178"/>
      <c r="AB1328" s="2178"/>
      <c r="AC1328" s="118">
        <v>0</v>
      </c>
      <c r="AD1328" s="118">
        <v>0</v>
      </c>
      <c r="AE1328" s="118">
        <v>0</v>
      </c>
      <c r="AF1328" s="118">
        <v>0</v>
      </c>
      <c r="AG1328" s="118">
        <v>0</v>
      </c>
      <c r="AH1328" s="118">
        <v>0</v>
      </c>
      <c r="AI1328" s="118">
        <v>0</v>
      </c>
    </row>
    <row r="1329" spans="1:35" ht="14.5">
      <c r="A1329" s="990">
        <v>1</v>
      </c>
      <c r="B1329" s="990">
        <v>1</v>
      </c>
      <c r="C1329" s="990" t="s">
        <v>1129</v>
      </c>
      <c r="D1329" s="9" t="s">
        <v>999</v>
      </c>
      <c r="E1329" s="1463" t="s">
        <v>1521</v>
      </c>
      <c r="F1329" s="1459"/>
      <c r="G1329"/>
      <c r="H1329" s="5"/>
      <c r="I1329" s="1814" t="s">
        <v>10</v>
      </c>
      <c r="J1329" s="1815"/>
      <c r="K1329" s="1816"/>
      <c r="L1329" s="1816"/>
      <c r="M1329" s="1816"/>
      <c r="N1329" s="1816"/>
      <c r="O1329" s="1816"/>
      <c r="P1329" s="1818"/>
      <c r="Q1329" s="181">
        <v>0</v>
      </c>
      <c r="R1329" s="1818">
        <v>0</v>
      </c>
      <c r="S1329" s="1818">
        <v>0</v>
      </c>
      <c r="T1329" s="1818">
        <v>0</v>
      </c>
      <c r="U1329" s="1818">
        <v>0</v>
      </c>
      <c r="V1329" s="1818">
        <v>0</v>
      </c>
      <c r="W1329" s="1818">
        <v>0</v>
      </c>
      <c r="X1329" s="1818">
        <v>0</v>
      </c>
      <c r="Y1329" s="1818">
        <v>0</v>
      </c>
      <c r="Z1329" s="1818">
        <v>0</v>
      </c>
      <c r="AA1329" s="1818">
        <v>0</v>
      </c>
      <c r="AB1329" s="1818">
        <v>0</v>
      </c>
      <c r="AC1329" s="1818">
        <v>0</v>
      </c>
      <c r="AD1329" s="1818">
        <v>0</v>
      </c>
      <c r="AE1329" s="1818">
        <v>0</v>
      </c>
      <c r="AF1329" s="1818">
        <v>0</v>
      </c>
      <c r="AG1329" s="1818">
        <v>0</v>
      </c>
      <c r="AH1329" s="1818">
        <v>0</v>
      </c>
      <c r="AI1329" s="1818">
        <v>0</v>
      </c>
    </row>
    <row r="1330" spans="1:35" ht="14.5">
      <c r="A1330" s="990">
        <v>1</v>
      </c>
      <c r="B1330" s="990">
        <v>1</v>
      </c>
      <c r="C1330" s="990" t="s">
        <v>1129</v>
      </c>
      <c r="D1330" s="9" t="s">
        <v>999</v>
      </c>
      <c r="E1330" s="1463" t="s">
        <v>1521</v>
      </c>
      <c r="F1330" s="1459"/>
      <c r="G1330"/>
      <c r="H1330" s="5"/>
      <c r="I1330" s="28"/>
      <c r="J1330" s="2" t="s">
        <v>135</v>
      </c>
      <c r="K1330" s="3"/>
      <c r="L1330" s="3"/>
      <c r="M1330" s="2"/>
      <c r="N1330" s="2"/>
      <c r="O1330" s="2"/>
      <c r="P1330" s="27"/>
      <c r="Q1330" s="124">
        <v>0</v>
      </c>
      <c r="R1330" s="124">
        <v>0</v>
      </c>
      <c r="S1330" s="124">
        <v>0</v>
      </c>
      <c r="T1330" s="124">
        <v>0</v>
      </c>
      <c r="U1330" s="124">
        <v>0</v>
      </c>
      <c r="V1330" s="124">
        <v>0</v>
      </c>
      <c r="W1330" s="124">
        <v>0</v>
      </c>
      <c r="X1330" s="124">
        <v>0</v>
      </c>
      <c r="Y1330" s="124">
        <v>0</v>
      </c>
      <c r="Z1330" s="124">
        <v>0</v>
      </c>
      <c r="AA1330" s="124">
        <v>0</v>
      </c>
      <c r="AB1330" s="124">
        <v>0</v>
      </c>
      <c r="AC1330" s="124">
        <v>0</v>
      </c>
      <c r="AD1330" s="124">
        <v>0</v>
      </c>
      <c r="AE1330" s="124">
        <v>0</v>
      </c>
      <c r="AF1330" s="124">
        <v>0</v>
      </c>
      <c r="AG1330" s="124">
        <v>0</v>
      </c>
      <c r="AH1330" s="124">
        <v>0</v>
      </c>
      <c r="AI1330" s="124">
        <v>0</v>
      </c>
    </row>
    <row r="1331" spans="1:35" ht="14.5">
      <c r="A1331" s="990">
        <v>1</v>
      </c>
      <c r="B1331" s="990">
        <v>1</v>
      </c>
      <c r="C1331" s="990" t="s">
        <v>1129</v>
      </c>
      <c r="D1331" s="9" t="s">
        <v>999</v>
      </c>
      <c r="E1331" s="1463" t="s">
        <v>1521</v>
      </c>
      <c r="F1331" s="1459"/>
      <c r="G1331"/>
      <c r="H1331" s="5"/>
      <c r="I1331" s="5"/>
      <c r="J1331" s="4"/>
      <c r="K1331" s="5"/>
      <c r="L1331" s="5"/>
      <c r="M1331" s="4"/>
      <c r="N1331" s="4"/>
      <c r="O1331" s="4"/>
      <c r="P1331" s="4"/>
      <c r="Q1331" s="133"/>
      <c r="R1331" s="133"/>
      <c r="S1331" s="133"/>
      <c r="T1331" s="133"/>
      <c r="U1331" s="133"/>
      <c r="V1331" s="133"/>
      <c r="W1331" s="133"/>
      <c r="X1331" s="133"/>
      <c r="Y1331" s="133"/>
      <c r="Z1331" s="133"/>
      <c r="AA1331" s="133"/>
      <c r="AB1331" s="133"/>
      <c r="AC1331" s="133"/>
      <c r="AD1331" s="133"/>
      <c r="AE1331" s="133"/>
      <c r="AF1331" s="133"/>
      <c r="AG1331" s="133"/>
      <c r="AH1331" s="133"/>
      <c r="AI1331" s="133"/>
    </row>
    <row r="1332" spans="1:35" ht="14.5">
      <c r="A1332" s="990">
        <v>1</v>
      </c>
      <c r="B1332" s="990">
        <v>1</v>
      </c>
      <c r="C1332" s="990" t="s">
        <v>1129</v>
      </c>
      <c r="D1332" s="9" t="s">
        <v>999</v>
      </c>
      <c r="E1332" s="1463" t="s">
        <v>1521</v>
      </c>
      <c r="F1332" s="1459"/>
      <c r="G1332"/>
      <c r="H1332" s="5" t="s">
        <v>1619</v>
      </c>
      <c r="I1332" s="1286"/>
      <c r="J1332" s="4"/>
      <c r="K1332" s="5"/>
      <c r="L1332" s="5"/>
      <c r="M1332" s="4"/>
      <c r="N1332" s="4" t="s">
        <v>1620</v>
      </c>
      <c r="O1332" s="4"/>
      <c r="P1332" s="4"/>
      <c r="Q1332" s="1987"/>
      <c r="R1332" s="1151"/>
      <c r="S1332" s="1151"/>
      <c r="T1332" s="1151"/>
      <c r="U1332" s="1151"/>
      <c r="V1332" s="1151"/>
    </row>
    <row r="1333" spans="1:35" ht="14.5">
      <c r="A1333" s="990">
        <v>1</v>
      </c>
      <c r="B1333" s="990">
        <v>1</v>
      </c>
      <c r="C1333" s="990" t="s">
        <v>1129</v>
      </c>
      <c r="D1333" s="9" t="s">
        <v>999</v>
      </c>
      <c r="E1333" s="1463" t="s">
        <v>1521</v>
      </c>
      <c r="F1333" s="1459"/>
      <c r="G1333"/>
      <c r="H1333" s="5"/>
      <c r="I1333" s="1801" t="s">
        <v>9</v>
      </c>
      <c r="J1333" s="1802"/>
      <c r="K1333" s="1803"/>
      <c r="L1333" s="1803"/>
      <c r="M1333" s="1803"/>
      <c r="N1333" s="1803"/>
      <c r="O1333" s="1803"/>
      <c r="P1333" s="2741"/>
      <c r="Q1333" s="1806">
        <v>0</v>
      </c>
      <c r="R1333" s="1806">
        <v>0</v>
      </c>
      <c r="S1333" s="1806">
        <v>0</v>
      </c>
      <c r="T1333" s="1806">
        <v>0</v>
      </c>
      <c r="U1333" s="1806">
        <v>0</v>
      </c>
      <c r="V1333" s="1806">
        <v>0</v>
      </c>
      <c r="W1333" s="1806">
        <v>0</v>
      </c>
      <c r="X1333" s="1806">
        <v>0</v>
      </c>
      <c r="Y1333" s="1806">
        <v>0</v>
      </c>
      <c r="Z1333" s="1806">
        <v>0</v>
      </c>
      <c r="AA1333" s="1806">
        <v>0</v>
      </c>
      <c r="AB1333" s="1806">
        <v>0</v>
      </c>
      <c r="AC1333" s="1806">
        <v>0</v>
      </c>
      <c r="AD1333" s="1806">
        <v>0</v>
      </c>
      <c r="AE1333" s="1806">
        <v>0</v>
      </c>
      <c r="AF1333" s="1806">
        <v>0</v>
      </c>
      <c r="AG1333" s="1806">
        <v>0</v>
      </c>
      <c r="AH1333" s="1806">
        <v>0</v>
      </c>
      <c r="AI1333" s="1806">
        <v>0</v>
      </c>
    </row>
    <row r="1334" spans="1:35" ht="14.5">
      <c r="A1334" s="990">
        <v>1</v>
      </c>
      <c r="B1334" s="990">
        <v>1</v>
      </c>
      <c r="C1334" s="990" t="s">
        <v>1129</v>
      </c>
      <c r="D1334" s="9" t="s">
        <v>999</v>
      </c>
      <c r="E1334" s="1463" t="s">
        <v>1521</v>
      </c>
      <c r="F1334" s="1459"/>
      <c r="G1334"/>
      <c r="H1334" s="5"/>
      <c r="I1334" s="1809"/>
      <c r="J1334" s="1828" t="s">
        <v>1621</v>
      </c>
      <c r="K1334" s="1829"/>
      <c r="L1334" s="1829"/>
      <c r="M1334" s="1829"/>
      <c r="N1334" s="1829"/>
      <c r="O1334" s="1829"/>
      <c r="P1334" s="1830"/>
      <c r="Q1334" s="1831">
        <v>0</v>
      </c>
      <c r="R1334" s="1831">
        <v>0</v>
      </c>
      <c r="S1334" s="1831">
        <v>0</v>
      </c>
      <c r="T1334" s="1831">
        <v>0</v>
      </c>
      <c r="U1334" s="1831">
        <v>0</v>
      </c>
      <c r="V1334" s="1831">
        <v>0</v>
      </c>
      <c r="W1334" s="1831">
        <v>0</v>
      </c>
      <c r="X1334" s="1831">
        <v>0</v>
      </c>
      <c r="Y1334" s="1831">
        <v>0</v>
      </c>
      <c r="Z1334" s="1831">
        <v>0</v>
      </c>
      <c r="AA1334" s="1831">
        <v>0</v>
      </c>
      <c r="AB1334" s="1831">
        <v>0</v>
      </c>
      <c r="AC1334" s="1831">
        <v>0</v>
      </c>
      <c r="AD1334" s="1831">
        <v>0</v>
      </c>
      <c r="AE1334" s="1831">
        <v>0</v>
      </c>
      <c r="AF1334" s="1831">
        <v>0</v>
      </c>
      <c r="AG1334" s="1831">
        <v>0</v>
      </c>
      <c r="AH1334" s="1831">
        <v>0</v>
      </c>
      <c r="AI1334" s="1831">
        <v>0</v>
      </c>
    </row>
    <row r="1335" spans="1:35" ht="14.5">
      <c r="A1335" s="990">
        <v>1</v>
      </c>
      <c r="B1335" s="990">
        <v>1</v>
      </c>
      <c r="C1335" s="990" t="s">
        <v>1129</v>
      </c>
      <c r="D1335" s="9" t="s">
        <v>999</v>
      </c>
      <c r="E1335" s="1463" t="s">
        <v>1521</v>
      </c>
      <c r="F1335" s="1459"/>
      <c r="G1335"/>
      <c r="H1335" s="5"/>
      <c r="I1335" s="1809"/>
      <c r="J1335" s="1832"/>
      <c r="K1335" s="2742" t="s">
        <v>1022</v>
      </c>
      <c r="L1335" s="1344"/>
      <c r="M1335" s="1345"/>
      <c r="N1335" s="1344"/>
      <c r="O1335" s="1344"/>
      <c r="P1335" s="1346"/>
      <c r="Q1335" s="1357">
        <v>0</v>
      </c>
      <c r="R1335" s="1357">
        <v>0</v>
      </c>
      <c r="S1335" s="1357">
        <v>0</v>
      </c>
      <c r="T1335" s="1357">
        <v>0</v>
      </c>
      <c r="U1335" s="1357">
        <v>0</v>
      </c>
      <c r="V1335" s="1357">
        <v>0</v>
      </c>
      <c r="W1335" s="1357">
        <v>0</v>
      </c>
      <c r="X1335" s="1357">
        <v>0</v>
      </c>
      <c r="Y1335" s="1357">
        <v>0</v>
      </c>
      <c r="Z1335" s="1357">
        <v>0</v>
      </c>
      <c r="AA1335" s="1357">
        <v>0</v>
      </c>
      <c r="AB1335" s="1357">
        <v>0</v>
      </c>
      <c r="AC1335" s="1357">
        <v>0</v>
      </c>
      <c r="AD1335" s="1357">
        <v>0</v>
      </c>
      <c r="AE1335" s="1357">
        <v>0</v>
      </c>
      <c r="AF1335" s="1357">
        <v>0</v>
      </c>
      <c r="AG1335" s="1357">
        <v>0</v>
      </c>
      <c r="AH1335" s="1357">
        <v>0</v>
      </c>
      <c r="AI1335" s="1357">
        <v>0</v>
      </c>
    </row>
    <row r="1336" spans="1:35" ht="14.5">
      <c r="A1336" s="990">
        <v>1</v>
      </c>
      <c r="B1336" s="990">
        <v>1</v>
      </c>
      <c r="C1336" s="990" t="s">
        <v>1129</v>
      </c>
      <c r="D1336" s="9" t="s">
        <v>999</v>
      </c>
      <c r="E1336" s="1463" t="s">
        <v>1521</v>
      </c>
      <c r="F1336" s="1459"/>
      <c r="G1336"/>
      <c r="H1336" s="5"/>
      <c r="I1336" s="1809"/>
      <c r="J1336" s="1832"/>
      <c r="K1336" s="32"/>
      <c r="L1336" s="14" t="s">
        <v>1622</v>
      </c>
      <c r="M1336" s="1354"/>
      <c r="N1336" s="1355"/>
      <c r="O1336" s="1355"/>
      <c r="P1336" s="1356"/>
      <c r="Q1336" s="1358">
        <v>0</v>
      </c>
      <c r="R1336" s="1358">
        <v>0</v>
      </c>
      <c r="S1336" s="1358">
        <v>0</v>
      </c>
      <c r="T1336" s="1358">
        <v>0</v>
      </c>
      <c r="U1336" s="1358">
        <v>0</v>
      </c>
      <c r="V1336" s="1358">
        <v>0</v>
      </c>
      <c r="W1336" s="1358">
        <v>0</v>
      </c>
      <c r="X1336" s="1358">
        <v>0</v>
      </c>
      <c r="Y1336" s="1358">
        <v>0</v>
      </c>
      <c r="Z1336" s="1358">
        <v>0</v>
      </c>
      <c r="AA1336" s="1358">
        <v>0</v>
      </c>
      <c r="AB1336" s="1358">
        <v>0</v>
      </c>
      <c r="AC1336" s="1358">
        <v>0</v>
      </c>
      <c r="AD1336" s="1358">
        <v>0</v>
      </c>
      <c r="AE1336" s="1358">
        <v>0</v>
      </c>
      <c r="AF1336" s="1358">
        <v>0</v>
      </c>
      <c r="AG1336" s="1358">
        <v>0</v>
      </c>
      <c r="AH1336" s="1358">
        <v>0</v>
      </c>
      <c r="AI1336" s="1358">
        <v>0</v>
      </c>
    </row>
    <row r="1337" spans="1:35" ht="14.5">
      <c r="A1337" s="990">
        <v>1</v>
      </c>
      <c r="B1337" s="990">
        <v>1</v>
      </c>
      <c r="C1337" s="990" t="s">
        <v>1129</v>
      </c>
      <c r="D1337" s="9" t="s">
        <v>999</v>
      </c>
      <c r="E1337" s="1463" t="s">
        <v>1521</v>
      </c>
      <c r="F1337" s="1459"/>
      <c r="G1337"/>
      <c r="H1337" s="5"/>
      <c r="I1337" s="1809"/>
      <c r="J1337" s="1832"/>
      <c r="K1337" s="1348"/>
      <c r="L1337" s="31"/>
      <c r="M1337" s="14" t="s">
        <v>137</v>
      </c>
      <c r="N1337" s="14"/>
      <c r="O1337" s="14"/>
      <c r="P1337" s="1340"/>
      <c r="Q1337" s="1359">
        <v>0</v>
      </c>
      <c r="R1337" s="1359">
        <v>0</v>
      </c>
      <c r="S1337" s="1359">
        <v>0</v>
      </c>
      <c r="T1337" s="1359">
        <v>0</v>
      </c>
      <c r="U1337" s="1359">
        <v>0</v>
      </c>
      <c r="V1337" s="1359">
        <v>0</v>
      </c>
      <c r="W1337" s="1359">
        <v>0</v>
      </c>
      <c r="X1337" s="1359">
        <v>0</v>
      </c>
      <c r="Y1337" s="1359">
        <v>0</v>
      </c>
      <c r="Z1337" s="1359">
        <v>0</v>
      </c>
      <c r="AA1337" s="1359">
        <v>0</v>
      </c>
      <c r="AB1337" s="1359">
        <v>0</v>
      </c>
      <c r="AC1337" s="1359">
        <v>0</v>
      </c>
      <c r="AD1337" s="1359">
        <v>0</v>
      </c>
      <c r="AE1337" s="1359">
        <v>0</v>
      </c>
      <c r="AF1337" s="1359">
        <v>0</v>
      </c>
      <c r="AG1337" s="1359">
        <v>0</v>
      </c>
      <c r="AH1337" s="1359">
        <v>0</v>
      </c>
      <c r="AI1337" s="1359">
        <v>0</v>
      </c>
    </row>
    <row r="1338" spans="1:35" ht="14.5">
      <c r="A1338" s="990">
        <v>1</v>
      </c>
      <c r="B1338" s="990">
        <v>1</v>
      </c>
      <c r="C1338" s="990" t="s">
        <v>1129</v>
      </c>
      <c r="D1338" s="9" t="s">
        <v>999</v>
      </c>
      <c r="E1338" s="1463" t="s">
        <v>1521</v>
      </c>
      <c r="F1338" s="1459"/>
      <c r="G1338"/>
      <c r="H1338" s="5"/>
      <c r="I1338" s="1809"/>
      <c r="J1338" s="1832"/>
      <c r="K1338" s="1348"/>
      <c r="L1338" s="31"/>
      <c r="M1338" s="31"/>
      <c r="N1338" s="31" t="s">
        <v>1623</v>
      </c>
      <c r="O1338" s="14"/>
      <c r="P1338" s="1340"/>
      <c r="Q1338" s="2188"/>
      <c r="R1338" s="2188"/>
      <c r="S1338" s="2188"/>
      <c r="T1338" s="2188"/>
      <c r="U1338" s="2188"/>
      <c r="V1338" s="2188"/>
      <c r="W1338" s="2188"/>
      <c r="X1338" s="2188"/>
      <c r="Y1338" s="2188"/>
      <c r="Z1338" s="2188"/>
      <c r="AA1338" s="2188"/>
      <c r="AB1338" s="2188"/>
      <c r="AC1338" s="1359">
        <v>0</v>
      </c>
      <c r="AD1338" s="1359">
        <v>0</v>
      </c>
      <c r="AE1338" s="1359">
        <v>0</v>
      </c>
      <c r="AF1338" s="1359">
        <v>0</v>
      </c>
      <c r="AG1338" s="1359">
        <v>0</v>
      </c>
      <c r="AH1338" s="1359">
        <v>0</v>
      </c>
      <c r="AI1338" s="1359">
        <v>0</v>
      </c>
    </row>
    <row r="1339" spans="1:35" ht="14.5">
      <c r="A1339" s="990">
        <v>1</v>
      </c>
      <c r="B1339" s="990">
        <v>1</v>
      </c>
      <c r="C1339" s="990" t="s">
        <v>1129</v>
      </c>
      <c r="D1339" s="9" t="s">
        <v>999</v>
      </c>
      <c r="E1339" s="1463" t="s">
        <v>1521</v>
      </c>
      <c r="F1339" s="1459"/>
      <c r="G1339"/>
      <c r="H1339" s="5"/>
      <c r="I1339" s="1809"/>
      <c r="J1339" s="1832"/>
      <c r="K1339" s="1348"/>
      <c r="L1339" s="31"/>
      <c r="M1339" s="1351"/>
      <c r="N1339" s="1351" t="s">
        <v>11</v>
      </c>
      <c r="O1339" s="1352"/>
      <c r="P1339" s="1353"/>
      <c r="Q1339" s="2189"/>
      <c r="R1339" s="2189"/>
      <c r="S1339" s="2189"/>
      <c r="T1339" s="2189"/>
      <c r="U1339" s="2189"/>
      <c r="V1339" s="2189"/>
      <c r="W1339" s="2189"/>
      <c r="X1339" s="2189"/>
      <c r="Y1339" s="2189"/>
      <c r="Z1339" s="2189"/>
      <c r="AA1339" s="2189"/>
      <c r="AB1339" s="2189"/>
      <c r="AC1339" s="1360">
        <v>0</v>
      </c>
      <c r="AD1339" s="1360">
        <v>0</v>
      </c>
      <c r="AE1339" s="1360">
        <v>0</v>
      </c>
      <c r="AF1339" s="1360">
        <v>0</v>
      </c>
      <c r="AG1339" s="1360">
        <v>0</v>
      </c>
      <c r="AH1339" s="1360">
        <v>0</v>
      </c>
      <c r="AI1339" s="1360">
        <v>0</v>
      </c>
    </row>
    <row r="1340" spans="1:35" ht="14.5">
      <c r="A1340" s="990">
        <v>1</v>
      </c>
      <c r="B1340" s="990">
        <v>1</v>
      </c>
      <c r="C1340" s="990" t="s">
        <v>1129</v>
      </c>
      <c r="D1340" s="9" t="s">
        <v>999</v>
      </c>
      <c r="E1340" s="1463" t="s">
        <v>1521</v>
      </c>
      <c r="F1340" s="1459"/>
      <c r="G1340"/>
      <c r="H1340" s="5"/>
      <c r="I1340" s="1809"/>
      <c r="J1340" s="1832"/>
      <c r="K1340" s="1348"/>
      <c r="L1340" s="31"/>
      <c r="M1340" s="14" t="s">
        <v>95</v>
      </c>
      <c r="N1340" s="14"/>
      <c r="O1340" s="14"/>
      <c r="P1340" s="1340"/>
      <c r="Q1340" s="1359">
        <v>0</v>
      </c>
      <c r="R1340" s="1359">
        <v>0</v>
      </c>
      <c r="S1340" s="1359">
        <v>0</v>
      </c>
      <c r="T1340" s="1359">
        <v>0</v>
      </c>
      <c r="U1340" s="1359">
        <v>0</v>
      </c>
      <c r="V1340" s="1359">
        <v>0</v>
      </c>
      <c r="W1340" s="1359">
        <v>0</v>
      </c>
      <c r="X1340" s="1359">
        <v>0</v>
      </c>
      <c r="Y1340" s="1359">
        <v>0</v>
      </c>
      <c r="Z1340" s="1359">
        <v>0</v>
      </c>
      <c r="AA1340" s="1359">
        <v>0</v>
      </c>
      <c r="AB1340" s="1359">
        <v>0</v>
      </c>
      <c r="AC1340" s="1359">
        <v>0</v>
      </c>
      <c r="AD1340" s="1359">
        <v>0</v>
      </c>
      <c r="AE1340" s="1359">
        <v>0</v>
      </c>
      <c r="AF1340" s="1359">
        <v>0</v>
      </c>
      <c r="AG1340" s="1359">
        <v>0</v>
      </c>
      <c r="AH1340" s="1359">
        <v>0</v>
      </c>
      <c r="AI1340" s="1359">
        <v>0</v>
      </c>
    </row>
    <row r="1341" spans="1:35" ht="14.5">
      <c r="A1341" s="990">
        <v>1</v>
      </c>
      <c r="B1341" s="990">
        <v>1</v>
      </c>
      <c r="C1341" s="990" t="s">
        <v>1129</v>
      </c>
      <c r="D1341" s="9" t="s">
        <v>999</v>
      </c>
      <c r="E1341" s="1463" t="s">
        <v>1521</v>
      </c>
      <c r="F1341" s="1459"/>
      <c r="G1341"/>
      <c r="H1341" s="5"/>
      <c r="I1341" s="1809"/>
      <c r="J1341" s="1832"/>
      <c r="K1341" s="1348"/>
      <c r="L1341" s="1351"/>
      <c r="M1341" s="1351"/>
      <c r="N1341" s="1351" t="s">
        <v>1624</v>
      </c>
      <c r="O1341" s="1352"/>
      <c r="P1341" s="1353"/>
      <c r="Q1341" s="2189"/>
      <c r="R1341" s="2189"/>
      <c r="S1341" s="2189"/>
      <c r="T1341" s="2189"/>
      <c r="U1341" s="2189"/>
      <c r="V1341" s="2189"/>
      <c r="W1341" s="2189"/>
      <c r="X1341" s="2189"/>
      <c r="Y1341" s="2189"/>
      <c r="Z1341" s="2189"/>
      <c r="AA1341" s="2189"/>
      <c r="AB1341" s="2189"/>
      <c r="AC1341" s="1360">
        <v>0</v>
      </c>
      <c r="AD1341" s="1360">
        <v>0</v>
      </c>
      <c r="AE1341" s="1360">
        <v>0</v>
      </c>
      <c r="AF1341" s="1360">
        <v>0</v>
      </c>
      <c r="AG1341" s="1360">
        <v>0</v>
      </c>
      <c r="AH1341" s="1360">
        <v>0</v>
      </c>
      <c r="AI1341" s="1360">
        <v>0</v>
      </c>
    </row>
    <row r="1342" spans="1:35" ht="14.5">
      <c r="A1342" s="990">
        <v>1</v>
      </c>
      <c r="B1342" s="990">
        <v>1</v>
      </c>
      <c r="C1342" s="990" t="s">
        <v>1129</v>
      </c>
      <c r="D1342" s="9" t="s">
        <v>999</v>
      </c>
      <c r="E1342" s="1463" t="s">
        <v>1521</v>
      </c>
      <c r="F1342" s="1459"/>
      <c r="G1342"/>
      <c r="H1342" s="5"/>
      <c r="I1342" s="1809"/>
      <c r="J1342" s="1832"/>
      <c r="K1342" s="1348"/>
      <c r="L1342" s="14" t="s">
        <v>1625</v>
      </c>
      <c r="M1342" s="31"/>
      <c r="N1342" s="14"/>
      <c r="O1342" s="14"/>
      <c r="P1342" s="1340"/>
      <c r="Q1342" s="1359">
        <v>0</v>
      </c>
      <c r="R1342" s="1359">
        <v>0</v>
      </c>
      <c r="S1342" s="1359">
        <v>0</v>
      </c>
      <c r="T1342" s="1359">
        <v>0</v>
      </c>
      <c r="U1342" s="1359">
        <v>0</v>
      </c>
      <c r="V1342" s="1359">
        <v>0</v>
      </c>
      <c r="W1342" s="1359">
        <v>0</v>
      </c>
      <c r="X1342" s="1359">
        <v>0</v>
      </c>
      <c r="Y1342" s="1359">
        <v>0</v>
      </c>
      <c r="Z1342" s="1359">
        <v>0</v>
      </c>
      <c r="AA1342" s="1359">
        <v>0</v>
      </c>
      <c r="AB1342" s="1359">
        <v>0</v>
      </c>
      <c r="AC1342" s="1359">
        <v>0</v>
      </c>
      <c r="AD1342" s="1359">
        <v>0</v>
      </c>
      <c r="AE1342" s="1359">
        <v>0</v>
      </c>
      <c r="AF1342" s="1359">
        <v>0</v>
      </c>
      <c r="AG1342" s="1359">
        <v>0</v>
      </c>
      <c r="AH1342" s="1359">
        <v>0</v>
      </c>
      <c r="AI1342" s="1359">
        <v>0</v>
      </c>
    </row>
    <row r="1343" spans="1:35" ht="14.5">
      <c r="A1343" s="990">
        <v>1</v>
      </c>
      <c r="B1343" s="990">
        <v>1</v>
      </c>
      <c r="C1343" s="990" t="s">
        <v>1129</v>
      </c>
      <c r="D1343" s="9" t="s">
        <v>999</v>
      </c>
      <c r="E1343" s="1463" t="s">
        <v>1521</v>
      </c>
      <c r="F1343" s="1459"/>
      <c r="G1343"/>
      <c r="H1343" s="5"/>
      <c r="I1343" s="1809"/>
      <c r="J1343" s="1832"/>
      <c r="K1343" s="1348"/>
      <c r="L1343" s="31"/>
      <c r="M1343" s="31" t="s">
        <v>1626</v>
      </c>
      <c r="N1343" s="14"/>
      <c r="O1343" s="14"/>
      <c r="P1343" s="1340"/>
      <c r="Q1343" s="2188"/>
      <c r="R1343" s="2188"/>
      <c r="S1343" s="2188"/>
      <c r="T1343" s="2188"/>
      <c r="U1343" s="2188"/>
      <c r="V1343" s="2188"/>
      <c r="W1343" s="2188"/>
      <c r="X1343" s="2188"/>
      <c r="Y1343" s="2188"/>
      <c r="Z1343" s="2188"/>
      <c r="AA1343" s="2188"/>
      <c r="AB1343" s="2188"/>
      <c r="AC1343" s="1359">
        <v>0</v>
      </c>
      <c r="AD1343" s="1359">
        <v>0</v>
      </c>
      <c r="AE1343" s="1359">
        <v>0</v>
      </c>
      <c r="AF1343" s="1359">
        <v>0</v>
      </c>
      <c r="AG1343" s="1359">
        <v>0</v>
      </c>
      <c r="AH1343" s="1359">
        <v>0</v>
      </c>
      <c r="AI1343" s="1359">
        <v>0</v>
      </c>
    </row>
    <row r="1344" spans="1:35" ht="14.5">
      <c r="A1344" s="990">
        <v>1</v>
      </c>
      <c r="B1344" s="990">
        <v>1</v>
      </c>
      <c r="C1344" s="990" t="s">
        <v>1129</v>
      </c>
      <c r="D1344" s="9" t="s">
        <v>999</v>
      </c>
      <c r="E1344" s="1463" t="s">
        <v>1521</v>
      </c>
      <c r="F1344" s="1459"/>
      <c r="G1344"/>
      <c r="H1344" s="5"/>
      <c r="I1344" s="1809"/>
      <c r="J1344" s="1832"/>
      <c r="K1344" s="1349"/>
      <c r="L1344" s="1343"/>
      <c r="M1344" s="1343" t="s">
        <v>1627</v>
      </c>
      <c r="N1344" s="1341"/>
      <c r="O1344" s="1341"/>
      <c r="P1344" s="1342"/>
      <c r="Q1344" s="2190"/>
      <c r="R1344" s="2190"/>
      <c r="S1344" s="2190"/>
      <c r="T1344" s="2190"/>
      <c r="U1344" s="2190"/>
      <c r="V1344" s="2190"/>
      <c r="W1344" s="2190"/>
      <c r="X1344" s="2190"/>
      <c r="Y1344" s="2190"/>
      <c r="Z1344" s="2190"/>
      <c r="AA1344" s="2190"/>
      <c r="AB1344" s="2190"/>
      <c r="AC1344" s="1361">
        <v>0</v>
      </c>
      <c r="AD1344" s="1361">
        <v>0</v>
      </c>
      <c r="AE1344" s="1361">
        <v>0</v>
      </c>
      <c r="AF1344" s="1361">
        <v>0</v>
      </c>
      <c r="AG1344" s="1361">
        <v>0</v>
      </c>
      <c r="AH1344" s="1361">
        <v>0</v>
      </c>
      <c r="AI1344" s="1361">
        <v>0</v>
      </c>
    </row>
    <row r="1345" spans="1:35" ht="14.5">
      <c r="A1345" s="990">
        <v>1</v>
      </c>
      <c r="B1345" s="990">
        <v>1</v>
      </c>
      <c r="C1345" s="990" t="s">
        <v>1129</v>
      </c>
      <c r="D1345" s="9" t="s">
        <v>999</v>
      </c>
      <c r="E1345" s="1463" t="s">
        <v>1521</v>
      </c>
      <c r="F1345" s="1459"/>
      <c r="G1345"/>
      <c r="H1345" s="5"/>
      <c r="I1345" s="1809"/>
      <c r="J1345" s="1833"/>
      <c r="K1345" s="2645" t="s">
        <v>1023</v>
      </c>
      <c r="L1345" s="2646"/>
      <c r="M1345" s="2646"/>
      <c r="N1345" s="2647"/>
      <c r="O1345" s="2647"/>
      <c r="P1345" s="2743"/>
      <c r="Q1345" s="2191"/>
      <c r="R1345" s="2191"/>
      <c r="S1345" s="2191"/>
      <c r="T1345" s="2191"/>
      <c r="U1345" s="2191"/>
      <c r="V1345" s="2191"/>
      <c r="W1345" s="2191"/>
      <c r="X1345" s="2191"/>
      <c r="Y1345" s="2191"/>
      <c r="Z1345" s="2191"/>
      <c r="AA1345" s="2191"/>
      <c r="AB1345" s="2191"/>
      <c r="AC1345" s="2744">
        <v>0</v>
      </c>
      <c r="AD1345" s="2744">
        <v>0</v>
      </c>
      <c r="AE1345" s="2744">
        <v>0</v>
      </c>
      <c r="AF1345" s="2744">
        <v>0</v>
      </c>
      <c r="AG1345" s="2744">
        <v>0</v>
      </c>
      <c r="AH1345" s="2744">
        <v>0</v>
      </c>
      <c r="AI1345" s="2744">
        <v>0</v>
      </c>
    </row>
    <row r="1346" spans="1:35" ht="14.5">
      <c r="A1346" s="990">
        <v>1</v>
      </c>
      <c r="B1346" s="990">
        <v>1</v>
      </c>
      <c r="C1346" s="990" t="s">
        <v>1129</v>
      </c>
      <c r="D1346" s="9" t="s">
        <v>999</v>
      </c>
      <c r="E1346" s="1463" t="s">
        <v>1521</v>
      </c>
      <c r="F1346" s="1459"/>
      <c r="G1346"/>
      <c r="H1346" s="5"/>
      <c r="I1346" s="1809"/>
      <c r="J1346" s="2745" t="s">
        <v>1628</v>
      </c>
      <c r="K1346" s="1833"/>
      <c r="L1346" s="1833"/>
      <c r="M1346" s="1833"/>
      <c r="N1346" s="1829"/>
      <c r="O1346" s="1829"/>
      <c r="P1346" s="1830"/>
      <c r="Q1346" s="1831"/>
      <c r="R1346" s="1831"/>
      <c r="S1346" s="1831"/>
      <c r="T1346" s="1831"/>
      <c r="U1346" s="1831"/>
      <c r="V1346" s="1831"/>
      <c r="W1346" s="1831"/>
      <c r="X1346" s="1831"/>
      <c r="Y1346" s="1831"/>
      <c r="Z1346" s="1831"/>
      <c r="AA1346" s="1831"/>
      <c r="AB1346" s="1831"/>
      <c r="AC1346" s="1831">
        <v>0</v>
      </c>
      <c r="AD1346" s="1831">
        <v>0</v>
      </c>
      <c r="AE1346" s="1831">
        <v>0</v>
      </c>
      <c r="AF1346" s="1831">
        <v>0</v>
      </c>
      <c r="AG1346" s="1831">
        <v>0</v>
      </c>
      <c r="AH1346" s="1831">
        <v>0</v>
      </c>
      <c r="AI1346" s="1831">
        <v>0</v>
      </c>
    </row>
    <row r="1347" spans="1:35" ht="14.5">
      <c r="A1347" s="990">
        <v>1</v>
      </c>
      <c r="B1347" s="990">
        <v>1</v>
      </c>
      <c r="C1347" s="990" t="s">
        <v>1129</v>
      </c>
      <c r="D1347" s="9" t="s">
        <v>999</v>
      </c>
      <c r="E1347" s="1463" t="s">
        <v>1521</v>
      </c>
      <c r="F1347" s="1459"/>
      <c r="G1347"/>
      <c r="H1347" s="5"/>
      <c r="I1347" s="1809"/>
      <c r="J1347" s="1828" t="s">
        <v>1629</v>
      </c>
      <c r="K1347" s="1832"/>
      <c r="L1347" s="1832"/>
      <c r="M1347" s="1832"/>
      <c r="N1347" s="1828"/>
      <c r="O1347" s="1828"/>
      <c r="P1347" s="1835"/>
      <c r="Q1347" s="1836"/>
      <c r="R1347" s="1836"/>
      <c r="S1347" s="1836"/>
      <c r="T1347" s="1836"/>
      <c r="U1347" s="1836"/>
      <c r="V1347" s="1836"/>
      <c r="W1347" s="1836"/>
      <c r="X1347" s="1836"/>
      <c r="Y1347" s="1836"/>
      <c r="Z1347" s="1836"/>
      <c r="AA1347" s="1836"/>
      <c r="AB1347" s="1836"/>
      <c r="AC1347" s="1836">
        <v>0</v>
      </c>
      <c r="AD1347" s="1836">
        <v>0</v>
      </c>
      <c r="AE1347" s="1836">
        <v>0</v>
      </c>
      <c r="AF1347" s="1836">
        <v>0</v>
      </c>
      <c r="AG1347" s="1836">
        <v>0</v>
      </c>
      <c r="AH1347" s="1836">
        <v>0</v>
      </c>
      <c r="AI1347" s="1836">
        <v>0</v>
      </c>
    </row>
    <row r="1348" spans="1:35" ht="14.5">
      <c r="A1348" s="990">
        <v>1</v>
      </c>
      <c r="B1348" s="990">
        <v>1</v>
      </c>
      <c r="C1348" s="990" t="s">
        <v>1129</v>
      </c>
      <c r="D1348" s="9" t="s">
        <v>999</v>
      </c>
      <c r="E1348" s="1463" t="s">
        <v>1521</v>
      </c>
      <c r="F1348" s="1459"/>
      <c r="G1348"/>
      <c r="H1348" s="5"/>
      <c r="I1348" s="1801" t="s">
        <v>680</v>
      </c>
      <c r="J1348" s="1802"/>
      <c r="K1348" s="1803"/>
      <c r="L1348" s="1803"/>
      <c r="M1348" s="1808"/>
      <c r="N1348" s="1808" t="s">
        <v>1630</v>
      </c>
      <c r="O1348" s="1803"/>
      <c r="P1348" s="2741"/>
      <c r="Q1348" s="1806">
        <v>0</v>
      </c>
      <c r="R1348" s="1806">
        <v>0</v>
      </c>
      <c r="S1348" s="1806">
        <v>0</v>
      </c>
      <c r="T1348" s="1806">
        <v>0</v>
      </c>
      <c r="U1348" s="1806">
        <v>0</v>
      </c>
      <c r="V1348" s="1806">
        <v>0</v>
      </c>
      <c r="W1348" s="1806">
        <v>0</v>
      </c>
      <c r="X1348" s="1806">
        <v>0</v>
      </c>
      <c r="Y1348" s="1806">
        <v>0</v>
      </c>
      <c r="Z1348" s="1806">
        <v>0</v>
      </c>
      <c r="AA1348" s="1806">
        <v>0</v>
      </c>
      <c r="AB1348" s="1806">
        <v>0</v>
      </c>
      <c r="AC1348" s="1806">
        <v>0</v>
      </c>
      <c r="AD1348" s="1806">
        <v>0</v>
      </c>
      <c r="AE1348" s="1806">
        <v>0</v>
      </c>
      <c r="AF1348" s="1806">
        <v>0</v>
      </c>
      <c r="AG1348" s="1806">
        <v>0</v>
      </c>
      <c r="AH1348" s="1806">
        <v>0</v>
      </c>
      <c r="AI1348" s="1806">
        <v>0</v>
      </c>
    </row>
    <row r="1349" spans="1:35" ht="14.5">
      <c r="A1349" s="990">
        <v>1</v>
      </c>
      <c r="B1349" s="990">
        <v>1</v>
      </c>
      <c r="C1349" s="990" t="s">
        <v>1129</v>
      </c>
      <c r="D1349" s="9" t="s">
        <v>999</v>
      </c>
      <c r="E1349" s="1463" t="s">
        <v>1521</v>
      </c>
      <c r="F1349" s="1459"/>
      <c r="G1349"/>
      <c r="H1349" s="5"/>
      <c r="I1349" s="1809"/>
      <c r="J1349" s="1828" t="s">
        <v>1621</v>
      </c>
      <c r="K1349" s="1829"/>
      <c r="L1349" s="1829"/>
      <c r="M1349" s="1829"/>
      <c r="N1349" s="1829"/>
      <c r="O1349" s="1829"/>
      <c r="P1349" s="1830"/>
      <c r="Q1349" s="1831">
        <v>0</v>
      </c>
      <c r="R1349" s="1831">
        <v>0</v>
      </c>
      <c r="S1349" s="1831">
        <v>0</v>
      </c>
      <c r="T1349" s="1831">
        <v>0</v>
      </c>
      <c r="U1349" s="1831">
        <v>0</v>
      </c>
      <c r="V1349" s="1831">
        <v>0</v>
      </c>
      <c r="W1349" s="1831">
        <v>0</v>
      </c>
      <c r="X1349" s="1831">
        <v>0</v>
      </c>
      <c r="Y1349" s="1831">
        <v>0</v>
      </c>
      <c r="Z1349" s="1831">
        <v>0</v>
      </c>
      <c r="AA1349" s="1831">
        <v>0</v>
      </c>
      <c r="AB1349" s="1831">
        <v>0</v>
      </c>
      <c r="AC1349" s="1831">
        <v>0</v>
      </c>
      <c r="AD1349" s="1831">
        <v>0</v>
      </c>
      <c r="AE1349" s="1831">
        <v>0</v>
      </c>
      <c r="AF1349" s="1831">
        <v>0</v>
      </c>
      <c r="AG1349" s="1831">
        <v>0</v>
      </c>
      <c r="AH1349" s="1831">
        <v>0</v>
      </c>
      <c r="AI1349" s="1831">
        <v>0</v>
      </c>
    </row>
    <row r="1350" spans="1:35" ht="14.5">
      <c r="A1350" s="990">
        <v>1</v>
      </c>
      <c r="B1350" s="990">
        <v>1</v>
      </c>
      <c r="C1350" s="990" t="s">
        <v>1129</v>
      </c>
      <c r="D1350" s="9" t="s">
        <v>999</v>
      </c>
      <c r="E1350" s="1463" t="s">
        <v>1521</v>
      </c>
      <c r="F1350" s="1459"/>
      <c r="G1350"/>
      <c r="H1350" s="5"/>
      <c r="I1350" s="1809"/>
      <c r="J1350" s="1832"/>
      <c r="K1350" s="2742" t="s">
        <v>1022</v>
      </c>
      <c r="L1350" s="1344"/>
      <c r="M1350" s="1345"/>
      <c r="N1350" s="1344"/>
      <c r="O1350" s="1344"/>
      <c r="P1350" s="1346"/>
      <c r="Q1350" s="1357">
        <v>0</v>
      </c>
      <c r="R1350" s="1357">
        <v>0</v>
      </c>
      <c r="S1350" s="1357">
        <v>0</v>
      </c>
      <c r="T1350" s="1357">
        <v>0</v>
      </c>
      <c r="U1350" s="1357">
        <v>0</v>
      </c>
      <c r="V1350" s="1357">
        <v>0</v>
      </c>
      <c r="W1350" s="1357">
        <v>0</v>
      </c>
      <c r="X1350" s="1357">
        <v>0</v>
      </c>
      <c r="Y1350" s="1357">
        <v>0</v>
      </c>
      <c r="Z1350" s="1357">
        <v>0</v>
      </c>
      <c r="AA1350" s="1357">
        <v>0</v>
      </c>
      <c r="AB1350" s="1357">
        <v>0</v>
      </c>
      <c r="AC1350" s="1357">
        <v>0</v>
      </c>
      <c r="AD1350" s="1357">
        <v>0</v>
      </c>
      <c r="AE1350" s="1357">
        <v>0</v>
      </c>
      <c r="AF1350" s="1357">
        <v>0</v>
      </c>
      <c r="AG1350" s="1357">
        <v>0</v>
      </c>
      <c r="AH1350" s="1357">
        <v>0</v>
      </c>
      <c r="AI1350" s="1357">
        <v>0</v>
      </c>
    </row>
    <row r="1351" spans="1:35" ht="14.5">
      <c r="A1351" s="990">
        <v>1</v>
      </c>
      <c r="B1351" s="990">
        <v>1</v>
      </c>
      <c r="C1351" s="990" t="s">
        <v>1129</v>
      </c>
      <c r="D1351" s="9" t="s">
        <v>999</v>
      </c>
      <c r="E1351" s="1463" t="s">
        <v>1521</v>
      </c>
      <c r="F1351" s="1459"/>
      <c r="G1351"/>
      <c r="H1351" s="5"/>
      <c r="I1351" s="1809"/>
      <c r="J1351" s="1832"/>
      <c r="K1351" s="32"/>
      <c r="L1351" s="14" t="s">
        <v>1622</v>
      </c>
      <c r="M1351" s="1354"/>
      <c r="N1351" s="1355"/>
      <c r="O1351" s="1355"/>
      <c r="P1351" s="1356"/>
      <c r="Q1351" s="1358">
        <v>0</v>
      </c>
      <c r="R1351" s="1358">
        <v>0</v>
      </c>
      <c r="S1351" s="1358">
        <v>0</v>
      </c>
      <c r="T1351" s="1358">
        <v>0</v>
      </c>
      <c r="U1351" s="1358">
        <v>0</v>
      </c>
      <c r="V1351" s="1358">
        <v>0</v>
      </c>
      <c r="W1351" s="1358">
        <v>0</v>
      </c>
      <c r="X1351" s="1358">
        <v>0</v>
      </c>
      <c r="Y1351" s="1358">
        <v>0</v>
      </c>
      <c r="Z1351" s="1358">
        <v>0</v>
      </c>
      <c r="AA1351" s="1358">
        <v>0</v>
      </c>
      <c r="AB1351" s="1358">
        <v>0</v>
      </c>
      <c r="AC1351" s="1358">
        <v>0</v>
      </c>
      <c r="AD1351" s="1358">
        <v>0</v>
      </c>
      <c r="AE1351" s="1358">
        <v>0</v>
      </c>
      <c r="AF1351" s="1358">
        <v>0</v>
      </c>
      <c r="AG1351" s="1358">
        <v>0</v>
      </c>
      <c r="AH1351" s="1358">
        <v>0</v>
      </c>
      <c r="AI1351" s="1358">
        <v>0</v>
      </c>
    </row>
    <row r="1352" spans="1:35" ht="14.5">
      <c r="A1352" s="990">
        <v>1</v>
      </c>
      <c r="B1352" s="990">
        <v>1</v>
      </c>
      <c r="C1352" s="990" t="s">
        <v>1129</v>
      </c>
      <c r="D1352" s="9" t="s">
        <v>999</v>
      </c>
      <c r="E1352" s="1463" t="s">
        <v>1521</v>
      </c>
      <c r="F1352" s="1459"/>
      <c r="G1352"/>
      <c r="H1352" s="5"/>
      <c r="I1352" s="1809"/>
      <c r="J1352" s="1832"/>
      <c r="K1352" s="1348"/>
      <c r="L1352" s="31"/>
      <c r="M1352" s="14" t="s">
        <v>137</v>
      </c>
      <c r="N1352" s="14"/>
      <c r="O1352" s="14"/>
      <c r="P1352" s="1340"/>
      <c r="Q1352" s="1359">
        <v>0</v>
      </c>
      <c r="R1352" s="1359">
        <v>0</v>
      </c>
      <c r="S1352" s="1359">
        <v>0</v>
      </c>
      <c r="T1352" s="1359">
        <v>0</v>
      </c>
      <c r="U1352" s="1359">
        <v>0</v>
      </c>
      <c r="V1352" s="1359">
        <v>0</v>
      </c>
      <c r="W1352" s="1359">
        <v>0</v>
      </c>
      <c r="X1352" s="1359">
        <v>0</v>
      </c>
      <c r="Y1352" s="1359">
        <v>0</v>
      </c>
      <c r="Z1352" s="1359">
        <v>0</v>
      </c>
      <c r="AA1352" s="1359">
        <v>0</v>
      </c>
      <c r="AB1352" s="1359">
        <v>0</v>
      </c>
      <c r="AC1352" s="1359">
        <v>0</v>
      </c>
      <c r="AD1352" s="1359">
        <v>0</v>
      </c>
      <c r="AE1352" s="1359">
        <v>0</v>
      </c>
      <c r="AF1352" s="1359">
        <v>0</v>
      </c>
      <c r="AG1352" s="1359">
        <v>0</v>
      </c>
      <c r="AH1352" s="1359">
        <v>0</v>
      </c>
      <c r="AI1352" s="1359">
        <v>0</v>
      </c>
    </row>
    <row r="1353" spans="1:35" ht="14.5">
      <c r="A1353" s="990">
        <v>1</v>
      </c>
      <c r="B1353" s="990">
        <v>1</v>
      </c>
      <c r="C1353" s="990" t="s">
        <v>1129</v>
      </c>
      <c r="D1353" s="9" t="s">
        <v>999</v>
      </c>
      <c r="E1353" s="1463" t="s">
        <v>1521</v>
      </c>
      <c r="F1353" s="1459"/>
      <c r="G1353"/>
      <c r="H1353" s="5"/>
      <c r="I1353" s="1809"/>
      <c r="J1353" s="1832"/>
      <c r="K1353" s="1348"/>
      <c r="L1353" s="31"/>
      <c r="M1353" s="31"/>
      <c r="N1353" s="31" t="s">
        <v>1623</v>
      </c>
      <c r="O1353" s="14"/>
      <c r="P1353" s="1340"/>
      <c r="Q1353" s="2188"/>
      <c r="R1353" s="2188"/>
      <c r="S1353" s="2188"/>
      <c r="T1353" s="2188"/>
      <c r="U1353" s="2188"/>
      <c r="V1353" s="2188"/>
      <c r="W1353" s="2188"/>
      <c r="X1353" s="2188"/>
      <c r="Y1353" s="2188"/>
      <c r="Z1353" s="2188"/>
      <c r="AA1353" s="2188"/>
      <c r="AB1353" s="2188"/>
      <c r="AC1353" s="1359">
        <v>0</v>
      </c>
      <c r="AD1353" s="1359">
        <v>0</v>
      </c>
      <c r="AE1353" s="1359">
        <v>0</v>
      </c>
      <c r="AF1353" s="1359">
        <v>0</v>
      </c>
      <c r="AG1353" s="1359">
        <v>0</v>
      </c>
      <c r="AH1353" s="1359">
        <v>0</v>
      </c>
      <c r="AI1353" s="1359">
        <v>0</v>
      </c>
    </row>
    <row r="1354" spans="1:35" ht="14.5">
      <c r="A1354" s="990">
        <v>1</v>
      </c>
      <c r="B1354" s="990">
        <v>1</v>
      </c>
      <c r="C1354" s="990" t="s">
        <v>1129</v>
      </c>
      <c r="D1354" s="9" t="s">
        <v>999</v>
      </c>
      <c r="E1354" s="1463" t="s">
        <v>1521</v>
      </c>
      <c r="F1354" s="1459"/>
      <c r="G1354"/>
      <c r="H1354" s="5"/>
      <c r="I1354" s="1809"/>
      <c r="J1354" s="1832"/>
      <c r="K1354" s="1348"/>
      <c r="L1354" s="31"/>
      <c r="M1354" s="1351"/>
      <c r="N1354" s="1351" t="s">
        <v>11</v>
      </c>
      <c r="O1354" s="1352"/>
      <c r="P1354" s="1353"/>
      <c r="Q1354" s="2189"/>
      <c r="R1354" s="2189"/>
      <c r="S1354" s="2189"/>
      <c r="T1354" s="2189"/>
      <c r="U1354" s="2189"/>
      <c r="V1354" s="2189"/>
      <c r="W1354" s="2189"/>
      <c r="X1354" s="2189"/>
      <c r="Y1354" s="2189"/>
      <c r="Z1354" s="2189"/>
      <c r="AA1354" s="2189"/>
      <c r="AB1354" s="2189"/>
      <c r="AC1354" s="1360">
        <v>0</v>
      </c>
      <c r="AD1354" s="1360">
        <v>0</v>
      </c>
      <c r="AE1354" s="1360">
        <v>0</v>
      </c>
      <c r="AF1354" s="1360">
        <v>0</v>
      </c>
      <c r="AG1354" s="1360">
        <v>0</v>
      </c>
      <c r="AH1354" s="1360">
        <v>0</v>
      </c>
      <c r="AI1354" s="1360">
        <v>0</v>
      </c>
    </row>
    <row r="1355" spans="1:35" ht="14.5">
      <c r="A1355" s="990">
        <v>1</v>
      </c>
      <c r="B1355" s="990">
        <v>1</v>
      </c>
      <c r="C1355" s="990" t="s">
        <v>1129</v>
      </c>
      <c r="D1355" s="9" t="s">
        <v>999</v>
      </c>
      <c r="E1355" s="1463" t="s">
        <v>1521</v>
      </c>
      <c r="F1355" s="1459"/>
      <c r="G1355"/>
      <c r="H1355" s="5"/>
      <c r="I1355" s="1809"/>
      <c r="J1355" s="1832"/>
      <c r="K1355" s="1348"/>
      <c r="L1355" s="31"/>
      <c r="M1355" s="14" t="s">
        <v>95</v>
      </c>
      <c r="N1355" s="14"/>
      <c r="O1355" s="14"/>
      <c r="P1355" s="1340"/>
      <c r="Q1355" s="1359">
        <v>0</v>
      </c>
      <c r="R1355" s="1359">
        <v>0</v>
      </c>
      <c r="S1355" s="1359">
        <v>0</v>
      </c>
      <c r="T1355" s="1359">
        <v>0</v>
      </c>
      <c r="U1355" s="1359">
        <v>0</v>
      </c>
      <c r="V1355" s="1359">
        <v>0</v>
      </c>
      <c r="W1355" s="1359">
        <v>0</v>
      </c>
      <c r="X1355" s="1359">
        <v>0</v>
      </c>
      <c r="Y1355" s="1359">
        <v>0</v>
      </c>
      <c r="Z1355" s="1359">
        <v>0</v>
      </c>
      <c r="AA1355" s="1359">
        <v>0</v>
      </c>
      <c r="AB1355" s="1359">
        <v>0</v>
      </c>
      <c r="AC1355" s="1359">
        <v>0</v>
      </c>
      <c r="AD1355" s="1359">
        <v>0</v>
      </c>
      <c r="AE1355" s="1359">
        <v>0</v>
      </c>
      <c r="AF1355" s="1359">
        <v>0</v>
      </c>
      <c r="AG1355" s="1359">
        <v>0</v>
      </c>
      <c r="AH1355" s="1359">
        <v>0</v>
      </c>
      <c r="AI1355" s="1359">
        <v>0</v>
      </c>
    </row>
    <row r="1356" spans="1:35" ht="14.5">
      <c r="A1356" s="990">
        <v>1</v>
      </c>
      <c r="B1356" s="990">
        <v>1</v>
      </c>
      <c r="C1356" s="990" t="s">
        <v>1129</v>
      </c>
      <c r="D1356" s="9" t="s">
        <v>999</v>
      </c>
      <c r="E1356" s="1463" t="s">
        <v>1521</v>
      </c>
      <c r="F1356" s="1459"/>
      <c r="G1356"/>
      <c r="H1356" s="5"/>
      <c r="I1356" s="1809"/>
      <c r="J1356" s="1832"/>
      <c r="K1356" s="1348"/>
      <c r="L1356" s="1351"/>
      <c r="M1356" s="1351"/>
      <c r="N1356" s="1351" t="s">
        <v>1624</v>
      </c>
      <c r="O1356" s="1352"/>
      <c r="P1356" s="1353"/>
      <c r="Q1356" s="2189"/>
      <c r="R1356" s="2189"/>
      <c r="S1356" s="2189"/>
      <c r="T1356" s="2189"/>
      <c r="U1356" s="2189"/>
      <c r="V1356" s="2189"/>
      <c r="W1356" s="2189"/>
      <c r="X1356" s="2189"/>
      <c r="Y1356" s="2189"/>
      <c r="Z1356" s="2189"/>
      <c r="AA1356" s="2189"/>
      <c r="AB1356" s="2189"/>
      <c r="AC1356" s="1360">
        <v>0</v>
      </c>
      <c r="AD1356" s="1360">
        <v>0</v>
      </c>
      <c r="AE1356" s="1360">
        <v>0</v>
      </c>
      <c r="AF1356" s="1360">
        <v>0</v>
      </c>
      <c r="AG1356" s="1360">
        <v>0</v>
      </c>
      <c r="AH1356" s="1360">
        <v>0</v>
      </c>
      <c r="AI1356" s="1360">
        <v>0</v>
      </c>
    </row>
    <row r="1357" spans="1:35" ht="14.5">
      <c r="A1357" s="990">
        <v>1</v>
      </c>
      <c r="B1357" s="990">
        <v>1</v>
      </c>
      <c r="C1357" s="990" t="s">
        <v>1129</v>
      </c>
      <c r="D1357" s="9" t="s">
        <v>999</v>
      </c>
      <c r="E1357" s="1463" t="s">
        <v>1521</v>
      </c>
      <c r="F1357" s="1459"/>
      <c r="G1357"/>
      <c r="H1357" s="5"/>
      <c r="I1357" s="1809"/>
      <c r="J1357" s="1832"/>
      <c r="K1357" s="1348"/>
      <c r="L1357" s="14" t="s">
        <v>1625</v>
      </c>
      <c r="M1357" s="31"/>
      <c r="N1357" s="14"/>
      <c r="O1357" s="14"/>
      <c r="P1357" s="1340"/>
      <c r="Q1357" s="1359">
        <v>0</v>
      </c>
      <c r="R1357" s="1359">
        <v>0</v>
      </c>
      <c r="S1357" s="1359">
        <v>0</v>
      </c>
      <c r="T1357" s="1359">
        <v>0</v>
      </c>
      <c r="U1357" s="1359">
        <v>0</v>
      </c>
      <c r="V1357" s="1359">
        <v>0</v>
      </c>
      <c r="W1357" s="1359">
        <v>0</v>
      </c>
      <c r="X1357" s="1359">
        <v>0</v>
      </c>
      <c r="Y1357" s="1359">
        <v>0</v>
      </c>
      <c r="Z1357" s="1359">
        <v>0</v>
      </c>
      <c r="AA1357" s="1359">
        <v>0</v>
      </c>
      <c r="AB1357" s="1359">
        <v>0</v>
      </c>
      <c r="AC1357" s="1359">
        <v>0</v>
      </c>
      <c r="AD1357" s="1359">
        <v>0</v>
      </c>
      <c r="AE1357" s="1359">
        <v>0</v>
      </c>
      <c r="AF1357" s="1359">
        <v>0</v>
      </c>
      <c r="AG1357" s="1359">
        <v>0</v>
      </c>
      <c r="AH1357" s="1359">
        <v>0</v>
      </c>
      <c r="AI1357" s="1359">
        <v>0</v>
      </c>
    </row>
    <row r="1358" spans="1:35" ht="14.5">
      <c r="A1358" s="990">
        <v>1</v>
      </c>
      <c r="B1358" s="990">
        <v>1</v>
      </c>
      <c r="C1358" s="990" t="s">
        <v>1129</v>
      </c>
      <c r="D1358" s="9" t="s">
        <v>999</v>
      </c>
      <c r="E1358" s="1463" t="s">
        <v>1521</v>
      </c>
      <c r="F1358" s="1459"/>
      <c r="G1358"/>
      <c r="H1358" s="5"/>
      <c r="I1358" s="1809"/>
      <c r="J1358" s="1832"/>
      <c r="K1358" s="1348"/>
      <c r="L1358" s="31"/>
      <c r="M1358" s="31" t="s">
        <v>1626</v>
      </c>
      <c r="N1358" s="14"/>
      <c r="O1358" s="14"/>
      <c r="P1358" s="1340"/>
      <c r="Q1358" s="2188"/>
      <c r="R1358" s="2188"/>
      <c r="S1358" s="2188"/>
      <c r="T1358" s="2188"/>
      <c r="U1358" s="2188"/>
      <c r="V1358" s="2188"/>
      <c r="W1358" s="2188"/>
      <c r="X1358" s="2188"/>
      <c r="Y1358" s="2188"/>
      <c r="Z1358" s="2188"/>
      <c r="AA1358" s="2188"/>
      <c r="AB1358" s="2188"/>
      <c r="AC1358" s="1359">
        <v>0</v>
      </c>
      <c r="AD1358" s="1359">
        <v>0</v>
      </c>
      <c r="AE1358" s="1359">
        <v>0</v>
      </c>
      <c r="AF1358" s="1359">
        <v>0</v>
      </c>
      <c r="AG1358" s="1359">
        <v>0</v>
      </c>
      <c r="AH1358" s="1359">
        <v>0</v>
      </c>
      <c r="AI1358" s="1359">
        <v>0</v>
      </c>
    </row>
    <row r="1359" spans="1:35" ht="14.5">
      <c r="A1359" s="990">
        <v>1</v>
      </c>
      <c r="B1359" s="990">
        <v>1</v>
      </c>
      <c r="C1359" s="990" t="s">
        <v>1129</v>
      </c>
      <c r="D1359" s="9" t="s">
        <v>999</v>
      </c>
      <c r="E1359" s="1463" t="s">
        <v>1521</v>
      </c>
      <c r="F1359" s="1459"/>
      <c r="G1359"/>
      <c r="H1359" s="5"/>
      <c r="I1359" s="1809"/>
      <c r="J1359" s="1832"/>
      <c r="K1359" s="1349"/>
      <c r="L1359" s="1343"/>
      <c r="M1359" s="1343" t="s">
        <v>1627</v>
      </c>
      <c r="N1359" s="1341"/>
      <c r="O1359" s="1341"/>
      <c r="P1359" s="1342"/>
      <c r="Q1359" s="2190"/>
      <c r="R1359" s="2190"/>
      <c r="S1359" s="2190"/>
      <c r="T1359" s="2190"/>
      <c r="U1359" s="2190"/>
      <c r="V1359" s="2190"/>
      <c r="W1359" s="2190"/>
      <c r="X1359" s="2190"/>
      <c r="Y1359" s="2190"/>
      <c r="Z1359" s="2190"/>
      <c r="AA1359" s="2190"/>
      <c r="AB1359" s="2190"/>
      <c r="AC1359" s="1361">
        <v>0</v>
      </c>
      <c r="AD1359" s="1361">
        <v>0</v>
      </c>
      <c r="AE1359" s="1361">
        <v>0</v>
      </c>
      <c r="AF1359" s="1361">
        <v>0</v>
      </c>
      <c r="AG1359" s="1361">
        <v>0</v>
      </c>
      <c r="AH1359" s="1361">
        <v>0</v>
      </c>
      <c r="AI1359" s="1361">
        <v>0</v>
      </c>
    </row>
    <row r="1360" spans="1:35" ht="14.5">
      <c r="A1360" s="990">
        <v>1</v>
      </c>
      <c r="B1360" s="990">
        <v>1</v>
      </c>
      <c r="C1360" s="990" t="s">
        <v>1129</v>
      </c>
      <c r="D1360" s="9" t="s">
        <v>999</v>
      </c>
      <c r="E1360" s="1463" t="s">
        <v>1521</v>
      </c>
      <c r="F1360" s="1459"/>
      <c r="G1360"/>
      <c r="H1360" s="5"/>
      <c r="I1360" s="1809"/>
      <c r="J1360" s="1833"/>
      <c r="K1360" s="2645" t="s">
        <v>1023</v>
      </c>
      <c r="L1360" s="2646"/>
      <c r="M1360" s="2646"/>
      <c r="N1360" s="2647"/>
      <c r="O1360" s="2647"/>
      <c r="P1360" s="2743"/>
      <c r="Q1360" s="2191"/>
      <c r="R1360" s="2191"/>
      <c r="S1360" s="2191"/>
      <c r="T1360" s="2191"/>
      <c r="U1360" s="2191"/>
      <c r="V1360" s="2191"/>
      <c r="W1360" s="2191"/>
      <c r="X1360" s="2191"/>
      <c r="Y1360" s="2191"/>
      <c r="Z1360" s="2191"/>
      <c r="AA1360" s="2191"/>
      <c r="AB1360" s="2191"/>
      <c r="AC1360" s="2744">
        <v>0</v>
      </c>
      <c r="AD1360" s="2744">
        <v>0</v>
      </c>
      <c r="AE1360" s="2744">
        <v>0</v>
      </c>
      <c r="AF1360" s="2744">
        <v>0</v>
      </c>
      <c r="AG1360" s="2744">
        <v>0</v>
      </c>
      <c r="AH1360" s="2744">
        <v>0</v>
      </c>
      <c r="AI1360" s="2744">
        <v>0</v>
      </c>
    </row>
    <row r="1361" spans="1:35" ht="14.5">
      <c r="A1361" s="990">
        <v>1</v>
      </c>
      <c r="B1361" s="990">
        <v>1</v>
      </c>
      <c r="C1361" s="990" t="s">
        <v>1129</v>
      </c>
      <c r="D1361" s="9" t="s">
        <v>999</v>
      </c>
      <c r="E1361" s="1463" t="s">
        <v>1521</v>
      </c>
      <c r="F1361" s="1459"/>
      <c r="G1361"/>
      <c r="H1361" s="5"/>
      <c r="I1361" s="1809"/>
      <c r="J1361" s="2745" t="s">
        <v>1628</v>
      </c>
      <c r="K1361" s="1833"/>
      <c r="L1361" s="1833"/>
      <c r="M1361" s="1833"/>
      <c r="N1361" s="1829"/>
      <c r="O1361" s="1829"/>
      <c r="P1361" s="1830"/>
      <c r="Q1361" s="1831"/>
      <c r="R1361" s="1831"/>
      <c r="S1361" s="1831"/>
      <c r="T1361" s="1831"/>
      <c r="U1361" s="1831"/>
      <c r="V1361" s="1831"/>
      <c r="W1361" s="1831"/>
      <c r="X1361" s="1831"/>
      <c r="Y1361" s="1831"/>
      <c r="Z1361" s="1831"/>
      <c r="AA1361" s="1831"/>
      <c r="AB1361" s="1831"/>
      <c r="AC1361" s="1831">
        <v>0</v>
      </c>
      <c r="AD1361" s="1831">
        <v>0</v>
      </c>
      <c r="AE1361" s="1831">
        <v>0</v>
      </c>
      <c r="AF1361" s="1831">
        <v>0</v>
      </c>
      <c r="AG1361" s="1831">
        <v>0</v>
      </c>
      <c r="AH1361" s="1831">
        <v>0</v>
      </c>
      <c r="AI1361" s="1831">
        <v>0</v>
      </c>
    </row>
    <row r="1362" spans="1:35" ht="14.5">
      <c r="A1362" s="990">
        <v>1</v>
      </c>
      <c r="B1362" s="990">
        <v>1</v>
      </c>
      <c r="C1362" s="990" t="s">
        <v>1129</v>
      </c>
      <c r="D1362" s="9" t="s">
        <v>999</v>
      </c>
      <c r="E1362" s="1463" t="s">
        <v>1521</v>
      </c>
      <c r="F1362" s="1459"/>
      <c r="G1362"/>
      <c r="H1362" s="5"/>
      <c r="I1362" s="1809"/>
      <c r="J1362" s="1828" t="s">
        <v>1629</v>
      </c>
      <c r="K1362" s="1832"/>
      <c r="L1362" s="1832"/>
      <c r="M1362" s="1832"/>
      <c r="N1362" s="1828"/>
      <c r="O1362" s="1828"/>
      <c r="P1362" s="1835"/>
      <c r="Q1362" s="1836"/>
      <c r="R1362" s="1836"/>
      <c r="S1362" s="1836"/>
      <c r="T1362" s="1836"/>
      <c r="U1362" s="1836"/>
      <c r="V1362" s="1836"/>
      <c r="W1362" s="1836"/>
      <c r="X1362" s="1836"/>
      <c r="Y1362" s="1836"/>
      <c r="Z1362" s="1836"/>
      <c r="AA1362" s="1836"/>
      <c r="AB1362" s="1836"/>
      <c r="AC1362" s="1836">
        <v>0</v>
      </c>
      <c r="AD1362" s="1836">
        <v>0</v>
      </c>
      <c r="AE1362" s="1836">
        <v>0</v>
      </c>
      <c r="AF1362" s="1836">
        <v>0</v>
      </c>
      <c r="AG1362" s="1836">
        <v>0</v>
      </c>
      <c r="AH1362" s="1836">
        <v>0</v>
      </c>
      <c r="AI1362" s="1836">
        <v>0</v>
      </c>
    </row>
    <row r="1363" spans="1:35" ht="14.5">
      <c r="A1363" s="990">
        <v>1</v>
      </c>
      <c r="B1363" s="990">
        <v>1</v>
      </c>
      <c r="C1363" s="990" t="s">
        <v>1129</v>
      </c>
      <c r="D1363" s="9" t="s">
        <v>999</v>
      </c>
      <c r="E1363" s="1463" t="s">
        <v>1521</v>
      </c>
      <c r="F1363" s="1459"/>
      <c r="G1363"/>
      <c r="H1363" s="5"/>
      <c r="I1363" s="1801" t="s">
        <v>134</v>
      </c>
      <c r="J1363" s="1802"/>
      <c r="K1363" s="1803"/>
      <c r="L1363" s="1803"/>
      <c r="M1363" s="1803"/>
      <c r="N1363" s="1803"/>
      <c r="O1363" s="1803"/>
      <c r="P1363" s="2741"/>
      <c r="Q1363" s="1806">
        <v>0</v>
      </c>
      <c r="R1363" s="1806">
        <v>0</v>
      </c>
      <c r="S1363" s="1806">
        <v>0</v>
      </c>
      <c r="T1363" s="1806">
        <v>0</v>
      </c>
      <c r="U1363" s="1806">
        <v>0</v>
      </c>
      <c r="V1363" s="1806">
        <v>0</v>
      </c>
      <c r="W1363" s="1806">
        <v>0</v>
      </c>
      <c r="X1363" s="1806">
        <v>0</v>
      </c>
      <c r="Y1363" s="1806">
        <v>0</v>
      </c>
      <c r="Z1363" s="1806">
        <v>0</v>
      </c>
      <c r="AA1363" s="1806">
        <v>0</v>
      </c>
      <c r="AB1363" s="1806">
        <v>0</v>
      </c>
      <c r="AC1363" s="1806">
        <v>0</v>
      </c>
      <c r="AD1363" s="1806">
        <v>0</v>
      </c>
      <c r="AE1363" s="1806">
        <v>0</v>
      </c>
      <c r="AF1363" s="1806">
        <v>0</v>
      </c>
      <c r="AG1363" s="1806">
        <v>0</v>
      </c>
      <c r="AH1363" s="1806">
        <v>0</v>
      </c>
      <c r="AI1363" s="1806">
        <v>0</v>
      </c>
    </row>
    <row r="1364" spans="1:35" ht="14.5">
      <c r="A1364" s="990">
        <v>1</v>
      </c>
      <c r="B1364" s="990">
        <v>1</v>
      </c>
      <c r="C1364" s="990" t="s">
        <v>1129</v>
      </c>
      <c r="D1364" s="9" t="s">
        <v>999</v>
      </c>
      <c r="E1364" s="1463" t="s">
        <v>1521</v>
      </c>
      <c r="F1364" s="1459"/>
      <c r="G1364"/>
      <c r="H1364" s="5"/>
      <c r="I1364" s="1809"/>
      <c r="J1364" s="1828" t="s">
        <v>1621</v>
      </c>
      <c r="K1364" s="1829"/>
      <c r="L1364" s="1829"/>
      <c r="M1364" s="1829"/>
      <c r="N1364" s="1829"/>
      <c r="O1364" s="1829"/>
      <c r="P1364" s="1830"/>
      <c r="Q1364" s="1831">
        <v>0</v>
      </c>
      <c r="R1364" s="1831">
        <v>0</v>
      </c>
      <c r="S1364" s="1831">
        <v>0</v>
      </c>
      <c r="T1364" s="1831">
        <v>0</v>
      </c>
      <c r="U1364" s="1831">
        <v>0</v>
      </c>
      <c r="V1364" s="1831">
        <v>0</v>
      </c>
      <c r="W1364" s="1831">
        <v>0</v>
      </c>
      <c r="X1364" s="1831">
        <v>0</v>
      </c>
      <c r="Y1364" s="1831">
        <v>0</v>
      </c>
      <c r="Z1364" s="1831">
        <v>0</v>
      </c>
      <c r="AA1364" s="1831">
        <v>0</v>
      </c>
      <c r="AB1364" s="1831">
        <v>0</v>
      </c>
      <c r="AC1364" s="1831">
        <v>0</v>
      </c>
      <c r="AD1364" s="1831">
        <v>0</v>
      </c>
      <c r="AE1364" s="1831">
        <v>0</v>
      </c>
      <c r="AF1364" s="1831">
        <v>0</v>
      </c>
      <c r="AG1364" s="1831">
        <v>0</v>
      </c>
      <c r="AH1364" s="1831">
        <v>0</v>
      </c>
      <c r="AI1364" s="1831">
        <v>0</v>
      </c>
    </row>
    <row r="1365" spans="1:35" ht="14.5">
      <c r="A1365" s="990">
        <v>1</v>
      </c>
      <c r="B1365" s="990">
        <v>1</v>
      </c>
      <c r="C1365" s="990" t="s">
        <v>1129</v>
      </c>
      <c r="D1365" s="9" t="s">
        <v>999</v>
      </c>
      <c r="E1365" s="1463" t="s">
        <v>1521</v>
      </c>
      <c r="F1365" s="1459"/>
      <c r="G1365"/>
      <c r="H1365" s="5"/>
      <c r="I1365" s="1809"/>
      <c r="J1365" s="1832"/>
      <c r="K1365" s="2742" t="s">
        <v>1022</v>
      </c>
      <c r="L1365" s="1344"/>
      <c r="M1365" s="1345"/>
      <c r="N1365" s="1344"/>
      <c r="O1365" s="1344"/>
      <c r="P1365" s="1346"/>
      <c r="Q1365" s="1357">
        <v>0</v>
      </c>
      <c r="R1365" s="1357">
        <v>0</v>
      </c>
      <c r="S1365" s="1357">
        <v>0</v>
      </c>
      <c r="T1365" s="1357">
        <v>0</v>
      </c>
      <c r="U1365" s="1357">
        <v>0</v>
      </c>
      <c r="V1365" s="1357">
        <v>0</v>
      </c>
      <c r="W1365" s="1357">
        <v>0</v>
      </c>
      <c r="X1365" s="1357">
        <v>0</v>
      </c>
      <c r="Y1365" s="1357">
        <v>0</v>
      </c>
      <c r="Z1365" s="1357">
        <v>0</v>
      </c>
      <c r="AA1365" s="1357">
        <v>0</v>
      </c>
      <c r="AB1365" s="1357">
        <v>0</v>
      </c>
      <c r="AC1365" s="1357">
        <v>0</v>
      </c>
      <c r="AD1365" s="1357">
        <v>0</v>
      </c>
      <c r="AE1365" s="1357">
        <v>0</v>
      </c>
      <c r="AF1365" s="1357">
        <v>0</v>
      </c>
      <c r="AG1365" s="1357">
        <v>0</v>
      </c>
      <c r="AH1365" s="1357">
        <v>0</v>
      </c>
      <c r="AI1365" s="1357">
        <v>0</v>
      </c>
    </row>
    <row r="1366" spans="1:35" ht="14.5">
      <c r="A1366" s="990">
        <v>1</v>
      </c>
      <c r="B1366" s="990">
        <v>1</v>
      </c>
      <c r="C1366" s="990" t="s">
        <v>1129</v>
      </c>
      <c r="D1366" s="9" t="s">
        <v>999</v>
      </c>
      <c r="E1366" s="1463" t="s">
        <v>1521</v>
      </c>
      <c r="F1366" s="1459"/>
      <c r="G1366"/>
      <c r="H1366" s="5"/>
      <c r="I1366" s="1809"/>
      <c r="J1366" s="1832"/>
      <c r="K1366" s="32"/>
      <c r="L1366" s="14" t="s">
        <v>1622</v>
      </c>
      <c r="M1366" s="1354"/>
      <c r="N1366" s="1355"/>
      <c r="O1366" s="1355"/>
      <c r="P1366" s="1356"/>
      <c r="Q1366" s="1358">
        <v>0</v>
      </c>
      <c r="R1366" s="1358">
        <v>0</v>
      </c>
      <c r="S1366" s="1358">
        <v>0</v>
      </c>
      <c r="T1366" s="1358">
        <v>0</v>
      </c>
      <c r="U1366" s="1358">
        <v>0</v>
      </c>
      <c r="V1366" s="1358">
        <v>0</v>
      </c>
      <c r="W1366" s="1358">
        <v>0</v>
      </c>
      <c r="X1366" s="1358">
        <v>0</v>
      </c>
      <c r="Y1366" s="1358">
        <v>0</v>
      </c>
      <c r="Z1366" s="1358">
        <v>0</v>
      </c>
      <c r="AA1366" s="1358">
        <v>0</v>
      </c>
      <c r="AB1366" s="1358">
        <v>0</v>
      </c>
      <c r="AC1366" s="1358">
        <v>0</v>
      </c>
      <c r="AD1366" s="1358">
        <v>0</v>
      </c>
      <c r="AE1366" s="1358">
        <v>0</v>
      </c>
      <c r="AF1366" s="1358">
        <v>0</v>
      </c>
      <c r="AG1366" s="1358">
        <v>0</v>
      </c>
      <c r="AH1366" s="1358">
        <v>0</v>
      </c>
      <c r="AI1366" s="1358">
        <v>0</v>
      </c>
    </row>
    <row r="1367" spans="1:35" ht="14.5">
      <c r="A1367" s="990">
        <v>1</v>
      </c>
      <c r="B1367" s="990">
        <v>1</v>
      </c>
      <c r="C1367" s="990" t="s">
        <v>1129</v>
      </c>
      <c r="D1367" s="9" t="s">
        <v>999</v>
      </c>
      <c r="E1367" s="1463" t="s">
        <v>1521</v>
      </c>
      <c r="F1367" s="1459"/>
      <c r="G1367"/>
      <c r="H1367" s="5"/>
      <c r="I1367" s="1809"/>
      <c r="J1367" s="1832"/>
      <c r="K1367" s="1348"/>
      <c r="L1367" s="31"/>
      <c r="M1367" s="14" t="s">
        <v>137</v>
      </c>
      <c r="N1367" s="14"/>
      <c r="O1367" s="14"/>
      <c r="P1367" s="1340"/>
      <c r="Q1367" s="1359">
        <v>0</v>
      </c>
      <c r="R1367" s="1359">
        <v>0</v>
      </c>
      <c r="S1367" s="1359">
        <v>0</v>
      </c>
      <c r="T1367" s="1359">
        <v>0</v>
      </c>
      <c r="U1367" s="1359">
        <v>0</v>
      </c>
      <c r="V1367" s="1359">
        <v>0</v>
      </c>
      <c r="W1367" s="1359">
        <v>0</v>
      </c>
      <c r="X1367" s="1359">
        <v>0</v>
      </c>
      <c r="Y1367" s="1359">
        <v>0</v>
      </c>
      <c r="Z1367" s="1359">
        <v>0</v>
      </c>
      <c r="AA1367" s="1359">
        <v>0</v>
      </c>
      <c r="AB1367" s="1359">
        <v>0</v>
      </c>
      <c r="AC1367" s="1359">
        <v>0</v>
      </c>
      <c r="AD1367" s="1359">
        <v>0</v>
      </c>
      <c r="AE1367" s="1359">
        <v>0</v>
      </c>
      <c r="AF1367" s="1359">
        <v>0</v>
      </c>
      <c r="AG1367" s="1359">
        <v>0</v>
      </c>
      <c r="AH1367" s="1359">
        <v>0</v>
      </c>
      <c r="AI1367" s="1359">
        <v>0</v>
      </c>
    </row>
    <row r="1368" spans="1:35" ht="14.5">
      <c r="A1368" s="990">
        <v>1</v>
      </c>
      <c r="B1368" s="990">
        <v>1</v>
      </c>
      <c r="C1368" s="990" t="s">
        <v>1129</v>
      </c>
      <c r="D1368" s="9" t="s">
        <v>999</v>
      </c>
      <c r="E1368" s="1463" t="s">
        <v>1521</v>
      </c>
      <c r="F1368" s="1459"/>
      <c r="G1368"/>
      <c r="H1368" s="5"/>
      <c r="I1368" s="1809"/>
      <c r="J1368" s="1832"/>
      <c r="K1368" s="1348"/>
      <c r="L1368" s="31"/>
      <c r="M1368" s="31"/>
      <c r="N1368" s="31" t="s">
        <v>1623</v>
      </c>
      <c r="O1368" s="14"/>
      <c r="P1368" s="1340"/>
      <c r="Q1368" s="2188"/>
      <c r="R1368" s="2188"/>
      <c r="S1368" s="2188"/>
      <c r="T1368" s="2188"/>
      <c r="U1368" s="2188"/>
      <c r="V1368" s="2188"/>
      <c r="W1368" s="2188"/>
      <c r="X1368" s="2188"/>
      <c r="Y1368" s="2188"/>
      <c r="Z1368" s="2188"/>
      <c r="AA1368" s="2188"/>
      <c r="AB1368" s="2188"/>
      <c r="AC1368" s="1359">
        <v>0</v>
      </c>
      <c r="AD1368" s="1359">
        <v>0</v>
      </c>
      <c r="AE1368" s="1359">
        <v>0</v>
      </c>
      <c r="AF1368" s="1359">
        <v>0</v>
      </c>
      <c r="AG1368" s="1359">
        <v>0</v>
      </c>
      <c r="AH1368" s="1359">
        <v>0</v>
      </c>
      <c r="AI1368" s="1359">
        <v>0</v>
      </c>
    </row>
    <row r="1369" spans="1:35" ht="14.5">
      <c r="A1369" s="990">
        <v>1</v>
      </c>
      <c r="B1369" s="990">
        <v>1</v>
      </c>
      <c r="C1369" s="990" t="s">
        <v>1129</v>
      </c>
      <c r="D1369" s="9" t="s">
        <v>999</v>
      </c>
      <c r="E1369" s="1463" t="s">
        <v>1521</v>
      </c>
      <c r="F1369" s="1459"/>
      <c r="G1369"/>
      <c r="H1369" s="5"/>
      <c r="I1369" s="1809"/>
      <c r="J1369" s="1832"/>
      <c r="K1369" s="1348"/>
      <c r="L1369" s="31"/>
      <c r="M1369" s="1351"/>
      <c r="N1369" s="1351" t="s">
        <v>11</v>
      </c>
      <c r="O1369" s="1352"/>
      <c r="P1369" s="1353"/>
      <c r="Q1369" s="2189"/>
      <c r="R1369" s="2189"/>
      <c r="S1369" s="2189"/>
      <c r="T1369" s="2189"/>
      <c r="U1369" s="2189"/>
      <c r="V1369" s="2189"/>
      <c r="W1369" s="2189"/>
      <c r="X1369" s="2189"/>
      <c r="Y1369" s="2189"/>
      <c r="Z1369" s="2189"/>
      <c r="AA1369" s="2189"/>
      <c r="AB1369" s="2189"/>
      <c r="AC1369" s="1360">
        <v>0</v>
      </c>
      <c r="AD1369" s="1360">
        <v>0</v>
      </c>
      <c r="AE1369" s="1360">
        <v>0</v>
      </c>
      <c r="AF1369" s="1360">
        <v>0</v>
      </c>
      <c r="AG1369" s="1360">
        <v>0</v>
      </c>
      <c r="AH1369" s="1360">
        <v>0</v>
      </c>
      <c r="AI1369" s="1360">
        <v>0</v>
      </c>
    </row>
    <row r="1370" spans="1:35" ht="14.5">
      <c r="A1370" s="990">
        <v>1</v>
      </c>
      <c r="B1370" s="990">
        <v>1</v>
      </c>
      <c r="C1370" s="990" t="s">
        <v>1129</v>
      </c>
      <c r="D1370" s="9" t="s">
        <v>999</v>
      </c>
      <c r="E1370" s="1463" t="s">
        <v>1521</v>
      </c>
      <c r="F1370" s="1459"/>
      <c r="G1370"/>
      <c r="H1370" s="5"/>
      <c r="I1370" s="1809"/>
      <c r="J1370" s="1832"/>
      <c r="K1370" s="1348"/>
      <c r="L1370" s="31"/>
      <c r="M1370" s="14" t="s">
        <v>95</v>
      </c>
      <c r="N1370" s="14"/>
      <c r="O1370" s="14"/>
      <c r="P1370" s="1340"/>
      <c r="Q1370" s="1359">
        <v>0</v>
      </c>
      <c r="R1370" s="1359">
        <v>0</v>
      </c>
      <c r="S1370" s="1359">
        <v>0</v>
      </c>
      <c r="T1370" s="1359">
        <v>0</v>
      </c>
      <c r="U1370" s="1359">
        <v>0</v>
      </c>
      <c r="V1370" s="1359">
        <v>0</v>
      </c>
      <c r="W1370" s="1359">
        <v>0</v>
      </c>
      <c r="X1370" s="1359">
        <v>0</v>
      </c>
      <c r="Y1370" s="1359">
        <v>0</v>
      </c>
      <c r="Z1370" s="1359">
        <v>0</v>
      </c>
      <c r="AA1370" s="1359">
        <v>0</v>
      </c>
      <c r="AB1370" s="1359">
        <v>0</v>
      </c>
      <c r="AC1370" s="1359">
        <v>0</v>
      </c>
      <c r="AD1370" s="1359">
        <v>0</v>
      </c>
      <c r="AE1370" s="1359">
        <v>0</v>
      </c>
      <c r="AF1370" s="1359">
        <v>0</v>
      </c>
      <c r="AG1370" s="1359">
        <v>0</v>
      </c>
      <c r="AH1370" s="1359">
        <v>0</v>
      </c>
      <c r="AI1370" s="1359">
        <v>0</v>
      </c>
    </row>
    <row r="1371" spans="1:35" ht="14.5">
      <c r="A1371" s="990">
        <v>1</v>
      </c>
      <c r="B1371" s="990">
        <v>1</v>
      </c>
      <c r="C1371" s="990" t="s">
        <v>1129</v>
      </c>
      <c r="D1371" s="9" t="s">
        <v>999</v>
      </c>
      <c r="E1371" s="1463" t="s">
        <v>1521</v>
      </c>
      <c r="F1371" s="1459"/>
      <c r="G1371"/>
      <c r="H1371" s="5"/>
      <c r="I1371" s="1809"/>
      <c r="J1371" s="1832"/>
      <c r="K1371" s="1348"/>
      <c r="L1371" s="1351"/>
      <c r="M1371" s="1351"/>
      <c r="N1371" s="1351" t="s">
        <v>1624</v>
      </c>
      <c r="O1371" s="1352"/>
      <c r="P1371" s="1353"/>
      <c r="Q1371" s="2189"/>
      <c r="R1371" s="2189"/>
      <c r="S1371" s="2189"/>
      <c r="T1371" s="2189"/>
      <c r="U1371" s="2189"/>
      <c r="V1371" s="2189"/>
      <c r="W1371" s="2189"/>
      <c r="X1371" s="2189"/>
      <c r="Y1371" s="2189"/>
      <c r="Z1371" s="2189"/>
      <c r="AA1371" s="2189"/>
      <c r="AB1371" s="2189"/>
      <c r="AC1371" s="1360">
        <v>0</v>
      </c>
      <c r="AD1371" s="1360">
        <v>0</v>
      </c>
      <c r="AE1371" s="1360">
        <v>0</v>
      </c>
      <c r="AF1371" s="1360">
        <v>0</v>
      </c>
      <c r="AG1371" s="1360">
        <v>0</v>
      </c>
      <c r="AH1371" s="1360">
        <v>0</v>
      </c>
      <c r="AI1371" s="1360">
        <v>0</v>
      </c>
    </row>
    <row r="1372" spans="1:35" ht="14.5">
      <c r="A1372" s="990">
        <v>1</v>
      </c>
      <c r="B1372" s="990">
        <v>1</v>
      </c>
      <c r="C1372" s="990" t="s">
        <v>1129</v>
      </c>
      <c r="D1372" s="9" t="s">
        <v>999</v>
      </c>
      <c r="E1372" s="1463" t="s">
        <v>1521</v>
      </c>
      <c r="F1372" s="1459"/>
      <c r="G1372"/>
      <c r="H1372" s="5"/>
      <c r="I1372" s="1809"/>
      <c r="J1372" s="1832"/>
      <c r="K1372" s="1348"/>
      <c r="L1372" s="14" t="s">
        <v>1625</v>
      </c>
      <c r="M1372" s="31"/>
      <c r="N1372" s="14"/>
      <c r="O1372" s="14"/>
      <c r="P1372" s="1340"/>
      <c r="Q1372" s="1359">
        <v>0</v>
      </c>
      <c r="R1372" s="1359">
        <v>0</v>
      </c>
      <c r="S1372" s="1359">
        <v>0</v>
      </c>
      <c r="T1372" s="1359">
        <v>0</v>
      </c>
      <c r="U1372" s="1359">
        <v>0</v>
      </c>
      <c r="V1372" s="1359">
        <v>0</v>
      </c>
      <c r="W1372" s="1359">
        <v>0</v>
      </c>
      <c r="X1372" s="1359">
        <v>0</v>
      </c>
      <c r="Y1372" s="1359">
        <v>0</v>
      </c>
      <c r="Z1372" s="1359">
        <v>0</v>
      </c>
      <c r="AA1372" s="1359">
        <v>0</v>
      </c>
      <c r="AB1372" s="1359">
        <v>0</v>
      </c>
      <c r="AC1372" s="1359">
        <v>0</v>
      </c>
      <c r="AD1372" s="1359">
        <v>0</v>
      </c>
      <c r="AE1372" s="1359">
        <v>0</v>
      </c>
      <c r="AF1372" s="1359">
        <v>0</v>
      </c>
      <c r="AG1372" s="1359">
        <v>0</v>
      </c>
      <c r="AH1372" s="1359">
        <v>0</v>
      </c>
      <c r="AI1372" s="1359">
        <v>0</v>
      </c>
    </row>
    <row r="1373" spans="1:35" ht="14.5">
      <c r="A1373" s="990">
        <v>1</v>
      </c>
      <c r="B1373" s="990">
        <v>1</v>
      </c>
      <c r="C1373" s="990" t="s">
        <v>1129</v>
      </c>
      <c r="D1373" s="9" t="s">
        <v>999</v>
      </c>
      <c r="E1373" s="1463" t="s">
        <v>1521</v>
      </c>
      <c r="F1373" s="1459"/>
      <c r="G1373"/>
      <c r="H1373" s="5"/>
      <c r="I1373" s="1809"/>
      <c r="J1373" s="1832"/>
      <c r="K1373" s="1348"/>
      <c r="L1373" s="31"/>
      <c r="M1373" s="31" t="s">
        <v>1626</v>
      </c>
      <c r="N1373" s="14"/>
      <c r="O1373" s="14"/>
      <c r="P1373" s="1340"/>
      <c r="Q1373" s="2188"/>
      <c r="R1373" s="2188"/>
      <c r="S1373" s="2188"/>
      <c r="T1373" s="2188"/>
      <c r="U1373" s="2188"/>
      <c r="V1373" s="2188"/>
      <c r="W1373" s="2188"/>
      <c r="X1373" s="2188"/>
      <c r="Y1373" s="2188"/>
      <c r="Z1373" s="2188"/>
      <c r="AA1373" s="2188"/>
      <c r="AB1373" s="2188"/>
      <c r="AC1373" s="1359">
        <v>0</v>
      </c>
      <c r="AD1373" s="1359">
        <v>0</v>
      </c>
      <c r="AE1373" s="1359">
        <v>0</v>
      </c>
      <c r="AF1373" s="1359">
        <v>0</v>
      </c>
      <c r="AG1373" s="1359">
        <v>0</v>
      </c>
      <c r="AH1373" s="1359">
        <v>0</v>
      </c>
      <c r="AI1373" s="1359">
        <v>0</v>
      </c>
    </row>
    <row r="1374" spans="1:35" ht="14.5">
      <c r="A1374" s="990">
        <v>1</v>
      </c>
      <c r="B1374" s="990">
        <v>1</v>
      </c>
      <c r="C1374" s="990" t="s">
        <v>1129</v>
      </c>
      <c r="D1374" s="9" t="s">
        <v>999</v>
      </c>
      <c r="E1374" s="1463" t="s">
        <v>1521</v>
      </c>
      <c r="F1374" s="1459"/>
      <c r="G1374"/>
      <c r="H1374" s="5"/>
      <c r="I1374" s="1809"/>
      <c r="J1374" s="1832"/>
      <c r="K1374" s="1349"/>
      <c r="L1374" s="1343"/>
      <c r="M1374" s="1343" t="s">
        <v>1627</v>
      </c>
      <c r="N1374" s="1341"/>
      <c r="O1374" s="1341"/>
      <c r="P1374" s="1342"/>
      <c r="Q1374" s="2190"/>
      <c r="R1374" s="2190"/>
      <c r="S1374" s="2190"/>
      <c r="T1374" s="2190"/>
      <c r="U1374" s="2190"/>
      <c r="V1374" s="2190"/>
      <c r="W1374" s="2190"/>
      <c r="X1374" s="2190"/>
      <c r="Y1374" s="2190"/>
      <c r="Z1374" s="2190"/>
      <c r="AA1374" s="2190"/>
      <c r="AB1374" s="2190"/>
      <c r="AC1374" s="1361">
        <v>0</v>
      </c>
      <c r="AD1374" s="1361">
        <v>0</v>
      </c>
      <c r="AE1374" s="1361">
        <v>0</v>
      </c>
      <c r="AF1374" s="1361">
        <v>0</v>
      </c>
      <c r="AG1374" s="1361">
        <v>0</v>
      </c>
      <c r="AH1374" s="1361">
        <v>0</v>
      </c>
      <c r="AI1374" s="1361">
        <v>0</v>
      </c>
    </row>
    <row r="1375" spans="1:35" ht="14.5">
      <c r="A1375" s="990">
        <v>1</v>
      </c>
      <c r="B1375" s="990">
        <v>1</v>
      </c>
      <c r="C1375" s="990" t="s">
        <v>1129</v>
      </c>
      <c r="D1375" s="9" t="s">
        <v>999</v>
      </c>
      <c r="E1375" s="1463" t="s">
        <v>1521</v>
      </c>
      <c r="F1375" s="1459"/>
      <c r="G1375"/>
      <c r="H1375" s="5"/>
      <c r="I1375" s="1809"/>
      <c r="J1375" s="1833"/>
      <c r="K1375" s="2645" t="s">
        <v>1023</v>
      </c>
      <c r="L1375" s="2646"/>
      <c r="M1375" s="2646"/>
      <c r="N1375" s="2647"/>
      <c r="O1375" s="2647"/>
      <c r="P1375" s="2743"/>
      <c r="Q1375" s="2191"/>
      <c r="R1375" s="2191"/>
      <c r="S1375" s="2191"/>
      <c r="T1375" s="2191"/>
      <c r="U1375" s="2191"/>
      <c r="V1375" s="2191"/>
      <c r="W1375" s="2191"/>
      <c r="X1375" s="2191"/>
      <c r="Y1375" s="2191"/>
      <c r="Z1375" s="2191"/>
      <c r="AA1375" s="2191"/>
      <c r="AB1375" s="2191"/>
      <c r="AC1375" s="2744">
        <v>0</v>
      </c>
      <c r="AD1375" s="2744">
        <v>0</v>
      </c>
      <c r="AE1375" s="2744">
        <v>0</v>
      </c>
      <c r="AF1375" s="2744">
        <v>0</v>
      </c>
      <c r="AG1375" s="2744">
        <v>0</v>
      </c>
      <c r="AH1375" s="2744">
        <v>0</v>
      </c>
      <c r="AI1375" s="2744">
        <v>0</v>
      </c>
    </row>
    <row r="1376" spans="1:35" ht="14.5">
      <c r="A1376" s="990">
        <v>1</v>
      </c>
      <c r="B1376" s="990">
        <v>1</v>
      </c>
      <c r="C1376" s="990" t="s">
        <v>1129</v>
      </c>
      <c r="D1376" s="9" t="s">
        <v>999</v>
      </c>
      <c r="E1376" s="1463" t="s">
        <v>1521</v>
      </c>
      <c r="F1376" s="1459"/>
      <c r="G1376"/>
      <c r="H1376" s="5"/>
      <c r="I1376" s="1809"/>
      <c r="J1376" s="2745" t="s">
        <v>1628</v>
      </c>
      <c r="K1376" s="1833"/>
      <c r="L1376" s="1833"/>
      <c r="M1376" s="1833"/>
      <c r="N1376" s="1829"/>
      <c r="O1376" s="1829"/>
      <c r="P1376" s="1830"/>
      <c r="Q1376" s="1831"/>
      <c r="R1376" s="1831"/>
      <c r="S1376" s="1831"/>
      <c r="T1376" s="1831"/>
      <c r="U1376" s="1831"/>
      <c r="V1376" s="1831"/>
      <c r="W1376" s="1831"/>
      <c r="X1376" s="1831"/>
      <c r="Y1376" s="1831"/>
      <c r="Z1376" s="1831"/>
      <c r="AA1376" s="1831"/>
      <c r="AB1376" s="1831"/>
      <c r="AC1376" s="1831">
        <v>0</v>
      </c>
      <c r="AD1376" s="1831">
        <v>0</v>
      </c>
      <c r="AE1376" s="1831">
        <v>0</v>
      </c>
      <c r="AF1376" s="1831">
        <v>0</v>
      </c>
      <c r="AG1376" s="1831">
        <v>0</v>
      </c>
      <c r="AH1376" s="1831">
        <v>0</v>
      </c>
      <c r="AI1376" s="1831">
        <v>0</v>
      </c>
    </row>
    <row r="1377" spans="1:35" ht="14.5">
      <c r="A1377" s="990">
        <v>1</v>
      </c>
      <c r="B1377" s="990">
        <v>1</v>
      </c>
      <c r="C1377" s="990" t="s">
        <v>1129</v>
      </c>
      <c r="D1377" s="9" t="s">
        <v>999</v>
      </c>
      <c r="E1377" s="1463" t="s">
        <v>1521</v>
      </c>
      <c r="F1377" s="1459"/>
      <c r="G1377"/>
      <c r="H1377" s="5"/>
      <c r="I1377" s="1809"/>
      <c r="J1377" s="1828" t="s">
        <v>1629</v>
      </c>
      <c r="K1377" s="1832"/>
      <c r="L1377" s="1832"/>
      <c r="M1377" s="1832"/>
      <c r="N1377" s="1828"/>
      <c r="O1377" s="1828"/>
      <c r="P1377" s="1835"/>
      <c r="Q1377" s="1836"/>
      <c r="R1377" s="1836"/>
      <c r="S1377" s="1836"/>
      <c r="T1377" s="1836"/>
      <c r="U1377" s="1836"/>
      <c r="V1377" s="1836"/>
      <c r="W1377" s="1836"/>
      <c r="X1377" s="1836"/>
      <c r="Y1377" s="1836"/>
      <c r="Z1377" s="1836"/>
      <c r="AA1377" s="1836"/>
      <c r="AB1377" s="1836"/>
      <c r="AC1377" s="1836">
        <v>0</v>
      </c>
      <c r="AD1377" s="1836">
        <v>0</v>
      </c>
      <c r="AE1377" s="1836">
        <v>0</v>
      </c>
      <c r="AF1377" s="1836">
        <v>0</v>
      </c>
      <c r="AG1377" s="1836">
        <v>0</v>
      </c>
      <c r="AH1377" s="1836">
        <v>0</v>
      </c>
      <c r="AI1377" s="1836">
        <v>0</v>
      </c>
    </row>
    <row r="1378" spans="1:35" ht="14.5">
      <c r="A1378" s="990">
        <v>1</v>
      </c>
      <c r="B1378" s="990">
        <v>1</v>
      </c>
      <c r="C1378" s="990" t="s">
        <v>1129</v>
      </c>
      <c r="D1378" s="9" t="s">
        <v>999</v>
      </c>
      <c r="E1378" s="1463" t="s">
        <v>1521</v>
      </c>
      <c r="F1378" s="1459"/>
      <c r="G1378"/>
      <c r="H1378" s="5"/>
      <c r="I1378" s="1821"/>
      <c r="J1378" s="4" t="s">
        <v>135</v>
      </c>
      <c r="K1378" s="5"/>
      <c r="L1378" s="5"/>
      <c r="M1378" s="5"/>
      <c r="N1378" s="5"/>
      <c r="O1378" s="5"/>
      <c r="P1378" s="91"/>
      <c r="Q1378" s="90">
        <v>0</v>
      </c>
      <c r="R1378" s="90">
        <v>0</v>
      </c>
      <c r="S1378" s="90">
        <v>0</v>
      </c>
      <c r="T1378" s="90">
        <v>0</v>
      </c>
      <c r="U1378" s="90">
        <v>0</v>
      </c>
      <c r="V1378" s="90">
        <v>0</v>
      </c>
      <c r="W1378" s="90">
        <v>0</v>
      </c>
      <c r="X1378" s="90">
        <v>0</v>
      </c>
      <c r="Y1378" s="90">
        <v>0</v>
      </c>
      <c r="Z1378" s="90">
        <v>0</v>
      </c>
      <c r="AA1378" s="90">
        <v>0</v>
      </c>
      <c r="AB1378" s="90">
        <v>0</v>
      </c>
      <c r="AC1378" s="90">
        <v>0</v>
      </c>
      <c r="AD1378" s="90">
        <v>0</v>
      </c>
      <c r="AE1378" s="90">
        <v>0</v>
      </c>
      <c r="AF1378" s="90">
        <v>0</v>
      </c>
      <c r="AG1378" s="90">
        <v>0</v>
      </c>
      <c r="AH1378" s="90">
        <v>0</v>
      </c>
      <c r="AI1378" s="90">
        <v>0</v>
      </c>
    </row>
    <row r="1379" spans="1:35" ht="14.5">
      <c r="A1379" s="990">
        <v>1</v>
      </c>
      <c r="B1379" s="990">
        <v>1</v>
      </c>
      <c r="C1379" s="990" t="s">
        <v>1129</v>
      </c>
      <c r="D1379" s="9" t="s">
        <v>999</v>
      </c>
      <c r="E1379" s="1463" t="s">
        <v>1521</v>
      </c>
      <c r="F1379" s="1459"/>
      <c r="G1379"/>
      <c r="H1379" s="5"/>
      <c r="I1379" s="1809" t="s">
        <v>97</v>
      </c>
      <c r="J1379" s="1810"/>
      <c r="K1379" s="1811"/>
      <c r="L1379" s="1811"/>
      <c r="M1379" s="1811"/>
      <c r="N1379" s="1811"/>
      <c r="O1379" s="1811"/>
      <c r="P1379" s="1812"/>
      <c r="Q1379" s="1813">
        <v>0</v>
      </c>
      <c r="R1379" s="1813">
        <v>0</v>
      </c>
      <c r="S1379" s="1813">
        <v>0</v>
      </c>
      <c r="T1379" s="1813">
        <v>0</v>
      </c>
      <c r="U1379" s="1813">
        <v>0</v>
      </c>
      <c r="V1379" s="1813">
        <v>0</v>
      </c>
      <c r="W1379" s="1813">
        <v>0</v>
      </c>
      <c r="X1379" s="1813">
        <v>0</v>
      </c>
      <c r="Y1379" s="1813">
        <v>0</v>
      </c>
      <c r="Z1379" s="1813">
        <v>0</v>
      </c>
      <c r="AA1379" s="1813">
        <v>0</v>
      </c>
      <c r="AB1379" s="1813">
        <v>0</v>
      </c>
      <c r="AC1379" s="1813">
        <v>0</v>
      </c>
      <c r="AD1379" s="1813">
        <v>0</v>
      </c>
      <c r="AE1379" s="1813">
        <v>0</v>
      </c>
      <c r="AF1379" s="1813">
        <v>0</v>
      </c>
      <c r="AG1379" s="1813">
        <v>0</v>
      </c>
      <c r="AH1379" s="1813">
        <v>0</v>
      </c>
      <c r="AI1379" s="1813">
        <v>0</v>
      </c>
    </row>
    <row r="1380" spans="1:35" ht="14.5">
      <c r="A1380" s="990">
        <v>1</v>
      </c>
      <c r="B1380" s="990">
        <v>1</v>
      </c>
      <c r="C1380" s="990" t="s">
        <v>1129</v>
      </c>
      <c r="D1380" s="9" t="s">
        <v>999</v>
      </c>
      <c r="E1380" s="1463" t="s">
        <v>1521</v>
      </c>
      <c r="F1380" s="1459"/>
      <c r="G1380"/>
      <c r="H1380" s="5"/>
      <c r="I1380" s="30"/>
      <c r="J1380" s="40" t="s">
        <v>143</v>
      </c>
      <c r="K1380" s="5"/>
      <c r="L1380" s="5"/>
      <c r="M1380" s="4"/>
      <c r="N1380" s="4"/>
      <c r="O1380" s="4"/>
      <c r="P1380" s="29"/>
      <c r="Q1380" s="2039"/>
      <c r="R1380" s="2039"/>
      <c r="S1380" s="2039"/>
      <c r="T1380" s="2039"/>
      <c r="U1380" s="2039"/>
      <c r="V1380" s="2039"/>
      <c r="W1380" s="2039"/>
      <c r="X1380" s="2039"/>
      <c r="Y1380" s="2039"/>
      <c r="Z1380" s="2039"/>
      <c r="AA1380" s="2039"/>
      <c r="AB1380" s="2039"/>
      <c r="AC1380" s="89">
        <v>0</v>
      </c>
      <c r="AD1380" s="89">
        <v>0</v>
      </c>
      <c r="AE1380" s="89">
        <v>0</v>
      </c>
      <c r="AF1380" s="89">
        <v>0</v>
      </c>
      <c r="AG1380" s="89">
        <v>0</v>
      </c>
      <c r="AH1380" s="89">
        <v>0</v>
      </c>
      <c r="AI1380" s="89">
        <v>0</v>
      </c>
    </row>
    <row r="1381" spans="1:35" ht="14.5">
      <c r="A1381" s="990">
        <v>1</v>
      </c>
      <c r="B1381" s="990">
        <v>1</v>
      </c>
      <c r="C1381" s="990" t="s">
        <v>1129</v>
      </c>
      <c r="D1381" s="9" t="s">
        <v>999</v>
      </c>
      <c r="E1381" s="1463" t="s">
        <v>1521</v>
      </c>
      <c r="F1381" s="1459"/>
      <c r="G1381"/>
      <c r="H1381" s="5"/>
      <c r="I1381" s="30"/>
      <c r="J1381" s="40" t="s">
        <v>96</v>
      </c>
      <c r="K1381" s="5"/>
      <c r="L1381" s="5"/>
      <c r="M1381" s="4"/>
      <c r="N1381" s="4"/>
      <c r="O1381" s="4"/>
      <c r="P1381" s="29"/>
      <c r="Q1381" s="2039"/>
      <c r="R1381" s="2039"/>
      <c r="S1381" s="2039"/>
      <c r="T1381" s="2039"/>
      <c r="U1381" s="2039"/>
      <c r="V1381" s="2039"/>
      <c r="W1381" s="2039"/>
      <c r="X1381" s="2039"/>
      <c r="Y1381" s="2039"/>
      <c r="Z1381" s="2039"/>
      <c r="AA1381" s="2039"/>
      <c r="AB1381" s="2039"/>
      <c r="AC1381" s="89">
        <v>0</v>
      </c>
      <c r="AD1381" s="89">
        <v>0</v>
      </c>
      <c r="AE1381" s="89">
        <v>0</v>
      </c>
      <c r="AF1381" s="89">
        <v>0</v>
      </c>
      <c r="AG1381" s="89">
        <v>0</v>
      </c>
      <c r="AH1381" s="89">
        <v>0</v>
      </c>
      <c r="AI1381" s="89">
        <v>0</v>
      </c>
    </row>
    <row r="1382" spans="1:35" ht="14.5">
      <c r="A1382" s="990">
        <v>1</v>
      </c>
      <c r="B1382" s="990">
        <v>1</v>
      </c>
      <c r="C1382" s="990" t="s">
        <v>1129</v>
      </c>
      <c r="D1382" s="9" t="s">
        <v>999</v>
      </c>
      <c r="E1382" s="1463" t="s">
        <v>1521</v>
      </c>
      <c r="F1382" s="1459"/>
      <c r="G1382"/>
      <c r="H1382" s="5"/>
      <c r="I1382" s="30"/>
      <c r="J1382" s="40" t="s">
        <v>142</v>
      </c>
      <c r="K1382" s="52"/>
      <c r="L1382" s="52"/>
      <c r="M1382" s="51"/>
      <c r="N1382" s="51"/>
      <c r="O1382" s="51"/>
      <c r="P1382" s="50"/>
      <c r="Q1382" s="2043"/>
      <c r="R1382" s="2043"/>
      <c r="S1382" s="2043"/>
      <c r="T1382" s="2043"/>
      <c r="U1382" s="2043"/>
      <c r="V1382" s="2043"/>
      <c r="W1382" s="2043"/>
      <c r="X1382" s="2043"/>
      <c r="Y1382" s="2043"/>
      <c r="Z1382" s="2043"/>
      <c r="AA1382" s="2043"/>
      <c r="AB1382" s="2043"/>
      <c r="AC1382" s="134">
        <v>0</v>
      </c>
      <c r="AD1382" s="134">
        <v>0</v>
      </c>
      <c r="AE1382" s="134">
        <v>0</v>
      </c>
      <c r="AF1382" s="134">
        <v>0</v>
      </c>
      <c r="AG1382" s="134">
        <v>0</v>
      </c>
      <c r="AH1382" s="134">
        <v>0</v>
      </c>
      <c r="AI1382" s="134">
        <v>0</v>
      </c>
    </row>
    <row r="1383" spans="1:35" ht="14.5">
      <c r="A1383" s="990">
        <v>1</v>
      </c>
      <c r="B1383" s="990">
        <v>1</v>
      </c>
      <c r="C1383" s="990" t="s">
        <v>1129</v>
      </c>
      <c r="D1383" s="9" t="s">
        <v>999</v>
      </c>
      <c r="E1383" s="1463" t="s">
        <v>1521</v>
      </c>
      <c r="F1383" s="1459"/>
      <c r="G1383"/>
      <c r="H1383" s="5"/>
      <c r="I1383" s="1814" t="s">
        <v>136</v>
      </c>
      <c r="J1383" s="1815"/>
      <c r="K1383" s="1816"/>
      <c r="L1383" s="1816"/>
      <c r="M1383" s="1816"/>
      <c r="N1383" s="1816"/>
      <c r="O1383" s="1816"/>
      <c r="P1383" s="1818"/>
      <c r="Q1383" s="181">
        <v>0</v>
      </c>
      <c r="R1383" s="181">
        <v>0</v>
      </c>
      <c r="S1383" s="181">
        <v>0</v>
      </c>
      <c r="T1383" s="181">
        <v>0</v>
      </c>
      <c r="U1383" s="181">
        <v>0</v>
      </c>
      <c r="V1383" s="181">
        <v>0</v>
      </c>
      <c r="W1383" s="181">
        <v>0</v>
      </c>
      <c r="X1383" s="181">
        <v>0</v>
      </c>
      <c r="Y1383" s="181">
        <v>0</v>
      </c>
      <c r="Z1383" s="181">
        <v>0</v>
      </c>
      <c r="AA1383" s="181">
        <v>0</v>
      </c>
      <c r="AB1383" s="181">
        <v>0</v>
      </c>
      <c r="AC1383" s="181">
        <v>0</v>
      </c>
      <c r="AD1383" s="181">
        <v>0</v>
      </c>
      <c r="AE1383" s="181">
        <v>0</v>
      </c>
      <c r="AF1383" s="181">
        <v>0</v>
      </c>
      <c r="AG1383" s="181">
        <v>0</v>
      </c>
      <c r="AH1383" s="181">
        <v>0</v>
      </c>
      <c r="AI1383" s="181">
        <v>0</v>
      </c>
    </row>
    <row r="1384" spans="1:35" ht="14.5">
      <c r="A1384" s="990">
        <v>1</v>
      </c>
      <c r="B1384" s="990">
        <v>1</v>
      </c>
      <c r="C1384" s="990" t="s">
        <v>1129</v>
      </c>
      <c r="D1384" s="9" t="s">
        <v>999</v>
      </c>
      <c r="E1384" s="1463" t="s">
        <v>1521</v>
      </c>
      <c r="F1384" s="1459"/>
      <c r="G1384"/>
      <c r="H1384" s="5"/>
      <c r="I1384" s="28"/>
      <c r="J1384" s="2" t="s">
        <v>135</v>
      </c>
      <c r="K1384" s="3"/>
      <c r="L1384" s="3"/>
      <c r="M1384" s="2"/>
      <c r="N1384" s="2"/>
      <c r="O1384" s="2"/>
      <c r="P1384" s="27"/>
      <c r="Q1384" s="124">
        <v>0</v>
      </c>
      <c r="R1384" s="124">
        <v>0</v>
      </c>
      <c r="S1384" s="124">
        <v>0</v>
      </c>
      <c r="T1384" s="124">
        <v>0</v>
      </c>
      <c r="U1384" s="124">
        <v>0</v>
      </c>
      <c r="V1384" s="124">
        <v>0</v>
      </c>
      <c r="W1384" s="124">
        <v>0</v>
      </c>
      <c r="X1384" s="124">
        <v>0</v>
      </c>
      <c r="Y1384" s="124">
        <v>0</v>
      </c>
      <c r="Z1384" s="124">
        <v>0</v>
      </c>
      <c r="AA1384" s="124">
        <v>0</v>
      </c>
      <c r="AB1384" s="124">
        <v>0</v>
      </c>
      <c r="AC1384" s="124">
        <v>0</v>
      </c>
      <c r="AD1384" s="124">
        <v>0</v>
      </c>
      <c r="AE1384" s="124">
        <v>0</v>
      </c>
      <c r="AF1384" s="124">
        <v>0</v>
      </c>
      <c r="AG1384" s="124">
        <v>0</v>
      </c>
      <c r="AH1384" s="124">
        <v>0</v>
      </c>
      <c r="AI1384" s="124">
        <v>0</v>
      </c>
    </row>
    <row r="1385" spans="1:35" ht="14.5">
      <c r="A1385" s="990">
        <v>1</v>
      </c>
      <c r="B1385" s="990">
        <v>1</v>
      </c>
      <c r="C1385" s="990" t="s">
        <v>1129</v>
      </c>
      <c r="D1385" s="9" t="s">
        <v>999</v>
      </c>
      <c r="E1385" s="1463" t="s">
        <v>1521</v>
      </c>
      <c r="F1385" s="1459"/>
      <c r="G1385"/>
      <c r="H1385" s="5"/>
      <c r="I1385" s="58" t="s">
        <v>504</v>
      </c>
      <c r="J1385" s="555"/>
      <c r="K1385" s="636"/>
      <c r="L1385" s="636"/>
      <c r="M1385" s="555"/>
      <c r="N1385" s="555"/>
      <c r="O1385" s="555"/>
      <c r="P1385" s="117"/>
      <c r="Q1385" s="2618"/>
      <c r="R1385" s="1718"/>
      <c r="S1385" s="1718"/>
      <c r="T1385" s="1718"/>
      <c r="U1385" s="1718"/>
      <c r="V1385" s="1718"/>
      <c r="W1385" s="1718"/>
      <c r="X1385" s="1718"/>
      <c r="Y1385" s="1718"/>
      <c r="Z1385" s="1718"/>
      <c r="AA1385" s="1718"/>
      <c r="AB1385" s="1718"/>
      <c r="AC1385" s="117">
        <v>0</v>
      </c>
      <c r="AD1385" s="117">
        <v>0</v>
      </c>
      <c r="AE1385" s="117">
        <v>0</v>
      </c>
      <c r="AF1385" s="117">
        <v>0</v>
      </c>
      <c r="AG1385" s="117">
        <v>0</v>
      </c>
      <c r="AH1385" s="117">
        <v>0</v>
      </c>
      <c r="AI1385" s="117">
        <v>0</v>
      </c>
    </row>
    <row r="1386" spans="1:35" ht="14.5">
      <c r="A1386" s="990">
        <v>1</v>
      </c>
      <c r="B1386" s="990">
        <v>1</v>
      </c>
      <c r="C1386" s="990" t="s">
        <v>1129</v>
      </c>
      <c r="D1386" s="9" t="s">
        <v>999</v>
      </c>
      <c r="E1386" s="1463" t="s">
        <v>1521</v>
      </c>
      <c r="F1386" s="1459"/>
      <c r="G1386"/>
      <c r="H1386" s="5"/>
      <c r="I1386" s="121" t="s">
        <v>1002</v>
      </c>
      <c r="J1386" s="119"/>
      <c r="K1386" s="120"/>
      <c r="L1386" s="120"/>
      <c r="M1386" s="119"/>
      <c r="N1386" s="119"/>
      <c r="O1386" s="119"/>
      <c r="P1386" s="118"/>
      <c r="Q1386" s="2035"/>
      <c r="R1386" s="2178"/>
      <c r="S1386" s="2178"/>
      <c r="T1386" s="2178"/>
      <c r="U1386" s="2178"/>
      <c r="V1386" s="2178"/>
      <c r="W1386" s="2178"/>
      <c r="X1386" s="2178"/>
      <c r="Y1386" s="2178"/>
      <c r="Z1386" s="2178"/>
      <c r="AA1386" s="2178"/>
      <c r="AB1386" s="2178"/>
      <c r="AC1386" s="118">
        <v>0</v>
      </c>
      <c r="AD1386" s="118">
        <v>0</v>
      </c>
      <c r="AE1386" s="118">
        <v>0</v>
      </c>
      <c r="AF1386" s="118">
        <v>0</v>
      </c>
      <c r="AG1386" s="118">
        <v>0</v>
      </c>
      <c r="AH1386" s="118">
        <v>0</v>
      </c>
      <c r="AI1386" s="118">
        <v>0</v>
      </c>
    </row>
    <row r="1387" spans="1:35" ht="14.5">
      <c r="A1387" s="990">
        <v>1</v>
      </c>
      <c r="B1387" s="990">
        <v>1</v>
      </c>
      <c r="C1387" s="990" t="s">
        <v>1129</v>
      </c>
      <c r="D1387" s="9" t="s">
        <v>999</v>
      </c>
      <c r="E1387" s="1463" t="s">
        <v>1521</v>
      </c>
      <c r="F1387" s="1459"/>
      <c r="G1387"/>
      <c r="H1387" s="5"/>
      <c r="I1387" s="1814" t="s">
        <v>10</v>
      </c>
      <c r="J1387" s="1815"/>
      <c r="K1387" s="1816"/>
      <c r="L1387" s="1816"/>
      <c r="M1387" s="1816"/>
      <c r="N1387" s="1816"/>
      <c r="O1387" s="1816"/>
      <c r="P1387" s="1818"/>
      <c r="Q1387" s="181">
        <v>0</v>
      </c>
      <c r="R1387" s="1818">
        <v>0</v>
      </c>
      <c r="S1387" s="1818">
        <v>0</v>
      </c>
      <c r="T1387" s="1818">
        <v>0</v>
      </c>
      <c r="U1387" s="1818">
        <v>0</v>
      </c>
      <c r="V1387" s="1818">
        <v>0</v>
      </c>
      <c r="W1387" s="1818">
        <v>0</v>
      </c>
      <c r="X1387" s="1818">
        <v>0</v>
      </c>
      <c r="Y1387" s="1818">
        <v>0</v>
      </c>
      <c r="Z1387" s="1818">
        <v>0</v>
      </c>
      <c r="AA1387" s="1818">
        <v>0</v>
      </c>
      <c r="AB1387" s="1818">
        <v>0</v>
      </c>
      <c r="AC1387" s="1818">
        <v>0</v>
      </c>
      <c r="AD1387" s="1818">
        <v>0</v>
      </c>
      <c r="AE1387" s="1818">
        <v>0</v>
      </c>
      <c r="AF1387" s="1818">
        <v>0</v>
      </c>
      <c r="AG1387" s="1818">
        <v>0</v>
      </c>
      <c r="AH1387" s="1818">
        <v>0</v>
      </c>
      <c r="AI1387" s="1818">
        <v>0</v>
      </c>
    </row>
    <row r="1388" spans="1:35" ht="14.5">
      <c r="A1388" s="990">
        <v>1</v>
      </c>
      <c r="B1388" s="990">
        <v>1</v>
      </c>
      <c r="C1388" s="990" t="s">
        <v>1129</v>
      </c>
      <c r="D1388" s="9" t="s">
        <v>999</v>
      </c>
      <c r="E1388" s="1463" t="s">
        <v>1521</v>
      </c>
      <c r="F1388" s="1459"/>
      <c r="G1388"/>
      <c r="H1388" s="5"/>
      <c r="I1388" s="28"/>
      <c r="J1388" s="2" t="s">
        <v>135</v>
      </c>
      <c r="K1388" s="3"/>
      <c r="L1388" s="3"/>
      <c r="M1388" s="2"/>
      <c r="N1388" s="2"/>
      <c r="O1388" s="2"/>
      <c r="P1388" s="27"/>
      <c r="Q1388" s="124">
        <v>0</v>
      </c>
      <c r="R1388" s="124">
        <v>0</v>
      </c>
      <c r="S1388" s="124">
        <v>0</v>
      </c>
      <c r="T1388" s="124">
        <v>0</v>
      </c>
      <c r="U1388" s="124">
        <v>0</v>
      </c>
      <c r="V1388" s="124">
        <v>0</v>
      </c>
      <c r="W1388" s="124">
        <v>0</v>
      </c>
      <c r="X1388" s="124">
        <v>0</v>
      </c>
      <c r="Y1388" s="124">
        <v>0</v>
      </c>
      <c r="Z1388" s="124">
        <v>0</v>
      </c>
      <c r="AA1388" s="124">
        <v>0</v>
      </c>
      <c r="AB1388" s="124">
        <v>0</v>
      </c>
      <c r="AC1388" s="124">
        <v>0</v>
      </c>
      <c r="AD1388" s="124">
        <v>0</v>
      </c>
      <c r="AE1388" s="124">
        <v>0</v>
      </c>
      <c r="AF1388" s="124">
        <v>0</v>
      </c>
      <c r="AG1388" s="124">
        <v>0</v>
      </c>
      <c r="AH1388" s="124">
        <v>0</v>
      </c>
      <c r="AI1388" s="124">
        <v>0</v>
      </c>
    </row>
    <row r="1389" spans="1:35" ht="14.5">
      <c r="A1389" s="990">
        <v>1</v>
      </c>
      <c r="B1389" s="990">
        <v>1</v>
      </c>
      <c r="C1389" s="990" t="s">
        <v>1129</v>
      </c>
      <c r="D1389" s="9" t="s">
        <v>999</v>
      </c>
      <c r="E1389" s="1463" t="s">
        <v>1521</v>
      </c>
      <c r="F1389" s="1459"/>
      <c r="G1389"/>
      <c r="H1389" s="5"/>
      <c r="I1389" s="5"/>
      <c r="J1389" s="4"/>
      <c r="K1389" s="5"/>
      <c r="L1389" s="5"/>
      <c r="M1389" s="4"/>
      <c r="N1389" s="4"/>
      <c r="O1389" s="4"/>
      <c r="P1389" s="4"/>
      <c r="Q1389" s="133"/>
      <c r="R1389" s="133"/>
      <c r="S1389" s="133"/>
      <c r="T1389" s="133"/>
      <c r="U1389" s="133"/>
      <c r="V1389" s="133"/>
      <c r="W1389" s="133"/>
      <c r="X1389" s="133"/>
      <c r="Y1389" s="133"/>
      <c r="Z1389" s="133"/>
      <c r="AA1389" s="133"/>
      <c r="AB1389" s="133"/>
      <c r="AC1389" s="133"/>
      <c r="AD1389" s="133"/>
      <c r="AE1389" s="133"/>
      <c r="AF1389" s="133"/>
      <c r="AG1389" s="133"/>
      <c r="AH1389" s="133"/>
      <c r="AI1389" s="133"/>
    </row>
    <row r="1390" spans="1:35" ht="14.5">
      <c r="A1390" s="990">
        <v>1</v>
      </c>
      <c r="B1390" s="990">
        <v>1</v>
      </c>
      <c r="C1390" s="990" t="s">
        <v>1129</v>
      </c>
      <c r="D1390" s="9" t="s">
        <v>999</v>
      </c>
      <c r="E1390" s="1463" t="s">
        <v>1521</v>
      </c>
      <c r="F1390" s="1459"/>
      <c r="G1390" s="39" t="s">
        <v>1631</v>
      </c>
      <c r="H1390" s="10"/>
      <c r="J1390"/>
      <c r="K1390"/>
      <c r="L1390"/>
      <c r="M1390"/>
      <c r="N1390"/>
      <c r="O1390"/>
      <c r="P1390"/>
      <c r="Q1390"/>
      <c r="R1390"/>
      <c r="S1390"/>
      <c r="T1390"/>
      <c r="U1390"/>
      <c r="V1390"/>
      <c r="W1390"/>
      <c r="X1390"/>
      <c r="Y1390"/>
      <c r="Z1390"/>
      <c r="AA1390"/>
      <c r="AB1390"/>
      <c r="AC1390"/>
      <c r="AD1390"/>
      <c r="AE1390"/>
      <c r="AF1390"/>
      <c r="AG1390"/>
      <c r="AH1390"/>
      <c r="AI1390"/>
    </row>
    <row r="1391" spans="1:35" ht="14.5">
      <c r="A1391" s="990">
        <v>1</v>
      </c>
      <c r="B1391" s="990">
        <v>1</v>
      </c>
      <c r="C1391" s="990" t="s">
        <v>1129</v>
      </c>
      <c r="D1391" s="9" t="s">
        <v>999</v>
      </c>
      <c r="E1391" s="1463" t="s">
        <v>1521</v>
      </c>
      <c r="F1391" s="1459"/>
      <c r="G1391" s="271"/>
      <c r="H1391" s="5" t="s">
        <v>1632</v>
      </c>
      <c r="I1391" s="5"/>
      <c r="J1391" s="4"/>
      <c r="K1391" s="5"/>
      <c r="L1391" s="5"/>
      <c r="M1391" s="4"/>
      <c r="N1391" s="4"/>
      <c r="O1391" s="4"/>
      <c r="P1391" s="4"/>
      <c r="Q1391" s="1151"/>
      <c r="R1391" s="1151"/>
      <c r="S1391" s="1151"/>
      <c r="T1391" s="1151"/>
      <c r="U1391" s="1151"/>
      <c r="V1391" s="1151"/>
      <c r="W1391" s="2179"/>
      <c r="X1391" s="2179"/>
      <c r="Y1391" s="2179"/>
      <c r="Z1391" s="2179"/>
      <c r="AA1391" s="38"/>
      <c r="AB1391" s="38"/>
      <c r="AC1391" s="38"/>
      <c r="AD1391" s="38"/>
      <c r="AE1391" s="38"/>
      <c r="AF1391" s="38"/>
      <c r="AG1391" s="38"/>
      <c r="AH1391" s="38"/>
      <c r="AI1391" s="38"/>
    </row>
    <row r="1392" spans="1:35" ht="14.5">
      <c r="A1392" s="990">
        <v>1</v>
      </c>
      <c r="B1392" s="990">
        <v>1</v>
      </c>
      <c r="C1392" s="990" t="s">
        <v>1129</v>
      </c>
      <c r="D1392" s="9" t="s">
        <v>999</v>
      </c>
      <c r="E1392" s="1463" t="s">
        <v>1521</v>
      </c>
      <c r="F1392" s="1459"/>
      <c r="G1392" s="271"/>
      <c r="H1392" s="271" t="s">
        <v>99</v>
      </c>
      <c r="I1392" s="58"/>
      <c r="J1392" s="555"/>
      <c r="K1392" s="636"/>
      <c r="L1392" s="636"/>
      <c r="M1392" s="555"/>
      <c r="N1392" s="555"/>
      <c r="O1392" s="555"/>
      <c r="P1392" s="555"/>
      <c r="Q1392" s="2175">
        <v>44652</v>
      </c>
      <c r="R1392" s="2175">
        <v>44682</v>
      </c>
      <c r="S1392" s="2175">
        <v>44713</v>
      </c>
      <c r="T1392" s="2175">
        <v>44743</v>
      </c>
      <c r="U1392" s="2175">
        <v>44774</v>
      </c>
      <c r="V1392" s="2175">
        <v>44805</v>
      </c>
      <c r="W1392" s="2175">
        <v>44835</v>
      </c>
      <c r="X1392" s="2175">
        <v>44866</v>
      </c>
      <c r="Y1392" s="2175">
        <v>44896</v>
      </c>
      <c r="Z1392" s="2175">
        <v>44927</v>
      </c>
      <c r="AA1392" s="2175">
        <v>44958</v>
      </c>
      <c r="AB1392" s="2175">
        <v>44986</v>
      </c>
      <c r="AC1392" s="2591" t="s">
        <v>105</v>
      </c>
      <c r="AD1392" s="2591" t="s">
        <v>104</v>
      </c>
      <c r="AE1392" s="2591" t="s">
        <v>103</v>
      </c>
      <c r="AF1392" s="2591" t="s">
        <v>102</v>
      </c>
      <c r="AG1392" s="2591" t="s">
        <v>101</v>
      </c>
      <c r="AH1392" s="2591" t="s">
        <v>100</v>
      </c>
      <c r="AI1392" s="2591" t="s">
        <v>118</v>
      </c>
    </row>
    <row r="1393" spans="1:35" ht="14.5">
      <c r="A1393" s="990">
        <v>1</v>
      </c>
      <c r="B1393" s="990">
        <v>1</v>
      </c>
      <c r="C1393" s="990" t="s">
        <v>1129</v>
      </c>
      <c r="D1393" s="9" t="s">
        <v>999</v>
      </c>
      <c r="E1393" s="1463" t="s">
        <v>1521</v>
      </c>
      <c r="F1393" s="1459"/>
      <c r="G1393" s="271"/>
      <c r="H1393" s="271" t="s">
        <v>99</v>
      </c>
      <c r="I1393" s="183" t="s">
        <v>328</v>
      </c>
      <c r="J1393" s="1827"/>
      <c r="K1393" s="1497"/>
      <c r="L1393" s="1497"/>
      <c r="M1393" s="1497"/>
      <c r="N1393" s="1497"/>
      <c r="O1393" s="1497"/>
      <c r="P1393" s="1497"/>
      <c r="Q1393" s="181">
        <v>0</v>
      </c>
      <c r="R1393" s="181">
        <v>0</v>
      </c>
      <c r="S1393" s="181">
        <v>0</v>
      </c>
      <c r="T1393" s="181">
        <v>0</v>
      </c>
      <c r="U1393" s="181">
        <v>0</v>
      </c>
      <c r="V1393" s="181">
        <v>0</v>
      </c>
      <c r="W1393" s="181">
        <v>0</v>
      </c>
      <c r="X1393" s="181">
        <v>0</v>
      </c>
      <c r="Y1393" s="181">
        <v>0</v>
      </c>
      <c r="Z1393" s="181">
        <v>0</v>
      </c>
      <c r="AA1393" s="181">
        <v>0</v>
      </c>
      <c r="AB1393" s="181">
        <v>0</v>
      </c>
      <c r="AC1393" s="181">
        <v>0</v>
      </c>
      <c r="AD1393" s="181">
        <v>0</v>
      </c>
      <c r="AE1393" s="181">
        <v>0</v>
      </c>
      <c r="AF1393" s="181">
        <v>0</v>
      </c>
      <c r="AG1393" s="181">
        <v>0</v>
      </c>
      <c r="AH1393" s="181">
        <v>0</v>
      </c>
      <c r="AI1393" s="181">
        <v>0</v>
      </c>
    </row>
    <row r="1394" spans="1:35" ht="14.5">
      <c r="A1394" s="990">
        <v>1</v>
      </c>
      <c r="B1394" s="990">
        <v>1</v>
      </c>
      <c r="C1394" s="990" t="s">
        <v>1129</v>
      </c>
      <c r="D1394" s="9" t="s">
        <v>999</v>
      </c>
      <c r="E1394" s="1463" t="s">
        <v>1521</v>
      </c>
      <c r="F1394" s="1459"/>
      <c r="G1394" s="271"/>
      <c r="H1394" s="271" t="s">
        <v>99</v>
      </c>
      <c r="I1394" s="1824"/>
      <c r="J1394" s="5" t="s">
        <v>62</v>
      </c>
      <c r="K1394" s="5"/>
      <c r="L1394" s="5"/>
      <c r="M1394" s="4"/>
      <c r="N1394" s="4"/>
      <c r="O1394" s="4"/>
      <c r="P1394" s="29"/>
      <c r="Q1394" s="41">
        <v>0</v>
      </c>
      <c r="R1394" s="41">
        <v>0</v>
      </c>
      <c r="S1394" s="41">
        <v>0</v>
      </c>
      <c r="T1394" s="41">
        <v>0</v>
      </c>
      <c r="U1394" s="41">
        <v>0</v>
      </c>
      <c r="V1394" s="41">
        <v>0</v>
      </c>
      <c r="W1394" s="41">
        <v>0</v>
      </c>
      <c r="X1394" s="41">
        <v>0</v>
      </c>
      <c r="Y1394" s="41">
        <v>0</v>
      </c>
      <c r="Z1394" s="41">
        <v>0</v>
      </c>
      <c r="AA1394" s="41">
        <v>0</v>
      </c>
      <c r="AB1394" s="41">
        <v>0</v>
      </c>
      <c r="AC1394" s="41">
        <v>0</v>
      </c>
      <c r="AD1394" s="41">
        <v>0</v>
      </c>
      <c r="AE1394" s="41">
        <v>0</v>
      </c>
      <c r="AF1394" s="41">
        <v>0</v>
      </c>
      <c r="AG1394" s="41">
        <v>0</v>
      </c>
      <c r="AH1394" s="41">
        <v>0</v>
      </c>
      <c r="AI1394" s="41">
        <v>0</v>
      </c>
    </row>
    <row r="1395" spans="1:35" ht="14.5">
      <c r="A1395" s="990">
        <v>1</v>
      </c>
      <c r="B1395" s="990">
        <v>1</v>
      </c>
      <c r="C1395" s="990" t="s">
        <v>1129</v>
      </c>
      <c r="D1395" s="9" t="s">
        <v>999</v>
      </c>
      <c r="E1395" s="1463" t="s">
        <v>1521</v>
      </c>
      <c r="F1395" s="1459"/>
      <c r="G1395" s="271"/>
      <c r="H1395" s="271" t="s">
        <v>99</v>
      </c>
      <c r="I1395" s="1824"/>
      <c r="J1395" s="5" t="s">
        <v>330</v>
      </c>
      <c r="K1395" s="5"/>
      <c r="L1395" s="5"/>
      <c r="M1395" s="4"/>
      <c r="N1395" s="4"/>
      <c r="O1395" s="4"/>
      <c r="P1395" s="29"/>
      <c r="Q1395" s="2097">
        <v>0</v>
      </c>
      <c r="R1395" s="2097">
        <v>0</v>
      </c>
      <c r="S1395" s="2097">
        <v>0</v>
      </c>
      <c r="T1395" s="2097">
        <v>0</v>
      </c>
      <c r="U1395" s="2097">
        <v>0</v>
      </c>
      <c r="V1395" s="2097">
        <v>0</v>
      </c>
      <c r="W1395" s="2097">
        <v>0</v>
      </c>
      <c r="X1395" s="2097">
        <v>0</v>
      </c>
      <c r="Y1395" s="2097">
        <v>0</v>
      </c>
      <c r="Z1395" s="2097">
        <v>0</v>
      </c>
      <c r="AA1395" s="2097">
        <v>0</v>
      </c>
      <c r="AB1395" s="2097">
        <v>0</v>
      </c>
      <c r="AC1395" s="41">
        <v>0</v>
      </c>
      <c r="AD1395" s="41">
        <v>0</v>
      </c>
      <c r="AE1395" s="41">
        <v>0</v>
      </c>
      <c r="AF1395" s="41">
        <v>0</v>
      </c>
      <c r="AG1395" s="41">
        <v>0</v>
      </c>
      <c r="AH1395" s="41">
        <v>0</v>
      </c>
      <c r="AI1395" s="41">
        <v>0</v>
      </c>
    </row>
    <row r="1396" spans="1:35" ht="14.5">
      <c r="A1396" s="990">
        <v>1</v>
      </c>
      <c r="B1396" s="990">
        <v>1</v>
      </c>
      <c r="C1396" s="990" t="s">
        <v>1129</v>
      </c>
      <c r="D1396" s="9" t="s">
        <v>999</v>
      </c>
      <c r="E1396" s="1463" t="s">
        <v>1521</v>
      </c>
      <c r="F1396" s="1459"/>
      <c r="G1396" s="271"/>
      <c r="H1396" s="271" t="s">
        <v>99</v>
      </c>
      <c r="I1396" s="1824"/>
      <c r="J1396" s="5" t="s">
        <v>331</v>
      </c>
      <c r="K1396" s="5"/>
      <c r="L1396" s="5"/>
      <c r="M1396" s="4"/>
      <c r="N1396" s="4"/>
      <c r="O1396" s="4"/>
      <c r="P1396" s="29"/>
      <c r="Q1396" s="2097">
        <v>0</v>
      </c>
      <c r="R1396" s="2097">
        <v>0</v>
      </c>
      <c r="S1396" s="2097">
        <v>0</v>
      </c>
      <c r="T1396" s="2097">
        <v>0</v>
      </c>
      <c r="U1396" s="2097">
        <v>0</v>
      </c>
      <c r="V1396" s="2097">
        <v>0</v>
      </c>
      <c r="W1396" s="2097">
        <v>0</v>
      </c>
      <c r="X1396" s="2097">
        <v>0</v>
      </c>
      <c r="Y1396" s="2097">
        <v>0</v>
      </c>
      <c r="Z1396" s="2097">
        <v>0</v>
      </c>
      <c r="AA1396" s="2097">
        <v>0</v>
      </c>
      <c r="AB1396" s="2097">
        <v>0</v>
      </c>
      <c r="AC1396" s="41">
        <v>0</v>
      </c>
      <c r="AD1396" s="41">
        <v>0</v>
      </c>
      <c r="AE1396" s="41">
        <v>0</v>
      </c>
      <c r="AF1396" s="41">
        <v>0</v>
      </c>
      <c r="AG1396" s="41">
        <v>0</v>
      </c>
      <c r="AH1396" s="41">
        <v>0</v>
      </c>
      <c r="AI1396" s="41">
        <v>0</v>
      </c>
    </row>
    <row r="1397" spans="1:35" ht="14.5">
      <c r="A1397" s="990">
        <v>1</v>
      </c>
      <c r="B1397" s="990">
        <v>1</v>
      </c>
      <c r="C1397" s="990" t="s">
        <v>1129</v>
      </c>
      <c r="D1397" s="9" t="s">
        <v>999</v>
      </c>
      <c r="E1397" s="1463" t="s">
        <v>1521</v>
      </c>
      <c r="F1397" s="1459"/>
      <c r="G1397" s="271"/>
      <c r="H1397" s="271" t="s">
        <v>99</v>
      </c>
      <c r="I1397" s="1824"/>
      <c r="J1397" s="5" t="s">
        <v>73</v>
      </c>
      <c r="K1397" s="5"/>
      <c r="L1397" s="5"/>
      <c r="M1397" s="4"/>
      <c r="N1397" s="4"/>
      <c r="O1397" s="4"/>
      <c r="P1397" s="29"/>
      <c r="Q1397" s="2097">
        <v>0</v>
      </c>
      <c r="R1397" s="2097">
        <v>0</v>
      </c>
      <c r="S1397" s="2097">
        <v>0</v>
      </c>
      <c r="T1397" s="2097">
        <v>0</v>
      </c>
      <c r="U1397" s="2097">
        <v>0</v>
      </c>
      <c r="V1397" s="2097">
        <v>0</v>
      </c>
      <c r="W1397" s="2097">
        <v>0</v>
      </c>
      <c r="X1397" s="2097">
        <v>0</v>
      </c>
      <c r="Y1397" s="2097">
        <v>0</v>
      </c>
      <c r="Z1397" s="2097">
        <v>0</v>
      </c>
      <c r="AA1397" s="2097">
        <v>0</v>
      </c>
      <c r="AB1397" s="2097">
        <v>0</v>
      </c>
      <c r="AC1397" s="41">
        <v>0</v>
      </c>
      <c r="AD1397" s="41">
        <v>0</v>
      </c>
      <c r="AE1397" s="41">
        <v>0</v>
      </c>
      <c r="AF1397" s="41">
        <v>0</v>
      </c>
      <c r="AG1397" s="41">
        <v>0</v>
      </c>
      <c r="AH1397" s="41">
        <v>0</v>
      </c>
      <c r="AI1397" s="41">
        <v>0</v>
      </c>
    </row>
    <row r="1398" spans="1:35" ht="14.5">
      <c r="A1398" s="990">
        <v>1</v>
      </c>
      <c r="B1398" s="990">
        <v>1</v>
      </c>
      <c r="C1398" s="990" t="s">
        <v>1129</v>
      </c>
      <c r="D1398" s="9" t="s">
        <v>999</v>
      </c>
      <c r="E1398" s="1463" t="s">
        <v>1521</v>
      </c>
      <c r="F1398" s="1459"/>
      <c r="G1398" s="271"/>
      <c r="H1398" s="271" t="s">
        <v>99</v>
      </c>
      <c r="I1398" s="1824"/>
      <c r="J1398" s="3" t="s">
        <v>332</v>
      </c>
      <c r="K1398" s="3"/>
      <c r="L1398" s="3"/>
      <c r="M1398" s="2"/>
      <c r="N1398" s="2"/>
      <c r="O1398" s="2"/>
      <c r="P1398" s="27"/>
      <c r="Q1398" s="2098">
        <v>0</v>
      </c>
      <c r="R1398" s="2098">
        <v>0</v>
      </c>
      <c r="S1398" s="2098">
        <v>0</v>
      </c>
      <c r="T1398" s="2098">
        <v>0</v>
      </c>
      <c r="U1398" s="2098">
        <v>0</v>
      </c>
      <c r="V1398" s="2098">
        <v>0</v>
      </c>
      <c r="W1398" s="2098">
        <v>0</v>
      </c>
      <c r="X1398" s="2098">
        <v>0</v>
      </c>
      <c r="Y1398" s="2098">
        <v>0</v>
      </c>
      <c r="Z1398" s="2098">
        <v>0</v>
      </c>
      <c r="AA1398" s="2098">
        <v>0</v>
      </c>
      <c r="AB1398" s="2098">
        <v>0</v>
      </c>
      <c r="AC1398" s="66">
        <v>0</v>
      </c>
      <c r="AD1398" s="66">
        <v>0</v>
      </c>
      <c r="AE1398" s="66">
        <v>0</v>
      </c>
      <c r="AF1398" s="66">
        <v>0</v>
      </c>
      <c r="AG1398" s="66">
        <v>0</v>
      </c>
      <c r="AH1398" s="66">
        <v>0</v>
      </c>
      <c r="AI1398" s="66">
        <v>0</v>
      </c>
    </row>
    <row r="1399" spans="1:35" ht="14.5">
      <c r="A1399" s="990">
        <v>1</v>
      </c>
      <c r="B1399" s="990">
        <v>1</v>
      </c>
      <c r="C1399" s="990" t="s">
        <v>1129</v>
      </c>
      <c r="D1399" s="9" t="s">
        <v>999</v>
      </c>
      <c r="E1399" s="1463" t="s">
        <v>1521</v>
      </c>
      <c r="F1399" s="1459"/>
      <c r="G1399" s="271"/>
      <c r="H1399" s="271" t="s">
        <v>99</v>
      </c>
      <c r="I1399" s="2657" t="s">
        <v>1110</v>
      </c>
      <c r="J1399" s="2392"/>
      <c r="K1399" s="2378"/>
      <c r="L1399" s="2378"/>
      <c r="M1399" s="2392"/>
      <c r="N1399" s="2392"/>
      <c r="O1399" s="2392"/>
      <c r="P1399" s="2746"/>
      <c r="Q1399" s="2060">
        <v>0</v>
      </c>
      <c r="R1399" s="2060">
        <v>0</v>
      </c>
      <c r="S1399" s="2060">
        <v>0</v>
      </c>
      <c r="T1399" s="2060">
        <v>0</v>
      </c>
      <c r="U1399" s="2060">
        <v>0</v>
      </c>
      <c r="V1399" s="2060">
        <v>0</v>
      </c>
      <c r="W1399" s="2060">
        <v>0</v>
      </c>
      <c r="X1399" s="2060">
        <v>0</v>
      </c>
      <c r="Y1399" s="2060">
        <v>0</v>
      </c>
      <c r="Z1399" s="2060">
        <v>0</v>
      </c>
      <c r="AA1399" s="2060">
        <v>0</v>
      </c>
      <c r="AB1399" s="2060">
        <v>0</v>
      </c>
      <c r="AC1399" s="2527">
        <v>0</v>
      </c>
      <c r="AD1399" s="2527">
        <v>0</v>
      </c>
      <c r="AE1399" s="2527">
        <v>0</v>
      </c>
      <c r="AF1399" s="2527">
        <v>0</v>
      </c>
      <c r="AG1399" s="2527">
        <v>0</v>
      </c>
      <c r="AH1399" s="2527">
        <v>0</v>
      </c>
      <c r="AI1399" s="2527">
        <v>0</v>
      </c>
    </row>
    <row r="1400" spans="1:35" ht="14.5">
      <c r="A1400" s="990">
        <v>1</v>
      </c>
      <c r="B1400" s="990">
        <v>1</v>
      </c>
      <c r="C1400" s="990" t="s">
        <v>1129</v>
      </c>
      <c r="D1400" s="9" t="s">
        <v>999</v>
      </c>
      <c r="E1400" s="1463" t="s">
        <v>1521</v>
      </c>
      <c r="F1400" s="1459"/>
      <c r="G1400" s="271"/>
      <c r="H1400" s="5"/>
      <c r="I1400" s="5"/>
      <c r="J1400" s="4"/>
      <c r="K1400" s="5"/>
      <c r="L1400" s="5"/>
      <c r="M1400" s="4"/>
      <c r="N1400" s="4"/>
      <c r="O1400" s="4"/>
      <c r="P1400" s="4"/>
      <c r="Q1400" s="2180"/>
      <c r="R1400" s="2180"/>
      <c r="S1400" s="2180"/>
      <c r="T1400" s="2180"/>
      <c r="U1400" s="2180"/>
      <c r="V1400" s="2180"/>
      <c r="W1400" s="2180"/>
      <c r="X1400" s="2180"/>
      <c r="Y1400" s="2180"/>
      <c r="Z1400" s="2180"/>
      <c r="AA1400" s="38"/>
      <c r="AB1400" s="38"/>
      <c r="AC1400" s="38"/>
      <c r="AD1400" s="38"/>
      <c r="AE1400" s="38"/>
      <c r="AF1400" s="38"/>
      <c r="AG1400" s="38"/>
      <c r="AH1400" s="38"/>
      <c r="AI1400" s="38"/>
    </row>
    <row r="1401" spans="1:35" ht="14.5">
      <c r="A1401" s="990">
        <v>1</v>
      </c>
      <c r="B1401" s="990">
        <v>1</v>
      </c>
      <c r="C1401" s="990" t="s">
        <v>1129</v>
      </c>
      <c r="D1401" s="9" t="s">
        <v>999</v>
      </c>
      <c r="E1401" s="1463" t="s">
        <v>1521</v>
      </c>
      <c r="F1401" s="1459"/>
      <c r="G1401" s="5"/>
      <c r="H1401" s="5" t="s">
        <v>1618</v>
      </c>
      <c r="I1401" s="5"/>
      <c r="J1401" s="4"/>
      <c r="K1401" s="5"/>
      <c r="L1401" s="5"/>
      <c r="M1401" s="38"/>
      <c r="N1401" s="4"/>
      <c r="O1401" s="4"/>
      <c r="P1401" s="4"/>
      <c r="Q1401" s="1151"/>
      <c r="R1401" s="1151"/>
      <c r="S1401" s="1151"/>
      <c r="T1401" s="1151"/>
      <c r="U1401" s="1151"/>
      <c r="V1401" s="1151"/>
      <c r="W1401" s="1151"/>
      <c r="X1401" s="1151"/>
      <c r="Y1401" s="1151"/>
      <c r="Z1401" s="1151"/>
      <c r="AA1401" s="38"/>
      <c r="AB1401" s="38"/>
      <c r="AC1401" s="38"/>
      <c r="AD1401" s="38"/>
      <c r="AE1401" s="38"/>
      <c r="AF1401" s="38"/>
      <c r="AG1401" s="38"/>
      <c r="AH1401" s="38"/>
      <c r="AI1401" s="38"/>
    </row>
    <row r="1402" spans="1:35" ht="14.5">
      <c r="A1402" s="990">
        <v>1</v>
      </c>
      <c r="B1402" s="990">
        <v>1</v>
      </c>
      <c r="C1402" s="990" t="s">
        <v>1129</v>
      </c>
      <c r="D1402" s="9" t="s">
        <v>999</v>
      </c>
      <c r="E1402" s="1463" t="s">
        <v>1521</v>
      </c>
      <c r="F1402" s="1459"/>
      <c r="G1402" s="271"/>
      <c r="H1402" s="271" t="s">
        <v>99</v>
      </c>
      <c r="I1402" s="183" t="s">
        <v>328</v>
      </c>
      <c r="J1402" s="1827"/>
      <c r="K1402" s="1497"/>
      <c r="L1402" s="1497"/>
      <c r="M1402" s="1497"/>
      <c r="N1402" s="1497"/>
      <c r="O1402" s="1497"/>
      <c r="P1402" s="1497"/>
      <c r="Q1402" s="181">
        <v>0</v>
      </c>
      <c r="R1402" s="181">
        <v>0</v>
      </c>
      <c r="S1402" s="181">
        <v>0</v>
      </c>
      <c r="T1402" s="181">
        <v>0</v>
      </c>
      <c r="U1402" s="181">
        <v>0</v>
      </c>
      <c r="V1402" s="181">
        <v>0</v>
      </c>
      <c r="W1402" s="181">
        <v>0</v>
      </c>
      <c r="X1402" s="181">
        <v>0</v>
      </c>
      <c r="Y1402" s="181">
        <v>0</v>
      </c>
      <c r="Z1402" s="181">
        <v>0</v>
      </c>
      <c r="AA1402" s="181">
        <v>0</v>
      </c>
      <c r="AB1402" s="181">
        <v>0</v>
      </c>
      <c r="AC1402" s="181">
        <v>0</v>
      </c>
      <c r="AD1402" s="181">
        <v>0</v>
      </c>
      <c r="AE1402" s="181">
        <v>0</v>
      </c>
      <c r="AF1402" s="181">
        <v>0</v>
      </c>
      <c r="AG1402" s="181">
        <v>0</v>
      </c>
      <c r="AH1402" s="181">
        <v>0</v>
      </c>
      <c r="AI1402" s="181">
        <v>0</v>
      </c>
    </row>
    <row r="1403" spans="1:35" ht="14.5">
      <c r="A1403" s="990">
        <v>1</v>
      </c>
      <c r="B1403" s="990">
        <v>1</v>
      </c>
      <c r="C1403" s="990" t="s">
        <v>1129</v>
      </c>
      <c r="D1403" s="9" t="s">
        <v>999</v>
      </c>
      <c r="E1403" s="1463" t="s">
        <v>1521</v>
      </c>
      <c r="F1403" s="1459"/>
      <c r="G1403" s="5"/>
      <c r="H1403" s="5"/>
      <c r="I1403" s="1824"/>
      <c r="J1403" s="2377" t="s">
        <v>62</v>
      </c>
      <c r="K1403" s="1116"/>
      <c r="L1403" s="1116"/>
      <c r="M1403" s="798"/>
      <c r="N1403" s="798"/>
      <c r="O1403" s="798"/>
      <c r="P1403" s="55"/>
      <c r="Q1403" s="2747"/>
      <c r="R1403" s="2747"/>
      <c r="S1403" s="2747"/>
      <c r="T1403" s="2747"/>
      <c r="U1403" s="2747"/>
      <c r="V1403" s="2747"/>
      <c r="W1403" s="2747"/>
      <c r="X1403" s="2747"/>
      <c r="Y1403" s="2747"/>
      <c r="Z1403" s="2747"/>
      <c r="AA1403" s="2747"/>
      <c r="AB1403" s="2747"/>
      <c r="AC1403" s="544">
        <v>0</v>
      </c>
      <c r="AD1403" s="544">
        <v>0</v>
      </c>
      <c r="AE1403" s="544">
        <v>0</v>
      </c>
      <c r="AF1403" s="544">
        <v>0</v>
      </c>
      <c r="AG1403" s="544">
        <v>0</v>
      </c>
      <c r="AH1403" s="544">
        <v>0</v>
      </c>
      <c r="AI1403" s="544">
        <v>0</v>
      </c>
    </row>
    <row r="1404" spans="1:35" ht="14.5">
      <c r="A1404" s="990">
        <v>1</v>
      </c>
      <c r="B1404" s="990">
        <v>1</v>
      </c>
      <c r="C1404" s="990" t="s">
        <v>1129</v>
      </c>
      <c r="D1404" s="9" t="s">
        <v>999</v>
      </c>
      <c r="E1404" s="1463" t="s">
        <v>1521</v>
      </c>
      <c r="F1404" s="1459"/>
      <c r="G1404" s="5"/>
      <c r="H1404" s="5"/>
      <c r="I1404" s="1824"/>
      <c r="J1404" s="30" t="s">
        <v>330</v>
      </c>
      <c r="K1404" s="5"/>
      <c r="L1404" s="5"/>
      <c r="M1404" s="4"/>
      <c r="N1404" s="4"/>
      <c r="O1404" s="4"/>
      <c r="P1404" s="29"/>
      <c r="Q1404" s="1988"/>
      <c r="R1404" s="1988"/>
      <c r="S1404" s="1988"/>
      <c r="T1404" s="1988"/>
      <c r="U1404" s="1988"/>
      <c r="V1404" s="1988"/>
      <c r="W1404" s="1988"/>
      <c r="X1404" s="1988"/>
      <c r="Y1404" s="1988"/>
      <c r="Z1404" s="1988"/>
      <c r="AA1404" s="1988"/>
      <c r="AB1404" s="1988"/>
      <c r="AC1404" s="545">
        <v>0</v>
      </c>
      <c r="AD1404" s="545">
        <v>0</v>
      </c>
      <c r="AE1404" s="545">
        <v>0</v>
      </c>
      <c r="AF1404" s="545">
        <v>0</v>
      </c>
      <c r="AG1404" s="545">
        <v>0</v>
      </c>
      <c r="AH1404" s="545">
        <v>0</v>
      </c>
      <c r="AI1404" s="545">
        <v>0</v>
      </c>
    </row>
    <row r="1405" spans="1:35" ht="14.5">
      <c r="A1405" s="990">
        <v>1</v>
      </c>
      <c r="B1405" s="990">
        <v>1</v>
      </c>
      <c r="C1405" s="990" t="s">
        <v>1129</v>
      </c>
      <c r="D1405" s="9" t="s">
        <v>999</v>
      </c>
      <c r="E1405" s="1463" t="s">
        <v>1521</v>
      </c>
      <c r="F1405" s="1459"/>
      <c r="G1405" s="5"/>
      <c r="H1405" s="5"/>
      <c r="I1405" s="1824"/>
      <c r="J1405" s="30" t="s">
        <v>1633</v>
      </c>
      <c r="K1405" s="5"/>
      <c r="L1405" s="5"/>
      <c r="M1405" s="4"/>
      <c r="N1405" s="4"/>
      <c r="O1405" s="4"/>
      <c r="P1405" s="29"/>
      <c r="Q1405" s="1988"/>
      <c r="R1405" s="1988"/>
      <c r="S1405" s="1988"/>
      <c r="T1405" s="1988"/>
      <c r="U1405" s="1988"/>
      <c r="V1405" s="1988"/>
      <c r="W1405" s="1988"/>
      <c r="X1405" s="1988"/>
      <c r="Y1405" s="1988"/>
      <c r="Z1405" s="1988"/>
      <c r="AA1405" s="1988"/>
      <c r="AB1405" s="1988"/>
      <c r="AC1405" s="545">
        <v>0</v>
      </c>
      <c r="AD1405" s="545">
        <v>0</v>
      </c>
      <c r="AE1405" s="545">
        <v>0</v>
      </c>
      <c r="AF1405" s="545">
        <v>0</v>
      </c>
      <c r="AG1405" s="545">
        <v>0</v>
      </c>
      <c r="AH1405" s="545">
        <v>0</v>
      </c>
      <c r="AI1405" s="545">
        <v>0</v>
      </c>
    </row>
    <row r="1406" spans="1:35" ht="14.5">
      <c r="A1406" s="990">
        <v>1</v>
      </c>
      <c r="B1406" s="990">
        <v>1</v>
      </c>
      <c r="C1406" s="990" t="s">
        <v>1129</v>
      </c>
      <c r="D1406" s="9" t="s">
        <v>999</v>
      </c>
      <c r="E1406" s="1463" t="s">
        <v>1521</v>
      </c>
      <c r="F1406" s="1459"/>
      <c r="G1406" s="5"/>
      <c r="H1406" s="5"/>
      <c r="I1406" s="1824"/>
      <c r="J1406" s="30" t="s">
        <v>73</v>
      </c>
      <c r="K1406" s="5"/>
      <c r="L1406" s="5"/>
      <c r="M1406" s="4"/>
      <c r="N1406" s="4"/>
      <c r="O1406" s="4"/>
      <c r="P1406" s="29"/>
      <c r="Q1406" s="1988"/>
      <c r="R1406" s="1988"/>
      <c r="S1406" s="1988"/>
      <c r="T1406" s="1988"/>
      <c r="U1406" s="1988"/>
      <c r="V1406" s="1988"/>
      <c r="W1406" s="1988"/>
      <c r="X1406" s="1988"/>
      <c r="Y1406" s="1988"/>
      <c r="Z1406" s="1988"/>
      <c r="AA1406" s="1988"/>
      <c r="AB1406" s="1988"/>
      <c r="AC1406" s="545">
        <v>0</v>
      </c>
      <c r="AD1406" s="545">
        <v>0</v>
      </c>
      <c r="AE1406" s="545">
        <v>0</v>
      </c>
      <c r="AF1406" s="545">
        <v>0</v>
      </c>
      <c r="AG1406" s="545">
        <v>0</v>
      </c>
      <c r="AH1406" s="545">
        <v>0</v>
      </c>
      <c r="AI1406" s="545">
        <v>0</v>
      </c>
    </row>
    <row r="1407" spans="1:35" ht="14.5">
      <c r="A1407" s="990">
        <v>1</v>
      </c>
      <c r="B1407" s="990">
        <v>1</v>
      </c>
      <c r="C1407" s="990" t="s">
        <v>1129</v>
      </c>
      <c r="D1407" s="9" t="s">
        <v>999</v>
      </c>
      <c r="E1407" s="1463" t="s">
        <v>1521</v>
      </c>
      <c r="F1407" s="1459"/>
      <c r="G1407" s="5"/>
      <c r="H1407" s="5"/>
      <c r="I1407" s="1825"/>
      <c r="J1407" s="53" t="s">
        <v>332</v>
      </c>
      <c r="K1407" s="52"/>
      <c r="L1407" s="52"/>
      <c r="M1407" s="51"/>
      <c r="N1407" s="51"/>
      <c r="O1407" s="51"/>
      <c r="P1407" s="50"/>
      <c r="Q1407" s="1989"/>
      <c r="R1407" s="1989"/>
      <c r="S1407" s="1989"/>
      <c r="T1407" s="1989"/>
      <c r="U1407" s="1989"/>
      <c r="V1407" s="1989"/>
      <c r="W1407" s="1989"/>
      <c r="X1407" s="1989"/>
      <c r="Y1407" s="1989"/>
      <c r="Z1407" s="1989"/>
      <c r="AA1407" s="1989"/>
      <c r="AB1407" s="1989"/>
      <c r="AC1407" s="546">
        <v>0</v>
      </c>
      <c r="AD1407" s="546">
        <v>0</v>
      </c>
      <c r="AE1407" s="546">
        <v>0</v>
      </c>
      <c r="AF1407" s="546">
        <v>0</v>
      </c>
      <c r="AG1407" s="546">
        <v>0</v>
      </c>
      <c r="AH1407" s="546">
        <v>0</v>
      </c>
      <c r="AI1407" s="546">
        <v>0</v>
      </c>
    </row>
    <row r="1408" spans="1:35" ht="14.5">
      <c r="A1408" s="990">
        <v>1</v>
      </c>
      <c r="B1408" s="990">
        <v>1</v>
      </c>
      <c r="C1408" s="990" t="s">
        <v>1129</v>
      </c>
      <c r="D1408" s="9" t="s">
        <v>999</v>
      </c>
      <c r="E1408" s="1463" t="s">
        <v>1521</v>
      </c>
      <c r="F1408" s="1459"/>
      <c r="G1408" s="271" t="s">
        <v>1634</v>
      </c>
      <c r="H1408" s="271" t="s">
        <v>99</v>
      </c>
      <c r="I1408" s="2657" t="s">
        <v>1110</v>
      </c>
      <c r="J1408" s="2392"/>
      <c r="K1408" s="2378"/>
      <c r="L1408" s="2378"/>
      <c r="M1408" s="2392"/>
      <c r="N1408" s="2392"/>
      <c r="O1408" s="2392"/>
      <c r="P1408" s="2746"/>
      <c r="Q1408" s="2050"/>
      <c r="R1408" s="2050"/>
      <c r="S1408" s="2050"/>
      <c r="T1408" s="2050"/>
      <c r="U1408" s="2050"/>
      <c r="V1408" s="2050"/>
      <c r="W1408" s="2050"/>
      <c r="X1408" s="2050"/>
      <c r="Y1408" s="2050"/>
      <c r="Z1408" s="2050"/>
      <c r="AA1408" s="2050"/>
      <c r="AB1408" s="2050"/>
      <c r="AC1408" s="2527">
        <v>0</v>
      </c>
      <c r="AD1408" s="2527">
        <v>0</v>
      </c>
      <c r="AE1408" s="2527">
        <v>0</v>
      </c>
      <c r="AF1408" s="2527">
        <v>0</v>
      </c>
      <c r="AG1408" s="2527">
        <v>0</v>
      </c>
      <c r="AH1408" s="2527">
        <v>0</v>
      </c>
      <c r="AI1408" s="2527">
        <v>0</v>
      </c>
    </row>
    <row r="1409" spans="1:35" ht="14.5">
      <c r="A1409" s="990">
        <v>1</v>
      </c>
      <c r="B1409" s="990">
        <v>1</v>
      </c>
      <c r="C1409" s="990" t="s">
        <v>1129</v>
      </c>
      <c r="D1409" s="9" t="s">
        <v>999</v>
      </c>
      <c r="E1409" s="1463" t="s">
        <v>1521</v>
      </c>
      <c r="F1409" s="1459"/>
      <c r="G1409" s="5"/>
      <c r="H1409" s="5"/>
      <c r="I1409" s="5"/>
      <c r="J1409" s="4"/>
      <c r="K1409" s="5"/>
      <c r="L1409" s="5"/>
      <c r="M1409" s="4"/>
      <c r="N1409" s="4"/>
      <c r="O1409" s="4"/>
      <c r="P1409" s="4"/>
      <c r="Q1409" s="1151"/>
      <c r="R1409" s="1151"/>
      <c r="S1409" s="1151"/>
      <c r="T1409" s="1151"/>
      <c r="U1409" s="1151"/>
      <c r="V1409" s="1151"/>
      <c r="W1409" s="1151"/>
      <c r="X1409" s="1151"/>
      <c r="Y1409" s="1151"/>
      <c r="Z1409" s="1151"/>
      <c r="AA1409" s="38"/>
      <c r="AB1409" s="38"/>
      <c r="AC1409" s="38"/>
      <c r="AD1409" s="38"/>
      <c r="AE1409" s="38"/>
      <c r="AF1409" s="38"/>
      <c r="AG1409" s="38"/>
      <c r="AH1409" s="38"/>
      <c r="AI1409" s="38"/>
    </row>
    <row r="1410" spans="1:35" ht="14.5">
      <c r="A1410" s="990">
        <v>1</v>
      </c>
      <c r="B1410" s="990">
        <v>1</v>
      </c>
      <c r="C1410" s="990" t="s">
        <v>1129</v>
      </c>
      <c r="D1410" s="9" t="s">
        <v>999</v>
      </c>
      <c r="E1410" s="1463" t="s">
        <v>1521</v>
      </c>
      <c r="F1410" s="1459"/>
      <c r="G1410" s="5"/>
      <c r="H1410" s="5" t="s">
        <v>1619</v>
      </c>
      <c r="I1410" s="1286"/>
      <c r="J1410" s="4"/>
      <c r="K1410" s="5"/>
      <c r="L1410" s="5"/>
      <c r="M1410" s="4"/>
      <c r="N1410" s="4" t="s">
        <v>1620</v>
      </c>
      <c r="O1410" s="4"/>
      <c r="P1410" s="4"/>
      <c r="Q1410" s="1151"/>
      <c r="R1410" s="1151"/>
      <c r="S1410" s="1151"/>
      <c r="T1410" s="1151"/>
      <c r="U1410" s="1151"/>
      <c r="V1410" s="1151"/>
      <c r="W1410" s="1151"/>
      <c r="X1410" s="1151"/>
      <c r="Y1410" s="1151"/>
      <c r="Z1410" s="1151"/>
      <c r="AA1410" s="38"/>
      <c r="AB1410" s="38"/>
      <c r="AC1410" s="38"/>
      <c r="AD1410" s="38"/>
      <c r="AE1410" s="38"/>
      <c r="AF1410" s="38"/>
      <c r="AG1410" s="38"/>
      <c r="AH1410" s="38"/>
      <c r="AI1410" s="38"/>
    </row>
    <row r="1411" spans="1:35" ht="14.5">
      <c r="A1411" s="990">
        <v>1</v>
      </c>
      <c r="B1411" s="990">
        <v>1</v>
      </c>
      <c r="C1411" s="990" t="s">
        <v>1129</v>
      </c>
      <c r="D1411" s="9" t="s">
        <v>999</v>
      </c>
      <c r="E1411" s="1463" t="s">
        <v>1521</v>
      </c>
      <c r="F1411" s="1459"/>
      <c r="G1411" s="271"/>
      <c r="H1411" s="271" t="s">
        <v>99</v>
      </c>
      <c r="I1411" s="183" t="s">
        <v>328</v>
      </c>
      <c r="J1411" s="1827"/>
      <c r="K1411" s="1497"/>
      <c r="L1411" s="1497"/>
      <c r="M1411" s="1497"/>
      <c r="N1411" s="1497"/>
      <c r="O1411" s="1497"/>
      <c r="P1411" s="1497"/>
      <c r="Q1411" s="181">
        <v>0</v>
      </c>
      <c r="R1411" s="181">
        <v>0</v>
      </c>
      <c r="S1411" s="181">
        <v>0</v>
      </c>
      <c r="T1411" s="181">
        <v>0</v>
      </c>
      <c r="U1411" s="181">
        <v>0</v>
      </c>
      <c r="V1411" s="181">
        <v>0</v>
      </c>
      <c r="W1411" s="181">
        <v>0</v>
      </c>
      <c r="X1411" s="181">
        <v>0</v>
      </c>
      <c r="Y1411" s="181">
        <v>0</v>
      </c>
      <c r="Z1411" s="181">
        <v>0</v>
      </c>
      <c r="AA1411" s="181">
        <v>0</v>
      </c>
      <c r="AB1411" s="181">
        <v>0</v>
      </c>
      <c r="AC1411" s="181">
        <v>0</v>
      </c>
      <c r="AD1411" s="181">
        <v>0</v>
      </c>
      <c r="AE1411" s="181">
        <v>0</v>
      </c>
      <c r="AF1411" s="181">
        <v>0</v>
      </c>
      <c r="AG1411" s="181">
        <v>0</v>
      </c>
      <c r="AH1411" s="181">
        <v>0</v>
      </c>
      <c r="AI1411" s="181">
        <v>0</v>
      </c>
    </row>
    <row r="1412" spans="1:35" ht="14.5">
      <c r="A1412" s="990">
        <v>1</v>
      </c>
      <c r="B1412" s="990">
        <v>1</v>
      </c>
      <c r="C1412" s="990" t="s">
        <v>1129</v>
      </c>
      <c r="D1412" s="9" t="s">
        <v>999</v>
      </c>
      <c r="E1412" s="1463" t="s">
        <v>1521</v>
      </c>
      <c r="F1412" s="1459"/>
      <c r="G1412" s="547"/>
      <c r="H1412" s="547"/>
      <c r="I1412" s="1824"/>
      <c r="J1412" s="2377" t="s">
        <v>62</v>
      </c>
      <c r="K1412" s="1116"/>
      <c r="L1412" s="2748"/>
      <c r="M1412" s="2749"/>
      <c r="N1412" s="2749"/>
      <c r="O1412" s="2749"/>
      <c r="P1412" s="544"/>
      <c r="Q1412" s="2747"/>
      <c r="R1412" s="2747"/>
      <c r="S1412" s="2747"/>
      <c r="T1412" s="2747"/>
      <c r="U1412" s="2747"/>
      <c r="V1412" s="2747"/>
      <c r="W1412" s="2747"/>
      <c r="X1412" s="2747"/>
      <c r="Y1412" s="2747"/>
      <c r="Z1412" s="2747"/>
      <c r="AA1412" s="2747"/>
      <c r="AB1412" s="2747"/>
      <c r="AC1412" s="544">
        <v>0</v>
      </c>
      <c r="AD1412" s="544">
        <v>0</v>
      </c>
      <c r="AE1412" s="544">
        <v>0</v>
      </c>
      <c r="AF1412" s="544">
        <v>0</v>
      </c>
      <c r="AG1412" s="544">
        <v>0</v>
      </c>
      <c r="AH1412" s="544">
        <v>0</v>
      </c>
      <c r="AI1412" s="544">
        <v>0</v>
      </c>
    </row>
    <row r="1413" spans="1:35" ht="14.5">
      <c r="A1413" s="990">
        <v>1</v>
      </c>
      <c r="B1413" s="990">
        <v>1</v>
      </c>
      <c r="C1413" s="990" t="s">
        <v>1129</v>
      </c>
      <c r="D1413" s="9" t="s">
        <v>999</v>
      </c>
      <c r="E1413" s="1463" t="s">
        <v>1521</v>
      </c>
      <c r="F1413" s="1459"/>
      <c r="G1413" s="547"/>
      <c r="H1413" s="547"/>
      <c r="I1413" s="1824"/>
      <c r="J1413" s="30" t="s">
        <v>330</v>
      </c>
      <c r="K1413" s="5"/>
      <c r="L1413" s="547"/>
      <c r="M1413" s="550"/>
      <c r="N1413" s="550"/>
      <c r="O1413" s="550"/>
      <c r="P1413" s="545"/>
      <c r="Q1413" s="1988"/>
      <c r="R1413" s="1988"/>
      <c r="S1413" s="1988"/>
      <c r="T1413" s="1988"/>
      <c r="U1413" s="1988"/>
      <c r="V1413" s="1988"/>
      <c r="W1413" s="1988"/>
      <c r="X1413" s="1988"/>
      <c r="Y1413" s="1988"/>
      <c r="Z1413" s="1988"/>
      <c r="AA1413" s="1988"/>
      <c r="AB1413" s="1988"/>
      <c r="AC1413" s="545">
        <v>0</v>
      </c>
      <c r="AD1413" s="545">
        <v>0</v>
      </c>
      <c r="AE1413" s="545">
        <v>0</v>
      </c>
      <c r="AF1413" s="545">
        <v>0</v>
      </c>
      <c r="AG1413" s="545">
        <v>0</v>
      </c>
      <c r="AH1413" s="545">
        <v>0</v>
      </c>
      <c r="AI1413" s="545">
        <v>0</v>
      </c>
    </row>
    <row r="1414" spans="1:35" ht="14.5">
      <c r="A1414" s="990">
        <v>1</v>
      </c>
      <c r="B1414" s="990">
        <v>1</v>
      </c>
      <c r="C1414" s="990" t="s">
        <v>1129</v>
      </c>
      <c r="D1414" s="9" t="s">
        <v>999</v>
      </c>
      <c r="E1414" s="1463" t="s">
        <v>1521</v>
      </c>
      <c r="F1414" s="1459"/>
      <c r="G1414" s="547"/>
      <c r="H1414" s="547"/>
      <c r="I1414" s="1824"/>
      <c r="J1414" s="30" t="s">
        <v>1633</v>
      </c>
      <c r="K1414" s="5"/>
      <c r="L1414" s="547"/>
      <c r="M1414" s="550"/>
      <c r="N1414" s="550"/>
      <c r="O1414" s="550"/>
      <c r="P1414" s="545"/>
      <c r="Q1414" s="1988"/>
      <c r="R1414" s="1988"/>
      <c r="S1414" s="1988"/>
      <c r="T1414" s="1988"/>
      <c r="U1414" s="1988"/>
      <c r="V1414" s="1988"/>
      <c r="W1414" s="1988"/>
      <c r="X1414" s="1988"/>
      <c r="Y1414" s="1988"/>
      <c r="Z1414" s="1988"/>
      <c r="AA1414" s="1988"/>
      <c r="AB1414" s="1988"/>
      <c r="AC1414" s="545">
        <v>0</v>
      </c>
      <c r="AD1414" s="545">
        <v>0</v>
      </c>
      <c r="AE1414" s="545">
        <v>0</v>
      </c>
      <c r="AF1414" s="545">
        <v>0</v>
      </c>
      <c r="AG1414" s="545">
        <v>0</v>
      </c>
      <c r="AH1414" s="545">
        <v>0</v>
      </c>
      <c r="AI1414" s="545">
        <v>0</v>
      </c>
    </row>
    <row r="1415" spans="1:35" ht="14.5">
      <c r="A1415" s="990">
        <v>1</v>
      </c>
      <c r="B1415" s="990">
        <v>1</v>
      </c>
      <c r="C1415" s="990" t="s">
        <v>1129</v>
      </c>
      <c r="D1415" s="9" t="s">
        <v>999</v>
      </c>
      <c r="E1415" s="1463" t="s">
        <v>1521</v>
      </c>
      <c r="F1415" s="1459"/>
      <c r="G1415" s="5"/>
      <c r="H1415" s="5"/>
      <c r="I1415" s="1824"/>
      <c r="J1415" s="30" t="s">
        <v>73</v>
      </c>
      <c r="K1415" s="5"/>
      <c r="L1415" s="5"/>
      <c r="M1415" s="4"/>
      <c r="N1415" s="4"/>
      <c r="O1415" s="4"/>
      <c r="P1415" s="29"/>
      <c r="Q1415" s="1988"/>
      <c r="R1415" s="1988"/>
      <c r="S1415" s="1988"/>
      <c r="T1415" s="1988"/>
      <c r="U1415" s="1988"/>
      <c r="V1415" s="1988"/>
      <c r="W1415" s="1988"/>
      <c r="X1415" s="1988"/>
      <c r="Y1415" s="1988"/>
      <c r="Z1415" s="1988"/>
      <c r="AA1415" s="1988"/>
      <c r="AB1415" s="1988"/>
      <c r="AC1415" s="545">
        <v>0</v>
      </c>
      <c r="AD1415" s="545">
        <v>0</v>
      </c>
      <c r="AE1415" s="545">
        <v>0</v>
      </c>
      <c r="AF1415" s="545">
        <v>0</v>
      </c>
      <c r="AG1415" s="545">
        <v>0</v>
      </c>
      <c r="AH1415" s="545">
        <v>0</v>
      </c>
      <c r="AI1415" s="545">
        <v>0</v>
      </c>
    </row>
    <row r="1416" spans="1:35" ht="14.5">
      <c r="A1416" s="990">
        <v>1</v>
      </c>
      <c r="B1416" s="990">
        <v>1</v>
      </c>
      <c r="C1416" s="990" t="s">
        <v>1129</v>
      </c>
      <c r="D1416" s="9" t="s">
        <v>999</v>
      </c>
      <c r="E1416" s="1463" t="s">
        <v>1521</v>
      </c>
      <c r="F1416" s="1459"/>
      <c r="G1416" s="547"/>
      <c r="H1416" s="547"/>
      <c r="I1416" s="1825"/>
      <c r="J1416" s="53" t="s">
        <v>332</v>
      </c>
      <c r="K1416" s="52"/>
      <c r="L1416" s="552"/>
      <c r="M1416" s="551"/>
      <c r="N1416" s="551"/>
      <c r="O1416" s="551"/>
      <c r="P1416" s="546"/>
      <c r="Q1416" s="1989"/>
      <c r="R1416" s="1989"/>
      <c r="S1416" s="1989"/>
      <c r="T1416" s="1989"/>
      <c r="U1416" s="1989"/>
      <c r="V1416" s="1989"/>
      <c r="W1416" s="1989"/>
      <c r="X1416" s="1989"/>
      <c r="Y1416" s="1989"/>
      <c r="Z1416" s="1989"/>
      <c r="AA1416" s="1989"/>
      <c r="AB1416" s="1989"/>
      <c r="AC1416" s="546">
        <v>0</v>
      </c>
      <c r="AD1416" s="546">
        <v>0</v>
      </c>
      <c r="AE1416" s="546">
        <v>0</v>
      </c>
      <c r="AF1416" s="546">
        <v>0</v>
      </c>
      <c r="AG1416" s="546">
        <v>0</v>
      </c>
      <c r="AH1416" s="546">
        <v>0</v>
      </c>
      <c r="AI1416" s="546">
        <v>0</v>
      </c>
    </row>
    <row r="1417" spans="1:35" ht="14.5">
      <c r="A1417" s="990">
        <v>1</v>
      </c>
      <c r="B1417" s="990">
        <v>1</v>
      </c>
      <c r="C1417" s="990" t="s">
        <v>1129</v>
      </c>
      <c r="D1417" s="9" t="s">
        <v>999</v>
      </c>
      <c r="E1417" s="1463" t="s">
        <v>1521</v>
      </c>
      <c r="F1417" s="1459"/>
      <c r="G1417" s="547"/>
      <c r="H1417" s="271" t="s">
        <v>99</v>
      </c>
      <c r="I1417" s="2657" t="s">
        <v>1110</v>
      </c>
      <c r="J1417" s="2392"/>
      <c r="K1417" s="2378"/>
      <c r="L1417" s="2378"/>
      <c r="M1417" s="2392"/>
      <c r="N1417" s="2392"/>
      <c r="O1417" s="2392"/>
      <c r="P1417" s="2746"/>
      <c r="Q1417" s="2050"/>
      <c r="R1417" s="2050"/>
      <c r="S1417" s="2050"/>
      <c r="T1417" s="2050"/>
      <c r="U1417" s="2050"/>
      <c r="V1417" s="2050"/>
      <c r="W1417" s="2050"/>
      <c r="X1417" s="2050"/>
      <c r="Y1417" s="2050"/>
      <c r="Z1417" s="2050"/>
      <c r="AA1417" s="2050"/>
      <c r="AB1417" s="2050"/>
      <c r="AC1417" s="2527">
        <v>0</v>
      </c>
      <c r="AD1417" s="2527">
        <v>0</v>
      </c>
      <c r="AE1417" s="2527">
        <v>0</v>
      </c>
      <c r="AF1417" s="2527">
        <v>0</v>
      </c>
      <c r="AG1417" s="2527">
        <v>0</v>
      </c>
      <c r="AH1417" s="2527">
        <v>0</v>
      </c>
      <c r="AI1417" s="2527">
        <v>0</v>
      </c>
    </row>
    <row r="1418" spans="1:35" ht="14.5">
      <c r="A1418" s="990">
        <v>1</v>
      </c>
      <c r="B1418" s="990">
        <v>1</v>
      </c>
      <c r="C1418" s="990" t="s">
        <v>1129</v>
      </c>
      <c r="D1418" s="9" t="s">
        <v>999</v>
      </c>
      <c r="E1418" s="1463" t="s">
        <v>1521</v>
      </c>
      <c r="F1418" s="1459"/>
      <c r="G1418" s="547"/>
      <c r="H1418"/>
      <c r="I1418"/>
      <c r="J1418"/>
      <c r="K1418"/>
      <c r="L1418"/>
      <c r="M1418"/>
      <c r="N1418"/>
      <c r="O1418"/>
      <c r="P1418"/>
      <c r="Q1418"/>
      <c r="R1418"/>
      <c r="S1418"/>
      <c r="T1418"/>
      <c r="U1418"/>
      <c r="V1418"/>
      <c r="W1418"/>
      <c r="X1418"/>
      <c r="Y1418"/>
      <c r="Z1418"/>
      <c r="AA1418"/>
      <c r="AB1418"/>
      <c r="AC1418"/>
      <c r="AD1418"/>
      <c r="AE1418"/>
      <c r="AF1418"/>
      <c r="AG1418"/>
      <c r="AH1418"/>
      <c r="AI1418"/>
    </row>
    <row r="1419" spans="1:35" ht="14.5">
      <c r="A1419" s="990">
        <v>1</v>
      </c>
      <c r="B1419" s="990">
        <v>1</v>
      </c>
      <c r="C1419" s="990" t="s">
        <v>1129</v>
      </c>
      <c r="D1419" s="9" t="s">
        <v>999</v>
      </c>
      <c r="E1419" s="1611" t="s">
        <v>1013</v>
      </c>
      <c r="F1419" s="1610"/>
      <c r="G1419" s="5" t="s">
        <v>1635</v>
      </c>
      <c r="I1419" s="24"/>
      <c r="J1419" s="24"/>
      <c r="K1419" s="5"/>
      <c r="L1419" s="4"/>
      <c r="M1419" s="5"/>
      <c r="N1419" s="5"/>
      <c r="O1419" s="4"/>
      <c r="P1419" s="4"/>
      <c r="Q1419"/>
      <c r="R1419"/>
      <c r="S1419"/>
      <c r="T1419"/>
      <c r="U1419"/>
      <c r="V1419"/>
      <c r="W1419"/>
      <c r="X1419"/>
      <c r="Y1419"/>
      <c r="Z1419"/>
      <c r="AA1419"/>
      <c r="AB1419"/>
      <c r="AC1419"/>
      <c r="AD1419"/>
      <c r="AE1419"/>
      <c r="AF1419"/>
      <c r="AG1419"/>
      <c r="AH1419"/>
      <c r="AI1419"/>
    </row>
    <row r="1420" spans="1:35" ht="14.5">
      <c r="A1420" s="990">
        <v>1</v>
      </c>
      <c r="B1420" s="990">
        <v>1</v>
      </c>
      <c r="C1420" s="990" t="s">
        <v>1129</v>
      </c>
      <c r="D1420" s="9" t="s">
        <v>999</v>
      </c>
      <c r="E1420" s="1611" t="s">
        <v>1013</v>
      </c>
      <c r="F1420" s="1610"/>
      <c r="G1420" s="9"/>
      <c r="H1420" s="5"/>
      <c r="I1420" s="58"/>
      <c r="J1420" s="555"/>
      <c r="K1420" s="636"/>
      <c r="L1420" s="636"/>
      <c r="M1420" s="555"/>
      <c r="N1420" s="555"/>
      <c r="O1420" s="555"/>
      <c r="P1420" s="555"/>
      <c r="Q1420" s="2175">
        <v>43922</v>
      </c>
      <c r="R1420" s="2175">
        <v>43952</v>
      </c>
      <c r="S1420" s="2175">
        <v>43983</v>
      </c>
      <c r="T1420" s="2175">
        <v>44013</v>
      </c>
      <c r="U1420" s="2175">
        <v>44044</v>
      </c>
      <c r="V1420" s="2175">
        <v>44075</v>
      </c>
      <c r="W1420" s="2175">
        <v>44105</v>
      </c>
      <c r="X1420" s="2175">
        <v>44136</v>
      </c>
      <c r="Y1420" s="2175">
        <v>44166</v>
      </c>
      <c r="Z1420" s="2175">
        <v>44197</v>
      </c>
      <c r="AA1420" s="2175">
        <v>44228</v>
      </c>
      <c r="AB1420" s="2175">
        <v>44256</v>
      </c>
      <c r="AC1420" s="2591" t="s">
        <v>105</v>
      </c>
      <c r="AD1420" s="2591" t="s">
        <v>104</v>
      </c>
      <c r="AE1420" s="2591" t="s">
        <v>103</v>
      </c>
      <c r="AF1420" s="2591" t="s">
        <v>102</v>
      </c>
      <c r="AG1420" s="2591" t="s">
        <v>101</v>
      </c>
      <c r="AH1420" s="2591" t="s">
        <v>100</v>
      </c>
      <c r="AI1420" s="2591" t="s">
        <v>118</v>
      </c>
    </row>
    <row r="1421" spans="1:35" ht="14.5">
      <c r="A1421" s="990">
        <v>1</v>
      </c>
      <c r="B1421" s="990">
        <v>1</v>
      </c>
      <c r="C1421" s="990" t="s">
        <v>1129</v>
      </c>
      <c r="D1421" s="9" t="s">
        <v>999</v>
      </c>
      <c r="E1421" s="1611" t="s">
        <v>1013</v>
      </c>
      <c r="F1421" s="1610"/>
      <c r="G1421" s="9"/>
      <c r="H1421" s="5"/>
      <c r="I1421" s="2657" t="s">
        <v>1636</v>
      </c>
      <c r="J1421" s="2378"/>
      <c r="K1421" s="2378"/>
      <c r="L1421" s="2378"/>
      <c r="M1421" s="2392"/>
      <c r="N1421" s="2392"/>
      <c r="O1421" s="2392"/>
      <c r="P1421" s="2392"/>
      <c r="Q1421" s="2110">
        <v>0</v>
      </c>
      <c r="R1421" s="2110">
        <v>0</v>
      </c>
      <c r="S1421" s="2110">
        <v>0</v>
      </c>
      <c r="T1421" s="2110">
        <v>0</v>
      </c>
      <c r="U1421" s="2110">
        <v>0</v>
      </c>
      <c r="V1421" s="2110">
        <v>0</v>
      </c>
      <c r="W1421" s="2110">
        <v>0</v>
      </c>
      <c r="X1421" s="2110">
        <v>0</v>
      </c>
      <c r="Y1421" s="2110">
        <v>0</v>
      </c>
      <c r="Z1421" s="2110">
        <v>0</v>
      </c>
      <c r="AA1421" s="2110">
        <v>0</v>
      </c>
      <c r="AB1421" s="2110">
        <v>0</v>
      </c>
      <c r="AC1421" s="2110">
        <v>0</v>
      </c>
      <c r="AD1421" s="2110">
        <v>0</v>
      </c>
      <c r="AE1421" s="2110">
        <v>0</v>
      </c>
      <c r="AF1421" s="2110">
        <v>0</v>
      </c>
      <c r="AG1421" s="2110">
        <v>0</v>
      </c>
      <c r="AH1421" s="2110">
        <v>0</v>
      </c>
      <c r="AI1421" s="2110">
        <v>0</v>
      </c>
    </row>
    <row r="1422" spans="1:35" ht="14.5">
      <c r="A1422" s="990">
        <v>1</v>
      </c>
      <c r="B1422" s="990">
        <v>1</v>
      </c>
      <c r="C1422" s="990" t="s">
        <v>1129</v>
      </c>
      <c r="D1422" s="9" t="s">
        <v>999</v>
      </c>
      <c r="E1422" s="1611" t="s">
        <v>1013</v>
      </c>
      <c r="F1422" s="1610"/>
      <c r="G1422" s="9"/>
      <c r="H1422" s="5"/>
      <c r="I1422" s="30"/>
      <c r="J1422" s="4" t="s">
        <v>1309</v>
      </c>
      <c r="K1422" s="4"/>
      <c r="L1422" s="4"/>
      <c r="M1422" s="5"/>
      <c r="N1422" s="4"/>
      <c r="O1422" s="4"/>
      <c r="P1422" s="4"/>
      <c r="Q1422" s="2111">
        <v>0</v>
      </c>
      <c r="R1422" s="2111">
        <v>0</v>
      </c>
      <c r="S1422" s="2111">
        <v>0</v>
      </c>
      <c r="T1422" s="2111">
        <v>0</v>
      </c>
      <c r="U1422" s="2111">
        <v>0</v>
      </c>
      <c r="V1422" s="2111">
        <v>0</v>
      </c>
      <c r="W1422" s="2111">
        <v>0</v>
      </c>
      <c r="X1422" s="2111">
        <v>0</v>
      </c>
      <c r="Y1422" s="2111">
        <v>0</v>
      </c>
      <c r="Z1422" s="2111">
        <v>0</v>
      </c>
      <c r="AA1422" s="2107">
        <v>0</v>
      </c>
      <c r="AB1422" s="2107">
        <v>0</v>
      </c>
      <c r="AC1422" s="782">
        <v>0</v>
      </c>
      <c r="AD1422" s="782">
        <v>0</v>
      </c>
      <c r="AE1422" s="782">
        <v>0</v>
      </c>
      <c r="AF1422" s="782">
        <v>0</v>
      </c>
      <c r="AG1422" s="782">
        <v>0</v>
      </c>
      <c r="AH1422" s="782">
        <v>0</v>
      </c>
      <c r="AI1422" s="782">
        <v>0</v>
      </c>
    </row>
    <row r="1423" spans="1:35" ht="14.5">
      <c r="A1423" s="990">
        <v>1</v>
      </c>
      <c r="B1423" s="990">
        <v>1</v>
      </c>
      <c r="C1423" s="990" t="s">
        <v>1129</v>
      </c>
      <c r="D1423" s="9" t="s">
        <v>999</v>
      </c>
      <c r="E1423" s="1611" t="s">
        <v>1013</v>
      </c>
      <c r="F1423" s="1610"/>
      <c r="G1423" s="9"/>
      <c r="H1423" s="9"/>
      <c r="I1423" s="30"/>
      <c r="J1423" s="4" t="s">
        <v>1118</v>
      </c>
      <c r="K1423" s="4"/>
      <c r="L1423" s="4"/>
      <c r="M1423" s="5"/>
      <c r="N1423" s="4"/>
      <c r="O1423" s="4"/>
      <c r="P1423" s="4"/>
      <c r="Q1423" s="2112">
        <v>0</v>
      </c>
      <c r="R1423" s="2112">
        <v>0</v>
      </c>
      <c r="S1423" s="2112">
        <v>0</v>
      </c>
      <c r="T1423" s="2112">
        <v>0</v>
      </c>
      <c r="U1423" s="2112">
        <v>0</v>
      </c>
      <c r="V1423" s="2112">
        <v>0</v>
      </c>
      <c r="W1423" s="2112">
        <v>0</v>
      </c>
      <c r="X1423" s="2112">
        <v>0</v>
      </c>
      <c r="Y1423" s="2112">
        <v>0</v>
      </c>
      <c r="Z1423" s="2112">
        <v>0</v>
      </c>
      <c r="AA1423" s="782">
        <v>0</v>
      </c>
      <c r="AB1423" s="782">
        <v>0</v>
      </c>
      <c r="AC1423" s="782">
        <v>0</v>
      </c>
      <c r="AD1423" s="782">
        <v>0</v>
      </c>
      <c r="AE1423" s="782">
        <v>0</v>
      </c>
      <c r="AF1423" s="782">
        <v>0</v>
      </c>
      <c r="AG1423" s="782">
        <v>0</v>
      </c>
      <c r="AH1423" s="782">
        <v>0</v>
      </c>
      <c r="AI1423" s="782">
        <v>0</v>
      </c>
    </row>
    <row r="1424" spans="1:35" ht="14.5">
      <c r="A1424" s="990">
        <v>1</v>
      </c>
      <c r="B1424" s="990">
        <v>1</v>
      </c>
      <c r="C1424" s="990" t="s">
        <v>1129</v>
      </c>
      <c r="D1424" s="9" t="s">
        <v>999</v>
      </c>
      <c r="E1424" s="1611" t="s">
        <v>1013</v>
      </c>
      <c r="F1424" s="1610"/>
      <c r="G1424" s="9"/>
      <c r="H1424" s="5"/>
      <c r="I1424" s="28"/>
      <c r="J1424" s="4" t="s">
        <v>146</v>
      </c>
      <c r="K1424" s="4"/>
      <c r="L1424" s="4"/>
      <c r="M1424" s="5"/>
      <c r="N1424" s="4"/>
      <c r="O1424" s="4"/>
      <c r="P1424" s="4"/>
      <c r="Q1424" s="2113">
        <v>0</v>
      </c>
      <c r="R1424" s="2113">
        <v>0</v>
      </c>
      <c r="S1424" s="2113">
        <v>0</v>
      </c>
      <c r="T1424" s="2113">
        <v>0</v>
      </c>
      <c r="U1424" s="2113">
        <v>0</v>
      </c>
      <c r="V1424" s="2113">
        <v>0</v>
      </c>
      <c r="W1424" s="2113">
        <v>0</v>
      </c>
      <c r="X1424" s="2113">
        <v>0</v>
      </c>
      <c r="Y1424" s="2113">
        <v>0</v>
      </c>
      <c r="Z1424" s="2113">
        <v>0</v>
      </c>
      <c r="AA1424" s="2108">
        <v>0</v>
      </c>
      <c r="AB1424" s="2108">
        <v>0</v>
      </c>
      <c r="AC1424" s="782">
        <v>0</v>
      </c>
      <c r="AD1424" s="782">
        <v>0</v>
      </c>
      <c r="AE1424" s="782">
        <v>0</v>
      </c>
      <c r="AF1424" s="782">
        <v>0</v>
      </c>
      <c r="AG1424" s="782">
        <v>0</v>
      </c>
      <c r="AH1424" s="782">
        <v>0</v>
      </c>
      <c r="AI1424" s="782">
        <v>0</v>
      </c>
    </row>
    <row r="1425" spans="1:35" ht="14.5">
      <c r="A1425" s="990">
        <v>1</v>
      </c>
      <c r="B1425" s="990">
        <v>1</v>
      </c>
      <c r="C1425" s="990" t="s">
        <v>1129</v>
      </c>
      <c r="D1425" s="9" t="s">
        <v>999</v>
      </c>
      <c r="E1425" s="1611" t="s">
        <v>1013</v>
      </c>
      <c r="F1425" s="1610"/>
      <c r="G1425" s="9"/>
      <c r="H1425" s="5"/>
      <c r="I1425" s="613" t="s">
        <v>98</v>
      </c>
      <c r="J1425" s="798"/>
      <c r="K1425" s="798"/>
      <c r="L1425" s="798"/>
      <c r="M1425" s="1116"/>
      <c r="N1425" s="798"/>
      <c r="O1425" s="798"/>
      <c r="P1425" s="798"/>
      <c r="Q1425" s="2251">
        <v>0</v>
      </c>
      <c r="R1425" s="2251">
        <v>0</v>
      </c>
      <c r="S1425" s="2251">
        <v>0</v>
      </c>
      <c r="T1425" s="2251">
        <v>0</v>
      </c>
      <c r="U1425" s="2251">
        <v>0</v>
      </c>
      <c r="V1425" s="2251">
        <v>0</v>
      </c>
      <c r="W1425" s="2251">
        <v>0</v>
      </c>
      <c r="X1425" s="2251">
        <v>0</v>
      </c>
      <c r="Y1425" s="2251">
        <v>0</v>
      </c>
      <c r="Z1425" s="2251">
        <v>0</v>
      </c>
      <c r="AA1425" s="2251">
        <v>0</v>
      </c>
      <c r="AB1425" s="2251">
        <v>0</v>
      </c>
      <c r="AC1425" s="2251">
        <v>0</v>
      </c>
      <c r="AD1425" s="2251">
        <v>0</v>
      </c>
      <c r="AE1425" s="2251">
        <v>0</v>
      </c>
      <c r="AF1425" s="2251">
        <v>0</v>
      </c>
      <c r="AG1425" s="2251">
        <v>0</v>
      </c>
      <c r="AH1425" s="2251">
        <v>0</v>
      </c>
      <c r="AI1425" s="2251">
        <v>0</v>
      </c>
    </row>
    <row r="1426" spans="1:35" ht="14.5">
      <c r="A1426" s="990">
        <v>1</v>
      </c>
      <c r="B1426" s="990">
        <v>1</v>
      </c>
      <c r="C1426" s="990" t="s">
        <v>1129</v>
      </c>
      <c r="D1426" s="9" t="s">
        <v>999</v>
      </c>
      <c r="E1426" s="1611" t="s">
        <v>1013</v>
      </c>
      <c r="F1426" s="1610"/>
      <c r="G1426" s="9"/>
      <c r="H1426" s="5"/>
      <c r="I1426" s="613"/>
      <c r="J1426" s="4" t="s">
        <v>988</v>
      </c>
      <c r="K1426" s="4"/>
      <c r="L1426" s="4"/>
      <c r="M1426" s="5"/>
      <c r="N1426" s="4"/>
      <c r="O1426" s="4"/>
      <c r="P1426" s="4"/>
      <c r="Q1426" s="1375">
        <v>0</v>
      </c>
      <c r="R1426" s="1375">
        <v>0</v>
      </c>
      <c r="S1426" s="1375">
        <v>0</v>
      </c>
      <c r="T1426" s="1375">
        <v>0</v>
      </c>
      <c r="U1426" s="1375">
        <v>0</v>
      </c>
      <c r="V1426" s="1375">
        <v>0</v>
      </c>
      <c r="W1426" s="1375">
        <v>0</v>
      </c>
      <c r="X1426" s="1375">
        <v>0</v>
      </c>
      <c r="Y1426" s="1375">
        <v>0</v>
      </c>
      <c r="Z1426" s="1375">
        <v>0</v>
      </c>
      <c r="AA1426" s="1375">
        <v>0</v>
      </c>
      <c r="AB1426" s="1375">
        <v>0</v>
      </c>
      <c r="AC1426" s="1375">
        <v>0</v>
      </c>
      <c r="AD1426" s="1375">
        <v>0</v>
      </c>
      <c r="AE1426" s="1375">
        <v>0</v>
      </c>
      <c r="AF1426" s="1375">
        <v>0</v>
      </c>
      <c r="AG1426" s="1375">
        <v>0</v>
      </c>
      <c r="AH1426" s="1375">
        <v>0</v>
      </c>
      <c r="AI1426" s="1375">
        <v>0</v>
      </c>
    </row>
    <row r="1427" spans="1:35" ht="14.5">
      <c r="A1427" s="990">
        <v>1</v>
      </c>
      <c r="B1427" s="990">
        <v>1</v>
      </c>
      <c r="C1427" s="990" t="s">
        <v>1129</v>
      </c>
      <c r="D1427" s="9" t="s">
        <v>999</v>
      </c>
      <c r="E1427" s="1611" t="s">
        <v>1013</v>
      </c>
      <c r="F1427" s="1610"/>
      <c r="G1427" s="9"/>
      <c r="H1427" s="5"/>
      <c r="I1427" s="1398"/>
      <c r="J1427" s="4" t="s">
        <v>146</v>
      </c>
      <c r="K1427" s="4"/>
      <c r="L1427" s="4"/>
      <c r="M1427" s="5"/>
      <c r="N1427" s="4"/>
      <c r="O1427" s="4"/>
      <c r="P1427" s="4"/>
      <c r="Q1427" s="1375">
        <v>0</v>
      </c>
      <c r="R1427" s="1375">
        <v>0</v>
      </c>
      <c r="S1427" s="1375">
        <v>0</v>
      </c>
      <c r="T1427" s="1375">
        <v>0</v>
      </c>
      <c r="U1427" s="1375">
        <v>0</v>
      </c>
      <c r="V1427" s="1375">
        <v>0</v>
      </c>
      <c r="W1427" s="1375">
        <v>0</v>
      </c>
      <c r="X1427" s="1375">
        <v>0</v>
      </c>
      <c r="Y1427" s="1375">
        <v>0</v>
      </c>
      <c r="Z1427" s="1375">
        <v>0</v>
      </c>
      <c r="AA1427" s="1375">
        <v>0</v>
      </c>
      <c r="AB1427" s="1375">
        <v>0</v>
      </c>
      <c r="AC1427" s="1375">
        <v>0</v>
      </c>
      <c r="AD1427" s="1375">
        <v>0</v>
      </c>
      <c r="AE1427" s="1375">
        <v>0</v>
      </c>
      <c r="AF1427" s="1375">
        <v>0</v>
      </c>
      <c r="AG1427" s="1375">
        <v>0</v>
      </c>
      <c r="AH1427" s="1375">
        <v>0</v>
      </c>
      <c r="AI1427" s="1375">
        <v>0</v>
      </c>
    </row>
    <row r="1428" spans="1:35" ht="14.5">
      <c r="A1428" s="990">
        <v>1</v>
      </c>
      <c r="B1428" s="990">
        <v>1</v>
      </c>
      <c r="C1428" s="990" t="s">
        <v>1129</v>
      </c>
      <c r="D1428" s="9" t="s">
        <v>999</v>
      </c>
      <c r="E1428" s="1611" t="s">
        <v>1013</v>
      </c>
      <c r="F1428" s="1610"/>
      <c r="G1428" s="9"/>
      <c r="H1428" s="5"/>
      <c r="I1428" s="613" t="s">
        <v>1035</v>
      </c>
      <c r="J1428" s="798"/>
      <c r="K1428" s="798"/>
      <c r="L1428" s="798"/>
      <c r="M1428" s="1116"/>
      <c r="N1428" s="798"/>
      <c r="O1428" s="798"/>
      <c r="P1428" s="798"/>
      <c r="Q1428" s="2251">
        <v>0</v>
      </c>
      <c r="R1428" s="2251">
        <v>0</v>
      </c>
      <c r="S1428" s="2251">
        <v>0</v>
      </c>
      <c r="T1428" s="2251">
        <v>0</v>
      </c>
      <c r="U1428" s="2251">
        <v>0</v>
      </c>
      <c r="V1428" s="2251">
        <v>0</v>
      </c>
      <c r="W1428" s="2251">
        <v>0</v>
      </c>
      <c r="X1428" s="2251">
        <v>0</v>
      </c>
      <c r="Y1428" s="2251">
        <v>0</v>
      </c>
      <c r="Z1428" s="2251">
        <v>0</v>
      </c>
      <c r="AA1428" s="2251">
        <v>0</v>
      </c>
      <c r="AB1428" s="2251">
        <v>0</v>
      </c>
      <c r="AC1428" s="2251">
        <v>0</v>
      </c>
      <c r="AD1428" s="2251">
        <v>0</v>
      </c>
      <c r="AE1428" s="2251">
        <v>0</v>
      </c>
      <c r="AF1428" s="2251">
        <v>0</v>
      </c>
      <c r="AG1428" s="2251">
        <v>0</v>
      </c>
      <c r="AH1428" s="2251">
        <v>0</v>
      </c>
      <c r="AI1428" s="2251">
        <v>0</v>
      </c>
    </row>
    <row r="1429" spans="1:35" ht="14.5">
      <c r="A1429" s="990">
        <v>1</v>
      </c>
      <c r="B1429" s="990">
        <v>1</v>
      </c>
      <c r="C1429" s="990" t="s">
        <v>1129</v>
      </c>
      <c r="D1429" s="9" t="s">
        <v>999</v>
      </c>
      <c r="E1429" s="1611" t="s">
        <v>1013</v>
      </c>
      <c r="F1429" s="1610"/>
      <c r="G1429" s="9"/>
      <c r="H1429" s="5"/>
      <c r="I1429" s="613"/>
      <c r="J1429" s="4" t="s">
        <v>988</v>
      </c>
      <c r="K1429" s="4"/>
      <c r="L1429" s="4"/>
      <c r="M1429" s="5"/>
      <c r="N1429" s="4"/>
      <c r="O1429" s="4"/>
      <c r="P1429" s="4"/>
      <c r="Q1429" s="1375">
        <v>0</v>
      </c>
      <c r="R1429" s="1375">
        <v>0</v>
      </c>
      <c r="S1429" s="1375">
        <v>0</v>
      </c>
      <c r="T1429" s="1375">
        <v>0</v>
      </c>
      <c r="U1429" s="1375">
        <v>0</v>
      </c>
      <c r="V1429" s="1375">
        <v>0</v>
      </c>
      <c r="W1429" s="1375">
        <v>0</v>
      </c>
      <c r="X1429" s="1375">
        <v>0</v>
      </c>
      <c r="Y1429" s="1375">
        <v>0</v>
      </c>
      <c r="Z1429" s="1375">
        <v>0</v>
      </c>
      <c r="AA1429" s="1375">
        <v>0</v>
      </c>
      <c r="AB1429" s="1375">
        <v>0</v>
      </c>
      <c r="AC1429" s="1375">
        <v>0</v>
      </c>
      <c r="AD1429" s="1375">
        <v>0</v>
      </c>
      <c r="AE1429" s="1375">
        <v>0</v>
      </c>
      <c r="AF1429" s="1375">
        <v>0</v>
      </c>
      <c r="AG1429" s="1375">
        <v>0</v>
      </c>
      <c r="AH1429" s="1375">
        <v>0</v>
      </c>
      <c r="AI1429" s="1375">
        <v>0</v>
      </c>
    </row>
    <row r="1430" spans="1:35" ht="14.5">
      <c r="A1430" s="990">
        <v>1</v>
      </c>
      <c r="B1430" s="990">
        <v>1</v>
      </c>
      <c r="C1430" s="990" t="s">
        <v>1129</v>
      </c>
      <c r="D1430" s="9" t="s">
        <v>999</v>
      </c>
      <c r="E1430" s="1611" t="s">
        <v>1013</v>
      </c>
      <c r="F1430" s="1610"/>
      <c r="G1430" s="9"/>
      <c r="H1430" s="5"/>
      <c r="I1430" s="1398"/>
      <c r="J1430" s="4" t="s">
        <v>146</v>
      </c>
      <c r="K1430" s="4"/>
      <c r="L1430" s="4"/>
      <c r="M1430" s="5"/>
      <c r="N1430" s="4"/>
      <c r="O1430" s="4"/>
      <c r="P1430" s="4"/>
      <c r="Q1430" s="1375">
        <v>0</v>
      </c>
      <c r="R1430" s="1375">
        <v>0</v>
      </c>
      <c r="S1430" s="1375">
        <v>0</v>
      </c>
      <c r="T1430" s="1375">
        <v>0</v>
      </c>
      <c r="U1430" s="1375">
        <v>0</v>
      </c>
      <c r="V1430" s="1375">
        <v>0</v>
      </c>
      <c r="W1430" s="1375">
        <v>0</v>
      </c>
      <c r="X1430" s="1375">
        <v>0</v>
      </c>
      <c r="Y1430" s="1375">
        <v>0</v>
      </c>
      <c r="Z1430" s="1375">
        <v>0</v>
      </c>
      <c r="AA1430" s="1375">
        <v>0</v>
      </c>
      <c r="AB1430" s="1375">
        <v>0</v>
      </c>
      <c r="AC1430" s="1375">
        <v>0</v>
      </c>
      <c r="AD1430" s="1375">
        <v>0</v>
      </c>
      <c r="AE1430" s="1375">
        <v>0</v>
      </c>
      <c r="AF1430" s="1375">
        <v>0</v>
      </c>
      <c r="AG1430" s="1375">
        <v>0</v>
      </c>
      <c r="AH1430" s="1375">
        <v>0</v>
      </c>
      <c r="AI1430" s="1375">
        <v>0</v>
      </c>
    </row>
    <row r="1431" spans="1:35" ht="14.5">
      <c r="A1431" s="990">
        <v>1</v>
      </c>
      <c r="B1431" s="990">
        <v>1</v>
      </c>
      <c r="C1431" s="990" t="s">
        <v>1129</v>
      </c>
      <c r="D1431" s="9" t="s">
        <v>999</v>
      </c>
      <c r="E1431" s="1611" t="s">
        <v>1013</v>
      </c>
      <c r="F1431" s="1610"/>
      <c r="G1431" s="9"/>
      <c r="H1431" s="5"/>
      <c r="I1431" s="556" t="s">
        <v>1038</v>
      </c>
      <c r="J1431" s="798"/>
      <c r="K1431" s="798"/>
      <c r="L1431" s="798"/>
      <c r="M1431" s="1116"/>
      <c r="N1431" s="798"/>
      <c r="O1431" s="798"/>
      <c r="P1431" s="798"/>
      <c r="Q1431" s="2251">
        <v>0</v>
      </c>
      <c r="R1431" s="2251">
        <v>0</v>
      </c>
      <c r="S1431" s="2251">
        <v>0</v>
      </c>
      <c r="T1431" s="2251">
        <v>0</v>
      </c>
      <c r="U1431" s="2251">
        <v>0</v>
      </c>
      <c r="V1431" s="2251">
        <v>0</v>
      </c>
      <c r="W1431" s="2251">
        <v>0</v>
      </c>
      <c r="X1431" s="2251">
        <v>0</v>
      </c>
      <c r="Y1431" s="2251">
        <v>0</v>
      </c>
      <c r="Z1431" s="2251">
        <v>0</v>
      </c>
      <c r="AA1431" s="2251">
        <v>0</v>
      </c>
      <c r="AB1431" s="2251">
        <v>0</v>
      </c>
      <c r="AC1431" s="2251">
        <v>0</v>
      </c>
      <c r="AD1431" s="2251">
        <v>0</v>
      </c>
      <c r="AE1431" s="2251">
        <v>0</v>
      </c>
      <c r="AF1431" s="2251">
        <v>0</v>
      </c>
      <c r="AG1431" s="2251">
        <v>0</v>
      </c>
      <c r="AH1431" s="2251">
        <v>0</v>
      </c>
      <c r="AI1431" s="2251">
        <v>0</v>
      </c>
    </row>
    <row r="1432" spans="1:35" ht="14.5">
      <c r="A1432" s="990">
        <v>1</v>
      </c>
      <c r="B1432" s="990">
        <v>1</v>
      </c>
      <c r="C1432" s="990" t="s">
        <v>1129</v>
      </c>
      <c r="D1432" s="9" t="s">
        <v>999</v>
      </c>
      <c r="E1432" s="1611" t="s">
        <v>1013</v>
      </c>
      <c r="F1432" s="1610"/>
      <c r="G1432" s="9"/>
      <c r="H1432" s="5"/>
      <c r="I1432" s="613"/>
      <c r="J1432" s="4" t="s">
        <v>1117</v>
      </c>
      <c r="K1432" s="4"/>
      <c r="L1432" s="4"/>
      <c r="M1432" s="5"/>
      <c r="N1432" s="4"/>
      <c r="O1432" s="4"/>
      <c r="P1432" s="4"/>
      <c r="Q1432" s="1375">
        <v>0</v>
      </c>
      <c r="R1432" s="1375">
        <v>0</v>
      </c>
      <c r="S1432" s="1375">
        <v>0</v>
      </c>
      <c r="T1432" s="1375">
        <v>0</v>
      </c>
      <c r="U1432" s="1375">
        <v>0</v>
      </c>
      <c r="V1432" s="1375">
        <v>0</v>
      </c>
      <c r="W1432" s="1375">
        <v>0</v>
      </c>
      <c r="X1432" s="1375">
        <v>0</v>
      </c>
      <c r="Y1432" s="1375">
        <v>0</v>
      </c>
      <c r="Z1432" s="1375">
        <v>0</v>
      </c>
      <c r="AA1432" s="1375">
        <v>0</v>
      </c>
      <c r="AB1432" s="1375">
        <v>0</v>
      </c>
      <c r="AC1432" s="1375">
        <v>0</v>
      </c>
      <c r="AD1432" s="1375">
        <v>0</v>
      </c>
      <c r="AE1432" s="1375">
        <v>0</v>
      </c>
      <c r="AF1432" s="1375">
        <v>0</v>
      </c>
      <c r="AG1432" s="1375">
        <v>0</v>
      </c>
      <c r="AH1432" s="1375">
        <v>0</v>
      </c>
      <c r="AI1432" s="1375">
        <v>0</v>
      </c>
    </row>
    <row r="1433" spans="1:35" ht="14.5">
      <c r="A1433" s="990">
        <v>1</v>
      </c>
      <c r="B1433" s="990">
        <v>1</v>
      </c>
      <c r="C1433" s="990" t="s">
        <v>1129</v>
      </c>
      <c r="D1433" s="9" t="s">
        <v>999</v>
      </c>
      <c r="E1433" s="1611" t="s">
        <v>1013</v>
      </c>
      <c r="F1433" s="1610"/>
      <c r="G1433" s="9"/>
      <c r="H1433" s="9"/>
      <c r="I1433" s="613"/>
      <c r="J1433" s="4" t="s">
        <v>1118</v>
      </c>
      <c r="K1433" s="4"/>
      <c r="L1433" s="4"/>
      <c r="M1433" s="5"/>
      <c r="N1433" s="4"/>
      <c r="O1433" s="4"/>
      <c r="P1433" s="4"/>
      <c r="Q1433" s="1375">
        <v>0</v>
      </c>
      <c r="R1433" s="1375">
        <v>0</v>
      </c>
      <c r="S1433" s="1375">
        <v>0</v>
      </c>
      <c r="T1433" s="1375">
        <v>0</v>
      </c>
      <c r="U1433" s="1375">
        <v>0</v>
      </c>
      <c r="V1433" s="1375">
        <v>0</v>
      </c>
      <c r="W1433" s="1375">
        <v>0</v>
      </c>
      <c r="X1433" s="1375">
        <v>0</v>
      </c>
      <c r="Y1433" s="1375">
        <v>0</v>
      </c>
      <c r="Z1433" s="1375">
        <v>0</v>
      </c>
      <c r="AA1433" s="1375">
        <v>0</v>
      </c>
      <c r="AB1433" s="1375">
        <v>0</v>
      </c>
      <c r="AC1433" s="1375">
        <v>0</v>
      </c>
      <c r="AD1433" s="1375">
        <v>0</v>
      </c>
      <c r="AE1433" s="1375">
        <v>0</v>
      </c>
      <c r="AF1433" s="1375">
        <v>0</v>
      </c>
      <c r="AG1433" s="1375">
        <v>0</v>
      </c>
      <c r="AH1433" s="1375">
        <v>0</v>
      </c>
      <c r="AI1433" s="1375">
        <v>0</v>
      </c>
    </row>
    <row r="1434" spans="1:35" ht="14.5">
      <c r="A1434" s="990">
        <v>1</v>
      </c>
      <c r="B1434" s="990">
        <v>1</v>
      </c>
      <c r="C1434" s="990" t="s">
        <v>1129</v>
      </c>
      <c r="D1434" s="9" t="s">
        <v>999</v>
      </c>
      <c r="E1434" s="1611" t="s">
        <v>1013</v>
      </c>
      <c r="F1434" s="1610"/>
      <c r="G1434" s="9"/>
      <c r="H1434" s="5"/>
      <c r="I1434" s="1398"/>
      <c r="J1434" s="2" t="s">
        <v>146</v>
      </c>
      <c r="K1434" s="2"/>
      <c r="L1434" s="2"/>
      <c r="M1434" s="3"/>
      <c r="N1434" s="2"/>
      <c r="O1434" s="2"/>
      <c r="P1434" s="2"/>
      <c r="Q1434" s="1375">
        <v>0</v>
      </c>
      <c r="R1434" s="1375">
        <v>0</v>
      </c>
      <c r="S1434" s="1375">
        <v>0</v>
      </c>
      <c r="T1434" s="1375">
        <v>0</v>
      </c>
      <c r="U1434" s="1375">
        <v>0</v>
      </c>
      <c r="V1434" s="1375">
        <v>0</v>
      </c>
      <c r="W1434" s="1375">
        <v>0</v>
      </c>
      <c r="X1434" s="1375">
        <v>0</v>
      </c>
      <c r="Y1434" s="1375">
        <v>0</v>
      </c>
      <c r="Z1434" s="1375">
        <v>0</v>
      </c>
      <c r="AA1434" s="1375">
        <v>0</v>
      </c>
      <c r="AB1434" s="1375">
        <v>0</v>
      </c>
      <c r="AC1434" s="1375">
        <v>0</v>
      </c>
      <c r="AD1434" s="1375">
        <v>0</v>
      </c>
      <c r="AE1434" s="1375">
        <v>0</v>
      </c>
      <c r="AF1434" s="1375">
        <v>0</v>
      </c>
      <c r="AG1434" s="1375">
        <v>0</v>
      </c>
      <c r="AH1434" s="1375">
        <v>0</v>
      </c>
      <c r="AI1434" s="1375">
        <v>0</v>
      </c>
    </row>
    <row r="1435" spans="1:35" ht="14.5">
      <c r="A1435" s="990">
        <v>1</v>
      </c>
      <c r="B1435" s="990">
        <v>1</v>
      </c>
      <c r="C1435" s="990" t="s">
        <v>1129</v>
      </c>
      <c r="D1435" s="9" t="s">
        <v>999</v>
      </c>
      <c r="E1435" s="1611" t="s">
        <v>1013</v>
      </c>
      <c r="F1435" s="1610"/>
      <c r="G1435" s="9"/>
      <c r="H1435" s="5"/>
      <c r="I1435" s="613" t="s">
        <v>1075</v>
      </c>
      <c r="J1435" s="798"/>
      <c r="K1435" s="798"/>
      <c r="L1435" s="798"/>
      <c r="M1435" s="1116"/>
      <c r="N1435" s="798"/>
      <c r="O1435" s="798"/>
      <c r="P1435" s="798"/>
      <c r="Q1435" s="2251">
        <v>0</v>
      </c>
      <c r="R1435" s="2251">
        <v>0</v>
      </c>
      <c r="S1435" s="2251">
        <v>0</v>
      </c>
      <c r="T1435" s="2251">
        <v>0</v>
      </c>
      <c r="U1435" s="2251">
        <v>0</v>
      </c>
      <c r="V1435" s="2251">
        <v>0</v>
      </c>
      <c r="W1435" s="2251">
        <v>0</v>
      </c>
      <c r="X1435" s="2251">
        <v>0</v>
      </c>
      <c r="Y1435" s="2251">
        <v>0</v>
      </c>
      <c r="Z1435" s="2251">
        <v>0</v>
      </c>
      <c r="AA1435" s="2251">
        <v>0</v>
      </c>
      <c r="AB1435" s="2251">
        <v>0</v>
      </c>
      <c r="AC1435" s="2251">
        <v>0</v>
      </c>
      <c r="AD1435" s="2251">
        <v>0</v>
      </c>
      <c r="AE1435" s="2251">
        <v>0</v>
      </c>
      <c r="AF1435" s="2251">
        <v>0</v>
      </c>
      <c r="AG1435" s="2251">
        <v>0</v>
      </c>
      <c r="AH1435" s="2251">
        <v>0</v>
      </c>
      <c r="AI1435" s="2251">
        <v>0</v>
      </c>
    </row>
    <row r="1436" spans="1:35" ht="14.5">
      <c r="A1436" s="990">
        <v>1</v>
      </c>
      <c r="B1436" s="990">
        <v>1</v>
      </c>
      <c r="C1436" s="990" t="s">
        <v>1129</v>
      </c>
      <c r="D1436" s="9" t="s">
        <v>999</v>
      </c>
      <c r="E1436" s="1611" t="s">
        <v>1013</v>
      </c>
      <c r="F1436" s="1610"/>
      <c r="G1436" s="9"/>
      <c r="H1436" s="5"/>
      <c r="I1436" s="613"/>
      <c r="J1436" s="4" t="s">
        <v>988</v>
      </c>
      <c r="K1436" s="4"/>
      <c r="L1436" s="4"/>
      <c r="M1436" s="5"/>
      <c r="N1436" s="4"/>
      <c r="O1436" s="4"/>
      <c r="P1436" s="4"/>
      <c r="Q1436" s="1375">
        <v>0</v>
      </c>
      <c r="R1436" s="1375">
        <v>0</v>
      </c>
      <c r="S1436" s="1375">
        <v>0</v>
      </c>
      <c r="T1436" s="1375">
        <v>0</v>
      </c>
      <c r="U1436" s="1375">
        <v>0</v>
      </c>
      <c r="V1436" s="1375">
        <v>0</v>
      </c>
      <c r="W1436" s="1375">
        <v>0</v>
      </c>
      <c r="X1436" s="1375">
        <v>0</v>
      </c>
      <c r="Y1436" s="1375">
        <v>0</v>
      </c>
      <c r="Z1436" s="1375">
        <v>0</v>
      </c>
      <c r="AA1436" s="1375">
        <v>0</v>
      </c>
      <c r="AB1436" s="1375">
        <v>0</v>
      </c>
      <c r="AC1436" s="1375">
        <v>0</v>
      </c>
      <c r="AD1436" s="1375">
        <v>0</v>
      </c>
      <c r="AE1436" s="1375">
        <v>0</v>
      </c>
      <c r="AF1436" s="1375">
        <v>0</v>
      </c>
      <c r="AG1436" s="1375">
        <v>0</v>
      </c>
      <c r="AH1436" s="1375">
        <v>0</v>
      </c>
      <c r="AI1436" s="1375">
        <v>0</v>
      </c>
    </row>
    <row r="1437" spans="1:35" ht="14.5">
      <c r="A1437" s="990">
        <v>1</v>
      </c>
      <c r="B1437" s="990">
        <v>1</v>
      </c>
      <c r="C1437" s="990" t="s">
        <v>1129</v>
      </c>
      <c r="D1437" s="9" t="s">
        <v>999</v>
      </c>
      <c r="E1437" s="1611" t="s">
        <v>1013</v>
      </c>
      <c r="F1437" s="1610"/>
      <c r="G1437" s="9"/>
      <c r="H1437" s="5"/>
      <c r="I1437" s="1398"/>
      <c r="J1437" s="2" t="s">
        <v>146</v>
      </c>
      <c r="K1437" s="2"/>
      <c r="L1437" s="2"/>
      <c r="M1437" s="3"/>
      <c r="N1437" s="2"/>
      <c r="O1437" s="2"/>
      <c r="P1437" s="2"/>
      <c r="Q1437" s="1376">
        <v>0</v>
      </c>
      <c r="R1437" s="1376">
        <v>0</v>
      </c>
      <c r="S1437" s="1376">
        <v>0</v>
      </c>
      <c r="T1437" s="1376">
        <v>0</v>
      </c>
      <c r="U1437" s="1376">
        <v>0</v>
      </c>
      <c r="V1437" s="1376">
        <v>0</v>
      </c>
      <c r="W1437" s="1376">
        <v>0</v>
      </c>
      <c r="X1437" s="1376">
        <v>0</v>
      </c>
      <c r="Y1437" s="1376">
        <v>0</v>
      </c>
      <c r="Z1437" s="1376">
        <v>0</v>
      </c>
      <c r="AA1437" s="1376">
        <v>0</v>
      </c>
      <c r="AB1437" s="1376">
        <v>0</v>
      </c>
      <c r="AC1437" s="1376">
        <v>0</v>
      </c>
      <c r="AD1437" s="1376">
        <v>0</v>
      </c>
      <c r="AE1437" s="1376">
        <v>0</v>
      </c>
      <c r="AF1437" s="1376">
        <v>0</v>
      </c>
      <c r="AG1437" s="1376">
        <v>0</v>
      </c>
      <c r="AH1437" s="1376">
        <v>0</v>
      </c>
      <c r="AI1437" s="1376">
        <v>0</v>
      </c>
    </row>
    <row r="1438" spans="1:35" ht="14.5">
      <c r="A1438" s="990">
        <v>1</v>
      </c>
      <c r="B1438" s="990">
        <v>1</v>
      </c>
      <c r="C1438" s="990" t="s">
        <v>1129</v>
      </c>
      <c r="D1438" s="9" t="s">
        <v>999</v>
      </c>
      <c r="E1438" s="1611" t="s">
        <v>1013</v>
      </c>
      <c r="F1438" s="1610"/>
      <c r="G1438" s="9"/>
      <c r="H1438" s="5"/>
      <c r="I1438" s="2750" t="s">
        <v>1063</v>
      </c>
      <c r="J1438" s="1614"/>
      <c r="K1438" s="1614"/>
      <c r="L1438" s="1614"/>
      <c r="M1438" s="1615"/>
      <c r="N1438" s="1615"/>
      <c r="O1438" s="1615"/>
      <c r="P1438" s="1615"/>
      <c r="Q1438" s="2252">
        <v>0</v>
      </c>
      <c r="R1438" s="2252">
        <v>0</v>
      </c>
      <c r="S1438" s="2252">
        <v>0</v>
      </c>
      <c r="T1438" s="2252">
        <v>0</v>
      </c>
      <c r="U1438" s="2252">
        <v>0</v>
      </c>
      <c r="V1438" s="2252">
        <v>0</v>
      </c>
      <c r="W1438" s="2252">
        <v>0</v>
      </c>
      <c r="X1438" s="2252">
        <v>0</v>
      </c>
      <c r="Y1438" s="2252">
        <v>0</v>
      </c>
      <c r="Z1438" s="2252">
        <v>0</v>
      </c>
      <c r="AA1438" s="2252">
        <v>0</v>
      </c>
      <c r="AB1438" s="2252">
        <v>0</v>
      </c>
      <c r="AC1438" s="2252">
        <v>0</v>
      </c>
      <c r="AD1438" s="2252">
        <v>0</v>
      </c>
      <c r="AE1438" s="2252">
        <v>0</v>
      </c>
      <c r="AF1438" s="2252">
        <v>0</v>
      </c>
      <c r="AG1438" s="2252">
        <v>0</v>
      </c>
      <c r="AH1438" s="2252">
        <v>0</v>
      </c>
      <c r="AI1438" s="2252">
        <v>0</v>
      </c>
    </row>
    <row r="1439" spans="1:35" ht="14.5">
      <c r="A1439" s="990">
        <v>1</v>
      </c>
      <c r="B1439" s="990">
        <v>1</v>
      </c>
      <c r="C1439" s="990" t="s">
        <v>1129</v>
      </c>
      <c r="D1439" s="9" t="s">
        <v>999</v>
      </c>
      <c r="E1439" s="1611" t="s">
        <v>1013</v>
      </c>
      <c r="F1439" s="1610"/>
      <c r="G1439" s="9"/>
      <c r="H1439" s="5"/>
      <c r="I1439" s="32"/>
      <c r="J1439" s="4" t="s">
        <v>988</v>
      </c>
      <c r="K1439" s="4"/>
      <c r="L1439" s="4"/>
      <c r="M1439" s="5"/>
      <c r="N1439" s="4"/>
      <c r="O1439" s="4"/>
      <c r="P1439" s="4"/>
      <c r="Q1439" s="1375">
        <v>0</v>
      </c>
      <c r="R1439" s="1375">
        <v>0</v>
      </c>
      <c r="S1439" s="1375">
        <v>0</v>
      </c>
      <c r="T1439" s="1375">
        <v>0</v>
      </c>
      <c r="U1439" s="1375">
        <v>0</v>
      </c>
      <c r="V1439" s="1375">
        <v>0</v>
      </c>
      <c r="W1439" s="1375">
        <v>0</v>
      </c>
      <c r="X1439" s="1375">
        <v>0</v>
      </c>
      <c r="Y1439" s="1375">
        <v>0</v>
      </c>
      <c r="Z1439" s="1375">
        <v>0</v>
      </c>
      <c r="AA1439" s="1375">
        <v>0</v>
      </c>
      <c r="AB1439" s="1375">
        <v>0</v>
      </c>
      <c r="AC1439" s="834">
        <v>0</v>
      </c>
      <c r="AD1439" s="834">
        <v>0</v>
      </c>
      <c r="AE1439" s="834">
        <v>0</v>
      </c>
      <c r="AF1439" s="834">
        <v>0</v>
      </c>
      <c r="AG1439" s="834">
        <v>0</v>
      </c>
      <c r="AH1439" s="834">
        <v>0</v>
      </c>
      <c r="AI1439" s="834">
        <v>0</v>
      </c>
    </row>
    <row r="1440" spans="1:35" ht="14.5">
      <c r="A1440" s="990">
        <v>1</v>
      </c>
      <c r="B1440" s="990">
        <v>1</v>
      </c>
      <c r="C1440" s="990" t="s">
        <v>1129</v>
      </c>
      <c r="D1440" s="9" t="s">
        <v>999</v>
      </c>
      <c r="E1440" s="1611" t="s">
        <v>1013</v>
      </c>
      <c r="F1440" s="1610"/>
      <c r="G1440" s="9"/>
      <c r="H1440" s="5"/>
      <c r="I1440" s="459"/>
      <c r="J1440" s="2" t="s">
        <v>146</v>
      </c>
      <c r="K1440" s="2"/>
      <c r="L1440" s="2"/>
      <c r="M1440" s="3"/>
      <c r="N1440" s="2"/>
      <c r="O1440" s="2"/>
      <c r="P1440" s="2"/>
      <c r="Q1440" s="1376">
        <v>0</v>
      </c>
      <c r="R1440" s="1376">
        <v>0</v>
      </c>
      <c r="S1440" s="1376">
        <v>0</v>
      </c>
      <c r="T1440" s="1376">
        <v>0</v>
      </c>
      <c r="U1440" s="1376">
        <v>0</v>
      </c>
      <c r="V1440" s="1376">
        <v>0</v>
      </c>
      <c r="W1440" s="1376">
        <v>0</v>
      </c>
      <c r="X1440" s="1376">
        <v>0</v>
      </c>
      <c r="Y1440" s="1376">
        <v>0</v>
      </c>
      <c r="Z1440" s="1376">
        <v>0</v>
      </c>
      <c r="AA1440" s="1376">
        <v>0</v>
      </c>
      <c r="AB1440" s="1376">
        <v>0</v>
      </c>
      <c r="AC1440" s="797">
        <v>0</v>
      </c>
      <c r="AD1440" s="797">
        <v>0</v>
      </c>
      <c r="AE1440" s="797">
        <v>0</v>
      </c>
      <c r="AF1440" s="797">
        <v>0</v>
      </c>
      <c r="AG1440" s="797">
        <v>0</v>
      </c>
      <c r="AH1440" s="797">
        <v>0</v>
      </c>
      <c r="AI1440" s="797">
        <v>0</v>
      </c>
    </row>
    <row r="1441" spans="1:35" ht="14.5">
      <c r="A1441" s="990">
        <v>1</v>
      </c>
      <c r="B1441" s="990">
        <v>1</v>
      </c>
      <c r="C1441" s="990" t="s">
        <v>1129</v>
      </c>
      <c r="D1441" s="9" t="s">
        <v>999</v>
      </c>
      <c r="E1441" s="1611" t="s">
        <v>1013</v>
      </c>
      <c r="F1441" s="1610"/>
      <c r="G1441" s="9"/>
      <c r="H1441"/>
      <c r="I1441" s="1801" t="s">
        <v>1637</v>
      </c>
      <c r="J1441" s="1802"/>
      <c r="K1441" s="1802"/>
      <c r="L1441" s="1802"/>
      <c r="M1441" s="1803"/>
      <c r="N1441" s="1803"/>
      <c r="O1441" s="1803"/>
      <c r="P1441" s="1803"/>
      <c r="Q1441" s="2319">
        <v>0</v>
      </c>
      <c r="R1441" s="2319">
        <v>0</v>
      </c>
      <c r="S1441" s="2319">
        <v>0</v>
      </c>
      <c r="T1441" s="2319">
        <v>0</v>
      </c>
      <c r="U1441" s="2319">
        <v>0</v>
      </c>
      <c r="V1441" s="2319">
        <v>0</v>
      </c>
      <c r="W1441" s="2319">
        <v>0</v>
      </c>
      <c r="X1441" s="2319">
        <v>0</v>
      </c>
      <c r="Y1441" s="2319">
        <v>0</v>
      </c>
      <c r="Z1441" s="2319">
        <v>0</v>
      </c>
      <c r="AA1441" s="2319">
        <v>0</v>
      </c>
      <c r="AB1441" s="2319">
        <v>0</v>
      </c>
      <c r="AC1441" s="2319">
        <v>0</v>
      </c>
      <c r="AD1441" s="2319">
        <v>0</v>
      </c>
      <c r="AE1441" s="2319">
        <v>0</v>
      </c>
      <c r="AF1441" s="2319">
        <v>0</v>
      </c>
      <c r="AG1441" s="2319">
        <v>0</v>
      </c>
      <c r="AH1441" s="2319">
        <v>0</v>
      </c>
      <c r="AI1441" s="2319">
        <v>0</v>
      </c>
    </row>
    <row r="1442" spans="1:35" ht="14.5">
      <c r="A1442" s="990">
        <v>1</v>
      </c>
      <c r="B1442" s="990">
        <v>1</v>
      </c>
      <c r="C1442" s="990" t="s">
        <v>1129</v>
      </c>
      <c r="D1442" s="9" t="s">
        <v>999</v>
      </c>
      <c r="E1442" s="1611" t="s">
        <v>1013</v>
      </c>
      <c r="F1442" s="1610"/>
      <c r="G1442" s="9"/>
      <c r="H1442"/>
      <c r="I1442" s="32"/>
      <c r="J1442" s="4" t="s">
        <v>1309</v>
      </c>
      <c r="K1442" s="4"/>
      <c r="L1442" s="4"/>
      <c r="M1442" s="5"/>
      <c r="N1442" s="4"/>
      <c r="O1442" s="4"/>
      <c r="P1442" s="4"/>
      <c r="Q1442" s="2114"/>
      <c r="R1442" s="2114"/>
      <c r="S1442" s="2114"/>
      <c r="T1442" s="2114"/>
      <c r="U1442" s="2114"/>
      <c r="V1442" s="2114"/>
      <c r="W1442" s="2114"/>
      <c r="X1442" s="2114"/>
      <c r="Y1442" s="2114"/>
      <c r="Z1442" s="2114"/>
      <c r="AA1442" s="2114"/>
      <c r="AB1442" s="2114"/>
      <c r="AC1442" s="834">
        <v>0</v>
      </c>
      <c r="AD1442" s="834">
        <v>0</v>
      </c>
      <c r="AE1442" s="834">
        <v>0</v>
      </c>
      <c r="AF1442" s="834">
        <v>0</v>
      </c>
      <c r="AG1442" s="834">
        <v>0</v>
      </c>
      <c r="AH1442" s="834">
        <v>0</v>
      </c>
      <c r="AI1442" s="834">
        <v>0</v>
      </c>
    </row>
    <row r="1443" spans="1:35" ht="14.5">
      <c r="A1443" s="990">
        <v>1</v>
      </c>
      <c r="B1443" s="990">
        <v>1</v>
      </c>
      <c r="C1443" s="990" t="s">
        <v>1129</v>
      </c>
      <c r="D1443" s="9" t="s">
        <v>999</v>
      </c>
      <c r="E1443" s="1611" t="s">
        <v>1013</v>
      </c>
      <c r="F1443" s="1610"/>
      <c r="G1443" s="9"/>
      <c r="H1443"/>
      <c r="I1443" s="459"/>
      <c r="J1443" s="2" t="s">
        <v>146</v>
      </c>
      <c r="K1443" s="2"/>
      <c r="L1443" s="2"/>
      <c r="M1443" s="3"/>
      <c r="N1443" s="2"/>
      <c r="O1443" s="2"/>
      <c r="P1443" s="2"/>
      <c r="Q1443" s="2109"/>
      <c r="R1443" s="2109"/>
      <c r="S1443" s="2109"/>
      <c r="T1443" s="2109"/>
      <c r="U1443" s="2109"/>
      <c r="V1443" s="2109"/>
      <c r="W1443" s="2109"/>
      <c r="X1443" s="2109"/>
      <c r="Y1443" s="2109"/>
      <c r="Z1443" s="2109"/>
      <c r="AA1443" s="2109"/>
      <c r="AB1443" s="2109"/>
      <c r="AC1443" s="797">
        <v>0</v>
      </c>
      <c r="AD1443" s="797">
        <v>0</v>
      </c>
      <c r="AE1443" s="797">
        <v>0</v>
      </c>
      <c r="AF1443" s="797">
        <v>0</v>
      </c>
      <c r="AG1443" s="797">
        <v>0</v>
      </c>
      <c r="AH1443" s="797">
        <v>0</v>
      </c>
      <c r="AI1443" s="797">
        <v>0</v>
      </c>
    </row>
    <row r="1444" spans="1:35" ht="14.5">
      <c r="A1444" s="990">
        <v>1</v>
      </c>
      <c r="B1444" s="990">
        <v>1</v>
      </c>
      <c r="C1444" s="990" t="s">
        <v>1129</v>
      </c>
      <c r="D1444" s="9" t="s">
        <v>999</v>
      </c>
      <c r="E1444" s="1611" t="s">
        <v>1013</v>
      </c>
      <c r="F1444" s="1610"/>
      <c r="G1444" s="9"/>
      <c r="H1444"/>
      <c r="I1444" s="1801" t="s">
        <v>1638</v>
      </c>
      <c r="J1444" s="1802"/>
      <c r="K1444" s="1802"/>
      <c r="L1444" s="1802"/>
      <c r="M1444" s="1803"/>
      <c r="N1444" s="1803"/>
      <c r="O1444" s="1803"/>
      <c r="P1444" s="1803"/>
      <c r="Q1444" s="2319">
        <v>0</v>
      </c>
      <c r="R1444" s="2319">
        <v>0</v>
      </c>
      <c r="S1444" s="2319">
        <v>0</v>
      </c>
      <c r="T1444" s="2319">
        <v>0</v>
      </c>
      <c r="U1444" s="2319">
        <v>0</v>
      </c>
      <c r="V1444" s="2319">
        <v>0</v>
      </c>
      <c r="W1444" s="2319">
        <v>0</v>
      </c>
      <c r="X1444" s="2319">
        <v>0</v>
      </c>
      <c r="Y1444" s="2319">
        <v>0</v>
      </c>
      <c r="Z1444" s="2319">
        <v>0</v>
      </c>
      <c r="AA1444" s="2319">
        <v>0</v>
      </c>
      <c r="AB1444" s="2319">
        <v>0</v>
      </c>
      <c r="AC1444" s="2319">
        <v>0</v>
      </c>
      <c r="AD1444" s="2319">
        <v>0</v>
      </c>
      <c r="AE1444" s="2319">
        <v>0</v>
      </c>
      <c r="AF1444" s="2319">
        <v>0</v>
      </c>
      <c r="AG1444" s="2319">
        <v>0</v>
      </c>
      <c r="AH1444" s="2319">
        <v>0</v>
      </c>
      <c r="AI1444" s="2319">
        <v>0</v>
      </c>
    </row>
    <row r="1445" spans="1:35" ht="14.5">
      <c r="A1445" s="990">
        <v>1</v>
      </c>
      <c r="B1445" s="990">
        <v>1</v>
      </c>
      <c r="C1445" s="990" t="s">
        <v>1129</v>
      </c>
      <c r="D1445" s="9" t="s">
        <v>999</v>
      </c>
      <c r="E1445" s="1611" t="s">
        <v>1013</v>
      </c>
      <c r="F1445" s="1610"/>
      <c r="G1445" s="9"/>
      <c r="H1445"/>
      <c r="I1445" s="32"/>
      <c r="J1445" s="4" t="s">
        <v>1312</v>
      </c>
      <c r="K1445" s="4"/>
      <c r="L1445" s="4"/>
      <c r="M1445" s="5"/>
      <c r="N1445" s="4"/>
      <c r="O1445" s="4"/>
      <c r="P1445" s="4"/>
      <c r="Q1445" s="2114"/>
      <c r="R1445" s="2114"/>
      <c r="S1445" s="2114"/>
      <c r="T1445" s="2114"/>
      <c r="U1445" s="2114"/>
      <c r="V1445" s="2114"/>
      <c r="W1445" s="2114"/>
      <c r="X1445" s="2114"/>
      <c r="Y1445" s="2114"/>
      <c r="Z1445" s="2114"/>
      <c r="AA1445" s="2114"/>
      <c r="AB1445" s="2114"/>
      <c r="AC1445" s="834">
        <v>0</v>
      </c>
      <c r="AD1445" s="834">
        <v>0</v>
      </c>
      <c r="AE1445" s="834">
        <v>0</v>
      </c>
      <c r="AF1445" s="834">
        <v>0</v>
      </c>
      <c r="AG1445" s="834">
        <v>0</v>
      </c>
      <c r="AH1445" s="834">
        <v>0</v>
      </c>
      <c r="AI1445" s="834">
        <v>0</v>
      </c>
    </row>
    <row r="1446" spans="1:35" ht="14.5">
      <c r="A1446" s="990">
        <v>1</v>
      </c>
      <c r="B1446" s="990">
        <v>1</v>
      </c>
      <c r="C1446" s="990" t="s">
        <v>1129</v>
      </c>
      <c r="D1446" s="9" t="s">
        <v>999</v>
      </c>
      <c r="E1446" s="1611" t="s">
        <v>1013</v>
      </c>
      <c r="F1446" s="1610"/>
      <c r="G1446" s="9"/>
      <c r="H1446"/>
      <c r="I1446" s="32"/>
      <c r="J1446" s="4" t="s">
        <v>1639</v>
      </c>
      <c r="K1446" s="4"/>
      <c r="L1446" s="4"/>
      <c r="M1446" s="5"/>
      <c r="N1446" s="4"/>
      <c r="O1446" s="4"/>
      <c r="P1446" s="4"/>
      <c r="Q1446" s="2114"/>
      <c r="R1446" s="2114"/>
      <c r="S1446" s="2114"/>
      <c r="T1446" s="2114"/>
      <c r="U1446" s="2114"/>
      <c r="V1446" s="2114"/>
      <c r="W1446" s="2114"/>
      <c r="X1446" s="2114"/>
      <c r="Y1446" s="2114"/>
      <c r="Z1446" s="2114"/>
      <c r="AA1446" s="2114"/>
      <c r="AB1446" s="2114"/>
      <c r="AC1446" s="834">
        <v>0</v>
      </c>
      <c r="AD1446" s="834">
        <v>0</v>
      </c>
      <c r="AE1446" s="834">
        <v>0</v>
      </c>
      <c r="AF1446" s="834">
        <v>0</v>
      </c>
      <c r="AG1446" s="834">
        <v>0</v>
      </c>
      <c r="AH1446" s="834">
        <v>0</v>
      </c>
      <c r="AI1446" s="834">
        <v>0</v>
      </c>
    </row>
    <row r="1447" spans="1:35" ht="14.5">
      <c r="A1447" s="990">
        <v>1</v>
      </c>
      <c r="B1447" s="990">
        <v>1</v>
      </c>
      <c r="C1447" s="990" t="s">
        <v>1129</v>
      </c>
      <c r="D1447" s="9" t="s">
        <v>999</v>
      </c>
      <c r="E1447" s="1611" t="s">
        <v>1013</v>
      </c>
      <c r="F1447" s="1610"/>
      <c r="G1447" s="9"/>
      <c r="H1447"/>
      <c r="I1447" s="459"/>
      <c r="J1447" s="2" t="s">
        <v>146</v>
      </c>
      <c r="K1447" s="2"/>
      <c r="L1447" s="2"/>
      <c r="M1447" s="3"/>
      <c r="N1447" s="2"/>
      <c r="O1447" s="2"/>
      <c r="P1447" s="2"/>
      <c r="Q1447" s="2109"/>
      <c r="R1447" s="2109"/>
      <c r="S1447" s="2109"/>
      <c r="T1447" s="2109"/>
      <c r="U1447" s="2109"/>
      <c r="V1447" s="2109"/>
      <c r="W1447" s="2109"/>
      <c r="X1447" s="2109"/>
      <c r="Y1447" s="2109"/>
      <c r="Z1447" s="2109"/>
      <c r="AA1447" s="2109"/>
      <c r="AB1447" s="2109"/>
      <c r="AC1447" s="797">
        <v>0</v>
      </c>
      <c r="AD1447" s="797">
        <v>0</v>
      </c>
      <c r="AE1447" s="797">
        <v>0</v>
      </c>
      <c r="AF1447" s="797">
        <v>0</v>
      </c>
      <c r="AG1447" s="797">
        <v>0</v>
      </c>
      <c r="AH1447" s="797">
        <v>0</v>
      </c>
      <c r="AI1447" s="797">
        <v>0</v>
      </c>
    </row>
    <row r="1448" spans="1:35">
      <c r="A1448" s="990">
        <v>1</v>
      </c>
      <c r="B1448" s="990">
        <v>1</v>
      </c>
      <c r="C1448" s="990" t="s">
        <v>1129</v>
      </c>
      <c r="D1448" s="9" t="s">
        <v>999</v>
      </c>
      <c r="E1448" s="1243">
        <v>1</v>
      </c>
      <c r="G1448" s="24"/>
      <c r="H1448" s="10"/>
      <c r="I1448" s="9"/>
      <c r="J1448" s="10"/>
      <c r="L1448" s="9"/>
      <c r="P1448" s="1"/>
      <c r="Z1448" s="9"/>
    </row>
    <row r="1449" spans="1:35" ht="18">
      <c r="A1449" s="990">
        <v>1</v>
      </c>
      <c r="B1449" s="990">
        <v>1</v>
      </c>
      <c r="C1449" s="990" t="s">
        <v>1129</v>
      </c>
      <c r="D1449" s="9" t="s">
        <v>999</v>
      </c>
      <c r="E1449" s="1243">
        <v>1</v>
      </c>
      <c r="F1449" s="314" t="s">
        <v>1640</v>
      </c>
      <c r="G1449" s="314"/>
    </row>
    <row r="1450" spans="1:35">
      <c r="A1450" s="990">
        <v>1</v>
      </c>
      <c r="B1450" s="990">
        <v>1</v>
      </c>
      <c r="C1450" s="990" t="s">
        <v>1129</v>
      </c>
      <c r="D1450" s="9" t="s">
        <v>999</v>
      </c>
      <c r="E1450" s="1243">
        <v>1</v>
      </c>
      <c r="G1450" s="5" t="s">
        <v>1641</v>
      </c>
    </row>
    <row r="1451" spans="1:35" ht="14.5">
      <c r="A1451" s="990">
        <v>1</v>
      </c>
      <c r="B1451" s="990">
        <v>1</v>
      </c>
      <c r="C1451" s="990" t="s">
        <v>1129</v>
      </c>
      <c r="D1451" s="9" t="s">
        <v>999</v>
      </c>
      <c r="E1451" s="1243">
        <v>1</v>
      </c>
      <c r="I1451" s="2751"/>
      <c r="J1451" s="986"/>
      <c r="K1451" s="987"/>
      <c r="L1451" s="987"/>
      <c r="M1451" s="986"/>
      <c r="N1451" s="986"/>
      <c r="O1451" s="986"/>
      <c r="P1451" s="1730"/>
      <c r="Q1451" s="2185">
        <v>44652</v>
      </c>
      <c r="R1451" s="2185">
        <v>44682</v>
      </c>
      <c r="S1451" s="2185">
        <v>44713</v>
      </c>
      <c r="T1451" s="2185">
        <v>44743</v>
      </c>
      <c r="U1451" s="2185">
        <v>44774</v>
      </c>
      <c r="V1451" s="2185">
        <v>44805</v>
      </c>
      <c r="W1451" s="2185">
        <v>44835</v>
      </c>
      <c r="X1451" s="2185">
        <v>44866</v>
      </c>
      <c r="Y1451" s="2185">
        <v>44896</v>
      </c>
      <c r="Z1451" s="2185">
        <v>44927</v>
      </c>
      <c r="AA1451" s="2185">
        <v>44958</v>
      </c>
      <c r="AB1451" s="2185">
        <v>44986</v>
      </c>
      <c r="AC1451" s="2752" t="s">
        <v>105</v>
      </c>
      <c r="AD1451" s="2752" t="s">
        <v>104</v>
      </c>
      <c r="AE1451" s="2752" t="s">
        <v>103</v>
      </c>
      <c r="AF1451" s="2752" t="s">
        <v>102</v>
      </c>
      <c r="AG1451" s="2752" t="s">
        <v>101</v>
      </c>
      <c r="AH1451" s="2752" t="s">
        <v>100</v>
      </c>
      <c r="AI1451" s="2752" t="s">
        <v>118</v>
      </c>
    </row>
    <row r="1452" spans="1:35">
      <c r="A1452" s="990">
        <v>1</v>
      </c>
      <c r="B1452" s="990">
        <v>1</v>
      </c>
      <c r="C1452" s="990" t="s">
        <v>1129</v>
      </c>
      <c r="D1452" s="9" t="s">
        <v>999</v>
      </c>
      <c r="E1452" s="1243">
        <v>1</v>
      </c>
      <c r="F1452" s="999"/>
      <c r="G1452" s="999"/>
      <c r="H1452" s="1000"/>
      <c r="I1452" s="2753" t="s">
        <v>9</v>
      </c>
      <c r="J1452" s="1019"/>
      <c r="K1452" s="1019"/>
      <c r="L1452" s="1019"/>
      <c r="M1452" s="1019"/>
      <c r="N1452" s="1019"/>
      <c r="O1452" s="1019"/>
      <c r="P1452" s="2754" t="s">
        <v>518</v>
      </c>
      <c r="Q1452" s="2140">
        <v>0</v>
      </c>
      <c r="R1452" s="2140">
        <v>0</v>
      </c>
      <c r="S1452" s="2140">
        <v>0</v>
      </c>
      <c r="T1452" s="2140">
        <v>0</v>
      </c>
      <c r="U1452" s="2140">
        <v>0</v>
      </c>
      <c r="V1452" s="2140">
        <v>0</v>
      </c>
      <c r="W1452" s="2140">
        <v>0</v>
      </c>
      <c r="X1452" s="2140">
        <v>0</v>
      </c>
      <c r="Y1452" s="2140">
        <v>0</v>
      </c>
      <c r="Z1452" s="2140">
        <v>0</v>
      </c>
      <c r="AA1452" s="2140">
        <v>0</v>
      </c>
      <c r="AB1452" s="2140">
        <v>0</v>
      </c>
      <c r="AC1452" s="2140">
        <v>0</v>
      </c>
      <c r="AD1452" s="2140">
        <v>0</v>
      </c>
      <c r="AE1452" s="2140">
        <v>0</v>
      </c>
      <c r="AF1452" s="2140">
        <v>0</v>
      </c>
      <c r="AG1452" s="2140">
        <v>0</v>
      </c>
      <c r="AH1452" s="2140">
        <v>0</v>
      </c>
      <c r="AI1452" s="2140">
        <v>0</v>
      </c>
    </row>
    <row r="1453" spans="1:35">
      <c r="A1453" s="990">
        <v>1</v>
      </c>
      <c r="B1453" s="990">
        <v>1</v>
      </c>
      <c r="C1453" s="990" t="s">
        <v>1129</v>
      </c>
      <c r="D1453" s="9" t="s">
        <v>999</v>
      </c>
      <c r="E1453" s="1243">
        <v>1</v>
      </c>
      <c r="F1453" s="999"/>
      <c r="G1453" s="999"/>
      <c r="H1453" s="1000"/>
      <c r="I1453" s="1007" t="s">
        <v>1139</v>
      </c>
      <c r="J1453" s="1006"/>
      <c r="K1453" s="1006"/>
      <c r="L1453" s="1021"/>
      <c r="M1453" s="1004"/>
      <c r="N1453" s="1004"/>
      <c r="O1453" s="1004"/>
      <c r="P1453" s="1044" t="s">
        <v>519</v>
      </c>
      <c r="Q1453" s="1005">
        <v>0</v>
      </c>
      <c r="R1453" s="1005">
        <v>0</v>
      </c>
      <c r="S1453" s="1005">
        <v>0</v>
      </c>
      <c r="T1453" s="1005">
        <v>0</v>
      </c>
      <c r="U1453" s="1005">
        <v>0</v>
      </c>
      <c r="V1453" s="1005">
        <v>0</v>
      </c>
      <c r="W1453" s="1005">
        <v>0</v>
      </c>
      <c r="X1453" s="1005">
        <v>0</v>
      </c>
      <c r="Y1453" s="1005">
        <v>0</v>
      </c>
      <c r="Z1453" s="1005">
        <v>0</v>
      </c>
      <c r="AA1453" s="1005">
        <v>0</v>
      </c>
      <c r="AB1453" s="1005">
        <v>0</v>
      </c>
      <c r="AC1453" s="1005">
        <v>0</v>
      </c>
      <c r="AD1453" s="1005">
        <v>0</v>
      </c>
      <c r="AE1453" s="1005">
        <v>0</v>
      </c>
      <c r="AF1453" s="1005">
        <v>0</v>
      </c>
      <c r="AG1453" s="1005">
        <v>0</v>
      </c>
      <c r="AH1453" s="1005">
        <v>0</v>
      </c>
      <c r="AI1453" s="1005">
        <v>0</v>
      </c>
    </row>
    <row r="1454" spans="1:35" ht="14.5">
      <c r="A1454" s="990">
        <v>1</v>
      </c>
      <c r="B1454" s="990">
        <v>1</v>
      </c>
      <c r="C1454" s="990" t="s">
        <v>1129</v>
      </c>
      <c r="D1454" s="9" t="s">
        <v>999</v>
      </c>
      <c r="E1454" s="1243">
        <v>1</v>
      </c>
      <c r="F1454" s="1025"/>
      <c r="G1454" s="1025"/>
      <c r="H1454" s="1025"/>
      <c r="I1454" s="1026"/>
      <c r="J1454" s="1027" t="s">
        <v>135</v>
      </c>
      <c r="K1454" s="1027"/>
      <c r="L1454" s="1027"/>
      <c r="M1454" s="1028"/>
      <c r="N1454" s="1028"/>
      <c r="O1454" s="1028"/>
      <c r="P1454" s="1045"/>
      <c r="Q1454" s="1029">
        <v>0</v>
      </c>
      <c r="R1454" s="1029">
        <v>0</v>
      </c>
      <c r="S1454" s="1029">
        <v>0</v>
      </c>
      <c r="T1454" s="1029">
        <v>0</v>
      </c>
      <c r="U1454" s="1029">
        <v>0</v>
      </c>
      <c r="V1454" s="1029">
        <v>0</v>
      </c>
      <c r="W1454" s="1029">
        <v>0</v>
      </c>
      <c r="X1454" s="1029">
        <v>0</v>
      </c>
      <c r="Y1454" s="1029">
        <v>0</v>
      </c>
      <c r="Z1454" s="1029">
        <v>0</v>
      </c>
      <c r="AA1454" s="1029">
        <v>0</v>
      </c>
      <c r="AB1454" s="1029">
        <v>0</v>
      </c>
      <c r="AC1454" s="1029">
        <v>0</v>
      </c>
      <c r="AD1454" s="1029">
        <v>0</v>
      </c>
      <c r="AE1454" s="1029">
        <v>0</v>
      </c>
      <c r="AF1454" s="1029">
        <v>0</v>
      </c>
      <c r="AG1454" s="1029">
        <v>0</v>
      </c>
      <c r="AH1454" s="1029">
        <v>0</v>
      </c>
      <c r="AI1454" s="1029">
        <v>0</v>
      </c>
    </row>
    <row r="1455" spans="1:35">
      <c r="A1455" s="990">
        <v>1</v>
      </c>
      <c r="B1455" s="990">
        <v>1</v>
      </c>
      <c r="C1455" s="990" t="s">
        <v>1129</v>
      </c>
      <c r="D1455" s="9" t="s">
        <v>999</v>
      </c>
      <c r="E1455" s="1243">
        <v>1</v>
      </c>
      <c r="F1455" s="1000"/>
      <c r="G1455" s="1000"/>
      <c r="H1455" s="1000"/>
      <c r="I1455" s="1003"/>
      <c r="J1455" s="1004" t="s">
        <v>1140</v>
      </c>
      <c r="K1455" s="1004"/>
      <c r="L1455" s="1004"/>
      <c r="M1455" s="1004"/>
      <c r="N1455" s="1004"/>
      <c r="O1455" s="1004"/>
      <c r="P1455" s="1044"/>
      <c r="Q1455" s="1006">
        <v>0</v>
      </c>
      <c r="R1455" s="1006">
        <v>0</v>
      </c>
      <c r="S1455" s="1006">
        <v>0</v>
      </c>
      <c r="T1455" s="1006">
        <v>0</v>
      </c>
      <c r="U1455" s="1006">
        <v>0</v>
      </c>
      <c r="V1455" s="1006">
        <v>0</v>
      </c>
      <c r="W1455" s="1006">
        <v>0</v>
      </c>
      <c r="X1455" s="1006">
        <v>0</v>
      </c>
      <c r="Y1455" s="1006">
        <v>0</v>
      </c>
      <c r="Z1455" s="1006">
        <v>0</v>
      </c>
      <c r="AA1455" s="1006">
        <v>0</v>
      </c>
      <c r="AB1455" s="1006">
        <v>0</v>
      </c>
      <c r="AC1455" s="1006">
        <v>0</v>
      </c>
      <c r="AD1455" s="1006">
        <v>0</v>
      </c>
      <c r="AE1455" s="1006">
        <v>0</v>
      </c>
      <c r="AF1455" s="1006">
        <v>0</v>
      </c>
      <c r="AG1455" s="1006">
        <v>0</v>
      </c>
      <c r="AH1455" s="1006">
        <v>0</v>
      </c>
      <c r="AI1455" s="1006">
        <v>0</v>
      </c>
    </row>
    <row r="1456" spans="1:35">
      <c r="A1456" s="990">
        <v>1</v>
      </c>
      <c r="B1456" s="990">
        <v>1</v>
      </c>
      <c r="C1456" s="990" t="s">
        <v>1129</v>
      </c>
      <c r="D1456" s="9" t="s">
        <v>999</v>
      </c>
      <c r="E1456" s="1243">
        <v>1</v>
      </c>
      <c r="F1456" s="1000"/>
      <c r="G1456" s="1000"/>
      <c r="H1456" s="1000"/>
      <c r="I1456" s="1003"/>
      <c r="J1456" s="1004" t="s">
        <v>1141</v>
      </c>
      <c r="K1456" s="1004"/>
      <c r="L1456" s="1004"/>
      <c r="M1456" s="1004"/>
      <c r="N1456" s="1004"/>
      <c r="O1456" s="1004"/>
      <c r="P1456" s="1044"/>
      <c r="Q1456" s="1006">
        <v>0</v>
      </c>
      <c r="R1456" s="1006">
        <v>0</v>
      </c>
      <c r="S1456" s="1006">
        <v>0</v>
      </c>
      <c r="T1456" s="1006">
        <v>0</v>
      </c>
      <c r="U1456" s="1006">
        <v>0</v>
      </c>
      <c r="V1456" s="1006">
        <v>0</v>
      </c>
      <c r="W1456" s="1006">
        <v>0</v>
      </c>
      <c r="X1456" s="1006">
        <v>0</v>
      </c>
      <c r="Y1456" s="1006">
        <v>0</v>
      </c>
      <c r="Z1456" s="1006">
        <v>0</v>
      </c>
      <c r="AA1456" s="1006">
        <v>0</v>
      </c>
      <c r="AB1456" s="1006">
        <v>0</v>
      </c>
      <c r="AC1456" s="1006">
        <v>0</v>
      </c>
      <c r="AD1456" s="1006">
        <v>0</v>
      </c>
      <c r="AE1456" s="1006">
        <v>0</v>
      </c>
      <c r="AF1456" s="1006">
        <v>0</v>
      </c>
      <c r="AG1456" s="1006">
        <v>0</v>
      </c>
      <c r="AH1456" s="1006">
        <v>0</v>
      </c>
      <c r="AI1456" s="1006">
        <v>0</v>
      </c>
    </row>
    <row r="1457" spans="1:35">
      <c r="A1457" s="990">
        <v>1</v>
      </c>
      <c r="B1457" s="990">
        <v>1</v>
      </c>
      <c r="C1457" s="990" t="s">
        <v>1129</v>
      </c>
      <c r="D1457" s="9" t="s">
        <v>999</v>
      </c>
      <c r="E1457" s="1243">
        <v>1</v>
      </c>
      <c r="F1457" s="1000"/>
      <c r="G1457" s="1000"/>
      <c r="H1457" s="1000"/>
      <c r="I1457" s="1010"/>
      <c r="J1457" s="1011" t="s">
        <v>1142</v>
      </c>
      <c r="K1457" s="1011"/>
      <c r="L1457" s="1011"/>
      <c r="M1457" s="1011"/>
      <c r="N1457" s="1011"/>
      <c r="O1457" s="1011"/>
      <c r="P1457" s="1046"/>
      <c r="Q1457" s="1012">
        <v>0</v>
      </c>
      <c r="R1457" s="1012">
        <v>0</v>
      </c>
      <c r="S1457" s="1012">
        <v>0</v>
      </c>
      <c r="T1457" s="1012">
        <v>0</v>
      </c>
      <c r="U1457" s="1012">
        <v>0</v>
      </c>
      <c r="V1457" s="1012">
        <v>0</v>
      </c>
      <c r="W1457" s="1012">
        <v>0</v>
      </c>
      <c r="X1457" s="1012">
        <v>0</v>
      </c>
      <c r="Y1457" s="1012">
        <v>0</v>
      </c>
      <c r="Z1457" s="1012">
        <v>0</v>
      </c>
      <c r="AA1457" s="1012">
        <v>0</v>
      </c>
      <c r="AB1457" s="1012">
        <v>0</v>
      </c>
      <c r="AC1457" s="1012">
        <v>0</v>
      </c>
      <c r="AD1457" s="1012">
        <v>0</v>
      </c>
      <c r="AE1457" s="1012">
        <v>0</v>
      </c>
      <c r="AF1457" s="1012">
        <v>0</v>
      </c>
      <c r="AG1457" s="1012">
        <v>0</v>
      </c>
      <c r="AH1457" s="1012">
        <v>0</v>
      </c>
      <c r="AI1457" s="1012">
        <v>0</v>
      </c>
    </row>
    <row r="1458" spans="1:35">
      <c r="A1458" s="990">
        <v>1</v>
      </c>
      <c r="B1458" s="990">
        <v>1</v>
      </c>
      <c r="C1458" s="990" t="s">
        <v>1129</v>
      </c>
      <c r="D1458" s="9" t="s">
        <v>999</v>
      </c>
      <c r="E1458" s="1243">
        <v>1</v>
      </c>
      <c r="F1458" s="999"/>
      <c r="G1458" s="999"/>
      <c r="H1458" s="1000"/>
      <c r="I1458" s="1013" t="s">
        <v>1143</v>
      </c>
      <c r="J1458" s="1014"/>
      <c r="K1458" s="1014"/>
      <c r="L1458" s="1014"/>
      <c r="M1458" s="1014"/>
      <c r="N1458" s="1014"/>
      <c r="O1458" s="1014"/>
      <c r="P1458" s="1047" t="s">
        <v>1144</v>
      </c>
      <c r="Q1458" s="1015">
        <v>0</v>
      </c>
      <c r="R1458" s="1015">
        <v>0</v>
      </c>
      <c r="S1458" s="1015">
        <v>0</v>
      </c>
      <c r="T1458" s="1015">
        <v>0</v>
      </c>
      <c r="U1458" s="1015">
        <v>0</v>
      </c>
      <c r="V1458" s="1015">
        <v>0</v>
      </c>
      <c r="W1458" s="1015">
        <v>0</v>
      </c>
      <c r="X1458" s="1015">
        <v>0</v>
      </c>
      <c r="Y1458" s="1015">
        <v>0</v>
      </c>
      <c r="Z1458" s="1015">
        <v>0</v>
      </c>
      <c r="AA1458" s="1015">
        <v>0</v>
      </c>
      <c r="AB1458" s="1015">
        <v>0</v>
      </c>
      <c r="AC1458" s="1015">
        <v>0</v>
      </c>
      <c r="AD1458" s="1015">
        <v>0</v>
      </c>
      <c r="AE1458" s="1015">
        <v>0</v>
      </c>
      <c r="AF1458" s="1015">
        <v>0</v>
      </c>
      <c r="AG1458" s="1015">
        <v>0</v>
      </c>
      <c r="AH1458" s="1015">
        <v>0</v>
      </c>
      <c r="AI1458" s="1015">
        <v>0</v>
      </c>
    </row>
    <row r="1459" spans="1:35" ht="14.5">
      <c r="A1459" s="990">
        <v>1</v>
      </c>
      <c r="B1459" s="990">
        <v>1</v>
      </c>
      <c r="C1459" s="990" t="s">
        <v>1129</v>
      </c>
      <c r="D1459" s="9" t="s">
        <v>999</v>
      </c>
      <c r="E1459" s="1243">
        <v>1</v>
      </c>
      <c r="F1459" s="1025"/>
      <c r="G1459" s="1025"/>
      <c r="H1459" s="1025"/>
      <c r="I1459" s="1026"/>
      <c r="J1459" s="1031" t="s">
        <v>135</v>
      </c>
      <c r="K1459" s="1032"/>
      <c r="L1459" s="1032"/>
      <c r="M1459" s="1032"/>
      <c r="N1459" s="1032"/>
      <c r="O1459" s="1032"/>
      <c r="P1459" s="1044" t="s">
        <v>1145</v>
      </c>
      <c r="Q1459" s="1033">
        <v>0</v>
      </c>
      <c r="R1459" s="1033">
        <v>0</v>
      </c>
      <c r="S1459" s="1033">
        <v>0</v>
      </c>
      <c r="T1459" s="1033">
        <v>0</v>
      </c>
      <c r="U1459" s="1033">
        <v>0</v>
      </c>
      <c r="V1459" s="1033">
        <v>0</v>
      </c>
      <c r="W1459" s="1033">
        <v>0</v>
      </c>
      <c r="X1459" s="1033">
        <v>0</v>
      </c>
      <c r="Y1459" s="1033">
        <v>0</v>
      </c>
      <c r="Z1459" s="1033">
        <v>0</v>
      </c>
      <c r="AA1459" s="1033">
        <v>0</v>
      </c>
      <c r="AB1459" s="1033">
        <v>0</v>
      </c>
      <c r="AC1459" s="1033">
        <v>0</v>
      </c>
      <c r="AD1459" s="1033">
        <v>0</v>
      </c>
      <c r="AE1459" s="1033">
        <v>0</v>
      </c>
      <c r="AF1459" s="1033">
        <v>0</v>
      </c>
      <c r="AG1459" s="1033">
        <v>0</v>
      </c>
      <c r="AH1459" s="1033">
        <v>0</v>
      </c>
      <c r="AI1459" s="1033">
        <v>0</v>
      </c>
    </row>
    <row r="1460" spans="1:35">
      <c r="A1460" s="990">
        <v>1</v>
      </c>
      <c r="B1460" s="990">
        <v>1</v>
      </c>
      <c r="C1460" s="990" t="s">
        <v>1129</v>
      </c>
      <c r="D1460" s="9" t="s">
        <v>999</v>
      </c>
      <c r="E1460" s="1243">
        <v>1</v>
      </c>
      <c r="F1460" s="999"/>
      <c r="G1460" s="999"/>
      <c r="H1460" s="1000"/>
      <c r="I1460" s="1003" t="s">
        <v>1146</v>
      </c>
      <c r="J1460" s="1004"/>
      <c r="K1460" s="1004"/>
      <c r="L1460" s="1004"/>
      <c r="M1460" s="1004"/>
      <c r="N1460" s="1004"/>
      <c r="O1460" s="1004"/>
      <c r="P1460" s="1044" t="s">
        <v>1147</v>
      </c>
      <c r="Q1460" s="1007">
        <v>0</v>
      </c>
      <c r="R1460" s="1007">
        <v>0</v>
      </c>
      <c r="S1460" s="1007">
        <v>0</v>
      </c>
      <c r="T1460" s="1007">
        <v>0</v>
      </c>
      <c r="U1460" s="1007">
        <v>0</v>
      </c>
      <c r="V1460" s="1007">
        <v>0</v>
      </c>
      <c r="W1460" s="1007">
        <v>0</v>
      </c>
      <c r="X1460" s="1007">
        <v>0</v>
      </c>
      <c r="Y1460" s="1007">
        <v>0</v>
      </c>
      <c r="Z1460" s="1007">
        <v>0</v>
      </c>
      <c r="AA1460" s="1007">
        <v>0</v>
      </c>
      <c r="AB1460" s="1007">
        <v>0</v>
      </c>
      <c r="AC1460" s="1007">
        <v>0</v>
      </c>
      <c r="AD1460" s="1007">
        <v>0</v>
      </c>
      <c r="AE1460" s="1007">
        <v>0</v>
      </c>
      <c r="AF1460" s="1007">
        <v>0</v>
      </c>
      <c r="AG1460" s="1007">
        <v>0</v>
      </c>
      <c r="AH1460" s="1007">
        <v>0</v>
      </c>
      <c r="AI1460" s="1007">
        <v>0</v>
      </c>
    </row>
    <row r="1461" spans="1:35" ht="14.5">
      <c r="A1461" s="990">
        <v>1</v>
      </c>
      <c r="B1461" s="990">
        <v>1</v>
      </c>
      <c r="C1461" s="990" t="s">
        <v>1129</v>
      </c>
      <c r="D1461" s="9" t="s">
        <v>999</v>
      </c>
      <c r="E1461" s="1243">
        <v>1</v>
      </c>
      <c r="F1461" s="1025"/>
      <c r="G1461" s="1025"/>
      <c r="H1461" s="1025"/>
      <c r="I1461" s="1026"/>
      <c r="J1461" s="1027" t="s">
        <v>135</v>
      </c>
      <c r="K1461" s="1028"/>
      <c r="L1461" s="1028"/>
      <c r="M1461" s="1028"/>
      <c r="N1461" s="1028"/>
      <c r="O1461" s="1028"/>
      <c r="P1461" s="1045"/>
      <c r="Q1461" s="1034">
        <v>0</v>
      </c>
      <c r="R1461" s="1034">
        <v>0</v>
      </c>
      <c r="S1461" s="1034">
        <v>0</v>
      </c>
      <c r="T1461" s="1034">
        <v>0</v>
      </c>
      <c r="U1461" s="1034">
        <v>0</v>
      </c>
      <c r="V1461" s="1034">
        <v>0</v>
      </c>
      <c r="W1461" s="1034">
        <v>0</v>
      </c>
      <c r="X1461" s="1034">
        <v>0</v>
      </c>
      <c r="Y1461" s="1034">
        <v>0</v>
      </c>
      <c r="Z1461" s="1034">
        <v>0</v>
      </c>
      <c r="AA1461" s="1034">
        <v>0</v>
      </c>
      <c r="AB1461" s="1034">
        <v>0</v>
      </c>
      <c r="AC1461" s="1034">
        <v>0</v>
      </c>
      <c r="AD1461" s="1034">
        <v>0</v>
      </c>
      <c r="AE1461" s="1034">
        <v>0</v>
      </c>
      <c r="AF1461" s="1034">
        <v>0</v>
      </c>
      <c r="AG1461" s="1034">
        <v>0</v>
      </c>
      <c r="AH1461" s="1034">
        <v>0</v>
      </c>
      <c r="AI1461" s="1034">
        <v>0</v>
      </c>
    </row>
    <row r="1462" spans="1:35">
      <c r="A1462" s="990">
        <v>1</v>
      </c>
      <c r="B1462" s="990">
        <v>1</v>
      </c>
      <c r="C1462" s="990" t="s">
        <v>1129</v>
      </c>
      <c r="D1462" s="9" t="s">
        <v>999</v>
      </c>
      <c r="E1462" s="1243">
        <v>1</v>
      </c>
      <c r="F1462" s="1000"/>
      <c r="G1462" s="1000"/>
      <c r="H1462" s="1000"/>
      <c r="I1462" s="1003"/>
      <c r="J1462" s="1004" t="s">
        <v>1148</v>
      </c>
      <c r="K1462" s="1004"/>
      <c r="L1462" s="1004"/>
      <c r="M1462" s="1004"/>
      <c r="N1462" s="1004"/>
      <c r="O1462" s="1004"/>
      <c r="P1462" s="1044"/>
      <c r="Q1462" s="1006">
        <v>0</v>
      </c>
      <c r="R1462" s="1006">
        <v>0</v>
      </c>
      <c r="S1462" s="1006">
        <v>0</v>
      </c>
      <c r="T1462" s="1006">
        <v>0</v>
      </c>
      <c r="U1462" s="1006">
        <v>0</v>
      </c>
      <c r="V1462" s="1006">
        <v>0</v>
      </c>
      <c r="W1462" s="1006">
        <v>0</v>
      </c>
      <c r="X1462" s="1006">
        <v>0</v>
      </c>
      <c r="Y1462" s="1006">
        <v>0</v>
      </c>
      <c r="Z1462" s="1006">
        <v>0</v>
      </c>
      <c r="AA1462" s="1006">
        <v>0</v>
      </c>
      <c r="AB1462" s="1006">
        <v>0</v>
      </c>
      <c r="AC1462" s="1006">
        <v>0</v>
      </c>
      <c r="AD1462" s="1006">
        <v>0</v>
      </c>
      <c r="AE1462" s="1006">
        <v>0</v>
      </c>
      <c r="AF1462" s="1006">
        <v>0</v>
      </c>
      <c r="AG1462" s="1006">
        <v>0</v>
      </c>
      <c r="AH1462" s="1006">
        <v>0</v>
      </c>
      <c r="AI1462" s="1006">
        <v>0</v>
      </c>
    </row>
    <row r="1463" spans="1:35">
      <c r="A1463" s="990">
        <v>1</v>
      </c>
      <c r="B1463" s="990">
        <v>1</v>
      </c>
      <c r="C1463" s="990" t="s">
        <v>1129</v>
      </c>
      <c r="D1463" s="9" t="s">
        <v>999</v>
      </c>
      <c r="E1463" s="1243">
        <v>1</v>
      </c>
      <c r="F1463" s="1000"/>
      <c r="G1463" s="1000"/>
      <c r="H1463" s="1000"/>
      <c r="I1463" s="1003"/>
      <c r="J1463" s="1004" t="s">
        <v>1149</v>
      </c>
      <c r="K1463" s="1004"/>
      <c r="L1463" s="1004"/>
      <c r="M1463" s="1004"/>
      <c r="N1463" s="1004"/>
      <c r="O1463" s="1004"/>
      <c r="P1463" s="1044"/>
      <c r="Q1463" s="1006">
        <v>0</v>
      </c>
      <c r="R1463" s="1006">
        <v>0</v>
      </c>
      <c r="S1463" s="1006">
        <v>0</v>
      </c>
      <c r="T1463" s="1006">
        <v>0</v>
      </c>
      <c r="U1463" s="1006">
        <v>0</v>
      </c>
      <c r="V1463" s="1006">
        <v>0</v>
      </c>
      <c r="W1463" s="1006">
        <v>0</v>
      </c>
      <c r="X1463" s="1006">
        <v>0</v>
      </c>
      <c r="Y1463" s="1006">
        <v>0</v>
      </c>
      <c r="Z1463" s="1006">
        <v>0</v>
      </c>
      <c r="AA1463" s="1006">
        <v>0</v>
      </c>
      <c r="AB1463" s="1006">
        <v>0</v>
      </c>
      <c r="AC1463" s="1006">
        <v>0</v>
      </c>
      <c r="AD1463" s="1006">
        <v>0</v>
      </c>
      <c r="AE1463" s="1006">
        <v>0</v>
      </c>
      <c r="AF1463" s="1006">
        <v>0</v>
      </c>
      <c r="AG1463" s="1006">
        <v>0</v>
      </c>
      <c r="AH1463" s="1006">
        <v>0</v>
      </c>
      <c r="AI1463" s="1006">
        <v>0</v>
      </c>
    </row>
    <row r="1464" spans="1:35">
      <c r="A1464" s="990">
        <v>1</v>
      </c>
      <c r="B1464" s="990">
        <v>1</v>
      </c>
      <c r="C1464" s="990" t="s">
        <v>1129</v>
      </c>
      <c r="D1464" s="9" t="s">
        <v>999</v>
      </c>
      <c r="E1464" s="1243">
        <v>1</v>
      </c>
      <c r="F1464" s="1000"/>
      <c r="G1464" s="1000"/>
      <c r="H1464" s="1000"/>
      <c r="I1464" s="1010"/>
      <c r="J1464" s="1011" t="s">
        <v>1150</v>
      </c>
      <c r="K1464" s="1011"/>
      <c r="L1464" s="1011"/>
      <c r="M1464" s="1011"/>
      <c r="N1464" s="1011"/>
      <c r="O1464" s="1011"/>
      <c r="P1464" s="1046"/>
      <c r="Q1464" s="1012">
        <v>0</v>
      </c>
      <c r="R1464" s="1012">
        <v>0</v>
      </c>
      <c r="S1464" s="1012">
        <v>0</v>
      </c>
      <c r="T1464" s="1012">
        <v>0</v>
      </c>
      <c r="U1464" s="1012">
        <v>0</v>
      </c>
      <c r="V1464" s="1012">
        <v>0</v>
      </c>
      <c r="W1464" s="1012">
        <v>0</v>
      </c>
      <c r="X1464" s="1012">
        <v>0</v>
      </c>
      <c r="Y1464" s="1012">
        <v>0</v>
      </c>
      <c r="Z1464" s="1012">
        <v>0</v>
      </c>
      <c r="AA1464" s="1012">
        <v>0</v>
      </c>
      <c r="AB1464" s="1012">
        <v>0</v>
      </c>
      <c r="AC1464" s="1012">
        <v>0</v>
      </c>
      <c r="AD1464" s="1012">
        <v>0</v>
      </c>
      <c r="AE1464" s="1012">
        <v>0</v>
      </c>
      <c r="AF1464" s="1012">
        <v>0</v>
      </c>
      <c r="AG1464" s="1012">
        <v>0</v>
      </c>
      <c r="AH1464" s="1012">
        <v>0</v>
      </c>
      <c r="AI1464" s="1012">
        <v>0</v>
      </c>
    </row>
    <row r="1465" spans="1:35">
      <c r="A1465" s="990">
        <v>1</v>
      </c>
      <c r="B1465" s="990">
        <v>1</v>
      </c>
      <c r="C1465" s="990" t="s">
        <v>1129</v>
      </c>
      <c r="D1465" s="9" t="s">
        <v>999</v>
      </c>
      <c r="E1465" s="1243">
        <v>1</v>
      </c>
      <c r="F1465" s="999"/>
      <c r="G1465" s="999"/>
      <c r="H1465" s="1000"/>
      <c r="I1465" s="1013" t="s">
        <v>1151</v>
      </c>
      <c r="J1465" s="1014"/>
      <c r="K1465" s="1014"/>
      <c r="L1465" s="1014"/>
      <c r="M1465" s="1014"/>
      <c r="N1465" s="1014"/>
      <c r="O1465" s="1014"/>
      <c r="P1465" s="1047" t="s">
        <v>1152</v>
      </c>
      <c r="Q1465" s="1015">
        <v>0</v>
      </c>
      <c r="R1465" s="1015">
        <v>0</v>
      </c>
      <c r="S1465" s="1015">
        <v>0</v>
      </c>
      <c r="T1465" s="1015">
        <v>0</v>
      </c>
      <c r="U1465" s="1015">
        <v>0</v>
      </c>
      <c r="V1465" s="1015">
        <v>0</v>
      </c>
      <c r="W1465" s="1015">
        <v>0</v>
      </c>
      <c r="X1465" s="1015">
        <v>0</v>
      </c>
      <c r="Y1465" s="1015">
        <v>0</v>
      </c>
      <c r="Z1465" s="1015">
        <v>0</v>
      </c>
      <c r="AA1465" s="1015">
        <v>0</v>
      </c>
      <c r="AB1465" s="1015">
        <v>0</v>
      </c>
      <c r="AC1465" s="1015">
        <v>0</v>
      </c>
      <c r="AD1465" s="1015">
        <v>0</v>
      </c>
      <c r="AE1465" s="1015">
        <v>0</v>
      </c>
      <c r="AF1465" s="1015">
        <v>0</v>
      </c>
      <c r="AG1465" s="1015">
        <v>0</v>
      </c>
      <c r="AH1465" s="1015">
        <v>0</v>
      </c>
      <c r="AI1465" s="1015">
        <v>0</v>
      </c>
    </row>
    <row r="1466" spans="1:35" ht="14.5">
      <c r="A1466" s="990">
        <v>1</v>
      </c>
      <c r="B1466" s="990">
        <v>1</v>
      </c>
      <c r="C1466" s="990" t="s">
        <v>1129</v>
      </c>
      <c r="D1466" s="9" t="s">
        <v>999</v>
      </c>
      <c r="E1466" s="1243">
        <v>1</v>
      </c>
      <c r="F1466" s="1025"/>
      <c r="G1466" s="1025"/>
      <c r="H1466" s="1025"/>
      <c r="I1466" s="1035"/>
      <c r="J1466" s="1036" t="s">
        <v>135</v>
      </c>
      <c r="K1466" s="1037"/>
      <c r="L1466" s="1037"/>
      <c r="M1466" s="1037"/>
      <c r="N1466" s="1037"/>
      <c r="O1466" s="1037"/>
      <c r="P1466" s="1046" t="s">
        <v>1153</v>
      </c>
      <c r="Q1466" s="1038">
        <v>0</v>
      </c>
      <c r="R1466" s="1038">
        <v>0</v>
      </c>
      <c r="S1466" s="1038">
        <v>0</v>
      </c>
      <c r="T1466" s="1038">
        <v>0</v>
      </c>
      <c r="U1466" s="1038">
        <v>0</v>
      </c>
      <c r="V1466" s="1038">
        <v>0</v>
      </c>
      <c r="W1466" s="1038">
        <v>0</v>
      </c>
      <c r="X1466" s="1038">
        <v>0</v>
      </c>
      <c r="Y1466" s="1038">
        <v>0</v>
      </c>
      <c r="Z1466" s="1038">
        <v>0</v>
      </c>
      <c r="AA1466" s="1038">
        <v>0</v>
      </c>
      <c r="AB1466" s="1038">
        <v>0</v>
      </c>
      <c r="AC1466" s="1038">
        <v>0</v>
      </c>
      <c r="AD1466" s="1038">
        <v>0</v>
      </c>
      <c r="AE1466" s="1038">
        <v>0</v>
      </c>
      <c r="AF1466" s="1038">
        <v>0</v>
      </c>
      <c r="AG1466" s="1038">
        <v>0</v>
      </c>
      <c r="AH1466" s="1038">
        <v>0</v>
      </c>
      <c r="AI1466" s="1038">
        <v>0</v>
      </c>
    </row>
    <row r="1467" spans="1:35">
      <c r="A1467" s="990">
        <v>1</v>
      </c>
      <c r="B1467" s="990">
        <v>1</v>
      </c>
      <c r="C1467" s="990" t="s">
        <v>1129</v>
      </c>
      <c r="D1467" s="9" t="s">
        <v>999</v>
      </c>
      <c r="E1467" s="1243">
        <v>1</v>
      </c>
      <c r="F1467" s="999"/>
      <c r="G1467" s="999"/>
      <c r="H1467" s="1000"/>
      <c r="I1467" s="1003" t="s">
        <v>46</v>
      </c>
      <c r="J1467" s="1004"/>
      <c r="K1467" s="1004"/>
      <c r="L1467" s="1004"/>
      <c r="M1467" s="1004"/>
      <c r="N1467" s="1004"/>
      <c r="O1467" s="1004"/>
      <c r="P1467" s="1044" t="s">
        <v>1154</v>
      </c>
      <c r="Q1467" s="1007">
        <v>0</v>
      </c>
      <c r="R1467" s="1007">
        <v>0</v>
      </c>
      <c r="S1467" s="1007">
        <v>0</v>
      </c>
      <c r="T1467" s="1007">
        <v>0</v>
      </c>
      <c r="U1467" s="1007">
        <v>0</v>
      </c>
      <c r="V1467" s="1007">
        <v>0</v>
      </c>
      <c r="W1467" s="1007">
        <v>0</v>
      </c>
      <c r="X1467" s="1007">
        <v>0</v>
      </c>
      <c r="Y1467" s="1007">
        <v>0</v>
      </c>
      <c r="Z1467" s="1007">
        <v>0</v>
      </c>
      <c r="AA1467" s="1007">
        <v>0</v>
      </c>
      <c r="AB1467" s="1007">
        <v>0</v>
      </c>
      <c r="AC1467" s="1007">
        <v>0</v>
      </c>
      <c r="AD1467" s="1007">
        <v>0</v>
      </c>
      <c r="AE1467" s="1007">
        <v>0</v>
      </c>
      <c r="AF1467" s="1007">
        <v>0</v>
      </c>
      <c r="AG1467" s="1007">
        <v>0</v>
      </c>
      <c r="AH1467" s="1007">
        <v>0</v>
      </c>
      <c r="AI1467" s="1007">
        <v>0</v>
      </c>
    </row>
    <row r="1468" spans="1:35" ht="14.5">
      <c r="A1468" s="990">
        <v>1</v>
      </c>
      <c r="B1468" s="990">
        <v>1</v>
      </c>
      <c r="C1468" s="990" t="s">
        <v>1129</v>
      </c>
      <c r="D1468" s="9" t="s">
        <v>999</v>
      </c>
      <c r="E1468" s="1243">
        <v>1</v>
      </c>
      <c r="F1468" s="1025"/>
      <c r="G1468" s="1025"/>
      <c r="H1468" s="1025"/>
      <c r="I1468" s="1035"/>
      <c r="J1468" s="1036" t="s">
        <v>135</v>
      </c>
      <c r="K1468" s="1037"/>
      <c r="L1468" s="1037"/>
      <c r="M1468" s="1037"/>
      <c r="N1468" s="1037"/>
      <c r="O1468" s="1037"/>
      <c r="P1468" s="1048"/>
      <c r="Q1468" s="1038">
        <v>0</v>
      </c>
      <c r="R1468" s="1038">
        <v>0</v>
      </c>
      <c r="S1468" s="1038">
        <v>0</v>
      </c>
      <c r="T1468" s="1038">
        <v>0</v>
      </c>
      <c r="U1468" s="1038">
        <v>0</v>
      </c>
      <c r="V1468" s="1038">
        <v>0</v>
      </c>
      <c r="W1468" s="1038">
        <v>0</v>
      </c>
      <c r="X1468" s="1038">
        <v>0</v>
      </c>
      <c r="Y1468" s="1038">
        <v>0</v>
      </c>
      <c r="Z1468" s="1038">
        <v>0</v>
      </c>
      <c r="AA1468" s="1038">
        <v>0</v>
      </c>
      <c r="AB1468" s="1038">
        <v>0</v>
      </c>
      <c r="AC1468" s="1038">
        <v>0</v>
      </c>
      <c r="AD1468" s="1038">
        <v>0</v>
      </c>
      <c r="AE1468" s="1038">
        <v>0</v>
      </c>
      <c r="AF1468" s="1038">
        <v>0</v>
      </c>
      <c r="AG1468" s="1038">
        <v>0</v>
      </c>
      <c r="AH1468" s="1038">
        <v>0</v>
      </c>
      <c r="AI1468" s="1038">
        <v>0</v>
      </c>
    </row>
    <row r="1469" spans="1:35" ht="14.5">
      <c r="A1469" s="990">
        <v>1</v>
      </c>
      <c r="B1469" s="990">
        <v>1</v>
      </c>
      <c r="C1469" s="990" t="s">
        <v>1129</v>
      </c>
      <c r="E1469" s="1611" t="s">
        <v>1013</v>
      </c>
      <c r="F1469" s="1610"/>
    </row>
    <row r="1470" spans="1:35" ht="14.5">
      <c r="A1470" s="990">
        <v>1</v>
      </c>
      <c r="B1470" s="990">
        <v>1</v>
      </c>
      <c r="C1470" s="990" t="s">
        <v>1129</v>
      </c>
      <c r="E1470" s="1611" t="s">
        <v>1013</v>
      </c>
      <c r="F1470" s="1610"/>
      <c r="H1470" s="5" t="s">
        <v>98</v>
      </c>
    </row>
    <row r="1471" spans="1:35" ht="14.5">
      <c r="A1471" s="990">
        <v>1</v>
      </c>
      <c r="B1471" s="990">
        <v>1</v>
      </c>
      <c r="C1471" s="990" t="s">
        <v>1129</v>
      </c>
      <c r="E1471" s="1611" t="s">
        <v>1013</v>
      </c>
      <c r="F1471" s="1610"/>
      <c r="G1471" s="1731"/>
      <c r="H1471" s="1732"/>
      <c r="I1471" s="2755" t="s">
        <v>9</v>
      </c>
      <c r="J1471" s="1313"/>
      <c r="K1471" s="1313"/>
      <c r="L1471" s="1733"/>
      <c r="M1471" s="1734"/>
      <c r="N1471" s="1734"/>
      <c r="O1471" s="1734"/>
      <c r="P1471" s="1734"/>
      <c r="Q1471" s="2311">
        <v>0</v>
      </c>
      <c r="R1471" s="2311">
        <v>0</v>
      </c>
      <c r="S1471" s="2311">
        <v>0</v>
      </c>
      <c r="T1471" s="2311">
        <v>0</v>
      </c>
      <c r="U1471" s="2311">
        <v>0</v>
      </c>
      <c r="V1471" s="2311">
        <v>0</v>
      </c>
      <c r="W1471" s="2311">
        <v>0</v>
      </c>
      <c r="X1471" s="2311">
        <v>0</v>
      </c>
      <c r="Y1471" s="2311">
        <v>0</v>
      </c>
      <c r="Z1471" s="2311">
        <v>0</v>
      </c>
      <c r="AA1471" s="2311">
        <v>0</v>
      </c>
      <c r="AB1471" s="2311">
        <v>0</v>
      </c>
      <c r="AC1471" s="2311">
        <v>0</v>
      </c>
      <c r="AD1471" s="2311">
        <v>0</v>
      </c>
      <c r="AE1471" s="2311">
        <v>0</v>
      </c>
      <c r="AF1471" s="2311">
        <v>0</v>
      </c>
      <c r="AG1471" s="2311">
        <v>0</v>
      </c>
      <c r="AH1471" s="2311">
        <v>0</v>
      </c>
      <c r="AI1471" s="2311">
        <v>0</v>
      </c>
    </row>
    <row r="1472" spans="1:35" ht="14.5">
      <c r="A1472" s="990">
        <v>1</v>
      </c>
      <c r="B1472" s="990">
        <v>1</v>
      </c>
      <c r="C1472" s="990" t="s">
        <v>1129</v>
      </c>
      <c r="E1472" s="1611" t="s">
        <v>1013</v>
      </c>
      <c r="F1472" s="1610"/>
      <c r="G1472" s="1731"/>
      <c r="H1472" s="1732"/>
      <c r="I1472" s="1327"/>
      <c r="J1472" s="1736" t="s">
        <v>1588</v>
      </c>
      <c r="K1472" s="1736"/>
      <c r="L1472" s="1737"/>
      <c r="M1472" s="278"/>
      <c r="N1472" s="278"/>
      <c r="O1472" s="278"/>
      <c r="P1472" s="278"/>
      <c r="Q1472" s="1738">
        <v>0</v>
      </c>
      <c r="R1472" s="1738">
        <v>0</v>
      </c>
      <c r="S1472" s="1738">
        <v>0</v>
      </c>
      <c r="T1472" s="1738">
        <v>0</v>
      </c>
      <c r="U1472" s="1738">
        <v>0</v>
      </c>
      <c r="V1472" s="1738">
        <v>0</v>
      </c>
      <c r="W1472" s="1738">
        <v>0</v>
      </c>
      <c r="X1472" s="1738">
        <v>0</v>
      </c>
      <c r="Y1472" s="1738">
        <v>0</v>
      </c>
      <c r="Z1472" s="1738">
        <v>0</v>
      </c>
      <c r="AA1472" s="1738">
        <v>0</v>
      </c>
      <c r="AB1472" s="1738">
        <v>0</v>
      </c>
      <c r="AC1472" s="1738">
        <v>0</v>
      </c>
      <c r="AD1472" s="1738">
        <v>0</v>
      </c>
      <c r="AE1472" s="1738">
        <v>0</v>
      </c>
      <c r="AF1472" s="1738">
        <v>0</v>
      </c>
      <c r="AG1472" s="1738">
        <v>0</v>
      </c>
      <c r="AH1472" s="1738">
        <v>0</v>
      </c>
      <c r="AI1472" s="1738">
        <v>0</v>
      </c>
    </row>
    <row r="1473" spans="1:35" ht="14.5">
      <c r="A1473" s="990">
        <v>1</v>
      </c>
      <c r="B1473" s="990">
        <v>1</v>
      </c>
      <c r="C1473" s="990" t="s">
        <v>1129</v>
      </c>
      <c r="E1473" s="1611" t="s">
        <v>1013</v>
      </c>
      <c r="F1473" s="1610"/>
      <c r="G1473" s="1731"/>
      <c r="H1473" s="1732"/>
      <c r="I1473" s="1327"/>
      <c r="J1473" s="1321"/>
      <c r="K1473" s="1321" t="s">
        <v>1022</v>
      </c>
      <c r="Q1473" s="19">
        <v>0</v>
      </c>
      <c r="R1473" s="19">
        <v>0</v>
      </c>
      <c r="S1473" s="19">
        <v>0</v>
      </c>
      <c r="T1473" s="19">
        <v>0</v>
      </c>
      <c r="U1473" s="19">
        <v>0</v>
      </c>
      <c r="V1473" s="19">
        <v>0</v>
      </c>
      <c r="W1473" s="19">
        <v>0</v>
      </c>
      <c r="X1473" s="19">
        <v>0</v>
      </c>
      <c r="Y1473" s="19">
        <v>0</v>
      </c>
      <c r="Z1473" s="19">
        <v>0</v>
      </c>
      <c r="AA1473" s="19">
        <v>0</v>
      </c>
      <c r="AB1473" s="19">
        <v>0</v>
      </c>
      <c r="AC1473" s="19">
        <v>0</v>
      </c>
      <c r="AD1473" s="19">
        <v>0</v>
      </c>
      <c r="AE1473" s="19">
        <v>0</v>
      </c>
      <c r="AF1473" s="19">
        <v>0</v>
      </c>
      <c r="AG1473" s="19">
        <v>0</v>
      </c>
      <c r="AH1473" s="19">
        <v>0</v>
      </c>
      <c r="AI1473" s="19">
        <v>0</v>
      </c>
    </row>
    <row r="1474" spans="1:35" ht="14.5">
      <c r="A1474" s="990">
        <v>1</v>
      </c>
      <c r="B1474" s="990">
        <v>1</v>
      </c>
      <c r="C1474" s="990" t="s">
        <v>1129</v>
      </c>
      <c r="E1474" s="1611" t="s">
        <v>1013</v>
      </c>
      <c r="F1474" s="1610"/>
      <c r="G1474" s="1731"/>
      <c r="H1474" s="1732"/>
      <c r="I1474" s="1327"/>
      <c r="J1474" s="1321"/>
      <c r="K1474" s="1321" t="s">
        <v>1023</v>
      </c>
      <c r="Q1474" s="19">
        <v>0</v>
      </c>
      <c r="R1474" s="19">
        <v>0</v>
      </c>
      <c r="S1474" s="19">
        <v>0</v>
      </c>
      <c r="T1474" s="19">
        <v>0</v>
      </c>
      <c r="U1474" s="19">
        <v>0</v>
      </c>
      <c r="V1474" s="19">
        <v>0</v>
      </c>
      <c r="W1474" s="19">
        <v>0</v>
      </c>
      <c r="X1474" s="19">
        <v>0</v>
      </c>
      <c r="Y1474" s="19">
        <v>0</v>
      </c>
      <c r="Z1474" s="19">
        <v>0</v>
      </c>
      <c r="AA1474" s="19">
        <v>0</v>
      </c>
      <c r="AB1474" s="19">
        <v>0</v>
      </c>
      <c r="AC1474" s="19">
        <v>0</v>
      </c>
      <c r="AD1474" s="19">
        <v>0</v>
      </c>
      <c r="AE1474" s="19">
        <v>0</v>
      </c>
      <c r="AF1474" s="19">
        <v>0</v>
      </c>
      <c r="AG1474" s="19">
        <v>0</v>
      </c>
      <c r="AH1474" s="19">
        <v>0</v>
      </c>
      <c r="AI1474" s="19">
        <v>0</v>
      </c>
    </row>
    <row r="1475" spans="1:35" ht="14.5">
      <c r="A1475" s="990">
        <v>1</v>
      </c>
      <c r="B1475" s="990">
        <v>1</v>
      </c>
      <c r="C1475" s="990" t="s">
        <v>1129</v>
      </c>
      <c r="E1475" s="1611" t="s">
        <v>1013</v>
      </c>
      <c r="F1475" s="1610"/>
      <c r="G1475" s="1731"/>
      <c r="H1475" s="1732"/>
      <c r="I1475" s="1327"/>
      <c r="J1475" s="1736" t="s">
        <v>1590</v>
      </c>
      <c r="K1475" s="1736"/>
      <c r="L1475" s="1737"/>
      <c r="M1475" s="278"/>
      <c r="N1475" s="278"/>
      <c r="O1475" s="278"/>
      <c r="P1475" s="278"/>
      <c r="Q1475" s="1738">
        <v>0</v>
      </c>
      <c r="R1475" s="1738">
        <v>0</v>
      </c>
      <c r="S1475" s="1738">
        <v>0</v>
      </c>
      <c r="T1475" s="1738">
        <v>0</v>
      </c>
      <c r="U1475" s="1738">
        <v>0</v>
      </c>
      <c r="V1475" s="1738">
        <v>0</v>
      </c>
      <c r="W1475" s="1738">
        <v>0</v>
      </c>
      <c r="X1475" s="1738">
        <v>0</v>
      </c>
      <c r="Y1475" s="1738">
        <v>0</v>
      </c>
      <c r="Z1475" s="1738">
        <v>0</v>
      </c>
      <c r="AA1475" s="1738">
        <v>0</v>
      </c>
      <c r="AB1475" s="1738">
        <v>0</v>
      </c>
      <c r="AC1475" s="1738">
        <v>0</v>
      </c>
      <c r="AD1475" s="1738">
        <v>0</v>
      </c>
      <c r="AE1475" s="1738">
        <v>0</v>
      </c>
      <c r="AF1475" s="1738">
        <v>0</v>
      </c>
      <c r="AG1475" s="1738">
        <v>0</v>
      </c>
      <c r="AH1475" s="1738">
        <v>0</v>
      </c>
      <c r="AI1475" s="1738">
        <v>0</v>
      </c>
    </row>
    <row r="1476" spans="1:35" ht="14.5">
      <c r="A1476" s="990">
        <v>1</v>
      </c>
      <c r="B1476" s="990">
        <v>1</v>
      </c>
      <c r="C1476" s="990" t="s">
        <v>1129</v>
      </c>
      <c r="E1476" s="1611" t="s">
        <v>1013</v>
      </c>
      <c r="F1476" s="1610"/>
      <c r="G1476" s="1731"/>
      <c r="H1476" s="1732"/>
      <c r="I1476" s="1327"/>
      <c r="J1476" s="1321"/>
      <c r="K1476" s="1321" t="s">
        <v>1022</v>
      </c>
      <c r="Q1476" s="19">
        <v>0</v>
      </c>
      <c r="R1476" s="19">
        <v>0</v>
      </c>
      <c r="S1476" s="19">
        <v>0</v>
      </c>
      <c r="T1476" s="19">
        <v>0</v>
      </c>
      <c r="U1476" s="19">
        <v>0</v>
      </c>
      <c r="V1476" s="19">
        <v>0</v>
      </c>
      <c r="W1476" s="19">
        <v>0</v>
      </c>
      <c r="X1476" s="19">
        <v>0</v>
      </c>
      <c r="Y1476" s="19">
        <v>0</v>
      </c>
      <c r="Z1476" s="19">
        <v>0</v>
      </c>
      <c r="AA1476" s="19">
        <v>0</v>
      </c>
      <c r="AB1476" s="19">
        <v>0</v>
      </c>
      <c r="AC1476" s="19">
        <v>0</v>
      </c>
      <c r="AD1476" s="19">
        <v>0</v>
      </c>
      <c r="AE1476" s="19">
        <v>0</v>
      </c>
      <c r="AF1476" s="19">
        <v>0</v>
      </c>
      <c r="AG1476" s="19">
        <v>0</v>
      </c>
      <c r="AH1476" s="19">
        <v>0</v>
      </c>
      <c r="AI1476" s="19">
        <v>0</v>
      </c>
    </row>
    <row r="1477" spans="1:35" ht="14.5">
      <c r="A1477" s="990">
        <v>1</v>
      </c>
      <c r="B1477" s="990">
        <v>1</v>
      </c>
      <c r="C1477" s="990" t="s">
        <v>1129</v>
      </c>
      <c r="E1477" s="1611" t="s">
        <v>1013</v>
      </c>
      <c r="F1477" s="1610"/>
      <c r="G1477" s="1731"/>
      <c r="H1477" s="1732"/>
      <c r="I1477" s="1327"/>
      <c r="J1477" s="1321"/>
      <c r="K1477" s="1321" t="s">
        <v>1023</v>
      </c>
      <c r="Q1477" s="19">
        <v>0</v>
      </c>
      <c r="R1477" s="19">
        <v>0</v>
      </c>
      <c r="S1477" s="19">
        <v>0</v>
      </c>
      <c r="T1477" s="19">
        <v>0</v>
      </c>
      <c r="U1477" s="19">
        <v>0</v>
      </c>
      <c r="V1477" s="19">
        <v>0</v>
      </c>
      <c r="W1477" s="19">
        <v>0</v>
      </c>
      <c r="X1477" s="19">
        <v>0</v>
      </c>
      <c r="Y1477" s="19">
        <v>0</v>
      </c>
      <c r="Z1477" s="19">
        <v>0</v>
      </c>
      <c r="AA1477" s="19">
        <v>0</v>
      </c>
      <c r="AB1477" s="19">
        <v>0</v>
      </c>
      <c r="AC1477" s="19">
        <v>0</v>
      </c>
      <c r="AD1477" s="19">
        <v>0</v>
      </c>
      <c r="AE1477" s="19">
        <v>0</v>
      </c>
      <c r="AF1477" s="19">
        <v>0</v>
      </c>
      <c r="AG1477" s="19">
        <v>0</v>
      </c>
      <c r="AH1477" s="19">
        <v>0</v>
      </c>
      <c r="AI1477" s="19">
        <v>0</v>
      </c>
    </row>
    <row r="1478" spans="1:35" ht="14.5">
      <c r="A1478" s="990">
        <v>1</v>
      </c>
      <c r="B1478" s="990">
        <v>1</v>
      </c>
      <c r="C1478" s="990" t="s">
        <v>1129</v>
      </c>
      <c r="E1478" s="1611" t="s">
        <v>1013</v>
      </c>
      <c r="F1478" s="1610"/>
      <c r="G1478" s="1731"/>
      <c r="H1478" s="1732"/>
      <c r="I1478" s="1327"/>
      <c r="J1478" s="1736" t="s">
        <v>275</v>
      </c>
      <c r="K1478" s="1736"/>
      <c r="L1478" s="1737"/>
      <c r="M1478" s="278"/>
      <c r="N1478" s="278"/>
      <c r="O1478" s="278"/>
      <c r="P1478" s="278"/>
      <c r="Q1478" s="1738">
        <v>0</v>
      </c>
      <c r="R1478" s="1738">
        <v>0</v>
      </c>
      <c r="S1478" s="1738">
        <v>0</v>
      </c>
      <c r="T1478" s="1738">
        <v>0</v>
      </c>
      <c r="U1478" s="1738">
        <v>0</v>
      </c>
      <c r="V1478" s="1738">
        <v>0</v>
      </c>
      <c r="W1478" s="1738">
        <v>0</v>
      </c>
      <c r="X1478" s="1738">
        <v>0</v>
      </c>
      <c r="Y1478" s="1738">
        <v>0</v>
      </c>
      <c r="Z1478" s="1738">
        <v>0</v>
      </c>
      <c r="AA1478" s="1738">
        <v>0</v>
      </c>
      <c r="AB1478" s="1738">
        <v>0</v>
      </c>
      <c r="AC1478" s="1738">
        <v>0</v>
      </c>
      <c r="AD1478" s="1738">
        <v>0</v>
      </c>
      <c r="AE1478" s="1738">
        <v>0</v>
      </c>
      <c r="AF1478" s="1738">
        <v>0</v>
      </c>
      <c r="AG1478" s="1738">
        <v>0</v>
      </c>
      <c r="AH1478" s="1738">
        <v>0</v>
      </c>
      <c r="AI1478" s="1738">
        <v>0</v>
      </c>
    </row>
    <row r="1479" spans="1:35" ht="14.5">
      <c r="A1479" s="990">
        <v>1</v>
      </c>
      <c r="B1479" s="990">
        <v>1</v>
      </c>
      <c r="C1479" s="990" t="s">
        <v>1129</v>
      </c>
      <c r="E1479" s="1611" t="s">
        <v>1013</v>
      </c>
      <c r="F1479" s="1610"/>
      <c r="G1479" s="1731"/>
      <c r="H1479" s="1732"/>
      <c r="I1479" s="1327"/>
      <c r="J1479" s="1736" t="s">
        <v>11</v>
      </c>
      <c r="K1479" s="1736"/>
      <c r="L1479" s="1737"/>
      <c r="M1479" s="278"/>
      <c r="N1479" s="278"/>
      <c r="O1479" s="278"/>
      <c r="P1479" s="278"/>
      <c r="Q1479" s="1738">
        <v>0</v>
      </c>
      <c r="R1479" s="1738">
        <v>0</v>
      </c>
      <c r="S1479" s="1738">
        <v>0</v>
      </c>
      <c r="T1479" s="1738">
        <v>0</v>
      </c>
      <c r="U1479" s="1738">
        <v>0</v>
      </c>
      <c r="V1479" s="1738">
        <v>0</v>
      </c>
      <c r="W1479" s="1738">
        <v>0</v>
      </c>
      <c r="X1479" s="1738">
        <v>0</v>
      </c>
      <c r="Y1479" s="1738">
        <v>0</v>
      </c>
      <c r="Z1479" s="1738">
        <v>0</v>
      </c>
      <c r="AA1479" s="1738">
        <v>0</v>
      </c>
      <c r="AB1479" s="1738">
        <v>0</v>
      </c>
      <c r="AC1479" s="1738">
        <v>0</v>
      </c>
      <c r="AD1479" s="1738">
        <v>0</v>
      </c>
      <c r="AE1479" s="1738">
        <v>0</v>
      </c>
      <c r="AF1479" s="1738">
        <v>0</v>
      </c>
      <c r="AG1479" s="1738">
        <v>0</v>
      </c>
      <c r="AH1479" s="1738">
        <v>0</v>
      </c>
      <c r="AI1479" s="1738">
        <v>0</v>
      </c>
    </row>
    <row r="1480" spans="1:35" ht="14.5">
      <c r="A1480" s="990">
        <v>1</v>
      </c>
      <c r="B1480" s="990">
        <v>1</v>
      </c>
      <c r="C1480" s="990" t="s">
        <v>1129</v>
      </c>
      <c r="E1480" s="1611" t="s">
        <v>1013</v>
      </c>
      <c r="F1480" s="1610"/>
      <c r="G1480" s="1731"/>
      <c r="H1480" s="1732"/>
      <c r="I1480" s="2755" t="s">
        <v>1642</v>
      </c>
      <c r="J1480" s="1313"/>
      <c r="K1480" s="1313"/>
      <c r="L1480" s="1733"/>
      <c r="M1480" s="1734"/>
      <c r="N1480" s="1734"/>
      <c r="O1480" s="1734"/>
      <c r="P1480" s="1734"/>
      <c r="Q1480" s="2311">
        <v>0</v>
      </c>
      <c r="R1480" s="2311">
        <v>0</v>
      </c>
      <c r="S1480" s="2311">
        <v>0</v>
      </c>
      <c r="T1480" s="2311">
        <v>0</v>
      </c>
      <c r="U1480" s="2311">
        <v>0</v>
      </c>
      <c r="V1480" s="2311">
        <v>0</v>
      </c>
      <c r="W1480" s="2311">
        <v>0</v>
      </c>
      <c r="X1480" s="2311">
        <v>0</v>
      </c>
      <c r="Y1480" s="2311">
        <v>0</v>
      </c>
      <c r="Z1480" s="2311">
        <v>0</v>
      </c>
      <c r="AA1480" s="2311">
        <v>0</v>
      </c>
      <c r="AB1480" s="2311">
        <v>0</v>
      </c>
      <c r="AC1480" s="2311">
        <v>0</v>
      </c>
      <c r="AD1480" s="2311">
        <v>0</v>
      </c>
      <c r="AE1480" s="2311">
        <v>0</v>
      </c>
      <c r="AF1480" s="2311">
        <v>0</v>
      </c>
      <c r="AG1480" s="2311">
        <v>0</v>
      </c>
      <c r="AH1480" s="2311">
        <v>0</v>
      </c>
      <c r="AI1480" s="2311">
        <v>0</v>
      </c>
    </row>
    <row r="1481" spans="1:35" ht="14.5">
      <c r="A1481" s="990">
        <v>1</v>
      </c>
      <c r="B1481" s="990">
        <v>1</v>
      </c>
      <c r="C1481" s="990" t="s">
        <v>1129</v>
      </c>
      <c r="E1481" s="1611" t="s">
        <v>1013</v>
      </c>
      <c r="F1481" s="1610"/>
      <c r="G1481" s="1731"/>
      <c r="H1481" s="1732"/>
      <c r="I1481" s="1327"/>
      <c r="J1481" s="1736" t="s">
        <v>1588</v>
      </c>
      <c r="K1481" s="1736"/>
      <c r="L1481" s="1737"/>
      <c r="M1481" s="278"/>
      <c r="N1481" s="278"/>
      <c r="O1481" s="278"/>
      <c r="P1481" s="278"/>
      <c r="Q1481" s="1738">
        <v>0</v>
      </c>
      <c r="R1481" s="1738">
        <v>0</v>
      </c>
      <c r="S1481" s="1738">
        <v>0</v>
      </c>
      <c r="T1481" s="1738">
        <v>0</v>
      </c>
      <c r="U1481" s="1738">
        <v>0</v>
      </c>
      <c r="V1481" s="1738">
        <v>0</v>
      </c>
      <c r="W1481" s="1738">
        <v>0</v>
      </c>
      <c r="X1481" s="1738">
        <v>0</v>
      </c>
      <c r="Y1481" s="1738">
        <v>0</v>
      </c>
      <c r="Z1481" s="1738">
        <v>0</v>
      </c>
      <c r="AA1481" s="1738">
        <v>0</v>
      </c>
      <c r="AB1481" s="1738">
        <v>0</v>
      </c>
      <c r="AC1481" s="1738">
        <v>0</v>
      </c>
      <c r="AD1481" s="1738">
        <v>0</v>
      </c>
      <c r="AE1481" s="1738">
        <v>0</v>
      </c>
      <c r="AF1481" s="1738">
        <v>0</v>
      </c>
      <c r="AG1481" s="1738">
        <v>0</v>
      </c>
      <c r="AH1481" s="1738">
        <v>0</v>
      </c>
      <c r="AI1481" s="1738">
        <v>0</v>
      </c>
    </row>
    <row r="1482" spans="1:35" ht="14.5">
      <c r="A1482" s="990">
        <v>1</v>
      </c>
      <c r="B1482" s="990">
        <v>1</v>
      </c>
      <c r="C1482" s="990" t="s">
        <v>1129</v>
      </c>
      <c r="E1482" s="1611" t="s">
        <v>1013</v>
      </c>
      <c r="F1482" s="1610"/>
      <c r="G1482" s="1731"/>
      <c r="H1482" s="1732"/>
      <c r="I1482" s="1327"/>
      <c r="J1482" s="1321"/>
      <c r="K1482" s="1321" t="s">
        <v>1022</v>
      </c>
      <c r="Q1482" s="19">
        <v>0</v>
      </c>
      <c r="R1482" s="19">
        <v>0</v>
      </c>
      <c r="S1482" s="19">
        <v>0</v>
      </c>
      <c r="T1482" s="19">
        <v>0</v>
      </c>
      <c r="U1482" s="19">
        <v>0</v>
      </c>
      <c r="V1482" s="19">
        <v>0</v>
      </c>
      <c r="W1482" s="19">
        <v>0</v>
      </c>
      <c r="X1482" s="19">
        <v>0</v>
      </c>
      <c r="Y1482" s="19">
        <v>0</v>
      </c>
      <c r="Z1482" s="19">
        <v>0</v>
      </c>
      <c r="AA1482" s="19">
        <v>0</v>
      </c>
      <c r="AB1482" s="19">
        <v>0</v>
      </c>
      <c r="AC1482" s="19">
        <v>0</v>
      </c>
      <c r="AD1482" s="19">
        <v>0</v>
      </c>
      <c r="AE1482" s="19">
        <v>0</v>
      </c>
      <c r="AF1482" s="19">
        <v>0</v>
      </c>
      <c r="AG1482" s="19">
        <v>0</v>
      </c>
      <c r="AH1482" s="19">
        <v>0</v>
      </c>
      <c r="AI1482" s="19">
        <v>0</v>
      </c>
    </row>
    <row r="1483" spans="1:35" ht="14.5">
      <c r="A1483" s="990">
        <v>1</v>
      </c>
      <c r="B1483" s="990">
        <v>1</v>
      </c>
      <c r="C1483" s="990" t="s">
        <v>1129</v>
      </c>
      <c r="E1483" s="1611" t="s">
        <v>1013</v>
      </c>
      <c r="F1483" s="1610"/>
      <c r="G1483" s="1731"/>
      <c r="H1483" s="1732"/>
      <c r="I1483" s="1327"/>
      <c r="J1483" s="1321"/>
      <c r="K1483" s="1321" t="s">
        <v>1023</v>
      </c>
      <c r="Q1483" s="19">
        <v>0</v>
      </c>
      <c r="R1483" s="19">
        <v>0</v>
      </c>
      <c r="S1483" s="19">
        <v>0</v>
      </c>
      <c r="T1483" s="19">
        <v>0</v>
      </c>
      <c r="U1483" s="19">
        <v>0</v>
      </c>
      <c r="V1483" s="19">
        <v>0</v>
      </c>
      <c r="W1483" s="19">
        <v>0</v>
      </c>
      <c r="X1483" s="19">
        <v>0</v>
      </c>
      <c r="Y1483" s="19">
        <v>0</v>
      </c>
      <c r="Z1483" s="19">
        <v>0</v>
      </c>
      <c r="AA1483" s="19">
        <v>0</v>
      </c>
      <c r="AB1483" s="19">
        <v>0</v>
      </c>
      <c r="AC1483" s="19">
        <v>0</v>
      </c>
      <c r="AD1483" s="19">
        <v>0</v>
      </c>
      <c r="AE1483" s="19">
        <v>0</v>
      </c>
      <c r="AF1483" s="19">
        <v>0</v>
      </c>
      <c r="AG1483" s="19">
        <v>0</v>
      </c>
      <c r="AH1483" s="19">
        <v>0</v>
      </c>
      <c r="AI1483" s="19">
        <v>0</v>
      </c>
    </row>
    <row r="1484" spans="1:35" ht="14.5">
      <c r="A1484" s="990">
        <v>1</v>
      </c>
      <c r="B1484" s="990">
        <v>1</v>
      </c>
      <c r="C1484" s="990" t="s">
        <v>1129</v>
      </c>
      <c r="E1484" s="1611" t="s">
        <v>1013</v>
      </c>
      <c r="F1484" s="1610"/>
      <c r="G1484" s="1731"/>
      <c r="H1484" s="1732"/>
      <c r="I1484" s="1327"/>
      <c r="J1484" s="1736" t="s">
        <v>1590</v>
      </c>
      <c r="K1484" s="1736"/>
      <c r="L1484" s="1737"/>
      <c r="M1484" s="278"/>
      <c r="N1484" s="278"/>
      <c r="O1484" s="278"/>
      <c r="P1484" s="278"/>
      <c r="Q1484" s="1738">
        <v>0</v>
      </c>
      <c r="R1484" s="1738">
        <v>0</v>
      </c>
      <c r="S1484" s="1738">
        <v>0</v>
      </c>
      <c r="T1484" s="1738">
        <v>0</v>
      </c>
      <c r="U1484" s="1738">
        <v>0</v>
      </c>
      <c r="V1484" s="1738">
        <v>0</v>
      </c>
      <c r="W1484" s="1738">
        <v>0</v>
      </c>
      <c r="X1484" s="1738">
        <v>0</v>
      </c>
      <c r="Y1484" s="1738">
        <v>0</v>
      </c>
      <c r="Z1484" s="1738">
        <v>0</v>
      </c>
      <c r="AA1484" s="1738">
        <v>0</v>
      </c>
      <c r="AB1484" s="1738">
        <v>0</v>
      </c>
      <c r="AC1484" s="1738">
        <v>0</v>
      </c>
      <c r="AD1484" s="1738">
        <v>0</v>
      </c>
      <c r="AE1484" s="1738">
        <v>0</v>
      </c>
      <c r="AF1484" s="1738">
        <v>0</v>
      </c>
      <c r="AG1484" s="1738">
        <v>0</v>
      </c>
      <c r="AH1484" s="1738">
        <v>0</v>
      </c>
      <c r="AI1484" s="1738">
        <v>0</v>
      </c>
    </row>
    <row r="1485" spans="1:35" ht="14.5">
      <c r="A1485" s="990">
        <v>1</v>
      </c>
      <c r="B1485" s="990">
        <v>1</v>
      </c>
      <c r="C1485" s="990" t="s">
        <v>1129</v>
      </c>
      <c r="E1485" s="1611" t="s">
        <v>1013</v>
      </c>
      <c r="F1485" s="1610"/>
      <c r="G1485" s="1731"/>
      <c r="H1485" s="1732"/>
      <c r="I1485" s="1327"/>
      <c r="J1485" s="1321"/>
      <c r="K1485" s="1321" t="s">
        <v>1022</v>
      </c>
      <c r="Q1485" s="19">
        <v>0</v>
      </c>
      <c r="R1485" s="19">
        <v>0</v>
      </c>
      <c r="S1485" s="19">
        <v>0</v>
      </c>
      <c r="T1485" s="19">
        <v>0</v>
      </c>
      <c r="U1485" s="19">
        <v>0</v>
      </c>
      <c r="V1485" s="19">
        <v>0</v>
      </c>
      <c r="W1485" s="19">
        <v>0</v>
      </c>
      <c r="X1485" s="19">
        <v>0</v>
      </c>
      <c r="Y1485" s="19">
        <v>0</v>
      </c>
      <c r="Z1485" s="19">
        <v>0</v>
      </c>
      <c r="AA1485" s="19">
        <v>0</v>
      </c>
      <c r="AB1485" s="19">
        <v>0</v>
      </c>
      <c r="AC1485" s="19">
        <v>0</v>
      </c>
      <c r="AD1485" s="19">
        <v>0</v>
      </c>
      <c r="AE1485" s="19">
        <v>0</v>
      </c>
      <c r="AF1485" s="19">
        <v>0</v>
      </c>
      <c r="AG1485" s="19">
        <v>0</v>
      </c>
      <c r="AH1485" s="19">
        <v>0</v>
      </c>
      <c r="AI1485" s="19">
        <v>0</v>
      </c>
    </row>
    <row r="1486" spans="1:35" ht="14.5">
      <c r="A1486" s="990">
        <v>1</v>
      </c>
      <c r="B1486" s="990">
        <v>1</v>
      </c>
      <c r="C1486" s="990" t="s">
        <v>1129</v>
      </c>
      <c r="E1486" s="1611" t="s">
        <v>1013</v>
      </c>
      <c r="F1486" s="1610"/>
      <c r="G1486" s="1731"/>
      <c r="H1486" s="1732"/>
      <c r="I1486" s="1327"/>
      <c r="J1486" s="1321"/>
      <c r="K1486" s="1321" t="s">
        <v>1023</v>
      </c>
      <c r="Q1486" s="19">
        <v>0</v>
      </c>
      <c r="R1486" s="19">
        <v>0</v>
      </c>
      <c r="S1486" s="19">
        <v>0</v>
      </c>
      <c r="T1486" s="19">
        <v>0</v>
      </c>
      <c r="U1486" s="19">
        <v>0</v>
      </c>
      <c r="V1486" s="19">
        <v>0</v>
      </c>
      <c r="W1486" s="19">
        <v>0</v>
      </c>
      <c r="X1486" s="19">
        <v>0</v>
      </c>
      <c r="Y1486" s="19">
        <v>0</v>
      </c>
      <c r="Z1486" s="19">
        <v>0</v>
      </c>
      <c r="AA1486" s="19">
        <v>0</v>
      </c>
      <c r="AB1486" s="19">
        <v>0</v>
      </c>
      <c r="AC1486" s="19">
        <v>0</v>
      </c>
      <c r="AD1486" s="19">
        <v>0</v>
      </c>
      <c r="AE1486" s="19">
        <v>0</v>
      </c>
      <c r="AF1486" s="19">
        <v>0</v>
      </c>
      <c r="AG1486" s="19">
        <v>0</v>
      </c>
      <c r="AH1486" s="19">
        <v>0</v>
      </c>
      <c r="AI1486" s="19">
        <v>0</v>
      </c>
    </row>
    <row r="1487" spans="1:35" ht="14.5">
      <c r="A1487" s="990">
        <v>1</v>
      </c>
      <c r="B1487" s="990">
        <v>1</v>
      </c>
      <c r="C1487" s="990" t="s">
        <v>1129</v>
      </c>
      <c r="E1487" s="1611" t="s">
        <v>1013</v>
      </c>
      <c r="F1487" s="1610"/>
      <c r="G1487" s="1731"/>
      <c r="H1487" s="1732"/>
      <c r="I1487" s="1327"/>
      <c r="J1487" s="1736" t="s">
        <v>275</v>
      </c>
      <c r="K1487" s="1736"/>
      <c r="L1487" s="1737"/>
      <c r="M1487" s="278"/>
      <c r="N1487" s="278"/>
      <c r="O1487" s="278"/>
      <c r="P1487" s="278"/>
      <c r="Q1487" s="1738">
        <v>0</v>
      </c>
      <c r="R1487" s="1738">
        <v>0</v>
      </c>
      <c r="S1487" s="1738">
        <v>0</v>
      </c>
      <c r="T1487" s="1738">
        <v>0</v>
      </c>
      <c r="U1487" s="1738">
        <v>0</v>
      </c>
      <c r="V1487" s="1738">
        <v>0</v>
      </c>
      <c r="W1487" s="1738">
        <v>0</v>
      </c>
      <c r="X1487" s="1738">
        <v>0</v>
      </c>
      <c r="Y1487" s="1738">
        <v>0</v>
      </c>
      <c r="Z1487" s="1738">
        <v>0</v>
      </c>
      <c r="AA1487" s="1738">
        <v>0</v>
      </c>
      <c r="AB1487" s="1738">
        <v>0</v>
      </c>
      <c r="AC1487" s="1738">
        <v>0</v>
      </c>
      <c r="AD1487" s="1738">
        <v>0</v>
      </c>
      <c r="AE1487" s="1738">
        <v>0</v>
      </c>
      <c r="AF1487" s="1738">
        <v>0</v>
      </c>
      <c r="AG1487" s="1738">
        <v>0</v>
      </c>
      <c r="AH1487" s="1738">
        <v>0</v>
      </c>
      <c r="AI1487" s="1738">
        <v>0</v>
      </c>
    </row>
    <row r="1488" spans="1:35" ht="14.5">
      <c r="A1488" s="990">
        <v>1</v>
      </c>
      <c r="B1488" s="990">
        <v>1</v>
      </c>
      <c r="C1488" s="990" t="s">
        <v>1129</v>
      </c>
      <c r="E1488" s="1611" t="s">
        <v>1013</v>
      </c>
      <c r="F1488" s="1610"/>
      <c r="G1488" s="1731"/>
      <c r="H1488" s="1732"/>
      <c r="I1488" s="1327"/>
      <c r="J1488" s="1736" t="s">
        <v>1643</v>
      </c>
      <c r="K1488" s="1736"/>
      <c r="L1488" s="1737"/>
      <c r="M1488" s="278"/>
      <c r="N1488" s="278"/>
      <c r="O1488" s="278"/>
      <c r="P1488" s="278"/>
      <c r="Q1488" s="1738">
        <v>0</v>
      </c>
      <c r="R1488" s="1738">
        <v>0</v>
      </c>
      <c r="S1488" s="1738">
        <v>0</v>
      </c>
      <c r="T1488" s="1738">
        <v>0</v>
      </c>
      <c r="U1488" s="1738">
        <v>0</v>
      </c>
      <c r="V1488" s="1738">
        <v>0</v>
      </c>
      <c r="W1488" s="1738">
        <v>0</v>
      </c>
      <c r="X1488" s="1738">
        <v>0</v>
      </c>
      <c r="Y1488" s="1738">
        <v>0</v>
      </c>
      <c r="Z1488" s="1738">
        <v>0</v>
      </c>
      <c r="AA1488" s="1738">
        <v>0</v>
      </c>
      <c r="AB1488" s="1738">
        <v>0</v>
      </c>
      <c r="AC1488" s="1738">
        <v>0</v>
      </c>
      <c r="AD1488" s="1738">
        <v>0</v>
      </c>
      <c r="AE1488" s="1738">
        <v>0</v>
      </c>
      <c r="AF1488" s="1738">
        <v>0</v>
      </c>
      <c r="AG1488" s="1738">
        <v>0</v>
      </c>
      <c r="AH1488" s="1738">
        <v>0</v>
      </c>
      <c r="AI1488" s="1738">
        <v>0</v>
      </c>
    </row>
    <row r="1489" spans="1:35" ht="14.5">
      <c r="A1489" s="990">
        <v>1</v>
      </c>
      <c r="B1489" s="990">
        <v>1</v>
      </c>
      <c r="C1489" s="990" t="s">
        <v>1129</v>
      </c>
      <c r="E1489" s="1611" t="s">
        <v>1013</v>
      </c>
      <c r="F1489" s="1610"/>
      <c r="G1489" s="1731"/>
      <c r="H1489" s="1732"/>
      <c r="I1489" s="2755" t="s">
        <v>1143</v>
      </c>
      <c r="J1489" s="1313"/>
      <c r="K1489" s="1313"/>
      <c r="L1489" s="1733"/>
      <c r="M1489" s="1734"/>
      <c r="N1489" s="1734"/>
      <c r="O1489" s="1734"/>
      <c r="P1489" s="1734"/>
      <c r="Q1489" s="2311">
        <v>0</v>
      </c>
      <c r="R1489" s="2311">
        <v>0</v>
      </c>
      <c r="S1489" s="2311">
        <v>0</v>
      </c>
      <c r="T1489" s="2311">
        <v>0</v>
      </c>
      <c r="U1489" s="2311">
        <v>0</v>
      </c>
      <c r="V1489" s="2311">
        <v>0</v>
      </c>
      <c r="W1489" s="2311">
        <v>0</v>
      </c>
      <c r="X1489" s="2311">
        <v>0</v>
      </c>
      <c r="Y1489" s="2311">
        <v>0</v>
      </c>
      <c r="Z1489" s="2311">
        <v>0</v>
      </c>
      <c r="AA1489" s="2311">
        <v>0</v>
      </c>
      <c r="AB1489" s="2311">
        <v>0</v>
      </c>
      <c r="AC1489" s="2311">
        <v>0</v>
      </c>
      <c r="AD1489" s="2311">
        <v>0</v>
      </c>
      <c r="AE1489" s="2311">
        <v>0</v>
      </c>
      <c r="AF1489" s="2311">
        <v>0</v>
      </c>
      <c r="AG1489" s="2311">
        <v>0</v>
      </c>
      <c r="AH1489" s="2311">
        <v>0</v>
      </c>
      <c r="AI1489" s="2311">
        <v>0</v>
      </c>
    </row>
    <row r="1490" spans="1:35" ht="14.5">
      <c r="A1490" s="990">
        <v>1</v>
      </c>
      <c r="B1490" s="990">
        <v>1</v>
      </c>
      <c r="C1490" s="990" t="s">
        <v>1129</v>
      </c>
      <c r="E1490" s="1611" t="s">
        <v>1013</v>
      </c>
      <c r="F1490" s="1610"/>
      <c r="G1490" s="1731"/>
      <c r="H1490" s="1732"/>
      <c r="I1490" s="1327"/>
      <c r="J1490" s="1736" t="s">
        <v>1588</v>
      </c>
      <c r="K1490" s="1736"/>
      <c r="L1490" s="1737"/>
      <c r="M1490" s="278"/>
      <c r="N1490" s="278"/>
      <c r="O1490" s="278"/>
      <c r="P1490" s="278"/>
      <c r="Q1490" s="1738">
        <v>0</v>
      </c>
      <c r="R1490" s="1738">
        <v>0</v>
      </c>
      <c r="S1490" s="1738">
        <v>0</v>
      </c>
      <c r="T1490" s="1738">
        <v>0</v>
      </c>
      <c r="U1490" s="1738">
        <v>0</v>
      </c>
      <c r="V1490" s="1738">
        <v>0</v>
      </c>
      <c r="W1490" s="1738">
        <v>0</v>
      </c>
      <c r="X1490" s="1738">
        <v>0</v>
      </c>
      <c r="Y1490" s="1738">
        <v>0</v>
      </c>
      <c r="Z1490" s="1738">
        <v>0</v>
      </c>
      <c r="AA1490" s="1738">
        <v>0</v>
      </c>
      <c r="AB1490" s="1738">
        <v>0</v>
      </c>
      <c r="AC1490" s="1738">
        <v>0</v>
      </c>
      <c r="AD1490" s="1738">
        <v>0</v>
      </c>
      <c r="AE1490" s="1738">
        <v>0</v>
      </c>
      <c r="AF1490" s="1738">
        <v>0</v>
      </c>
      <c r="AG1490" s="1738">
        <v>0</v>
      </c>
      <c r="AH1490" s="1738">
        <v>0</v>
      </c>
      <c r="AI1490" s="1738">
        <v>0</v>
      </c>
    </row>
    <row r="1491" spans="1:35" ht="14.5">
      <c r="A1491" s="990">
        <v>1</v>
      </c>
      <c r="B1491" s="990">
        <v>1</v>
      </c>
      <c r="C1491" s="990" t="s">
        <v>1129</v>
      </c>
      <c r="E1491" s="1611" t="s">
        <v>1013</v>
      </c>
      <c r="F1491" s="1610"/>
      <c r="G1491" s="1731"/>
      <c r="H1491" s="1732"/>
      <c r="I1491" s="1327"/>
      <c r="J1491" s="1321"/>
      <c r="K1491" s="1321" t="s">
        <v>1022</v>
      </c>
      <c r="Q1491" s="19">
        <v>0</v>
      </c>
      <c r="R1491" s="19">
        <v>0</v>
      </c>
      <c r="S1491" s="19">
        <v>0</v>
      </c>
      <c r="T1491" s="19">
        <v>0</v>
      </c>
      <c r="U1491" s="19">
        <v>0</v>
      </c>
      <c r="V1491" s="19">
        <v>0</v>
      </c>
      <c r="W1491" s="19">
        <v>0</v>
      </c>
      <c r="X1491" s="19">
        <v>0</v>
      </c>
      <c r="Y1491" s="19">
        <v>0</v>
      </c>
      <c r="Z1491" s="19">
        <v>0</v>
      </c>
      <c r="AA1491" s="19">
        <v>0</v>
      </c>
      <c r="AB1491" s="19">
        <v>0</v>
      </c>
      <c r="AC1491" s="19">
        <v>0</v>
      </c>
      <c r="AD1491" s="19">
        <v>0</v>
      </c>
      <c r="AE1491" s="19">
        <v>0</v>
      </c>
      <c r="AF1491" s="19">
        <v>0</v>
      </c>
      <c r="AG1491" s="19">
        <v>0</v>
      </c>
      <c r="AH1491" s="19">
        <v>0</v>
      </c>
      <c r="AI1491" s="19">
        <v>0</v>
      </c>
    </row>
    <row r="1492" spans="1:35" ht="14.5">
      <c r="A1492" s="990">
        <v>1</v>
      </c>
      <c r="B1492" s="990">
        <v>1</v>
      </c>
      <c r="C1492" s="990" t="s">
        <v>1129</v>
      </c>
      <c r="E1492" s="1611" t="s">
        <v>1013</v>
      </c>
      <c r="F1492" s="1610"/>
      <c r="G1492" s="1731"/>
      <c r="H1492" s="1732"/>
      <c r="I1492" s="1327"/>
      <c r="J1492" s="1321"/>
      <c r="K1492" s="1321" t="s">
        <v>1023</v>
      </c>
      <c r="Q1492" s="19">
        <v>0</v>
      </c>
      <c r="R1492" s="19">
        <v>0</v>
      </c>
      <c r="S1492" s="19">
        <v>0</v>
      </c>
      <c r="T1492" s="19">
        <v>0</v>
      </c>
      <c r="U1492" s="19">
        <v>0</v>
      </c>
      <c r="V1492" s="19">
        <v>0</v>
      </c>
      <c r="W1492" s="19">
        <v>0</v>
      </c>
      <c r="X1492" s="19">
        <v>0</v>
      </c>
      <c r="Y1492" s="19">
        <v>0</v>
      </c>
      <c r="Z1492" s="19">
        <v>0</v>
      </c>
      <c r="AA1492" s="19">
        <v>0</v>
      </c>
      <c r="AB1492" s="19">
        <v>0</v>
      </c>
      <c r="AC1492" s="19">
        <v>0</v>
      </c>
      <c r="AD1492" s="19">
        <v>0</v>
      </c>
      <c r="AE1492" s="19">
        <v>0</v>
      </c>
      <c r="AF1492" s="19">
        <v>0</v>
      </c>
      <c r="AG1492" s="19">
        <v>0</v>
      </c>
      <c r="AH1492" s="19">
        <v>0</v>
      </c>
      <c r="AI1492" s="19">
        <v>0</v>
      </c>
    </row>
    <row r="1493" spans="1:35" ht="14.5">
      <c r="A1493" s="990">
        <v>1</v>
      </c>
      <c r="B1493" s="990">
        <v>1</v>
      </c>
      <c r="C1493" s="990" t="s">
        <v>1129</v>
      </c>
      <c r="E1493" s="1611" t="s">
        <v>1013</v>
      </c>
      <c r="F1493" s="1610"/>
      <c r="G1493" s="1731"/>
      <c r="H1493" s="1732"/>
      <c r="I1493" s="1327"/>
      <c r="J1493" s="1736" t="s">
        <v>1590</v>
      </c>
      <c r="K1493" s="1736"/>
      <c r="L1493" s="1737"/>
      <c r="M1493" s="278"/>
      <c r="N1493" s="278"/>
      <c r="O1493" s="278"/>
      <c r="P1493" s="278"/>
      <c r="Q1493" s="1738">
        <v>0</v>
      </c>
      <c r="R1493" s="1738">
        <v>0</v>
      </c>
      <c r="S1493" s="1738">
        <v>0</v>
      </c>
      <c r="T1493" s="1738">
        <v>0</v>
      </c>
      <c r="U1493" s="1738">
        <v>0</v>
      </c>
      <c r="V1493" s="1738">
        <v>0</v>
      </c>
      <c r="W1493" s="1738">
        <v>0</v>
      </c>
      <c r="X1493" s="1738">
        <v>0</v>
      </c>
      <c r="Y1493" s="1738">
        <v>0</v>
      </c>
      <c r="Z1493" s="1738">
        <v>0</v>
      </c>
      <c r="AA1493" s="1738">
        <v>0</v>
      </c>
      <c r="AB1493" s="1738">
        <v>0</v>
      </c>
      <c r="AC1493" s="1738">
        <v>0</v>
      </c>
      <c r="AD1493" s="1738">
        <v>0</v>
      </c>
      <c r="AE1493" s="1738">
        <v>0</v>
      </c>
      <c r="AF1493" s="1738">
        <v>0</v>
      </c>
      <c r="AG1493" s="1738">
        <v>0</v>
      </c>
      <c r="AH1493" s="1738">
        <v>0</v>
      </c>
      <c r="AI1493" s="1738">
        <v>0</v>
      </c>
    </row>
    <row r="1494" spans="1:35" ht="14.5">
      <c r="A1494" s="990">
        <v>1</v>
      </c>
      <c r="B1494" s="990">
        <v>1</v>
      </c>
      <c r="C1494" s="990" t="s">
        <v>1129</v>
      </c>
      <c r="E1494" s="1611" t="s">
        <v>1013</v>
      </c>
      <c r="F1494" s="1610"/>
      <c r="G1494" s="1731"/>
      <c r="H1494" s="1732"/>
      <c r="I1494" s="1327"/>
      <c r="J1494" s="1321"/>
      <c r="K1494" s="1321" t="s">
        <v>1022</v>
      </c>
      <c r="Q1494" s="19">
        <v>0</v>
      </c>
      <c r="R1494" s="19">
        <v>0</v>
      </c>
      <c r="S1494" s="19">
        <v>0</v>
      </c>
      <c r="T1494" s="19">
        <v>0</v>
      </c>
      <c r="U1494" s="19">
        <v>0</v>
      </c>
      <c r="V1494" s="19">
        <v>0</v>
      </c>
      <c r="W1494" s="19">
        <v>0</v>
      </c>
      <c r="X1494" s="19">
        <v>0</v>
      </c>
      <c r="Y1494" s="19">
        <v>0</v>
      </c>
      <c r="Z1494" s="19">
        <v>0</v>
      </c>
      <c r="AA1494" s="19">
        <v>0</v>
      </c>
      <c r="AB1494" s="19">
        <v>0</v>
      </c>
      <c r="AC1494" s="19">
        <v>0</v>
      </c>
      <c r="AD1494" s="19">
        <v>0</v>
      </c>
      <c r="AE1494" s="19">
        <v>0</v>
      </c>
      <c r="AF1494" s="19">
        <v>0</v>
      </c>
      <c r="AG1494" s="19">
        <v>0</v>
      </c>
      <c r="AH1494" s="19">
        <v>0</v>
      </c>
      <c r="AI1494" s="19">
        <v>0</v>
      </c>
    </row>
    <row r="1495" spans="1:35" ht="14.5">
      <c r="A1495" s="990">
        <v>1</v>
      </c>
      <c r="B1495" s="990">
        <v>1</v>
      </c>
      <c r="C1495" s="990" t="s">
        <v>1129</v>
      </c>
      <c r="E1495" s="1611" t="s">
        <v>1013</v>
      </c>
      <c r="F1495" s="1610"/>
      <c r="G1495" s="1731"/>
      <c r="H1495" s="1732"/>
      <c r="I1495" s="1327"/>
      <c r="J1495" s="1321"/>
      <c r="K1495" s="1321" t="s">
        <v>1023</v>
      </c>
      <c r="Q1495" s="19">
        <v>0</v>
      </c>
      <c r="R1495" s="19">
        <v>0</v>
      </c>
      <c r="S1495" s="19">
        <v>0</v>
      </c>
      <c r="T1495" s="19">
        <v>0</v>
      </c>
      <c r="U1495" s="19">
        <v>0</v>
      </c>
      <c r="V1495" s="19">
        <v>0</v>
      </c>
      <c r="W1495" s="19">
        <v>0</v>
      </c>
      <c r="X1495" s="19">
        <v>0</v>
      </c>
      <c r="Y1495" s="19">
        <v>0</v>
      </c>
      <c r="Z1495" s="19">
        <v>0</v>
      </c>
      <c r="AA1495" s="19">
        <v>0</v>
      </c>
      <c r="AB1495" s="19">
        <v>0</v>
      </c>
      <c r="AC1495" s="19">
        <v>0</v>
      </c>
      <c r="AD1495" s="19">
        <v>0</v>
      </c>
      <c r="AE1495" s="19">
        <v>0</v>
      </c>
      <c r="AF1495" s="19">
        <v>0</v>
      </c>
      <c r="AG1495" s="19">
        <v>0</v>
      </c>
      <c r="AH1495" s="19">
        <v>0</v>
      </c>
      <c r="AI1495" s="19">
        <v>0</v>
      </c>
    </row>
    <row r="1496" spans="1:35" ht="14.5">
      <c r="A1496" s="990">
        <v>1</v>
      </c>
      <c r="B1496" s="990">
        <v>1</v>
      </c>
      <c r="C1496" s="990" t="s">
        <v>1129</v>
      </c>
      <c r="E1496" s="1611" t="s">
        <v>1013</v>
      </c>
      <c r="F1496" s="1610"/>
      <c r="G1496" s="1731"/>
      <c r="H1496" s="1732"/>
      <c r="I1496" s="1327"/>
      <c r="J1496" s="1736" t="s">
        <v>275</v>
      </c>
      <c r="K1496" s="1736"/>
      <c r="L1496" s="1737"/>
      <c r="M1496" s="278"/>
      <c r="N1496" s="278"/>
      <c r="O1496" s="278"/>
      <c r="P1496" s="278"/>
      <c r="Q1496" s="1738">
        <v>0</v>
      </c>
      <c r="R1496" s="1738">
        <v>0</v>
      </c>
      <c r="S1496" s="1738">
        <v>0</v>
      </c>
      <c r="T1496" s="1738">
        <v>0</v>
      </c>
      <c r="U1496" s="1738">
        <v>0</v>
      </c>
      <c r="V1496" s="1738">
        <v>0</v>
      </c>
      <c r="W1496" s="1738">
        <v>0</v>
      </c>
      <c r="X1496" s="1738">
        <v>0</v>
      </c>
      <c r="Y1496" s="1738">
        <v>0</v>
      </c>
      <c r="Z1496" s="1738">
        <v>0</v>
      </c>
      <c r="AA1496" s="1738">
        <v>0</v>
      </c>
      <c r="AB1496" s="1738">
        <v>0</v>
      </c>
      <c r="AC1496" s="1738">
        <v>0</v>
      </c>
      <c r="AD1496" s="1738">
        <v>0</v>
      </c>
      <c r="AE1496" s="1738">
        <v>0</v>
      </c>
      <c r="AF1496" s="1738">
        <v>0</v>
      </c>
      <c r="AG1496" s="1738">
        <v>0</v>
      </c>
      <c r="AH1496" s="1738">
        <v>0</v>
      </c>
      <c r="AI1496" s="1738">
        <v>0</v>
      </c>
    </row>
    <row r="1497" spans="1:35" ht="14.5">
      <c r="A1497" s="990">
        <v>1</v>
      </c>
      <c r="B1497" s="990">
        <v>1</v>
      </c>
      <c r="C1497" s="990" t="s">
        <v>1129</v>
      </c>
      <c r="E1497" s="1611" t="s">
        <v>1013</v>
      </c>
      <c r="F1497" s="1610"/>
      <c r="G1497" s="1731"/>
      <c r="H1497" s="1732"/>
      <c r="I1497" s="1327"/>
      <c r="J1497" s="1736" t="s">
        <v>11</v>
      </c>
      <c r="K1497" s="1736"/>
      <c r="L1497" s="1737"/>
      <c r="M1497" s="278"/>
      <c r="N1497" s="278"/>
      <c r="O1497" s="278"/>
      <c r="P1497" s="278"/>
      <c r="Q1497" s="1738">
        <v>0</v>
      </c>
      <c r="R1497" s="1738">
        <v>0</v>
      </c>
      <c r="S1497" s="1738">
        <v>0</v>
      </c>
      <c r="T1497" s="1738">
        <v>0</v>
      </c>
      <c r="U1497" s="1738">
        <v>0</v>
      </c>
      <c r="V1497" s="1738">
        <v>0</v>
      </c>
      <c r="W1497" s="1738">
        <v>0</v>
      </c>
      <c r="X1497" s="1738">
        <v>0</v>
      </c>
      <c r="Y1497" s="1738">
        <v>0</v>
      </c>
      <c r="Z1497" s="1738">
        <v>0</v>
      </c>
      <c r="AA1497" s="1738">
        <v>0</v>
      </c>
      <c r="AB1497" s="1738">
        <v>0</v>
      </c>
      <c r="AC1497" s="1738">
        <v>0</v>
      </c>
      <c r="AD1497" s="1738">
        <v>0</v>
      </c>
      <c r="AE1497" s="1738">
        <v>0</v>
      </c>
      <c r="AF1497" s="1738">
        <v>0</v>
      </c>
      <c r="AG1497" s="1738">
        <v>0</v>
      </c>
      <c r="AH1497" s="1738">
        <v>0</v>
      </c>
      <c r="AI1497" s="1738">
        <v>0</v>
      </c>
    </row>
    <row r="1498" spans="1:35" ht="14.5">
      <c r="A1498" s="990">
        <v>1</v>
      </c>
      <c r="B1498" s="990">
        <v>1</v>
      </c>
      <c r="C1498" s="990" t="s">
        <v>1129</v>
      </c>
      <c r="E1498" s="1611" t="s">
        <v>1013</v>
      </c>
      <c r="F1498" s="1610"/>
      <c r="G1498" s="1731"/>
      <c r="H1498" s="1732"/>
      <c r="I1498" s="2755" t="s">
        <v>1644</v>
      </c>
      <c r="J1498" s="1313"/>
      <c r="K1498" s="1313"/>
      <c r="L1498" s="1733"/>
      <c r="M1498" s="1734"/>
      <c r="N1498" s="1734"/>
      <c r="O1498" s="1734"/>
      <c r="P1498" s="1734"/>
      <c r="Q1498" s="2312" t="s">
        <v>1645</v>
      </c>
      <c r="R1498" s="2312" t="s">
        <v>1645</v>
      </c>
      <c r="S1498" s="2312" t="s">
        <v>1645</v>
      </c>
      <c r="T1498" s="2312" t="s">
        <v>1645</v>
      </c>
      <c r="U1498" s="2312" t="s">
        <v>1645</v>
      </c>
      <c r="V1498" s="2312" t="s">
        <v>1645</v>
      </c>
      <c r="W1498" s="2312" t="s">
        <v>1645</v>
      </c>
      <c r="X1498" s="2312" t="s">
        <v>1645</v>
      </c>
      <c r="Y1498" s="2312" t="s">
        <v>1645</v>
      </c>
      <c r="Z1498" s="2312" t="s">
        <v>1645</v>
      </c>
      <c r="AA1498" s="2312" t="s">
        <v>1645</v>
      </c>
      <c r="AB1498" s="2312" t="s">
        <v>1645</v>
      </c>
      <c r="AC1498" s="2312" t="s">
        <v>1645</v>
      </c>
      <c r="AD1498" s="2312" t="s">
        <v>1645</v>
      </c>
      <c r="AE1498" s="2312" t="s">
        <v>1645</v>
      </c>
      <c r="AF1498" s="2312" t="s">
        <v>1645</v>
      </c>
      <c r="AG1498" s="2312" t="s">
        <v>1645</v>
      </c>
      <c r="AH1498" s="2312" t="s">
        <v>1645</v>
      </c>
      <c r="AI1498" s="2312" t="s">
        <v>1645</v>
      </c>
    </row>
    <row r="1499" spans="1:35" ht="14.5">
      <c r="A1499" s="990">
        <v>1</v>
      </c>
      <c r="B1499" s="990">
        <v>1</v>
      </c>
      <c r="C1499" s="990" t="s">
        <v>1129</v>
      </c>
      <c r="E1499" s="1611" t="s">
        <v>1013</v>
      </c>
      <c r="F1499" s="1610"/>
      <c r="G1499" s="1731"/>
      <c r="H1499" s="1732"/>
      <c r="I1499" s="1327"/>
      <c r="J1499" s="1736" t="s">
        <v>1588</v>
      </c>
      <c r="K1499" s="1736"/>
      <c r="L1499" s="1737"/>
      <c r="M1499" s="278"/>
      <c r="N1499" s="278"/>
      <c r="O1499" s="278"/>
      <c r="P1499" s="278"/>
      <c r="Q1499" s="1740" t="s">
        <v>1645</v>
      </c>
      <c r="R1499" s="1740" t="s">
        <v>1645</v>
      </c>
      <c r="S1499" s="1740" t="s">
        <v>1645</v>
      </c>
      <c r="T1499" s="1740" t="s">
        <v>1645</v>
      </c>
      <c r="U1499" s="1740" t="s">
        <v>1645</v>
      </c>
      <c r="V1499" s="1740" t="s">
        <v>1645</v>
      </c>
      <c r="W1499" s="1740" t="s">
        <v>1645</v>
      </c>
      <c r="X1499" s="1740" t="s">
        <v>1645</v>
      </c>
      <c r="Y1499" s="1740" t="s">
        <v>1645</v>
      </c>
      <c r="Z1499" s="1740" t="s">
        <v>1645</v>
      </c>
      <c r="AA1499" s="1740" t="s">
        <v>1645</v>
      </c>
      <c r="AB1499" s="1740" t="s">
        <v>1645</v>
      </c>
      <c r="AC1499" s="1740" t="s">
        <v>1645</v>
      </c>
      <c r="AD1499" s="1740" t="s">
        <v>1645</v>
      </c>
      <c r="AE1499" s="1740" t="s">
        <v>1645</v>
      </c>
      <c r="AF1499" s="1740" t="s">
        <v>1645</v>
      </c>
      <c r="AG1499" s="1740" t="s">
        <v>1645</v>
      </c>
      <c r="AH1499" s="1740" t="s">
        <v>1645</v>
      </c>
      <c r="AI1499" s="1740" t="s">
        <v>1645</v>
      </c>
    </row>
    <row r="1500" spans="1:35" ht="14.5">
      <c r="A1500" s="990">
        <v>1</v>
      </c>
      <c r="B1500" s="990">
        <v>1</v>
      </c>
      <c r="C1500" s="990" t="s">
        <v>1129</v>
      </c>
      <c r="E1500" s="1611" t="s">
        <v>1013</v>
      </c>
      <c r="F1500" s="1610"/>
      <c r="G1500" s="1731"/>
      <c r="H1500" s="1732"/>
      <c r="I1500" s="1327"/>
      <c r="J1500" s="1321"/>
      <c r="K1500" s="1321" t="s">
        <v>1022</v>
      </c>
      <c r="Q1500" s="1741" t="s">
        <v>1645</v>
      </c>
      <c r="R1500" s="1741" t="s">
        <v>1645</v>
      </c>
      <c r="S1500" s="1741" t="s">
        <v>1645</v>
      </c>
      <c r="T1500" s="1741" t="s">
        <v>1645</v>
      </c>
      <c r="U1500" s="1741" t="s">
        <v>1645</v>
      </c>
      <c r="V1500" s="1741" t="s">
        <v>1645</v>
      </c>
      <c r="W1500" s="1741" t="s">
        <v>1645</v>
      </c>
      <c r="X1500" s="1741" t="s">
        <v>1645</v>
      </c>
      <c r="Y1500" s="1741" t="s">
        <v>1645</v>
      </c>
      <c r="Z1500" s="1741" t="s">
        <v>1645</v>
      </c>
      <c r="AA1500" s="1741" t="s">
        <v>1645</v>
      </c>
      <c r="AB1500" s="1741" t="s">
        <v>1645</v>
      </c>
      <c r="AC1500" s="1741" t="s">
        <v>1645</v>
      </c>
      <c r="AD1500" s="1741" t="s">
        <v>1645</v>
      </c>
      <c r="AE1500" s="1741" t="s">
        <v>1645</v>
      </c>
      <c r="AF1500" s="1741" t="s">
        <v>1645</v>
      </c>
      <c r="AG1500" s="1741" t="s">
        <v>1645</v>
      </c>
      <c r="AH1500" s="1741" t="s">
        <v>1645</v>
      </c>
      <c r="AI1500" s="1741" t="s">
        <v>1645</v>
      </c>
    </row>
    <row r="1501" spans="1:35" ht="14.5">
      <c r="A1501" s="990">
        <v>1</v>
      </c>
      <c r="B1501" s="990">
        <v>1</v>
      </c>
      <c r="C1501" s="990" t="s">
        <v>1129</v>
      </c>
      <c r="E1501" s="1611" t="s">
        <v>1013</v>
      </c>
      <c r="F1501" s="1610"/>
      <c r="G1501" s="1731"/>
      <c r="H1501" s="1732"/>
      <c r="I1501" s="1327"/>
      <c r="J1501" s="1321"/>
      <c r="K1501" s="1321" t="s">
        <v>1023</v>
      </c>
      <c r="Q1501" s="1741" t="s">
        <v>1645</v>
      </c>
      <c r="R1501" s="1741" t="s">
        <v>1645</v>
      </c>
      <c r="S1501" s="1741" t="s">
        <v>1645</v>
      </c>
      <c r="T1501" s="1741" t="s">
        <v>1645</v>
      </c>
      <c r="U1501" s="1741" t="s">
        <v>1645</v>
      </c>
      <c r="V1501" s="1741" t="s">
        <v>1645</v>
      </c>
      <c r="W1501" s="1741" t="s">
        <v>1645</v>
      </c>
      <c r="X1501" s="1741" t="s">
        <v>1645</v>
      </c>
      <c r="Y1501" s="1741" t="s">
        <v>1645</v>
      </c>
      <c r="Z1501" s="1741" t="s">
        <v>1645</v>
      </c>
      <c r="AA1501" s="1741" t="s">
        <v>1645</v>
      </c>
      <c r="AB1501" s="1741" t="s">
        <v>1645</v>
      </c>
      <c r="AC1501" s="1741" t="s">
        <v>1645</v>
      </c>
      <c r="AD1501" s="1741" t="s">
        <v>1645</v>
      </c>
      <c r="AE1501" s="1741" t="s">
        <v>1645</v>
      </c>
      <c r="AF1501" s="1741" t="s">
        <v>1645</v>
      </c>
      <c r="AG1501" s="1741" t="s">
        <v>1645</v>
      </c>
      <c r="AH1501" s="1741" t="s">
        <v>1645</v>
      </c>
      <c r="AI1501" s="1741" t="s">
        <v>1645</v>
      </c>
    </row>
    <row r="1502" spans="1:35" ht="14.5">
      <c r="A1502" s="990">
        <v>1</v>
      </c>
      <c r="B1502" s="990">
        <v>1</v>
      </c>
      <c r="C1502" s="990" t="s">
        <v>1129</v>
      </c>
      <c r="E1502" s="1611" t="s">
        <v>1013</v>
      </c>
      <c r="F1502" s="1610"/>
      <c r="G1502" s="1731"/>
      <c r="H1502" s="1732"/>
      <c r="I1502" s="1327"/>
      <c r="J1502" s="1736" t="s">
        <v>1590</v>
      </c>
      <c r="K1502" s="1736"/>
      <c r="L1502" s="1737"/>
      <c r="M1502" s="278"/>
      <c r="N1502" s="278"/>
      <c r="O1502" s="278"/>
      <c r="P1502" s="278"/>
      <c r="Q1502" s="1740" t="s">
        <v>1645</v>
      </c>
      <c r="R1502" s="1740" t="s">
        <v>1645</v>
      </c>
      <c r="S1502" s="1740" t="s">
        <v>1645</v>
      </c>
      <c r="T1502" s="1740" t="s">
        <v>1645</v>
      </c>
      <c r="U1502" s="1740" t="s">
        <v>1645</v>
      </c>
      <c r="V1502" s="1740" t="s">
        <v>1645</v>
      </c>
      <c r="W1502" s="1740" t="s">
        <v>1645</v>
      </c>
      <c r="X1502" s="1740" t="s">
        <v>1645</v>
      </c>
      <c r="Y1502" s="1740" t="s">
        <v>1645</v>
      </c>
      <c r="Z1502" s="1740" t="s">
        <v>1645</v>
      </c>
      <c r="AA1502" s="1740" t="s">
        <v>1645</v>
      </c>
      <c r="AB1502" s="1740" t="s">
        <v>1645</v>
      </c>
      <c r="AC1502" s="1740" t="s">
        <v>1645</v>
      </c>
      <c r="AD1502" s="1740" t="s">
        <v>1645</v>
      </c>
      <c r="AE1502" s="1740" t="s">
        <v>1645</v>
      </c>
      <c r="AF1502" s="1740" t="s">
        <v>1645</v>
      </c>
      <c r="AG1502" s="1740" t="s">
        <v>1645</v>
      </c>
      <c r="AH1502" s="1740" t="s">
        <v>1645</v>
      </c>
      <c r="AI1502" s="1740" t="s">
        <v>1645</v>
      </c>
    </row>
    <row r="1503" spans="1:35" ht="14.5">
      <c r="A1503" s="990">
        <v>1</v>
      </c>
      <c r="B1503" s="990">
        <v>1</v>
      </c>
      <c r="C1503" s="990" t="s">
        <v>1129</v>
      </c>
      <c r="E1503" s="1611" t="s">
        <v>1013</v>
      </c>
      <c r="F1503" s="1610"/>
      <c r="G1503" s="1731"/>
      <c r="H1503" s="1732"/>
      <c r="I1503" s="1327"/>
      <c r="J1503" s="1321"/>
      <c r="K1503" s="1321" t="s">
        <v>1022</v>
      </c>
      <c r="Q1503" s="1741" t="s">
        <v>1645</v>
      </c>
      <c r="R1503" s="1741" t="s">
        <v>1645</v>
      </c>
      <c r="S1503" s="1741" t="s">
        <v>1645</v>
      </c>
      <c r="T1503" s="1741" t="s">
        <v>1645</v>
      </c>
      <c r="U1503" s="1741" t="s">
        <v>1645</v>
      </c>
      <c r="V1503" s="1741" t="s">
        <v>1645</v>
      </c>
      <c r="W1503" s="1741" t="s">
        <v>1645</v>
      </c>
      <c r="X1503" s="1741" t="s">
        <v>1645</v>
      </c>
      <c r="Y1503" s="1741" t="s">
        <v>1645</v>
      </c>
      <c r="Z1503" s="1741" t="s">
        <v>1645</v>
      </c>
      <c r="AA1503" s="1741" t="s">
        <v>1645</v>
      </c>
      <c r="AB1503" s="1741" t="s">
        <v>1645</v>
      </c>
      <c r="AC1503" s="1741" t="s">
        <v>1645</v>
      </c>
      <c r="AD1503" s="1741" t="s">
        <v>1645</v>
      </c>
      <c r="AE1503" s="1741" t="s">
        <v>1645</v>
      </c>
      <c r="AF1503" s="1741" t="s">
        <v>1645</v>
      </c>
      <c r="AG1503" s="1741" t="s">
        <v>1645</v>
      </c>
      <c r="AH1503" s="1741" t="s">
        <v>1645</v>
      </c>
      <c r="AI1503" s="1741" t="s">
        <v>1645</v>
      </c>
    </row>
    <row r="1504" spans="1:35" ht="14.5">
      <c r="A1504" s="990">
        <v>1</v>
      </c>
      <c r="B1504" s="990">
        <v>1</v>
      </c>
      <c r="C1504" s="990" t="s">
        <v>1129</v>
      </c>
      <c r="E1504" s="1611" t="s">
        <v>1013</v>
      </c>
      <c r="F1504" s="1610"/>
      <c r="G1504" s="1731"/>
      <c r="H1504" s="1732"/>
      <c r="I1504" s="1327"/>
      <c r="J1504" s="1321"/>
      <c r="K1504" s="1321" t="s">
        <v>1023</v>
      </c>
      <c r="Q1504" s="1741" t="s">
        <v>1645</v>
      </c>
      <c r="R1504" s="1741" t="s">
        <v>1645</v>
      </c>
      <c r="S1504" s="1741" t="s">
        <v>1645</v>
      </c>
      <c r="T1504" s="1741" t="s">
        <v>1645</v>
      </c>
      <c r="U1504" s="1741" t="s">
        <v>1645</v>
      </c>
      <c r="V1504" s="1741" t="s">
        <v>1645</v>
      </c>
      <c r="W1504" s="1741" t="s">
        <v>1645</v>
      </c>
      <c r="X1504" s="1741" t="s">
        <v>1645</v>
      </c>
      <c r="Y1504" s="1741" t="s">
        <v>1645</v>
      </c>
      <c r="Z1504" s="1741" t="s">
        <v>1645</v>
      </c>
      <c r="AA1504" s="1741" t="s">
        <v>1645</v>
      </c>
      <c r="AB1504" s="1741" t="s">
        <v>1645</v>
      </c>
      <c r="AC1504" s="1741" t="s">
        <v>1645</v>
      </c>
      <c r="AD1504" s="1741" t="s">
        <v>1645</v>
      </c>
      <c r="AE1504" s="1741" t="s">
        <v>1645</v>
      </c>
      <c r="AF1504" s="1741" t="s">
        <v>1645</v>
      </c>
      <c r="AG1504" s="1741" t="s">
        <v>1645</v>
      </c>
      <c r="AH1504" s="1741" t="s">
        <v>1645</v>
      </c>
      <c r="AI1504" s="1741" t="s">
        <v>1645</v>
      </c>
    </row>
    <row r="1505" spans="1:35" ht="14.5">
      <c r="A1505" s="990">
        <v>1</v>
      </c>
      <c r="B1505" s="990">
        <v>1</v>
      </c>
      <c r="C1505" s="990" t="s">
        <v>1129</v>
      </c>
      <c r="E1505" s="1611" t="s">
        <v>1013</v>
      </c>
      <c r="F1505" s="1610"/>
      <c r="G1505" s="1731"/>
      <c r="H1505" s="1732"/>
      <c r="I1505" s="1327"/>
      <c r="J1505" s="1736" t="s">
        <v>275</v>
      </c>
      <c r="K1505" s="1736"/>
      <c r="L1505" s="1737"/>
      <c r="M1505" s="278"/>
      <c r="N1505" s="278"/>
      <c r="O1505" s="278"/>
      <c r="P1505" s="278"/>
      <c r="Q1505" s="1742" t="s">
        <v>1645</v>
      </c>
      <c r="R1505" s="1742" t="s">
        <v>1645</v>
      </c>
      <c r="S1505" s="1742" t="s">
        <v>1645</v>
      </c>
      <c r="T1505" s="1742" t="s">
        <v>1645</v>
      </c>
      <c r="U1505" s="1742" t="s">
        <v>1645</v>
      </c>
      <c r="V1505" s="1742" t="s">
        <v>1645</v>
      </c>
      <c r="W1505" s="1742" t="s">
        <v>1645</v>
      </c>
      <c r="X1505" s="1742" t="s">
        <v>1645</v>
      </c>
      <c r="Y1505" s="1742" t="s">
        <v>1645</v>
      </c>
      <c r="Z1505" s="1742" t="s">
        <v>1645</v>
      </c>
      <c r="AA1505" s="1742" t="s">
        <v>1645</v>
      </c>
      <c r="AB1505" s="1742" t="s">
        <v>1645</v>
      </c>
      <c r="AC1505" s="1742" t="s">
        <v>1645</v>
      </c>
      <c r="AD1505" s="1742" t="s">
        <v>1645</v>
      </c>
      <c r="AE1505" s="1742" t="s">
        <v>1645</v>
      </c>
      <c r="AF1505" s="1742" t="s">
        <v>1645</v>
      </c>
      <c r="AG1505" s="1742" t="s">
        <v>1645</v>
      </c>
      <c r="AH1505" s="1742" t="s">
        <v>1645</v>
      </c>
      <c r="AI1505" s="1742" t="s">
        <v>1645</v>
      </c>
    </row>
    <row r="1506" spans="1:35" ht="14.5">
      <c r="A1506" s="990">
        <v>1</v>
      </c>
      <c r="B1506" s="990">
        <v>1</v>
      </c>
      <c r="C1506" s="990" t="s">
        <v>1129</v>
      </c>
      <c r="E1506" s="1611" t="s">
        <v>1013</v>
      </c>
      <c r="F1506" s="1610"/>
      <c r="G1506" s="1731"/>
      <c r="H1506" s="1732"/>
      <c r="I1506" s="1327"/>
      <c r="J1506" s="1736" t="s">
        <v>11</v>
      </c>
      <c r="K1506" s="1736"/>
      <c r="L1506" s="1737"/>
      <c r="M1506" s="278"/>
      <c r="N1506" s="278"/>
      <c r="O1506" s="278"/>
      <c r="P1506" s="278"/>
      <c r="Q1506" s="1742" t="s">
        <v>1645</v>
      </c>
      <c r="R1506" s="1742" t="s">
        <v>1645</v>
      </c>
      <c r="S1506" s="1742" t="s">
        <v>1645</v>
      </c>
      <c r="T1506" s="1742" t="s">
        <v>1645</v>
      </c>
      <c r="U1506" s="1742" t="s">
        <v>1645</v>
      </c>
      <c r="V1506" s="1742" t="s">
        <v>1645</v>
      </c>
      <c r="W1506" s="1742" t="s">
        <v>1645</v>
      </c>
      <c r="X1506" s="1742" t="s">
        <v>1645</v>
      </c>
      <c r="Y1506" s="1742" t="s">
        <v>1645</v>
      </c>
      <c r="Z1506" s="1742" t="s">
        <v>1645</v>
      </c>
      <c r="AA1506" s="1742" t="s">
        <v>1645</v>
      </c>
      <c r="AB1506" s="1742" t="s">
        <v>1645</v>
      </c>
      <c r="AC1506" s="1742" t="s">
        <v>1645</v>
      </c>
      <c r="AD1506" s="1742" t="s">
        <v>1645</v>
      </c>
      <c r="AE1506" s="1742" t="s">
        <v>1645</v>
      </c>
      <c r="AF1506" s="1742" t="s">
        <v>1645</v>
      </c>
      <c r="AG1506" s="1742" t="s">
        <v>1645</v>
      </c>
      <c r="AH1506" s="1742" t="s">
        <v>1645</v>
      </c>
      <c r="AI1506" s="1742" t="s">
        <v>1645</v>
      </c>
    </row>
    <row r="1507" spans="1:35" ht="14.5">
      <c r="A1507" s="990">
        <v>1</v>
      </c>
      <c r="B1507" s="990">
        <v>1</v>
      </c>
      <c r="C1507" s="990" t="s">
        <v>1129</v>
      </c>
      <c r="E1507" s="1611" t="s">
        <v>1013</v>
      </c>
      <c r="F1507" s="1610"/>
      <c r="G1507" s="1731"/>
      <c r="H1507" s="1732"/>
      <c r="I1507" s="2755" t="s">
        <v>1146</v>
      </c>
      <c r="J1507" s="1313"/>
      <c r="K1507" s="1313"/>
      <c r="L1507" s="1733"/>
      <c r="M1507" s="1734"/>
      <c r="N1507" s="1734"/>
      <c r="O1507" s="1734"/>
      <c r="P1507" s="1734"/>
      <c r="Q1507" s="2311">
        <v>0</v>
      </c>
      <c r="R1507" s="2311">
        <v>0</v>
      </c>
      <c r="S1507" s="2311">
        <v>0</v>
      </c>
      <c r="T1507" s="2311">
        <v>0</v>
      </c>
      <c r="U1507" s="2311">
        <v>0</v>
      </c>
      <c r="V1507" s="2311">
        <v>0</v>
      </c>
      <c r="W1507" s="2311">
        <v>0</v>
      </c>
      <c r="X1507" s="2311">
        <v>0</v>
      </c>
      <c r="Y1507" s="2311">
        <v>0</v>
      </c>
      <c r="Z1507" s="2311">
        <v>0</v>
      </c>
      <c r="AA1507" s="2311">
        <v>0</v>
      </c>
      <c r="AB1507" s="2311">
        <v>0</v>
      </c>
      <c r="AC1507" s="2311">
        <v>0</v>
      </c>
      <c r="AD1507" s="2311">
        <v>0</v>
      </c>
      <c r="AE1507" s="2311">
        <v>0</v>
      </c>
      <c r="AF1507" s="2311">
        <v>0</v>
      </c>
      <c r="AG1507" s="2311">
        <v>0</v>
      </c>
      <c r="AH1507" s="2311">
        <v>0</v>
      </c>
      <c r="AI1507" s="2311">
        <v>0</v>
      </c>
    </row>
    <row r="1508" spans="1:35" ht="14.5">
      <c r="A1508" s="990">
        <v>1</v>
      </c>
      <c r="B1508" s="990">
        <v>1</v>
      </c>
      <c r="C1508" s="990" t="s">
        <v>1129</v>
      </c>
      <c r="E1508" s="1611" t="s">
        <v>1013</v>
      </c>
      <c r="F1508" s="1610"/>
      <c r="G1508" s="1731"/>
      <c r="H1508" s="1732"/>
      <c r="I1508" s="1327"/>
      <c r="J1508" s="1321" t="s">
        <v>1646</v>
      </c>
      <c r="K1508" s="1321"/>
      <c r="Q1508" s="19">
        <v>0</v>
      </c>
      <c r="R1508" s="19">
        <v>0</v>
      </c>
      <c r="S1508" s="19">
        <v>0</v>
      </c>
      <c r="T1508" s="19">
        <v>0</v>
      </c>
      <c r="U1508" s="19">
        <v>0</v>
      </c>
      <c r="V1508" s="19">
        <v>0</v>
      </c>
      <c r="W1508" s="19">
        <v>0</v>
      </c>
      <c r="X1508" s="19">
        <v>0</v>
      </c>
      <c r="Y1508" s="19">
        <v>0</v>
      </c>
      <c r="Z1508" s="19">
        <v>0</v>
      </c>
      <c r="AA1508" s="19">
        <v>0</v>
      </c>
      <c r="AB1508" s="19">
        <v>0</v>
      </c>
      <c r="AC1508" s="19">
        <v>0</v>
      </c>
      <c r="AD1508" s="19">
        <v>0</v>
      </c>
      <c r="AE1508" s="19">
        <v>0</v>
      </c>
      <c r="AF1508" s="19">
        <v>0</v>
      </c>
      <c r="AG1508" s="19">
        <v>0</v>
      </c>
      <c r="AH1508" s="19">
        <v>0</v>
      </c>
      <c r="AI1508" s="19">
        <v>0</v>
      </c>
    </row>
    <row r="1509" spans="1:35" ht="14.5">
      <c r="A1509" s="990">
        <v>1</v>
      </c>
      <c r="B1509" s="990">
        <v>1</v>
      </c>
      <c r="C1509" s="990" t="s">
        <v>1129</v>
      </c>
      <c r="E1509" s="1611" t="s">
        <v>1013</v>
      </c>
      <c r="F1509" s="1610"/>
      <c r="G1509" s="1731"/>
      <c r="H1509" s="1732"/>
      <c r="I1509" s="1327"/>
      <c r="J1509" s="1321" t="s">
        <v>1647</v>
      </c>
      <c r="K1509" s="1321"/>
      <c r="Q1509" s="19">
        <v>0</v>
      </c>
      <c r="R1509" s="19">
        <v>0</v>
      </c>
      <c r="S1509" s="19">
        <v>0</v>
      </c>
      <c r="T1509" s="19">
        <v>0</v>
      </c>
      <c r="U1509" s="19">
        <v>0</v>
      </c>
      <c r="V1509" s="19">
        <v>0</v>
      </c>
      <c r="W1509" s="19">
        <v>0</v>
      </c>
      <c r="X1509" s="19">
        <v>0</v>
      </c>
      <c r="Y1509" s="19">
        <v>0</v>
      </c>
      <c r="Z1509" s="19">
        <v>0</v>
      </c>
      <c r="AA1509" s="19">
        <v>0</v>
      </c>
      <c r="AB1509" s="19">
        <v>0</v>
      </c>
      <c r="AC1509" s="19">
        <v>0</v>
      </c>
      <c r="AD1509" s="19">
        <v>0</v>
      </c>
      <c r="AE1509" s="19">
        <v>0</v>
      </c>
      <c r="AF1509" s="19">
        <v>0</v>
      </c>
      <c r="AG1509" s="19">
        <v>0</v>
      </c>
      <c r="AH1509" s="19">
        <v>0</v>
      </c>
      <c r="AI1509" s="19">
        <v>0</v>
      </c>
    </row>
    <row r="1510" spans="1:35" ht="14.5">
      <c r="A1510" s="990">
        <v>1</v>
      </c>
      <c r="B1510" s="990">
        <v>1</v>
      </c>
      <c r="C1510" s="990" t="s">
        <v>1129</v>
      </c>
      <c r="E1510" s="1611" t="s">
        <v>1013</v>
      </c>
      <c r="F1510" s="1610"/>
      <c r="G1510" s="1731"/>
      <c r="H1510" s="1732"/>
      <c r="I1510" s="2755" t="s">
        <v>46</v>
      </c>
      <c r="J1510" s="1313"/>
      <c r="K1510" s="1313"/>
      <c r="L1510" s="1733"/>
      <c r="M1510" s="1734"/>
      <c r="N1510" s="1734"/>
      <c r="O1510" s="1734"/>
      <c r="P1510" s="1734"/>
      <c r="Q1510" s="2311">
        <v>0</v>
      </c>
      <c r="R1510" s="2311">
        <v>0</v>
      </c>
      <c r="S1510" s="2311">
        <v>0</v>
      </c>
      <c r="T1510" s="2311">
        <v>0</v>
      </c>
      <c r="U1510" s="2311">
        <v>0</v>
      </c>
      <c r="V1510" s="2311">
        <v>0</v>
      </c>
      <c r="W1510" s="2311">
        <v>0</v>
      </c>
      <c r="X1510" s="2311">
        <v>0</v>
      </c>
      <c r="Y1510" s="2311">
        <v>0</v>
      </c>
      <c r="Z1510" s="2311">
        <v>0</v>
      </c>
      <c r="AA1510" s="2311">
        <v>0</v>
      </c>
      <c r="AB1510" s="2311">
        <v>0</v>
      </c>
      <c r="AC1510" s="2311">
        <v>0</v>
      </c>
      <c r="AD1510" s="2311">
        <v>0</v>
      </c>
      <c r="AE1510" s="2311">
        <v>0</v>
      </c>
      <c r="AF1510" s="2311">
        <v>0</v>
      </c>
      <c r="AG1510" s="2311">
        <v>0</v>
      </c>
      <c r="AH1510" s="2311">
        <v>0</v>
      </c>
      <c r="AI1510" s="2311">
        <v>0</v>
      </c>
    </row>
    <row r="1511" spans="1:35" ht="14.5">
      <c r="A1511" s="990">
        <v>1</v>
      </c>
      <c r="B1511" s="990">
        <v>1</v>
      </c>
      <c r="C1511" s="990" t="s">
        <v>1129</v>
      </c>
      <c r="E1511" s="1611" t="s">
        <v>1013</v>
      </c>
      <c r="F1511" s="1610"/>
      <c r="G1511" s="1731"/>
      <c r="H1511" s="1732"/>
      <c r="I1511" s="2755" t="s">
        <v>1151</v>
      </c>
      <c r="J1511" s="1313"/>
      <c r="K1511" s="1313"/>
      <c r="L1511" s="1733"/>
      <c r="M1511" s="1734"/>
      <c r="N1511" s="1734"/>
      <c r="O1511" s="1734"/>
      <c r="P1511" s="1734"/>
      <c r="Q1511" s="2311" t="e">
        <v>#VALUE!</v>
      </c>
      <c r="R1511" s="2311" t="e">
        <v>#VALUE!</v>
      </c>
      <c r="S1511" s="2311" t="e">
        <v>#VALUE!</v>
      </c>
      <c r="T1511" s="2311" t="e">
        <v>#VALUE!</v>
      </c>
      <c r="U1511" s="2311" t="e">
        <v>#VALUE!</v>
      </c>
      <c r="V1511" s="2311" t="e">
        <v>#VALUE!</v>
      </c>
      <c r="W1511" s="2311" t="e">
        <v>#VALUE!</v>
      </c>
      <c r="X1511" s="2311" t="e">
        <v>#VALUE!</v>
      </c>
      <c r="Y1511" s="2311" t="e">
        <v>#VALUE!</v>
      </c>
      <c r="Z1511" s="2311" t="e">
        <v>#VALUE!</v>
      </c>
      <c r="AA1511" s="2311" t="e">
        <v>#VALUE!</v>
      </c>
      <c r="AB1511" s="2311" t="e">
        <v>#VALUE!</v>
      </c>
      <c r="AC1511" s="2311" t="e">
        <v>#VALUE!</v>
      </c>
      <c r="AD1511" s="2311" t="e">
        <v>#VALUE!</v>
      </c>
      <c r="AE1511" s="2311" t="e">
        <v>#VALUE!</v>
      </c>
      <c r="AF1511" s="2311" t="e">
        <v>#VALUE!</v>
      </c>
      <c r="AG1511" s="2311" t="e">
        <v>#VALUE!</v>
      </c>
      <c r="AH1511" s="2311" t="e">
        <v>#VALUE!</v>
      </c>
      <c r="AI1511" s="2311" t="e">
        <v>#VALUE!</v>
      </c>
    </row>
    <row r="1512" spans="1:35" ht="14.5">
      <c r="A1512" s="990">
        <v>1</v>
      </c>
      <c r="B1512" s="990">
        <v>1</v>
      </c>
      <c r="C1512" s="990" t="s">
        <v>1129</v>
      </c>
      <c r="E1512" s="1611" t="s">
        <v>1013</v>
      </c>
      <c r="F1512" s="1610"/>
      <c r="G1512" s="1731"/>
      <c r="H1512" s="1732"/>
      <c r="I1512" s="1336"/>
      <c r="J1512" s="1337" t="s">
        <v>135</v>
      </c>
      <c r="K1512" s="1338"/>
      <c r="L1512" s="18"/>
      <c r="M1512" s="12"/>
      <c r="N1512" s="12"/>
      <c r="O1512" s="12"/>
      <c r="P1512" s="12"/>
      <c r="Q1512" s="1743" t="e">
        <v>#VALUE!</v>
      </c>
      <c r="R1512" s="1743" t="e">
        <v>#VALUE!</v>
      </c>
      <c r="S1512" s="1743" t="e">
        <v>#VALUE!</v>
      </c>
      <c r="T1512" s="1743" t="e">
        <v>#VALUE!</v>
      </c>
      <c r="U1512" s="1743" t="e">
        <v>#VALUE!</v>
      </c>
      <c r="V1512" s="1743" t="e">
        <v>#VALUE!</v>
      </c>
      <c r="W1512" s="1743" t="e">
        <v>#VALUE!</v>
      </c>
      <c r="X1512" s="1743" t="e">
        <v>#VALUE!</v>
      </c>
      <c r="Y1512" s="1743" t="e">
        <v>#VALUE!</v>
      </c>
      <c r="Z1512" s="1743" t="e">
        <v>#VALUE!</v>
      </c>
      <c r="AA1512" s="1743" t="e">
        <v>#VALUE!</v>
      </c>
      <c r="AB1512" s="1743" t="e">
        <v>#VALUE!</v>
      </c>
      <c r="AC1512" s="1743" t="e">
        <v>#VALUE!</v>
      </c>
      <c r="AD1512" s="1743" t="e">
        <v>#VALUE!</v>
      </c>
      <c r="AE1512" s="1743" t="e">
        <v>#VALUE!</v>
      </c>
      <c r="AF1512" s="1743" t="e">
        <v>#VALUE!</v>
      </c>
      <c r="AG1512" s="1743" t="e">
        <v>#VALUE!</v>
      </c>
      <c r="AH1512" s="1743" t="e">
        <v>#VALUE!</v>
      </c>
      <c r="AI1512" s="1743" t="e">
        <v>#VALUE!</v>
      </c>
    </row>
    <row r="1513" spans="1:35" ht="14.5">
      <c r="A1513" s="990">
        <v>1</v>
      </c>
      <c r="B1513" s="990">
        <v>1</v>
      </c>
      <c r="C1513" s="990" t="s">
        <v>1129</v>
      </c>
      <c r="E1513" s="1611" t="s">
        <v>1013</v>
      </c>
      <c r="F1513" s="1610"/>
    </row>
    <row r="1514" spans="1:35" ht="14.5">
      <c r="A1514" s="990">
        <v>1</v>
      </c>
      <c r="B1514" s="990">
        <v>1</v>
      </c>
      <c r="C1514" s="990" t="s">
        <v>1129</v>
      </c>
      <c r="E1514" s="1611" t="s">
        <v>1013</v>
      </c>
      <c r="F1514" s="1610"/>
      <c r="H1514" s="5" t="s">
        <v>1035</v>
      </c>
    </row>
    <row r="1515" spans="1:35" ht="14.5">
      <c r="A1515" s="990">
        <v>1</v>
      </c>
      <c r="B1515" s="990">
        <v>1</v>
      </c>
      <c r="C1515" s="990" t="s">
        <v>1129</v>
      </c>
      <c r="E1515" s="1611" t="s">
        <v>1013</v>
      </c>
      <c r="F1515" s="1610"/>
      <c r="G1515" s="1731"/>
      <c r="H1515" s="1732"/>
      <c r="I1515" s="2756" t="s">
        <v>9</v>
      </c>
      <c r="J1515" s="1745"/>
      <c r="K1515" s="1745"/>
      <c r="L1515" s="1746"/>
      <c r="M1515" s="1747"/>
      <c r="N1515" s="1747"/>
      <c r="O1515" s="1747"/>
      <c r="P1515" s="1747"/>
      <c r="Q1515" s="2313">
        <v>0</v>
      </c>
      <c r="R1515" s="2313">
        <v>0</v>
      </c>
      <c r="S1515" s="2313">
        <v>0</v>
      </c>
      <c r="T1515" s="2313">
        <v>0</v>
      </c>
      <c r="U1515" s="2313">
        <v>0</v>
      </c>
      <c r="V1515" s="2313">
        <v>0</v>
      </c>
      <c r="W1515" s="2313">
        <v>0</v>
      </c>
      <c r="X1515" s="2313">
        <v>0</v>
      </c>
      <c r="Y1515" s="2313">
        <v>0</v>
      </c>
      <c r="Z1515" s="2313">
        <v>0</v>
      </c>
      <c r="AA1515" s="2313">
        <v>0</v>
      </c>
      <c r="AB1515" s="2313">
        <v>0</v>
      </c>
      <c r="AC1515" s="2313">
        <v>0</v>
      </c>
      <c r="AD1515" s="2313">
        <v>0</v>
      </c>
      <c r="AE1515" s="2313">
        <v>0</v>
      </c>
      <c r="AF1515" s="2313">
        <v>0</v>
      </c>
      <c r="AG1515" s="2313">
        <v>0</v>
      </c>
      <c r="AH1515" s="2313">
        <v>0</v>
      </c>
      <c r="AI1515" s="2313">
        <v>0</v>
      </c>
    </row>
    <row r="1516" spans="1:35" ht="14.5">
      <c r="A1516" s="990">
        <v>1</v>
      </c>
      <c r="B1516" s="990">
        <v>1</v>
      </c>
      <c r="C1516" s="990" t="s">
        <v>1129</v>
      </c>
      <c r="E1516" s="1611" t="s">
        <v>1013</v>
      </c>
      <c r="F1516" s="1610"/>
      <c r="G1516" s="1731"/>
      <c r="H1516" s="1732"/>
      <c r="I1516" s="1327"/>
      <c r="J1516" s="1736" t="s">
        <v>1588</v>
      </c>
      <c r="K1516" s="1736"/>
      <c r="L1516" s="1737"/>
      <c r="M1516" s="278"/>
      <c r="N1516" s="278"/>
      <c r="O1516" s="278"/>
      <c r="P1516" s="278"/>
      <c r="Q1516" s="1738">
        <v>0</v>
      </c>
      <c r="R1516" s="1738">
        <v>0</v>
      </c>
      <c r="S1516" s="1738">
        <v>0</v>
      </c>
      <c r="T1516" s="1738">
        <v>0</v>
      </c>
      <c r="U1516" s="1738">
        <v>0</v>
      </c>
      <c r="V1516" s="1738">
        <v>0</v>
      </c>
      <c r="W1516" s="1738">
        <v>0</v>
      </c>
      <c r="X1516" s="1738">
        <v>0</v>
      </c>
      <c r="Y1516" s="1738">
        <v>0</v>
      </c>
      <c r="Z1516" s="1738">
        <v>0</v>
      </c>
      <c r="AA1516" s="1738">
        <v>0</v>
      </c>
      <c r="AB1516" s="1738">
        <v>0</v>
      </c>
      <c r="AC1516" s="1738">
        <v>0</v>
      </c>
      <c r="AD1516" s="1738">
        <v>0</v>
      </c>
      <c r="AE1516" s="1738">
        <v>0</v>
      </c>
      <c r="AF1516" s="1738">
        <v>0</v>
      </c>
      <c r="AG1516" s="1738">
        <v>0</v>
      </c>
      <c r="AH1516" s="1738">
        <v>0</v>
      </c>
      <c r="AI1516" s="1738">
        <v>0</v>
      </c>
    </row>
    <row r="1517" spans="1:35" ht="14.5">
      <c r="A1517" s="990">
        <v>1</v>
      </c>
      <c r="B1517" s="990">
        <v>1</v>
      </c>
      <c r="C1517" s="990" t="s">
        <v>1129</v>
      </c>
      <c r="E1517" s="1611" t="s">
        <v>1013</v>
      </c>
      <c r="F1517" s="1610"/>
      <c r="G1517" s="1731"/>
      <c r="H1517" s="1732"/>
      <c r="I1517" s="1327"/>
      <c r="J1517" s="1321"/>
      <c r="K1517" s="1321" t="s">
        <v>1022</v>
      </c>
      <c r="Q1517" s="19">
        <v>0</v>
      </c>
      <c r="R1517" s="19">
        <v>0</v>
      </c>
      <c r="S1517" s="19">
        <v>0</v>
      </c>
      <c r="T1517" s="19">
        <v>0</v>
      </c>
      <c r="U1517" s="19">
        <v>0</v>
      </c>
      <c r="V1517" s="19">
        <v>0</v>
      </c>
      <c r="W1517" s="19">
        <v>0</v>
      </c>
      <c r="X1517" s="19">
        <v>0</v>
      </c>
      <c r="Y1517" s="19">
        <v>0</v>
      </c>
      <c r="Z1517" s="19">
        <v>0</v>
      </c>
      <c r="AA1517" s="19">
        <v>0</v>
      </c>
      <c r="AB1517" s="19">
        <v>0</v>
      </c>
      <c r="AC1517" s="19">
        <v>0</v>
      </c>
      <c r="AD1517" s="19">
        <v>0</v>
      </c>
      <c r="AE1517" s="19">
        <v>0</v>
      </c>
      <c r="AF1517" s="19">
        <v>0</v>
      </c>
      <c r="AG1517" s="19">
        <v>0</v>
      </c>
      <c r="AH1517" s="19">
        <v>0</v>
      </c>
      <c r="AI1517" s="19">
        <v>0</v>
      </c>
    </row>
    <row r="1518" spans="1:35" ht="14.5">
      <c r="A1518" s="990">
        <v>1</v>
      </c>
      <c r="B1518" s="990">
        <v>1</v>
      </c>
      <c r="C1518" s="990" t="s">
        <v>1129</v>
      </c>
      <c r="E1518" s="1611" t="s">
        <v>1013</v>
      </c>
      <c r="F1518" s="1610"/>
      <c r="G1518" s="1731"/>
      <c r="H1518" s="1732"/>
      <c r="I1518" s="1327"/>
      <c r="J1518" s="1321"/>
      <c r="K1518" s="1321" t="s">
        <v>1023</v>
      </c>
      <c r="Q1518" s="19">
        <v>0</v>
      </c>
      <c r="R1518" s="19">
        <v>0</v>
      </c>
      <c r="S1518" s="19">
        <v>0</v>
      </c>
      <c r="T1518" s="19">
        <v>0</v>
      </c>
      <c r="U1518" s="19">
        <v>0</v>
      </c>
      <c r="V1518" s="19">
        <v>0</v>
      </c>
      <c r="W1518" s="19">
        <v>0</v>
      </c>
      <c r="X1518" s="19">
        <v>0</v>
      </c>
      <c r="Y1518" s="19">
        <v>0</v>
      </c>
      <c r="Z1518" s="19">
        <v>0</v>
      </c>
      <c r="AA1518" s="19">
        <v>0</v>
      </c>
      <c r="AB1518" s="19">
        <v>0</v>
      </c>
      <c r="AC1518" s="19">
        <v>0</v>
      </c>
      <c r="AD1518" s="19">
        <v>0</v>
      </c>
      <c r="AE1518" s="19">
        <v>0</v>
      </c>
      <c r="AF1518" s="19">
        <v>0</v>
      </c>
      <c r="AG1518" s="19">
        <v>0</v>
      </c>
      <c r="AH1518" s="19">
        <v>0</v>
      </c>
      <c r="AI1518" s="19">
        <v>0</v>
      </c>
    </row>
    <row r="1519" spans="1:35" ht="14.5">
      <c r="A1519" s="990">
        <v>1</v>
      </c>
      <c r="B1519" s="990">
        <v>1</v>
      </c>
      <c r="C1519" s="990" t="s">
        <v>1129</v>
      </c>
      <c r="E1519" s="1611" t="s">
        <v>1013</v>
      </c>
      <c r="F1519" s="1610"/>
      <c r="G1519" s="1731"/>
      <c r="H1519" s="1732"/>
      <c r="I1519" s="1327"/>
      <c r="J1519" s="1736" t="s">
        <v>1590</v>
      </c>
      <c r="K1519" s="1736"/>
      <c r="L1519" s="1737"/>
      <c r="M1519" s="278"/>
      <c r="N1519" s="278"/>
      <c r="O1519" s="278"/>
      <c r="P1519" s="278"/>
      <c r="Q1519" s="1738">
        <v>0</v>
      </c>
      <c r="R1519" s="1738">
        <v>0</v>
      </c>
      <c r="S1519" s="1738">
        <v>0</v>
      </c>
      <c r="T1519" s="1738">
        <v>0</v>
      </c>
      <c r="U1519" s="1738">
        <v>0</v>
      </c>
      <c r="V1519" s="1738">
        <v>0</v>
      </c>
      <c r="W1519" s="1738">
        <v>0</v>
      </c>
      <c r="X1519" s="1738">
        <v>0</v>
      </c>
      <c r="Y1519" s="1738">
        <v>0</v>
      </c>
      <c r="Z1519" s="1738">
        <v>0</v>
      </c>
      <c r="AA1519" s="1738">
        <v>0</v>
      </c>
      <c r="AB1519" s="1738">
        <v>0</v>
      </c>
      <c r="AC1519" s="1738">
        <v>0</v>
      </c>
      <c r="AD1519" s="1738">
        <v>0</v>
      </c>
      <c r="AE1519" s="1738">
        <v>0</v>
      </c>
      <c r="AF1519" s="1738">
        <v>0</v>
      </c>
      <c r="AG1519" s="1738">
        <v>0</v>
      </c>
      <c r="AH1519" s="1738">
        <v>0</v>
      </c>
      <c r="AI1519" s="1738">
        <v>0</v>
      </c>
    </row>
    <row r="1520" spans="1:35" ht="14.5">
      <c r="A1520" s="990">
        <v>1</v>
      </c>
      <c r="B1520" s="990">
        <v>1</v>
      </c>
      <c r="C1520" s="990" t="s">
        <v>1129</v>
      </c>
      <c r="E1520" s="1611" t="s">
        <v>1013</v>
      </c>
      <c r="F1520" s="1610"/>
      <c r="G1520" s="1731"/>
      <c r="H1520" s="1732"/>
      <c r="I1520" s="1327"/>
      <c r="J1520" s="1321"/>
      <c r="K1520" s="1321" t="s">
        <v>1022</v>
      </c>
      <c r="Q1520" s="19">
        <v>0</v>
      </c>
      <c r="R1520" s="19">
        <v>0</v>
      </c>
      <c r="S1520" s="19">
        <v>0</v>
      </c>
      <c r="T1520" s="19">
        <v>0</v>
      </c>
      <c r="U1520" s="19">
        <v>0</v>
      </c>
      <c r="V1520" s="19">
        <v>0</v>
      </c>
      <c r="W1520" s="19">
        <v>0</v>
      </c>
      <c r="X1520" s="19">
        <v>0</v>
      </c>
      <c r="Y1520" s="19">
        <v>0</v>
      </c>
      <c r="Z1520" s="19">
        <v>0</v>
      </c>
      <c r="AA1520" s="19">
        <v>0</v>
      </c>
      <c r="AB1520" s="19">
        <v>0</v>
      </c>
      <c r="AC1520" s="19">
        <v>0</v>
      </c>
      <c r="AD1520" s="19">
        <v>0</v>
      </c>
      <c r="AE1520" s="19">
        <v>0</v>
      </c>
      <c r="AF1520" s="19">
        <v>0</v>
      </c>
      <c r="AG1520" s="19">
        <v>0</v>
      </c>
      <c r="AH1520" s="19">
        <v>0</v>
      </c>
      <c r="AI1520" s="19">
        <v>0</v>
      </c>
    </row>
    <row r="1521" spans="1:35" ht="14.5">
      <c r="A1521" s="990">
        <v>1</v>
      </c>
      <c r="B1521" s="990">
        <v>1</v>
      </c>
      <c r="C1521" s="990" t="s">
        <v>1129</v>
      </c>
      <c r="E1521" s="1611" t="s">
        <v>1013</v>
      </c>
      <c r="F1521" s="1610"/>
      <c r="G1521" s="1731"/>
      <c r="H1521" s="1732"/>
      <c r="I1521" s="1327"/>
      <c r="J1521" s="1321"/>
      <c r="K1521" s="1321" t="s">
        <v>1023</v>
      </c>
      <c r="Q1521" s="19">
        <v>0</v>
      </c>
      <c r="R1521" s="19">
        <v>0</v>
      </c>
      <c r="S1521" s="19">
        <v>0</v>
      </c>
      <c r="T1521" s="19">
        <v>0</v>
      </c>
      <c r="U1521" s="19">
        <v>0</v>
      </c>
      <c r="V1521" s="19">
        <v>0</v>
      </c>
      <c r="W1521" s="19">
        <v>0</v>
      </c>
      <c r="X1521" s="19">
        <v>0</v>
      </c>
      <c r="Y1521" s="19">
        <v>0</v>
      </c>
      <c r="Z1521" s="19">
        <v>0</v>
      </c>
      <c r="AA1521" s="19">
        <v>0</v>
      </c>
      <c r="AB1521" s="19">
        <v>0</v>
      </c>
      <c r="AC1521" s="19">
        <v>0</v>
      </c>
      <c r="AD1521" s="19">
        <v>0</v>
      </c>
      <c r="AE1521" s="19">
        <v>0</v>
      </c>
      <c r="AF1521" s="19">
        <v>0</v>
      </c>
      <c r="AG1521" s="19">
        <v>0</v>
      </c>
      <c r="AH1521" s="19">
        <v>0</v>
      </c>
      <c r="AI1521" s="19">
        <v>0</v>
      </c>
    </row>
    <row r="1522" spans="1:35" ht="14.5">
      <c r="A1522" s="990">
        <v>1</v>
      </c>
      <c r="B1522" s="990">
        <v>1</v>
      </c>
      <c r="C1522" s="990" t="s">
        <v>1129</v>
      </c>
      <c r="E1522" s="1611" t="s">
        <v>1013</v>
      </c>
      <c r="F1522" s="1610"/>
      <c r="G1522" s="1731"/>
      <c r="H1522" s="1732"/>
      <c r="I1522" s="1327"/>
      <c r="J1522" s="1736" t="s">
        <v>85</v>
      </c>
      <c r="K1522" s="1736"/>
      <c r="L1522" s="1737"/>
      <c r="M1522" s="278"/>
      <c r="N1522" s="278"/>
      <c r="O1522" s="278"/>
      <c r="P1522" s="278"/>
      <c r="Q1522" s="1738">
        <v>0</v>
      </c>
      <c r="R1522" s="1738">
        <v>0</v>
      </c>
      <c r="S1522" s="1738">
        <v>0</v>
      </c>
      <c r="T1522" s="1738">
        <v>0</v>
      </c>
      <c r="U1522" s="1738">
        <v>0</v>
      </c>
      <c r="V1522" s="1738">
        <v>0</v>
      </c>
      <c r="W1522" s="1738">
        <v>0</v>
      </c>
      <c r="X1522" s="1738">
        <v>0</v>
      </c>
      <c r="Y1522" s="1738">
        <v>0</v>
      </c>
      <c r="Z1522" s="1738">
        <v>0</v>
      </c>
      <c r="AA1522" s="1738">
        <v>0</v>
      </c>
      <c r="AB1522" s="1738">
        <v>0</v>
      </c>
      <c r="AC1522" s="1738">
        <v>0</v>
      </c>
      <c r="AD1522" s="1738">
        <v>0</v>
      </c>
      <c r="AE1522" s="1738">
        <v>0</v>
      </c>
      <c r="AF1522" s="1738">
        <v>0</v>
      </c>
      <c r="AG1522" s="1738">
        <v>0</v>
      </c>
      <c r="AH1522" s="1738">
        <v>0</v>
      </c>
      <c r="AI1522" s="1738">
        <v>0</v>
      </c>
    </row>
    <row r="1523" spans="1:35" ht="14.5">
      <c r="A1523" s="990">
        <v>1</v>
      </c>
      <c r="B1523" s="990">
        <v>1</v>
      </c>
      <c r="C1523" s="990" t="s">
        <v>1129</v>
      </c>
      <c r="E1523" s="1611" t="s">
        <v>1013</v>
      </c>
      <c r="F1523" s="1610"/>
      <c r="G1523" s="1731"/>
      <c r="H1523" s="1732"/>
      <c r="I1523" s="1327"/>
      <c r="J1523" s="1736" t="s">
        <v>11</v>
      </c>
      <c r="K1523" s="1736"/>
      <c r="L1523" s="1737"/>
      <c r="M1523" s="278"/>
      <c r="N1523" s="278"/>
      <c r="O1523" s="278"/>
      <c r="P1523" s="278"/>
      <c r="Q1523" s="1738">
        <v>0</v>
      </c>
      <c r="R1523" s="1738">
        <v>0</v>
      </c>
      <c r="S1523" s="1738">
        <v>0</v>
      </c>
      <c r="T1523" s="1738">
        <v>0</v>
      </c>
      <c r="U1523" s="1738">
        <v>0</v>
      </c>
      <c r="V1523" s="1738">
        <v>0</v>
      </c>
      <c r="W1523" s="1738">
        <v>0</v>
      </c>
      <c r="X1523" s="1738">
        <v>0</v>
      </c>
      <c r="Y1523" s="1738">
        <v>0</v>
      </c>
      <c r="Z1523" s="1738">
        <v>0</v>
      </c>
      <c r="AA1523" s="1738">
        <v>0</v>
      </c>
      <c r="AB1523" s="1738">
        <v>0</v>
      </c>
      <c r="AC1523" s="1738">
        <v>0</v>
      </c>
      <c r="AD1523" s="1738">
        <v>0</v>
      </c>
      <c r="AE1523" s="1738">
        <v>0</v>
      </c>
      <c r="AF1523" s="1738">
        <v>0</v>
      </c>
      <c r="AG1523" s="1738">
        <v>0</v>
      </c>
      <c r="AH1523" s="1738">
        <v>0</v>
      </c>
      <c r="AI1523" s="1738">
        <v>0</v>
      </c>
    </row>
    <row r="1524" spans="1:35" ht="14.5">
      <c r="A1524" s="990">
        <v>1</v>
      </c>
      <c r="B1524" s="990">
        <v>1</v>
      </c>
      <c r="C1524" s="990" t="s">
        <v>1129</v>
      </c>
      <c r="E1524" s="1611" t="s">
        <v>1013</v>
      </c>
      <c r="F1524" s="1610"/>
      <c r="G1524" s="1731"/>
      <c r="H1524" s="1732"/>
      <c r="I1524" s="2756" t="s">
        <v>1642</v>
      </c>
      <c r="J1524" s="1745"/>
      <c r="K1524" s="1745"/>
      <c r="L1524" s="1746"/>
      <c r="M1524" s="1747"/>
      <c r="N1524" s="1747"/>
      <c r="O1524" s="1747"/>
      <c r="P1524" s="1747"/>
      <c r="Q1524" s="2313">
        <v>0</v>
      </c>
      <c r="R1524" s="2313">
        <v>0</v>
      </c>
      <c r="S1524" s="2313">
        <v>0</v>
      </c>
      <c r="T1524" s="2313">
        <v>0</v>
      </c>
      <c r="U1524" s="2313">
        <v>0</v>
      </c>
      <c r="V1524" s="2313">
        <v>0</v>
      </c>
      <c r="W1524" s="2313">
        <v>0</v>
      </c>
      <c r="X1524" s="2313">
        <v>0</v>
      </c>
      <c r="Y1524" s="2313">
        <v>0</v>
      </c>
      <c r="Z1524" s="2313">
        <v>0</v>
      </c>
      <c r="AA1524" s="2313">
        <v>0</v>
      </c>
      <c r="AB1524" s="2313">
        <v>0</v>
      </c>
      <c r="AC1524" s="2313">
        <v>0</v>
      </c>
      <c r="AD1524" s="2313">
        <v>0</v>
      </c>
      <c r="AE1524" s="2313">
        <v>0</v>
      </c>
      <c r="AF1524" s="2313">
        <v>0</v>
      </c>
      <c r="AG1524" s="2313">
        <v>0</v>
      </c>
      <c r="AH1524" s="2313">
        <v>0</v>
      </c>
      <c r="AI1524" s="2313">
        <v>0</v>
      </c>
    </row>
    <row r="1525" spans="1:35" ht="14.5">
      <c r="A1525" s="990">
        <v>1</v>
      </c>
      <c r="B1525" s="990">
        <v>1</v>
      </c>
      <c r="C1525" s="990" t="s">
        <v>1129</v>
      </c>
      <c r="E1525" s="1611" t="s">
        <v>1013</v>
      </c>
      <c r="F1525" s="1610"/>
      <c r="G1525" s="1731"/>
      <c r="H1525" s="1732"/>
      <c r="I1525" s="1327"/>
      <c r="J1525" s="1736" t="s">
        <v>1588</v>
      </c>
      <c r="K1525" s="1736"/>
      <c r="L1525" s="1737"/>
      <c r="M1525" s="278"/>
      <c r="N1525" s="278"/>
      <c r="O1525" s="278"/>
      <c r="P1525" s="278"/>
      <c r="Q1525" s="1738">
        <v>0</v>
      </c>
      <c r="R1525" s="1738">
        <v>0</v>
      </c>
      <c r="S1525" s="1738">
        <v>0</v>
      </c>
      <c r="T1525" s="1738">
        <v>0</v>
      </c>
      <c r="U1525" s="1738">
        <v>0</v>
      </c>
      <c r="V1525" s="1738">
        <v>0</v>
      </c>
      <c r="W1525" s="1738">
        <v>0</v>
      </c>
      <c r="X1525" s="1738">
        <v>0</v>
      </c>
      <c r="Y1525" s="1738">
        <v>0</v>
      </c>
      <c r="Z1525" s="1738">
        <v>0</v>
      </c>
      <c r="AA1525" s="1738">
        <v>0</v>
      </c>
      <c r="AB1525" s="1738">
        <v>0</v>
      </c>
      <c r="AC1525" s="1738">
        <v>0</v>
      </c>
      <c r="AD1525" s="1738">
        <v>0</v>
      </c>
      <c r="AE1525" s="1738">
        <v>0</v>
      </c>
      <c r="AF1525" s="1738">
        <v>0</v>
      </c>
      <c r="AG1525" s="1738">
        <v>0</v>
      </c>
      <c r="AH1525" s="1738">
        <v>0</v>
      </c>
      <c r="AI1525" s="1738">
        <v>0</v>
      </c>
    </row>
    <row r="1526" spans="1:35" ht="14.5">
      <c r="A1526" s="990">
        <v>1</v>
      </c>
      <c r="B1526" s="990">
        <v>1</v>
      </c>
      <c r="C1526" s="990" t="s">
        <v>1129</v>
      </c>
      <c r="E1526" s="1611" t="s">
        <v>1013</v>
      </c>
      <c r="F1526" s="1610"/>
      <c r="G1526" s="1731"/>
      <c r="H1526" s="1732"/>
      <c r="I1526" s="1327"/>
      <c r="J1526" s="1321"/>
      <c r="K1526" s="1321" t="s">
        <v>1022</v>
      </c>
      <c r="Q1526" s="19">
        <v>0</v>
      </c>
      <c r="R1526" s="19">
        <v>0</v>
      </c>
      <c r="S1526" s="19">
        <v>0</v>
      </c>
      <c r="T1526" s="19">
        <v>0</v>
      </c>
      <c r="U1526" s="19">
        <v>0</v>
      </c>
      <c r="V1526" s="19">
        <v>0</v>
      </c>
      <c r="W1526" s="19">
        <v>0</v>
      </c>
      <c r="X1526" s="19">
        <v>0</v>
      </c>
      <c r="Y1526" s="19">
        <v>0</v>
      </c>
      <c r="Z1526" s="19">
        <v>0</v>
      </c>
      <c r="AA1526" s="19">
        <v>0</v>
      </c>
      <c r="AB1526" s="19">
        <v>0</v>
      </c>
      <c r="AC1526" s="19">
        <v>0</v>
      </c>
      <c r="AD1526" s="19">
        <v>0</v>
      </c>
      <c r="AE1526" s="19">
        <v>0</v>
      </c>
      <c r="AF1526" s="19">
        <v>0</v>
      </c>
      <c r="AG1526" s="19">
        <v>0</v>
      </c>
      <c r="AH1526" s="19">
        <v>0</v>
      </c>
      <c r="AI1526" s="19">
        <v>0</v>
      </c>
    </row>
    <row r="1527" spans="1:35" ht="14.5">
      <c r="A1527" s="990">
        <v>1</v>
      </c>
      <c r="B1527" s="990">
        <v>1</v>
      </c>
      <c r="C1527" s="990" t="s">
        <v>1129</v>
      </c>
      <c r="E1527" s="1611" t="s">
        <v>1013</v>
      </c>
      <c r="F1527" s="1610"/>
      <c r="G1527" s="1731"/>
      <c r="H1527" s="1732"/>
      <c r="I1527" s="1327"/>
      <c r="J1527" s="1321"/>
      <c r="K1527" s="1321" t="s">
        <v>1023</v>
      </c>
      <c r="Q1527" s="19">
        <v>0</v>
      </c>
      <c r="R1527" s="19">
        <v>0</v>
      </c>
      <c r="S1527" s="19">
        <v>0</v>
      </c>
      <c r="T1527" s="19">
        <v>0</v>
      </c>
      <c r="U1527" s="19">
        <v>0</v>
      </c>
      <c r="V1527" s="19">
        <v>0</v>
      </c>
      <c r="W1527" s="19">
        <v>0</v>
      </c>
      <c r="X1527" s="19">
        <v>0</v>
      </c>
      <c r="Y1527" s="19">
        <v>0</v>
      </c>
      <c r="Z1527" s="19">
        <v>0</v>
      </c>
      <c r="AA1527" s="19">
        <v>0</v>
      </c>
      <c r="AB1527" s="19">
        <v>0</v>
      </c>
      <c r="AC1527" s="19">
        <v>0</v>
      </c>
      <c r="AD1527" s="19">
        <v>0</v>
      </c>
      <c r="AE1527" s="19">
        <v>0</v>
      </c>
      <c r="AF1527" s="19">
        <v>0</v>
      </c>
      <c r="AG1527" s="19">
        <v>0</v>
      </c>
      <c r="AH1527" s="19">
        <v>0</v>
      </c>
      <c r="AI1527" s="19">
        <v>0</v>
      </c>
    </row>
    <row r="1528" spans="1:35" ht="14.5">
      <c r="A1528" s="990">
        <v>1</v>
      </c>
      <c r="B1528" s="990">
        <v>1</v>
      </c>
      <c r="C1528" s="990" t="s">
        <v>1129</v>
      </c>
      <c r="E1528" s="1611" t="s">
        <v>1013</v>
      </c>
      <c r="F1528" s="1610"/>
      <c r="G1528" s="1731"/>
      <c r="H1528" s="1732"/>
      <c r="I1528" s="1327"/>
      <c r="J1528" s="1736" t="s">
        <v>1590</v>
      </c>
      <c r="K1528" s="1736"/>
      <c r="L1528" s="1737"/>
      <c r="M1528" s="278"/>
      <c r="N1528" s="278"/>
      <c r="O1528" s="278"/>
      <c r="P1528" s="278"/>
      <c r="Q1528" s="1738">
        <v>0</v>
      </c>
      <c r="R1528" s="1738">
        <v>0</v>
      </c>
      <c r="S1528" s="1738">
        <v>0</v>
      </c>
      <c r="T1528" s="1738">
        <v>0</v>
      </c>
      <c r="U1528" s="1738">
        <v>0</v>
      </c>
      <c r="V1528" s="1738">
        <v>0</v>
      </c>
      <c r="W1528" s="1738">
        <v>0</v>
      </c>
      <c r="X1528" s="1738">
        <v>0</v>
      </c>
      <c r="Y1528" s="1738">
        <v>0</v>
      </c>
      <c r="Z1528" s="1738">
        <v>0</v>
      </c>
      <c r="AA1528" s="1738">
        <v>0</v>
      </c>
      <c r="AB1528" s="1738">
        <v>0</v>
      </c>
      <c r="AC1528" s="1738">
        <v>0</v>
      </c>
      <c r="AD1528" s="1738">
        <v>0</v>
      </c>
      <c r="AE1528" s="1738">
        <v>0</v>
      </c>
      <c r="AF1528" s="1738">
        <v>0</v>
      </c>
      <c r="AG1528" s="1738">
        <v>0</v>
      </c>
      <c r="AH1528" s="1738">
        <v>0</v>
      </c>
      <c r="AI1528" s="1738">
        <v>0</v>
      </c>
    </row>
    <row r="1529" spans="1:35" ht="14.5">
      <c r="A1529" s="990">
        <v>1</v>
      </c>
      <c r="B1529" s="990">
        <v>1</v>
      </c>
      <c r="C1529" s="990" t="s">
        <v>1129</v>
      </c>
      <c r="E1529" s="1611" t="s">
        <v>1013</v>
      </c>
      <c r="F1529" s="1610"/>
      <c r="G1529" s="1731"/>
      <c r="H1529" s="1732"/>
      <c r="I1529" s="1327"/>
      <c r="J1529" s="1321"/>
      <c r="K1529" s="1321" t="s">
        <v>1022</v>
      </c>
      <c r="Q1529" s="19">
        <v>0</v>
      </c>
      <c r="R1529" s="19">
        <v>0</v>
      </c>
      <c r="S1529" s="19">
        <v>0</v>
      </c>
      <c r="T1529" s="19">
        <v>0</v>
      </c>
      <c r="U1529" s="19">
        <v>0</v>
      </c>
      <c r="V1529" s="19">
        <v>0</v>
      </c>
      <c r="W1529" s="19">
        <v>0</v>
      </c>
      <c r="X1529" s="19">
        <v>0</v>
      </c>
      <c r="Y1529" s="19">
        <v>0</v>
      </c>
      <c r="Z1529" s="19">
        <v>0</v>
      </c>
      <c r="AA1529" s="19">
        <v>0</v>
      </c>
      <c r="AB1529" s="19">
        <v>0</v>
      </c>
      <c r="AC1529" s="19">
        <v>0</v>
      </c>
      <c r="AD1529" s="19">
        <v>0</v>
      </c>
      <c r="AE1529" s="19">
        <v>0</v>
      </c>
      <c r="AF1529" s="19">
        <v>0</v>
      </c>
      <c r="AG1529" s="19">
        <v>0</v>
      </c>
      <c r="AH1529" s="19">
        <v>0</v>
      </c>
      <c r="AI1529" s="19">
        <v>0</v>
      </c>
    </row>
    <row r="1530" spans="1:35" ht="14.5">
      <c r="A1530" s="990">
        <v>1</v>
      </c>
      <c r="B1530" s="990">
        <v>1</v>
      </c>
      <c r="C1530" s="990" t="s">
        <v>1129</v>
      </c>
      <c r="E1530" s="1611" t="s">
        <v>1013</v>
      </c>
      <c r="F1530" s="1610"/>
      <c r="G1530" s="1731"/>
      <c r="H1530" s="1732"/>
      <c r="I1530" s="1327"/>
      <c r="J1530" s="1321"/>
      <c r="K1530" s="1321" t="s">
        <v>1023</v>
      </c>
      <c r="Q1530" s="19">
        <v>0</v>
      </c>
      <c r="R1530" s="19">
        <v>0</v>
      </c>
      <c r="S1530" s="19">
        <v>0</v>
      </c>
      <c r="T1530" s="19">
        <v>0</v>
      </c>
      <c r="U1530" s="19">
        <v>0</v>
      </c>
      <c r="V1530" s="19">
        <v>0</v>
      </c>
      <c r="W1530" s="19">
        <v>0</v>
      </c>
      <c r="X1530" s="19">
        <v>0</v>
      </c>
      <c r="Y1530" s="19">
        <v>0</v>
      </c>
      <c r="Z1530" s="19">
        <v>0</v>
      </c>
      <c r="AA1530" s="19">
        <v>0</v>
      </c>
      <c r="AB1530" s="19">
        <v>0</v>
      </c>
      <c r="AC1530" s="19">
        <v>0</v>
      </c>
      <c r="AD1530" s="19">
        <v>0</v>
      </c>
      <c r="AE1530" s="19">
        <v>0</v>
      </c>
      <c r="AF1530" s="19">
        <v>0</v>
      </c>
      <c r="AG1530" s="19">
        <v>0</v>
      </c>
      <c r="AH1530" s="19">
        <v>0</v>
      </c>
      <c r="AI1530" s="19">
        <v>0</v>
      </c>
    </row>
    <row r="1531" spans="1:35" ht="14.5">
      <c r="A1531" s="990">
        <v>1</v>
      </c>
      <c r="B1531" s="990">
        <v>1</v>
      </c>
      <c r="C1531" s="990" t="s">
        <v>1129</v>
      </c>
      <c r="E1531" s="1611" t="s">
        <v>1013</v>
      </c>
      <c r="F1531" s="1610"/>
      <c r="G1531" s="1731"/>
      <c r="H1531" s="1732"/>
      <c r="I1531" s="1327"/>
      <c r="J1531" s="1736" t="s">
        <v>275</v>
      </c>
      <c r="K1531" s="1736"/>
      <c r="L1531" s="1737"/>
      <c r="M1531" s="278"/>
      <c r="N1531" s="278"/>
      <c r="O1531" s="278"/>
      <c r="P1531" s="278"/>
      <c r="Q1531" s="1738">
        <v>0</v>
      </c>
      <c r="R1531" s="1738">
        <v>0</v>
      </c>
      <c r="S1531" s="1738">
        <v>0</v>
      </c>
      <c r="T1531" s="1738">
        <v>0</v>
      </c>
      <c r="U1531" s="1738">
        <v>0</v>
      </c>
      <c r="V1531" s="1738">
        <v>0</v>
      </c>
      <c r="W1531" s="1738">
        <v>0</v>
      </c>
      <c r="X1531" s="1738">
        <v>0</v>
      </c>
      <c r="Y1531" s="1738">
        <v>0</v>
      </c>
      <c r="Z1531" s="1738">
        <v>0</v>
      </c>
      <c r="AA1531" s="1738">
        <v>0</v>
      </c>
      <c r="AB1531" s="1738">
        <v>0</v>
      </c>
      <c r="AC1531" s="1738">
        <v>0</v>
      </c>
      <c r="AD1531" s="1738">
        <v>0</v>
      </c>
      <c r="AE1531" s="1738">
        <v>0</v>
      </c>
      <c r="AF1531" s="1738">
        <v>0</v>
      </c>
      <c r="AG1531" s="1738">
        <v>0</v>
      </c>
      <c r="AH1531" s="1738">
        <v>0</v>
      </c>
      <c r="AI1531" s="1738">
        <v>0</v>
      </c>
    </row>
    <row r="1532" spans="1:35" ht="14.5">
      <c r="A1532" s="990">
        <v>1</v>
      </c>
      <c r="B1532" s="990">
        <v>1</v>
      </c>
      <c r="C1532" s="990" t="s">
        <v>1129</v>
      </c>
      <c r="E1532" s="1611" t="s">
        <v>1013</v>
      </c>
      <c r="F1532" s="1610"/>
      <c r="G1532" s="1731"/>
      <c r="H1532" s="1732"/>
      <c r="I1532" s="1327"/>
      <c r="J1532" s="1736" t="s">
        <v>1643</v>
      </c>
      <c r="K1532" s="1736"/>
      <c r="L1532" s="1737"/>
      <c r="M1532" s="278"/>
      <c r="N1532" s="278"/>
      <c r="O1532" s="278"/>
      <c r="P1532" s="278"/>
      <c r="Q1532" s="1738">
        <v>0</v>
      </c>
      <c r="R1532" s="1738">
        <v>0</v>
      </c>
      <c r="S1532" s="1738">
        <v>0</v>
      </c>
      <c r="T1532" s="1738">
        <v>0</v>
      </c>
      <c r="U1532" s="1738">
        <v>0</v>
      </c>
      <c r="V1532" s="1738">
        <v>0</v>
      </c>
      <c r="W1532" s="1738">
        <v>0</v>
      </c>
      <c r="X1532" s="1738">
        <v>0</v>
      </c>
      <c r="Y1532" s="1738">
        <v>0</v>
      </c>
      <c r="Z1532" s="1738">
        <v>0</v>
      </c>
      <c r="AA1532" s="1738">
        <v>0</v>
      </c>
      <c r="AB1532" s="1738">
        <v>0</v>
      </c>
      <c r="AC1532" s="1738">
        <v>0</v>
      </c>
      <c r="AD1532" s="1738">
        <v>0</v>
      </c>
      <c r="AE1532" s="1738">
        <v>0</v>
      </c>
      <c r="AF1532" s="1738">
        <v>0</v>
      </c>
      <c r="AG1532" s="1738">
        <v>0</v>
      </c>
      <c r="AH1532" s="1738">
        <v>0</v>
      </c>
      <c r="AI1532" s="1738">
        <v>0</v>
      </c>
    </row>
    <row r="1533" spans="1:35" ht="14.5">
      <c r="A1533" s="990">
        <v>1</v>
      </c>
      <c r="B1533" s="990">
        <v>1</v>
      </c>
      <c r="C1533" s="990" t="s">
        <v>1129</v>
      </c>
      <c r="E1533" s="1611" t="s">
        <v>1013</v>
      </c>
      <c r="F1533" s="1610"/>
      <c r="G1533" s="1731"/>
      <c r="H1533" s="1732"/>
      <c r="I1533" s="2756" t="s">
        <v>1143</v>
      </c>
      <c r="J1533" s="1745"/>
      <c r="K1533" s="1745"/>
      <c r="L1533" s="1746"/>
      <c r="M1533" s="1747"/>
      <c r="N1533" s="1747"/>
      <c r="O1533" s="1747"/>
      <c r="P1533" s="1747"/>
      <c r="Q1533" s="2313">
        <v>0</v>
      </c>
      <c r="R1533" s="2313">
        <v>0</v>
      </c>
      <c r="S1533" s="2313">
        <v>0</v>
      </c>
      <c r="T1533" s="2313">
        <v>0</v>
      </c>
      <c r="U1533" s="2313">
        <v>0</v>
      </c>
      <c r="V1533" s="2313">
        <v>0</v>
      </c>
      <c r="W1533" s="2313">
        <v>0</v>
      </c>
      <c r="X1533" s="2313">
        <v>0</v>
      </c>
      <c r="Y1533" s="2313">
        <v>0</v>
      </c>
      <c r="Z1533" s="2313">
        <v>0</v>
      </c>
      <c r="AA1533" s="2313">
        <v>0</v>
      </c>
      <c r="AB1533" s="2313">
        <v>0</v>
      </c>
      <c r="AC1533" s="2313">
        <v>0</v>
      </c>
      <c r="AD1533" s="2313">
        <v>0</v>
      </c>
      <c r="AE1533" s="2313">
        <v>0</v>
      </c>
      <c r="AF1533" s="2313">
        <v>0</v>
      </c>
      <c r="AG1533" s="2313">
        <v>0</v>
      </c>
      <c r="AH1533" s="2313">
        <v>0</v>
      </c>
      <c r="AI1533" s="2313">
        <v>0</v>
      </c>
    </row>
    <row r="1534" spans="1:35" ht="14.5">
      <c r="A1534" s="990">
        <v>1</v>
      </c>
      <c r="B1534" s="990">
        <v>1</v>
      </c>
      <c r="C1534" s="990" t="s">
        <v>1129</v>
      </c>
      <c r="E1534" s="1611" t="s">
        <v>1013</v>
      </c>
      <c r="F1534" s="1610"/>
      <c r="G1534" s="1731"/>
      <c r="H1534" s="1732"/>
      <c r="I1534" s="1327"/>
      <c r="J1534" s="1736" t="s">
        <v>1588</v>
      </c>
      <c r="K1534" s="1736"/>
      <c r="L1534" s="1737"/>
      <c r="M1534" s="278"/>
      <c r="N1534" s="278"/>
      <c r="O1534" s="278"/>
      <c r="P1534" s="278"/>
      <c r="Q1534" s="1738">
        <v>0</v>
      </c>
      <c r="R1534" s="1738">
        <v>0</v>
      </c>
      <c r="S1534" s="1738">
        <v>0</v>
      </c>
      <c r="T1534" s="1738">
        <v>0</v>
      </c>
      <c r="U1534" s="1738">
        <v>0</v>
      </c>
      <c r="V1534" s="1738">
        <v>0</v>
      </c>
      <c r="W1534" s="1738">
        <v>0</v>
      </c>
      <c r="X1534" s="1738">
        <v>0</v>
      </c>
      <c r="Y1534" s="1738">
        <v>0</v>
      </c>
      <c r="Z1534" s="1738">
        <v>0</v>
      </c>
      <c r="AA1534" s="1738">
        <v>0</v>
      </c>
      <c r="AB1534" s="1738">
        <v>0</v>
      </c>
      <c r="AC1534" s="1738">
        <v>0</v>
      </c>
      <c r="AD1534" s="1738">
        <v>0</v>
      </c>
      <c r="AE1534" s="1738">
        <v>0</v>
      </c>
      <c r="AF1534" s="1738">
        <v>0</v>
      </c>
      <c r="AG1534" s="1738">
        <v>0</v>
      </c>
      <c r="AH1534" s="1738">
        <v>0</v>
      </c>
      <c r="AI1534" s="1738">
        <v>0</v>
      </c>
    </row>
    <row r="1535" spans="1:35" ht="14.5">
      <c r="A1535" s="990">
        <v>1</v>
      </c>
      <c r="B1535" s="990">
        <v>1</v>
      </c>
      <c r="C1535" s="990" t="s">
        <v>1129</v>
      </c>
      <c r="E1535" s="1611" t="s">
        <v>1013</v>
      </c>
      <c r="F1535" s="1610"/>
      <c r="G1535" s="1731"/>
      <c r="H1535" s="1732"/>
      <c r="I1535" s="1327"/>
      <c r="J1535" s="1321"/>
      <c r="K1535" s="1321" t="s">
        <v>1022</v>
      </c>
      <c r="Q1535" s="19">
        <v>0</v>
      </c>
      <c r="R1535" s="19">
        <v>0</v>
      </c>
      <c r="S1535" s="19">
        <v>0</v>
      </c>
      <c r="T1535" s="19">
        <v>0</v>
      </c>
      <c r="U1535" s="19">
        <v>0</v>
      </c>
      <c r="V1535" s="19">
        <v>0</v>
      </c>
      <c r="W1535" s="19">
        <v>0</v>
      </c>
      <c r="X1535" s="19">
        <v>0</v>
      </c>
      <c r="Y1535" s="19">
        <v>0</v>
      </c>
      <c r="Z1535" s="19">
        <v>0</v>
      </c>
      <c r="AA1535" s="19">
        <v>0</v>
      </c>
      <c r="AB1535" s="19">
        <v>0</v>
      </c>
      <c r="AC1535" s="19">
        <v>0</v>
      </c>
      <c r="AD1535" s="19">
        <v>0</v>
      </c>
      <c r="AE1535" s="19">
        <v>0</v>
      </c>
      <c r="AF1535" s="19">
        <v>0</v>
      </c>
      <c r="AG1535" s="19">
        <v>0</v>
      </c>
      <c r="AH1535" s="19">
        <v>0</v>
      </c>
      <c r="AI1535" s="19">
        <v>0</v>
      </c>
    </row>
    <row r="1536" spans="1:35" ht="14.5">
      <c r="A1536" s="990">
        <v>1</v>
      </c>
      <c r="B1536" s="990">
        <v>1</v>
      </c>
      <c r="C1536" s="990" t="s">
        <v>1129</v>
      </c>
      <c r="E1536" s="1611" t="s">
        <v>1013</v>
      </c>
      <c r="F1536" s="1610"/>
      <c r="G1536" s="1731"/>
      <c r="H1536" s="1732"/>
      <c r="I1536" s="1327"/>
      <c r="J1536" s="1321"/>
      <c r="K1536" s="1321" t="s">
        <v>1023</v>
      </c>
      <c r="Q1536" s="19">
        <v>0</v>
      </c>
      <c r="R1536" s="19">
        <v>0</v>
      </c>
      <c r="S1536" s="19">
        <v>0</v>
      </c>
      <c r="T1536" s="19">
        <v>0</v>
      </c>
      <c r="U1536" s="19">
        <v>0</v>
      </c>
      <c r="V1536" s="19">
        <v>0</v>
      </c>
      <c r="W1536" s="19">
        <v>0</v>
      </c>
      <c r="X1536" s="19">
        <v>0</v>
      </c>
      <c r="Y1536" s="19">
        <v>0</v>
      </c>
      <c r="Z1536" s="19">
        <v>0</v>
      </c>
      <c r="AA1536" s="19">
        <v>0</v>
      </c>
      <c r="AB1536" s="19">
        <v>0</v>
      </c>
      <c r="AC1536" s="19">
        <v>0</v>
      </c>
      <c r="AD1536" s="19">
        <v>0</v>
      </c>
      <c r="AE1536" s="19">
        <v>0</v>
      </c>
      <c r="AF1536" s="19">
        <v>0</v>
      </c>
      <c r="AG1536" s="19">
        <v>0</v>
      </c>
      <c r="AH1536" s="19">
        <v>0</v>
      </c>
      <c r="AI1536" s="19">
        <v>0</v>
      </c>
    </row>
    <row r="1537" spans="1:35" ht="14.5">
      <c r="A1537" s="990">
        <v>1</v>
      </c>
      <c r="B1537" s="990">
        <v>1</v>
      </c>
      <c r="C1537" s="990" t="s">
        <v>1129</v>
      </c>
      <c r="E1537" s="1611" t="s">
        <v>1013</v>
      </c>
      <c r="F1537" s="1610"/>
      <c r="G1537" s="1731"/>
      <c r="H1537" s="1732"/>
      <c r="I1537" s="1327"/>
      <c r="J1537" s="1736" t="s">
        <v>1590</v>
      </c>
      <c r="K1537" s="1736"/>
      <c r="L1537" s="1737"/>
      <c r="M1537" s="278"/>
      <c r="N1537" s="278"/>
      <c r="O1537" s="278"/>
      <c r="P1537" s="278"/>
      <c r="Q1537" s="1738">
        <v>0</v>
      </c>
      <c r="R1537" s="1738">
        <v>0</v>
      </c>
      <c r="S1537" s="1738">
        <v>0</v>
      </c>
      <c r="T1537" s="1738">
        <v>0</v>
      </c>
      <c r="U1537" s="1738">
        <v>0</v>
      </c>
      <c r="V1537" s="1738">
        <v>0</v>
      </c>
      <c r="W1537" s="1738">
        <v>0</v>
      </c>
      <c r="X1537" s="1738">
        <v>0</v>
      </c>
      <c r="Y1537" s="1738">
        <v>0</v>
      </c>
      <c r="Z1537" s="1738">
        <v>0</v>
      </c>
      <c r="AA1537" s="1738">
        <v>0</v>
      </c>
      <c r="AB1537" s="1738">
        <v>0</v>
      </c>
      <c r="AC1537" s="1738">
        <v>0</v>
      </c>
      <c r="AD1537" s="1738">
        <v>0</v>
      </c>
      <c r="AE1537" s="1738">
        <v>0</v>
      </c>
      <c r="AF1537" s="1738">
        <v>0</v>
      </c>
      <c r="AG1537" s="1738">
        <v>0</v>
      </c>
      <c r="AH1537" s="1738">
        <v>0</v>
      </c>
      <c r="AI1537" s="1738">
        <v>0</v>
      </c>
    </row>
    <row r="1538" spans="1:35" ht="14.5">
      <c r="A1538" s="990">
        <v>1</v>
      </c>
      <c r="B1538" s="990">
        <v>1</v>
      </c>
      <c r="C1538" s="990" t="s">
        <v>1129</v>
      </c>
      <c r="E1538" s="1611" t="s">
        <v>1013</v>
      </c>
      <c r="F1538" s="1610"/>
      <c r="G1538" s="1731"/>
      <c r="H1538" s="1732"/>
      <c r="I1538" s="1327"/>
      <c r="J1538" s="1321"/>
      <c r="K1538" s="1321" t="s">
        <v>1022</v>
      </c>
      <c r="Q1538" s="19">
        <v>0</v>
      </c>
      <c r="R1538" s="19">
        <v>0</v>
      </c>
      <c r="S1538" s="19">
        <v>0</v>
      </c>
      <c r="T1538" s="19">
        <v>0</v>
      </c>
      <c r="U1538" s="19">
        <v>0</v>
      </c>
      <c r="V1538" s="19">
        <v>0</v>
      </c>
      <c r="W1538" s="19">
        <v>0</v>
      </c>
      <c r="X1538" s="19">
        <v>0</v>
      </c>
      <c r="Y1538" s="19">
        <v>0</v>
      </c>
      <c r="Z1538" s="19">
        <v>0</v>
      </c>
      <c r="AA1538" s="19">
        <v>0</v>
      </c>
      <c r="AB1538" s="19">
        <v>0</v>
      </c>
      <c r="AC1538" s="19">
        <v>0</v>
      </c>
      <c r="AD1538" s="19">
        <v>0</v>
      </c>
      <c r="AE1538" s="19">
        <v>0</v>
      </c>
      <c r="AF1538" s="19">
        <v>0</v>
      </c>
      <c r="AG1538" s="19">
        <v>0</v>
      </c>
      <c r="AH1538" s="19">
        <v>0</v>
      </c>
      <c r="AI1538" s="19">
        <v>0</v>
      </c>
    </row>
    <row r="1539" spans="1:35" ht="14.5">
      <c r="A1539" s="990">
        <v>1</v>
      </c>
      <c r="B1539" s="990">
        <v>1</v>
      </c>
      <c r="C1539" s="990" t="s">
        <v>1129</v>
      </c>
      <c r="E1539" s="1611" t="s">
        <v>1013</v>
      </c>
      <c r="F1539" s="1610"/>
      <c r="G1539" s="1731"/>
      <c r="H1539" s="1732"/>
      <c r="I1539" s="1327"/>
      <c r="J1539" s="1321"/>
      <c r="K1539" s="1321" t="s">
        <v>1023</v>
      </c>
      <c r="Q1539" s="19">
        <v>0</v>
      </c>
      <c r="R1539" s="19">
        <v>0</v>
      </c>
      <c r="S1539" s="19">
        <v>0</v>
      </c>
      <c r="T1539" s="19">
        <v>0</v>
      </c>
      <c r="U1539" s="19">
        <v>0</v>
      </c>
      <c r="V1539" s="19">
        <v>0</v>
      </c>
      <c r="W1539" s="19">
        <v>0</v>
      </c>
      <c r="X1539" s="19">
        <v>0</v>
      </c>
      <c r="Y1539" s="19">
        <v>0</v>
      </c>
      <c r="Z1539" s="19">
        <v>0</v>
      </c>
      <c r="AA1539" s="19">
        <v>0</v>
      </c>
      <c r="AB1539" s="19">
        <v>0</v>
      </c>
      <c r="AC1539" s="19">
        <v>0</v>
      </c>
      <c r="AD1539" s="19">
        <v>0</v>
      </c>
      <c r="AE1539" s="19">
        <v>0</v>
      </c>
      <c r="AF1539" s="19">
        <v>0</v>
      </c>
      <c r="AG1539" s="19">
        <v>0</v>
      </c>
      <c r="AH1539" s="19">
        <v>0</v>
      </c>
      <c r="AI1539" s="19">
        <v>0</v>
      </c>
    </row>
    <row r="1540" spans="1:35" ht="14.5">
      <c r="A1540" s="990">
        <v>1</v>
      </c>
      <c r="B1540" s="990">
        <v>1</v>
      </c>
      <c r="C1540" s="990" t="s">
        <v>1129</v>
      </c>
      <c r="E1540" s="1611" t="s">
        <v>1013</v>
      </c>
      <c r="F1540" s="1610"/>
      <c r="G1540" s="1731"/>
      <c r="H1540" s="1732"/>
      <c r="I1540" s="1327"/>
      <c r="J1540" s="1736" t="s">
        <v>275</v>
      </c>
      <c r="K1540" s="1736"/>
      <c r="L1540" s="1737"/>
      <c r="M1540" s="278"/>
      <c r="N1540" s="278"/>
      <c r="O1540" s="278"/>
      <c r="P1540" s="278"/>
      <c r="Q1540" s="1738">
        <v>0</v>
      </c>
      <c r="R1540" s="1738">
        <v>0</v>
      </c>
      <c r="S1540" s="1738">
        <v>0</v>
      </c>
      <c r="T1540" s="1738">
        <v>0</v>
      </c>
      <c r="U1540" s="1738">
        <v>0</v>
      </c>
      <c r="V1540" s="1738">
        <v>0</v>
      </c>
      <c r="W1540" s="1738">
        <v>0</v>
      </c>
      <c r="X1540" s="1738">
        <v>0</v>
      </c>
      <c r="Y1540" s="1738">
        <v>0</v>
      </c>
      <c r="Z1540" s="1738">
        <v>0</v>
      </c>
      <c r="AA1540" s="1738">
        <v>0</v>
      </c>
      <c r="AB1540" s="1738">
        <v>0</v>
      </c>
      <c r="AC1540" s="1738">
        <v>0</v>
      </c>
      <c r="AD1540" s="1738">
        <v>0</v>
      </c>
      <c r="AE1540" s="1738">
        <v>0</v>
      </c>
      <c r="AF1540" s="1738">
        <v>0</v>
      </c>
      <c r="AG1540" s="1738">
        <v>0</v>
      </c>
      <c r="AH1540" s="1738">
        <v>0</v>
      </c>
      <c r="AI1540" s="1738">
        <v>0</v>
      </c>
    </row>
    <row r="1541" spans="1:35" ht="14.5">
      <c r="A1541" s="990">
        <v>1</v>
      </c>
      <c r="B1541" s="990">
        <v>1</v>
      </c>
      <c r="C1541" s="990" t="s">
        <v>1129</v>
      </c>
      <c r="E1541" s="1611" t="s">
        <v>1013</v>
      </c>
      <c r="F1541" s="1610"/>
      <c r="G1541" s="1731"/>
      <c r="H1541" s="1732"/>
      <c r="I1541" s="1327"/>
      <c r="J1541" s="1736" t="s">
        <v>11</v>
      </c>
      <c r="K1541" s="1736"/>
      <c r="L1541" s="1737"/>
      <c r="M1541" s="278"/>
      <c r="N1541" s="278"/>
      <c r="O1541" s="278"/>
      <c r="P1541" s="278"/>
      <c r="Q1541" s="1738">
        <v>0</v>
      </c>
      <c r="R1541" s="1738">
        <v>0</v>
      </c>
      <c r="S1541" s="1738">
        <v>0</v>
      </c>
      <c r="T1541" s="1738">
        <v>0</v>
      </c>
      <c r="U1541" s="1738">
        <v>0</v>
      </c>
      <c r="V1541" s="1738">
        <v>0</v>
      </c>
      <c r="W1541" s="1738">
        <v>0</v>
      </c>
      <c r="X1541" s="1738">
        <v>0</v>
      </c>
      <c r="Y1541" s="1738">
        <v>0</v>
      </c>
      <c r="Z1541" s="1738">
        <v>0</v>
      </c>
      <c r="AA1541" s="1738">
        <v>0</v>
      </c>
      <c r="AB1541" s="1738">
        <v>0</v>
      </c>
      <c r="AC1541" s="1738">
        <v>0</v>
      </c>
      <c r="AD1541" s="1738">
        <v>0</v>
      </c>
      <c r="AE1541" s="1738">
        <v>0</v>
      </c>
      <c r="AF1541" s="1738">
        <v>0</v>
      </c>
      <c r="AG1541" s="1738">
        <v>0</v>
      </c>
      <c r="AH1541" s="1738">
        <v>0</v>
      </c>
      <c r="AI1541" s="1738">
        <v>0</v>
      </c>
    </row>
    <row r="1542" spans="1:35" ht="14.5">
      <c r="A1542" s="990">
        <v>1</v>
      </c>
      <c r="B1542" s="990">
        <v>1</v>
      </c>
      <c r="C1542" s="990" t="s">
        <v>1129</v>
      </c>
      <c r="E1542" s="1611" t="s">
        <v>1013</v>
      </c>
      <c r="F1542" s="1610"/>
      <c r="G1542" s="1731"/>
      <c r="H1542" s="1732"/>
      <c r="I1542" s="2756" t="s">
        <v>1644</v>
      </c>
      <c r="J1542" s="1745"/>
      <c r="K1542" s="1745"/>
      <c r="L1542" s="1746"/>
      <c r="M1542" s="1747"/>
      <c r="N1542" s="1747"/>
      <c r="O1542" s="1747"/>
      <c r="P1542" s="1747"/>
      <c r="Q1542" s="2314" t="s">
        <v>1645</v>
      </c>
      <c r="R1542" s="2314" t="s">
        <v>1645</v>
      </c>
      <c r="S1542" s="2314" t="s">
        <v>1645</v>
      </c>
      <c r="T1542" s="2314" t="s">
        <v>1645</v>
      </c>
      <c r="U1542" s="2314" t="s">
        <v>1645</v>
      </c>
      <c r="V1542" s="2314" t="s">
        <v>1645</v>
      </c>
      <c r="W1542" s="2314" t="s">
        <v>1645</v>
      </c>
      <c r="X1542" s="2314" t="s">
        <v>1645</v>
      </c>
      <c r="Y1542" s="2314" t="s">
        <v>1645</v>
      </c>
      <c r="Z1542" s="2314" t="s">
        <v>1645</v>
      </c>
      <c r="AA1542" s="2314" t="s">
        <v>1645</v>
      </c>
      <c r="AB1542" s="2314" t="s">
        <v>1645</v>
      </c>
      <c r="AC1542" s="2314" t="s">
        <v>1645</v>
      </c>
      <c r="AD1542" s="2314" t="s">
        <v>1645</v>
      </c>
      <c r="AE1542" s="2314" t="s">
        <v>1645</v>
      </c>
      <c r="AF1542" s="2314" t="s">
        <v>1645</v>
      </c>
      <c r="AG1542" s="2314" t="s">
        <v>1645</v>
      </c>
      <c r="AH1542" s="2314" t="s">
        <v>1645</v>
      </c>
      <c r="AI1542" s="2314" t="s">
        <v>1645</v>
      </c>
    </row>
    <row r="1543" spans="1:35" ht="14.5">
      <c r="A1543" s="990">
        <v>1</v>
      </c>
      <c r="B1543" s="990">
        <v>1</v>
      </c>
      <c r="C1543" s="990" t="s">
        <v>1129</v>
      </c>
      <c r="E1543" s="1611" t="s">
        <v>1013</v>
      </c>
      <c r="F1543" s="1610"/>
      <c r="G1543" s="1731"/>
      <c r="H1543" s="1732"/>
      <c r="I1543" s="1327"/>
      <c r="J1543" s="1736" t="s">
        <v>1588</v>
      </c>
      <c r="K1543" s="1736"/>
      <c r="L1543" s="1737"/>
      <c r="M1543" s="278"/>
      <c r="N1543" s="278"/>
      <c r="O1543" s="278"/>
      <c r="P1543" s="278"/>
      <c r="Q1543" s="1740" t="s">
        <v>1645</v>
      </c>
      <c r="R1543" s="1740" t="s">
        <v>1645</v>
      </c>
      <c r="S1543" s="1740" t="s">
        <v>1645</v>
      </c>
      <c r="T1543" s="1740" t="s">
        <v>1645</v>
      </c>
      <c r="U1543" s="1740" t="s">
        <v>1645</v>
      </c>
      <c r="V1543" s="1740" t="s">
        <v>1645</v>
      </c>
      <c r="W1543" s="1740" t="s">
        <v>1645</v>
      </c>
      <c r="X1543" s="1740" t="s">
        <v>1645</v>
      </c>
      <c r="Y1543" s="1740" t="s">
        <v>1645</v>
      </c>
      <c r="Z1543" s="1740" t="s">
        <v>1645</v>
      </c>
      <c r="AA1543" s="1740" t="s">
        <v>1645</v>
      </c>
      <c r="AB1543" s="1740" t="s">
        <v>1645</v>
      </c>
      <c r="AC1543" s="1740" t="s">
        <v>1645</v>
      </c>
      <c r="AD1543" s="1740" t="s">
        <v>1645</v>
      </c>
      <c r="AE1543" s="1740" t="s">
        <v>1645</v>
      </c>
      <c r="AF1543" s="1740" t="s">
        <v>1645</v>
      </c>
      <c r="AG1543" s="1740" t="s">
        <v>1645</v>
      </c>
      <c r="AH1543" s="1740" t="s">
        <v>1645</v>
      </c>
      <c r="AI1543" s="1740" t="s">
        <v>1645</v>
      </c>
    </row>
    <row r="1544" spans="1:35" ht="14.5">
      <c r="A1544" s="990">
        <v>1</v>
      </c>
      <c r="B1544" s="990">
        <v>1</v>
      </c>
      <c r="C1544" s="990" t="s">
        <v>1129</v>
      </c>
      <c r="E1544" s="1611" t="s">
        <v>1013</v>
      </c>
      <c r="F1544" s="1610"/>
      <c r="G1544" s="1731"/>
      <c r="H1544" s="1732"/>
      <c r="I1544" s="1327"/>
      <c r="J1544" s="1321"/>
      <c r="K1544" s="1321" t="s">
        <v>1022</v>
      </c>
      <c r="Q1544" s="1741" t="s">
        <v>1645</v>
      </c>
      <c r="R1544" s="1741" t="s">
        <v>1645</v>
      </c>
      <c r="S1544" s="1741" t="s">
        <v>1645</v>
      </c>
      <c r="T1544" s="1741" t="s">
        <v>1645</v>
      </c>
      <c r="U1544" s="1741" t="s">
        <v>1645</v>
      </c>
      <c r="V1544" s="1741" t="s">
        <v>1645</v>
      </c>
      <c r="W1544" s="1741" t="s">
        <v>1645</v>
      </c>
      <c r="X1544" s="1741" t="s">
        <v>1645</v>
      </c>
      <c r="Y1544" s="1741" t="s">
        <v>1645</v>
      </c>
      <c r="Z1544" s="1741" t="s">
        <v>1645</v>
      </c>
      <c r="AA1544" s="1741" t="s">
        <v>1645</v>
      </c>
      <c r="AB1544" s="1741" t="s">
        <v>1645</v>
      </c>
      <c r="AC1544" s="1741" t="s">
        <v>1645</v>
      </c>
      <c r="AD1544" s="1741" t="s">
        <v>1645</v>
      </c>
      <c r="AE1544" s="1741" t="s">
        <v>1645</v>
      </c>
      <c r="AF1544" s="1741" t="s">
        <v>1645</v>
      </c>
      <c r="AG1544" s="1741" t="s">
        <v>1645</v>
      </c>
      <c r="AH1544" s="1741" t="s">
        <v>1645</v>
      </c>
      <c r="AI1544" s="1741" t="s">
        <v>1645</v>
      </c>
    </row>
    <row r="1545" spans="1:35" ht="14.5">
      <c r="A1545" s="990">
        <v>1</v>
      </c>
      <c r="B1545" s="990">
        <v>1</v>
      </c>
      <c r="C1545" s="990" t="s">
        <v>1129</v>
      </c>
      <c r="E1545" s="1611" t="s">
        <v>1013</v>
      </c>
      <c r="F1545" s="1610"/>
      <c r="G1545" s="1731"/>
      <c r="H1545" s="1732"/>
      <c r="I1545" s="1327"/>
      <c r="J1545" s="1321"/>
      <c r="K1545" s="1321" t="s">
        <v>1023</v>
      </c>
      <c r="Q1545" s="1741" t="s">
        <v>1645</v>
      </c>
      <c r="R1545" s="1741" t="s">
        <v>1645</v>
      </c>
      <c r="S1545" s="1741" t="s">
        <v>1645</v>
      </c>
      <c r="T1545" s="1741" t="s">
        <v>1645</v>
      </c>
      <c r="U1545" s="1741" t="s">
        <v>1645</v>
      </c>
      <c r="V1545" s="1741" t="s">
        <v>1645</v>
      </c>
      <c r="W1545" s="1741" t="s">
        <v>1645</v>
      </c>
      <c r="X1545" s="1741" t="s">
        <v>1645</v>
      </c>
      <c r="Y1545" s="1741" t="s">
        <v>1645</v>
      </c>
      <c r="Z1545" s="1741" t="s">
        <v>1645</v>
      </c>
      <c r="AA1545" s="1741" t="s">
        <v>1645</v>
      </c>
      <c r="AB1545" s="1741" t="s">
        <v>1645</v>
      </c>
      <c r="AC1545" s="1741" t="s">
        <v>1645</v>
      </c>
      <c r="AD1545" s="1741" t="s">
        <v>1645</v>
      </c>
      <c r="AE1545" s="1741" t="s">
        <v>1645</v>
      </c>
      <c r="AF1545" s="1741" t="s">
        <v>1645</v>
      </c>
      <c r="AG1545" s="1741" t="s">
        <v>1645</v>
      </c>
      <c r="AH1545" s="1741" t="s">
        <v>1645</v>
      </c>
      <c r="AI1545" s="1741" t="s">
        <v>1645</v>
      </c>
    </row>
    <row r="1546" spans="1:35" ht="14.5">
      <c r="A1546" s="990">
        <v>1</v>
      </c>
      <c r="B1546" s="990">
        <v>1</v>
      </c>
      <c r="C1546" s="990" t="s">
        <v>1129</v>
      </c>
      <c r="E1546" s="1611" t="s">
        <v>1013</v>
      </c>
      <c r="F1546" s="1610"/>
      <c r="G1546" s="1731"/>
      <c r="H1546" s="1732"/>
      <c r="I1546" s="1327"/>
      <c r="J1546" s="1736" t="s">
        <v>1590</v>
      </c>
      <c r="K1546" s="1736"/>
      <c r="L1546" s="1737"/>
      <c r="M1546" s="278"/>
      <c r="N1546" s="278"/>
      <c r="O1546" s="278"/>
      <c r="P1546" s="278"/>
      <c r="Q1546" s="1740" t="s">
        <v>1645</v>
      </c>
      <c r="R1546" s="1740" t="s">
        <v>1645</v>
      </c>
      <c r="S1546" s="1740" t="s">
        <v>1645</v>
      </c>
      <c r="T1546" s="1740" t="s">
        <v>1645</v>
      </c>
      <c r="U1546" s="1740" t="s">
        <v>1645</v>
      </c>
      <c r="V1546" s="1740" t="s">
        <v>1645</v>
      </c>
      <c r="W1546" s="1740" t="s">
        <v>1645</v>
      </c>
      <c r="X1546" s="1740" t="s">
        <v>1645</v>
      </c>
      <c r="Y1546" s="1740" t="s">
        <v>1645</v>
      </c>
      <c r="Z1546" s="1740" t="s">
        <v>1645</v>
      </c>
      <c r="AA1546" s="1740" t="s">
        <v>1645</v>
      </c>
      <c r="AB1546" s="1740" t="s">
        <v>1645</v>
      </c>
      <c r="AC1546" s="1740" t="s">
        <v>1645</v>
      </c>
      <c r="AD1546" s="1740" t="s">
        <v>1645</v>
      </c>
      <c r="AE1546" s="1740" t="s">
        <v>1645</v>
      </c>
      <c r="AF1546" s="1740" t="s">
        <v>1645</v>
      </c>
      <c r="AG1546" s="1740" t="s">
        <v>1645</v>
      </c>
      <c r="AH1546" s="1740" t="s">
        <v>1645</v>
      </c>
      <c r="AI1546" s="1740" t="s">
        <v>1645</v>
      </c>
    </row>
    <row r="1547" spans="1:35" ht="14.5">
      <c r="A1547" s="990">
        <v>1</v>
      </c>
      <c r="B1547" s="990">
        <v>1</v>
      </c>
      <c r="C1547" s="990" t="s">
        <v>1129</v>
      </c>
      <c r="E1547" s="1611" t="s">
        <v>1013</v>
      </c>
      <c r="F1547" s="1610"/>
      <c r="G1547" s="1731"/>
      <c r="H1547" s="1732"/>
      <c r="I1547" s="1327"/>
      <c r="J1547" s="1321"/>
      <c r="K1547" s="1321" t="s">
        <v>1022</v>
      </c>
      <c r="Q1547" s="1741" t="s">
        <v>1645</v>
      </c>
      <c r="R1547" s="1741" t="s">
        <v>1645</v>
      </c>
      <c r="S1547" s="1741" t="s">
        <v>1645</v>
      </c>
      <c r="T1547" s="1741" t="s">
        <v>1645</v>
      </c>
      <c r="U1547" s="1741" t="s">
        <v>1645</v>
      </c>
      <c r="V1547" s="1741" t="s">
        <v>1645</v>
      </c>
      <c r="W1547" s="1741" t="s">
        <v>1645</v>
      </c>
      <c r="X1547" s="1741" t="s">
        <v>1645</v>
      </c>
      <c r="Y1547" s="1741" t="s">
        <v>1645</v>
      </c>
      <c r="Z1547" s="1741" t="s">
        <v>1645</v>
      </c>
      <c r="AA1547" s="1741" t="s">
        <v>1645</v>
      </c>
      <c r="AB1547" s="1741" t="s">
        <v>1645</v>
      </c>
      <c r="AC1547" s="1741" t="s">
        <v>1645</v>
      </c>
      <c r="AD1547" s="1741" t="s">
        <v>1645</v>
      </c>
      <c r="AE1547" s="1741" t="s">
        <v>1645</v>
      </c>
      <c r="AF1547" s="1741" t="s">
        <v>1645</v>
      </c>
      <c r="AG1547" s="1741" t="s">
        <v>1645</v>
      </c>
      <c r="AH1547" s="1741" t="s">
        <v>1645</v>
      </c>
      <c r="AI1547" s="1741" t="s">
        <v>1645</v>
      </c>
    </row>
    <row r="1548" spans="1:35" ht="14.5">
      <c r="A1548" s="990">
        <v>1</v>
      </c>
      <c r="B1548" s="990">
        <v>1</v>
      </c>
      <c r="C1548" s="990" t="s">
        <v>1129</v>
      </c>
      <c r="E1548" s="1611" t="s">
        <v>1013</v>
      </c>
      <c r="F1548" s="1610"/>
      <c r="G1548" s="1731"/>
      <c r="H1548" s="1732"/>
      <c r="I1548" s="1327"/>
      <c r="J1548" s="1321"/>
      <c r="K1548" s="1321" t="s">
        <v>1023</v>
      </c>
      <c r="Q1548" s="1741" t="s">
        <v>1645</v>
      </c>
      <c r="R1548" s="1741" t="s">
        <v>1645</v>
      </c>
      <c r="S1548" s="1741" t="s">
        <v>1645</v>
      </c>
      <c r="T1548" s="1741" t="s">
        <v>1645</v>
      </c>
      <c r="U1548" s="1741" t="s">
        <v>1645</v>
      </c>
      <c r="V1548" s="1741" t="s">
        <v>1645</v>
      </c>
      <c r="W1548" s="1741" t="s">
        <v>1645</v>
      </c>
      <c r="X1548" s="1741" t="s">
        <v>1645</v>
      </c>
      <c r="Y1548" s="1741" t="s">
        <v>1645</v>
      </c>
      <c r="Z1548" s="1741" t="s">
        <v>1645</v>
      </c>
      <c r="AA1548" s="1741" t="s">
        <v>1645</v>
      </c>
      <c r="AB1548" s="1741" t="s">
        <v>1645</v>
      </c>
      <c r="AC1548" s="1741" t="s">
        <v>1645</v>
      </c>
      <c r="AD1548" s="1741" t="s">
        <v>1645</v>
      </c>
      <c r="AE1548" s="1741" t="s">
        <v>1645</v>
      </c>
      <c r="AF1548" s="1741" t="s">
        <v>1645</v>
      </c>
      <c r="AG1548" s="1741" t="s">
        <v>1645</v>
      </c>
      <c r="AH1548" s="1741" t="s">
        <v>1645</v>
      </c>
      <c r="AI1548" s="1741" t="s">
        <v>1645</v>
      </c>
    </row>
    <row r="1549" spans="1:35" ht="14.5">
      <c r="A1549" s="990">
        <v>1</v>
      </c>
      <c r="B1549" s="990">
        <v>1</v>
      </c>
      <c r="C1549" s="990" t="s">
        <v>1129</v>
      </c>
      <c r="E1549" s="1611" t="s">
        <v>1013</v>
      </c>
      <c r="F1549" s="1610"/>
      <c r="G1549" s="1731"/>
      <c r="H1549" s="1732"/>
      <c r="I1549" s="1327"/>
      <c r="J1549" s="1736" t="s">
        <v>275</v>
      </c>
      <c r="K1549" s="1736"/>
      <c r="L1549" s="1737"/>
      <c r="M1549" s="278"/>
      <c r="N1549" s="278"/>
      <c r="O1549" s="278"/>
      <c r="P1549" s="278"/>
      <c r="Q1549" s="1742" t="s">
        <v>1645</v>
      </c>
      <c r="R1549" s="1742" t="s">
        <v>1645</v>
      </c>
      <c r="S1549" s="1742" t="s">
        <v>1645</v>
      </c>
      <c r="T1549" s="1742" t="s">
        <v>1645</v>
      </c>
      <c r="U1549" s="1742" t="s">
        <v>1645</v>
      </c>
      <c r="V1549" s="1742" t="s">
        <v>1645</v>
      </c>
      <c r="W1549" s="1742" t="s">
        <v>1645</v>
      </c>
      <c r="X1549" s="1742" t="s">
        <v>1645</v>
      </c>
      <c r="Y1549" s="1742" t="s">
        <v>1645</v>
      </c>
      <c r="Z1549" s="1742" t="s">
        <v>1645</v>
      </c>
      <c r="AA1549" s="1742" t="s">
        <v>1645</v>
      </c>
      <c r="AB1549" s="1742" t="s">
        <v>1645</v>
      </c>
      <c r="AC1549" s="1742" t="s">
        <v>1645</v>
      </c>
      <c r="AD1549" s="1742" t="s">
        <v>1645</v>
      </c>
      <c r="AE1549" s="1742" t="s">
        <v>1645</v>
      </c>
      <c r="AF1549" s="1742" t="s">
        <v>1645</v>
      </c>
      <c r="AG1549" s="1742" t="s">
        <v>1645</v>
      </c>
      <c r="AH1549" s="1742" t="s">
        <v>1645</v>
      </c>
      <c r="AI1549" s="1742" t="s">
        <v>1645</v>
      </c>
    </row>
    <row r="1550" spans="1:35" ht="14.5">
      <c r="A1550" s="990">
        <v>1</v>
      </c>
      <c r="B1550" s="990">
        <v>1</v>
      </c>
      <c r="C1550" s="990" t="s">
        <v>1129</v>
      </c>
      <c r="E1550" s="1611" t="s">
        <v>1013</v>
      </c>
      <c r="F1550" s="1610"/>
      <c r="G1550" s="1731"/>
      <c r="H1550" s="1732"/>
      <c r="I1550" s="1327"/>
      <c r="J1550" s="1736" t="s">
        <v>11</v>
      </c>
      <c r="K1550" s="1736"/>
      <c r="L1550" s="1737"/>
      <c r="M1550" s="278"/>
      <c r="N1550" s="278"/>
      <c r="O1550" s="278"/>
      <c r="P1550" s="278"/>
      <c r="Q1550" s="1742" t="s">
        <v>1645</v>
      </c>
      <c r="R1550" s="1742" t="s">
        <v>1645</v>
      </c>
      <c r="S1550" s="1742" t="s">
        <v>1645</v>
      </c>
      <c r="T1550" s="1742" t="s">
        <v>1645</v>
      </c>
      <c r="U1550" s="1742" t="s">
        <v>1645</v>
      </c>
      <c r="V1550" s="1742" t="s">
        <v>1645</v>
      </c>
      <c r="W1550" s="1742" t="s">
        <v>1645</v>
      </c>
      <c r="X1550" s="1742" t="s">
        <v>1645</v>
      </c>
      <c r="Y1550" s="1742" t="s">
        <v>1645</v>
      </c>
      <c r="Z1550" s="1742" t="s">
        <v>1645</v>
      </c>
      <c r="AA1550" s="1742" t="s">
        <v>1645</v>
      </c>
      <c r="AB1550" s="1742" t="s">
        <v>1645</v>
      </c>
      <c r="AC1550" s="1742" t="s">
        <v>1645</v>
      </c>
      <c r="AD1550" s="1742" t="s">
        <v>1645</v>
      </c>
      <c r="AE1550" s="1742" t="s">
        <v>1645</v>
      </c>
      <c r="AF1550" s="1742" t="s">
        <v>1645</v>
      </c>
      <c r="AG1550" s="1742" t="s">
        <v>1645</v>
      </c>
      <c r="AH1550" s="1742" t="s">
        <v>1645</v>
      </c>
      <c r="AI1550" s="1742" t="s">
        <v>1645</v>
      </c>
    </row>
    <row r="1551" spans="1:35" ht="14.5">
      <c r="A1551" s="990">
        <v>1</v>
      </c>
      <c r="B1551" s="990">
        <v>1</v>
      </c>
      <c r="C1551" s="990" t="s">
        <v>1129</v>
      </c>
      <c r="E1551" s="1611" t="s">
        <v>1013</v>
      </c>
      <c r="F1551" s="1610"/>
      <c r="G1551" s="1731"/>
      <c r="H1551" s="1732"/>
      <c r="I1551" s="2756" t="s">
        <v>1146</v>
      </c>
      <c r="J1551" s="1745"/>
      <c r="K1551" s="1745"/>
      <c r="L1551" s="1746"/>
      <c r="M1551" s="1747"/>
      <c r="N1551" s="1747"/>
      <c r="O1551" s="1747"/>
      <c r="P1551" s="1747"/>
      <c r="Q1551" s="2313">
        <v>0</v>
      </c>
      <c r="R1551" s="2313">
        <v>0</v>
      </c>
      <c r="S1551" s="2313">
        <v>0</v>
      </c>
      <c r="T1551" s="2313">
        <v>0</v>
      </c>
      <c r="U1551" s="2313">
        <v>0</v>
      </c>
      <c r="V1551" s="2313">
        <v>0</v>
      </c>
      <c r="W1551" s="2313">
        <v>0</v>
      </c>
      <c r="X1551" s="2313">
        <v>0</v>
      </c>
      <c r="Y1551" s="2313">
        <v>0</v>
      </c>
      <c r="Z1551" s="2313">
        <v>0</v>
      </c>
      <c r="AA1551" s="2313">
        <v>0</v>
      </c>
      <c r="AB1551" s="2313">
        <v>0</v>
      </c>
      <c r="AC1551" s="2313">
        <v>0</v>
      </c>
      <c r="AD1551" s="2313">
        <v>0</v>
      </c>
      <c r="AE1551" s="2313">
        <v>0</v>
      </c>
      <c r="AF1551" s="2313">
        <v>0</v>
      </c>
      <c r="AG1551" s="2313">
        <v>0</v>
      </c>
      <c r="AH1551" s="2313">
        <v>0</v>
      </c>
      <c r="AI1551" s="2313">
        <v>0</v>
      </c>
    </row>
    <row r="1552" spans="1:35" ht="14.5">
      <c r="A1552" s="990">
        <v>1</v>
      </c>
      <c r="B1552" s="990">
        <v>1</v>
      </c>
      <c r="C1552" s="990" t="s">
        <v>1129</v>
      </c>
      <c r="E1552" s="1611" t="s">
        <v>1013</v>
      </c>
      <c r="F1552" s="1610"/>
      <c r="G1552" s="1731"/>
      <c r="H1552" s="1732"/>
      <c r="I1552" s="1327"/>
      <c r="J1552" s="1321" t="s">
        <v>1646</v>
      </c>
      <c r="K1552" s="1321"/>
      <c r="Q1552" s="19">
        <v>0</v>
      </c>
      <c r="R1552" s="19">
        <v>0</v>
      </c>
      <c r="S1552" s="19">
        <v>0</v>
      </c>
      <c r="T1552" s="19">
        <v>0</v>
      </c>
      <c r="U1552" s="19">
        <v>0</v>
      </c>
      <c r="V1552" s="19">
        <v>0</v>
      </c>
      <c r="W1552" s="19">
        <v>0</v>
      </c>
      <c r="X1552" s="19">
        <v>0</v>
      </c>
      <c r="Y1552" s="19">
        <v>0</v>
      </c>
      <c r="Z1552" s="19">
        <v>0</v>
      </c>
      <c r="AA1552" s="19">
        <v>0</v>
      </c>
      <c r="AB1552" s="19">
        <v>0</v>
      </c>
      <c r="AC1552" s="19">
        <v>0</v>
      </c>
      <c r="AD1552" s="19">
        <v>0</v>
      </c>
      <c r="AE1552" s="19">
        <v>0</v>
      </c>
      <c r="AF1552" s="19">
        <v>0</v>
      </c>
      <c r="AG1552" s="19">
        <v>0</v>
      </c>
      <c r="AH1552" s="19">
        <v>0</v>
      </c>
      <c r="AI1552" s="19">
        <v>0</v>
      </c>
    </row>
    <row r="1553" spans="1:35" ht="14.5">
      <c r="A1553" s="990">
        <v>1</v>
      </c>
      <c r="B1553" s="990">
        <v>1</v>
      </c>
      <c r="C1553" s="990" t="s">
        <v>1129</v>
      </c>
      <c r="E1553" s="1611" t="s">
        <v>1013</v>
      </c>
      <c r="F1553" s="1610"/>
      <c r="G1553" s="1731"/>
      <c r="H1553" s="1732"/>
      <c r="I1553" s="1327"/>
      <c r="J1553" s="1321" t="s">
        <v>1647</v>
      </c>
      <c r="K1553" s="1321"/>
      <c r="Q1553" s="19">
        <v>0</v>
      </c>
      <c r="R1553" s="19">
        <v>0</v>
      </c>
      <c r="S1553" s="19">
        <v>0</v>
      </c>
      <c r="T1553" s="19">
        <v>0</v>
      </c>
      <c r="U1553" s="19">
        <v>0</v>
      </c>
      <c r="V1553" s="19">
        <v>0</v>
      </c>
      <c r="W1553" s="19">
        <v>0</v>
      </c>
      <c r="X1553" s="19">
        <v>0</v>
      </c>
      <c r="Y1553" s="19">
        <v>0</v>
      </c>
      <c r="Z1553" s="19">
        <v>0</v>
      </c>
      <c r="AA1553" s="19">
        <v>0</v>
      </c>
      <c r="AB1553" s="19">
        <v>0</v>
      </c>
      <c r="AC1553" s="19">
        <v>0</v>
      </c>
      <c r="AD1553" s="19">
        <v>0</v>
      </c>
      <c r="AE1553" s="19">
        <v>0</v>
      </c>
      <c r="AF1553" s="19">
        <v>0</v>
      </c>
      <c r="AG1553" s="19">
        <v>0</v>
      </c>
      <c r="AH1553" s="19">
        <v>0</v>
      </c>
      <c r="AI1553" s="19">
        <v>0</v>
      </c>
    </row>
    <row r="1554" spans="1:35" ht="14.5">
      <c r="A1554" s="990">
        <v>1</v>
      </c>
      <c r="B1554" s="990">
        <v>1</v>
      </c>
      <c r="C1554" s="990" t="s">
        <v>1129</v>
      </c>
      <c r="E1554" s="1611" t="s">
        <v>1013</v>
      </c>
      <c r="F1554" s="1610"/>
      <c r="G1554" s="1731"/>
      <c r="H1554" s="1732"/>
      <c r="I1554" s="2756" t="s">
        <v>46</v>
      </c>
      <c r="J1554" s="1745"/>
      <c r="K1554" s="1745"/>
      <c r="L1554" s="1746"/>
      <c r="M1554" s="1747"/>
      <c r="N1554" s="1747"/>
      <c r="O1554" s="1747"/>
      <c r="P1554" s="1747"/>
      <c r="Q1554" s="2313">
        <v>0</v>
      </c>
      <c r="R1554" s="2313">
        <v>0</v>
      </c>
      <c r="S1554" s="2313">
        <v>0</v>
      </c>
      <c r="T1554" s="2313">
        <v>0</v>
      </c>
      <c r="U1554" s="2313">
        <v>0</v>
      </c>
      <c r="V1554" s="2313">
        <v>0</v>
      </c>
      <c r="W1554" s="2313">
        <v>0</v>
      </c>
      <c r="X1554" s="2313">
        <v>0</v>
      </c>
      <c r="Y1554" s="2313">
        <v>0</v>
      </c>
      <c r="Z1554" s="2313">
        <v>0</v>
      </c>
      <c r="AA1554" s="2313">
        <v>0</v>
      </c>
      <c r="AB1554" s="2313">
        <v>0</v>
      </c>
      <c r="AC1554" s="2313">
        <v>0</v>
      </c>
      <c r="AD1554" s="2313">
        <v>0</v>
      </c>
      <c r="AE1554" s="2313">
        <v>0</v>
      </c>
      <c r="AF1554" s="2313">
        <v>0</v>
      </c>
      <c r="AG1554" s="2313">
        <v>0</v>
      </c>
      <c r="AH1554" s="2313">
        <v>0</v>
      </c>
      <c r="AI1554" s="2313">
        <v>0</v>
      </c>
    </row>
    <row r="1555" spans="1:35" ht="14.5">
      <c r="A1555" s="990">
        <v>1</v>
      </c>
      <c r="B1555" s="990">
        <v>1</v>
      </c>
      <c r="C1555" s="990" t="s">
        <v>1129</v>
      </c>
      <c r="E1555" s="1611" t="s">
        <v>1013</v>
      </c>
      <c r="F1555" s="1610"/>
      <c r="G1555" s="1731"/>
      <c r="H1555" s="1732"/>
      <c r="I1555" s="2756" t="s">
        <v>1151</v>
      </c>
      <c r="J1555" s="1745"/>
      <c r="K1555" s="1745"/>
      <c r="L1555" s="1746"/>
      <c r="M1555" s="1747"/>
      <c r="N1555" s="1747"/>
      <c r="O1555" s="1747"/>
      <c r="P1555" s="1747"/>
      <c r="Q1555" s="2313" t="e">
        <v>#VALUE!</v>
      </c>
      <c r="R1555" s="2313" t="e">
        <v>#VALUE!</v>
      </c>
      <c r="S1555" s="2313" t="e">
        <v>#VALUE!</v>
      </c>
      <c r="T1555" s="2313" t="e">
        <v>#VALUE!</v>
      </c>
      <c r="U1555" s="2313" t="e">
        <v>#VALUE!</v>
      </c>
      <c r="V1555" s="2313" t="e">
        <v>#VALUE!</v>
      </c>
      <c r="W1555" s="2313" t="e">
        <v>#VALUE!</v>
      </c>
      <c r="X1555" s="2313" t="e">
        <v>#VALUE!</v>
      </c>
      <c r="Y1555" s="2313" t="e">
        <v>#VALUE!</v>
      </c>
      <c r="Z1555" s="2313" t="e">
        <v>#VALUE!</v>
      </c>
      <c r="AA1555" s="2313" t="e">
        <v>#VALUE!</v>
      </c>
      <c r="AB1555" s="2313" t="e">
        <v>#VALUE!</v>
      </c>
      <c r="AC1555" s="2313" t="e">
        <v>#VALUE!</v>
      </c>
      <c r="AD1555" s="2313" t="e">
        <v>#VALUE!</v>
      </c>
      <c r="AE1555" s="2313" t="e">
        <v>#VALUE!</v>
      </c>
      <c r="AF1555" s="2313" t="e">
        <v>#VALUE!</v>
      </c>
      <c r="AG1555" s="2313" t="e">
        <v>#VALUE!</v>
      </c>
      <c r="AH1555" s="2313" t="e">
        <v>#VALUE!</v>
      </c>
      <c r="AI1555" s="2313" t="e">
        <v>#VALUE!</v>
      </c>
    </row>
    <row r="1556" spans="1:35" ht="14.5">
      <c r="A1556" s="990">
        <v>1</v>
      </c>
      <c r="B1556" s="990">
        <v>1</v>
      </c>
      <c r="C1556" s="990" t="s">
        <v>1129</v>
      </c>
      <c r="E1556" s="1611" t="s">
        <v>1013</v>
      </c>
      <c r="F1556" s="1610"/>
      <c r="G1556" s="1731"/>
      <c r="H1556" s="1732"/>
      <c r="I1556" s="1336"/>
      <c r="J1556" s="1337" t="s">
        <v>135</v>
      </c>
      <c r="K1556" s="1338"/>
      <c r="L1556" s="18"/>
      <c r="M1556" s="12"/>
      <c r="N1556" s="12"/>
      <c r="O1556" s="12"/>
      <c r="P1556" s="12"/>
      <c r="Q1556" s="1743" t="e">
        <v>#VALUE!</v>
      </c>
      <c r="R1556" s="1743" t="e">
        <v>#VALUE!</v>
      </c>
      <c r="S1556" s="1743" t="e">
        <v>#VALUE!</v>
      </c>
      <c r="T1556" s="1743" t="e">
        <v>#VALUE!</v>
      </c>
      <c r="U1556" s="1743" t="e">
        <v>#VALUE!</v>
      </c>
      <c r="V1556" s="1743" t="e">
        <v>#VALUE!</v>
      </c>
      <c r="W1556" s="1743" t="e">
        <v>#VALUE!</v>
      </c>
      <c r="X1556" s="1743" t="e">
        <v>#VALUE!</v>
      </c>
      <c r="Y1556" s="1743" t="e">
        <v>#VALUE!</v>
      </c>
      <c r="Z1556" s="1743" t="e">
        <v>#VALUE!</v>
      </c>
      <c r="AA1556" s="1743" t="e">
        <v>#VALUE!</v>
      </c>
      <c r="AB1556" s="1743" t="e">
        <v>#VALUE!</v>
      </c>
      <c r="AC1556" s="1743" t="e">
        <v>#VALUE!</v>
      </c>
      <c r="AD1556" s="1743" t="e">
        <v>#VALUE!</v>
      </c>
      <c r="AE1556" s="1743" t="e">
        <v>#VALUE!</v>
      </c>
      <c r="AF1556" s="1743" t="e">
        <v>#VALUE!</v>
      </c>
      <c r="AG1556" s="1743" t="e">
        <v>#VALUE!</v>
      </c>
      <c r="AH1556" s="1743" t="e">
        <v>#VALUE!</v>
      </c>
      <c r="AI1556" s="1743" t="e">
        <v>#VALUE!</v>
      </c>
    </row>
    <row r="1557" spans="1:35" ht="14.5">
      <c r="A1557" s="990">
        <v>1</v>
      </c>
      <c r="B1557" s="990">
        <v>1</v>
      </c>
      <c r="C1557" s="990" t="s">
        <v>1129</v>
      </c>
      <c r="E1557" s="1611" t="s">
        <v>1013</v>
      </c>
      <c r="F1557" s="1610"/>
    </row>
    <row r="1558" spans="1:35" ht="14.5">
      <c r="A1558" s="990">
        <v>1</v>
      </c>
      <c r="B1558" s="990">
        <v>1</v>
      </c>
      <c r="C1558" s="990" t="s">
        <v>1129</v>
      </c>
      <c r="E1558" s="1611" t="s">
        <v>1013</v>
      </c>
      <c r="F1558" s="1610"/>
      <c r="H1558" s="5" t="s">
        <v>1038</v>
      </c>
    </row>
    <row r="1559" spans="1:35" ht="14.5">
      <c r="A1559" s="990">
        <v>1</v>
      </c>
      <c r="B1559" s="990">
        <v>1</v>
      </c>
      <c r="C1559" s="990" t="s">
        <v>1129</v>
      </c>
      <c r="E1559" s="1611" t="s">
        <v>1013</v>
      </c>
      <c r="F1559" s="1610"/>
      <c r="G1559" s="1731"/>
      <c r="H1559" s="1732"/>
      <c r="I1559" s="2757" t="s">
        <v>9</v>
      </c>
      <c r="J1559" s="1751"/>
      <c r="K1559" s="1751"/>
      <c r="L1559" s="1752"/>
      <c r="M1559" s="1753"/>
      <c r="N1559" s="1753"/>
      <c r="O1559" s="1753"/>
      <c r="P1559" s="1753"/>
      <c r="Q1559" s="2192">
        <v>0</v>
      </c>
      <c r="R1559" s="2192">
        <v>0</v>
      </c>
      <c r="S1559" s="2192">
        <v>0</v>
      </c>
      <c r="T1559" s="2192">
        <v>0</v>
      </c>
      <c r="U1559" s="2192">
        <v>0</v>
      </c>
      <c r="V1559" s="2192">
        <v>0</v>
      </c>
      <c r="W1559" s="2192">
        <v>0</v>
      </c>
      <c r="X1559" s="2192">
        <v>0</v>
      </c>
      <c r="Y1559" s="2192">
        <v>0</v>
      </c>
      <c r="Z1559" s="2192">
        <v>0</v>
      </c>
      <c r="AA1559" s="2192">
        <v>0</v>
      </c>
      <c r="AB1559" s="2192">
        <v>0</v>
      </c>
      <c r="AC1559" s="2192">
        <v>0</v>
      </c>
      <c r="AD1559" s="2192">
        <v>0</v>
      </c>
      <c r="AE1559" s="2192">
        <v>0</v>
      </c>
      <c r="AF1559" s="2192">
        <v>0</v>
      </c>
      <c r="AG1559" s="2192">
        <v>0</v>
      </c>
      <c r="AH1559" s="2192">
        <v>0</v>
      </c>
      <c r="AI1559" s="2192">
        <v>0</v>
      </c>
    </row>
    <row r="1560" spans="1:35" ht="14.5">
      <c r="A1560" s="990">
        <v>1</v>
      </c>
      <c r="B1560" s="990">
        <v>1</v>
      </c>
      <c r="C1560" s="990" t="s">
        <v>1129</v>
      </c>
      <c r="E1560" s="1611" t="s">
        <v>1013</v>
      </c>
      <c r="F1560" s="1610"/>
      <c r="G1560" s="1731"/>
      <c r="H1560" s="1732"/>
      <c r="I1560" s="1327"/>
      <c r="J1560" s="1736" t="s">
        <v>1588</v>
      </c>
      <c r="K1560" s="1736"/>
      <c r="L1560" s="1737"/>
      <c r="M1560" s="278"/>
      <c r="N1560" s="278"/>
      <c r="O1560" s="278"/>
      <c r="P1560" s="278"/>
      <c r="Q1560" s="1738">
        <v>0</v>
      </c>
      <c r="R1560" s="1738">
        <v>0</v>
      </c>
      <c r="S1560" s="1738">
        <v>0</v>
      </c>
      <c r="T1560" s="1738">
        <v>0</v>
      </c>
      <c r="U1560" s="1738">
        <v>0</v>
      </c>
      <c r="V1560" s="1738">
        <v>0</v>
      </c>
      <c r="W1560" s="1738">
        <v>0</v>
      </c>
      <c r="X1560" s="1738">
        <v>0</v>
      </c>
      <c r="Y1560" s="1738">
        <v>0</v>
      </c>
      <c r="Z1560" s="1738">
        <v>0</v>
      </c>
      <c r="AA1560" s="1738">
        <v>0</v>
      </c>
      <c r="AB1560" s="1738">
        <v>0</v>
      </c>
      <c r="AC1560" s="1738">
        <v>0</v>
      </c>
      <c r="AD1560" s="1738">
        <v>0</v>
      </c>
      <c r="AE1560" s="1738">
        <v>0</v>
      </c>
      <c r="AF1560" s="1738">
        <v>0</v>
      </c>
      <c r="AG1560" s="1738">
        <v>0</v>
      </c>
      <c r="AH1560" s="1738">
        <v>0</v>
      </c>
      <c r="AI1560" s="1738">
        <v>0</v>
      </c>
    </row>
    <row r="1561" spans="1:35" ht="14.5">
      <c r="A1561" s="990">
        <v>1</v>
      </c>
      <c r="B1561" s="990">
        <v>1</v>
      </c>
      <c r="C1561" s="990" t="s">
        <v>1129</v>
      </c>
      <c r="E1561" s="1611" t="s">
        <v>1013</v>
      </c>
      <c r="F1561" s="1610"/>
      <c r="G1561" s="1731"/>
      <c r="H1561" s="1732"/>
      <c r="I1561" s="1327"/>
      <c r="J1561" s="1321"/>
      <c r="K1561" s="1321" t="s">
        <v>1022</v>
      </c>
      <c r="Q1561" s="19">
        <v>0</v>
      </c>
      <c r="R1561" s="19">
        <v>0</v>
      </c>
      <c r="S1561" s="19">
        <v>0</v>
      </c>
      <c r="T1561" s="19">
        <v>0</v>
      </c>
      <c r="U1561" s="19">
        <v>0</v>
      </c>
      <c r="V1561" s="19">
        <v>0</v>
      </c>
      <c r="W1561" s="19">
        <v>0</v>
      </c>
      <c r="X1561" s="19">
        <v>0</v>
      </c>
      <c r="Y1561" s="19">
        <v>0</v>
      </c>
      <c r="Z1561" s="19">
        <v>0</v>
      </c>
      <c r="AA1561" s="19">
        <v>0</v>
      </c>
      <c r="AB1561" s="19">
        <v>0</v>
      </c>
      <c r="AC1561" s="19">
        <v>0</v>
      </c>
      <c r="AD1561" s="19">
        <v>0</v>
      </c>
      <c r="AE1561" s="19">
        <v>0</v>
      </c>
      <c r="AF1561" s="19">
        <v>0</v>
      </c>
      <c r="AG1561" s="19">
        <v>0</v>
      </c>
      <c r="AH1561" s="19">
        <v>0</v>
      </c>
      <c r="AI1561" s="19">
        <v>0</v>
      </c>
    </row>
    <row r="1562" spans="1:35" ht="14.5">
      <c r="A1562" s="990">
        <v>1</v>
      </c>
      <c r="B1562" s="990">
        <v>1</v>
      </c>
      <c r="C1562" s="990" t="s">
        <v>1129</v>
      </c>
      <c r="E1562" s="1611" t="s">
        <v>1013</v>
      </c>
      <c r="F1562" s="1610"/>
      <c r="G1562" s="1731"/>
      <c r="H1562" s="1732"/>
      <c r="I1562" s="1327"/>
      <c r="J1562" s="1321"/>
      <c r="K1562" s="1321" t="s">
        <v>1023</v>
      </c>
      <c r="Q1562" s="19">
        <v>0</v>
      </c>
      <c r="R1562" s="19">
        <v>0</v>
      </c>
      <c r="S1562" s="19">
        <v>0</v>
      </c>
      <c r="T1562" s="19">
        <v>0</v>
      </c>
      <c r="U1562" s="19">
        <v>0</v>
      </c>
      <c r="V1562" s="19">
        <v>0</v>
      </c>
      <c r="W1562" s="19">
        <v>0</v>
      </c>
      <c r="X1562" s="19">
        <v>0</v>
      </c>
      <c r="Y1562" s="19">
        <v>0</v>
      </c>
      <c r="Z1562" s="19">
        <v>0</v>
      </c>
      <c r="AA1562" s="19">
        <v>0</v>
      </c>
      <c r="AB1562" s="19">
        <v>0</v>
      </c>
      <c r="AC1562" s="19">
        <v>0</v>
      </c>
      <c r="AD1562" s="19">
        <v>0</v>
      </c>
      <c r="AE1562" s="19">
        <v>0</v>
      </c>
      <c r="AF1562" s="19">
        <v>0</v>
      </c>
      <c r="AG1562" s="19">
        <v>0</v>
      </c>
      <c r="AH1562" s="19">
        <v>0</v>
      </c>
      <c r="AI1562" s="19">
        <v>0</v>
      </c>
    </row>
    <row r="1563" spans="1:35" ht="14.5">
      <c r="A1563" s="990">
        <v>1</v>
      </c>
      <c r="B1563" s="990">
        <v>1</v>
      </c>
      <c r="C1563" s="990" t="s">
        <v>1129</v>
      </c>
      <c r="E1563" s="1611" t="s">
        <v>1013</v>
      </c>
      <c r="F1563" s="1610"/>
      <c r="G1563" s="1731"/>
      <c r="H1563" s="1732"/>
      <c r="I1563" s="1327"/>
      <c r="J1563" s="1736" t="s">
        <v>1590</v>
      </c>
      <c r="K1563" s="1736"/>
      <c r="L1563" s="1737"/>
      <c r="M1563" s="278"/>
      <c r="N1563" s="278"/>
      <c r="O1563" s="278"/>
      <c r="P1563" s="278"/>
      <c r="Q1563" s="1738">
        <v>0</v>
      </c>
      <c r="R1563" s="1738">
        <v>0</v>
      </c>
      <c r="S1563" s="1738">
        <v>0</v>
      </c>
      <c r="T1563" s="1738">
        <v>0</v>
      </c>
      <c r="U1563" s="1738">
        <v>0</v>
      </c>
      <c r="V1563" s="1738">
        <v>0</v>
      </c>
      <c r="W1563" s="1738">
        <v>0</v>
      </c>
      <c r="X1563" s="1738">
        <v>0</v>
      </c>
      <c r="Y1563" s="1738">
        <v>0</v>
      </c>
      <c r="Z1563" s="1738">
        <v>0</v>
      </c>
      <c r="AA1563" s="1738">
        <v>0</v>
      </c>
      <c r="AB1563" s="1738">
        <v>0</v>
      </c>
      <c r="AC1563" s="1738">
        <v>0</v>
      </c>
      <c r="AD1563" s="1738">
        <v>0</v>
      </c>
      <c r="AE1563" s="1738">
        <v>0</v>
      </c>
      <c r="AF1563" s="1738">
        <v>0</v>
      </c>
      <c r="AG1563" s="1738">
        <v>0</v>
      </c>
      <c r="AH1563" s="1738">
        <v>0</v>
      </c>
      <c r="AI1563" s="1738">
        <v>0</v>
      </c>
    </row>
    <row r="1564" spans="1:35" ht="14.5">
      <c r="A1564" s="990">
        <v>1</v>
      </c>
      <c r="B1564" s="990">
        <v>1</v>
      </c>
      <c r="C1564" s="990" t="s">
        <v>1129</v>
      </c>
      <c r="E1564" s="1611" t="s">
        <v>1013</v>
      </c>
      <c r="F1564" s="1610"/>
      <c r="G1564" s="1731"/>
      <c r="H1564" s="1732"/>
      <c r="I1564" s="1327"/>
      <c r="J1564" s="1321"/>
      <c r="K1564" s="1321" t="s">
        <v>1022</v>
      </c>
      <c r="Q1564" s="19">
        <v>0</v>
      </c>
      <c r="R1564" s="19">
        <v>0</v>
      </c>
      <c r="S1564" s="19">
        <v>0</v>
      </c>
      <c r="T1564" s="19">
        <v>0</v>
      </c>
      <c r="U1564" s="19">
        <v>0</v>
      </c>
      <c r="V1564" s="19">
        <v>0</v>
      </c>
      <c r="W1564" s="19">
        <v>0</v>
      </c>
      <c r="X1564" s="19">
        <v>0</v>
      </c>
      <c r="Y1564" s="19">
        <v>0</v>
      </c>
      <c r="Z1564" s="19">
        <v>0</v>
      </c>
      <c r="AA1564" s="19">
        <v>0</v>
      </c>
      <c r="AB1564" s="19">
        <v>0</v>
      </c>
      <c r="AC1564" s="19">
        <v>0</v>
      </c>
      <c r="AD1564" s="19">
        <v>0</v>
      </c>
      <c r="AE1564" s="19">
        <v>0</v>
      </c>
      <c r="AF1564" s="19">
        <v>0</v>
      </c>
      <c r="AG1564" s="19">
        <v>0</v>
      </c>
      <c r="AH1564" s="19">
        <v>0</v>
      </c>
      <c r="AI1564" s="19">
        <v>0</v>
      </c>
    </row>
    <row r="1565" spans="1:35" ht="14.5">
      <c r="A1565" s="990">
        <v>1</v>
      </c>
      <c r="B1565" s="990">
        <v>1</v>
      </c>
      <c r="C1565" s="990" t="s">
        <v>1129</v>
      </c>
      <c r="E1565" s="1611" t="s">
        <v>1013</v>
      </c>
      <c r="F1565" s="1610"/>
      <c r="G1565" s="1731"/>
      <c r="H1565" s="1732"/>
      <c r="I1565" s="1327"/>
      <c r="J1565" s="1321"/>
      <c r="K1565" s="1321" t="s">
        <v>1023</v>
      </c>
      <c r="Q1565" s="19">
        <v>0</v>
      </c>
      <c r="R1565" s="19">
        <v>0</v>
      </c>
      <c r="S1565" s="19">
        <v>0</v>
      </c>
      <c r="T1565" s="19">
        <v>0</v>
      </c>
      <c r="U1565" s="19">
        <v>0</v>
      </c>
      <c r="V1565" s="19">
        <v>0</v>
      </c>
      <c r="W1565" s="19">
        <v>0</v>
      </c>
      <c r="X1565" s="19">
        <v>0</v>
      </c>
      <c r="Y1565" s="19">
        <v>0</v>
      </c>
      <c r="Z1565" s="19">
        <v>0</v>
      </c>
      <c r="AA1565" s="19">
        <v>0</v>
      </c>
      <c r="AB1565" s="19">
        <v>0</v>
      </c>
      <c r="AC1565" s="19">
        <v>0</v>
      </c>
      <c r="AD1565" s="19">
        <v>0</v>
      </c>
      <c r="AE1565" s="19">
        <v>0</v>
      </c>
      <c r="AF1565" s="19">
        <v>0</v>
      </c>
      <c r="AG1565" s="19">
        <v>0</v>
      </c>
      <c r="AH1565" s="19">
        <v>0</v>
      </c>
      <c r="AI1565" s="19">
        <v>0</v>
      </c>
    </row>
    <row r="1566" spans="1:35" ht="14.5">
      <c r="A1566" s="990">
        <v>1</v>
      </c>
      <c r="B1566" s="990">
        <v>1</v>
      </c>
      <c r="C1566" s="990" t="s">
        <v>1129</v>
      </c>
      <c r="E1566" s="1611" t="s">
        <v>1013</v>
      </c>
      <c r="F1566" s="1610"/>
      <c r="G1566" s="1731"/>
      <c r="H1566" s="1732"/>
      <c r="I1566" s="2757" t="s">
        <v>1642</v>
      </c>
      <c r="J1566" s="1751"/>
      <c r="K1566" s="1751"/>
      <c r="L1566" s="1752"/>
      <c r="M1566" s="1753"/>
      <c r="N1566" s="1753"/>
      <c r="O1566" s="1753"/>
      <c r="P1566" s="1753"/>
      <c r="Q1566" s="2192">
        <v>0</v>
      </c>
      <c r="R1566" s="2192">
        <v>0</v>
      </c>
      <c r="S1566" s="2192">
        <v>0</v>
      </c>
      <c r="T1566" s="2192">
        <v>0</v>
      </c>
      <c r="U1566" s="2192">
        <v>0</v>
      </c>
      <c r="V1566" s="2192">
        <v>0</v>
      </c>
      <c r="W1566" s="2192">
        <v>0</v>
      </c>
      <c r="X1566" s="2192">
        <v>0</v>
      </c>
      <c r="Y1566" s="2192">
        <v>0</v>
      </c>
      <c r="Z1566" s="2192">
        <v>0</v>
      </c>
      <c r="AA1566" s="2192">
        <v>0</v>
      </c>
      <c r="AB1566" s="2192">
        <v>0</v>
      </c>
      <c r="AC1566" s="2192">
        <v>0</v>
      </c>
      <c r="AD1566" s="2192">
        <v>0</v>
      </c>
      <c r="AE1566" s="2192">
        <v>0</v>
      </c>
      <c r="AF1566" s="2192">
        <v>0</v>
      </c>
      <c r="AG1566" s="2192">
        <v>0</v>
      </c>
      <c r="AH1566" s="2192">
        <v>0</v>
      </c>
      <c r="AI1566" s="2192">
        <v>0</v>
      </c>
    </row>
    <row r="1567" spans="1:35" ht="14.5">
      <c r="A1567" s="990">
        <v>1</v>
      </c>
      <c r="B1567" s="990">
        <v>1</v>
      </c>
      <c r="C1567" s="990" t="s">
        <v>1129</v>
      </c>
      <c r="E1567" s="1611" t="s">
        <v>1013</v>
      </c>
      <c r="F1567" s="1610"/>
      <c r="G1567" s="1731"/>
      <c r="H1567" s="1732"/>
      <c r="I1567" s="1327"/>
      <c r="J1567" s="1736" t="s">
        <v>1588</v>
      </c>
      <c r="K1567" s="1736"/>
      <c r="L1567" s="1737"/>
      <c r="M1567" s="278"/>
      <c r="N1567" s="278"/>
      <c r="O1567" s="278"/>
      <c r="P1567" s="278"/>
      <c r="Q1567" s="1738">
        <v>0</v>
      </c>
      <c r="R1567" s="1738">
        <v>0</v>
      </c>
      <c r="S1567" s="1738">
        <v>0</v>
      </c>
      <c r="T1567" s="1738">
        <v>0</v>
      </c>
      <c r="U1567" s="1738">
        <v>0</v>
      </c>
      <c r="V1567" s="1738">
        <v>0</v>
      </c>
      <c r="W1567" s="1738">
        <v>0</v>
      </c>
      <c r="X1567" s="1738">
        <v>0</v>
      </c>
      <c r="Y1567" s="1738">
        <v>0</v>
      </c>
      <c r="Z1567" s="1738">
        <v>0</v>
      </c>
      <c r="AA1567" s="1738">
        <v>0</v>
      </c>
      <c r="AB1567" s="1738">
        <v>0</v>
      </c>
      <c r="AC1567" s="1738">
        <v>0</v>
      </c>
      <c r="AD1567" s="1738">
        <v>0</v>
      </c>
      <c r="AE1567" s="1738">
        <v>0</v>
      </c>
      <c r="AF1567" s="1738">
        <v>0</v>
      </c>
      <c r="AG1567" s="1738">
        <v>0</v>
      </c>
      <c r="AH1567" s="1738">
        <v>0</v>
      </c>
      <c r="AI1567" s="1738">
        <v>0</v>
      </c>
    </row>
    <row r="1568" spans="1:35" ht="14.5">
      <c r="A1568" s="990">
        <v>1</v>
      </c>
      <c r="B1568" s="990">
        <v>1</v>
      </c>
      <c r="C1568" s="990" t="s">
        <v>1129</v>
      </c>
      <c r="E1568" s="1611" t="s">
        <v>1013</v>
      </c>
      <c r="F1568" s="1610"/>
      <c r="G1568" s="1731"/>
      <c r="H1568" s="1732"/>
      <c r="I1568" s="1327"/>
      <c r="J1568" s="1321"/>
      <c r="K1568" s="1321" t="s">
        <v>1022</v>
      </c>
      <c r="Q1568" s="19">
        <v>0</v>
      </c>
      <c r="R1568" s="19">
        <v>0</v>
      </c>
      <c r="S1568" s="19">
        <v>0</v>
      </c>
      <c r="T1568" s="19">
        <v>0</v>
      </c>
      <c r="U1568" s="19">
        <v>0</v>
      </c>
      <c r="V1568" s="19">
        <v>0</v>
      </c>
      <c r="W1568" s="19">
        <v>0</v>
      </c>
      <c r="X1568" s="19">
        <v>0</v>
      </c>
      <c r="Y1568" s="19">
        <v>0</v>
      </c>
      <c r="Z1568" s="19">
        <v>0</v>
      </c>
      <c r="AA1568" s="19">
        <v>0</v>
      </c>
      <c r="AB1568" s="19">
        <v>0</v>
      </c>
      <c r="AC1568" s="19">
        <v>0</v>
      </c>
      <c r="AD1568" s="19">
        <v>0</v>
      </c>
      <c r="AE1568" s="19">
        <v>0</v>
      </c>
      <c r="AF1568" s="19">
        <v>0</v>
      </c>
      <c r="AG1568" s="19">
        <v>0</v>
      </c>
      <c r="AH1568" s="19">
        <v>0</v>
      </c>
      <c r="AI1568" s="19">
        <v>0</v>
      </c>
    </row>
    <row r="1569" spans="1:35" ht="14.5">
      <c r="A1569" s="990">
        <v>1</v>
      </c>
      <c r="B1569" s="990">
        <v>1</v>
      </c>
      <c r="C1569" s="990" t="s">
        <v>1129</v>
      </c>
      <c r="E1569" s="1611" t="s">
        <v>1013</v>
      </c>
      <c r="F1569" s="1610"/>
      <c r="G1569" s="1731"/>
      <c r="H1569" s="1732"/>
      <c r="I1569" s="1327"/>
      <c r="J1569" s="1321"/>
      <c r="K1569" s="1321" t="s">
        <v>1023</v>
      </c>
      <c r="Q1569" s="19">
        <v>0</v>
      </c>
      <c r="R1569" s="19">
        <v>0</v>
      </c>
      <c r="S1569" s="19">
        <v>0</v>
      </c>
      <c r="T1569" s="19">
        <v>0</v>
      </c>
      <c r="U1569" s="19">
        <v>0</v>
      </c>
      <c r="V1569" s="19">
        <v>0</v>
      </c>
      <c r="W1569" s="19">
        <v>0</v>
      </c>
      <c r="X1569" s="19">
        <v>0</v>
      </c>
      <c r="Y1569" s="19">
        <v>0</v>
      </c>
      <c r="Z1569" s="19">
        <v>0</v>
      </c>
      <c r="AA1569" s="19">
        <v>0</v>
      </c>
      <c r="AB1569" s="19">
        <v>0</v>
      </c>
      <c r="AC1569" s="19">
        <v>0</v>
      </c>
      <c r="AD1569" s="19">
        <v>0</v>
      </c>
      <c r="AE1569" s="19">
        <v>0</v>
      </c>
      <c r="AF1569" s="19">
        <v>0</v>
      </c>
      <c r="AG1569" s="19">
        <v>0</v>
      </c>
      <c r="AH1569" s="19">
        <v>0</v>
      </c>
      <c r="AI1569" s="19">
        <v>0</v>
      </c>
    </row>
    <row r="1570" spans="1:35" ht="14.5">
      <c r="A1570" s="990">
        <v>1</v>
      </c>
      <c r="B1570" s="990">
        <v>1</v>
      </c>
      <c r="C1570" s="990" t="s">
        <v>1129</v>
      </c>
      <c r="E1570" s="1611" t="s">
        <v>1013</v>
      </c>
      <c r="F1570" s="1610"/>
      <c r="G1570" s="1731"/>
      <c r="H1570" s="1732"/>
      <c r="I1570" s="1327"/>
      <c r="J1570" s="1736" t="s">
        <v>1590</v>
      </c>
      <c r="K1570" s="1736"/>
      <c r="L1570" s="1737"/>
      <c r="M1570" s="278"/>
      <c r="N1570" s="278"/>
      <c r="O1570" s="278"/>
      <c r="P1570" s="278"/>
      <c r="Q1570" s="1738">
        <v>0</v>
      </c>
      <c r="R1570" s="1738">
        <v>0</v>
      </c>
      <c r="S1570" s="1738">
        <v>0</v>
      </c>
      <c r="T1570" s="1738">
        <v>0</v>
      </c>
      <c r="U1570" s="1738">
        <v>0</v>
      </c>
      <c r="V1570" s="1738">
        <v>0</v>
      </c>
      <c r="W1570" s="1738">
        <v>0</v>
      </c>
      <c r="X1570" s="1738">
        <v>0</v>
      </c>
      <c r="Y1570" s="1738">
        <v>0</v>
      </c>
      <c r="Z1570" s="1738">
        <v>0</v>
      </c>
      <c r="AA1570" s="1738">
        <v>0</v>
      </c>
      <c r="AB1570" s="1738">
        <v>0</v>
      </c>
      <c r="AC1570" s="1738">
        <v>0</v>
      </c>
      <c r="AD1570" s="1738">
        <v>0</v>
      </c>
      <c r="AE1570" s="1738">
        <v>0</v>
      </c>
      <c r="AF1570" s="1738">
        <v>0</v>
      </c>
      <c r="AG1570" s="1738">
        <v>0</v>
      </c>
      <c r="AH1570" s="1738">
        <v>0</v>
      </c>
      <c r="AI1570" s="1738">
        <v>0</v>
      </c>
    </row>
    <row r="1571" spans="1:35" ht="14.5">
      <c r="A1571" s="990">
        <v>1</v>
      </c>
      <c r="B1571" s="990">
        <v>1</v>
      </c>
      <c r="C1571" s="990" t="s">
        <v>1129</v>
      </c>
      <c r="E1571" s="1611" t="s">
        <v>1013</v>
      </c>
      <c r="F1571" s="1610"/>
      <c r="G1571" s="1731"/>
      <c r="H1571" s="1732"/>
      <c r="I1571" s="1327"/>
      <c r="J1571" s="1321"/>
      <c r="K1571" s="1321" t="s">
        <v>1022</v>
      </c>
      <c r="Q1571" s="19">
        <v>0</v>
      </c>
      <c r="R1571" s="19">
        <v>0</v>
      </c>
      <c r="S1571" s="19">
        <v>0</v>
      </c>
      <c r="T1571" s="19">
        <v>0</v>
      </c>
      <c r="U1571" s="19">
        <v>0</v>
      </c>
      <c r="V1571" s="19">
        <v>0</v>
      </c>
      <c r="W1571" s="19">
        <v>0</v>
      </c>
      <c r="X1571" s="19">
        <v>0</v>
      </c>
      <c r="Y1571" s="19">
        <v>0</v>
      </c>
      <c r="Z1571" s="19">
        <v>0</v>
      </c>
      <c r="AA1571" s="19">
        <v>0</v>
      </c>
      <c r="AB1571" s="19">
        <v>0</v>
      </c>
      <c r="AC1571" s="19">
        <v>0</v>
      </c>
      <c r="AD1571" s="19">
        <v>0</v>
      </c>
      <c r="AE1571" s="19">
        <v>0</v>
      </c>
      <c r="AF1571" s="19">
        <v>0</v>
      </c>
      <c r="AG1571" s="19">
        <v>0</v>
      </c>
      <c r="AH1571" s="19">
        <v>0</v>
      </c>
      <c r="AI1571" s="19">
        <v>0</v>
      </c>
    </row>
    <row r="1572" spans="1:35" ht="14.5">
      <c r="A1572" s="990">
        <v>1</v>
      </c>
      <c r="B1572" s="990">
        <v>1</v>
      </c>
      <c r="C1572" s="990" t="s">
        <v>1129</v>
      </c>
      <c r="E1572" s="1611" t="s">
        <v>1013</v>
      </c>
      <c r="F1572" s="1610"/>
      <c r="G1572" s="1731"/>
      <c r="H1572" s="1732"/>
      <c r="I1572" s="1327"/>
      <c r="J1572" s="1321"/>
      <c r="K1572" s="1321" t="s">
        <v>1023</v>
      </c>
      <c r="Q1572" s="19">
        <v>0</v>
      </c>
      <c r="R1572" s="19">
        <v>0</v>
      </c>
      <c r="S1572" s="19">
        <v>0</v>
      </c>
      <c r="T1572" s="19">
        <v>0</v>
      </c>
      <c r="U1572" s="19">
        <v>0</v>
      </c>
      <c r="V1572" s="19">
        <v>0</v>
      </c>
      <c r="W1572" s="19">
        <v>0</v>
      </c>
      <c r="X1572" s="19">
        <v>0</v>
      </c>
      <c r="Y1572" s="19">
        <v>0</v>
      </c>
      <c r="Z1572" s="19">
        <v>0</v>
      </c>
      <c r="AA1572" s="19">
        <v>0</v>
      </c>
      <c r="AB1572" s="19">
        <v>0</v>
      </c>
      <c r="AC1572" s="19">
        <v>0</v>
      </c>
      <c r="AD1572" s="19">
        <v>0</v>
      </c>
      <c r="AE1572" s="19">
        <v>0</v>
      </c>
      <c r="AF1572" s="19">
        <v>0</v>
      </c>
      <c r="AG1572" s="19">
        <v>0</v>
      </c>
      <c r="AH1572" s="19">
        <v>0</v>
      </c>
      <c r="AI1572" s="19">
        <v>0</v>
      </c>
    </row>
    <row r="1573" spans="1:35" ht="14.5">
      <c r="A1573" s="990">
        <v>1</v>
      </c>
      <c r="B1573" s="990">
        <v>1</v>
      </c>
      <c r="C1573" s="990" t="s">
        <v>1129</v>
      </c>
      <c r="E1573" s="1611" t="s">
        <v>1013</v>
      </c>
      <c r="F1573" s="1610"/>
      <c r="G1573" s="1731"/>
      <c r="H1573" s="1732"/>
      <c r="I1573" s="1327"/>
      <c r="J1573" s="1736" t="s">
        <v>1648</v>
      </c>
      <c r="K1573" s="1736"/>
      <c r="L1573" s="1737"/>
      <c r="M1573" s="278"/>
      <c r="N1573" s="278"/>
      <c r="O1573" s="278"/>
      <c r="P1573" s="278"/>
      <c r="Q1573" s="1738">
        <v>0</v>
      </c>
      <c r="R1573" s="1738">
        <v>0</v>
      </c>
      <c r="S1573" s="1738">
        <v>0</v>
      </c>
      <c r="T1573" s="1738">
        <v>0</v>
      </c>
      <c r="U1573" s="1738">
        <v>0</v>
      </c>
      <c r="V1573" s="1738">
        <v>0</v>
      </c>
      <c r="W1573" s="1738">
        <v>0</v>
      </c>
      <c r="X1573" s="1738">
        <v>0</v>
      </c>
      <c r="Y1573" s="1738">
        <v>0</v>
      </c>
      <c r="Z1573" s="1738">
        <v>0</v>
      </c>
      <c r="AA1573" s="1738">
        <v>0</v>
      </c>
      <c r="AB1573" s="1738">
        <v>0</v>
      </c>
      <c r="AC1573" s="1738">
        <v>0</v>
      </c>
      <c r="AD1573" s="1738">
        <v>0</v>
      </c>
      <c r="AE1573" s="1738">
        <v>0</v>
      </c>
      <c r="AF1573" s="1738">
        <v>0</v>
      </c>
      <c r="AG1573" s="1738">
        <v>0</v>
      </c>
      <c r="AH1573" s="1738">
        <v>0</v>
      </c>
      <c r="AI1573" s="1738">
        <v>0</v>
      </c>
    </row>
    <row r="1574" spans="1:35" ht="14.5">
      <c r="A1574" s="990">
        <v>1</v>
      </c>
      <c r="B1574" s="990">
        <v>1</v>
      </c>
      <c r="C1574" s="990" t="s">
        <v>1129</v>
      </c>
      <c r="E1574" s="1611" t="s">
        <v>1013</v>
      </c>
      <c r="F1574" s="1610"/>
      <c r="G1574" s="1731"/>
      <c r="H1574" s="1732"/>
      <c r="I1574" s="2757" t="s">
        <v>1143</v>
      </c>
      <c r="J1574" s="1751"/>
      <c r="K1574" s="1751"/>
      <c r="L1574" s="1752"/>
      <c r="M1574" s="1753"/>
      <c r="N1574" s="1753"/>
      <c r="O1574" s="1753"/>
      <c r="P1574" s="1753"/>
      <c r="Q1574" s="2192">
        <v>0</v>
      </c>
      <c r="R1574" s="2192">
        <v>0</v>
      </c>
      <c r="S1574" s="2192">
        <v>0</v>
      </c>
      <c r="T1574" s="2192">
        <v>0</v>
      </c>
      <c r="U1574" s="2192">
        <v>0</v>
      </c>
      <c r="V1574" s="2192">
        <v>0</v>
      </c>
      <c r="W1574" s="2192">
        <v>0</v>
      </c>
      <c r="X1574" s="2192">
        <v>0</v>
      </c>
      <c r="Y1574" s="2192">
        <v>0</v>
      </c>
      <c r="Z1574" s="2192">
        <v>0</v>
      </c>
      <c r="AA1574" s="2192">
        <v>0</v>
      </c>
      <c r="AB1574" s="2192">
        <v>0</v>
      </c>
      <c r="AC1574" s="2192">
        <v>0</v>
      </c>
      <c r="AD1574" s="2192">
        <v>0</v>
      </c>
      <c r="AE1574" s="2192">
        <v>0</v>
      </c>
      <c r="AF1574" s="2192">
        <v>0</v>
      </c>
      <c r="AG1574" s="2192">
        <v>0</v>
      </c>
      <c r="AH1574" s="2192">
        <v>0</v>
      </c>
      <c r="AI1574" s="2192">
        <v>0</v>
      </c>
    </row>
    <row r="1575" spans="1:35" ht="14.5">
      <c r="A1575" s="990">
        <v>1</v>
      </c>
      <c r="B1575" s="990">
        <v>1</v>
      </c>
      <c r="C1575" s="990" t="s">
        <v>1129</v>
      </c>
      <c r="E1575" s="1611" t="s">
        <v>1013</v>
      </c>
      <c r="F1575" s="1610"/>
      <c r="G1575" s="1731"/>
      <c r="H1575" s="1732"/>
      <c r="I1575" s="1327"/>
      <c r="J1575" s="1736" t="s">
        <v>1588</v>
      </c>
      <c r="K1575" s="1736"/>
      <c r="L1575" s="1737"/>
      <c r="M1575" s="278"/>
      <c r="N1575" s="278"/>
      <c r="O1575" s="278"/>
      <c r="P1575" s="278"/>
      <c r="Q1575" s="1738">
        <v>0</v>
      </c>
      <c r="R1575" s="1738">
        <v>0</v>
      </c>
      <c r="S1575" s="1738">
        <v>0</v>
      </c>
      <c r="T1575" s="1738">
        <v>0</v>
      </c>
      <c r="U1575" s="1738">
        <v>0</v>
      </c>
      <c r="V1575" s="1738">
        <v>0</v>
      </c>
      <c r="W1575" s="1738">
        <v>0</v>
      </c>
      <c r="X1575" s="1738">
        <v>0</v>
      </c>
      <c r="Y1575" s="1738">
        <v>0</v>
      </c>
      <c r="Z1575" s="1738">
        <v>0</v>
      </c>
      <c r="AA1575" s="1738">
        <v>0</v>
      </c>
      <c r="AB1575" s="1738">
        <v>0</v>
      </c>
      <c r="AC1575" s="1738">
        <v>0</v>
      </c>
      <c r="AD1575" s="1738">
        <v>0</v>
      </c>
      <c r="AE1575" s="1738">
        <v>0</v>
      </c>
      <c r="AF1575" s="1738">
        <v>0</v>
      </c>
      <c r="AG1575" s="1738">
        <v>0</v>
      </c>
      <c r="AH1575" s="1738">
        <v>0</v>
      </c>
      <c r="AI1575" s="1738">
        <v>0</v>
      </c>
    </row>
    <row r="1576" spans="1:35" ht="14.5">
      <c r="A1576" s="990">
        <v>1</v>
      </c>
      <c r="B1576" s="990">
        <v>1</v>
      </c>
      <c r="C1576" s="990" t="s">
        <v>1129</v>
      </c>
      <c r="E1576" s="1611" t="s">
        <v>1013</v>
      </c>
      <c r="F1576" s="1610"/>
      <c r="G1576" s="1731"/>
      <c r="H1576" s="1732"/>
      <c r="I1576" s="1327"/>
      <c r="J1576" s="1321"/>
      <c r="K1576" s="1321" t="s">
        <v>1022</v>
      </c>
      <c r="Q1576" s="19">
        <v>0</v>
      </c>
      <c r="R1576" s="19">
        <v>0</v>
      </c>
      <c r="S1576" s="19">
        <v>0</v>
      </c>
      <c r="T1576" s="19">
        <v>0</v>
      </c>
      <c r="U1576" s="19">
        <v>0</v>
      </c>
      <c r="V1576" s="19">
        <v>0</v>
      </c>
      <c r="W1576" s="19">
        <v>0</v>
      </c>
      <c r="X1576" s="19">
        <v>0</v>
      </c>
      <c r="Y1576" s="19">
        <v>0</v>
      </c>
      <c r="Z1576" s="19">
        <v>0</v>
      </c>
      <c r="AA1576" s="19">
        <v>0</v>
      </c>
      <c r="AB1576" s="19">
        <v>0</v>
      </c>
      <c r="AC1576" s="19">
        <v>0</v>
      </c>
      <c r="AD1576" s="19">
        <v>0</v>
      </c>
      <c r="AE1576" s="19">
        <v>0</v>
      </c>
      <c r="AF1576" s="19">
        <v>0</v>
      </c>
      <c r="AG1576" s="19">
        <v>0</v>
      </c>
      <c r="AH1576" s="19">
        <v>0</v>
      </c>
      <c r="AI1576" s="19">
        <v>0</v>
      </c>
    </row>
    <row r="1577" spans="1:35" ht="14.5">
      <c r="A1577" s="990">
        <v>1</v>
      </c>
      <c r="B1577" s="990">
        <v>1</v>
      </c>
      <c r="C1577" s="990" t="s">
        <v>1129</v>
      </c>
      <c r="E1577" s="1611" t="s">
        <v>1013</v>
      </c>
      <c r="F1577" s="1610"/>
      <c r="G1577" s="1731"/>
      <c r="H1577" s="1732"/>
      <c r="I1577" s="1327"/>
      <c r="J1577" s="1321"/>
      <c r="K1577" s="1321" t="s">
        <v>1023</v>
      </c>
      <c r="Q1577" s="19">
        <v>0</v>
      </c>
      <c r="R1577" s="19">
        <v>0</v>
      </c>
      <c r="S1577" s="19">
        <v>0</v>
      </c>
      <c r="T1577" s="19">
        <v>0</v>
      </c>
      <c r="U1577" s="19">
        <v>0</v>
      </c>
      <c r="V1577" s="19">
        <v>0</v>
      </c>
      <c r="W1577" s="19">
        <v>0</v>
      </c>
      <c r="X1577" s="19">
        <v>0</v>
      </c>
      <c r="Y1577" s="19">
        <v>0</v>
      </c>
      <c r="Z1577" s="19">
        <v>0</v>
      </c>
      <c r="AA1577" s="19">
        <v>0</v>
      </c>
      <c r="AB1577" s="19">
        <v>0</v>
      </c>
      <c r="AC1577" s="19">
        <v>0</v>
      </c>
      <c r="AD1577" s="19">
        <v>0</v>
      </c>
      <c r="AE1577" s="19">
        <v>0</v>
      </c>
      <c r="AF1577" s="19">
        <v>0</v>
      </c>
      <c r="AG1577" s="19">
        <v>0</v>
      </c>
      <c r="AH1577" s="19">
        <v>0</v>
      </c>
      <c r="AI1577" s="19">
        <v>0</v>
      </c>
    </row>
    <row r="1578" spans="1:35" ht="14.5">
      <c r="A1578" s="990">
        <v>1</v>
      </c>
      <c r="B1578" s="990">
        <v>1</v>
      </c>
      <c r="C1578" s="990" t="s">
        <v>1129</v>
      </c>
      <c r="E1578" s="1611" t="s">
        <v>1013</v>
      </c>
      <c r="F1578" s="1610"/>
      <c r="G1578" s="1731"/>
      <c r="H1578" s="1732"/>
      <c r="I1578" s="1327"/>
      <c r="J1578" s="1736" t="s">
        <v>1590</v>
      </c>
      <c r="K1578" s="1736"/>
      <c r="L1578" s="1737"/>
      <c r="M1578" s="278"/>
      <c r="N1578" s="278"/>
      <c r="O1578" s="278"/>
      <c r="P1578" s="278"/>
      <c r="Q1578" s="1738">
        <v>0</v>
      </c>
      <c r="R1578" s="1738">
        <v>0</v>
      </c>
      <c r="S1578" s="1738">
        <v>0</v>
      </c>
      <c r="T1578" s="1738">
        <v>0</v>
      </c>
      <c r="U1578" s="1738">
        <v>0</v>
      </c>
      <c r="V1578" s="1738">
        <v>0</v>
      </c>
      <c r="W1578" s="1738">
        <v>0</v>
      </c>
      <c r="X1578" s="1738">
        <v>0</v>
      </c>
      <c r="Y1578" s="1738">
        <v>0</v>
      </c>
      <c r="Z1578" s="1738">
        <v>0</v>
      </c>
      <c r="AA1578" s="1738">
        <v>0</v>
      </c>
      <c r="AB1578" s="1738">
        <v>0</v>
      </c>
      <c r="AC1578" s="1738">
        <v>0</v>
      </c>
      <c r="AD1578" s="1738">
        <v>0</v>
      </c>
      <c r="AE1578" s="1738">
        <v>0</v>
      </c>
      <c r="AF1578" s="1738">
        <v>0</v>
      </c>
      <c r="AG1578" s="1738">
        <v>0</v>
      </c>
      <c r="AH1578" s="1738">
        <v>0</v>
      </c>
      <c r="AI1578" s="1738">
        <v>0</v>
      </c>
    </row>
    <row r="1579" spans="1:35" ht="14.5">
      <c r="A1579" s="990">
        <v>1</v>
      </c>
      <c r="B1579" s="990">
        <v>1</v>
      </c>
      <c r="C1579" s="990" t="s">
        <v>1129</v>
      </c>
      <c r="E1579" s="1611" t="s">
        <v>1013</v>
      </c>
      <c r="F1579" s="1610"/>
      <c r="G1579" s="1731"/>
      <c r="H1579" s="1732"/>
      <c r="I1579" s="1327"/>
      <c r="J1579" s="1321"/>
      <c r="K1579" s="1321" t="s">
        <v>1022</v>
      </c>
      <c r="Q1579" s="19">
        <v>0</v>
      </c>
      <c r="R1579" s="19">
        <v>0</v>
      </c>
      <c r="S1579" s="19">
        <v>0</v>
      </c>
      <c r="T1579" s="19">
        <v>0</v>
      </c>
      <c r="U1579" s="19">
        <v>0</v>
      </c>
      <c r="V1579" s="19">
        <v>0</v>
      </c>
      <c r="W1579" s="19">
        <v>0</v>
      </c>
      <c r="X1579" s="19">
        <v>0</v>
      </c>
      <c r="Y1579" s="19">
        <v>0</v>
      </c>
      <c r="Z1579" s="19">
        <v>0</v>
      </c>
      <c r="AA1579" s="19">
        <v>0</v>
      </c>
      <c r="AB1579" s="19">
        <v>0</v>
      </c>
      <c r="AC1579" s="19">
        <v>0</v>
      </c>
      <c r="AD1579" s="19">
        <v>0</v>
      </c>
      <c r="AE1579" s="19">
        <v>0</v>
      </c>
      <c r="AF1579" s="19">
        <v>0</v>
      </c>
      <c r="AG1579" s="19">
        <v>0</v>
      </c>
      <c r="AH1579" s="19">
        <v>0</v>
      </c>
      <c r="AI1579" s="19">
        <v>0</v>
      </c>
    </row>
    <row r="1580" spans="1:35" ht="14.5">
      <c r="A1580" s="990">
        <v>1</v>
      </c>
      <c r="B1580" s="990">
        <v>1</v>
      </c>
      <c r="C1580" s="990" t="s">
        <v>1129</v>
      </c>
      <c r="E1580" s="1611" t="s">
        <v>1013</v>
      </c>
      <c r="F1580" s="1610"/>
      <c r="G1580" s="1731"/>
      <c r="H1580" s="1732"/>
      <c r="I1580" s="1327"/>
      <c r="J1580" s="1321"/>
      <c r="K1580" s="1321" t="s">
        <v>1023</v>
      </c>
      <c r="Q1580" s="19">
        <v>0</v>
      </c>
      <c r="R1580" s="19">
        <v>0</v>
      </c>
      <c r="S1580" s="19">
        <v>0</v>
      </c>
      <c r="T1580" s="19">
        <v>0</v>
      </c>
      <c r="U1580" s="19">
        <v>0</v>
      </c>
      <c r="V1580" s="19">
        <v>0</v>
      </c>
      <c r="W1580" s="19">
        <v>0</v>
      </c>
      <c r="X1580" s="19">
        <v>0</v>
      </c>
      <c r="Y1580" s="19">
        <v>0</v>
      </c>
      <c r="Z1580" s="19">
        <v>0</v>
      </c>
      <c r="AA1580" s="19">
        <v>0</v>
      </c>
      <c r="AB1580" s="19">
        <v>0</v>
      </c>
      <c r="AC1580" s="19">
        <v>0</v>
      </c>
      <c r="AD1580" s="19">
        <v>0</v>
      </c>
      <c r="AE1580" s="19">
        <v>0</v>
      </c>
      <c r="AF1580" s="19">
        <v>0</v>
      </c>
      <c r="AG1580" s="19">
        <v>0</v>
      </c>
      <c r="AH1580" s="19">
        <v>0</v>
      </c>
      <c r="AI1580" s="19">
        <v>0</v>
      </c>
    </row>
    <row r="1581" spans="1:35" ht="14.5">
      <c r="A1581" s="990">
        <v>1</v>
      </c>
      <c r="B1581" s="990">
        <v>1</v>
      </c>
      <c r="C1581" s="990" t="s">
        <v>1129</v>
      </c>
      <c r="E1581" s="1611" t="s">
        <v>1013</v>
      </c>
      <c r="F1581" s="1610"/>
      <c r="G1581" s="1731"/>
      <c r="H1581" s="1732"/>
      <c r="I1581" s="2757" t="s">
        <v>1644</v>
      </c>
      <c r="J1581" s="1751"/>
      <c r="K1581" s="1751"/>
      <c r="L1581" s="1752"/>
      <c r="M1581" s="1753"/>
      <c r="N1581" s="1753"/>
      <c r="O1581" s="1753"/>
      <c r="P1581" s="1753"/>
      <c r="Q1581" s="2315" t="s">
        <v>1645</v>
      </c>
      <c r="R1581" s="2315" t="s">
        <v>1645</v>
      </c>
      <c r="S1581" s="2315" t="s">
        <v>1645</v>
      </c>
      <c r="T1581" s="2315" t="s">
        <v>1645</v>
      </c>
      <c r="U1581" s="2315" t="s">
        <v>1645</v>
      </c>
      <c r="V1581" s="2315" t="s">
        <v>1645</v>
      </c>
      <c r="W1581" s="2315" t="s">
        <v>1645</v>
      </c>
      <c r="X1581" s="2315" t="s">
        <v>1645</v>
      </c>
      <c r="Y1581" s="2315" t="s">
        <v>1645</v>
      </c>
      <c r="Z1581" s="2315" t="s">
        <v>1645</v>
      </c>
      <c r="AA1581" s="2315" t="s">
        <v>1645</v>
      </c>
      <c r="AB1581" s="2315" t="s">
        <v>1645</v>
      </c>
      <c r="AC1581" s="2315" t="s">
        <v>1645</v>
      </c>
      <c r="AD1581" s="2315" t="s">
        <v>1645</v>
      </c>
      <c r="AE1581" s="2315" t="s">
        <v>1645</v>
      </c>
      <c r="AF1581" s="2315" t="s">
        <v>1645</v>
      </c>
      <c r="AG1581" s="2315" t="s">
        <v>1645</v>
      </c>
      <c r="AH1581" s="2315" t="s">
        <v>1645</v>
      </c>
      <c r="AI1581" s="2315" t="s">
        <v>1645</v>
      </c>
    </row>
    <row r="1582" spans="1:35" ht="14.5">
      <c r="A1582" s="990">
        <v>1</v>
      </c>
      <c r="B1582" s="990">
        <v>1</v>
      </c>
      <c r="C1582" s="990" t="s">
        <v>1129</v>
      </c>
      <c r="E1582" s="1611" t="s">
        <v>1013</v>
      </c>
      <c r="F1582" s="1610"/>
      <c r="G1582" s="1731"/>
      <c r="H1582" s="1732"/>
      <c r="I1582" s="1327"/>
      <c r="J1582" s="1736" t="s">
        <v>1588</v>
      </c>
      <c r="K1582" s="1736"/>
      <c r="L1582" s="1737"/>
      <c r="M1582" s="278"/>
      <c r="N1582" s="278"/>
      <c r="O1582" s="278"/>
      <c r="P1582" s="278"/>
      <c r="Q1582" s="1740" t="s">
        <v>1645</v>
      </c>
      <c r="R1582" s="1740" t="s">
        <v>1645</v>
      </c>
      <c r="S1582" s="1740" t="s">
        <v>1645</v>
      </c>
      <c r="T1582" s="1740" t="s">
        <v>1645</v>
      </c>
      <c r="U1582" s="1740" t="s">
        <v>1645</v>
      </c>
      <c r="V1582" s="1740" t="s">
        <v>1645</v>
      </c>
      <c r="W1582" s="1740" t="s">
        <v>1645</v>
      </c>
      <c r="X1582" s="1740" t="s">
        <v>1645</v>
      </c>
      <c r="Y1582" s="1740" t="s">
        <v>1645</v>
      </c>
      <c r="Z1582" s="1740" t="s">
        <v>1645</v>
      </c>
      <c r="AA1582" s="1740" t="s">
        <v>1645</v>
      </c>
      <c r="AB1582" s="1740" t="s">
        <v>1645</v>
      </c>
      <c r="AC1582" s="1740" t="s">
        <v>1645</v>
      </c>
      <c r="AD1582" s="1740" t="s">
        <v>1645</v>
      </c>
      <c r="AE1582" s="1740" t="s">
        <v>1645</v>
      </c>
      <c r="AF1582" s="1740" t="s">
        <v>1645</v>
      </c>
      <c r="AG1582" s="1740" t="s">
        <v>1645</v>
      </c>
      <c r="AH1582" s="1740" t="s">
        <v>1645</v>
      </c>
      <c r="AI1582" s="1740" t="s">
        <v>1645</v>
      </c>
    </row>
    <row r="1583" spans="1:35" ht="14.5">
      <c r="A1583" s="990">
        <v>1</v>
      </c>
      <c r="B1583" s="990">
        <v>1</v>
      </c>
      <c r="C1583" s="990" t="s">
        <v>1129</v>
      </c>
      <c r="E1583" s="1611" t="s">
        <v>1013</v>
      </c>
      <c r="F1583" s="1610"/>
      <c r="G1583" s="1731"/>
      <c r="H1583" s="1732"/>
      <c r="I1583" s="1327"/>
      <c r="J1583" s="1321"/>
      <c r="K1583" s="1321" t="s">
        <v>1022</v>
      </c>
      <c r="Q1583" s="1741" t="s">
        <v>1645</v>
      </c>
      <c r="R1583" s="1741" t="s">
        <v>1645</v>
      </c>
      <c r="S1583" s="1741" t="s">
        <v>1645</v>
      </c>
      <c r="T1583" s="1741" t="s">
        <v>1645</v>
      </c>
      <c r="U1583" s="1741" t="s">
        <v>1645</v>
      </c>
      <c r="V1583" s="1741" t="s">
        <v>1645</v>
      </c>
      <c r="W1583" s="1741" t="s">
        <v>1645</v>
      </c>
      <c r="X1583" s="1741" t="s">
        <v>1645</v>
      </c>
      <c r="Y1583" s="1741" t="s">
        <v>1645</v>
      </c>
      <c r="Z1583" s="1741" t="s">
        <v>1645</v>
      </c>
      <c r="AA1583" s="1741" t="s">
        <v>1645</v>
      </c>
      <c r="AB1583" s="1741" t="s">
        <v>1645</v>
      </c>
      <c r="AC1583" s="1741" t="s">
        <v>1645</v>
      </c>
      <c r="AD1583" s="1741" t="s">
        <v>1645</v>
      </c>
      <c r="AE1583" s="1741" t="s">
        <v>1645</v>
      </c>
      <c r="AF1583" s="1741" t="s">
        <v>1645</v>
      </c>
      <c r="AG1583" s="1741" t="s">
        <v>1645</v>
      </c>
      <c r="AH1583" s="1741" t="s">
        <v>1645</v>
      </c>
      <c r="AI1583" s="1741" t="s">
        <v>1645</v>
      </c>
    </row>
    <row r="1584" spans="1:35" ht="14.5">
      <c r="A1584" s="990">
        <v>1</v>
      </c>
      <c r="B1584" s="990">
        <v>1</v>
      </c>
      <c r="C1584" s="990" t="s">
        <v>1129</v>
      </c>
      <c r="E1584" s="1611" t="s">
        <v>1013</v>
      </c>
      <c r="F1584" s="1610"/>
      <c r="G1584" s="1731"/>
      <c r="H1584" s="1732"/>
      <c r="I1584" s="1327"/>
      <c r="J1584" s="1321"/>
      <c r="K1584" s="1321" t="s">
        <v>1023</v>
      </c>
      <c r="Q1584" s="1741" t="s">
        <v>1645</v>
      </c>
      <c r="R1584" s="1741" t="s">
        <v>1645</v>
      </c>
      <c r="S1584" s="1741" t="s">
        <v>1645</v>
      </c>
      <c r="T1584" s="1741" t="s">
        <v>1645</v>
      </c>
      <c r="U1584" s="1741" t="s">
        <v>1645</v>
      </c>
      <c r="V1584" s="1741" t="s">
        <v>1645</v>
      </c>
      <c r="W1584" s="1741" t="s">
        <v>1645</v>
      </c>
      <c r="X1584" s="1741" t="s">
        <v>1645</v>
      </c>
      <c r="Y1584" s="1741" t="s">
        <v>1645</v>
      </c>
      <c r="Z1584" s="1741" t="s">
        <v>1645</v>
      </c>
      <c r="AA1584" s="1741" t="s">
        <v>1645</v>
      </c>
      <c r="AB1584" s="1741" t="s">
        <v>1645</v>
      </c>
      <c r="AC1584" s="1741" t="s">
        <v>1645</v>
      </c>
      <c r="AD1584" s="1741" t="s">
        <v>1645</v>
      </c>
      <c r="AE1584" s="1741" t="s">
        <v>1645</v>
      </c>
      <c r="AF1584" s="1741" t="s">
        <v>1645</v>
      </c>
      <c r="AG1584" s="1741" t="s">
        <v>1645</v>
      </c>
      <c r="AH1584" s="1741" t="s">
        <v>1645</v>
      </c>
      <c r="AI1584" s="1741" t="s">
        <v>1645</v>
      </c>
    </row>
    <row r="1585" spans="1:35" ht="14.5">
      <c r="A1585" s="990">
        <v>1</v>
      </c>
      <c r="B1585" s="990">
        <v>1</v>
      </c>
      <c r="C1585" s="990" t="s">
        <v>1129</v>
      </c>
      <c r="E1585" s="1611" t="s">
        <v>1013</v>
      </c>
      <c r="F1585" s="1610"/>
      <c r="G1585" s="1731"/>
      <c r="H1585" s="1732"/>
      <c r="I1585" s="1327"/>
      <c r="J1585" s="1736" t="s">
        <v>1590</v>
      </c>
      <c r="K1585" s="1736"/>
      <c r="L1585" s="1737"/>
      <c r="M1585" s="278"/>
      <c r="N1585" s="278"/>
      <c r="O1585" s="278"/>
      <c r="P1585" s="278"/>
      <c r="Q1585" s="1740" t="s">
        <v>1645</v>
      </c>
      <c r="R1585" s="1740" t="s">
        <v>1645</v>
      </c>
      <c r="S1585" s="1740" t="s">
        <v>1645</v>
      </c>
      <c r="T1585" s="1740" t="s">
        <v>1645</v>
      </c>
      <c r="U1585" s="1740" t="s">
        <v>1645</v>
      </c>
      <c r="V1585" s="1740" t="s">
        <v>1645</v>
      </c>
      <c r="W1585" s="1740" t="s">
        <v>1645</v>
      </c>
      <c r="X1585" s="1740" t="s">
        <v>1645</v>
      </c>
      <c r="Y1585" s="1740" t="s">
        <v>1645</v>
      </c>
      <c r="Z1585" s="1740" t="s">
        <v>1645</v>
      </c>
      <c r="AA1585" s="1740" t="s">
        <v>1645</v>
      </c>
      <c r="AB1585" s="1740" t="s">
        <v>1645</v>
      </c>
      <c r="AC1585" s="1740" t="s">
        <v>1645</v>
      </c>
      <c r="AD1585" s="1740" t="s">
        <v>1645</v>
      </c>
      <c r="AE1585" s="1740" t="s">
        <v>1645</v>
      </c>
      <c r="AF1585" s="1740" t="s">
        <v>1645</v>
      </c>
      <c r="AG1585" s="1740" t="s">
        <v>1645</v>
      </c>
      <c r="AH1585" s="1740" t="s">
        <v>1645</v>
      </c>
      <c r="AI1585" s="1740" t="s">
        <v>1645</v>
      </c>
    </row>
    <row r="1586" spans="1:35" ht="14.5">
      <c r="A1586" s="990">
        <v>1</v>
      </c>
      <c r="B1586" s="990">
        <v>1</v>
      </c>
      <c r="C1586" s="990" t="s">
        <v>1129</v>
      </c>
      <c r="E1586" s="1611" t="s">
        <v>1013</v>
      </c>
      <c r="F1586" s="1610"/>
      <c r="G1586" s="1731"/>
      <c r="H1586" s="1732"/>
      <c r="I1586" s="1327"/>
      <c r="J1586" s="1321"/>
      <c r="K1586" s="1321" t="s">
        <v>1022</v>
      </c>
      <c r="Q1586" s="1741" t="s">
        <v>1645</v>
      </c>
      <c r="R1586" s="1741" t="s">
        <v>1645</v>
      </c>
      <c r="S1586" s="1741" t="s">
        <v>1645</v>
      </c>
      <c r="T1586" s="1741" t="s">
        <v>1645</v>
      </c>
      <c r="U1586" s="1741" t="s">
        <v>1645</v>
      </c>
      <c r="V1586" s="1741" t="s">
        <v>1645</v>
      </c>
      <c r="W1586" s="1741" t="s">
        <v>1645</v>
      </c>
      <c r="X1586" s="1741" t="s">
        <v>1645</v>
      </c>
      <c r="Y1586" s="1741" t="s">
        <v>1645</v>
      </c>
      <c r="Z1586" s="1741" t="s">
        <v>1645</v>
      </c>
      <c r="AA1586" s="1741" t="s">
        <v>1645</v>
      </c>
      <c r="AB1586" s="1741" t="s">
        <v>1645</v>
      </c>
      <c r="AC1586" s="1741" t="s">
        <v>1645</v>
      </c>
      <c r="AD1586" s="1741" t="s">
        <v>1645</v>
      </c>
      <c r="AE1586" s="1741" t="s">
        <v>1645</v>
      </c>
      <c r="AF1586" s="1741" t="s">
        <v>1645</v>
      </c>
      <c r="AG1586" s="1741" t="s">
        <v>1645</v>
      </c>
      <c r="AH1586" s="1741" t="s">
        <v>1645</v>
      </c>
      <c r="AI1586" s="1741" t="s">
        <v>1645</v>
      </c>
    </row>
    <row r="1587" spans="1:35" ht="14.5">
      <c r="A1587" s="990">
        <v>1</v>
      </c>
      <c r="B1587" s="990">
        <v>1</v>
      </c>
      <c r="C1587" s="990" t="s">
        <v>1129</v>
      </c>
      <c r="E1587" s="1611" t="s">
        <v>1013</v>
      </c>
      <c r="F1587" s="1610"/>
      <c r="G1587" s="1731"/>
      <c r="H1587" s="1732"/>
      <c r="I1587" s="1327"/>
      <c r="J1587" s="1321"/>
      <c r="K1587" s="1321" t="s">
        <v>1023</v>
      </c>
      <c r="Q1587" s="1741" t="s">
        <v>1645</v>
      </c>
      <c r="R1587" s="1741" t="s">
        <v>1645</v>
      </c>
      <c r="S1587" s="1741" t="s">
        <v>1645</v>
      </c>
      <c r="T1587" s="1741" t="s">
        <v>1645</v>
      </c>
      <c r="U1587" s="1741" t="s">
        <v>1645</v>
      </c>
      <c r="V1587" s="1741" t="s">
        <v>1645</v>
      </c>
      <c r="W1587" s="1741" t="s">
        <v>1645</v>
      </c>
      <c r="X1587" s="1741" t="s">
        <v>1645</v>
      </c>
      <c r="Y1587" s="1741" t="s">
        <v>1645</v>
      </c>
      <c r="Z1587" s="1741" t="s">
        <v>1645</v>
      </c>
      <c r="AA1587" s="1741" t="s">
        <v>1645</v>
      </c>
      <c r="AB1587" s="1741" t="s">
        <v>1645</v>
      </c>
      <c r="AC1587" s="1741" t="s">
        <v>1645</v>
      </c>
      <c r="AD1587" s="1741" t="s">
        <v>1645</v>
      </c>
      <c r="AE1587" s="1741" t="s">
        <v>1645</v>
      </c>
      <c r="AF1587" s="1741" t="s">
        <v>1645</v>
      </c>
      <c r="AG1587" s="1741" t="s">
        <v>1645</v>
      </c>
      <c r="AH1587" s="1741" t="s">
        <v>1645</v>
      </c>
      <c r="AI1587" s="1741" t="s">
        <v>1645</v>
      </c>
    </row>
    <row r="1588" spans="1:35" ht="14.5">
      <c r="A1588" s="990">
        <v>1</v>
      </c>
      <c r="B1588" s="990">
        <v>1</v>
      </c>
      <c r="C1588" s="990" t="s">
        <v>1129</v>
      </c>
      <c r="E1588" s="1611" t="s">
        <v>1013</v>
      </c>
      <c r="F1588" s="1610"/>
      <c r="G1588" s="1731"/>
      <c r="H1588" s="1732"/>
      <c r="I1588" s="2757" t="s">
        <v>1146</v>
      </c>
      <c r="J1588" s="1751"/>
      <c r="K1588" s="1751"/>
      <c r="L1588" s="1752"/>
      <c r="M1588" s="1753"/>
      <c r="N1588" s="1753"/>
      <c r="O1588" s="1753"/>
      <c r="P1588" s="1753"/>
      <c r="Q1588" s="2192">
        <v>0</v>
      </c>
      <c r="R1588" s="2192">
        <v>0</v>
      </c>
      <c r="S1588" s="2192">
        <v>0</v>
      </c>
      <c r="T1588" s="2192">
        <v>0</v>
      </c>
      <c r="U1588" s="2192">
        <v>0</v>
      </c>
      <c r="V1588" s="2192">
        <v>0</v>
      </c>
      <c r="W1588" s="2192">
        <v>0</v>
      </c>
      <c r="X1588" s="2192">
        <v>0</v>
      </c>
      <c r="Y1588" s="2192">
        <v>0</v>
      </c>
      <c r="Z1588" s="2192">
        <v>0</v>
      </c>
      <c r="AA1588" s="2192">
        <v>0</v>
      </c>
      <c r="AB1588" s="2192">
        <v>0</v>
      </c>
      <c r="AC1588" s="2192">
        <v>0</v>
      </c>
      <c r="AD1588" s="2192">
        <v>0</v>
      </c>
      <c r="AE1588" s="2192">
        <v>0</v>
      </c>
      <c r="AF1588" s="2192">
        <v>0</v>
      </c>
      <c r="AG1588" s="2192">
        <v>0</v>
      </c>
      <c r="AH1588" s="2192">
        <v>0</v>
      </c>
      <c r="AI1588" s="2192">
        <v>0</v>
      </c>
    </row>
    <row r="1589" spans="1:35" ht="14.5">
      <c r="A1589" s="990">
        <v>1</v>
      </c>
      <c r="B1589" s="990">
        <v>1</v>
      </c>
      <c r="C1589" s="990" t="s">
        <v>1129</v>
      </c>
      <c r="E1589" s="1611" t="s">
        <v>1013</v>
      </c>
      <c r="F1589" s="1610"/>
      <c r="G1589" s="1731"/>
      <c r="H1589" s="1732"/>
      <c r="I1589" s="1327"/>
      <c r="J1589" s="1321" t="s">
        <v>1646</v>
      </c>
      <c r="K1589" s="1321"/>
      <c r="Q1589" s="19">
        <v>0</v>
      </c>
      <c r="R1589" s="19">
        <v>0</v>
      </c>
      <c r="S1589" s="19">
        <v>0</v>
      </c>
      <c r="T1589" s="19">
        <v>0</v>
      </c>
      <c r="U1589" s="19">
        <v>0</v>
      </c>
      <c r="V1589" s="19">
        <v>0</v>
      </c>
      <c r="W1589" s="19">
        <v>0</v>
      </c>
      <c r="X1589" s="19">
        <v>0</v>
      </c>
      <c r="Y1589" s="19">
        <v>0</v>
      </c>
      <c r="Z1589" s="19">
        <v>0</v>
      </c>
      <c r="AA1589" s="19">
        <v>0</v>
      </c>
      <c r="AB1589" s="19">
        <v>0</v>
      </c>
      <c r="AC1589" s="19">
        <v>0</v>
      </c>
      <c r="AD1589" s="19">
        <v>0</v>
      </c>
      <c r="AE1589" s="19">
        <v>0</v>
      </c>
      <c r="AF1589" s="19">
        <v>0</v>
      </c>
      <c r="AG1589" s="19">
        <v>0</v>
      </c>
      <c r="AH1589" s="19">
        <v>0</v>
      </c>
      <c r="AI1589" s="19">
        <v>0</v>
      </c>
    </row>
    <row r="1590" spans="1:35" ht="14.5">
      <c r="A1590" s="990">
        <v>1</v>
      </c>
      <c r="B1590" s="990">
        <v>1</v>
      </c>
      <c r="C1590" s="990" t="s">
        <v>1129</v>
      </c>
      <c r="E1590" s="1611" t="s">
        <v>1013</v>
      </c>
      <c r="F1590" s="1610"/>
      <c r="G1590" s="1731"/>
      <c r="H1590" s="1732"/>
      <c r="I1590" s="1327"/>
      <c r="J1590" s="1321" t="s">
        <v>1647</v>
      </c>
      <c r="K1590" s="1321"/>
      <c r="Q1590" s="19">
        <v>0</v>
      </c>
      <c r="R1590" s="19">
        <v>0</v>
      </c>
      <c r="S1590" s="19">
        <v>0</v>
      </c>
      <c r="T1590" s="19">
        <v>0</v>
      </c>
      <c r="U1590" s="19">
        <v>0</v>
      </c>
      <c r="V1590" s="19">
        <v>0</v>
      </c>
      <c r="W1590" s="19">
        <v>0</v>
      </c>
      <c r="X1590" s="19">
        <v>0</v>
      </c>
      <c r="Y1590" s="19">
        <v>0</v>
      </c>
      <c r="Z1590" s="19">
        <v>0</v>
      </c>
      <c r="AA1590" s="19">
        <v>0</v>
      </c>
      <c r="AB1590" s="19">
        <v>0</v>
      </c>
      <c r="AC1590" s="19">
        <v>0</v>
      </c>
      <c r="AD1590" s="19">
        <v>0</v>
      </c>
      <c r="AE1590" s="19">
        <v>0</v>
      </c>
      <c r="AF1590" s="19">
        <v>0</v>
      </c>
      <c r="AG1590" s="19">
        <v>0</v>
      </c>
      <c r="AH1590" s="19">
        <v>0</v>
      </c>
      <c r="AI1590" s="19">
        <v>0</v>
      </c>
    </row>
    <row r="1591" spans="1:35" ht="14.5">
      <c r="A1591" s="990">
        <v>1</v>
      </c>
      <c r="B1591" s="990">
        <v>1</v>
      </c>
      <c r="C1591" s="990" t="s">
        <v>1129</v>
      </c>
      <c r="E1591" s="1611" t="s">
        <v>1013</v>
      </c>
      <c r="F1591" s="1610"/>
      <c r="G1591" s="1731"/>
      <c r="H1591" s="1732"/>
      <c r="I1591" s="2757" t="s">
        <v>46</v>
      </c>
      <c r="J1591" s="1751"/>
      <c r="K1591" s="1751"/>
      <c r="L1591" s="1752"/>
      <c r="M1591" s="1753"/>
      <c r="N1591" s="1753"/>
      <c r="O1591" s="1753"/>
      <c r="P1591" s="1753"/>
      <c r="Q1591" s="2192">
        <v>0</v>
      </c>
      <c r="R1591" s="2192">
        <v>0</v>
      </c>
      <c r="S1591" s="2192">
        <v>0</v>
      </c>
      <c r="T1591" s="2192">
        <v>0</v>
      </c>
      <c r="U1591" s="2192">
        <v>0</v>
      </c>
      <c r="V1591" s="2192">
        <v>0</v>
      </c>
      <c r="W1591" s="2192">
        <v>0</v>
      </c>
      <c r="X1591" s="2192">
        <v>0</v>
      </c>
      <c r="Y1591" s="2192">
        <v>0</v>
      </c>
      <c r="Z1591" s="2192">
        <v>0</v>
      </c>
      <c r="AA1591" s="2192">
        <v>0</v>
      </c>
      <c r="AB1591" s="2192">
        <v>0</v>
      </c>
      <c r="AC1591" s="2192">
        <v>0</v>
      </c>
      <c r="AD1591" s="2192">
        <v>0</v>
      </c>
      <c r="AE1591" s="2192">
        <v>0</v>
      </c>
      <c r="AF1591" s="2192">
        <v>0</v>
      </c>
      <c r="AG1591" s="2192">
        <v>0</v>
      </c>
      <c r="AH1591" s="2192">
        <v>0</v>
      </c>
      <c r="AI1591" s="2192">
        <v>0</v>
      </c>
    </row>
    <row r="1592" spans="1:35" ht="14.5">
      <c r="A1592" s="990">
        <v>1</v>
      </c>
      <c r="B1592" s="990">
        <v>1</v>
      </c>
      <c r="C1592" s="990" t="s">
        <v>1129</v>
      </c>
      <c r="E1592" s="1611" t="s">
        <v>1013</v>
      </c>
      <c r="F1592" s="1610"/>
      <c r="G1592" s="1731"/>
      <c r="H1592" s="1732"/>
      <c r="I1592" s="2757" t="s">
        <v>1151</v>
      </c>
      <c r="J1592" s="1751"/>
      <c r="K1592" s="1751"/>
      <c r="L1592" s="1752"/>
      <c r="M1592" s="1753"/>
      <c r="N1592" s="1753"/>
      <c r="O1592" s="1753"/>
      <c r="P1592" s="1753"/>
      <c r="Q1592" s="2192" t="e">
        <v>#VALUE!</v>
      </c>
      <c r="R1592" s="2192" t="e">
        <v>#VALUE!</v>
      </c>
      <c r="S1592" s="2192" t="e">
        <v>#VALUE!</v>
      </c>
      <c r="T1592" s="2192" t="e">
        <v>#VALUE!</v>
      </c>
      <c r="U1592" s="2192" t="e">
        <v>#VALUE!</v>
      </c>
      <c r="V1592" s="2192" t="e">
        <v>#VALUE!</v>
      </c>
      <c r="W1592" s="2192" t="e">
        <v>#VALUE!</v>
      </c>
      <c r="X1592" s="2192" t="e">
        <v>#VALUE!</v>
      </c>
      <c r="Y1592" s="2192" t="e">
        <v>#VALUE!</v>
      </c>
      <c r="Z1592" s="2192" t="e">
        <v>#VALUE!</v>
      </c>
      <c r="AA1592" s="2192" t="e">
        <v>#VALUE!</v>
      </c>
      <c r="AB1592" s="2192" t="e">
        <v>#VALUE!</v>
      </c>
      <c r="AC1592" s="2192" t="e">
        <v>#VALUE!</v>
      </c>
      <c r="AD1592" s="2192" t="e">
        <v>#VALUE!</v>
      </c>
      <c r="AE1592" s="2192" t="e">
        <v>#VALUE!</v>
      </c>
      <c r="AF1592" s="2192" t="e">
        <v>#VALUE!</v>
      </c>
      <c r="AG1592" s="2192" t="e">
        <v>#VALUE!</v>
      </c>
      <c r="AH1592" s="2192" t="e">
        <v>#VALUE!</v>
      </c>
      <c r="AI1592" s="2192" t="e">
        <v>#VALUE!</v>
      </c>
    </row>
    <row r="1593" spans="1:35" ht="14.5">
      <c r="A1593" s="990">
        <v>1</v>
      </c>
      <c r="B1593" s="990">
        <v>1</v>
      </c>
      <c r="C1593" s="990" t="s">
        <v>1129</v>
      </c>
      <c r="E1593" s="1611" t="s">
        <v>1013</v>
      </c>
      <c r="F1593" s="1610"/>
      <c r="G1593" s="1731"/>
      <c r="H1593" s="1732"/>
      <c r="I1593" s="1336"/>
      <c r="J1593" s="1337" t="s">
        <v>135</v>
      </c>
      <c r="K1593" s="1338"/>
      <c r="L1593" s="18"/>
      <c r="M1593" s="12"/>
      <c r="N1593" s="12"/>
      <c r="O1593" s="12"/>
      <c r="P1593" s="12"/>
      <c r="Q1593" s="1743" t="e">
        <v>#VALUE!</v>
      </c>
      <c r="R1593" s="1743" t="e">
        <v>#VALUE!</v>
      </c>
      <c r="S1593" s="1743" t="e">
        <v>#VALUE!</v>
      </c>
      <c r="T1593" s="1743" t="e">
        <v>#VALUE!</v>
      </c>
      <c r="U1593" s="1743" t="e">
        <v>#VALUE!</v>
      </c>
      <c r="V1593" s="1743" t="e">
        <v>#VALUE!</v>
      </c>
      <c r="W1593" s="1743" t="e">
        <v>#VALUE!</v>
      </c>
      <c r="X1593" s="1743" t="e">
        <v>#VALUE!</v>
      </c>
      <c r="Y1593" s="1743" t="e">
        <v>#VALUE!</v>
      </c>
      <c r="Z1593" s="1743" t="e">
        <v>#VALUE!</v>
      </c>
      <c r="AA1593" s="1743" t="e">
        <v>#VALUE!</v>
      </c>
      <c r="AB1593" s="1743" t="e">
        <v>#VALUE!</v>
      </c>
      <c r="AC1593" s="1743" t="e">
        <v>#VALUE!</v>
      </c>
      <c r="AD1593" s="1743" t="e">
        <v>#VALUE!</v>
      </c>
      <c r="AE1593" s="1743" t="e">
        <v>#VALUE!</v>
      </c>
      <c r="AF1593" s="1743" t="e">
        <v>#VALUE!</v>
      </c>
      <c r="AG1593" s="1743" t="e">
        <v>#VALUE!</v>
      </c>
      <c r="AH1593" s="1743" t="e">
        <v>#VALUE!</v>
      </c>
      <c r="AI1593" s="1743" t="e">
        <v>#VALUE!</v>
      </c>
    </row>
  </sheetData>
  <autoFilter ref="Q10:T33" xr:uid="{00000000-0009-0000-0000-000004000000}"/>
  <phoneticPr fontId="5"/>
  <pageMargins left="0.35433070866141736" right="0.35433070866141736" top="0.74803149606299213" bottom="0.74803149606299213" header="0.31496062992125984" footer="0.31496062992125984"/>
  <pageSetup paperSize="8" scale="53" fitToHeight="0" orientation="portrait" r:id="rId1"/>
  <rowBreaks count="7" manualBreakCount="7">
    <brk id="279" max="21" man="1"/>
    <brk id="349" max="21" man="1"/>
    <brk id="720" max="21" man="1"/>
    <brk id="514" max="16383" man="1"/>
    <brk id="636" max="21" man="1"/>
    <brk id="791" max="21" man="1"/>
    <brk id="882" max="2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AB560"/>
  <sheetViews>
    <sheetView showGridLines="0" zoomScale="60" zoomScaleNormal="60" workbookViewId="0">
      <pane xSplit="16" ySplit="6" topLeftCell="Z83" activePane="bottomRight" state="frozen"/>
      <selection activeCell="AB603" sqref="A7:AB603"/>
      <selection pane="topRight" activeCell="AB603" sqref="A7:AB603"/>
      <selection pane="bottomLeft" activeCell="AB603" sqref="A7:AB603"/>
      <selection pane="bottomRight" activeCell="AA103" sqref="AA103"/>
    </sheetView>
  </sheetViews>
  <sheetFormatPr defaultColWidth="9" defaultRowHeight="15"/>
  <cols>
    <col min="1" max="1" width="3.453125" style="218" bestFit="1" customWidth="1"/>
    <col min="2" max="2" width="3.54296875" style="218" customWidth="1"/>
    <col min="3" max="3" width="7" style="218" customWidth="1"/>
    <col min="4" max="4" width="28.54296875" style="218" bestFit="1" customWidth="1"/>
    <col min="5" max="5" width="14" style="218" customWidth="1"/>
    <col min="6" max="6" width="1.54296875" style="399" customWidth="1"/>
    <col min="7" max="9" width="1.54296875" style="218" customWidth="1"/>
    <col min="10" max="10" width="21.54296875" style="218" customWidth="1"/>
    <col min="11" max="11" width="19.81640625" style="235" customWidth="1"/>
    <col min="12" max="13" width="9.54296875" style="235" customWidth="1"/>
    <col min="14" max="14" width="17.453125" style="235" customWidth="1"/>
    <col min="15" max="15" width="6.81640625" style="218" customWidth="1"/>
    <col min="16" max="16" width="9.1796875" style="218" customWidth="1"/>
    <col min="17" max="28" width="15.54296875" style="218" bestFit="1" customWidth="1"/>
    <col min="29" max="16384" width="9" style="218"/>
  </cols>
  <sheetData>
    <row r="1" spans="1:28" ht="13.75" customHeight="1">
      <c r="G1" s="244"/>
      <c r="H1" s="244"/>
      <c r="I1" s="245"/>
      <c r="J1" s="216"/>
      <c r="K1" s="230"/>
      <c r="L1" s="230"/>
      <c r="M1" s="230"/>
      <c r="N1" s="230"/>
      <c r="O1" s="216"/>
      <c r="P1" s="216"/>
      <c r="Q1" s="217" t="s">
        <v>165</v>
      </c>
      <c r="R1" s="217" t="s">
        <v>165</v>
      </c>
      <c r="S1" s="217" t="s">
        <v>165</v>
      </c>
      <c r="T1" s="217" t="s">
        <v>165</v>
      </c>
      <c r="U1" s="217" t="s">
        <v>165</v>
      </c>
      <c r="V1" s="217" t="s">
        <v>165</v>
      </c>
      <c r="W1" s="217" t="s">
        <v>165</v>
      </c>
      <c r="X1" s="217" t="s">
        <v>165</v>
      </c>
      <c r="Y1" s="217" t="s">
        <v>165</v>
      </c>
      <c r="Z1" s="217" t="s">
        <v>165</v>
      </c>
      <c r="AA1" s="217" t="s">
        <v>165</v>
      </c>
      <c r="AB1" s="217" t="s">
        <v>165</v>
      </c>
    </row>
    <row r="2" spans="1:28" ht="13.75" customHeight="1">
      <c r="G2" s="244"/>
      <c r="H2" s="244"/>
      <c r="I2" s="245"/>
      <c r="J2" s="216"/>
      <c r="K2" s="230"/>
      <c r="L2" s="230"/>
      <c r="M2" s="230"/>
      <c r="N2" s="230"/>
      <c r="O2" s="216"/>
      <c r="P2" s="216"/>
      <c r="Q2" s="217" t="s">
        <v>166</v>
      </c>
      <c r="R2" s="217" t="s">
        <v>166</v>
      </c>
      <c r="S2" s="217" t="s">
        <v>166</v>
      </c>
      <c r="T2" s="217" t="s">
        <v>166</v>
      </c>
      <c r="U2" s="217" t="s">
        <v>166</v>
      </c>
      <c r="V2" s="217" t="s">
        <v>166</v>
      </c>
      <c r="W2" s="217" t="s">
        <v>166</v>
      </c>
      <c r="X2" s="217" t="s">
        <v>166</v>
      </c>
      <c r="Y2" s="217" t="s">
        <v>166</v>
      </c>
      <c r="Z2" s="219" t="s">
        <v>7</v>
      </c>
      <c r="AA2" s="219" t="s">
        <v>7</v>
      </c>
      <c r="AB2" s="219" t="s">
        <v>7</v>
      </c>
    </row>
    <row r="3" spans="1:28" ht="13.75" customHeight="1">
      <c r="G3" s="244"/>
      <c r="H3" s="244"/>
      <c r="I3" s="245"/>
      <c r="J3" s="216"/>
      <c r="K3" s="230"/>
      <c r="L3" s="230"/>
      <c r="M3" s="230"/>
      <c r="N3" s="230"/>
      <c r="O3" s="216"/>
      <c r="P3" s="216"/>
      <c r="Q3" s="217" t="s">
        <v>167</v>
      </c>
      <c r="R3" s="219" t="str">
        <f t="shared" ref="R3:AB3" si="0">Q3</f>
        <v>Before Recovery</v>
      </c>
      <c r="S3" s="219" t="str">
        <f t="shared" si="0"/>
        <v>Before Recovery</v>
      </c>
      <c r="T3" s="219" t="str">
        <f t="shared" si="0"/>
        <v>Before Recovery</v>
      </c>
      <c r="U3" s="219" t="str">
        <f t="shared" si="0"/>
        <v>Before Recovery</v>
      </c>
      <c r="V3" s="219" t="str">
        <f t="shared" si="0"/>
        <v>Before Recovery</v>
      </c>
      <c r="W3" s="219" t="str">
        <f t="shared" si="0"/>
        <v>Before Recovery</v>
      </c>
      <c r="X3" s="219" t="str">
        <f t="shared" si="0"/>
        <v>Before Recovery</v>
      </c>
      <c r="Y3" s="219" t="str">
        <f t="shared" si="0"/>
        <v>Before Recovery</v>
      </c>
      <c r="Z3" s="219" t="str">
        <f t="shared" si="0"/>
        <v>Before Recovery</v>
      </c>
      <c r="AA3" s="219" t="str">
        <f t="shared" si="0"/>
        <v>Before Recovery</v>
      </c>
      <c r="AB3" s="219" t="str">
        <f t="shared" si="0"/>
        <v>Before Recovery</v>
      </c>
    </row>
    <row r="4" spans="1:28">
      <c r="G4" s="244"/>
      <c r="H4" s="244"/>
      <c r="I4" s="245"/>
      <c r="J4" s="216"/>
      <c r="K4" s="230"/>
      <c r="L4" s="230"/>
      <c r="M4" s="230"/>
      <c r="N4" s="230"/>
      <c r="O4" s="216"/>
      <c r="P4" s="216"/>
      <c r="Q4" s="217" t="s">
        <v>940</v>
      </c>
      <c r="R4" s="219" t="str">
        <f>Q4</f>
        <v>FY2021</v>
      </c>
      <c r="S4" s="219" t="str">
        <f>Q4</f>
        <v>FY2021</v>
      </c>
      <c r="T4" s="219" t="str">
        <f>Q4</f>
        <v>FY2021</v>
      </c>
      <c r="U4" s="219" t="str">
        <f>Q4</f>
        <v>FY2021</v>
      </c>
      <c r="V4" s="219" t="str">
        <f>Q4</f>
        <v>FY2021</v>
      </c>
      <c r="W4" s="219" t="str">
        <f>Q4</f>
        <v>FY2021</v>
      </c>
      <c r="X4" s="219" t="str">
        <f>Q4</f>
        <v>FY2021</v>
      </c>
      <c r="Y4" s="219" t="str">
        <f>Q4</f>
        <v>FY2021</v>
      </c>
      <c r="Z4" s="219" t="str">
        <f>Q4</f>
        <v>FY2021</v>
      </c>
      <c r="AA4" s="219" t="str">
        <f>Q4</f>
        <v>FY2021</v>
      </c>
      <c r="AB4" s="219" t="str">
        <f>Q4</f>
        <v>FY2021</v>
      </c>
    </row>
    <row r="5" spans="1:28">
      <c r="G5" s="244"/>
      <c r="H5" s="244"/>
      <c r="I5" s="245"/>
      <c r="J5" s="216"/>
      <c r="K5" s="230"/>
      <c r="L5" s="230"/>
      <c r="M5" s="230"/>
      <c r="N5" s="230"/>
      <c r="O5" s="216"/>
      <c r="P5" s="216"/>
      <c r="Q5" s="219" t="s">
        <v>434</v>
      </c>
      <c r="R5" s="219" t="str">
        <f>Q5</f>
        <v>Actual</v>
      </c>
      <c r="S5" s="219" t="str">
        <f>Q5</f>
        <v>Actual</v>
      </c>
      <c r="T5" s="219" t="str">
        <f>Q5</f>
        <v>Actual</v>
      </c>
      <c r="U5" s="219" t="str">
        <f>Q5</f>
        <v>Actual</v>
      </c>
      <c r="V5" s="219" t="str">
        <f>Q5</f>
        <v>Actual</v>
      </c>
      <c r="W5" s="219" t="str">
        <f>Q5</f>
        <v>Actual</v>
      </c>
      <c r="X5" s="219" t="str">
        <f>Q5</f>
        <v>Actual</v>
      </c>
      <c r="Y5" s="219" t="str">
        <f>Q5</f>
        <v>Actual</v>
      </c>
      <c r="Z5" s="219" t="str">
        <f>Q5</f>
        <v>Actual</v>
      </c>
      <c r="AA5" s="219" t="str">
        <f>Q5</f>
        <v>Actual</v>
      </c>
      <c r="AB5" s="219" t="str">
        <f>Q5</f>
        <v>Actual</v>
      </c>
    </row>
    <row r="6" spans="1:28">
      <c r="A6" s="235">
        <v>1</v>
      </c>
      <c r="B6" s="235" t="s">
        <v>514</v>
      </c>
      <c r="C6" s="235" t="s">
        <v>515</v>
      </c>
      <c r="D6" s="235" t="s">
        <v>516</v>
      </c>
      <c r="E6" s="235" t="s">
        <v>517</v>
      </c>
      <c r="F6" s="603" t="s">
        <v>518</v>
      </c>
      <c r="G6" s="599" t="s">
        <v>519</v>
      </c>
      <c r="H6" s="599" t="s">
        <v>520</v>
      </c>
      <c r="I6" s="599" t="s">
        <v>521</v>
      </c>
      <c r="J6" s="216" t="s">
        <v>612</v>
      </c>
      <c r="K6" s="230" t="s">
        <v>613</v>
      </c>
      <c r="L6" s="230" t="s">
        <v>614</v>
      </c>
      <c r="M6" s="230" t="s">
        <v>615</v>
      </c>
      <c r="N6" s="230" t="s">
        <v>433</v>
      </c>
      <c r="O6" s="216" t="s">
        <v>522</v>
      </c>
      <c r="P6" s="216" t="s">
        <v>523</v>
      </c>
      <c r="Q6" s="217" t="s">
        <v>418</v>
      </c>
      <c r="R6" s="217" t="s">
        <v>0</v>
      </c>
      <c r="S6" s="217" t="s">
        <v>116</v>
      </c>
      <c r="T6" s="217" t="s">
        <v>115</v>
      </c>
      <c r="U6" s="217" t="s">
        <v>114</v>
      </c>
      <c r="V6" s="217" t="s">
        <v>113</v>
      </c>
      <c r="W6" s="217" t="s">
        <v>112</v>
      </c>
      <c r="X6" s="217" t="s">
        <v>111</v>
      </c>
      <c r="Y6" s="217" t="s">
        <v>110</v>
      </c>
      <c r="Z6" s="217" t="s">
        <v>109</v>
      </c>
      <c r="AA6" s="217" t="s">
        <v>108</v>
      </c>
      <c r="AB6" s="217" t="s">
        <v>107</v>
      </c>
    </row>
    <row r="7" spans="1:28" s="711" customFormat="1">
      <c r="A7" s="711">
        <v>1</v>
      </c>
      <c r="C7" s="712" t="s">
        <v>622</v>
      </c>
      <c r="F7" s="713"/>
      <c r="G7" s="714"/>
      <c r="H7" s="714"/>
      <c r="I7" s="714"/>
      <c r="J7" s="724"/>
      <c r="K7" s="725"/>
      <c r="L7" s="725"/>
      <c r="M7" s="725"/>
      <c r="N7" s="725"/>
      <c r="O7" s="724"/>
      <c r="P7" s="724"/>
      <c r="Q7" s="724"/>
      <c r="R7" s="724"/>
      <c r="S7" s="724"/>
      <c r="T7" s="724"/>
      <c r="U7" s="724"/>
      <c r="V7" s="724"/>
      <c r="W7" s="724"/>
      <c r="X7" s="724"/>
      <c r="Y7" s="724"/>
      <c r="Z7" s="724"/>
      <c r="AA7" s="724"/>
      <c r="AB7" s="724"/>
    </row>
    <row r="8" spans="1:28" s="726" customFormat="1">
      <c r="A8" s="726">
        <v>1</v>
      </c>
      <c r="B8" s="727"/>
      <c r="C8" s="728" t="s">
        <v>505</v>
      </c>
      <c r="F8" s="729"/>
      <c r="G8" s="730"/>
      <c r="H8" s="730"/>
      <c r="I8" s="731"/>
      <c r="J8" s="732" t="s">
        <v>748</v>
      </c>
      <c r="K8" s="733" t="s">
        <v>2</v>
      </c>
      <c r="L8" s="761" t="s">
        <v>3</v>
      </c>
      <c r="M8" s="735" t="s">
        <v>4</v>
      </c>
      <c r="N8" s="736" t="s">
        <v>5</v>
      </c>
      <c r="O8" s="737" t="str">
        <f>PL!$P$4</f>
        <v>BIN</v>
      </c>
      <c r="P8" s="737" t="str">
        <f>PL!$I$6</f>
        <v>K_INR</v>
      </c>
      <c r="Q8" s="738"/>
      <c r="R8" s="738"/>
      <c r="S8" s="738"/>
      <c r="T8" s="738"/>
      <c r="U8" s="738"/>
      <c r="V8" s="738"/>
      <c r="W8" s="738"/>
      <c r="X8" s="738"/>
      <c r="Y8" s="738"/>
      <c r="Z8" s="738"/>
      <c r="AA8" s="738"/>
      <c r="AB8" s="738"/>
    </row>
    <row r="9" spans="1:28">
      <c r="A9" s="598">
        <v>1</v>
      </c>
      <c r="B9" s="235"/>
      <c r="C9" s="235"/>
      <c r="D9" s="235"/>
      <c r="E9" s="600"/>
      <c r="G9" s="244"/>
      <c r="H9" s="243"/>
      <c r="I9" s="245"/>
      <c r="J9" s="220" t="s">
        <v>89</v>
      </c>
      <c r="K9" s="232" t="s">
        <v>38</v>
      </c>
      <c r="L9" s="232" t="s">
        <v>3</v>
      </c>
      <c r="M9" s="468" t="s">
        <v>4</v>
      </c>
      <c r="N9" s="232" t="s">
        <v>5</v>
      </c>
      <c r="O9" s="216" t="str">
        <f>PL!$P$4</f>
        <v>BIN</v>
      </c>
      <c r="P9" s="216" t="str">
        <f>PL!$I$6</f>
        <v>K_INR</v>
      </c>
      <c r="Q9" s="223"/>
      <c r="R9" s="223"/>
      <c r="S9" s="223"/>
      <c r="T9" s="223"/>
      <c r="U9" s="223"/>
      <c r="V9" s="223"/>
      <c r="W9" s="223"/>
      <c r="X9" s="223"/>
      <c r="Y9" s="223"/>
      <c r="Z9" s="223"/>
      <c r="AA9" s="223"/>
      <c r="AB9" s="223"/>
    </row>
    <row r="10" spans="1:28">
      <c r="A10" s="598">
        <v>1</v>
      </c>
      <c r="B10" s="598" t="s">
        <v>622</v>
      </c>
      <c r="C10" s="598" t="s">
        <v>505</v>
      </c>
      <c r="D10" s="598" t="s">
        <v>620</v>
      </c>
      <c r="E10" s="598" t="s">
        <v>502</v>
      </c>
      <c r="G10" s="244"/>
      <c r="H10" s="243"/>
      <c r="I10" s="250"/>
      <c r="J10" s="224" t="s">
        <v>14</v>
      </c>
      <c r="K10" s="232" t="s">
        <v>38</v>
      </c>
      <c r="L10" s="232" t="s">
        <v>3</v>
      </c>
      <c r="M10" s="468" t="s">
        <v>4</v>
      </c>
      <c r="N10" s="232" t="s">
        <v>5</v>
      </c>
      <c r="O10" s="216" t="str">
        <f>PL!$P$4</f>
        <v>BIN</v>
      </c>
      <c r="P10" s="216" t="str">
        <f>PL!$I$6</f>
        <v>K_INR</v>
      </c>
      <c r="Q10" s="222" t="str">
        <f>PL!Q$41</f>
        <v>SGA Variable Expenses Selling Expenses</v>
      </c>
      <c r="R10" s="222">
        <f>PL!S$41</f>
        <v>18272</v>
      </c>
      <c r="S10" s="222">
        <f>PL!T$41</f>
        <v>11408</v>
      </c>
      <c r="T10" s="222">
        <f>PL!U$41</f>
        <v>33576</v>
      </c>
      <c r="U10" s="222">
        <f>PL!V$41</f>
        <v>38673.368139999999</v>
      </c>
      <c r="V10" s="222">
        <f>PL!W$41</f>
        <v>12300.234039999999</v>
      </c>
      <c r="W10" s="222">
        <f>PL!X$41</f>
        <v>10235.108050000001</v>
      </c>
      <c r="X10" s="222">
        <f>PL!Y$41</f>
        <v>20877.246110000007</v>
      </c>
      <c r="Y10" s="222">
        <f>PL!Z$41</f>
        <v>34703.553420000004</v>
      </c>
      <c r="Z10" s="222">
        <f>PL!AA$41</f>
        <v>48987.030589999988</v>
      </c>
      <c r="AA10" s="222">
        <f>PL!AB$41</f>
        <v>44262.684480000004</v>
      </c>
      <c r="AB10" s="222">
        <f>PL!AC$41</f>
        <v>-82987.152269999977</v>
      </c>
    </row>
    <row r="11" spans="1:28">
      <c r="A11" s="598">
        <v>1</v>
      </c>
      <c r="B11" s="598" t="s">
        <v>622</v>
      </c>
      <c r="C11" s="598" t="s">
        <v>505</v>
      </c>
      <c r="D11" s="598" t="s">
        <v>505</v>
      </c>
      <c r="E11" s="598" t="s">
        <v>502</v>
      </c>
      <c r="G11" s="244"/>
      <c r="H11" s="244"/>
      <c r="I11" s="245"/>
      <c r="J11" s="224" t="s">
        <v>15</v>
      </c>
      <c r="K11" s="232" t="s">
        <v>38</v>
      </c>
      <c r="L11" s="232" t="s">
        <v>3</v>
      </c>
      <c r="M11" s="468" t="s">
        <v>4</v>
      </c>
      <c r="N11" s="232" t="s">
        <v>5</v>
      </c>
      <c r="O11" s="216" t="str">
        <f>PL!$P$4</f>
        <v>BIN</v>
      </c>
      <c r="P11" s="216" t="str">
        <f>PL!$I$6</f>
        <v>K_INR</v>
      </c>
      <c r="Q11" s="222" t="str">
        <f>PL!Q$42</f>
        <v>SGA Variable Expenses Adverting Expenses</v>
      </c>
      <c r="R11" s="222">
        <f>PL!S$42</f>
        <v>492</v>
      </c>
      <c r="S11" s="222">
        <f>PL!T$42</f>
        <v>3349</v>
      </c>
      <c r="T11" s="222">
        <f>PL!U$42</f>
        <v>971</v>
      </c>
      <c r="U11" s="222">
        <f>PL!V$42</f>
        <v>754.53</v>
      </c>
      <c r="V11" s="222">
        <f>PL!W$42</f>
        <v>2837.98533</v>
      </c>
      <c r="W11" s="222">
        <f>PL!X$42</f>
        <v>837.79718000000003</v>
      </c>
      <c r="X11" s="222">
        <f>PL!Y$42</f>
        <v>808.55200000000002</v>
      </c>
      <c r="Y11" s="222">
        <f>PL!Z$42</f>
        <v>2908.43028</v>
      </c>
      <c r="Z11" s="222">
        <f>PL!AA$42</f>
        <v>1874.3023500000002</v>
      </c>
      <c r="AA11" s="222">
        <f>PL!AB$42</f>
        <v>849.59840999999994</v>
      </c>
      <c r="AB11" s="222">
        <f>PL!AC$42</f>
        <v>41904.019930000002</v>
      </c>
    </row>
    <row r="12" spans="1:28">
      <c r="A12" s="598">
        <v>1</v>
      </c>
      <c r="B12" s="598" t="s">
        <v>622</v>
      </c>
      <c r="C12" s="598" t="s">
        <v>505</v>
      </c>
      <c r="D12" s="598" t="s">
        <v>620</v>
      </c>
      <c r="E12" s="598" t="s">
        <v>623</v>
      </c>
      <c r="G12" s="244"/>
      <c r="H12" s="244"/>
      <c r="I12" s="245"/>
      <c r="J12" s="224" t="s">
        <v>16</v>
      </c>
      <c r="K12" s="232" t="s">
        <v>38</v>
      </c>
      <c r="L12" s="232" t="s">
        <v>3</v>
      </c>
      <c r="M12" s="468" t="s">
        <v>4</v>
      </c>
      <c r="N12" s="232" t="s">
        <v>5</v>
      </c>
      <c r="O12" s="216" t="str">
        <f>PL!$P$4</f>
        <v>BIN</v>
      </c>
      <c r="P12" s="216" t="str">
        <f>PL!$I$6</f>
        <v>K_INR</v>
      </c>
      <c r="Q12" s="222" t="str">
        <f>PL!Q$43</f>
        <v>SGA Variable Expenses Logistics Expense</v>
      </c>
      <c r="R12" s="222">
        <f>PL!S$43</f>
        <v>30769</v>
      </c>
      <c r="S12" s="222">
        <f>PL!T$43</f>
        <v>33008</v>
      </c>
      <c r="T12" s="222">
        <f>PL!U$43</f>
        <v>33212</v>
      </c>
      <c r="U12" s="222">
        <f>PL!V$43</f>
        <v>34304.68</v>
      </c>
      <c r="V12" s="222">
        <f>PL!W$43</f>
        <v>35242.9</v>
      </c>
      <c r="W12" s="222">
        <f>PL!X$43</f>
        <v>31705.590820000001</v>
      </c>
      <c r="X12" s="222">
        <f>PL!Y$43</f>
        <v>33292.834329999991</v>
      </c>
      <c r="Y12" s="222">
        <f>PL!Z$43</f>
        <v>35682.42</v>
      </c>
      <c r="Z12" s="222">
        <f>PL!AA$43</f>
        <v>34331.839999999997</v>
      </c>
      <c r="AA12" s="222">
        <f>PL!AB$43</f>
        <v>35736.71</v>
      </c>
      <c r="AB12" s="222">
        <f>PL!AC$43</f>
        <v>37051.345769999993</v>
      </c>
    </row>
    <row r="13" spans="1:28">
      <c r="A13" s="598">
        <v>1</v>
      </c>
      <c r="B13" s="235"/>
      <c r="C13" s="235"/>
      <c r="D13" s="235"/>
      <c r="E13" s="600"/>
      <c r="G13" s="244"/>
      <c r="H13" s="244"/>
      <c r="I13" s="245"/>
      <c r="J13" s="220" t="s">
        <v>90</v>
      </c>
      <c r="K13" s="232" t="s">
        <v>38</v>
      </c>
      <c r="L13" s="232" t="s">
        <v>3</v>
      </c>
      <c r="M13" s="468" t="s">
        <v>4</v>
      </c>
      <c r="N13" s="232" t="s">
        <v>5</v>
      </c>
      <c r="O13" s="216" t="str">
        <f>PL!$P$4</f>
        <v>BIN</v>
      </c>
      <c r="P13" s="216" t="str">
        <f>PL!$I$6</f>
        <v>K_INR</v>
      </c>
      <c r="Q13" s="223"/>
      <c r="R13" s="223"/>
      <c r="S13" s="223"/>
      <c r="T13" s="223"/>
      <c r="U13" s="223"/>
      <c r="V13" s="223"/>
      <c r="W13" s="223"/>
      <c r="X13" s="223"/>
      <c r="Y13" s="223"/>
      <c r="Z13" s="223"/>
      <c r="AA13" s="223"/>
      <c r="AB13" s="223"/>
    </row>
    <row r="14" spans="1:28">
      <c r="A14" s="598">
        <v>1</v>
      </c>
      <c r="B14" s="598" t="s">
        <v>622</v>
      </c>
      <c r="C14" s="598" t="s">
        <v>620</v>
      </c>
      <c r="D14" s="598" t="s">
        <v>505</v>
      </c>
      <c r="E14" s="598" t="s">
        <v>502</v>
      </c>
      <c r="G14" s="244"/>
      <c r="H14" s="244"/>
      <c r="I14" s="245"/>
      <c r="J14" s="224" t="s">
        <v>17</v>
      </c>
      <c r="K14" s="232" t="s">
        <v>38</v>
      </c>
      <c r="L14" s="232" t="s">
        <v>3</v>
      </c>
      <c r="M14" s="468" t="s">
        <v>4</v>
      </c>
      <c r="N14" s="232" t="s">
        <v>5</v>
      </c>
      <c r="O14" s="216" t="str">
        <f>PL!$P$4</f>
        <v>BIN</v>
      </c>
      <c r="P14" s="216" t="str">
        <f>PL!$I$6</f>
        <v>K_INR</v>
      </c>
      <c r="Q14" s="222" t="str">
        <f>PL!Q$45</f>
        <v>SGA Wages &amp; Salaries Variable Wages &amp; Salaries</v>
      </c>
      <c r="R14" s="222">
        <f>PL!S$45</f>
        <v>6367</v>
      </c>
      <c r="S14" s="222">
        <f>PL!T$45</f>
        <v>6645</v>
      </c>
      <c r="T14" s="222">
        <f>PL!U$45</f>
        <v>5943</v>
      </c>
      <c r="U14" s="222">
        <f>PL!V$45</f>
        <v>6480.5280000000002</v>
      </c>
      <c r="V14" s="222">
        <f>PL!W$45</f>
        <v>6570.7890000000007</v>
      </c>
      <c r="W14" s="222">
        <f>PL!X$45</f>
        <v>33442</v>
      </c>
      <c r="X14" s="222">
        <f>PL!Y$45</f>
        <v>14637</v>
      </c>
      <c r="Y14" s="222">
        <f>PL!Z$45</f>
        <v>12070.271999999999</v>
      </c>
      <c r="Z14" s="222">
        <f>PL!AA$45</f>
        <v>12883.630999999999</v>
      </c>
      <c r="AA14" s="222">
        <f>PL!AB$45</f>
        <v>10076.630999999999</v>
      </c>
      <c r="AB14" s="222">
        <f>PL!AC$45</f>
        <v>-1428.0319999999999</v>
      </c>
    </row>
    <row r="15" spans="1:28">
      <c r="A15" s="598">
        <v>1</v>
      </c>
      <c r="B15" s="598" t="s">
        <v>622</v>
      </c>
      <c r="C15" s="598" t="s">
        <v>505</v>
      </c>
      <c r="D15" s="598" t="s">
        <v>505</v>
      </c>
      <c r="E15" s="598" t="s">
        <v>623</v>
      </c>
      <c r="G15" s="244"/>
      <c r="H15" s="244"/>
      <c r="I15" s="245"/>
      <c r="J15" s="224" t="s">
        <v>18</v>
      </c>
      <c r="K15" s="232" t="s">
        <v>38</v>
      </c>
      <c r="L15" s="232" t="s">
        <v>3</v>
      </c>
      <c r="M15" s="468" t="s">
        <v>4</v>
      </c>
      <c r="N15" s="232" t="s">
        <v>5</v>
      </c>
      <c r="O15" s="216" t="str">
        <f>PL!$P$4</f>
        <v>BIN</v>
      </c>
      <c r="P15" s="216" t="str">
        <f>PL!$I$6</f>
        <v>K_INR</v>
      </c>
      <c r="Q15" s="222" t="str">
        <f>PL!Q$46</f>
        <v>SGA Wages &amp; Salaries Fixed Wages &amp; Salaries</v>
      </c>
      <c r="R15" s="222">
        <f>PL!S$46</f>
        <v>46738</v>
      </c>
      <c r="S15" s="222">
        <f>PL!T$46</f>
        <v>47639.432999999997</v>
      </c>
      <c r="T15" s="222">
        <f>PL!U$46</f>
        <v>47018.107739999999</v>
      </c>
      <c r="U15" s="222">
        <f>PL!V$46</f>
        <v>47650.031999999999</v>
      </c>
      <c r="V15" s="222">
        <f>PL!W$46</f>
        <v>51772.481</v>
      </c>
      <c r="W15" s="222">
        <f>PL!X$46</f>
        <v>51362</v>
      </c>
      <c r="X15" s="222">
        <f>PL!Y$46</f>
        <v>48339</v>
      </c>
      <c r="Y15" s="222">
        <f>PL!Z$46</f>
        <v>52987.470099999999</v>
      </c>
      <c r="Z15" s="222">
        <f>PL!AA$46</f>
        <v>49685</v>
      </c>
      <c r="AA15" s="222">
        <f>PL!AB$46</f>
        <v>50082.27</v>
      </c>
      <c r="AB15" s="222">
        <f>PL!AC$46</f>
        <v>57145.0748456277</v>
      </c>
    </row>
    <row r="16" spans="1:28">
      <c r="A16" s="598">
        <v>1</v>
      </c>
      <c r="B16" s="598" t="s">
        <v>624</v>
      </c>
      <c r="C16" s="598" t="s">
        <v>620</v>
      </c>
      <c r="D16" s="598" t="s">
        <v>505</v>
      </c>
      <c r="E16" s="598" t="s">
        <v>623</v>
      </c>
      <c r="G16" s="244"/>
      <c r="H16" s="244"/>
      <c r="I16" s="245"/>
      <c r="J16" s="224" t="s">
        <v>19</v>
      </c>
      <c r="K16" s="232" t="s">
        <v>38</v>
      </c>
      <c r="L16" s="232" t="s">
        <v>3</v>
      </c>
      <c r="M16" s="468" t="s">
        <v>4</v>
      </c>
      <c r="N16" s="232" t="s">
        <v>5</v>
      </c>
      <c r="O16" s="216" t="str">
        <f>PL!$P$4</f>
        <v>BIN</v>
      </c>
      <c r="P16" s="216" t="str">
        <f>PL!$I$6</f>
        <v>K_INR</v>
      </c>
      <c r="Q16" s="222" t="str">
        <f>PL!Q$47</f>
        <v>SGA Wages &amp; Salaries Retirement Benefit Cost</v>
      </c>
      <c r="R16" s="222">
        <f>PL!S$47</f>
        <v>3488</v>
      </c>
      <c r="S16" s="222">
        <f>PL!T$47</f>
        <v>3494</v>
      </c>
      <c r="T16" s="222">
        <f>PL!U$47</f>
        <v>1854</v>
      </c>
      <c r="U16" s="222">
        <f>PL!V$47</f>
        <v>2995.71</v>
      </c>
      <c r="V16" s="222">
        <f>PL!W$47</f>
        <v>2986.76</v>
      </c>
      <c r="W16" s="222">
        <f>PL!X$47</f>
        <v>3372.45</v>
      </c>
      <c r="X16" s="222">
        <f>PL!Y$47</f>
        <v>3090.114</v>
      </c>
      <c r="Y16" s="222">
        <f>PL!Z$47</f>
        <v>3083.16</v>
      </c>
      <c r="Z16" s="222">
        <f>PL!AA$47</f>
        <v>3097.37</v>
      </c>
      <c r="AA16" s="222">
        <f>PL!AB$47</f>
        <v>3163.3649999999998</v>
      </c>
      <c r="AB16" s="222">
        <f>PL!AC$47</f>
        <v>33.854000000000042</v>
      </c>
    </row>
    <row r="17" spans="1:28">
      <c r="A17" s="598">
        <v>1</v>
      </c>
      <c r="B17" s="235"/>
      <c r="C17" s="235"/>
      <c r="D17" s="235"/>
      <c r="E17" s="600"/>
      <c r="G17" s="244"/>
      <c r="H17" s="244"/>
      <c r="I17" s="245"/>
      <c r="J17" s="220" t="s">
        <v>91</v>
      </c>
      <c r="K17" s="232" t="s">
        <v>38</v>
      </c>
      <c r="L17" s="232" t="s">
        <v>3</v>
      </c>
      <c r="M17" s="468" t="s">
        <v>4</v>
      </c>
      <c r="N17" s="232" t="s">
        <v>5</v>
      </c>
      <c r="O17" s="216" t="str">
        <f>PL!$P$4</f>
        <v>BIN</v>
      </c>
      <c r="P17" s="216" t="str">
        <f>PL!$I$6</f>
        <v>K_INR</v>
      </c>
      <c r="Q17" s="223"/>
      <c r="R17" s="223"/>
      <c r="S17" s="223"/>
      <c r="T17" s="223"/>
      <c r="U17" s="223"/>
      <c r="V17" s="223"/>
      <c r="W17" s="223"/>
      <c r="X17" s="223"/>
      <c r="Y17" s="223"/>
      <c r="Z17" s="223"/>
      <c r="AA17" s="223"/>
      <c r="AB17" s="223"/>
    </row>
    <row r="18" spans="1:28">
      <c r="A18" s="598">
        <v>1</v>
      </c>
      <c r="B18" s="598" t="s">
        <v>622</v>
      </c>
      <c r="C18" s="598" t="s">
        <v>620</v>
      </c>
      <c r="D18" s="598" t="s">
        <v>618</v>
      </c>
      <c r="E18" s="598" t="s">
        <v>623</v>
      </c>
      <c r="G18" s="244"/>
      <c r="H18" s="244"/>
      <c r="I18" s="245"/>
      <c r="J18" s="224" t="s">
        <v>48</v>
      </c>
      <c r="K18" s="232" t="s">
        <v>38</v>
      </c>
      <c r="L18" s="232" t="s">
        <v>3</v>
      </c>
      <c r="M18" s="468" t="s">
        <v>4</v>
      </c>
      <c r="N18" s="232" t="s">
        <v>5</v>
      </c>
      <c r="O18" s="216" t="str">
        <f>PL!$P$4</f>
        <v>BIN</v>
      </c>
      <c r="P18" s="216" t="str">
        <f>PL!$I$6</f>
        <v>K_INR</v>
      </c>
      <c r="Q18" s="222" t="str">
        <f>PL!Q$49</f>
        <v>SGA Fixed Expenses Traveling Expenses</v>
      </c>
      <c r="R18" s="222">
        <f>PL!S$49</f>
        <v>3557</v>
      </c>
      <c r="S18" s="222">
        <f>PL!T$49</f>
        <v>3976</v>
      </c>
      <c r="T18" s="222">
        <f>PL!U$49</f>
        <v>4364</v>
      </c>
      <c r="U18" s="222">
        <f>PL!V$49</f>
        <v>4496.3884399999997</v>
      </c>
      <c r="V18" s="222">
        <f>PL!W$49</f>
        <v>4619.0248700000002</v>
      </c>
      <c r="W18" s="222">
        <f>PL!X$49</f>
        <v>12323.040679999998</v>
      </c>
      <c r="X18" s="222">
        <f>PL!Y$49</f>
        <v>2031.6005300000049</v>
      </c>
      <c r="Y18" s="222">
        <f>PL!Z$49</f>
        <v>5480.2983400000003</v>
      </c>
      <c r="Z18" s="222">
        <f>PL!AA$49</f>
        <v>11147.321520000023</v>
      </c>
      <c r="AA18" s="222">
        <f>PL!AB$49</f>
        <v>8785.6204500000586</v>
      </c>
      <c r="AB18" s="222">
        <f>PL!AC$49</f>
        <v>7713.8674500000698</v>
      </c>
    </row>
    <row r="19" spans="1:28">
      <c r="A19" s="598">
        <v>1</v>
      </c>
      <c r="B19" s="598" t="s">
        <v>622</v>
      </c>
      <c r="C19" s="598" t="s">
        <v>505</v>
      </c>
      <c r="D19" s="598" t="s">
        <v>505</v>
      </c>
      <c r="E19" s="598" t="s">
        <v>625</v>
      </c>
      <c r="G19" s="244"/>
      <c r="H19" s="244"/>
      <c r="I19" s="245"/>
      <c r="J19" s="224" t="s">
        <v>49</v>
      </c>
      <c r="K19" s="232" t="s">
        <v>38</v>
      </c>
      <c r="L19" s="232" t="s">
        <v>3</v>
      </c>
      <c r="M19" s="468" t="s">
        <v>4</v>
      </c>
      <c r="N19" s="232" t="s">
        <v>5</v>
      </c>
      <c r="O19" s="216" t="str">
        <f>PL!$P$4</f>
        <v>BIN</v>
      </c>
      <c r="P19" s="216" t="str">
        <f>PL!$I$6</f>
        <v>K_INR</v>
      </c>
      <c r="Q19" s="222" t="str">
        <f>PL!Q$50</f>
        <v>SGA Fixed Expenses Depreciation &amp; Amortization</v>
      </c>
      <c r="R19" s="222">
        <f>PL!S$50</f>
        <v>1408</v>
      </c>
      <c r="S19" s="222">
        <f>PL!T$50</f>
        <v>19391</v>
      </c>
      <c r="T19" s="222">
        <f>PL!U$50</f>
        <v>2521</v>
      </c>
      <c r="U19" s="222">
        <f>PL!V$50</f>
        <v>262.18</v>
      </c>
      <c r="V19" s="222">
        <f>PL!W$50</f>
        <v>18375.202606432402</v>
      </c>
      <c r="W19" s="222">
        <f>PL!X$50</f>
        <v>1317.34</v>
      </c>
      <c r="X19" s="222">
        <f>PL!Y$50</f>
        <v>1127.1558300000006</v>
      </c>
      <c r="Y19" s="222">
        <f>PL!Z$50</f>
        <v>12028.24072</v>
      </c>
      <c r="Z19" s="222">
        <f>PL!AA$50</f>
        <v>1554.34</v>
      </c>
      <c r="AA19" s="222">
        <f>PL!AB$50</f>
        <v>1203.76</v>
      </c>
      <c r="AB19" s="222">
        <f>PL!AC$50</f>
        <v>11904.312950000001</v>
      </c>
    </row>
    <row r="20" spans="1:28">
      <c r="A20" s="598">
        <v>1</v>
      </c>
      <c r="B20" s="598" t="s">
        <v>626</v>
      </c>
      <c r="C20" s="598" t="s">
        <v>505</v>
      </c>
      <c r="D20" s="598" t="s">
        <v>505</v>
      </c>
      <c r="E20" s="598" t="s">
        <v>623</v>
      </c>
      <c r="G20" s="244"/>
      <c r="H20" s="244"/>
      <c r="I20" s="245"/>
      <c r="J20" s="224" t="s">
        <v>20</v>
      </c>
      <c r="K20" s="232" t="s">
        <v>38</v>
      </c>
      <c r="L20" s="232" t="s">
        <v>3</v>
      </c>
      <c r="M20" s="468" t="s">
        <v>4</v>
      </c>
      <c r="N20" s="232" t="s">
        <v>5</v>
      </c>
      <c r="O20" s="216" t="str">
        <f>PL!$P$4</f>
        <v>BIN</v>
      </c>
      <c r="P20" s="216" t="str">
        <f>PL!$I$6</f>
        <v>K_INR</v>
      </c>
      <c r="Q20" s="222" t="str">
        <f>PL!Q$51</f>
        <v>SGA Fixed Expenses Repair and Maintenance</v>
      </c>
      <c r="R20" s="222">
        <f>PL!S$51</f>
        <v>927.44159999999999</v>
      </c>
      <c r="S20" s="222">
        <f>PL!T$51</f>
        <v>1355</v>
      </c>
      <c r="T20" s="222">
        <f>PL!U$51</f>
        <v>896</v>
      </c>
      <c r="U20" s="222">
        <f>PL!V$51</f>
        <v>918.75</v>
      </c>
      <c r="V20" s="222">
        <f>PL!W$51</f>
        <v>928.26199999999994</v>
      </c>
      <c r="W20" s="222">
        <f>PL!X$51</f>
        <v>887.06</v>
      </c>
      <c r="X20" s="222">
        <f>PL!Y$51</f>
        <v>1200.67338</v>
      </c>
      <c r="Y20" s="222">
        <f>PL!Z$51</f>
        <v>1147.68</v>
      </c>
      <c r="Z20" s="222">
        <f>PL!AA$51</f>
        <v>947</v>
      </c>
      <c r="AA20" s="222">
        <f>PL!AB$51</f>
        <v>1500.08</v>
      </c>
      <c r="AB20" s="222">
        <f>PL!AC$51</f>
        <v>3005.2791400000006</v>
      </c>
    </row>
    <row r="21" spans="1:28">
      <c r="A21" s="598">
        <v>1</v>
      </c>
      <c r="B21" s="598" t="s">
        <v>622</v>
      </c>
      <c r="C21" s="598" t="s">
        <v>620</v>
      </c>
      <c r="D21" s="598" t="s">
        <v>620</v>
      </c>
      <c r="E21" s="598" t="s">
        <v>623</v>
      </c>
      <c r="G21" s="244"/>
      <c r="H21" s="244"/>
      <c r="I21" s="245"/>
      <c r="J21" s="224" t="s">
        <v>21</v>
      </c>
      <c r="K21" s="232" t="s">
        <v>38</v>
      </c>
      <c r="L21" s="232" t="s">
        <v>3</v>
      </c>
      <c r="M21" s="468" t="s">
        <v>4</v>
      </c>
      <c r="N21" s="232" t="s">
        <v>5</v>
      </c>
      <c r="O21" s="216" t="str">
        <f>PL!$P$4</f>
        <v>BIN</v>
      </c>
      <c r="P21" s="216" t="str">
        <f>PL!$I$6</f>
        <v>K_INR</v>
      </c>
      <c r="Q21" s="222" t="str">
        <f>PL!Q$52</f>
        <v>SGA Fixed Expenses Rent Expenses</v>
      </c>
      <c r="R21" s="222">
        <f>PL!S$52</f>
        <v>9819</v>
      </c>
      <c r="S21" s="222">
        <f>PL!T$52</f>
        <v>-6006</v>
      </c>
      <c r="T21" s="222">
        <f>PL!U$52</f>
        <v>9094</v>
      </c>
      <c r="U21" s="222">
        <f>PL!V$52</f>
        <v>10386.624370000001</v>
      </c>
      <c r="V21" s="222">
        <f>PL!W$52</f>
        <v>-4713.958740624299</v>
      </c>
      <c r="W21" s="222">
        <f>PL!X$52</f>
        <v>16245.239740000001</v>
      </c>
      <c r="X21" s="222">
        <f>PL!Y$52</f>
        <v>10549.3951</v>
      </c>
      <c r="Y21" s="222">
        <f>PL!Z$52</f>
        <v>2965</v>
      </c>
      <c r="Z21" s="222">
        <f>PL!AA$52</f>
        <v>11396</v>
      </c>
      <c r="AA21" s="222">
        <f>PL!AB$52</f>
        <v>11671</v>
      </c>
      <c r="AB21" s="222">
        <f>PL!AC$52</f>
        <v>17077.760577628433</v>
      </c>
    </row>
    <row r="22" spans="1:28">
      <c r="A22" s="598">
        <v>1</v>
      </c>
      <c r="B22" s="598" t="s">
        <v>622</v>
      </c>
      <c r="C22" s="598" t="s">
        <v>620</v>
      </c>
      <c r="D22" s="598" t="s">
        <v>505</v>
      </c>
      <c r="E22" s="598" t="s">
        <v>623</v>
      </c>
      <c r="G22" s="244"/>
      <c r="H22" s="244"/>
      <c r="I22" s="245"/>
      <c r="J22" s="224" t="s">
        <v>50</v>
      </c>
      <c r="K22" s="232" t="s">
        <v>38</v>
      </c>
      <c r="L22" s="232" t="s">
        <v>3</v>
      </c>
      <c r="M22" s="468" t="s">
        <v>4</v>
      </c>
      <c r="N22" s="232" t="s">
        <v>5</v>
      </c>
      <c r="O22" s="216" t="str">
        <f>PL!$P$4</f>
        <v>BIN</v>
      </c>
      <c r="P22" s="216" t="str">
        <f>PL!$I$6</f>
        <v>K_INR</v>
      </c>
      <c r="Q22" s="222" t="str">
        <f>PL!Q$53</f>
        <v>SGA Fixed Expenses Service Charges and Fees</v>
      </c>
      <c r="R22" s="222">
        <f>PL!S$53</f>
        <v>132</v>
      </c>
      <c r="S22" s="222">
        <f>PL!T$53</f>
        <v>73</v>
      </c>
      <c r="T22" s="222">
        <f>PL!U$53</f>
        <v>151</v>
      </c>
      <c r="U22" s="222">
        <f>PL!V$53</f>
        <v>99.403650000000013</v>
      </c>
      <c r="V22" s="222">
        <f>PL!W$53</f>
        <v>122.20672</v>
      </c>
      <c r="W22" s="222">
        <f>PL!X$53</f>
        <v>99</v>
      </c>
      <c r="X22" s="222">
        <f>PL!Y$53</f>
        <v>152.63130000000001</v>
      </c>
      <c r="Y22" s="222">
        <f>PL!Z$53</f>
        <v>-198</v>
      </c>
      <c r="Z22" s="222">
        <f>PL!AA$53</f>
        <v>844.33299999999997</v>
      </c>
      <c r="AA22" s="222">
        <f>PL!AB$53</f>
        <v>325.05858000000001</v>
      </c>
      <c r="AB22" s="222">
        <f>PL!AC$53</f>
        <v>2158.64842</v>
      </c>
    </row>
    <row r="23" spans="1:28">
      <c r="A23" s="598">
        <v>1</v>
      </c>
      <c r="B23" s="598" t="s">
        <v>622</v>
      </c>
      <c r="C23" s="598" t="s">
        <v>618</v>
      </c>
      <c r="D23" s="598" t="s">
        <v>505</v>
      </c>
      <c r="E23" s="598" t="s">
        <v>502</v>
      </c>
      <c r="G23" s="244"/>
      <c r="H23" s="244"/>
      <c r="I23" s="245"/>
      <c r="J23" s="224" t="s">
        <v>22</v>
      </c>
      <c r="K23" s="232" t="s">
        <v>38</v>
      </c>
      <c r="L23" s="232" t="s">
        <v>3</v>
      </c>
      <c r="M23" s="468" t="s">
        <v>4</v>
      </c>
      <c r="N23" s="232" t="s">
        <v>5</v>
      </c>
      <c r="O23" s="216" t="str">
        <f>PL!$P$4</f>
        <v>BIN</v>
      </c>
      <c r="P23" s="216" t="str">
        <f>PL!$I$6</f>
        <v>K_INR</v>
      </c>
      <c r="Q23" s="222" t="str">
        <f>PL!Q$54</f>
        <v>SGA Fixed Expenses Other Expenses</v>
      </c>
      <c r="R23" s="222">
        <f>PL!S$54</f>
        <v>31244.558400000002</v>
      </c>
      <c r="S23" s="222">
        <f>PL!T$54</f>
        <v>44451</v>
      </c>
      <c r="T23" s="222">
        <f>PL!U$54</f>
        <v>30173</v>
      </c>
      <c r="U23" s="222">
        <f>PL!V$54</f>
        <v>45933.943060000012</v>
      </c>
      <c r="V23" s="222">
        <f>PL!W$54</f>
        <v>-568.54999999999995</v>
      </c>
      <c r="W23" s="222">
        <f>PL!X$54</f>
        <v>55254.904100000007</v>
      </c>
      <c r="X23" s="222">
        <f>PL!Y$54</f>
        <v>39148.255100000009</v>
      </c>
      <c r="Y23" s="222">
        <f>PL!Z$54</f>
        <v>26642.627460000003</v>
      </c>
      <c r="Z23" s="222">
        <f>PL!AA$54</f>
        <v>45510.73</v>
      </c>
      <c r="AA23" s="222">
        <f>PL!AB$54</f>
        <v>4986.4234800000086</v>
      </c>
      <c r="AB23" s="222">
        <f>PL!AC$54</f>
        <v>28789.86870237147</v>
      </c>
    </row>
    <row r="24" spans="1:28" s="726" customFormat="1">
      <c r="A24" s="726">
        <v>1</v>
      </c>
      <c r="B24" s="727"/>
      <c r="C24" s="728" t="s">
        <v>505</v>
      </c>
      <c r="F24" s="729"/>
      <c r="G24" s="730"/>
      <c r="H24" s="730"/>
      <c r="I24" s="731"/>
      <c r="J24" s="732" t="s">
        <v>749</v>
      </c>
      <c r="K24" s="733" t="s">
        <v>2</v>
      </c>
      <c r="L24" s="761" t="s">
        <v>3</v>
      </c>
      <c r="M24" s="735" t="s">
        <v>4</v>
      </c>
      <c r="N24" s="736" t="s">
        <v>5</v>
      </c>
      <c r="O24" s="737" t="str">
        <f>PL!$P$4</f>
        <v>BIN</v>
      </c>
      <c r="P24" s="737" t="str">
        <f>PL!$I$6</f>
        <v>K_INR</v>
      </c>
      <c r="Q24" s="738"/>
      <c r="R24" s="738"/>
      <c r="S24" s="738"/>
      <c r="T24" s="738"/>
      <c r="U24" s="738"/>
      <c r="V24" s="738"/>
      <c r="W24" s="738"/>
      <c r="X24" s="738"/>
      <c r="Y24" s="738"/>
      <c r="Z24" s="738"/>
      <c r="AA24" s="738"/>
      <c r="AB24" s="738"/>
    </row>
    <row r="25" spans="1:28">
      <c r="A25" s="598">
        <v>1</v>
      </c>
      <c r="B25" s="598" t="s">
        <v>622</v>
      </c>
      <c r="C25" s="598" t="s">
        <v>620</v>
      </c>
      <c r="D25" s="598" t="s">
        <v>505</v>
      </c>
      <c r="E25" s="598" t="s">
        <v>627</v>
      </c>
      <c r="G25" s="244"/>
      <c r="H25" s="244"/>
      <c r="I25" s="245"/>
      <c r="J25" s="220" t="s">
        <v>40</v>
      </c>
      <c r="K25" s="232" t="s">
        <v>38</v>
      </c>
      <c r="L25" s="232" t="s">
        <v>3</v>
      </c>
      <c r="M25" s="468" t="s">
        <v>4</v>
      </c>
      <c r="N25" s="232" t="s">
        <v>5</v>
      </c>
      <c r="O25" s="219" t="str">
        <f>O42</f>
        <v>BIN</v>
      </c>
      <c r="P25" s="219" t="str">
        <f>P42</f>
        <v>K_INR</v>
      </c>
      <c r="Q25" s="222" t="str">
        <f>PL!Q$63</f>
        <v>BO,OE Other income  RP,PE</v>
      </c>
      <c r="R25" s="222">
        <f>PL!S$63</f>
        <v>0</v>
      </c>
      <c r="S25" s="222">
        <f>PL!T$63</f>
        <v>0</v>
      </c>
      <c r="T25" s="222">
        <f>PL!U$63</f>
        <v>0</v>
      </c>
      <c r="U25" s="222">
        <f>PL!V$63</f>
        <v>0</v>
      </c>
      <c r="V25" s="222">
        <f>PL!W$63</f>
        <v>0</v>
      </c>
      <c r="W25" s="222">
        <f>PL!X$63</f>
        <v>0</v>
      </c>
      <c r="X25" s="222">
        <f>PL!Y$63</f>
        <v>0</v>
      </c>
      <c r="Y25" s="222">
        <f>PL!Z$63</f>
        <v>0</v>
      </c>
      <c r="Z25" s="222">
        <f>PL!AA$63</f>
        <v>0</v>
      </c>
      <c r="AA25" s="222">
        <f>PL!AB$63</f>
        <v>0</v>
      </c>
      <c r="AB25" s="222">
        <f>PL!AC$63</f>
        <v>0</v>
      </c>
    </row>
    <row r="26" spans="1:28">
      <c r="A26" s="598">
        <v>1</v>
      </c>
      <c r="B26" s="598" t="s">
        <v>624</v>
      </c>
      <c r="C26" s="598" t="s">
        <v>505</v>
      </c>
      <c r="D26" s="598" t="s">
        <v>618</v>
      </c>
      <c r="E26" s="598" t="s">
        <v>627</v>
      </c>
      <c r="G26" s="244"/>
      <c r="H26" s="244"/>
      <c r="I26" s="245"/>
      <c r="J26" s="220" t="s">
        <v>41</v>
      </c>
      <c r="K26" s="232" t="s">
        <v>38</v>
      </c>
      <c r="L26" s="232" t="s">
        <v>3</v>
      </c>
      <c r="M26" s="468" t="s">
        <v>4</v>
      </c>
      <c r="N26" s="232" t="s">
        <v>5</v>
      </c>
      <c r="O26" s="219" t="str">
        <f>O42</f>
        <v>BIN</v>
      </c>
      <c r="P26" s="219" t="str">
        <f>P42</f>
        <v>K_INR</v>
      </c>
      <c r="Q26" s="222" t="str">
        <f>PL!Q$64</f>
        <v>BO,OE Other income  Commissions and Fees Income</v>
      </c>
      <c r="R26" s="222">
        <f>PL!S$64</f>
        <v>0</v>
      </c>
      <c r="S26" s="222">
        <f>PL!T$64</f>
        <v>0</v>
      </c>
      <c r="T26" s="222">
        <f>PL!U$64</f>
        <v>0</v>
      </c>
      <c r="U26" s="222">
        <f>PL!V$64</f>
        <v>0</v>
      </c>
      <c r="V26" s="222">
        <f>PL!W$64</f>
        <v>0</v>
      </c>
      <c r="W26" s="222">
        <f>PL!X$64</f>
        <v>0</v>
      </c>
      <c r="X26" s="222">
        <f>PL!Y$64</f>
        <v>0</v>
      </c>
      <c r="Y26" s="222">
        <f>PL!Z$64</f>
        <v>0</v>
      </c>
      <c r="Z26" s="222">
        <f>PL!AA$64</f>
        <v>0</v>
      </c>
      <c r="AA26" s="222">
        <f>PL!AB$64</f>
        <v>0</v>
      </c>
      <c r="AB26" s="222">
        <f>PL!AC$64</f>
        <v>0</v>
      </c>
    </row>
    <row r="27" spans="1:28">
      <c r="A27" s="598">
        <v>1</v>
      </c>
      <c r="B27" s="598" t="s">
        <v>622</v>
      </c>
      <c r="C27" s="598" t="s">
        <v>620</v>
      </c>
      <c r="D27" s="598" t="s">
        <v>620</v>
      </c>
      <c r="E27" s="598" t="s">
        <v>627</v>
      </c>
      <c r="G27" s="244"/>
      <c r="H27" s="244"/>
      <c r="I27" s="245"/>
      <c r="J27" s="220" t="s">
        <v>42</v>
      </c>
      <c r="K27" s="232" t="s">
        <v>38</v>
      </c>
      <c r="L27" s="232" t="s">
        <v>3</v>
      </c>
      <c r="M27" s="468" t="s">
        <v>4</v>
      </c>
      <c r="N27" s="232" t="s">
        <v>5</v>
      </c>
      <c r="O27" s="219" t="str">
        <f>O42</f>
        <v>BIN</v>
      </c>
      <c r="P27" s="219" t="str">
        <f>P42</f>
        <v>K_INR</v>
      </c>
      <c r="Q27" s="222" t="str">
        <f>PL!Q$65</f>
        <v>BO,OE Other income  Gains on Sales of Asset</v>
      </c>
      <c r="R27" s="222">
        <f>PL!S$65</f>
        <v>0</v>
      </c>
      <c r="S27" s="222">
        <f>PL!T$65</f>
        <v>0</v>
      </c>
      <c r="T27" s="222">
        <f>PL!U$65</f>
        <v>0</v>
      </c>
      <c r="U27" s="222">
        <f>PL!V$65</f>
        <v>0</v>
      </c>
      <c r="V27" s="222">
        <f>PL!W$65</f>
        <v>0</v>
      </c>
      <c r="W27" s="222">
        <f>PL!X$65</f>
        <v>0</v>
      </c>
      <c r="X27" s="222">
        <f>PL!Y$65</f>
        <v>0</v>
      </c>
      <c r="Y27" s="222">
        <f>PL!Z$65</f>
        <v>0</v>
      </c>
      <c r="Z27" s="222">
        <f>PL!AA$65</f>
        <v>0</v>
      </c>
      <c r="AA27" s="222">
        <f>PL!AB$65</f>
        <v>0</v>
      </c>
      <c r="AB27" s="222">
        <f>PL!AC$65</f>
        <v>0</v>
      </c>
    </row>
    <row r="28" spans="1:28">
      <c r="A28" s="598">
        <v>1</v>
      </c>
      <c r="B28" s="598" t="s">
        <v>622</v>
      </c>
      <c r="C28" s="598" t="s">
        <v>505</v>
      </c>
      <c r="D28" s="598" t="s">
        <v>505</v>
      </c>
      <c r="E28" s="598" t="s">
        <v>627</v>
      </c>
      <c r="G28" s="244"/>
      <c r="H28" s="244"/>
      <c r="I28" s="245"/>
      <c r="J28" s="220" t="s">
        <v>23</v>
      </c>
      <c r="K28" s="232" t="s">
        <v>38</v>
      </c>
      <c r="L28" s="232" t="s">
        <v>3</v>
      </c>
      <c r="M28" s="468" t="s">
        <v>4</v>
      </c>
      <c r="N28" s="232" t="s">
        <v>5</v>
      </c>
      <c r="O28" s="219" t="str">
        <f>O42</f>
        <v>BIN</v>
      </c>
      <c r="P28" s="219" t="str">
        <f>P42</f>
        <v>K_INR</v>
      </c>
      <c r="Q28" s="222" t="str">
        <f>PL!Q$67</f>
        <v>BO,OE Other income  Other income</v>
      </c>
      <c r="R28" s="222">
        <f>PL!S$67</f>
        <v>376</v>
      </c>
      <c r="S28" s="222">
        <f>PL!T$67</f>
        <v>21.466273979496748</v>
      </c>
      <c r="T28" s="222">
        <f>PL!U$67</f>
        <v>236</v>
      </c>
      <c r="U28" s="222">
        <f>PL!V$67</f>
        <v>440.28</v>
      </c>
      <c r="V28" s="222">
        <f>PL!W$67</f>
        <v>20</v>
      </c>
      <c r="W28" s="222">
        <f>PL!X$67</f>
        <v>0</v>
      </c>
      <c r="X28" s="222">
        <f>PL!Y$67</f>
        <v>277</v>
      </c>
      <c r="Y28" s="222">
        <f>PL!Z$67</f>
        <v>90965.32</v>
      </c>
      <c r="Z28" s="222">
        <f>PL!AA$67</f>
        <v>5293</v>
      </c>
      <c r="AA28" s="222">
        <f>PL!AB$67</f>
        <v>1273.2400000000002</v>
      </c>
      <c r="AB28" s="222">
        <f>PL!AC$67</f>
        <v>34895.301446465513</v>
      </c>
    </row>
    <row r="29" spans="1:28">
      <c r="A29" s="598">
        <v>1</v>
      </c>
      <c r="G29" s="244"/>
      <c r="H29" s="244"/>
      <c r="I29" s="244"/>
      <c r="J29" s="253"/>
      <c r="K29" s="254"/>
      <c r="L29" s="254"/>
      <c r="M29" s="254"/>
      <c r="N29" s="254"/>
      <c r="O29" s="253"/>
      <c r="P29" s="253"/>
      <c r="Q29" s="253"/>
      <c r="R29" s="253"/>
      <c r="S29" s="253"/>
      <c r="T29" s="253"/>
      <c r="U29" s="253"/>
      <c r="V29" s="253"/>
      <c r="W29" s="253"/>
      <c r="X29" s="253"/>
      <c r="Y29" s="253"/>
      <c r="Z29" s="253"/>
      <c r="AA29" s="253"/>
      <c r="AB29" s="253"/>
    </row>
    <row r="30" spans="1:28">
      <c r="A30" s="598">
        <v>1</v>
      </c>
      <c r="B30" s="598" t="s">
        <v>626</v>
      </c>
      <c r="C30" s="598" t="s">
        <v>620</v>
      </c>
      <c r="D30" s="598" t="s">
        <v>618</v>
      </c>
      <c r="E30" s="601" t="s">
        <v>192</v>
      </c>
      <c r="G30" s="244"/>
      <c r="H30" s="244"/>
      <c r="I30" s="245"/>
      <c r="J30" s="220" t="s">
        <v>51</v>
      </c>
      <c r="K30" s="232" t="s">
        <v>38</v>
      </c>
      <c r="L30" s="232" t="s">
        <v>3</v>
      </c>
      <c r="M30" s="468" t="s">
        <v>4</v>
      </c>
      <c r="N30" s="232" t="s">
        <v>5</v>
      </c>
      <c r="O30" s="219" t="str">
        <f>O42</f>
        <v>BIN</v>
      </c>
      <c r="P30" s="219" t="str">
        <f>P42</f>
        <v>K_INR</v>
      </c>
      <c r="Q30" s="222" t="str">
        <f>PL!Q$69</f>
        <v>BO,OE Other Expense LSA, DA</v>
      </c>
      <c r="R30" s="222">
        <f>PL!S$69</f>
        <v>0</v>
      </c>
      <c r="S30" s="222">
        <f>PL!T$69</f>
        <v>0</v>
      </c>
      <c r="T30" s="222">
        <f>PL!U$69</f>
        <v>0</v>
      </c>
      <c r="U30" s="222">
        <f>PL!V$69</f>
        <v>0</v>
      </c>
      <c r="V30" s="222">
        <f>PL!W$69</f>
        <v>0</v>
      </c>
      <c r="W30" s="222">
        <f>PL!X$69</f>
        <v>0</v>
      </c>
      <c r="X30" s="222">
        <f>PL!Y$69</f>
        <v>0</v>
      </c>
      <c r="Y30" s="222">
        <f>PL!Z$69</f>
        <v>0</v>
      </c>
      <c r="Z30" s="222">
        <f>PL!AA$69</f>
        <v>0</v>
      </c>
      <c r="AA30" s="222">
        <f>PL!AB$69</f>
        <v>0</v>
      </c>
      <c r="AB30" s="222">
        <f>PL!AC$69</f>
        <v>0</v>
      </c>
    </row>
    <row r="31" spans="1:28">
      <c r="A31" s="598">
        <v>1</v>
      </c>
      <c r="B31" s="598" t="s">
        <v>622</v>
      </c>
      <c r="C31" s="598" t="s">
        <v>620</v>
      </c>
      <c r="D31" s="598" t="s">
        <v>505</v>
      </c>
      <c r="E31" s="601" t="s">
        <v>628</v>
      </c>
      <c r="G31" s="244"/>
      <c r="H31" s="244"/>
      <c r="I31" s="245"/>
      <c r="J31" s="220" t="s">
        <v>43</v>
      </c>
      <c r="K31" s="232" t="s">
        <v>38</v>
      </c>
      <c r="L31" s="232" t="s">
        <v>3</v>
      </c>
      <c r="M31" s="468" t="s">
        <v>4</v>
      </c>
      <c r="N31" s="232" t="s">
        <v>5</v>
      </c>
      <c r="O31" s="219" t="str">
        <f>O42</f>
        <v>BIN</v>
      </c>
      <c r="P31" s="219" t="str">
        <f>P42</f>
        <v>K_INR</v>
      </c>
      <c r="Q31" s="222" t="str">
        <f>PL!Q$70</f>
        <v>BO,OE Other Expense Impairment Loss</v>
      </c>
      <c r="R31" s="222">
        <f>PL!S$70</f>
        <v>0</v>
      </c>
      <c r="S31" s="222">
        <f>PL!T$70</f>
        <v>0</v>
      </c>
      <c r="T31" s="222">
        <f>PL!U$70</f>
        <v>0</v>
      </c>
      <c r="U31" s="222">
        <f>PL!V$70</f>
        <v>0</v>
      </c>
      <c r="V31" s="222">
        <f>PL!W$70</f>
        <v>0</v>
      </c>
      <c r="W31" s="222">
        <f>PL!X$70</f>
        <v>0</v>
      </c>
      <c r="X31" s="222">
        <f>PL!Y$70</f>
        <v>0</v>
      </c>
      <c r="Y31" s="222">
        <f>PL!Z$70</f>
        <v>0</v>
      </c>
      <c r="Z31" s="222">
        <f>PL!AA$70</f>
        <v>0</v>
      </c>
      <c r="AA31" s="222">
        <f>PL!AB$70</f>
        <v>0</v>
      </c>
      <c r="AB31" s="222">
        <f>PL!AC$70</f>
        <v>0</v>
      </c>
    </row>
    <row r="32" spans="1:28">
      <c r="A32" s="598">
        <v>1</v>
      </c>
      <c r="B32" s="598" t="s">
        <v>626</v>
      </c>
      <c r="C32" s="598" t="s">
        <v>620</v>
      </c>
      <c r="D32" s="598" t="s">
        <v>620</v>
      </c>
      <c r="E32" s="601" t="s">
        <v>629</v>
      </c>
      <c r="G32" s="244"/>
      <c r="H32" s="244"/>
      <c r="I32" s="245"/>
      <c r="J32" s="220" t="s">
        <v>92</v>
      </c>
      <c r="K32" s="232" t="s">
        <v>38</v>
      </c>
      <c r="L32" s="232" t="s">
        <v>3</v>
      </c>
      <c r="M32" s="468" t="s">
        <v>4</v>
      </c>
      <c r="N32" s="232" t="s">
        <v>5</v>
      </c>
      <c r="O32" s="219" t="str">
        <f>O42</f>
        <v>BIN</v>
      </c>
      <c r="P32" s="219" t="str">
        <f>P42</f>
        <v>K_INR</v>
      </c>
      <c r="Q32" s="222" t="str">
        <f>PL!Q$72</f>
        <v>BO,OE Other Expense Expense for layoff benefit</v>
      </c>
      <c r="R32" s="222">
        <f>PL!S$72</f>
        <v>0</v>
      </c>
      <c r="S32" s="222">
        <f>PL!T$72</f>
        <v>0</v>
      </c>
      <c r="T32" s="222">
        <f>PL!U$72</f>
        <v>0</v>
      </c>
      <c r="U32" s="222">
        <f>PL!V$72</f>
        <v>0</v>
      </c>
      <c r="V32" s="222">
        <f>PL!W$72</f>
        <v>0</v>
      </c>
      <c r="W32" s="222">
        <f>PL!X$72</f>
        <v>0</v>
      </c>
      <c r="X32" s="222">
        <f>PL!Y$72</f>
        <v>0</v>
      </c>
      <c r="Y32" s="222">
        <f>PL!Z$72</f>
        <v>0</v>
      </c>
      <c r="Z32" s="222">
        <f>PL!AA$72</f>
        <v>0</v>
      </c>
      <c r="AA32" s="222">
        <f>PL!AB$72</f>
        <v>0</v>
      </c>
      <c r="AB32" s="222">
        <f>PL!AC$72</f>
        <v>0</v>
      </c>
    </row>
    <row r="33" spans="1:28">
      <c r="A33" s="598">
        <v>1</v>
      </c>
      <c r="B33" s="598" t="s">
        <v>626</v>
      </c>
      <c r="C33" s="598" t="s">
        <v>505</v>
      </c>
      <c r="D33" s="598" t="s">
        <v>505</v>
      </c>
      <c r="E33" s="601" t="s">
        <v>629</v>
      </c>
      <c r="G33" s="244"/>
      <c r="H33" s="244"/>
      <c r="I33" s="245"/>
      <c r="J33" s="220" t="s">
        <v>24</v>
      </c>
      <c r="K33" s="232" t="s">
        <v>38</v>
      </c>
      <c r="L33" s="232" t="s">
        <v>3</v>
      </c>
      <c r="M33" s="468" t="s">
        <v>4</v>
      </c>
      <c r="N33" s="232" t="s">
        <v>5</v>
      </c>
      <c r="O33" s="219" t="str">
        <f>O42</f>
        <v>BIN</v>
      </c>
      <c r="P33" s="219" t="str">
        <f>P42</f>
        <v>K_INR</v>
      </c>
      <c r="Q33" s="222" t="str">
        <f>PL!Q$73</f>
        <v>BO,OE Other Expense Other Expense</v>
      </c>
      <c r="R33" s="222">
        <f>PL!S$73</f>
        <v>0</v>
      </c>
      <c r="S33" s="222">
        <f>PL!T$73</f>
        <v>0</v>
      </c>
      <c r="T33" s="222">
        <f>PL!U$73</f>
        <v>0</v>
      </c>
      <c r="U33" s="222">
        <f>PL!V$73</f>
        <v>0</v>
      </c>
      <c r="V33" s="222">
        <f>PL!W$73</f>
        <v>0</v>
      </c>
      <c r="W33" s="222">
        <f>PL!X$73</f>
        <v>0</v>
      </c>
      <c r="X33" s="222">
        <f>PL!Y$73</f>
        <v>0</v>
      </c>
      <c r="Y33" s="222">
        <f>PL!Z$73</f>
        <v>0</v>
      </c>
      <c r="Z33" s="222">
        <f>PL!AA$73</f>
        <v>0</v>
      </c>
      <c r="AA33" s="222">
        <f>PL!AB$73</f>
        <v>0</v>
      </c>
      <c r="AB33" s="222">
        <f>PL!AC$73</f>
        <v>0</v>
      </c>
    </row>
    <row r="34" spans="1:28" s="726" customFormat="1">
      <c r="A34" s="726">
        <v>1</v>
      </c>
      <c r="B34" s="727"/>
      <c r="C34" s="728" t="s">
        <v>505</v>
      </c>
      <c r="F34" s="729"/>
      <c r="G34" s="730"/>
      <c r="H34" s="730"/>
      <c r="I34" s="731"/>
      <c r="J34" s="732" t="s">
        <v>725</v>
      </c>
      <c r="K34" s="733" t="s">
        <v>2</v>
      </c>
      <c r="L34" s="761" t="s">
        <v>3</v>
      </c>
      <c r="M34" s="735" t="s">
        <v>4</v>
      </c>
      <c r="N34" s="736" t="s">
        <v>5</v>
      </c>
      <c r="O34" s="737" t="str">
        <f>PL!$P$4</f>
        <v>BIN</v>
      </c>
      <c r="P34" s="737" t="str">
        <f>PL!$I$6</f>
        <v>K_INR</v>
      </c>
      <c r="Q34" s="738"/>
      <c r="R34" s="738"/>
      <c r="S34" s="738"/>
      <c r="T34" s="738"/>
      <c r="U34" s="738"/>
      <c r="V34" s="738"/>
      <c r="W34" s="738"/>
      <c r="X34" s="738"/>
      <c r="Y34" s="738"/>
      <c r="Z34" s="738"/>
      <c r="AA34" s="738"/>
      <c r="AB34" s="738"/>
    </row>
    <row r="35" spans="1:28">
      <c r="A35" s="598">
        <v>1</v>
      </c>
      <c r="B35" s="598" t="s">
        <v>622</v>
      </c>
      <c r="C35" s="598" t="s">
        <v>505</v>
      </c>
      <c r="D35" s="598" t="s">
        <v>725</v>
      </c>
      <c r="E35" s="598" t="s">
        <v>754</v>
      </c>
      <c r="G35" s="244"/>
      <c r="H35" s="243"/>
      <c r="I35" s="245"/>
      <c r="J35" s="219" t="s">
        <v>750</v>
      </c>
      <c r="K35" s="232" t="s">
        <v>38</v>
      </c>
      <c r="L35" s="232" t="s">
        <v>3</v>
      </c>
      <c r="M35" s="468" t="s">
        <v>4</v>
      </c>
      <c r="N35" s="232" t="s">
        <v>5</v>
      </c>
      <c r="O35" s="216" t="str">
        <f>PL!$P$4</f>
        <v>BIN</v>
      </c>
      <c r="P35" s="216" t="str">
        <f>PL!$I$6</f>
        <v>K_INR</v>
      </c>
      <c r="Q35" s="223"/>
      <c r="R35" s="223"/>
      <c r="S35" s="223"/>
      <c r="T35" s="223"/>
      <c r="U35" s="223"/>
      <c r="V35" s="223"/>
      <c r="W35" s="223"/>
      <c r="X35" s="223"/>
      <c r="Y35" s="223"/>
      <c r="Z35" s="223"/>
      <c r="AA35" s="223"/>
      <c r="AB35" s="223"/>
    </row>
    <row r="36" spans="1:28">
      <c r="A36" s="598">
        <v>1</v>
      </c>
      <c r="B36" s="598" t="s">
        <v>622</v>
      </c>
      <c r="C36" s="598" t="s">
        <v>505</v>
      </c>
      <c r="D36" s="598" t="s">
        <v>298</v>
      </c>
      <c r="E36" s="598" t="s">
        <v>752</v>
      </c>
      <c r="G36" s="244"/>
      <c r="H36" s="243"/>
      <c r="I36" s="250"/>
      <c r="J36" s="219" t="s">
        <v>9</v>
      </c>
      <c r="K36" s="232" t="s">
        <v>38</v>
      </c>
      <c r="L36" s="232" t="s">
        <v>3</v>
      </c>
      <c r="M36" s="468" t="s">
        <v>4</v>
      </c>
      <c r="N36" s="232" t="s">
        <v>5</v>
      </c>
      <c r="O36" s="216" t="str">
        <f>PL!$P$4</f>
        <v>BIN</v>
      </c>
      <c r="P36" s="216" t="str">
        <f>PL!$I$6</f>
        <v>K_INR</v>
      </c>
      <c r="Q36" s="222" t="str">
        <f>PL!Q$1097</f>
        <v>Unit Sales (One Rate) (Unit)</v>
      </c>
      <c r="R36" s="222">
        <f>PL!S$1097</f>
        <v>0</v>
      </c>
      <c r="S36" s="222">
        <f>PL!T$1097</f>
        <v>0</v>
      </c>
      <c r="T36" s="222">
        <f>PL!U$1097</f>
        <v>0</v>
      </c>
      <c r="U36" s="222">
        <f>PL!V$1097</f>
        <v>0</v>
      </c>
      <c r="V36" s="222">
        <f>PL!W$1097</f>
        <v>0</v>
      </c>
      <c r="W36" s="222">
        <f>PL!X$1097</f>
        <v>0</v>
      </c>
      <c r="X36" s="222">
        <f>PL!Y$1097</f>
        <v>0</v>
      </c>
      <c r="Y36" s="222">
        <f>PL!Z$1097</f>
        <v>0</v>
      </c>
      <c r="Z36" s="222">
        <f>PL!AA$1097</f>
        <v>0</v>
      </c>
      <c r="AA36" s="222">
        <f>PL!AB$1097</f>
        <v>0</v>
      </c>
      <c r="AB36" s="222">
        <f>PL!AC$1097</f>
        <v>0</v>
      </c>
    </row>
    <row r="37" spans="1:28">
      <c r="A37" s="598">
        <v>1</v>
      </c>
      <c r="B37" s="598" t="s">
        <v>622</v>
      </c>
      <c r="C37" s="598" t="s">
        <v>505</v>
      </c>
      <c r="D37" s="598" t="s">
        <v>511</v>
      </c>
      <c r="E37" s="598" t="s">
        <v>752</v>
      </c>
      <c r="G37" s="244"/>
      <c r="H37" s="244"/>
      <c r="I37" s="245"/>
      <c r="J37" s="219" t="s">
        <v>9</v>
      </c>
      <c r="K37" s="232" t="s">
        <v>38</v>
      </c>
      <c r="L37" s="232" t="s">
        <v>3</v>
      </c>
      <c r="M37" s="468" t="s">
        <v>4</v>
      </c>
      <c r="N37" s="232" t="s">
        <v>5</v>
      </c>
      <c r="O37" s="216" t="str">
        <f>PL!$P$4</f>
        <v>BIN</v>
      </c>
      <c r="P37" s="216" t="str">
        <f>PL!$I$6</f>
        <v>K_INR</v>
      </c>
      <c r="Q37" s="222" t="str">
        <f>PL!Q$1099</f>
        <v>Net Sales (One Rate) HW(One Rate)</v>
      </c>
      <c r="R37" s="222">
        <f>PL!S$1099</f>
        <v>0</v>
      </c>
      <c r="S37" s="222">
        <f>PL!T$1099</f>
        <v>0</v>
      </c>
      <c r="T37" s="222">
        <f>PL!U$1099</f>
        <v>0</v>
      </c>
      <c r="U37" s="222">
        <f>PL!V$1099</f>
        <v>0</v>
      </c>
      <c r="V37" s="222">
        <f>PL!W$1099</f>
        <v>0</v>
      </c>
      <c r="W37" s="222">
        <f>PL!X$1099</f>
        <v>0</v>
      </c>
      <c r="X37" s="222">
        <f>PL!Y$1099</f>
        <v>0</v>
      </c>
      <c r="Y37" s="222">
        <f>PL!Z$1099</f>
        <v>0</v>
      </c>
      <c r="Z37" s="222">
        <f>PL!AA$1099</f>
        <v>0</v>
      </c>
      <c r="AA37" s="222">
        <f>PL!AB$1099</f>
        <v>0</v>
      </c>
      <c r="AB37" s="222">
        <f>PL!AC$1099</f>
        <v>0</v>
      </c>
    </row>
    <row r="38" spans="1:28">
      <c r="A38" s="598">
        <v>1</v>
      </c>
      <c r="B38" s="598" t="s">
        <v>622</v>
      </c>
      <c r="C38" s="598" t="s">
        <v>505</v>
      </c>
      <c r="D38" s="598" t="s">
        <v>751</v>
      </c>
      <c r="E38" s="598" t="s">
        <v>753</v>
      </c>
      <c r="G38" s="244"/>
      <c r="H38" s="244"/>
      <c r="I38" s="245"/>
      <c r="J38" s="219" t="s">
        <v>9</v>
      </c>
      <c r="K38" s="232" t="s">
        <v>38</v>
      </c>
      <c r="L38" s="232" t="s">
        <v>3</v>
      </c>
      <c r="M38" s="468" t="s">
        <v>4</v>
      </c>
      <c r="N38" s="232" t="s">
        <v>5</v>
      </c>
      <c r="O38" s="216" t="str">
        <f>PL!$P$4</f>
        <v>BIN</v>
      </c>
      <c r="P38" s="216" t="str">
        <f>PL!$I$6</f>
        <v>K_INR</v>
      </c>
      <c r="Q38" s="222" t="str">
        <f>PL!Q$1100</f>
        <v>Net Sales (One Rate) NH(One Rate)</v>
      </c>
      <c r="R38" s="222">
        <f>PL!S$1100</f>
        <v>0</v>
      </c>
      <c r="S38" s="222">
        <f>PL!T$1100</f>
        <v>0</v>
      </c>
      <c r="T38" s="222">
        <f>PL!U$1100</f>
        <v>0</v>
      </c>
      <c r="U38" s="222">
        <f>PL!V$1100</f>
        <v>0</v>
      </c>
      <c r="V38" s="222">
        <f>PL!W$1100</f>
        <v>0</v>
      </c>
      <c r="W38" s="222">
        <f>PL!X$1100</f>
        <v>0</v>
      </c>
      <c r="X38" s="222">
        <f>PL!Y$1100</f>
        <v>0</v>
      </c>
      <c r="Y38" s="222">
        <f>PL!Z$1100</f>
        <v>0</v>
      </c>
      <c r="Z38" s="222">
        <f>PL!AA$1100</f>
        <v>0</v>
      </c>
      <c r="AA38" s="222">
        <f>PL!AB$1100</f>
        <v>0</v>
      </c>
      <c r="AB38" s="222">
        <f>PL!AC$1100</f>
        <v>0</v>
      </c>
    </row>
    <row r="39" spans="1:28">
      <c r="A39" s="598">
        <v>1</v>
      </c>
      <c r="G39" s="246"/>
      <c r="H39" s="246"/>
      <c r="I39" s="246"/>
      <c r="J39" s="253"/>
      <c r="K39" s="254"/>
      <c r="L39" s="254"/>
      <c r="M39" s="254"/>
      <c r="N39" s="254"/>
      <c r="O39" s="253"/>
      <c r="P39" s="253"/>
      <c r="Q39" s="253"/>
      <c r="R39" s="253"/>
      <c r="S39" s="253"/>
      <c r="T39" s="253"/>
      <c r="U39" s="253"/>
      <c r="V39" s="253"/>
      <c r="W39" s="253"/>
      <c r="X39" s="253"/>
      <c r="Y39" s="253"/>
      <c r="Z39" s="253"/>
      <c r="AA39" s="253"/>
      <c r="AB39" s="253"/>
    </row>
    <row r="40" spans="1:28" s="711" customFormat="1">
      <c r="A40" s="711">
        <v>1</v>
      </c>
      <c r="C40" s="712" t="s">
        <v>512</v>
      </c>
      <c r="F40" s="713"/>
      <c r="G40" s="714"/>
      <c r="H40" s="714"/>
      <c r="I40" s="714"/>
      <c r="J40" s="724"/>
      <c r="K40" s="725"/>
      <c r="L40" s="725"/>
      <c r="M40" s="725"/>
      <c r="N40" s="725"/>
      <c r="O40" s="724"/>
      <c r="P40" s="724"/>
      <c r="Q40" s="724"/>
      <c r="R40" s="724"/>
      <c r="S40" s="724"/>
      <c r="T40" s="724"/>
      <c r="U40" s="724"/>
      <c r="V40" s="724"/>
      <c r="W40" s="724"/>
      <c r="X40" s="724"/>
      <c r="Y40" s="724"/>
      <c r="Z40" s="724"/>
      <c r="AA40" s="724"/>
      <c r="AB40" s="724"/>
    </row>
    <row r="41" spans="1:28" s="726" customFormat="1">
      <c r="A41" s="726">
        <v>1</v>
      </c>
      <c r="B41" s="727"/>
      <c r="C41" s="728" t="s">
        <v>505</v>
      </c>
      <c r="F41" s="729"/>
      <c r="G41" s="730"/>
      <c r="H41" s="730"/>
      <c r="I41" s="731"/>
      <c r="J41" s="732"/>
      <c r="K41" s="733" t="s">
        <v>2</v>
      </c>
      <c r="L41" s="761" t="s">
        <v>3</v>
      </c>
      <c r="M41" s="735" t="s">
        <v>4</v>
      </c>
      <c r="N41" s="736" t="s">
        <v>5</v>
      </c>
      <c r="O41" s="737" t="str">
        <f>PL!$P$4</f>
        <v>BIN</v>
      </c>
      <c r="P41" s="737" t="str">
        <f>PL!$I$6</f>
        <v>K_INR</v>
      </c>
      <c r="Q41" s="738"/>
      <c r="R41" s="738"/>
      <c r="S41" s="738"/>
      <c r="T41" s="738"/>
      <c r="U41" s="738"/>
      <c r="V41" s="738"/>
      <c r="W41" s="738"/>
      <c r="X41" s="738"/>
      <c r="Y41" s="738"/>
      <c r="Z41" s="738"/>
      <c r="AA41" s="738"/>
      <c r="AB41" s="738"/>
    </row>
    <row r="42" spans="1:28">
      <c r="A42" s="598">
        <v>1</v>
      </c>
      <c r="B42" s="598" t="s">
        <v>616</v>
      </c>
      <c r="C42" s="598" t="s">
        <v>505</v>
      </c>
      <c r="D42" s="598" t="s">
        <v>505</v>
      </c>
      <c r="E42" s="598" t="s">
        <v>617</v>
      </c>
      <c r="G42" s="246"/>
      <c r="H42" s="248"/>
      <c r="I42" s="249"/>
      <c r="J42" s="220" t="s">
        <v>1</v>
      </c>
      <c r="K42" s="231" t="s">
        <v>2</v>
      </c>
      <c r="L42" s="232" t="s">
        <v>3</v>
      </c>
      <c r="M42" s="468" t="s">
        <v>4</v>
      </c>
      <c r="N42" s="232" t="s">
        <v>5</v>
      </c>
      <c r="O42" s="216" t="str">
        <f>PL!$P$4</f>
        <v>BIN</v>
      </c>
      <c r="P42" s="216" t="str">
        <f>PL!$I$6</f>
        <v>K_INR</v>
      </c>
      <c r="Q42" s="221" t="str">
        <f>PL!Q$31</f>
        <v>PL Statement Financial Income</v>
      </c>
      <c r="R42" s="221">
        <f>PL!S$31</f>
        <v>10055</v>
      </c>
      <c r="S42" s="221">
        <f>PL!T$31</f>
        <v>11309</v>
      </c>
      <c r="T42" s="221">
        <f>PL!U$31</f>
        <v>10773</v>
      </c>
      <c r="U42" s="221">
        <f>PL!V$31</f>
        <v>11283</v>
      </c>
      <c r="V42" s="221">
        <f>PL!W$31</f>
        <v>11160</v>
      </c>
      <c r="W42" s="221">
        <f>PL!X$31</f>
        <v>100099</v>
      </c>
      <c r="X42" s="221">
        <f>PL!Y$31</f>
        <v>11100</v>
      </c>
      <c r="Y42" s="221">
        <f>PL!Z$31</f>
        <v>-76347</v>
      </c>
      <c r="Z42" s="221">
        <f>PL!AA$31</f>
        <v>12512</v>
      </c>
      <c r="AA42" s="221">
        <f>PL!AB$31</f>
        <v>12769</v>
      </c>
      <c r="AB42" s="221">
        <f>PL!AC$31</f>
        <v>7492</v>
      </c>
    </row>
    <row r="43" spans="1:28">
      <c r="A43" s="598">
        <v>1</v>
      </c>
      <c r="B43" s="598" t="s">
        <v>512</v>
      </c>
      <c r="C43" s="598" t="s">
        <v>618</v>
      </c>
      <c r="D43" s="598" t="s">
        <v>618</v>
      </c>
      <c r="E43" s="598" t="s">
        <v>619</v>
      </c>
      <c r="G43" s="244"/>
      <c r="H43" s="243"/>
      <c r="I43" s="250"/>
      <c r="J43" s="220" t="s">
        <v>6</v>
      </c>
      <c r="K43" s="231" t="s">
        <v>2</v>
      </c>
      <c r="L43" s="232" t="s">
        <v>3</v>
      </c>
      <c r="M43" s="468" t="s">
        <v>4</v>
      </c>
      <c r="N43" s="232" t="s">
        <v>5</v>
      </c>
      <c r="O43" s="216" t="str">
        <f>PL!$P$4</f>
        <v>BIN</v>
      </c>
      <c r="P43" s="216" t="str">
        <f>PL!$I$6</f>
        <v>K_INR</v>
      </c>
      <c r="Q43" s="222" t="str">
        <f>PL!Q$32</f>
        <v>PL Statement Financial Expenses</v>
      </c>
      <c r="R43" s="222">
        <f>PL!S$32</f>
        <v>276</v>
      </c>
      <c r="S43" s="222">
        <f>PL!T$32</f>
        <v>4725</v>
      </c>
      <c r="T43" s="222">
        <f>PL!U$32</f>
        <v>1614</v>
      </c>
      <c r="U43" s="222">
        <f>PL!V$32</f>
        <v>0</v>
      </c>
      <c r="V43" s="222">
        <f>PL!W$32</f>
        <v>3907</v>
      </c>
      <c r="W43" s="222">
        <f>PL!X$32</f>
        <v>1035</v>
      </c>
      <c r="X43" s="222">
        <f>PL!Y$32</f>
        <v>357</v>
      </c>
      <c r="Y43" s="222">
        <f>PL!Z$32</f>
        <v>2632</v>
      </c>
      <c r="Z43" s="222">
        <f>PL!AA$32</f>
        <v>198</v>
      </c>
      <c r="AA43" s="222">
        <f>PL!AB$32</f>
        <v>83</v>
      </c>
      <c r="AB43" s="222">
        <f>PL!AC$32</f>
        <v>2639</v>
      </c>
    </row>
    <row r="44" spans="1:28">
      <c r="A44" s="598">
        <v>1</v>
      </c>
      <c r="B44" s="598" t="s">
        <v>512</v>
      </c>
      <c r="C44" s="598" t="s">
        <v>620</v>
      </c>
      <c r="D44" s="598" t="s">
        <v>505</v>
      </c>
      <c r="E44" s="598" t="s">
        <v>621</v>
      </c>
      <c r="G44" s="244"/>
      <c r="H44" s="244"/>
      <c r="I44" s="245"/>
      <c r="J44" s="219" t="s">
        <v>8</v>
      </c>
      <c r="K44" s="231" t="s">
        <v>2</v>
      </c>
      <c r="L44" s="232" t="s">
        <v>3</v>
      </c>
      <c r="M44" s="468" t="s">
        <v>4</v>
      </c>
      <c r="N44" s="232" t="s">
        <v>5</v>
      </c>
      <c r="O44" s="216" t="str">
        <f>PL!$P$4</f>
        <v>BIN</v>
      </c>
      <c r="P44" s="216" t="str">
        <f>PL!$I$6</f>
        <v>K_INR</v>
      </c>
      <c r="Q44" s="222" t="str">
        <f>PL!Q$34</f>
        <v>PL Statement Tax Expenses &amp; Others</v>
      </c>
      <c r="R44" s="222">
        <f>PL!S$34</f>
        <v>12303.851100000002</v>
      </c>
      <c r="S44" s="222">
        <f>PL!T$34</f>
        <v>15347</v>
      </c>
      <c r="T44" s="222">
        <f>PL!U$34</f>
        <v>18988</v>
      </c>
      <c r="U44" s="222">
        <f>PL!V$34</f>
        <v>24434</v>
      </c>
      <c r="V44" s="222">
        <f>PL!W$34</f>
        <v>17073</v>
      </c>
      <c r="W44" s="222">
        <f>PL!X$34</f>
        <v>48507</v>
      </c>
      <c r="X44" s="222">
        <f>PL!Y$34</f>
        <v>23485</v>
      </c>
      <c r="Y44" s="222">
        <f>PL!Z$34</f>
        <v>19880</v>
      </c>
      <c r="Z44" s="222">
        <f>PL!AA$34</f>
        <v>22340</v>
      </c>
      <c r="AA44" s="222">
        <f>PL!AB$34</f>
        <v>25299</v>
      </c>
      <c r="AB44" s="222">
        <f>PL!AC$34</f>
        <v>22722</v>
      </c>
    </row>
    <row r="45" spans="1:28">
      <c r="A45" s="598">
        <v>1</v>
      </c>
      <c r="B45" s="235"/>
      <c r="C45" s="235"/>
      <c r="D45" s="235"/>
      <c r="E45" s="600"/>
      <c r="G45" s="246"/>
      <c r="H45" s="244"/>
      <c r="I45" s="244"/>
      <c r="J45" s="253"/>
      <c r="K45" s="254"/>
      <c r="L45" s="254"/>
      <c r="M45" s="254"/>
      <c r="N45" s="254"/>
      <c r="O45" s="253"/>
      <c r="P45" s="253"/>
      <c r="Q45" s="253"/>
      <c r="R45" s="253"/>
      <c r="S45" s="253"/>
      <c r="T45" s="253"/>
      <c r="U45" s="253"/>
      <c r="V45" s="253"/>
      <c r="W45" s="253"/>
      <c r="X45" s="253"/>
      <c r="Y45" s="253"/>
      <c r="Z45" s="253"/>
      <c r="AA45" s="253"/>
      <c r="AB45" s="253"/>
    </row>
    <row r="46" spans="1:28" s="726" customFormat="1">
      <c r="A46" s="726">
        <v>1</v>
      </c>
      <c r="B46" s="727"/>
      <c r="C46" s="728" t="s">
        <v>431</v>
      </c>
      <c r="F46" s="729"/>
      <c r="G46" s="730"/>
      <c r="H46" s="730"/>
      <c r="I46" s="731"/>
      <c r="J46" s="732" t="s">
        <v>39</v>
      </c>
      <c r="K46" s="733" t="s">
        <v>706</v>
      </c>
      <c r="L46" s="734" t="s">
        <v>29</v>
      </c>
      <c r="M46" s="735" t="s">
        <v>4</v>
      </c>
      <c r="N46" s="736" t="s">
        <v>5</v>
      </c>
      <c r="O46" s="737" t="str">
        <f>PL!$P$4</f>
        <v>BIN</v>
      </c>
      <c r="P46" s="737" t="str">
        <f>PL!$I$6</f>
        <v>K_INR</v>
      </c>
      <c r="Q46" s="738"/>
      <c r="R46" s="738"/>
      <c r="S46" s="738"/>
      <c r="T46" s="738"/>
      <c r="U46" s="738"/>
      <c r="V46" s="738"/>
      <c r="W46" s="738"/>
      <c r="X46" s="738"/>
      <c r="Y46" s="738"/>
      <c r="Z46" s="738"/>
      <c r="AA46" s="738"/>
      <c r="AB46" s="738"/>
    </row>
    <row r="47" spans="1:28">
      <c r="A47" s="598">
        <v>1</v>
      </c>
      <c r="B47" s="598" t="s">
        <v>630</v>
      </c>
      <c r="C47" s="598" t="s">
        <v>431</v>
      </c>
      <c r="D47" s="598" t="s">
        <v>631</v>
      </c>
      <c r="E47" s="598" t="s">
        <v>39</v>
      </c>
      <c r="G47" s="246"/>
      <c r="H47" s="246"/>
      <c r="I47" s="247"/>
      <c r="J47" s="219" t="s">
        <v>39</v>
      </c>
      <c r="K47" s="233" t="s">
        <v>28</v>
      </c>
      <c r="L47" s="231" t="s">
        <v>29</v>
      </c>
      <c r="M47" s="468" t="s">
        <v>30</v>
      </c>
      <c r="N47" s="232" t="s">
        <v>5</v>
      </c>
      <c r="O47" s="216" t="str">
        <f>PL!$P$4</f>
        <v>BIN</v>
      </c>
      <c r="P47" s="216" t="str">
        <f>PL!$I$6</f>
        <v>K_INR</v>
      </c>
      <c r="Q47" s="222" t="str">
        <f>PL!Q$456</f>
        <v>S/GP (1)-1 Net Sales Direct HW KMI Office A3</v>
      </c>
      <c r="R47" s="222">
        <f>PL!S$456</f>
        <v>23167</v>
      </c>
      <c r="S47" s="222">
        <f>PL!T$456</f>
        <v>27951</v>
      </c>
      <c r="T47" s="222">
        <f>PL!U$456</f>
        <v>30952</v>
      </c>
      <c r="U47" s="222">
        <f>PL!V$456</f>
        <v>26680</v>
      </c>
      <c r="V47" s="222">
        <f>PL!W$456</f>
        <v>30741</v>
      </c>
      <c r="W47" s="222">
        <f>PL!X$456</f>
        <v>29576</v>
      </c>
      <c r="X47" s="222">
        <f>PL!Y$456</f>
        <v>29344</v>
      </c>
      <c r="Y47" s="222">
        <f>PL!Z$456</f>
        <v>36217</v>
      </c>
      <c r="Z47" s="222">
        <f>PL!AA$456</f>
        <v>32267</v>
      </c>
      <c r="AA47" s="222">
        <f>PL!AB$456</f>
        <v>34917.224000000002</v>
      </c>
      <c r="AB47" s="222">
        <f>PL!AC$456</f>
        <v>22529</v>
      </c>
    </row>
    <row r="48" spans="1:28">
      <c r="A48" s="598">
        <v>1</v>
      </c>
      <c r="B48" s="598" t="s">
        <v>512</v>
      </c>
      <c r="C48" s="598" t="s">
        <v>431</v>
      </c>
      <c r="D48" s="598" t="s">
        <v>631</v>
      </c>
      <c r="E48" s="598" t="s">
        <v>39</v>
      </c>
      <c r="G48" s="246"/>
      <c r="H48" s="246"/>
      <c r="I48" s="247"/>
      <c r="J48" s="219" t="s">
        <v>39</v>
      </c>
      <c r="K48" s="233" t="s">
        <v>34</v>
      </c>
      <c r="L48" s="231" t="s">
        <v>29</v>
      </c>
      <c r="M48" s="468" t="s">
        <v>30</v>
      </c>
      <c r="N48" s="232" t="s">
        <v>5</v>
      </c>
      <c r="O48" s="216" t="str">
        <f>PL!$P$4</f>
        <v>BIN</v>
      </c>
      <c r="P48" s="216" t="str">
        <f>PL!$I$6</f>
        <v>K_INR</v>
      </c>
      <c r="Q48" s="222" t="str">
        <f>PL!Q$457</f>
        <v>S/GP (1)-1 Net Sales Direct HW KMI Office A4</v>
      </c>
      <c r="R48" s="222">
        <f>PL!S$457</f>
        <v>468</v>
      </c>
      <c r="S48" s="222">
        <f>PL!T$457</f>
        <v>1542</v>
      </c>
      <c r="T48" s="222">
        <f>PL!U$457</f>
        <v>741</v>
      </c>
      <c r="U48" s="222">
        <f>PL!V$457</f>
        <v>697.85699999999997</v>
      </c>
      <c r="V48" s="222">
        <f>PL!W$457</f>
        <v>852</v>
      </c>
      <c r="W48" s="222">
        <f>PL!X$457</f>
        <v>490</v>
      </c>
      <c r="X48" s="222">
        <f>PL!Y$457</f>
        <v>666</v>
      </c>
      <c r="Y48" s="222">
        <f>PL!Z$457</f>
        <v>1928</v>
      </c>
      <c r="Z48" s="222">
        <f>PL!AA$457</f>
        <v>1048</v>
      </c>
      <c r="AA48" s="222">
        <f>PL!AB$457</f>
        <v>1005</v>
      </c>
      <c r="AB48" s="222">
        <f>PL!AC$457</f>
        <v>1152</v>
      </c>
    </row>
    <row r="49" spans="1:28">
      <c r="A49" s="598">
        <v>1</v>
      </c>
      <c r="B49" s="598" t="s">
        <v>512</v>
      </c>
      <c r="C49" s="598" t="s">
        <v>632</v>
      </c>
      <c r="D49" s="598" t="s">
        <v>631</v>
      </c>
      <c r="E49" s="598" t="s">
        <v>39</v>
      </c>
      <c r="G49" s="244"/>
      <c r="H49" s="244"/>
      <c r="I49" s="245"/>
      <c r="J49" s="219" t="s">
        <v>39</v>
      </c>
      <c r="K49" s="233" t="s">
        <v>52</v>
      </c>
      <c r="L49" s="231" t="s">
        <v>35</v>
      </c>
      <c r="M49" s="468" t="s">
        <v>30</v>
      </c>
      <c r="N49" s="232" t="s">
        <v>5</v>
      </c>
      <c r="O49" s="216" t="str">
        <f>PL!$P$4</f>
        <v>BIN</v>
      </c>
      <c r="P49" s="216" t="str">
        <f>PL!$I$6</f>
        <v>K_INR</v>
      </c>
      <c r="Q49" s="222" t="str">
        <f>PL!Q$458</f>
        <v>S/GP (1)-1 Net Sales Direct HW 3rd Party</v>
      </c>
      <c r="R49" s="222">
        <f>PL!S$458</f>
        <v>0</v>
      </c>
      <c r="S49" s="222">
        <f>PL!T$458</f>
        <v>0</v>
      </c>
      <c r="T49" s="222">
        <f>PL!U$458</f>
        <v>0</v>
      </c>
      <c r="U49" s="222">
        <f>PL!V$458</f>
        <v>0</v>
      </c>
      <c r="V49" s="222">
        <f>PL!W$458</f>
        <v>0</v>
      </c>
      <c r="W49" s="222">
        <f>PL!X$458</f>
        <v>0</v>
      </c>
      <c r="X49" s="222">
        <f>PL!Y$458</f>
        <v>0</v>
      </c>
      <c r="Y49" s="222">
        <f>PL!Z$458</f>
        <v>0</v>
      </c>
      <c r="Z49" s="222">
        <f>PL!AA$458</f>
        <v>0</v>
      </c>
      <c r="AA49" s="222">
        <f>PL!AB$458</f>
        <v>0</v>
      </c>
      <c r="AB49" s="222">
        <f>PL!AC$458</f>
        <v>0</v>
      </c>
    </row>
    <row r="50" spans="1:28">
      <c r="A50" s="598">
        <v>1</v>
      </c>
      <c r="B50" s="598" t="s">
        <v>512</v>
      </c>
      <c r="C50" s="598" t="s">
        <v>431</v>
      </c>
      <c r="D50" s="598" t="s">
        <v>633</v>
      </c>
      <c r="E50" s="598" t="s">
        <v>39</v>
      </c>
      <c r="G50" s="244"/>
      <c r="H50" s="244"/>
      <c r="I50" s="245"/>
      <c r="J50" s="219" t="s">
        <v>39</v>
      </c>
      <c r="K50" s="233" t="s">
        <v>28</v>
      </c>
      <c r="L50" s="231" t="s">
        <v>29</v>
      </c>
      <c r="M50" s="468" t="s">
        <v>33</v>
      </c>
      <c r="N50" s="232" t="s">
        <v>5</v>
      </c>
      <c r="O50" s="216" t="str">
        <f>PL!$P$4</f>
        <v>BIN</v>
      </c>
      <c r="P50" s="216" t="str">
        <f>PL!$I$6</f>
        <v>K_INR</v>
      </c>
      <c r="Q50" s="222" t="str">
        <f>PL!Q$461</f>
        <v>S/GP (1)-1 Net Sales Direct NH KMI Office A3</v>
      </c>
      <c r="R50" s="222">
        <f>PL!S$461</f>
        <v>24665</v>
      </c>
      <c r="S50" s="222">
        <f>PL!T$461</f>
        <v>23445</v>
      </c>
      <c r="T50" s="222">
        <f>PL!U$461</f>
        <v>21979</v>
      </c>
      <c r="U50" s="222">
        <f>PL!V$461</f>
        <v>27543.439109999999</v>
      </c>
      <c r="V50" s="222">
        <f>PL!W$461</f>
        <v>22769</v>
      </c>
      <c r="W50" s="222">
        <f>PL!X$461</f>
        <v>24122</v>
      </c>
      <c r="X50" s="222">
        <f>PL!Y$461</f>
        <v>28412</v>
      </c>
      <c r="Y50" s="222">
        <f>PL!Z$461</f>
        <v>25331</v>
      </c>
      <c r="Z50" s="222">
        <f>PL!AA$461</f>
        <v>25538</v>
      </c>
      <c r="AA50" s="222">
        <f>PL!AB$461</f>
        <v>26309</v>
      </c>
      <c r="AB50" s="222">
        <f>PL!AC$461</f>
        <v>20639</v>
      </c>
    </row>
    <row r="51" spans="1:28">
      <c r="A51" s="598">
        <v>1</v>
      </c>
      <c r="B51" s="598" t="s">
        <v>630</v>
      </c>
      <c r="C51" s="598" t="s">
        <v>431</v>
      </c>
      <c r="D51" s="598" t="s">
        <v>634</v>
      </c>
      <c r="E51" s="598" t="s">
        <v>39</v>
      </c>
      <c r="G51" s="244"/>
      <c r="H51" s="244"/>
      <c r="I51" s="245"/>
      <c r="J51" s="219" t="s">
        <v>39</v>
      </c>
      <c r="K51" s="233" t="s">
        <v>34</v>
      </c>
      <c r="L51" s="231" t="s">
        <v>29</v>
      </c>
      <c r="M51" s="468" t="s">
        <v>33</v>
      </c>
      <c r="N51" s="232" t="s">
        <v>5</v>
      </c>
      <c r="O51" s="216" t="str">
        <f>PL!$P$4</f>
        <v>BIN</v>
      </c>
      <c r="P51" s="216" t="str">
        <f>PL!$I$6</f>
        <v>K_INR</v>
      </c>
      <c r="Q51" s="222" t="str">
        <f>PL!Q$464</f>
        <v>S/GP (1)-1 Net Sales Direct NH KMI Office A4</v>
      </c>
      <c r="R51" s="222">
        <f>PL!S$464</f>
        <v>617</v>
      </c>
      <c r="S51" s="222">
        <f>PL!T$464</f>
        <v>1153</v>
      </c>
      <c r="T51" s="222">
        <f>PL!U$464</f>
        <v>714</v>
      </c>
      <c r="U51" s="222">
        <f>PL!V$464</f>
        <v>766.04600000000005</v>
      </c>
      <c r="V51" s="222">
        <f>PL!W$464</f>
        <v>386</v>
      </c>
      <c r="W51" s="222">
        <f>PL!X$464</f>
        <v>538</v>
      </c>
      <c r="X51" s="222">
        <f>PL!Y$464</f>
        <v>813</v>
      </c>
      <c r="Y51" s="222">
        <f>PL!Z$464</f>
        <v>894</v>
      </c>
      <c r="Z51" s="222">
        <f>PL!AA$464</f>
        <v>497</v>
      </c>
      <c r="AA51" s="222">
        <f>PL!AB$464</f>
        <v>955</v>
      </c>
      <c r="AB51" s="222">
        <f>PL!AC$464</f>
        <v>644</v>
      </c>
    </row>
    <row r="52" spans="1:28">
      <c r="A52" s="598">
        <v>1</v>
      </c>
      <c r="B52" s="598" t="s">
        <v>635</v>
      </c>
      <c r="C52" s="598" t="s">
        <v>431</v>
      </c>
      <c r="D52" s="598" t="s">
        <v>634</v>
      </c>
      <c r="E52" s="598" t="s">
        <v>39</v>
      </c>
      <c r="G52" s="244"/>
      <c r="H52" s="244"/>
      <c r="I52" s="245"/>
      <c r="J52" s="219" t="s">
        <v>39</v>
      </c>
      <c r="K52" s="233" t="s">
        <v>52</v>
      </c>
      <c r="L52" s="231" t="s">
        <v>35</v>
      </c>
      <c r="M52" s="468" t="s">
        <v>33</v>
      </c>
      <c r="N52" s="232" t="s">
        <v>5</v>
      </c>
      <c r="O52" s="216" t="str">
        <f>PL!$P$4</f>
        <v>BIN</v>
      </c>
      <c r="P52" s="216" t="str">
        <f>PL!$I$6</f>
        <v>K_INR</v>
      </c>
      <c r="Q52" s="222" t="str">
        <f>PL!Q$467</f>
        <v>S/GP (1)-1 Net Sales Direct NH 3rd Party</v>
      </c>
      <c r="R52" s="222">
        <f>PL!S$467</f>
        <v>0</v>
      </c>
      <c r="S52" s="222">
        <f>PL!T$467</f>
        <v>0</v>
      </c>
      <c r="T52" s="222">
        <f>PL!U$467</f>
        <v>0</v>
      </c>
      <c r="U52" s="222">
        <f>PL!V$467</f>
        <v>0</v>
      </c>
      <c r="V52" s="222">
        <f>PL!W$467</f>
        <v>0</v>
      </c>
      <c r="W52" s="222">
        <f>PL!X$467</f>
        <v>0</v>
      </c>
      <c r="X52" s="222">
        <f>PL!Y$467</f>
        <v>0</v>
      </c>
      <c r="Y52" s="222">
        <f>PL!Z$467</f>
        <v>0</v>
      </c>
      <c r="Z52" s="222">
        <f>PL!AA$467</f>
        <v>0</v>
      </c>
      <c r="AA52" s="222">
        <f>PL!AB$467</f>
        <v>0</v>
      </c>
      <c r="AB52" s="222">
        <f>PL!AC$467</f>
        <v>0</v>
      </c>
    </row>
    <row r="53" spans="1:28">
      <c r="A53" s="598">
        <v>1</v>
      </c>
      <c r="B53" s="598" t="s">
        <v>630</v>
      </c>
      <c r="C53" s="598" t="s">
        <v>431</v>
      </c>
      <c r="D53" s="598" t="s">
        <v>459</v>
      </c>
      <c r="E53" s="598" t="s">
        <v>39</v>
      </c>
      <c r="G53" s="244"/>
      <c r="H53" s="244"/>
      <c r="I53" s="245"/>
      <c r="J53" s="219" t="s">
        <v>39</v>
      </c>
      <c r="K53" s="233" t="s">
        <v>52</v>
      </c>
      <c r="L53" s="231" t="s">
        <v>29</v>
      </c>
      <c r="M53" s="468" t="s">
        <v>11</v>
      </c>
      <c r="N53" s="232" t="s">
        <v>5</v>
      </c>
      <c r="O53" s="216" t="str">
        <f>PL!$P$4</f>
        <v>BIN</v>
      </c>
      <c r="P53" s="216" t="str">
        <f>PL!$I$6</f>
        <v>K_INR</v>
      </c>
      <c r="Q53" s="222" t="str">
        <f>PL!Q$468</f>
        <v>S/GP (1)-1 Net Sales Direct Others</v>
      </c>
      <c r="R53" s="222">
        <f>PL!S$468</f>
        <v>0</v>
      </c>
      <c r="S53" s="222">
        <f>PL!T$468</f>
        <v>0</v>
      </c>
      <c r="T53" s="222">
        <f>PL!U$468</f>
        <v>0</v>
      </c>
      <c r="U53" s="222">
        <f>PL!V$468</f>
        <v>0</v>
      </c>
      <c r="V53" s="222">
        <f>PL!W$468</f>
        <v>0</v>
      </c>
      <c r="W53" s="222">
        <f>PL!X$468</f>
        <v>0</v>
      </c>
      <c r="X53" s="222">
        <f>PL!Y$468</f>
        <v>0</v>
      </c>
      <c r="Y53" s="222">
        <f>PL!Z$468</f>
        <v>0</v>
      </c>
      <c r="Z53" s="222">
        <f>PL!AA$468</f>
        <v>0</v>
      </c>
      <c r="AA53" s="222">
        <f>PL!AB$468</f>
        <v>0</v>
      </c>
      <c r="AB53" s="222">
        <f>PL!AC$468</f>
        <v>0</v>
      </c>
    </row>
    <row r="54" spans="1:28" s="682" customFormat="1">
      <c r="A54" s="682">
        <v>1</v>
      </c>
      <c r="C54" s="683"/>
      <c r="F54" s="684"/>
      <c r="G54" s="685"/>
      <c r="H54" s="685"/>
      <c r="I54" s="686"/>
      <c r="J54" s="687" t="s">
        <v>39</v>
      </c>
      <c r="K54" s="688" t="s">
        <v>52</v>
      </c>
      <c r="L54" s="689" t="s">
        <v>32</v>
      </c>
      <c r="M54" s="690" t="s">
        <v>4</v>
      </c>
      <c r="N54" s="691" t="s">
        <v>5</v>
      </c>
      <c r="O54" s="692" t="str">
        <f>PL!$P$4</f>
        <v>BIN</v>
      </c>
      <c r="P54" s="692" t="str">
        <f>PL!$I$6</f>
        <v>K_INR</v>
      </c>
      <c r="Q54" s="693"/>
      <c r="R54" s="693"/>
      <c r="S54" s="693"/>
      <c r="T54" s="693"/>
      <c r="U54" s="693"/>
      <c r="V54" s="693"/>
      <c r="W54" s="693"/>
      <c r="X54" s="693"/>
      <c r="Y54" s="693"/>
      <c r="Z54" s="693"/>
      <c r="AA54" s="693"/>
      <c r="AB54" s="693"/>
    </row>
    <row r="55" spans="1:28">
      <c r="A55" s="598">
        <v>1</v>
      </c>
      <c r="B55" s="598" t="s">
        <v>616</v>
      </c>
      <c r="C55" s="598" t="s">
        <v>431</v>
      </c>
      <c r="D55" s="598" t="s">
        <v>631</v>
      </c>
      <c r="E55" s="598" t="s">
        <v>39</v>
      </c>
      <c r="G55" s="244"/>
      <c r="H55" s="244"/>
      <c r="I55" s="245"/>
      <c r="J55" s="219" t="s">
        <v>39</v>
      </c>
      <c r="K55" s="233" t="s">
        <v>28</v>
      </c>
      <c r="L55" s="231" t="s">
        <v>32</v>
      </c>
      <c r="M55" s="468" t="s">
        <v>30</v>
      </c>
      <c r="N55" s="232" t="s">
        <v>5</v>
      </c>
      <c r="O55" s="216" t="str">
        <f>PL!$P$4</f>
        <v>BIN</v>
      </c>
      <c r="P55" s="216" t="str">
        <f>PL!$I$6</f>
        <v>K_INR</v>
      </c>
      <c r="Q55" s="222" t="str">
        <f>PL!Q$472</f>
        <v>S/GP (1)-1 Net Sales Indirect HW KMI Office A3</v>
      </c>
      <c r="R55" s="222">
        <f>PL!S$472</f>
        <v>98025</v>
      </c>
      <c r="S55" s="222">
        <f>PL!T$472</f>
        <v>74833</v>
      </c>
      <c r="T55" s="222">
        <f>PL!U$472</f>
        <v>96945</v>
      </c>
      <c r="U55" s="222">
        <f>PL!V$472</f>
        <v>139067.27900000001</v>
      </c>
      <c r="V55" s="222">
        <f>PL!W$472</f>
        <v>160331</v>
      </c>
      <c r="W55" s="222">
        <f>PL!X$472</f>
        <v>117005</v>
      </c>
      <c r="X55" s="222">
        <f>PL!Y$472</f>
        <v>119625</v>
      </c>
      <c r="Y55" s="222">
        <f>PL!Z$472</f>
        <v>204402</v>
      </c>
      <c r="Z55" s="222">
        <f>PL!AA$472</f>
        <v>123094</v>
      </c>
      <c r="AA55" s="222">
        <f>PL!AB$472</f>
        <v>144048.14631000001</v>
      </c>
      <c r="AB55" s="222">
        <f>PL!AC$472</f>
        <v>176045</v>
      </c>
    </row>
    <row r="56" spans="1:28">
      <c r="A56" s="598">
        <v>1</v>
      </c>
      <c r="B56" s="598" t="s">
        <v>512</v>
      </c>
      <c r="C56" s="598" t="s">
        <v>431</v>
      </c>
      <c r="D56" s="598" t="s">
        <v>298</v>
      </c>
      <c r="E56" s="598" t="s">
        <v>39</v>
      </c>
      <c r="G56" s="244"/>
      <c r="H56" s="244"/>
      <c r="I56" s="245"/>
      <c r="J56" s="219" t="s">
        <v>39</v>
      </c>
      <c r="K56" s="233" t="s">
        <v>34</v>
      </c>
      <c r="L56" s="231" t="s">
        <v>32</v>
      </c>
      <c r="M56" s="468" t="s">
        <v>30</v>
      </c>
      <c r="N56" s="232" t="s">
        <v>5</v>
      </c>
      <c r="O56" s="216" t="str">
        <f>PL!$P$4</f>
        <v>BIN</v>
      </c>
      <c r="P56" s="216" t="str">
        <f>PL!$I$6</f>
        <v>K_INR</v>
      </c>
      <c r="Q56" s="222" t="str">
        <f>PL!Q$473</f>
        <v>S/GP (1)-1 Net Sales Indirect HW KMI Office A4</v>
      </c>
      <c r="R56" s="222">
        <f>PL!S$473</f>
        <v>0</v>
      </c>
      <c r="S56" s="222">
        <f>PL!T$473</f>
        <v>0</v>
      </c>
      <c r="T56" s="222">
        <f>PL!U$473</f>
        <v>0</v>
      </c>
      <c r="U56" s="222">
        <f>PL!V$473</f>
        <v>0</v>
      </c>
      <c r="V56" s="222">
        <f>PL!W$473</f>
        <v>0</v>
      </c>
      <c r="W56" s="222">
        <f>PL!X$473</f>
        <v>0</v>
      </c>
      <c r="X56" s="222">
        <f>PL!Y$473</f>
        <v>0</v>
      </c>
      <c r="Y56" s="222">
        <f>PL!Z$473</f>
        <v>0</v>
      </c>
      <c r="Z56" s="222">
        <f>PL!AA$473</f>
        <v>0</v>
      </c>
      <c r="AA56" s="222">
        <f>PL!AB$473</f>
        <v>0</v>
      </c>
      <c r="AB56" s="222">
        <f>PL!AC$473</f>
        <v>0</v>
      </c>
    </row>
    <row r="57" spans="1:28">
      <c r="A57" s="598">
        <v>1</v>
      </c>
      <c r="B57" s="598" t="s">
        <v>512</v>
      </c>
      <c r="C57" s="598" t="s">
        <v>636</v>
      </c>
      <c r="D57" s="598" t="s">
        <v>298</v>
      </c>
      <c r="E57" s="598" t="s">
        <v>39</v>
      </c>
      <c r="G57" s="244"/>
      <c r="H57" s="244"/>
      <c r="I57" s="245"/>
      <c r="J57" s="219" t="s">
        <v>39</v>
      </c>
      <c r="K57" s="233" t="s">
        <v>52</v>
      </c>
      <c r="L57" s="231" t="s">
        <v>36</v>
      </c>
      <c r="M57" s="468" t="s">
        <v>30</v>
      </c>
      <c r="N57" s="232" t="s">
        <v>5</v>
      </c>
      <c r="O57" s="216" t="str">
        <f>PL!$P$4</f>
        <v>BIN</v>
      </c>
      <c r="P57" s="216" t="str">
        <f>PL!$I$6</f>
        <v>K_INR</v>
      </c>
      <c r="Q57" s="222" t="str">
        <f>PL!Q$474</f>
        <v>S/GP (1)-1 Net Sales Indirect HW 3rd Party</v>
      </c>
      <c r="R57" s="222">
        <f>PL!S$474</f>
        <v>0</v>
      </c>
      <c r="S57" s="222">
        <f>PL!T$474</f>
        <v>0</v>
      </c>
      <c r="T57" s="222">
        <f>PL!U$474</f>
        <v>0</v>
      </c>
      <c r="U57" s="222">
        <f>PL!V$474</f>
        <v>0</v>
      </c>
      <c r="V57" s="222">
        <f>PL!W$474</f>
        <v>0</v>
      </c>
      <c r="W57" s="222">
        <f>PL!X$474</f>
        <v>0</v>
      </c>
      <c r="X57" s="222">
        <f>PL!Y$474</f>
        <v>0</v>
      </c>
      <c r="Y57" s="222">
        <f>PL!Z$474</f>
        <v>0</v>
      </c>
      <c r="Z57" s="222">
        <f>PL!AA$474</f>
        <v>0</v>
      </c>
      <c r="AA57" s="222">
        <f>PL!AB$474</f>
        <v>0</v>
      </c>
      <c r="AB57" s="222">
        <f>PL!AC$474</f>
        <v>0</v>
      </c>
    </row>
    <row r="58" spans="1:28">
      <c r="A58" s="598">
        <v>1</v>
      </c>
      <c r="B58" s="598" t="s">
        <v>512</v>
      </c>
      <c r="C58" s="598" t="s">
        <v>637</v>
      </c>
      <c r="D58" s="598" t="s">
        <v>634</v>
      </c>
      <c r="E58" s="598" t="s">
        <v>39</v>
      </c>
      <c r="G58" s="244"/>
      <c r="H58" s="244"/>
      <c r="I58" s="245"/>
      <c r="J58" s="219" t="s">
        <v>39</v>
      </c>
      <c r="K58" s="233" t="s">
        <v>28</v>
      </c>
      <c r="L58" s="231" t="s">
        <v>32</v>
      </c>
      <c r="M58" s="468" t="s">
        <v>33</v>
      </c>
      <c r="N58" s="232" t="s">
        <v>5</v>
      </c>
      <c r="O58" s="216" t="str">
        <f>PL!$P$4</f>
        <v>BIN</v>
      </c>
      <c r="P58" s="216" t="str">
        <f>PL!$I$6</f>
        <v>K_INR</v>
      </c>
      <c r="Q58" s="222" t="str">
        <f>PL!Q$477</f>
        <v>S/GP (1)-1 Net Sales Indirect NH KMI Office A3</v>
      </c>
      <c r="R58" s="222">
        <f>PL!S$477</f>
        <v>35931</v>
      </c>
      <c r="S58" s="222">
        <f>PL!T$477</f>
        <v>68218</v>
      </c>
      <c r="T58" s="222">
        <f>PL!U$477</f>
        <v>57603</v>
      </c>
      <c r="U58" s="222">
        <f>PL!V$477</f>
        <v>66081.702830000009</v>
      </c>
      <c r="V58" s="222">
        <f>PL!W$477</f>
        <v>53718</v>
      </c>
      <c r="W58" s="222">
        <f>PL!X$477</f>
        <v>60777</v>
      </c>
      <c r="X58" s="222">
        <f>PL!Y$477</f>
        <v>72411</v>
      </c>
      <c r="Y58" s="222">
        <f>PL!Z$477</f>
        <v>58318</v>
      </c>
      <c r="Z58" s="222">
        <f>PL!AA$477</f>
        <v>58307</v>
      </c>
      <c r="AA58" s="222">
        <f>PL!AB$477</f>
        <v>53836</v>
      </c>
      <c r="AB58" s="222">
        <f>PL!AC$477</f>
        <v>58054</v>
      </c>
    </row>
    <row r="59" spans="1:28">
      <c r="A59" s="598">
        <v>1</v>
      </c>
      <c r="B59" s="598" t="s">
        <v>512</v>
      </c>
      <c r="C59" s="598" t="s">
        <v>636</v>
      </c>
      <c r="D59" s="598" t="s">
        <v>511</v>
      </c>
      <c r="E59" s="598" t="s">
        <v>39</v>
      </c>
      <c r="G59" s="244"/>
      <c r="H59" s="244"/>
      <c r="I59" s="245"/>
      <c r="J59" s="219" t="s">
        <v>39</v>
      </c>
      <c r="K59" s="233" t="s">
        <v>34</v>
      </c>
      <c r="L59" s="231" t="s">
        <v>32</v>
      </c>
      <c r="M59" s="468" t="s">
        <v>33</v>
      </c>
      <c r="N59" s="232" t="s">
        <v>5</v>
      </c>
      <c r="O59" s="216" t="str">
        <f>PL!$P$4</f>
        <v>BIN</v>
      </c>
      <c r="P59" s="216" t="str">
        <f>PL!$I$6</f>
        <v>K_INR</v>
      </c>
      <c r="Q59" s="222" t="str">
        <f>PL!Q$480</f>
        <v>S/GP (1)-1 Net Sales Indirect NH KMI Office A4</v>
      </c>
      <c r="R59" s="222">
        <f>PL!S$480</f>
        <v>0</v>
      </c>
      <c r="S59" s="222">
        <f>PL!T$480</f>
        <v>33</v>
      </c>
      <c r="T59" s="222">
        <f>PL!U$480</f>
        <v>89</v>
      </c>
      <c r="U59" s="222">
        <f>PL!V$480</f>
        <v>135.036</v>
      </c>
      <c r="V59" s="222">
        <f>PL!W$480</f>
        <v>436</v>
      </c>
      <c r="W59" s="222">
        <f>PL!X$480</f>
        <v>369</v>
      </c>
      <c r="X59" s="222">
        <f>PL!Y$480</f>
        <v>419</v>
      </c>
      <c r="Y59" s="222">
        <f>PL!Z$480</f>
        <v>100</v>
      </c>
      <c r="Z59" s="222">
        <f>PL!AA$480</f>
        <v>228</v>
      </c>
      <c r="AA59" s="222">
        <f>PL!AB$480</f>
        <v>0</v>
      </c>
      <c r="AB59" s="222">
        <f>PL!AC$480</f>
        <v>0</v>
      </c>
    </row>
    <row r="60" spans="1:28">
      <c r="A60" s="598">
        <v>1</v>
      </c>
      <c r="B60" s="598" t="s">
        <v>638</v>
      </c>
      <c r="C60" s="598" t="s">
        <v>636</v>
      </c>
      <c r="D60" s="598" t="s">
        <v>511</v>
      </c>
      <c r="E60" s="598" t="s">
        <v>39</v>
      </c>
      <c r="G60" s="244"/>
      <c r="H60" s="244"/>
      <c r="I60" s="245"/>
      <c r="J60" s="219" t="s">
        <v>39</v>
      </c>
      <c r="K60" s="233" t="s">
        <v>52</v>
      </c>
      <c r="L60" s="231" t="s">
        <v>36</v>
      </c>
      <c r="M60" s="468" t="s">
        <v>33</v>
      </c>
      <c r="N60" s="232" t="s">
        <v>5</v>
      </c>
      <c r="O60" s="216" t="str">
        <f>PL!$P$4</f>
        <v>BIN</v>
      </c>
      <c r="P60" s="216" t="str">
        <f>PL!$I$6</f>
        <v>K_INR</v>
      </c>
      <c r="Q60" s="222" t="str">
        <f>PL!Q$483</f>
        <v>S/GP (1)-1 Net Sales Indirect NH 3rd Party</v>
      </c>
      <c r="R60" s="222">
        <f>PL!S$483</f>
        <v>0</v>
      </c>
      <c r="S60" s="222">
        <f>PL!T$483</f>
        <v>0</v>
      </c>
      <c r="T60" s="222">
        <f>PL!U$483</f>
        <v>0</v>
      </c>
      <c r="U60" s="222">
        <f>PL!V$483</f>
        <v>0</v>
      </c>
      <c r="V60" s="222">
        <f>PL!W$483</f>
        <v>0</v>
      </c>
      <c r="W60" s="222">
        <f>PL!X$483</f>
        <v>0</v>
      </c>
      <c r="X60" s="222">
        <f>PL!Y$483</f>
        <v>0</v>
      </c>
      <c r="Y60" s="222">
        <f>PL!Z$483</f>
        <v>0</v>
      </c>
      <c r="Z60" s="222">
        <f>PL!AA$483</f>
        <v>0</v>
      </c>
      <c r="AA60" s="222">
        <f>PL!AB$483</f>
        <v>0</v>
      </c>
      <c r="AB60" s="222">
        <f>PL!AC$483</f>
        <v>0</v>
      </c>
    </row>
    <row r="61" spans="1:28">
      <c r="A61" s="598">
        <v>1</v>
      </c>
      <c r="B61" s="598" t="s">
        <v>512</v>
      </c>
      <c r="C61" s="598" t="s">
        <v>636</v>
      </c>
      <c r="D61" s="598" t="s">
        <v>639</v>
      </c>
      <c r="E61" s="598" t="s">
        <v>39</v>
      </c>
      <c r="G61" s="244"/>
      <c r="H61" s="244"/>
      <c r="I61" s="245"/>
      <c r="J61" s="219" t="s">
        <v>39</v>
      </c>
      <c r="K61" s="233" t="s">
        <v>28</v>
      </c>
      <c r="L61" s="231" t="s">
        <v>32</v>
      </c>
      <c r="M61" s="468" t="s">
        <v>11</v>
      </c>
      <c r="N61" s="232" t="s">
        <v>5</v>
      </c>
      <c r="O61" s="216" t="str">
        <f>PL!$P$4</f>
        <v>BIN</v>
      </c>
      <c r="P61" s="216" t="str">
        <f>PL!$I$6</f>
        <v>K_INR</v>
      </c>
      <c r="Q61" s="222" t="str">
        <f>PL!Q$484</f>
        <v>S/GP (1)-1 Net Sales Indirect Others</v>
      </c>
      <c r="R61" s="222">
        <f>PL!S$484</f>
        <v>0</v>
      </c>
      <c r="S61" s="222">
        <f>PL!T$484</f>
        <v>0</v>
      </c>
      <c r="T61" s="222">
        <f>PL!U$484</f>
        <v>0</v>
      </c>
      <c r="U61" s="222">
        <f>PL!V$484</f>
        <v>0</v>
      </c>
      <c r="V61" s="222">
        <f>PL!W$484</f>
        <v>0</v>
      </c>
      <c r="W61" s="222">
        <f>PL!X$484</f>
        <v>0</v>
      </c>
      <c r="X61" s="222">
        <f>PL!Y$484</f>
        <v>0</v>
      </c>
      <c r="Y61" s="222">
        <f>PL!Z$484</f>
        <v>0</v>
      </c>
      <c r="Z61" s="222">
        <f>PL!AA$484</f>
        <v>0</v>
      </c>
      <c r="AA61" s="222">
        <f>PL!AB$484</f>
        <v>0</v>
      </c>
      <c r="AB61" s="222">
        <f>PL!AC$484</f>
        <v>0</v>
      </c>
    </row>
    <row r="62" spans="1:28" s="682" customFormat="1">
      <c r="A62" s="682">
        <v>1</v>
      </c>
      <c r="C62" s="683"/>
      <c r="F62" s="684"/>
      <c r="G62" s="685"/>
      <c r="H62" s="685"/>
      <c r="I62" s="686"/>
      <c r="J62" s="687" t="s">
        <v>9</v>
      </c>
      <c r="K62" s="688" t="s">
        <v>52</v>
      </c>
      <c r="L62" s="689" t="s">
        <v>3</v>
      </c>
      <c r="M62" s="690" t="s">
        <v>4</v>
      </c>
      <c r="N62" s="691" t="s">
        <v>37</v>
      </c>
      <c r="O62" s="692" t="str">
        <f>PL!$P$4</f>
        <v>BIN</v>
      </c>
      <c r="P62" s="692" t="str">
        <f>PL!$I$6</f>
        <v>K_INR</v>
      </c>
      <c r="Q62" s="693"/>
      <c r="R62" s="693"/>
      <c r="S62" s="693"/>
      <c r="T62" s="693"/>
      <c r="U62" s="693"/>
      <c r="V62" s="693"/>
      <c r="W62" s="693"/>
      <c r="X62" s="693"/>
      <c r="Y62" s="693"/>
      <c r="Z62" s="693"/>
      <c r="AA62" s="693"/>
      <c r="AB62" s="693"/>
    </row>
    <row r="63" spans="1:28">
      <c r="A63" s="598">
        <v>1</v>
      </c>
      <c r="B63" s="598" t="s">
        <v>512</v>
      </c>
      <c r="C63" s="598" t="s">
        <v>636</v>
      </c>
      <c r="D63" s="598" t="s">
        <v>631</v>
      </c>
      <c r="E63" s="598" t="s">
        <v>9</v>
      </c>
      <c r="G63" s="244"/>
      <c r="H63" s="244"/>
      <c r="I63" s="245"/>
      <c r="J63" s="219" t="s">
        <v>9</v>
      </c>
      <c r="K63" s="233" t="s">
        <v>52</v>
      </c>
      <c r="L63" s="232" t="s">
        <v>3</v>
      </c>
      <c r="M63" s="468" t="s">
        <v>30</v>
      </c>
      <c r="N63" s="231" t="s">
        <v>37</v>
      </c>
      <c r="O63" s="216" t="str">
        <f>PL!$P$4</f>
        <v>BIN</v>
      </c>
      <c r="P63" s="216" t="str">
        <f>PL!$I$6</f>
        <v>K_INR</v>
      </c>
      <c r="Q63" s="222" t="str">
        <f>PL!Q$107</f>
        <v>PL (1)-1 BT Cons. Sales HW</v>
      </c>
      <c r="R63" s="222">
        <f>PL!S$107</f>
        <v>121660</v>
      </c>
      <c r="S63" s="222">
        <f>PL!T$107</f>
        <v>104326</v>
      </c>
      <c r="T63" s="222">
        <f>PL!U$107</f>
        <v>128638</v>
      </c>
      <c r="U63" s="222">
        <f>PL!V$107</f>
        <v>166445.136</v>
      </c>
      <c r="V63" s="222">
        <f>PL!W$107</f>
        <v>191924</v>
      </c>
      <c r="W63" s="222">
        <f>PL!X$107</f>
        <v>147071</v>
      </c>
      <c r="X63" s="222">
        <f>PL!Y$107</f>
        <v>149635</v>
      </c>
      <c r="Y63" s="222">
        <f>PL!Z$107</f>
        <v>242547</v>
      </c>
      <c r="Z63" s="222">
        <f>PL!AA$107</f>
        <v>156409</v>
      </c>
      <c r="AA63" s="222">
        <f>PL!AB$107</f>
        <v>179970.37031000003</v>
      </c>
      <c r="AB63" s="222">
        <f>PL!AC$107</f>
        <v>199726</v>
      </c>
    </row>
    <row r="64" spans="1:28">
      <c r="A64" s="598">
        <v>1</v>
      </c>
      <c r="B64" s="598" t="s">
        <v>630</v>
      </c>
      <c r="C64" s="598" t="s">
        <v>636</v>
      </c>
      <c r="D64" s="598" t="s">
        <v>511</v>
      </c>
      <c r="E64" s="598" t="s">
        <v>9</v>
      </c>
      <c r="G64" s="244"/>
      <c r="H64" s="244"/>
      <c r="I64" s="245"/>
      <c r="J64" s="219" t="s">
        <v>9</v>
      </c>
      <c r="K64" s="233" t="s">
        <v>52</v>
      </c>
      <c r="L64" s="232" t="s">
        <v>3</v>
      </c>
      <c r="M64" s="468" t="s">
        <v>33</v>
      </c>
      <c r="N64" s="231" t="s">
        <v>37</v>
      </c>
      <c r="O64" s="216" t="str">
        <f>PL!$P$4</f>
        <v>BIN</v>
      </c>
      <c r="P64" s="216" t="str">
        <f>PL!$I$6</f>
        <v>K_INR</v>
      </c>
      <c r="Q64" s="222" t="str">
        <f>PL!Q$108</f>
        <v>PL (1)-1 BT Cons. Sales NH</v>
      </c>
      <c r="R64" s="222">
        <f>PL!S$108</f>
        <v>61213</v>
      </c>
      <c r="S64" s="222">
        <f>PL!T$108</f>
        <v>92849</v>
      </c>
      <c r="T64" s="222">
        <f>PL!U$108</f>
        <v>80385</v>
      </c>
      <c r="U64" s="222">
        <f>PL!V$108</f>
        <v>94526.223939999996</v>
      </c>
      <c r="V64" s="222">
        <f>PL!W$108</f>
        <v>77309</v>
      </c>
      <c r="W64" s="222">
        <f>PL!X$108</f>
        <v>85806</v>
      </c>
      <c r="X64" s="222">
        <f>PL!Y$108</f>
        <v>102055</v>
      </c>
      <c r="Y64" s="222">
        <f>PL!Z$108</f>
        <v>84643</v>
      </c>
      <c r="Z64" s="222">
        <f>PL!AA$108</f>
        <v>84570</v>
      </c>
      <c r="AA64" s="222">
        <f>PL!AB$108</f>
        <v>81100</v>
      </c>
      <c r="AB64" s="222">
        <f>PL!AC$108</f>
        <v>79337</v>
      </c>
    </row>
    <row r="65" spans="1:28">
      <c r="A65" s="598">
        <v>1</v>
      </c>
      <c r="B65" s="598" t="s">
        <v>630</v>
      </c>
      <c r="C65" s="598" t="s">
        <v>637</v>
      </c>
      <c r="D65" s="598" t="s">
        <v>459</v>
      </c>
      <c r="E65" s="598" t="s">
        <v>9</v>
      </c>
      <c r="G65" s="244"/>
      <c r="H65" s="244"/>
      <c r="I65" s="245"/>
      <c r="J65" s="219" t="s">
        <v>9</v>
      </c>
      <c r="K65" s="233" t="s">
        <v>52</v>
      </c>
      <c r="L65" s="232" t="s">
        <v>3</v>
      </c>
      <c r="M65" s="468" t="s">
        <v>11</v>
      </c>
      <c r="N65" s="231" t="s">
        <v>37</v>
      </c>
      <c r="O65" s="216" t="str">
        <f>PL!$P$4</f>
        <v>BIN</v>
      </c>
      <c r="P65" s="216" t="str">
        <f>PL!$I$6</f>
        <v>K_INR</v>
      </c>
      <c r="Q65" s="222" t="str">
        <f>PL!Q$109</f>
        <v>PL (1)-1 BT Cons. Sales Others</v>
      </c>
      <c r="R65" s="222">
        <f>PL!S$109</f>
        <v>0</v>
      </c>
      <c r="S65" s="222">
        <f>PL!T$109</f>
        <v>0</v>
      </c>
      <c r="T65" s="222">
        <f>PL!U$109</f>
        <v>0</v>
      </c>
      <c r="U65" s="222">
        <f>PL!V$109</f>
        <v>0</v>
      </c>
      <c r="V65" s="222">
        <f>PL!W$109</f>
        <v>0</v>
      </c>
      <c r="W65" s="222">
        <f>PL!X$109</f>
        <v>0</v>
      </c>
      <c r="X65" s="222">
        <f>PL!Y$109</f>
        <v>0</v>
      </c>
      <c r="Y65" s="222">
        <f>PL!Z$109</f>
        <v>0</v>
      </c>
      <c r="Z65" s="222">
        <f>PL!AA$109</f>
        <v>0</v>
      </c>
      <c r="AA65" s="222">
        <f>PL!AB$109</f>
        <v>0</v>
      </c>
      <c r="AB65" s="222">
        <f>PL!AC$109</f>
        <v>0</v>
      </c>
    </row>
    <row r="66" spans="1:28" s="682" customFormat="1">
      <c r="A66" s="682">
        <v>1</v>
      </c>
      <c r="C66" s="683"/>
      <c r="F66" s="684"/>
      <c r="G66" s="685"/>
      <c r="H66" s="685"/>
      <c r="I66" s="686"/>
      <c r="J66" s="687" t="s">
        <v>31</v>
      </c>
      <c r="K66" s="688" t="s">
        <v>52</v>
      </c>
      <c r="L66" s="689" t="s">
        <v>29</v>
      </c>
      <c r="M66" s="690" t="s">
        <v>4</v>
      </c>
      <c r="N66" s="691" t="s">
        <v>5</v>
      </c>
      <c r="O66" s="692" t="str">
        <f>PL!$P$4</f>
        <v>BIN</v>
      </c>
      <c r="P66" s="692" t="str">
        <f>PL!$I$6</f>
        <v>K_INR</v>
      </c>
      <c r="Q66" s="693">
        <f>SUM(Q67:Q79)</f>
        <v>0</v>
      </c>
      <c r="R66" s="693">
        <f t="shared" ref="R66:AB66" si="1">SUM(R67:R79)</f>
        <v>22223</v>
      </c>
      <c r="S66" s="693">
        <f t="shared" si="1"/>
        <v>25667</v>
      </c>
      <c r="T66" s="693">
        <f t="shared" si="1"/>
        <v>23660</v>
      </c>
      <c r="U66" s="693">
        <f t="shared" si="1"/>
        <v>25829.068577887265</v>
      </c>
      <c r="V66" s="693">
        <f t="shared" si="1"/>
        <v>24939</v>
      </c>
      <c r="W66" s="693">
        <f t="shared" si="1"/>
        <v>23532</v>
      </c>
      <c r="X66" s="693">
        <f t="shared" si="1"/>
        <v>30035</v>
      </c>
      <c r="Y66" s="693">
        <f t="shared" si="1"/>
        <v>28563</v>
      </c>
      <c r="Z66" s="693">
        <f t="shared" si="1"/>
        <v>27710</v>
      </c>
      <c r="AA66" s="693">
        <f t="shared" si="1"/>
        <v>28589</v>
      </c>
      <c r="AB66" s="693">
        <f t="shared" si="1"/>
        <v>18930</v>
      </c>
    </row>
    <row r="67" spans="1:28">
      <c r="A67" s="598">
        <v>1</v>
      </c>
      <c r="B67" s="598" t="s">
        <v>512</v>
      </c>
      <c r="C67" s="598" t="s">
        <v>640</v>
      </c>
      <c r="D67" s="598" t="s">
        <v>298</v>
      </c>
      <c r="E67" s="598" t="s">
        <v>45</v>
      </c>
      <c r="G67" s="244"/>
      <c r="H67" s="244"/>
      <c r="I67" s="245"/>
      <c r="J67" s="220" t="s">
        <v>31</v>
      </c>
      <c r="K67" s="233" t="s">
        <v>28</v>
      </c>
      <c r="L67" s="231" t="s">
        <v>29</v>
      </c>
      <c r="M67" s="468" t="s">
        <v>30</v>
      </c>
      <c r="N67" s="232" t="s">
        <v>5</v>
      </c>
      <c r="O67" s="216" t="str">
        <f>PL!$P$4</f>
        <v>BIN</v>
      </c>
      <c r="P67" s="216" t="str">
        <f>PL!$I$6</f>
        <v>K_INR</v>
      </c>
      <c r="Q67" s="222" t="str">
        <f>PL!Q$489</f>
        <v>S/GP (1)-1 Gross Profit Direct HW KMI Office A3</v>
      </c>
      <c r="R67" s="222">
        <f>PL!S$489</f>
        <v>11158</v>
      </c>
      <c r="S67" s="222">
        <f>PL!T$489</f>
        <v>14444</v>
      </c>
      <c r="T67" s="222">
        <f>PL!U$489</f>
        <v>14325</v>
      </c>
      <c r="U67" s="222">
        <f>PL!V$489</f>
        <v>12966</v>
      </c>
      <c r="V67" s="222">
        <f>PL!W$489</f>
        <v>15201</v>
      </c>
      <c r="W67" s="222">
        <f>PL!X$489</f>
        <v>16082</v>
      </c>
      <c r="X67" s="222">
        <f>PL!Y$489</f>
        <v>14537</v>
      </c>
      <c r="Y67" s="222">
        <f>PL!Z$489</f>
        <v>16469</v>
      </c>
      <c r="Z67" s="222">
        <f>PL!AA$489</f>
        <v>15625</v>
      </c>
      <c r="AA67" s="222">
        <f>PL!AB$489</f>
        <v>17010</v>
      </c>
      <c r="AB67" s="222">
        <f>PL!AC$489</f>
        <v>8457</v>
      </c>
    </row>
    <row r="68" spans="1:28">
      <c r="A68" s="598">
        <v>1</v>
      </c>
      <c r="B68" s="598" t="s">
        <v>630</v>
      </c>
      <c r="C68" s="598" t="s">
        <v>431</v>
      </c>
      <c r="D68" s="598" t="s">
        <v>298</v>
      </c>
      <c r="E68" s="598" t="s">
        <v>45</v>
      </c>
      <c r="G68" s="244"/>
      <c r="H68" s="244"/>
      <c r="I68" s="245"/>
      <c r="J68" s="220" t="s">
        <v>31</v>
      </c>
      <c r="K68" s="233" t="s">
        <v>34</v>
      </c>
      <c r="L68" s="231" t="s">
        <v>29</v>
      </c>
      <c r="M68" s="468" t="s">
        <v>30</v>
      </c>
      <c r="N68" s="232" t="s">
        <v>5</v>
      </c>
      <c r="O68" s="216" t="str">
        <f>PL!$P$4</f>
        <v>BIN</v>
      </c>
      <c r="P68" s="216" t="str">
        <f>PL!$I$6</f>
        <v>K_INR</v>
      </c>
      <c r="Q68" s="222" t="str">
        <f>PL!Q$490</f>
        <v>S/GP (1)-1 Gross Profit Direct HW KMI Office A4</v>
      </c>
      <c r="R68" s="222">
        <f>PL!S$490</f>
        <v>468</v>
      </c>
      <c r="S68" s="222">
        <f>PL!T$490</f>
        <v>835</v>
      </c>
      <c r="T68" s="222">
        <f>PL!U$490</f>
        <v>583</v>
      </c>
      <c r="U68" s="222">
        <f>PL!V$490</f>
        <v>577.85455000000002</v>
      </c>
      <c r="V68" s="222">
        <f>PL!W$490</f>
        <v>678</v>
      </c>
      <c r="W68" s="222">
        <f>PL!X$490</f>
        <v>490</v>
      </c>
      <c r="X68" s="222">
        <f>PL!Y$490</f>
        <v>547</v>
      </c>
      <c r="Y68" s="222">
        <f>PL!Z$490</f>
        <v>855</v>
      </c>
      <c r="Z68" s="222">
        <f>PL!AA$490</f>
        <v>569</v>
      </c>
      <c r="AA68" s="222">
        <f>PL!AB$490</f>
        <v>660</v>
      </c>
      <c r="AB68" s="222">
        <f>PL!AC$490</f>
        <v>709</v>
      </c>
    </row>
    <row r="69" spans="1:28">
      <c r="A69" s="598">
        <v>1</v>
      </c>
      <c r="B69" s="598" t="s">
        <v>512</v>
      </c>
      <c r="C69" s="598" t="s">
        <v>431</v>
      </c>
      <c r="D69" s="598" t="s">
        <v>631</v>
      </c>
      <c r="E69" s="598" t="s">
        <v>45</v>
      </c>
      <c r="G69" s="244"/>
      <c r="H69" s="244"/>
      <c r="I69" s="245"/>
      <c r="J69" s="220" t="s">
        <v>31</v>
      </c>
      <c r="K69" s="233" t="s">
        <v>52</v>
      </c>
      <c r="L69" s="231" t="s">
        <v>35</v>
      </c>
      <c r="M69" s="468" t="s">
        <v>30</v>
      </c>
      <c r="N69" s="232" t="s">
        <v>5</v>
      </c>
      <c r="O69" s="216" t="str">
        <f>PL!$P$4</f>
        <v>BIN</v>
      </c>
      <c r="P69" s="216" t="str">
        <f>PL!$I$6</f>
        <v>K_INR</v>
      </c>
      <c r="Q69" s="222" t="str">
        <f>PL!Q$491</f>
        <v>S/GP (1)-1 Gross Profit Direct HW 3rd Party</v>
      </c>
      <c r="R69" s="222">
        <f>PL!S$491</f>
        <v>0</v>
      </c>
      <c r="S69" s="222">
        <f>PL!T$491</f>
        <v>0</v>
      </c>
      <c r="T69" s="222">
        <f>PL!U$491</f>
        <v>0</v>
      </c>
      <c r="U69" s="222">
        <f>PL!V$491</f>
        <v>0</v>
      </c>
      <c r="V69" s="222">
        <f>PL!W$491</f>
        <v>0</v>
      </c>
      <c r="W69" s="222">
        <f>PL!X$491</f>
        <v>0</v>
      </c>
      <c r="X69" s="222">
        <f>PL!Y$491</f>
        <v>0</v>
      </c>
      <c r="Y69" s="222">
        <f>PL!Z$491</f>
        <v>0</v>
      </c>
      <c r="Z69" s="222">
        <f>PL!AA$491</f>
        <v>0</v>
      </c>
      <c r="AA69" s="222">
        <f>PL!AB$491</f>
        <v>0</v>
      </c>
      <c r="AB69" s="222">
        <f>PL!AC$491</f>
        <v>0</v>
      </c>
    </row>
    <row r="70" spans="1:28">
      <c r="A70" s="598">
        <v>1</v>
      </c>
      <c r="B70" s="598" t="s">
        <v>512</v>
      </c>
      <c r="C70" s="598" t="s">
        <v>431</v>
      </c>
      <c r="D70" s="598" t="s">
        <v>641</v>
      </c>
      <c r="E70" s="598" t="s">
        <v>45</v>
      </c>
      <c r="G70" s="244"/>
      <c r="H70" s="244"/>
      <c r="I70" s="245"/>
      <c r="J70" s="220" t="s">
        <v>31</v>
      </c>
      <c r="K70" s="233" t="s">
        <v>28</v>
      </c>
      <c r="L70" s="231" t="s">
        <v>29</v>
      </c>
      <c r="M70" s="468" t="s">
        <v>33</v>
      </c>
      <c r="N70" s="232" t="s">
        <v>5</v>
      </c>
      <c r="O70" s="216" t="str">
        <f>PL!$P$4</f>
        <v>BIN</v>
      </c>
      <c r="P70" s="216" t="str">
        <f>PL!$I$6</f>
        <v>K_INR</v>
      </c>
      <c r="Q70" s="222" t="str">
        <f>PL!Q$494</f>
        <v>S/GP (1)-1 Gross Profit Direct NH KMI Office A3</v>
      </c>
      <c r="R70" s="222">
        <f>PL!S$494</f>
        <v>17989</v>
      </c>
      <c r="S70" s="222">
        <f>PL!T$494</f>
        <v>17485</v>
      </c>
      <c r="T70" s="222">
        <f>PL!U$494</f>
        <v>16179</v>
      </c>
      <c r="U70" s="222">
        <f>PL!V$494</f>
        <v>19468.321401411398</v>
      </c>
      <c r="V70" s="222">
        <f>PL!W$494</f>
        <v>16601</v>
      </c>
      <c r="W70" s="222">
        <f>PL!X$494</f>
        <v>18460</v>
      </c>
      <c r="X70" s="222">
        <f>PL!Y$494</f>
        <v>21938</v>
      </c>
      <c r="Y70" s="222">
        <f>PL!Z$494</f>
        <v>18375</v>
      </c>
      <c r="Z70" s="222">
        <f>PL!AA$494</f>
        <v>19424</v>
      </c>
      <c r="AA70" s="222">
        <f>PL!AB$494</f>
        <v>18616</v>
      </c>
      <c r="AB70" s="222">
        <f>PL!AC$494</f>
        <v>18294</v>
      </c>
    </row>
    <row r="71" spans="1:28">
      <c r="A71" s="598">
        <v>1</v>
      </c>
      <c r="B71" s="598" t="s">
        <v>630</v>
      </c>
      <c r="C71" s="598" t="s">
        <v>431</v>
      </c>
      <c r="D71" s="598" t="s">
        <v>634</v>
      </c>
      <c r="E71" s="598" t="s">
        <v>45</v>
      </c>
      <c r="G71" s="244"/>
      <c r="H71" s="244"/>
      <c r="I71" s="245"/>
      <c r="J71" s="220" t="s">
        <v>31</v>
      </c>
      <c r="K71" s="233" t="s">
        <v>34</v>
      </c>
      <c r="L71" s="231" t="s">
        <v>29</v>
      </c>
      <c r="M71" s="468" t="s">
        <v>33</v>
      </c>
      <c r="N71" s="232" t="s">
        <v>5</v>
      </c>
      <c r="O71" s="216" t="str">
        <f>PL!$P$4</f>
        <v>BIN</v>
      </c>
      <c r="P71" s="216" t="str">
        <f>PL!$I$6</f>
        <v>K_INR</v>
      </c>
      <c r="Q71" s="222" t="str">
        <f>PL!Q$497</f>
        <v>S/GP (1)-1 Gross Profit Direct NH KMI Office A4</v>
      </c>
      <c r="R71" s="222">
        <f>PL!S$497</f>
        <v>429</v>
      </c>
      <c r="S71" s="222">
        <f>PL!T$497</f>
        <v>836</v>
      </c>
      <c r="T71" s="222">
        <f>PL!U$497</f>
        <v>315</v>
      </c>
      <c r="U71" s="222">
        <f>PL!V$497</f>
        <v>323.48009999999999</v>
      </c>
      <c r="V71" s="222">
        <f>PL!W$497</f>
        <v>0</v>
      </c>
      <c r="W71" s="222">
        <f>PL!X$497</f>
        <v>188</v>
      </c>
      <c r="X71" s="222">
        <f>PL!Y$497</f>
        <v>358</v>
      </c>
      <c r="Y71" s="222">
        <f>PL!Z$497</f>
        <v>589</v>
      </c>
      <c r="Z71" s="222">
        <f>PL!AA$497</f>
        <v>0</v>
      </c>
      <c r="AA71" s="222">
        <f>PL!AB$497</f>
        <v>445</v>
      </c>
      <c r="AB71" s="222">
        <f>PL!AC$497</f>
        <v>310</v>
      </c>
    </row>
    <row r="72" spans="1:28">
      <c r="A72" s="598">
        <v>1</v>
      </c>
      <c r="B72" s="598" t="s">
        <v>512</v>
      </c>
      <c r="C72" s="598" t="s">
        <v>632</v>
      </c>
      <c r="D72" s="598" t="s">
        <v>634</v>
      </c>
      <c r="E72" s="598" t="s">
        <v>45</v>
      </c>
      <c r="G72" s="244"/>
      <c r="H72" s="244"/>
      <c r="I72" s="245"/>
      <c r="J72" s="220" t="s">
        <v>31</v>
      </c>
      <c r="K72" s="233" t="s">
        <v>52</v>
      </c>
      <c r="L72" s="231" t="s">
        <v>35</v>
      </c>
      <c r="M72" s="468" t="s">
        <v>33</v>
      </c>
      <c r="N72" s="232" t="s">
        <v>5</v>
      </c>
      <c r="O72" s="216" t="str">
        <f>PL!$P$4</f>
        <v>BIN</v>
      </c>
      <c r="P72" s="216" t="str">
        <f>PL!$I$6</f>
        <v>K_INR</v>
      </c>
      <c r="Q72" s="222" t="str">
        <f>PL!Q$500</f>
        <v>S/GP (1)-1 Gross Profit Direct NH 3rd Party</v>
      </c>
      <c r="R72" s="222">
        <f>PL!S$500</f>
        <v>0</v>
      </c>
      <c r="S72" s="222">
        <f>PL!T$500</f>
        <v>0</v>
      </c>
      <c r="T72" s="222">
        <f>PL!U$500</f>
        <v>0</v>
      </c>
      <c r="U72" s="222">
        <f>PL!V$500</f>
        <v>0</v>
      </c>
      <c r="V72" s="222">
        <f>PL!W$500</f>
        <v>0</v>
      </c>
      <c r="W72" s="222">
        <f>PL!X$500</f>
        <v>0</v>
      </c>
      <c r="X72" s="222">
        <f>PL!Y$500</f>
        <v>0</v>
      </c>
      <c r="Y72" s="222">
        <f>PL!Z$500</f>
        <v>0</v>
      </c>
      <c r="Z72" s="222">
        <f>PL!AA$500</f>
        <v>0</v>
      </c>
      <c r="AA72" s="222">
        <f>PL!AB$500</f>
        <v>0</v>
      </c>
      <c r="AB72" s="222">
        <f>PL!AC$500</f>
        <v>0</v>
      </c>
    </row>
    <row r="73" spans="1:28" s="475" customFormat="1">
      <c r="A73" s="598">
        <v>1</v>
      </c>
      <c r="B73" s="598" t="s">
        <v>512</v>
      </c>
      <c r="C73" s="598" t="s">
        <v>431</v>
      </c>
      <c r="D73" s="598" t="s">
        <v>634</v>
      </c>
      <c r="E73" s="598" t="s">
        <v>45</v>
      </c>
      <c r="G73" s="476"/>
      <c r="H73" s="476"/>
      <c r="I73" s="477"/>
      <c r="J73" s="474" t="s">
        <v>423</v>
      </c>
      <c r="K73" s="478" t="s">
        <v>52</v>
      </c>
      <c r="L73" s="479" t="s">
        <v>29</v>
      </c>
      <c r="M73" s="480" t="s">
        <v>33</v>
      </c>
      <c r="N73" s="481" t="s">
        <v>5</v>
      </c>
      <c r="O73" s="482" t="str">
        <f>PL!$P$4</f>
        <v>BIN</v>
      </c>
      <c r="P73" s="482" t="str">
        <f>PL!$I$6</f>
        <v>K_INR</v>
      </c>
      <c r="Q73" s="483" t="str">
        <f>PL!Q$502</f>
        <v>S/GP (1)-1 Gross Profit Direct NH &lt;Direct&gt;FSC(-) PC</v>
      </c>
      <c r="R73" s="483">
        <f>PL!S$502</f>
        <v>-2763</v>
      </c>
      <c r="S73" s="483">
        <f>PL!T$502</f>
        <v>-2495</v>
      </c>
      <c r="T73" s="483">
        <f>PL!U$502</f>
        <v>-2713</v>
      </c>
      <c r="U73" s="483">
        <f>PL!V$502</f>
        <v>-2375.5518235241302</v>
      </c>
      <c r="V73" s="483">
        <f>PL!W$502</f>
        <v>-2341</v>
      </c>
      <c r="W73" s="483">
        <f>PL!X$502</f>
        <v>-6039</v>
      </c>
      <c r="X73" s="483">
        <f>PL!Y$502</f>
        <v>-2188</v>
      </c>
      <c r="Y73" s="483">
        <f>PL!Z$502</f>
        <v>-2234</v>
      </c>
      <c r="Z73" s="483">
        <f>PL!AA$502</f>
        <v>-2231</v>
      </c>
      <c r="AA73" s="483">
        <f>PL!AB$502</f>
        <v>-2247</v>
      </c>
      <c r="AB73" s="483">
        <f>PL!AC$502</f>
        <v>-1875</v>
      </c>
    </row>
    <row r="74" spans="1:28" s="475" customFormat="1">
      <c r="A74" s="598">
        <v>1</v>
      </c>
      <c r="B74" s="598" t="s">
        <v>512</v>
      </c>
      <c r="C74" s="598" t="s">
        <v>636</v>
      </c>
      <c r="D74" s="598" t="s">
        <v>511</v>
      </c>
      <c r="E74" s="598" t="s">
        <v>45</v>
      </c>
      <c r="G74" s="476"/>
      <c r="H74" s="476"/>
      <c r="I74" s="477"/>
      <c r="J74" s="474" t="s">
        <v>424</v>
      </c>
      <c r="K74" s="478" t="s">
        <v>52</v>
      </c>
      <c r="L74" s="479" t="s">
        <v>29</v>
      </c>
      <c r="M74" s="480" t="s">
        <v>33</v>
      </c>
      <c r="N74" s="481" t="s">
        <v>5</v>
      </c>
      <c r="O74" s="482" t="str">
        <f>PL!$P$4</f>
        <v>BIN</v>
      </c>
      <c r="P74" s="482" t="str">
        <f>PL!$I$6</f>
        <v>K_INR</v>
      </c>
      <c r="Q74" s="483" t="str">
        <f>PL!Q$503</f>
        <v>S/GP (1)-1 Gross Profit Direct NH &lt;Direct&gt;FSC(-) TE</v>
      </c>
      <c r="R74" s="483">
        <f>PL!S$503</f>
        <v>-177</v>
      </c>
      <c r="S74" s="483">
        <f>PL!T$503</f>
        <v>-335</v>
      </c>
      <c r="T74" s="483">
        <f>PL!U$503</f>
        <v>-312</v>
      </c>
      <c r="U74" s="483">
        <f>PL!V$503</f>
        <v>-299.49299999999999</v>
      </c>
      <c r="V74" s="483">
        <f>PL!W$503</f>
        <v>-469</v>
      </c>
      <c r="W74" s="483">
        <f>PL!X$503</f>
        <v>-487</v>
      </c>
      <c r="X74" s="483">
        <f>PL!Y$503</f>
        <v>-256</v>
      </c>
      <c r="Y74" s="483">
        <f>PL!Z$503</f>
        <v>-349</v>
      </c>
      <c r="Z74" s="483">
        <f>PL!AA$503</f>
        <v>-389</v>
      </c>
      <c r="AA74" s="483">
        <f>PL!AB$503</f>
        <v>-512</v>
      </c>
      <c r="AB74" s="483">
        <f>PL!AC$503</f>
        <v>-910</v>
      </c>
    </row>
    <row r="75" spans="1:28" s="475" customFormat="1">
      <c r="A75" s="598">
        <v>1</v>
      </c>
      <c r="B75" s="598" t="s">
        <v>630</v>
      </c>
      <c r="C75" s="598" t="s">
        <v>431</v>
      </c>
      <c r="D75" s="598" t="s">
        <v>634</v>
      </c>
      <c r="E75" s="598" t="s">
        <v>45</v>
      </c>
      <c r="G75" s="476"/>
      <c r="H75" s="476"/>
      <c r="I75" s="477"/>
      <c r="J75" s="474" t="s">
        <v>425</v>
      </c>
      <c r="K75" s="478" t="s">
        <v>52</v>
      </c>
      <c r="L75" s="479" t="s">
        <v>29</v>
      </c>
      <c r="M75" s="480" t="s">
        <v>33</v>
      </c>
      <c r="N75" s="481" t="s">
        <v>5</v>
      </c>
      <c r="O75" s="482" t="str">
        <f>PL!$P$4</f>
        <v>BIN</v>
      </c>
      <c r="P75" s="482" t="str">
        <f>PL!$I$6</f>
        <v>K_INR</v>
      </c>
      <c r="Q75" s="483" t="str">
        <f>PL!Q$508</f>
        <v>S/GP (1)-1 Gross Profit Direct NH &lt;Direct&gt;D&amp;A (-)</v>
      </c>
      <c r="R75" s="483">
        <f>PL!S$508</f>
        <v>0</v>
      </c>
      <c r="S75" s="483">
        <f>PL!T$508</f>
        <v>0</v>
      </c>
      <c r="T75" s="483">
        <f>PL!U$508</f>
        <v>0</v>
      </c>
      <c r="U75" s="483">
        <f>PL!V$508</f>
        <v>0</v>
      </c>
      <c r="V75" s="483">
        <f>PL!W$508</f>
        <v>0</v>
      </c>
      <c r="W75" s="483">
        <f>PL!X$508</f>
        <v>0</v>
      </c>
      <c r="X75" s="483">
        <f>PL!Y$508</f>
        <v>0</v>
      </c>
      <c r="Y75" s="483">
        <f>PL!Z$508</f>
        <v>0</v>
      </c>
      <c r="Z75" s="483">
        <f>PL!AA$508</f>
        <v>0</v>
      </c>
      <c r="AA75" s="483">
        <f>PL!AB$508</f>
        <v>0</v>
      </c>
      <c r="AB75" s="483">
        <f>PL!AC$508</f>
        <v>0</v>
      </c>
    </row>
    <row r="76" spans="1:28" s="475" customFormat="1">
      <c r="A76" s="598">
        <v>1</v>
      </c>
      <c r="B76" s="598" t="s">
        <v>512</v>
      </c>
      <c r="C76" s="598" t="s">
        <v>637</v>
      </c>
      <c r="D76" s="598" t="s">
        <v>511</v>
      </c>
      <c r="E76" s="598" t="s">
        <v>45</v>
      </c>
      <c r="G76" s="476"/>
      <c r="H76" s="476"/>
      <c r="I76" s="477"/>
      <c r="J76" s="474" t="s">
        <v>426</v>
      </c>
      <c r="K76" s="478" t="s">
        <v>52</v>
      </c>
      <c r="L76" s="479" t="s">
        <v>29</v>
      </c>
      <c r="M76" s="480" t="s">
        <v>33</v>
      </c>
      <c r="N76" s="481" t="s">
        <v>5</v>
      </c>
      <c r="O76" s="482" t="str">
        <f>PL!$P$4</f>
        <v>BIN</v>
      </c>
      <c r="P76" s="482" t="str">
        <f>PL!$I$6</f>
        <v>K_INR</v>
      </c>
      <c r="Q76" s="483" t="str">
        <f>PL!Q$504</f>
        <v>S/GP (1)-1 Gross Profit Direct NH &lt;Direct&gt;FSC(-) OFC</v>
      </c>
      <c r="R76" s="483">
        <f>PL!S$504</f>
        <v>-4846</v>
      </c>
      <c r="S76" s="483">
        <f>PL!T$504</f>
        <v>-5084</v>
      </c>
      <c r="T76" s="483">
        <f>PL!U$504</f>
        <v>-4687</v>
      </c>
      <c r="U76" s="483">
        <f>PL!V$504</f>
        <v>-4799.5706499999997</v>
      </c>
      <c r="V76" s="483">
        <f>PL!W$504</f>
        <v>-4699</v>
      </c>
      <c r="W76" s="483">
        <f>PL!X$504</f>
        <v>-5130</v>
      </c>
      <c r="X76" s="483">
        <f>PL!Y$504</f>
        <v>-4875</v>
      </c>
      <c r="Y76" s="483">
        <f>PL!Z$504</f>
        <v>-5110</v>
      </c>
      <c r="Z76" s="483">
        <f>PL!AA$504</f>
        <v>-5256</v>
      </c>
      <c r="AA76" s="483">
        <f>PL!AB$504</f>
        <v>-5351</v>
      </c>
      <c r="AB76" s="483">
        <f>PL!AC$504</f>
        <v>-6013</v>
      </c>
    </row>
    <row r="77" spans="1:28" s="475" customFormat="1">
      <c r="A77" s="598">
        <v>1</v>
      </c>
      <c r="B77" s="598" t="s">
        <v>512</v>
      </c>
      <c r="C77" s="598" t="s">
        <v>431</v>
      </c>
      <c r="D77" s="598" t="s">
        <v>634</v>
      </c>
      <c r="E77" s="598" t="s">
        <v>45</v>
      </c>
      <c r="G77" s="476"/>
      <c r="H77" s="476"/>
      <c r="I77" s="477"/>
      <c r="J77" s="474" t="s">
        <v>427</v>
      </c>
      <c r="K77" s="478" t="s">
        <v>52</v>
      </c>
      <c r="L77" s="479" t="s">
        <v>29</v>
      </c>
      <c r="M77" s="480" t="s">
        <v>33</v>
      </c>
      <c r="N77" s="481" t="s">
        <v>5</v>
      </c>
      <c r="O77" s="482" t="str">
        <f>PL!$P$4</f>
        <v>BIN</v>
      </c>
      <c r="P77" s="482" t="str">
        <f>PL!$I$6</f>
        <v>K_INR</v>
      </c>
      <c r="Q77" s="483" t="str">
        <f>PL!Q$506</f>
        <v>S/GP (1)-1 Gross Profit Direct NH &lt;Direct&gt;SDC(-) PC</v>
      </c>
      <c r="R77" s="483">
        <f>PL!S$506</f>
        <v>-35</v>
      </c>
      <c r="S77" s="483">
        <f>PL!T$506</f>
        <v>-19</v>
      </c>
      <c r="T77" s="483">
        <f>PL!U$506</f>
        <v>-30</v>
      </c>
      <c r="U77" s="483">
        <f>PL!V$506</f>
        <v>-31.972000000000001</v>
      </c>
      <c r="V77" s="483">
        <f>PL!W$506</f>
        <v>-32</v>
      </c>
      <c r="W77" s="483">
        <f>PL!X$506</f>
        <v>-32</v>
      </c>
      <c r="X77" s="483">
        <f>PL!Y$506</f>
        <v>-26</v>
      </c>
      <c r="Y77" s="483">
        <f>PL!Z$506</f>
        <v>-32</v>
      </c>
      <c r="Z77" s="483">
        <f>PL!AA$506</f>
        <v>-32</v>
      </c>
      <c r="AA77" s="483">
        <f>PL!AB$506</f>
        <v>-32</v>
      </c>
      <c r="AB77" s="483">
        <f>PL!AC$506</f>
        <v>-42</v>
      </c>
    </row>
    <row r="78" spans="1:28" s="475" customFormat="1">
      <c r="A78" s="598">
        <v>1</v>
      </c>
      <c r="B78" s="598" t="s">
        <v>512</v>
      </c>
      <c r="C78" s="598" t="s">
        <v>636</v>
      </c>
      <c r="D78" s="598" t="s">
        <v>634</v>
      </c>
      <c r="E78" s="598" t="s">
        <v>45</v>
      </c>
      <c r="G78" s="476"/>
      <c r="H78" s="476"/>
      <c r="I78" s="477"/>
      <c r="J78" s="474" t="s">
        <v>428</v>
      </c>
      <c r="K78" s="478" t="s">
        <v>52</v>
      </c>
      <c r="L78" s="479" t="s">
        <v>29</v>
      </c>
      <c r="M78" s="480" t="s">
        <v>33</v>
      </c>
      <c r="N78" s="481" t="s">
        <v>5</v>
      </c>
      <c r="O78" s="482" t="str">
        <f>PL!$P$4</f>
        <v>BIN</v>
      </c>
      <c r="P78" s="482" t="str">
        <f>PL!$I$6</f>
        <v>K_INR</v>
      </c>
      <c r="Q78" s="483" t="str">
        <f>PL!Q$507</f>
        <v>S/GP (1)-1 Gross Profit Direct NH &lt;Direct&gt;SDC(-) OFC</v>
      </c>
      <c r="R78" s="483">
        <f>PL!S$507</f>
        <v>0</v>
      </c>
      <c r="S78" s="483">
        <f>PL!T$507</f>
        <v>0</v>
      </c>
      <c r="T78" s="483">
        <f>PL!U$507</f>
        <v>0</v>
      </c>
      <c r="U78" s="483">
        <f>PL!V$507</f>
        <v>0</v>
      </c>
      <c r="V78" s="483">
        <f>PL!W$507</f>
        <v>0</v>
      </c>
      <c r="W78" s="483">
        <f>PL!X$507</f>
        <v>0</v>
      </c>
      <c r="X78" s="483">
        <f>PL!Y$507</f>
        <v>0</v>
      </c>
      <c r="Y78" s="483">
        <f>PL!Z$507</f>
        <v>0</v>
      </c>
      <c r="Z78" s="483">
        <f>PL!AA$507</f>
        <v>0</v>
      </c>
      <c r="AA78" s="483">
        <f>PL!AB$507</f>
        <v>0</v>
      </c>
      <c r="AB78" s="483">
        <f>PL!AC$507</f>
        <v>0</v>
      </c>
    </row>
    <row r="79" spans="1:28">
      <c r="A79" s="598">
        <v>1</v>
      </c>
      <c r="B79" s="598" t="s">
        <v>630</v>
      </c>
      <c r="C79" s="598" t="s">
        <v>431</v>
      </c>
      <c r="D79" s="598" t="s">
        <v>639</v>
      </c>
      <c r="E79" s="598" t="s">
        <v>45</v>
      </c>
      <c r="G79" s="244"/>
      <c r="H79" s="244"/>
      <c r="I79" s="245"/>
      <c r="J79" s="220" t="s">
        <v>31</v>
      </c>
      <c r="K79" s="233" t="s">
        <v>28</v>
      </c>
      <c r="L79" s="231" t="s">
        <v>29</v>
      </c>
      <c r="M79" s="468" t="s">
        <v>11</v>
      </c>
      <c r="N79" s="232" t="s">
        <v>5</v>
      </c>
      <c r="O79" s="216" t="str">
        <f>PL!$P$4</f>
        <v>BIN</v>
      </c>
      <c r="P79" s="216" t="str">
        <f>PL!$I$6</f>
        <v>K_INR</v>
      </c>
      <c r="Q79" s="222" t="str">
        <f>PL!Q$509</f>
        <v>S/GP (1)-1 Gross Profit Direct Others</v>
      </c>
      <c r="R79" s="222">
        <f>PL!S$509</f>
        <v>0</v>
      </c>
      <c r="S79" s="222">
        <f>PL!T$509</f>
        <v>0</v>
      </c>
      <c r="T79" s="222">
        <f>PL!U$509</f>
        <v>0</v>
      </c>
      <c r="U79" s="222">
        <f>PL!V$509</f>
        <v>0</v>
      </c>
      <c r="V79" s="222">
        <f>PL!W$509</f>
        <v>0</v>
      </c>
      <c r="W79" s="222">
        <f>PL!X$509</f>
        <v>0</v>
      </c>
      <c r="X79" s="222">
        <f>PL!Y$509</f>
        <v>0</v>
      </c>
      <c r="Y79" s="222">
        <f>PL!Z$509</f>
        <v>0</v>
      </c>
      <c r="Z79" s="222">
        <f>PL!AA$509</f>
        <v>0</v>
      </c>
      <c r="AA79" s="222">
        <f>PL!AB$509</f>
        <v>0</v>
      </c>
      <c r="AB79" s="222">
        <f>PL!AC$509</f>
        <v>0</v>
      </c>
    </row>
    <row r="80" spans="1:28" s="682" customFormat="1">
      <c r="A80" s="682">
        <v>1</v>
      </c>
      <c r="C80" s="683"/>
      <c r="F80" s="684"/>
      <c r="G80" s="685"/>
      <c r="H80" s="685"/>
      <c r="I80" s="686"/>
      <c r="J80" s="687" t="s">
        <v>31</v>
      </c>
      <c r="K80" s="688" t="s">
        <v>52</v>
      </c>
      <c r="L80" s="689" t="s">
        <v>32</v>
      </c>
      <c r="M80" s="690" t="s">
        <v>4</v>
      </c>
      <c r="N80" s="691" t="s">
        <v>5</v>
      </c>
      <c r="O80" s="692" t="str">
        <f>PL!$P$4</f>
        <v>BIN</v>
      </c>
      <c r="P80" s="692" t="str">
        <f>PL!$I$6</f>
        <v>K_INR</v>
      </c>
      <c r="Q80" s="693">
        <f>SUM(Q81:Q93)</f>
        <v>0</v>
      </c>
      <c r="R80" s="693">
        <f t="shared" ref="R80:AB80" si="2">SUM(R81:R93)</f>
        <v>29496</v>
      </c>
      <c r="S80" s="693">
        <f t="shared" si="2"/>
        <v>42523</v>
      </c>
      <c r="T80" s="693">
        <f t="shared" si="2"/>
        <v>43120</v>
      </c>
      <c r="U80" s="693">
        <f t="shared" si="2"/>
        <v>55053.555672472212</v>
      </c>
      <c r="V80" s="693">
        <f t="shared" si="2"/>
        <v>60893</v>
      </c>
      <c r="W80" s="693">
        <f t="shared" si="2"/>
        <v>62834</v>
      </c>
      <c r="X80" s="693">
        <f t="shared" si="2"/>
        <v>53610</v>
      </c>
      <c r="Y80" s="693">
        <f t="shared" si="2"/>
        <v>67656</v>
      </c>
      <c r="Z80" s="693">
        <f t="shared" si="2"/>
        <v>54111</v>
      </c>
      <c r="AA80" s="693">
        <f t="shared" si="2"/>
        <v>37242</v>
      </c>
      <c r="AB80" s="693">
        <f t="shared" si="2"/>
        <v>55194</v>
      </c>
    </row>
    <row r="81" spans="1:28">
      <c r="A81" s="598">
        <v>1</v>
      </c>
      <c r="B81" s="598" t="s">
        <v>512</v>
      </c>
      <c r="C81" s="598" t="s">
        <v>431</v>
      </c>
      <c r="D81" s="598" t="s">
        <v>631</v>
      </c>
      <c r="E81" s="598" t="s">
        <v>45</v>
      </c>
      <c r="G81" s="244"/>
      <c r="H81" s="244"/>
      <c r="I81" s="245"/>
      <c r="J81" s="220" t="s">
        <v>31</v>
      </c>
      <c r="K81" s="233" t="s">
        <v>28</v>
      </c>
      <c r="L81" s="231" t="s">
        <v>32</v>
      </c>
      <c r="M81" s="468" t="s">
        <v>30</v>
      </c>
      <c r="N81" s="232" t="s">
        <v>5</v>
      </c>
      <c r="O81" s="216" t="str">
        <f>PL!$P$4</f>
        <v>BIN</v>
      </c>
      <c r="P81" s="216" t="str">
        <f>PL!$I$6</f>
        <v>K_INR</v>
      </c>
      <c r="Q81" s="222" t="str">
        <f>PL!Q$513</f>
        <v>S/GP (1)-1 Gross Profit Indirect HW KMI Office A3</v>
      </c>
      <c r="R81" s="222">
        <f>PL!S$513</f>
        <v>20718</v>
      </c>
      <c r="S81" s="222">
        <f>PL!T$513</f>
        <v>12824</v>
      </c>
      <c r="T81" s="222">
        <f>PL!U$513</f>
        <v>19281</v>
      </c>
      <c r="U81" s="222">
        <f>PL!V$513</f>
        <v>28157.382709815749</v>
      </c>
      <c r="V81" s="222">
        <f>PL!W$513</f>
        <v>38590</v>
      </c>
      <c r="W81" s="222">
        <f>PL!X$513</f>
        <v>37238</v>
      </c>
      <c r="X81" s="222">
        <f>PL!Y$513</f>
        <v>23884</v>
      </c>
      <c r="Y81" s="222">
        <f>PL!Z$513</f>
        <v>45828</v>
      </c>
      <c r="Z81" s="222">
        <f>PL!AA$513</f>
        <v>32045</v>
      </c>
      <c r="AA81" s="222">
        <f>PL!AB$513</f>
        <v>18705</v>
      </c>
      <c r="AB81" s="222">
        <f>PL!AC$513</f>
        <v>31974</v>
      </c>
    </row>
    <row r="82" spans="1:28">
      <c r="A82" s="598">
        <v>1</v>
      </c>
      <c r="B82" s="598" t="s">
        <v>638</v>
      </c>
      <c r="C82" s="598" t="s">
        <v>431</v>
      </c>
      <c r="D82" s="598" t="s">
        <v>631</v>
      </c>
      <c r="E82" s="598" t="s">
        <v>45</v>
      </c>
      <c r="G82" s="244"/>
      <c r="H82" s="244"/>
      <c r="I82" s="245"/>
      <c r="J82" s="220" t="s">
        <v>31</v>
      </c>
      <c r="K82" s="233" t="s">
        <v>34</v>
      </c>
      <c r="L82" s="231" t="s">
        <v>32</v>
      </c>
      <c r="M82" s="468" t="s">
        <v>30</v>
      </c>
      <c r="N82" s="232" t="s">
        <v>5</v>
      </c>
      <c r="O82" s="216" t="str">
        <f>PL!$P$4</f>
        <v>BIN</v>
      </c>
      <c r="P82" s="216" t="str">
        <f>PL!$I$6</f>
        <v>K_INR</v>
      </c>
      <c r="Q82" s="222" t="str">
        <f>PL!Q$514</f>
        <v>S/GP (1)-1 Gross Profit Indirect HW KMI Office A4</v>
      </c>
      <c r="R82" s="222">
        <f>PL!S$514</f>
        <v>0</v>
      </c>
      <c r="S82" s="222">
        <f>PL!T$514</f>
        <v>0</v>
      </c>
      <c r="T82" s="222">
        <f>PL!U$514</f>
        <v>0</v>
      </c>
      <c r="U82" s="222">
        <f>PL!V$514</f>
        <v>0</v>
      </c>
      <c r="V82" s="222">
        <f>PL!W$514</f>
        <v>0</v>
      </c>
      <c r="W82" s="222">
        <f>PL!X$514</f>
        <v>0</v>
      </c>
      <c r="X82" s="222">
        <f>PL!Y$514</f>
        <v>0</v>
      </c>
      <c r="Y82" s="222">
        <f>PL!Z$514</f>
        <v>0</v>
      </c>
      <c r="Z82" s="222">
        <f>PL!AA$514</f>
        <v>0</v>
      </c>
      <c r="AA82" s="222">
        <f>PL!AB$514</f>
        <v>0</v>
      </c>
      <c r="AB82" s="222">
        <f>PL!AC$514</f>
        <v>0</v>
      </c>
    </row>
    <row r="83" spans="1:28">
      <c r="A83" s="598">
        <v>1</v>
      </c>
      <c r="B83" s="598" t="s">
        <v>630</v>
      </c>
      <c r="C83" s="598" t="s">
        <v>636</v>
      </c>
      <c r="D83" s="598" t="s">
        <v>631</v>
      </c>
      <c r="E83" s="598" t="s">
        <v>45</v>
      </c>
      <c r="G83" s="244"/>
      <c r="H83" s="244"/>
      <c r="I83" s="245"/>
      <c r="J83" s="220" t="s">
        <v>31</v>
      </c>
      <c r="K83" s="233" t="s">
        <v>52</v>
      </c>
      <c r="L83" s="231" t="s">
        <v>36</v>
      </c>
      <c r="M83" s="468" t="s">
        <v>30</v>
      </c>
      <c r="N83" s="232" t="s">
        <v>5</v>
      </c>
      <c r="O83" s="216" t="str">
        <f>PL!$P$4</f>
        <v>BIN</v>
      </c>
      <c r="P83" s="216" t="str">
        <f>PL!$I$6</f>
        <v>K_INR</v>
      </c>
      <c r="Q83" s="222" t="str">
        <f>PL!Q$515</f>
        <v>S/GP (1)-1 Gross Profit Indirect HW 3rd Party</v>
      </c>
      <c r="R83" s="222">
        <f>PL!S$515</f>
        <v>0</v>
      </c>
      <c r="S83" s="222">
        <f>PL!T$515</f>
        <v>0</v>
      </c>
      <c r="T83" s="222">
        <f>PL!U$515</f>
        <v>0</v>
      </c>
      <c r="U83" s="222">
        <f>PL!V$515</f>
        <v>0</v>
      </c>
      <c r="V83" s="222">
        <f>PL!W$515</f>
        <v>0</v>
      </c>
      <c r="W83" s="222">
        <f>PL!X$515</f>
        <v>0</v>
      </c>
      <c r="X83" s="222">
        <f>PL!Y$515</f>
        <v>0</v>
      </c>
      <c r="Y83" s="222">
        <f>PL!Z$515</f>
        <v>0</v>
      </c>
      <c r="Z83" s="222">
        <f>PL!AA$515</f>
        <v>0</v>
      </c>
      <c r="AA83" s="222">
        <f>PL!AB$515</f>
        <v>0</v>
      </c>
      <c r="AB83" s="222">
        <f>PL!AC$515</f>
        <v>0</v>
      </c>
    </row>
    <row r="84" spans="1:28">
      <c r="A84" s="598">
        <v>1</v>
      </c>
      <c r="B84" s="598" t="s">
        <v>512</v>
      </c>
      <c r="C84" s="598" t="s">
        <v>431</v>
      </c>
      <c r="D84" s="598" t="s">
        <v>634</v>
      </c>
      <c r="E84" s="598" t="s">
        <v>45</v>
      </c>
      <c r="G84" s="244"/>
      <c r="H84" s="244"/>
      <c r="I84" s="245"/>
      <c r="J84" s="220" t="s">
        <v>31</v>
      </c>
      <c r="K84" s="233" t="s">
        <v>28</v>
      </c>
      <c r="L84" s="231" t="s">
        <v>32</v>
      </c>
      <c r="M84" s="468" t="s">
        <v>33</v>
      </c>
      <c r="N84" s="232" t="s">
        <v>5</v>
      </c>
      <c r="O84" s="216" t="str">
        <f>PL!$P$4</f>
        <v>BIN</v>
      </c>
      <c r="P84" s="216" t="str">
        <f>PL!$I$6</f>
        <v>K_INR</v>
      </c>
      <c r="Q84" s="222" t="str">
        <f>PL!Q$518</f>
        <v>S/GP (1)-1 Gross Profit Indirect NH KMI Office A3</v>
      </c>
      <c r="R84" s="222">
        <f>PL!S$518</f>
        <v>8746</v>
      </c>
      <c r="S84" s="222">
        <f>PL!T$518</f>
        <v>29683</v>
      </c>
      <c r="T84" s="222">
        <f>PL!U$518</f>
        <v>23765</v>
      </c>
      <c r="U84" s="222">
        <f>PL!V$518</f>
        <v>26791.81679265646</v>
      </c>
      <c r="V84" s="222">
        <f>PL!W$518</f>
        <v>22148</v>
      </c>
      <c r="W84" s="222">
        <f>PL!X$518</f>
        <v>25398</v>
      </c>
      <c r="X84" s="222">
        <f>PL!Y$518</f>
        <v>29557</v>
      </c>
      <c r="Y84" s="222">
        <f>PL!Z$518</f>
        <v>21745</v>
      </c>
      <c r="Z84" s="222">
        <f>PL!AA$518</f>
        <v>22066</v>
      </c>
      <c r="AA84" s="222">
        <f>PL!AB$518</f>
        <v>18537</v>
      </c>
      <c r="AB84" s="222">
        <f>PL!AC$518</f>
        <v>23220</v>
      </c>
    </row>
    <row r="85" spans="1:28">
      <c r="A85" s="598">
        <v>1</v>
      </c>
      <c r="B85" s="598" t="s">
        <v>630</v>
      </c>
      <c r="C85" s="598" t="s">
        <v>431</v>
      </c>
      <c r="D85" s="598" t="s">
        <v>634</v>
      </c>
      <c r="E85" s="598" t="s">
        <v>45</v>
      </c>
      <c r="G85" s="244"/>
      <c r="H85" s="244"/>
      <c r="I85" s="245"/>
      <c r="J85" s="220" t="s">
        <v>31</v>
      </c>
      <c r="K85" s="233" t="s">
        <v>34</v>
      </c>
      <c r="L85" s="231" t="s">
        <v>32</v>
      </c>
      <c r="M85" s="468" t="s">
        <v>33</v>
      </c>
      <c r="N85" s="232" t="s">
        <v>5</v>
      </c>
      <c r="O85" s="216" t="str">
        <f>PL!$P$4</f>
        <v>BIN</v>
      </c>
      <c r="P85" s="216" t="str">
        <f>PL!$I$6</f>
        <v>K_INR</v>
      </c>
      <c r="Q85" s="222" t="str">
        <f>PL!Q$521</f>
        <v>S/GP (1)-1 Gross Profit Indirect NH KMI Office A4</v>
      </c>
      <c r="R85" s="222">
        <f>PL!S$521</f>
        <v>32</v>
      </c>
      <c r="S85" s="222">
        <f>PL!T$521</f>
        <v>16</v>
      </c>
      <c r="T85" s="222">
        <f>PL!U$521</f>
        <v>74</v>
      </c>
      <c r="U85" s="222">
        <f>PL!V$521</f>
        <v>104.35617000000001</v>
      </c>
      <c r="V85" s="222">
        <f>PL!W$521</f>
        <v>155</v>
      </c>
      <c r="W85" s="222">
        <f>PL!X$521</f>
        <v>198</v>
      </c>
      <c r="X85" s="222">
        <f>PL!Y$521</f>
        <v>169</v>
      </c>
      <c r="Y85" s="222">
        <f>PL!Z$521</f>
        <v>83</v>
      </c>
      <c r="Z85" s="222">
        <f>PL!AA$521</f>
        <v>0</v>
      </c>
      <c r="AA85" s="222">
        <f>PL!AB$521</f>
        <v>0</v>
      </c>
      <c r="AB85" s="222">
        <f>PL!AC$521</f>
        <v>0</v>
      </c>
    </row>
    <row r="86" spans="1:28" s="475" customFormat="1">
      <c r="A86" s="598">
        <v>1</v>
      </c>
      <c r="B86" s="598" t="s">
        <v>638</v>
      </c>
      <c r="C86" s="598" t="s">
        <v>640</v>
      </c>
      <c r="D86" s="598" t="s">
        <v>634</v>
      </c>
      <c r="E86" s="598" t="s">
        <v>45</v>
      </c>
      <c r="G86" s="476"/>
      <c r="H86" s="476"/>
      <c r="I86" s="477"/>
      <c r="J86" s="474" t="s">
        <v>423</v>
      </c>
      <c r="K86" s="478" t="s">
        <v>52</v>
      </c>
      <c r="L86" s="479" t="s">
        <v>32</v>
      </c>
      <c r="M86" s="480" t="s">
        <v>33</v>
      </c>
      <c r="N86" s="481" t="s">
        <v>5</v>
      </c>
      <c r="O86" s="482" t="str">
        <f>PL!$P$4</f>
        <v>BIN</v>
      </c>
      <c r="P86" s="482" t="str">
        <f>PL!$I$6</f>
        <v>K_INR</v>
      </c>
      <c r="Q86" s="483" t="str">
        <f>PL!Q$526</f>
        <v>S/GP (1)-1 Gross Profit Indirect NH &lt;Direct&gt;FSC(-) PC</v>
      </c>
      <c r="R86" s="483">
        <f>PL!S$526</f>
        <v>0</v>
      </c>
      <c r="S86" s="483">
        <f>PL!T$526</f>
        <v>0</v>
      </c>
      <c r="T86" s="483">
        <f>PL!U$526</f>
        <v>0</v>
      </c>
      <c r="U86" s="483">
        <f>PL!V$526</f>
        <v>0</v>
      </c>
      <c r="V86" s="483">
        <f>PL!W$526</f>
        <v>0</v>
      </c>
      <c r="W86" s="483">
        <f>PL!X$526</f>
        <v>0</v>
      </c>
      <c r="X86" s="483">
        <f>PL!Y$526</f>
        <v>0</v>
      </c>
      <c r="Y86" s="483">
        <f>PL!Z$526</f>
        <v>0</v>
      </c>
      <c r="Z86" s="483">
        <f>PL!AA$526</f>
        <v>0</v>
      </c>
      <c r="AA86" s="483">
        <f>PL!AB$526</f>
        <v>0</v>
      </c>
      <c r="AB86" s="483">
        <f>PL!AC$526</f>
        <v>0</v>
      </c>
    </row>
    <row r="87" spans="1:28" s="475" customFormat="1">
      <c r="A87" s="598">
        <v>1</v>
      </c>
      <c r="B87" s="598" t="s">
        <v>630</v>
      </c>
      <c r="C87" s="598" t="s">
        <v>636</v>
      </c>
      <c r="D87" s="598" t="s">
        <v>511</v>
      </c>
      <c r="E87" s="598" t="s">
        <v>45</v>
      </c>
      <c r="G87" s="476"/>
      <c r="H87" s="476"/>
      <c r="I87" s="477"/>
      <c r="J87" s="474" t="s">
        <v>424</v>
      </c>
      <c r="K87" s="478" t="s">
        <v>52</v>
      </c>
      <c r="L87" s="479" t="s">
        <v>32</v>
      </c>
      <c r="M87" s="480" t="s">
        <v>33</v>
      </c>
      <c r="N87" s="481" t="s">
        <v>5</v>
      </c>
      <c r="O87" s="482" t="str">
        <f>PL!$P$4</f>
        <v>BIN</v>
      </c>
      <c r="P87" s="482" t="str">
        <f>PL!$I$6</f>
        <v>K_INR</v>
      </c>
      <c r="Q87" s="483" t="str">
        <f>PL!Q$527</f>
        <v>S/GP (1)-1 Gross Profit Indirect NH &lt;Direct&gt;FSC(-) TE</v>
      </c>
      <c r="R87" s="483">
        <f>PL!S$527</f>
        <v>0</v>
      </c>
      <c r="S87" s="483">
        <f>PL!T$527</f>
        <v>0</v>
      </c>
      <c r="T87" s="483">
        <f>PL!U$527</f>
        <v>0</v>
      </c>
      <c r="U87" s="483">
        <f>PL!V$527</f>
        <v>0</v>
      </c>
      <c r="V87" s="483">
        <f>PL!W$527</f>
        <v>0</v>
      </c>
      <c r="W87" s="483">
        <f>PL!X$527</f>
        <v>0</v>
      </c>
      <c r="X87" s="483">
        <f>PL!Y$527</f>
        <v>0</v>
      </c>
      <c r="Y87" s="483">
        <f>PL!Z$527</f>
        <v>0</v>
      </c>
      <c r="Z87" s="483">
        <f>PL!AA$527</f>
        <v>0</v>
      </c>
      <c r="AA87" s="483">
        <f>PL!AB$527</f>
        <v>0</v>
      </c>
      <c r="AB87" s="483">
        <f>PL!AC$527</f>
        <v>0</v>
      </c>
    </row>
    <row r="88" spans="1:28" s="475" customFormat="1">
      <c r="A88" s="598">
        <v>1</v>
      </c>
      <c r="B88" s="598" t="s">
        <v>512</v>
      </c>
      <c r="C88" s="598" t="s">
        <v>636</v>
      </c>
      <c r="D88" s="598" t="s">
        <v>511</v>
      </c>
      <c r="E88" s="598" t="s">
        <v>45</v>
      </c>
      <c r="G88" s="476"/>
      <c r="H88" s="476"/>
      <c r="I88" s="477"/>
      <c r="J88" s="474" t="s">
        <v>425</v>
      </c>
      <c r="K88" s="478" t="s">
        <v>52</v>
      </c>
      <c r="L88" s="479" t="s">
        <v>32</v>
      </c>
      <c r="M88" s="480" t="s">
        <v>33</v>
      </c>
      <c r="N88" s="481" t="s">
        <v>5</v>
      </c>
      <c r="O88" s="482" t="str">
        <f>PL!$P$4</f>
        <v>BIN</v>
      </c>
      <c r="P88" s="482" t="str">
        <f>PL!$I$6</f>
        <v>K_INR</v>
      </c>
      <c r="Q88" s="483" t="str">
        <f>PL!Q$532</f>
        <v>S/GP (1)-1 Gross Profit Indirect NH &lt;Direct&gt;D&amp;A (-)</v>
      </c>
      <c r="R88" s="483">
        <f>PL!S$532</f>
        <v>0</v>
      </c>
      <c r="S88" s="483">
        <f>PL!T$532</f>
        <v>0</v>
      </c>
      <c r="T88" s="483">
        <f>PL!U$532</f>
        <v>0</v>
      </c>
      <c r="U88" s="483">
        <f>PL!V$532</f>
        <v>0</v>
      </c>
      <c r="V88" s="483">
        <f>PL!W$532</f>
        <v>0</v>
      </c>
      <c r="W88" s="483">
        <f>PL!X$532</f>
        <v>0</v>
      </c>
      <c r="X88" s="483">
        <f>PL!Y$532</f>
        <v>0</v>
      </c>
      <c r="Y88" s="483">
        <f>PL!Z$532</f>
        <v>0</v>
      </c>
      <c r="Z88" s="483">
        <f>PL!AA$532</f>
        <v>0</v>
      </c>
      <c r="AA88" s="483">
        <f>PL!AB$532</f>
        <v>0</v>
      </c>
      <c r="AB88" s="483">
        <f>PL!AC$532</f>
        <v>0</v>
      </c>
    </row>
    <row r="89" spans="1:28" s="475" customFormat="1">
      <c r="A89" s="598">
        <v>1</v>
      </c>
      <c r="B89" s="598" t="s">
        <v>630</v>
      </c>
      <c r="C89" s="598" t="s">
        <v>636</v>
      </c>
      <c r="D89" s="598" t="s">
        <v>511</v>
      </c>
      <c r="E89" s="598" t="s">
        <v>45</v>
      </c>
      <c r="G89" s="476"/>
      <c r="H89" s="476"/>
      <c r="I89" s="477"/>
      <c r="J89" s="474" t="s">
        <v>426</v>
      </c>
      <c r="K89" s="478" t="s">
        <v>52</v>
      </c>
      <c r="L89" s="479" t="s">
        <v>32</v>
      </c>
      <c r="M89" s="480" t="s">
        <v>33</v>
      </c>
      <c r="N89" s="481" t="s">
        <v>5</v>
      </c>
      <c r="O89" s="482" t="str">
        <f>PL!$P$4</f>
        <v>BIN</v>
      </c>
      <c r="P89" s="482" t="str">
        <f>PL!$I$6</f>
        <v>K_INR</v>
      </c>
      <c r="Q89" s="483" t="str">
        <f>PL!Q$528</f>
        <v>S/GP (1)-1 Gross Profit Indirect NH &lt;Direct&gt;FSC(-) OFC</v>
      </c>
      <c r="R89" s="483">
        <f>PL!S$528</f>
        <v>0</v>
      </c>
      <c r="S89" s="483">
        <f>PL!T$528</f>
        <v>0</v>
      </c>
      <c r="T89" s="483">
        <f>PL!U$528</f>
        <v>0</v>
      </c>
      <c r="U89" s="483">
        <f>PL!V$528</f>
        <v>0</v>
      </c>
      <c r="V89" s="483">
        <f>PL!W$528</f>
        <v>0</v>
      </c>
      <c r="W89" s="483">
        <f>PL!X$528</f>
        <v>0</v>
      </c>
      <c r="X89" s="483">
        <f>PL!Y$528</f>
        <v>0</v>
      </c>
      <c r="Y89" s="483">
        <f>PL!Z$528</f>
        <v>0</v>
      </c>
      <c r="Z89" s="483">
        <f>PL!AA$528</f>
        <v>0</v>
      </c>
      <c r="AA89" s="483">
        <f>PL!AB$528</f>
        <v>0</v>
      </c>
      <c r="AB89" s="483">
        <f>PL!AC$528</f>
        <v>0</v>
      </c>
    </row>
    <row r="90" spans="1:28" s="475" customFormat="1">
      <c r="A90" s="598">
        <v>1</v>
      </c>
      <c r="B90" s="598" t="s">
        <v>630</v>
      </c>
      <c r="C90" s="598" t="s">
        <v>636</v>
      </c>
      <c r="D90" s="598" t="s">
        <v>511</v>
      </c>
      <c r="E90" s="598" t="s">
        <v>45</v>
      </c>
      <c r="G90" s="476"/>
      <c r="H90" s="476"/>
      <c r="I90" s="477"/>
      <c r="J90" s="474" t="s">
        <v>427</v>
      </c>
      <c r="K90" s="478" t="s">
        <v>52</v>
      </c>
      <c r="L90" s="479" t="s">
        <v>32</v>
      </c>
      <c r="M90" s="480" t="s">
        <v>33</v>
      </c>
      <c r="N90" s="481" t="s">
        <v>5</v>
      </c>
      <c r="O90" s="482" t="str">
        <f>PL!$P$4</f>
        <v>BIN</v>
      </c>
      <c r="P90" s="482" t="str">
        <f>PL!$I$6</f>
        <v>K_INR</v>
      </c>
      <c r="Q90" s="483" t="str">
        <f>PL!Q$530</f>
        <v>S/GP (1)-1 Gross Profit Indirect NH &lt;Direct&gt;SDC(-) PC</v>
      </c>
      <c r="R90" s="483">
        <f>PL!S$530</f>
        <v>0</v>
      </c>
      <c r="S90" s="483">
        <f>PL!T$530</f>
        <v>0</v>
      </c>
      <c r="T90" s="483">
        <f>PL!U$530</f>
        <v>0</v>
      </c>
      <c r="U90" s="483">
        <f>PL!V$530</f>
        <v>0</v>
      </c>
      <c r="V90" s="483">
        <f>PL!W$530</f>
        <v>0</v>
      </c>
      <c r="W90" s="483">
        <f>PL!X$530</f>
        <v>0</v>
      </c>
      <c r="X90" s="483">
        <f>PL!Y$530</f>
        <v>0</v>
      </c>
      <c r="Y90" s="483">
        <f>PL!Z$530</f>
        <v>0</v>
      </c>
      <c r="Z90" s="483">
        <f>PL!AA$530</f>
        <v>0</v>
      </c>
      <c r="AA90" s="483">
        <f>PL!AB$530</f>
        <v>0</v>
      </c>
      <c r="AB90" s="483">
        <f>PL!AC$530</f>
        <v>0</v>
      </c>
    </row>
    <row r="91" spans="1:28" s="475" customFormat="1">
      <c r="A91" s="598">
        <v>1</v>
      </c>
      <c r="B91" s="598" t="s">
        <v>630</v>
      </c>
      <c r="C91" s="598" t="s">
        <v>431</v>
      </c>
      <c r="D91" s="598" t="s">
        <v>634</v>
      </c>
      <c r="E91" s="598" t="s">
        <v>45</v>
      </c>
      <c r="G91" s="476"/>
      <c r="H91" s="476"/>
      <c r="I91" s="477"/>
      <c r="J91" s="474" t="s">
        <v>428</v>
      </c>
      <c r="K91" s="478" t="s">
        <v>52</v>
      </c>
      <c r="L91" s="479" t="s">
        <v>32</v>
      </c>
      <c r="M91" s="480" t="s">
        <v>33</v>
      </c>
      <c r="N91" s="481" t="s">
        <v>5</v>
      </c>
      <c r="O91" s="482" t="str">
        <f>PL!$P$4</f>
        <v>BIN</v>
      </c>
      <c r="P91" s="482" t="str">
        <f>PL!$I$6</f>
        <v>K_INR</v>
      </c>
      <c r="Q91" s="483" t="str">
        <f>PL!Q$531</f>
        <v>S/GP (1)-1 Gross Profit Indirect NH &lt;Direct&gt;SDC(-) OFC</v>
      </c>
      <c r="R91" s="483">
        <f>PL!S$531</f>
        <v>0</v>
      </c>
      <c r="S91" s="483">
        <f>PL!T$531</f>
        <v>0</v>
      </c>
      <c r="T91" s="483">
        <f>PL!U$531</f>
        <v>0</v>
      </c>
      <c r="U91" s="483">
        <f>PL!V$531</f>
        <v>0</v>
      </c>
      <c r="V91" s="483">
        <f>PL!W$531</f>
        <v>0</v>
      </c>
      <c r="W91" s="483">
        <f>PL!X$531</f>
        <v>0</v>
      </c>
      <c r="X91" s="483">
        <f>PL!Y$531</f>
        <v>0</v>
      </c>
      <c r="Y91" s="483">
        <f>PL!Z$531</f>
        <v>0</v>
      </c>
      <c r="Z91" s="483">
        <f>PL!AA$531</f>
        <v>0</v>
      </c>
      <c r="AA91" s="483">
        <f>PL!AB$531</f>
        <v>0</v>
      </c>
      <c r="AB91" s="483">
        <f>PL!AC$531</f>
        <v>0</v>
      </c>
    </row>
    <row r="92" spans="1:28">
      <c r="A92" s="598">
        <v>1</v>
      </c>
      <c r="B92" s="598" t="s">
        <v>630</v>
      </c>
      <c r="C92" s="598" t="s">
        <v>636</v>
      </c>
      <c r="D92" s="598" t="s">
        <v>511</v>
      </c>
      <c r="E92" s="598" t="s">
        <v>45</v>
      </c>
      <c r="G92" s="244"/>
      <c r="H92" s="244"/>
      <c r="I92" s="245"/>
      <c r="J92" s="220" t="s">
        <v>31</v>
      </c>
      <c r="K92" s="233" t="s">
        <v>52</v>
      </c>
      <c r="L92" s="231" t="s">
        <v>36</v>
      </c>
      <c r="M92" s="468" t="s">
        <v>33</v>
      </c>
      <c r="N92" s="232" t="s">
        <v>5</v>
      </c>
      <c r="O92" s="216" t="str">
        <f>PL!$P$4</f>
        <v>BIN</v>
      </c>
      <c r="P92" s="216" t="str">
        <f>PL!$I$6</f>
        <v>K_INR</v>
      </c>
      <c r="Q92" s="222" t="str">
        <f>PL!Q$524</f>
        <v>S/GP (1)-1 Gross Profit Indirect NH 3rd Party</v>
      </c>
      <c r="R92" s="222">
        <f>PL!S$524</f>
        <v>0</v>
      </c>
      <c r="S92" s="222">
        <f>PL!T$524</f>
        <v>0</v>
      </c>
      <c r="T92" s="222">
        <f>PL!U$524</f>
        <v>0</v>
      </c>
      <c r="U92" s="222">
        <f>PL!V$524</f>
        <v>0</v>
      </c>
      <c r="V92" s="222">
        <f>PL!W$524</f>
        <v>0</v>
      </c>
      <c r="W92" s="222">
        <f>PL!X$524</f>
        <v>0</v>
      </c>
      <c r="X92" s="222">
        <f>PL!Y$524</f>
        <v>0</v>
      </c>
      <c r="Y92" s="222">
        <f>PL!Z$524</f>
        <v>0</v>
      </c>
      <c r="Z92" s="222">
        <f>PL!AA$524</f>
        <v>0</v>
      </c>
      <c r="AA92" s="222">
        <f>PL!AB$524</f>
        <v>0</v>
      </c>
      <c r="AB92" s="222">
        <f>PL!AC$524</f>
        <v>0</v>
      </c>
    </row>
    <row r="93" spans="1:28">
      <c r="A93" s="598">
        <v>1</v>
      </c>
      <c r="B93" s="598" t="s">
        <v>630</v>
      </c>
      <c r="C93" s="598" t="s">
        <v>636</v>
      </c>
      <c r="D93" s="598" t="s">
        <v>642</v>
      </c>
      <c r="E93" s="598" t="s">
        <v>45</v>
      </c>
      <c r="G93" s="244"/>
      <c r="H93" s="244"/>
      <c r="I93" s="245"/>
      <c r="J93" s="220" t="s">
        <v>31</v>
      </c>
      <c r="K93" s="233" t="s">
        <v>28</v>
      </c>
      <c r="L93" s="231" t="s">
        <v>32</v>
      </c>
      <c r="M93" s="468" t="s">
        <v>11</v>
      </c>
      <c r="N93" s="232" t="s">
        <v>5</v>
      </c>
      <c r="O93" s="216" t="str">
        <f>PL!$P$4</f>
        <v>BIN</v>
      </c>
      <c r="P93" s="216" t="str">
        <f>PL!$I$6</f>
        <v>K_INR</v>
      </c>
      <c r="Q93" s="222" t="str">
        <f>PL!Q$533</f>
        <v>S/GP (1)-1 Gross Profit Indirect Others</v>
      </c>
      <c r="R93" s="222">
        <f>PL!S$533</f>
        <v>0</v>
      </c>
      <c r="S93" s="222">
        <f>PL!T$533</f>
        <v>0</v>
      </c>
      <c r="T93" s="222">
        <f>PL!U$533</f>
        <v>0</v>
      </c>
      <c r="U93" s="222">
        <f>PL!V$533</f>
        <v>0</v>
      </c>
      <c r="V93" s="222">
        <f>PL!W$533</f>
        <v>0</v>
      </c>
      <c r="W93" s="222">
        <f>PL!X$533</f>
        <v>0</v>
      </c>
      <c r="X93" s="222">
        <f>PL!Y$533</f>
        <v>0</v>
      </c>
      <c r="Y93" s="222">
        <f>PL!Z$533</f>
        <v>0</v>
      </c>
      <c r="Z93" s="222">
        <f>PL!AA$533</f>
        <v>0</v>
      </c>
      <c r="AA93" s="222">
        <f>PL!AB$533</f>
        <v>0</v>
      </c>
      <c r="AB93" s="222">
        <f>PL!AC$533</f>
        <v>0</v>
      </c>
    </row>
    <row r="94" spans="1:28" s="682" customFormat="1">
      <c r="A94" s="682">
        <v>1</v>
      </c>
      <c r="B94" s="683"/>
      <c r="C94" s="683"/>
      <c r="D94" s="683"/>
      <c r="F94" s="684"/>
      <c r="G94" s="697"/>
      <c r="H94" s="697"/>
      <c r="I94" s="698"/>
      <c r="J94" s="699" t="s">
        <v>44</v>
      </c>
      <c r="K94" s="688" t="s">
        <v>52</v>
      </c>
      <c r="L94" s="700" t="s">
        <v>3</v>
      </c>
      <c r="M94" s="701" t="s">
        <v>4</v>
      </c>
      <c r="N94" s="700" t="s">
        <v>5</v>
      </c>
      <c r="O94" s="692" t="str">
        <f>PL!$P$4</f>
        <v>BIN</v>
      </c>
      <c r="P94" s="692" t="str">
        <f>PL!$I$6</f>
        <v>K_INR</v>
      </c>
      <c r="Q94" s="693">
        <f>SUM(Q95:Q97)</f>
        <v>0</v>
      </c>
      <c r="R94" s="693">
        <f t="shared" ref="R94:AB94" si="3">SUM(R95:R97)</f>
        <v>51065.781749495058</v>
      </c>
      <c r="S94" s="693">
        <f t="shared" si="3"/>
        <v>57825.093540299524</v>
      </c>
      <c r="T94" s="693">
        <f t="shared" si="3"/>
        <v>54730.75411129056</v>
      </c>
      <c r="U94" s="693">
        <f t="shared" si="3"/>
        <v>61366.723091524458</v>
      </c>
      <c r="V94" s="693">
        <f t="shared" si="3"/>
        <v>54133.565804311962</v>
      </c>
      <c r="W94" s="693">
        <f t="shared" si="3"/>
        <v>70453.49449066988</v>
      </c>
      <c r="X94" s="693">
        <f t="shared" si="3"/>
        <v>55028.165540691596</v>
      </c>
      <c r="Y94" s="693">
        <f t="shared" si="3"/>
        <v>78120.228639599794</v>
      </c>
      <c r="Z94" s="693">
        <f t="shared" si="3"/>
        <v>72517.604514694103</v>
      </c>
      <c r="AA94" s="693">
        <f t="shared" si="3"/>
        <v>62177.614876062988</v>
      </c>
      <c r="AB94" s="693">
        <f t="shared" si="3"/>
        <v>75419.044609848177</v>
      </c>
    </row>
    <row r="95" spans="1:28">
      <c r="A95" s="598">
        <v>1</v>
      </c>
      <c r="B95" s="598" t="s">
        <v>630</v>
      </c>
      <c r="C95" s="598" t="s">
        <v>636</v>
      </c>
      <c r="D95" s="598" t="s">
        <v>620</v>
      </c>
      <c r="E95" s="598" t="s">
        <v>502</v>
      </c>
      <c r="G95" s="244"/>
      <c r="H95" s="244"/>
      <c r="I95" s="245"/>
      <c r="J95" s="224" t="s">
        <v>25</v>
      </c>
      <c r="K95" s="233" t="s">
        <v>52</v>
      </c>
      <c r="L95" s="232" t="s">
        <v>3</v>
      </c>
      <c r="M95" s="468" t="s">
        <v>4</v>
      </c>
      <c r="N95" s="232" t="s">
        <v>5</v>
      </c>
      <c r="O95" s="216" t="str">
        <f>PL!$P$4</f>
        <v>BIN</v>
      </c>
      <c r="P95" s="216" t="str">
        <f>PL!$I$6</f>
        <v>K_INR</v>
      </c>
      <c r="Q95" s="222" t="str">
        <f>PL!Q$132</f>
        <v>PL (1)-1 SGA Expenses Variable Expenses</v>
      </c>
      <c r="R95" s="222">
        <f>PL!S$132</f>
        <v>13981.431285831692</v>
      </c>
      <c r="S95" s="222">
        <f>PL!T$132</f>
        <v>15389.78850652805</v>
      </c>
      <c r="T95" s="222">
        <f>PL!U$132</f>
        <v>18363.865951527823</v>
      </c>
      <c r="U95" s="222">
        <f>PL!V$132</f>
        <v>19468.900872682909</v>
      </c>
      <c r="V95" s="222">
        <f>PL!W$132</f>
        <v>25127.29609466136</v>
      </c>
      <c r="W95" s="222">
        <f>PL!X$132</f>
        <v>12267.925652022048</v>
      </c>
      <c r="X95" s="222">
        <f>PL!Y$132</f>
        <v>12982.564082891164</v>
      </c>
      <c r="Y95" s="222">
        <f>PL!Z$132</f>
        <v>37345.695195401015</v>
      </c>
      <c r="Z95" s="222">
        <f>PL!AA$132</f>
        <v>25857.705419006998</v>
      </c>
      <c r="AA95" s="222">
        <f>PL!AB$132</f>
        <v>26028.869694732028</v>
      </c>
      <c r="AB95" s="222">
        <f>PL!AC$132</f>
        <v>17188.262359450138</v>
      </c>
    </row>
    <row r="96" spans="1:28">
      <c r="A96" s="598">
        <v>1</v>
      </c>
      <c r="B96" s="598" t="s">
        <v>630</v>
      </c>
      <c r="C96" s="598" t="s">
        <v>431</v>
      </c>
      <c r="D96" s="598" t="s">
        <v>620</v>
      </c>
      <c r="E96" s="598" t="s">
        <v>623</v>
      </c>
      <c r="G96" s="244"/>
      <c r="H96" s="244"/>
      <c r="I96" s="245"/>
      <c r="J96" s="224" t="s">
        <v>26</v>
      </c>
      <c r="K96" s="233" t="s">
        <v>52</v>
      </c>
      <c r="L96" s="232" t="s">
        <v>3</v>
      </c>
      <c r="M96" s="468" t="s">
        <v>4</v>
      </c>
      <c r="N96" s="232" t="s">
        <v>5</v>
      </c>
      <c r="O96" s="216" t="str">
        <f>PL!$P$4</f>
        <v>BIN</v>
      </c>
      <c r="P96" s="216" t="str">
        <f>PL!$I$6</f>
        <v>K_INR</v>
      </c>
      <c r="Q96" s="222" t="str">
        <f>PL!Q$133</f>
        <v>PL (1)-1 SGA Expenses Wages &amp; Salaries</v>
      </c>
      <c r="R96" s="222">
        <f>PL!S$133</f>
        <v>21567.8663966288</v>
      </c>
      <c r="S96" s="222">
        <f>PL!T$133</f>
        <v>22744.626969484001</v>
      </c>
      <c r="T96" s="222">
        <f>PL!U$133</f>
        <v>21566.008818655566</v>
      </c>
      <c r="U96" s="222">
        <f>PL!V$133</f>
        <v>22158.418176601943</v>
      </c>
      <c r="V96" s="222">
        <f>PL!W$133</f>
        <v>23162.478800583944</v>
      </c>
      <c r="W96" s="222">
        <f>PL!X$133</f>
        <v>30937.754196601556</v>
      </c>
      <c r="X96" s="222">
        <f>PL!Y$133</f>
        <v>24670.657007676753</v>
      </c>
      <c r="Y96" s="222">
        <f>PL!Z$133</f>
        <v>26662.93337931775</v>
      </c>
      <c r="Z96" s="222">
        <f>PL!AA$133</f>
        <v>24301.371068526183</v>
      </c>
      <c r="AA96" s="222">
        <f>PL!AB$133</f>
        <v>27010.163973104827</v>
      </c>
      <c r="AB96" s="222">
        <f>PL!AC$133</f>
        <v>22372.892605307599</v>
      </c>
    </row>
    <row r="97" spans="1:28">
      <c r="A97" s="598">
        <v>1</v>
      </c>
      <c r="B97" s="598" t="s">
        <v>630</v>
      </c>
      <c r="C97" s="598" t="s">
        <v>431</v>
      </c>
      <c r="D97" s="598" t="s">
        <v>505</v>
      </c>
      <c r="E97" s="598" t="s">
        <v>502</v>
      </c>
      <c r="G97" s="244"/>
      <c r="H97" s="244"/>
      <c r="I97" s="245"/>
      <c r="J97" s="224" t="s">
        <v>27</v>
      </c>
      <c r="K97" s="233" t="s">
        <v>52</v>
      </c>
      <c r="L97" s="232" t="s">
        <v>3</v>
      </c>
      <c r="M97" s="468" t="s">
        <v>4</v>
      </c>
      <c r="N97" s="232" t="s">
        <v>5</v>
      </c>
      <c r="O97" s="216" t="str">
        <f>PL!$P$4</f>
        <v>BIN</v>
      </c>
      <c r="P97" s="216" t="str">
        <f>PL!$I$6</f>
        <v>K_INR</v>
      </c>
      <c r="Q97" s="222" t="str">
        <f>PL!Q$134</f>
        <v>PL (1)-1 SGA Expenses Fixed Expenses</v>
      </c>
      <c r="R97" s="222">
        <f>PL!S$134</f>
        <v>15516.484067034562</v>
      </c>
      <c r="S97" s="222">
        <f>PL!T$134</f>
        <v>19690.678064287476</v>
      </c>
      <c r="T97" s="222">
        <f>PL!U$134</f>
        <v>14800.879341107169</v>
      </c>
      <c r="U97" s="222">
        <f>PL!V$134</f>
        <v>19739.40404223961</v>
      </c>
      <c r="V97" s="222">
        <f>PL!W$134</f>
        <v>5843.7909090666544</v>
      </c>
      <c r="W97" s="222">
        <f>PL!X$134</f>
        <v>27247.814642046273</v>
      </c>
      <c r="X97" s="222">
        <f>PL!Y$134</f>
        <v>17374.944450123679</v>
      </c>
      <c r="Y97" s="222">
        <f>PL!Z$134</f>
        <v>14111.600064881033</v>
      </c>
      <c r="Z97" s="222">
        <f>PL!AA$134</f>
        <v>22358.528027160923</v>
      </c>
      <c r="AA97" s="222">
        <f>PL!AB$134</f>
        <v>9138.5812082261364</v>
      </c>
      <c r="AB97" s="222">
        <f>PL!AC$134</f>
        <v>35857.88964509045</v>
      </c>
    </row>
    <row r="98" spans="1:28" s="682" customFormat="1">
      <c r="A98" s="682">
        <v>1</v>
      </c>
      <c r="B98" s="682" t="s">
        <v>512</v>
      </c>
      <c r="C98" s="683" t="s">
        <v>677</v>
      </c>
      <c r="D98" s="682" t="s">
        <v>696</v>
      </c>
      <c r="E98" s="682" t="s">
        <v>695</v>
      </c>
      <c r="F98" s="684"/>
      <c r="G98" s="685"/>
      <c r="H98" s="685"/>
      <c r="I98" s="686"/>
      <c r="J98" s="687" t="s">
        <v>46</v>
      </c>
      <c r="K98" s="688" t="s">
        <v>52</v>
      </c>
      <c r="L98" s="694" t="s">
        <v>3</v>
      </c>
      <c r="M98" s="690" t="s">
        <v>4</v>
      </c>
      <c r="N98" s="691" t="s">
        <v>5</v>
      </c>
      <c r="O98" s="692" t="str">
        <f>PL!$P$4</f>
        <v>BIN</v>
      </c>
      <c r="P98" s="692" t="str">
        <f>PL!$I$6</f>
        <v>K_INR</v>
      </c>
      <c r="Q98" s="693">
        <f>Q66+Q80-Q94</f>
        <v>0</v>
      </c>
      <c r="R98" s="693">
        <f t="shared" ref="R98:AB98" si="4">R66+R80-R94</f>
        <v>653.21825050494226</v>
      </c>
      <c r="S98" s="693">
        <f t="shared" si="4"/>
        <v>10364.906459700476</v>
      </c>
      <c r="T98" s="693">
        <f t="shared" si="4"/>
        <v>12049.24588870944</v>
      </c>
      <c r="U98" s="693">
        <f t="shared" si="4"/>
        <v>19515.901158835026</v>
      </c>
      <c r="V98" s="693">
        <f t="shared" si="4"/>
        <v>31698.434195688038</v>
      </c>
      <c r="W98" s="693">
        <f t="shared" si="4"/>
        <v>15912.50550933012</v>
      </c>
      <c r="X98" s="693">
        <f t="shared" si="4"/>
        <v>28616.834459308404</v>
      </c>
      <c r="Y98" s="693">
        <f t="shared" si="4"/>
        <v>18098.771360400206</v>
      </c>
      <c r="Z98" s="693">
        <f t="shared" si="4"/>
        <v>9303.3954853058967</v>
      </c>
      <c r="AA98" s="693">
        <f t="shared" si="4"/>
        <v>3653.3851239370124</v>
      </c>
      <c r="AB98" s="693">
        <f t="shared" si="4"/>
        <v>-1295.0446098481771</v>
      </c>
    </row>
    <row r="99" spans="1:28">
      <c r="A99" s="598">
        <v>1</v>
      </c>
      <c r="B99" s="598" t="s">
        <v>630</v>
      </c>
      <c r="C99" s="702" t="s">
        <v>636</v>
      </c>
      <c r="D99" s="702" t="s">
        <v>620</v>
      </c>
      <c r="E99" s="598" t="s">
        <v>1394</v>
      </c>
      <c r="G99" s="244"/>
      <c r="H99" s="244"/>
      <c r="I99" s="245"/>
      <c r="J99" s="220" t="s">
        <v>23</v>
      </c>
      <c r="K99" s="233" t="s">
        <v>52</v>
      </c>
      <c r="L99" s="232" t="s">
        <v>3</v>
      </c>
      <c r="M99" s="468" t="s">
        <v>4</v>
      </c>
      <c r="N99" s="232" t="s">
        <v>5</v>
      </c>
      <c r="O99" s="216" t="str">
        <f>PL!$P$4</f>
        <v>BIN</v>
      </c>
      <c r="P99" s="216" t="str">
        <f>PL!$I$6</f>
        <v>K_INR</v>
      </c>
      <c r="Q99" s="222" t="str">
        <f>PL!Q$137</f>
        <v>PL (1)-1 Other Income</v>
      </c>
      <c r="R99" s="222">
        <f>PL!S$137</f>
        <v>116</v>
      </c>
      <c r="S99" s="222">
        <f>PL!T$137</f>
        <v>6.4662739794967461</v>
      </c>
      <c r="T99" s="222">
        <f>PL!U$137</f>
        <v>73</v>
      </c>
      <c r="U99" s="222">
        <f>PL!V$137</f>
        <v>135.57005274727749</v>
      </c>
      <c r="V99" s="222">
        <f>PL!W$137</f>
        <v>6</v>
      </c>
      <c r="W99" s="222">
        <f>PL!X$137</f>
        <v>0</v>
      </c>
      <c r="X99" s="222">
        <f>PL!Y$137</f>
        <v>85</v>
      </c>
      <c r="Y99" s="222">
        <f>PL!Z$137</f>
        <v>28009.810918185489</v>
      </c>
      <c r="Z99" s="222">
        <f>PL!AA$137</f>
        <v>1629.8089606417275</v>
      </c>
      <c r="AA99" s="222">
        <f>PL!AB$137</f>
        <v>392.05327055497321</v>
      </c>
      <c r="AB99" s="222">
        <f>PL!AC$137</f>
        <v>10745</v>
      </c>
    </row>
    <row r="100" spans="1:28">
      <c r="A100" s="598">
        <v>1</v>
      </c>
      <c r="B100" s="598" t="s">
        <v>635</v>
      </c>
      <c r="C100" s="702" t="s">
        <v>636</v>
      </c>
      <c r="D100" s="702" t="s">
        <v>505</v>
      </c>
      <c r="E100" s="601" t="s">
        <v>192</v>
      </c>
      <c r="G100" s="244"/>
      <c r="H100" s="244"/>
      <c r="I100" s="245"/>
      <c r="J100" s="220" t="s">
        <v>24</v>
      </c>
      <c r="K100" s="233" t="s">
        <v>52</v>
      </c>
      <c r="L100" s="232" t="s">
        <v>3</v>
      </c>
      <c r="M100" s="468" t="s">
        <v>4</v>
      </c>
      <c r="N100" s="232" t="s">
        <v>5</v>
      </c>
      <c r="O100" s="216" t="str">
        <f>PL!$P$4</f>
        <v>BIN</v>
      </c>
      <c r="P100" s="216" t="str">
        <f>PL!$I$6</f>
        <v>K_INR</v>
      </c>
      <c r="Q100" s="222" t="str">
        <f>PL!Q$138</f>
        <v>PL (1)-1 Other Expenses</v>
      </c>
      <c r="R100" s="222">
        <f>PL!S$138</f>
        <v>0</v>
      </c>
      <c r="S100" s="222">
        <f>PL!T$138</f>
        <v>0</v>
      </c>
      <c r="T100" s="222">
        <f>PL!U$138</f>
        <v>0</v>
      </c>
      <c r="U100" s="222">
        <f>PL!V$138</f>
        <v>0</v>
      </c>
      <c r="V100" s="222">
        <f>PL!W$138</f>
        <v>0</v>
      </c>
      <c r="W100" s="222">
        <f>PL!X$138</f>
        <v>0</v>
      </c>
      <c r="X100" s="222">
        <f>PL!Y$138</f>
        <v>0</v>
      </c>
      <c r="Y100" s="222">
        <f>PL!Z$138</f>
        <v>0</v>
      </c>
      <c r="Z100" s="222">
        <f>PL!AA$138</f>
        <v>0</v>
      </c>
      <c r="AA100" s="222">
        <f>PL!AB$138</f>
        <v>0</v>
      </c>
      <c r="AB100" s="222">
        <f>PL!AC$138</f>
        <v>0</v>
      </c>
    </row>
    <row r="101" spans="1:28" s="682" customFormat="1">
      <c r="A101" s="682">
        <v>1</v>
      </c>
      <c r="B101" s="682" t="s">
        <v>512</v>
      </c>
      <c r="C101" s="1408" t="s">
        <v>677</v>
      </c>
      <c r="D101" s="1407" t="s">
        <v>696</v>
      </c>
      <c r="E101" s="682" t="s">
        <v>10</v>
      </c>
      <c r="F101" s="684"/>
      <c r="G101" s="685"/>
      <c r="H101" s="685"/>
      <c r="I101" s="686"/>
      <c r="J101" s="687" t="s">
        <v>10</v>
      </c>
      <c r="K101" s="688" t="s">
        <v>52</v>
      </c>
      <c r="L101" s="694" t="s">
        <v>3</v>
      </c>
      <c r="M101" s="690" t="s">
        <v>4</v>
      </c>
      <c r="N101" s="691" t="s">
        <v>5</v>
      </c>
      <c r="O101" s="692" t="str">
        <f>PL!$P$4</f>
        <v>BIN</v>
      </c>
      <c r="P101" s="692" t="str">
        <f>PL!$I$6</f>
        <v>K_INR</v>
      </c>
      <c r="Q101" s="693" t="e">
        <f>Q98+Q99-Q100</f>
        <v>#VALUE!</v>
      </c>
      <c r="R101" s="693">
        <f t="shared" ref="R101:AB101" si="5">R98+R99-R100</f>
        <v>769.21825050494226</v>
      </c>
      <c r="S101" s="693">
        <f t="shared" si="5"/>
        <v>10371.372733679973</v>
      </c>
      <c r="T101" s="693">
        <f t="shared" si="5"/>
        <v>12122.24588870944</v>
      </c>
      <c r="U101" s="693">
        <f t="shared" si="5"/>
        <v>19651.471211582302</v>
      </c>
      <c r="V101" s="693">
        <f t="shared" si="5"/>
        <v>31704.434195688038</v>
      </c>
      <c r="W101" s="693">
        <f t="shared" si="5"/>
        <v>15912.50550933012</v>
      </c>
      <c r="X101" s="693">
        <f t="shared" si="5"/>
        <v>28701.834459308404</v>
      </c>
      <c r="Y101" s="693">
        <f t="shared" si="5"/>
        <v>46108.582278585694</v>
      </c>
      <c r="Z101" s="693">
        <f t="shared" si="5"/>
        <v>10933.204445947624</v>
      </c>
      <c r="AA101" s="693">
        <f t="shared" si="5"/>
        <v>4045.4383944919855</v>
      </c>
      <c r="AB101" s="693">
        <f t="shared" si="5"/>
        <v>9449.9553901518229</v>
      </c>
    </row>
    <row r="102" spans="1:28">
      <c r="A102" s="598">
        <v>1</v>
      </c>
      <c r="C102" s="239"/>
      <c r="D102" s="239"/>
      <c r="G102" s="246"/>
      <c r="H102" s="246"/>
      <c r="I102" s="246"/>
      <c r="J102" s="469"/>
      <c r="K102" s="470"/>
      <c r="L102" s="471"/>
      <c r="M102" s="471"/>
      <c r="N102" s="471"/>
      <c r="O102" s="253"/>
      <c r="P102" s="253"/>
      <c r="Q102" s="253"/>
      <c r="R102" s="253"/>
      <c r="S102" s="253"/>
      <c r="T102" s="253"/>
      <c r="U102" s="253"/>
      <c r="V102" s="253"/>
      <c r="W102" s="253"/>
      <c r="X102" s="253"/>
      <c r="Y102" s="253"/>
      <c r="Z102" s="253"/>
      <c r="AA102" s="253"/>
      <c r="AB102" s="253"/>
    </row>
    <row r="103" spans="1:28" s="726" customFormat="1">
      <c r="A103" s="726">
        <v>1</v>
      </c>
      <c r="B103" s="727"/>
      <c r="C103" s="728" t="s">
        <v>1393</v>
      </c>
      <c r="F103" s="729"/>
      <c r="G103" s="730"/>
      <c r="H103" s="730"/>
      <c r="I103" s="731"/>
      <c r="J103" s="732" t="s">
        <v>39</v>
      </c>
      <c r="K103" s="733" t="s">
        <v>275</v>
      </c>
      <c r="L103" s="734" t="s">
        <v>3</v>
      </c>
      <c r="M103" s="735" t="s">
        <v>275</v>
      </c>
      <c r="N103" s="736" t="s">
        <v>5</v>
      </c>
      <c r="O103" s="737" t="str">
        <f>PL!$P$4</f>
        <v>BIN</v>
      </c>
      <c r="P103" s="737" t="str">
        <f>PL!$I$6</f>
        <v>K_INR</v>
      </c>
      <c r="Q103" s="738"/>
      <c r="R103" s="738"/>
      <c r="S103" s="738"/>
      <c r="T103" s="738"/>
      <c r="U103" s="738"/>
      <c r="V103" s="738"/>
      <c r="W103" s="738"/>
      <c r="X103" s="738"/>
      <c r="Y103" s="738"/>
      <c r="Z103" s="738"/>
      <c r="AA103" s="738"/>
      <c r="AB103" s="738"/>
    </row>
    <row r="104" spans="1:28">
      <c r="A104" s="598">
        <v>1</v>
      </c>
      <c r="B104" s="598" t="s">
        <v>512</v>
      </c>
      <c r="C104" s="598" t="s">
        <v>431</v>
      </c>
      <c r="D104" s="702" t="s">
        <v>275</v>
      </c>
      <c r="E104" s="598" t="s">
        <v>39</v>
      </c>
      <c r="G104" s="244"/>
      <c r="H104" s="244"/>
      <c r="I104" s="245"/>
      <c r="J104" s="219" t="s">
        <v>39</v>
      </c>
      <c r="K104" s="233" t="s">
        <v>275</v>
      </c>
      <c r="L104" s="231" t="s">
        <v>29</v>
      </c>
      <c r="M104" s="468" t="s">
        <v>4</v>
      </c>
      <c r="N104" s="232" t="s">
        <v>5</v>
      </c>
      <c r="O104" s="216" t="str">
        <f>PL!$P$4</f>
        <v>BIN</v>
      </c>
      <c r="P104" s="216" t="str">
        <f>PL!$I$6</f>
        <v>K_INR</v>
      </c>
      <c r="Q104" s="222" t="str">
        <f>PL!Q$537</f>
        <v>S/GP (1)-2 Net Sales Direct Office Solution</v>
      </c>
      <c r="R104" s="222">
        <f>PL!S$537</f>
        <v>1157</v>
      </c>
      <c r="S104" s="222">
        <f>PL!T$537</f>
        <v>1345</v>
      </c>
      <c r="T104" s="222">
        <f>PL!U$537</f>
        <v>1230</v>
      </c>
      <c r="U104" s="222">
        <f>PL!V$537</f>
        <v>1264</v>
      </c>
      <c r="V104" s="222">
        <f>PL!W$537</f>
        <v>1398</v>
      </c>
      <c r="W104" s="222">
        <f>PL!X$537</f>
        <v>938</v>
      </c>
      <c r="X104" s="222">
        <f>PL!Y$537</f>
        <v>2372</v>
      </c>
      <c r="Y104" s="222">
        <f>PL!Z$537</f>
        <v>2120</v>
      </c>
      <c r="Z104" s="222">
        <f>PL!AA$537</f>
        <v>1294</v>
      </c>
      <c r="AA104" s="222">
        <f>PL!AB$537</f>
        <v>2212</v>
      </c>
      <c r="AB104" s="222">
        <f>PL!AC$537</f>
        <v>2272</v>
      </c>
    </row>
    <row r="105" spans="1:28" s="239" customFormat="1">
      <c r="A105" s="598">
        <v>1</v>
      </c>
      <c r="B105" s="598" t="s">
        <v>512</v>
      </c>
      <c r="C105" s="598" t="s">
        <v>431</v>
      </c>
      <c r="D105" s="702" t="s">
        <v>275</v>
      </c>
      <c r="E105" s="598" t="s">
        <v>39</v>
      </c>
      <c r="F105" s="399"/>
      <c r="G105" s="251"/>
      <c r="H105" s="251"/>
      <c r="I105" s="252"/>
      <c r="J105" s="236" t="s">
        <v>39</v>
      </c>
      <c r="K105" s="233" t="s">
        <v>275</v>
      </c>
      <c r="L105" s="237" t="s">
        <v>32</v>
      </c>
      <c r="M105" s="468" t="s">
        <v>4</v>
      </c>
      <c r="N105" s="238" t="s">
        <v>5</v>
      </c>
      <c r="O105" s="216" t="str">
        <f>PL!$P$4</f>
        <v>BIN</v>
      </c>
      <c r="P105" s="216" t="str">
        <f>PL!$I$6</f>
        <v>K_INR</v>
      </c>
      <c r="Q105" s="222" t="str">
        <f>PL!Q$542</f>
        <v>S/GP (1)-2 Net Sales Indirect Office Solution</v>
      </c>
      <c r="R105" s="222">
        <f>PL!S$542</f>
        <v>620</v>
      </c>
      <c r="S105" s="222">
        <f>PL!T$542</f>
        <v>147</v>
      </c>
      <c r="T105" s="222">
        <f>PL!U$542</f>
        <v>37</v>
      </c>
      <c r="U105" s="222">
        <f>PL!V$542</f>
        <v>290.88499999999999</v>
      </c>
      <c r="V105" s="222">
        <f>PL!W$542</f>
        <v>976</v>
      </c>
      <c r="W105" s="222">
        <f>PL!X$542</f>
        <v>382</v>
      </c>
      <c r="X105" s="222">
        <f>PL!Y$542</f>
        <v>1499</v>
      </c>
      <c r="Y105" s="222">
        <f>PL!Z$542</f>
        <v>1129</v>
      </c>
      <c r="Z105" s="222">
        <f>PL!AA$542</f>
        <v>514</v>
      </c>
      <c r="AA105" s="222">
        <f>PL!AB$542</f>
        <v>658</v>
      </c>
      <c r="AB105" s="222">
        <f>PL!AC$542</f>
        <v>957</v>
      </c>
    </row>
    <row r="106" spans="1:28">
      <c r="A106" s="598">
        <v>1</v>
      </c>
      <c r="B106" s="598" t="s">
        <v>512</v>
      </c>
      <c r="C106" s="598" t="s">
        <v>431</v>
      </c>
      <c r="D106" s="598" t="s">
        <v>1393</v>
      </c>
      <c r="E106" s="598" t="s">
        <v>9</v>
      </c>
      <c r="G106" s="246"/>
      <c r="H106" s="246"/>
      <c r="I106" s="247"/>
      <c r="J106" s="219" t="s">
        <v>39</v>
      </c>
      <c r="K106" s="233" t="s">
        <v>275</v>
      </c>
      <c r="L106" s="231" t="s">
        <v>3</v>
      </c>
      <c r="M106" s="468" t="s">
        <v>275</v>
      </c>
      <c r="N106" s="232" t="s">
        <v>5</v>
      </c>
      <c r="O106" s="216" t="str">
        <f>PL!$P$4</f>
        <v>BIN</v>
      </c>
      <c r="P106" s="216" t="str">
        <f>PL!$I$6</f>
        <v>K_INR</v>
      </c>
      <c r="Q106" s="222" t="str">
        <f>PL!Q$144</f>
        <v>PL (1)-2 BT Cons. Sales</v>
      </c>
      <c r="R106" s="222">
        <f>PL!S$144</f>
        <v>1777</v>
      </c>
      <c r="S106" s="222">
        <f>PL!T$144</f>
        <v>1492</v>
      </c>
      <c r="T106" s="222">
        <f>PL!U$144</f>
        <v>1267</v>
      </c>
      <c r="U106" s="222">
        <f>PL!V$144</f>
        <v>1554.885</v>
      </c>
      <c r="V106" s="222">
        <f>PL!W$144</f>
        <v>2374</v>
      </c>
      <c r="W106" s="222">
        <f>PL!X$144</f>
        <v>1320</v>
      </c>
      <c r="X106" s="222">
        <f>PL!Y$144</f>
        <v>3871</v>
      </c>
      <c r="Y106" s="222">
        <f>PL!Z$144</f>
        <v>3249</v>
      </c>
      <c r="Z106" s="222">
        <f>PL!AA$144</f>
        <v>1808</v>
      </c>
      <c r="AA106" s="222">
        <f>PL!AB$144</f>
        <v>2870</v>
      </c>
      <c r="AB106" s="222">
        <f>PL!AC$144</f>
        <v>3229</v>
      </c>
    </row>
    <row r="107" spans="1:28">
      <c r="A107" s="598">
        <v>1</v>
      </c>
      <c r="B107" s="598" t="s">
        <v>512</v>
      </c>
      <c r="C107" s="598" t="s">
        <v>431</v>
      </c>
      <c r="D107" s="702" t="s">
        <v>275</v>
      </c>
      <c r="E107" s="598" t="s">
        <v>45</v>
      </c>
      <c r="G107" s="244"/>
      <c r="H107" s="244"/>
      <c r="I107" s="245"/>
      <c r="J107" s="220" t="s">
        <v>31</v>
      </c>
      <c r="K107" s="233" t="s">
        <v>275</v>
      </c>
      <c r="L107" s="231" t="s">
        <v>29</v>
      </c>
      <c r="M107" s="468" t="s">
        <v>4</v>
      </c>
      <c r="N107" s="232" t="s">
        <v>5</v>
      </c>
      <c r="O107" s="216" t="str">
        <f>PL!$P$4</f>
        <v>BIN</v>
      </c>
      <c r="P107" s="216" t="str">
        <f>PL!$I$6</f>
        <v>K_INR</v>
      </c>
      <c r="Q107" s="222" t="str">
        <f>PL!Q$544</f>
        <v>S/GP (1)-2 Gross Profit Direct Office Solution</v>
      </c>
      <c r="R107" s="222">
        <f>PL!S$544</f>
        <v>715</v>
      </c>
      <c r="S107" s="222">
        <f>PL!T$544</f>
        <v>896</v>
      </c>
      <c r="T107" s="222">
        <f>PL!U$544</f>
        <v>1025</v>
      </c>
      <c r="U107" s="222">
        <f>PL!V$544</f>
        <v>927</v>
      </c>
      <c r="V107" s="222">
        <f>PL!W$544</f>
        <v>953</v>
      </c>
      <c r="W107" s="222">
        <f>PL!X$544</f>
        <v>765</v>
      </c>
      <c r="X107" s="222">
        <f>PL!Y$544</f>
        <v>1688</v>
      </c>
      <c r="Y107" s="222">
        <f>PL!Z$544</f>
        <v>1065</v>
      </c>
      <c r="Z107" s="222">
        <f>PL!AA$544</f>
        <v>1081</v>
      </c>
      <c r="AA107" s="222">
        <f>PL!AB$544</f>
        <v>1647.68688</v>
      </c>
      <c r="AB107" s="222">
        <f>PL!AC$544</f>
        <v>1357</v>
      </c>
    </row>
    <row r="108" spans="1:28">
      <c r="A108" s="598">
        <v>1</v>
      </c>
      <c r="B108" s="598" t="s">
        <v>512</v>
      </c>
      <c r="C108" s="598" t="s">
        <v>431</v>
      </c>
      <c r="D108" s="702" t="s">
        <v>275</v>
      </c>
      <c r="E108" s="598" t="s">
        <v>45</v>
      </c>
      <c r="G108" s="244"/>
      <c r="H108" s="244"/>
      <c r="I108" s="245"/>
      <c r="J108" s="220" t="s">
        <v>31</v>
      </c>
      <c r="K108" s="233" t="s">
        <v>275</v>
      </c>
      <c r="L108" s="237" t="s">
        <v>32</v>
      </c>
      <c r="M108" s="468" t="s">
        <v>4</v>
      </c>
      <c r="N108" s="238" t="s">
        <v>5</v>
      </c>
      <c r="O108" s="216" t="str">
        <f>PL!$P$4</f>
        <v>BIN</v>
      </c>
      <c r="P108" s="216" t="str">
        <f>PL!$I$6</f>
        <v>K_INR</v>
      </c>
      <c r="Q108" s="222" t="str">
        <f>PL!Q$549</f>
        <v>S/GP (1)-2 Gross Profit Indirect Office Solution</v>
      </c>
      <c r="R108" s="222">
        <f>PL!S$549</f>
        <v>426</v>
      </c>
      <c r="S108" s="222">
        <f>PL!T$549</f>
        <v>119</v>
      </c>
      <c r="T108" s="222">
        <f>PL!U$549</f>
        <v>20</v>
      </c>
      <c r="U108" s="222">
        <f>PL!V$549</f>
        <v>188</v>
      </c>
      <c r="V108" s="222">
        <f>PL!W$549</f>
        <v>600</v>
      </c>
      <c r="W108" s="222">
        <f>PL!X$549</f>
        <v>211</v>
      </c>
      <c r="X108" s="222">
        <f>PL!Y$549</f>
        <v>670</v>
      </c>
      <c r="Y108" s="222">
        <f>PL!Z$549</f>
        <v>551</v>
      </c>
      <c r="Z108" s="222">
        <f>PL!AA$549</f>
        <v>346</v>
      </c>
      <c r="AA108" s="222">
        <f>PL!AB$549</f>
        <v>341.16971000000001</v>
      </c>
      <c r="AB108" s="222">
        <f>PL!AC$549</f>
        <v>546</v>
      </c>
    </row>
    <row r="109" spans="1:28" s="682" customFormat="1">
      <c r="A109" s="682">
        <v>1</v>
      </c>
      <c r="B109" s="683"/>
      <c r="C109" s="683"/>
      <c r="D109" s="683"/>
      <c r="F109" s="684"/>
      <c r="G109" s="697"/>
      <c r="H109" s="697"/>
      <c r="I109" s="698"/>
      <c r="J109" s="699" t="s">
        <v>44</v>
      </c>
      <c r="K109" s="688" t="s">
        <v>275</v>
      </c>
      <c r="L109" s="700" t="s">
        <v>3</v>
      </c>
      <c r="M109" s="701" t="s">
        <v>4</v>
      </c>
      <c r="N109" s="700" t="s">
        <v>5</v>
      </c>
      <c r="O109" s="692" t="str">
        <f>PL!$P$4</f>
        <v>BIN</v>
      </c>
      <c r="P109" s="692" t="str">
        <f>PL!$I$6</f>
        <v>K_INR</v>
      </c>
      <c r="Q109" s="693">
        <f>SUM(Q110:Q112)</f>
        <v>0</v>
      </c>
      <c r="R109" s="693">
        <f t="shared" ref="R109:AB109" si="6">SUM(R110:R112)</f>
        <v>1092.0120470639893</v>
      </c>
      <c r="S109" s="693">
        <f t="shared" si="6"/>
        <v>766.48429089637557</v>
      </c>
      <c r="T109" s="693">
        <f t="shared" si="6"/>
        <v>728.1484757966432</v>
      </c>
      <c r="U109" s="693">
        <f t="shared" si="6"/>
        <v>1111.6164972634394</v>
      </c>
      <c r="V109" s="693">
        <f t="shared" si="6"/>
        <v>738.1701160909754</v>
      </c>
      <c r="W109" s="693">
        <f t="shared" si="6"/>
        <v>1105.1371115189681</v>
      </c>
      <c r="X109" s="693">
        <f t="shared" si="6"/>
        <v>775.24631236317191</v>
      </c>
      <c r="Y109" s="693">
        <f t="shared" si="6"/>
        <v>951.36185295548523</v>
      </c>
      <c r="Z109" s="693">
        <f t="shared" si="6"/>
        <v>793.0098197822914</v>
      </c>
      <c r="AA109" s="693">
        <f t="shared" si="6"/>
        <v>2012.7150891510582</v>
      </c>
      <c r="AB109" s="693">
        <f t="shared" si="6"/>
        <v>774.46992824130382</v>
      </c>
    </row>
    <row r="110" spans="1:28">
      <c r="A110" s="598">
        <v>1</v>
      </c>
      <c r="B110" s="598" t="s">
        <v>512</v>
      </c>
      <c r="C110" s="598" t="s">
        <v>431</v>
      </c>
      <c r="D110" s="598" t="s">
        <v>1393</v>
      </c>
      <c r="E110" s="598" t="s">
        <v>502</v>
      </c>
      <c r="G110" s="244"/>
      <c r="H110" s="244"/>
      <c r="I110" s="245"/>
      <c r="J110" s="224" t="s">
        <v>25</v>
      </c>
      <c r="K110" s="233" t="s">
        <v>275</v>
      </c>
      <c r="L110" s="232" t="s">
        <v>3</v>
      </c>
      <c r="M110" s="468" t="s">
        <v>4</v>
      </c>
      <c r="N110" s="232" t="s">
        <v>5</v>
      </c>
      <c r="O110" s="216" t="str">
        <f>PL!$P$4</f>
        <v>BIN</v>
      </c>
      <c r="P110" s="216" t="str">
        <f>PL!$I$6</f>
        <v>K_INR</v>
      </c>
      <c r="Q110" s="222" t="str">
        <f>PL!Q$147</f>
        <v>PL (1)-2 SGA Expenses Variable Expenses</v>
      </c>
      <c r="R110" s="222">
        <f>PL!S$147</f>
        <v>77</v>
      </c>
      <c r="S110" s="222">
        <f>PL!T$147</f>
        <v>157.4842908963756</v>
      </c>
      <c r="T110" s="222">
        <f>PL!U$147</f>
        <v>119.14847579664318</v>
      </c>
      <c r="U110" s="222">
        <f>PL!V$147</f>
        <v>502.6164972634395</v>
      </c>
      <c r="V110" s="222">
        <f>PL!W$147</f>
        <v>129.1701160909754</v>
      </c>
      <c r="W110" s="222">
        <f>PL!X$147</f>
        <v>496.13711151896814</v>
      </c>
      <c r="X110" s="222">
        <f>PL!Y$147</f>
        <v>166.24631236317197</v>
      </c>
      <c r="Y110" s="222">
        <f>PL!Z$147</f>
        <v>342.36185295548523</v>
      </c>
      <c r="Z110" s="222">
        <f>PL!AA$147</f>
        <v>184.00981978229143</v>
      </c>
      <c r="AA110" s="222">
        <f>PL!AB$147</f>
        <v>1403.7150891510582</v>
      </c>
      <c r="AB110" s="222">
        <f>PL!AC$147</f>
        <v>165.46992824130382</v>
      </c>
    </row>
    <row r="111" spans="1:28">
      <c r="A111" s="598">
        <v>1</v>
      </c>
      <c r="B111" s="598" t="s">
        <v>512</v>
      </c>
      <c r="C111" s="598" t="s">
        <v>431</v>
      </c>
      <c r="D111" s="598" t="s">
        <v>1393</v>
      </c>
      <c r="E111" s="598" t="s">
        <v>502</v>
      </c>
      <c r="G111" s="244"/>
      <c r="H111" s="244"/>
      <c r="I111" s="245"/>
      <c r="J111" s="224" t="s">
        <v>26</v>
      </c>
      <c r="K111" s="233" t="s">
        <v>275</v>
      </c>
      <c r="L111" s="232" t="s">
        <v>3</v>
      </c>
      <c r="M111" s="468" t="s">
        <v>4</v>
      </c>
      <c r="N111" s="232" t="s">
        <v>5</v>
      </c>
      <c r="O111" s="216" t="str">
        <f>PL!$P$4</f>
        <v>BIN</v>
      </c>
      <c r="P111" s="216" t="str">
        <f>PL!$I$6</f>
        <v>K_INR</v>
      </c>
      <c r="Q111" s="222" t="str">
        <f>PL!Q$148</f>
        <v>PL (1)-2 SGA Expenses Wages &amp; Salaries</v>
      </c>
      <c r="R111" s="222">
        <f>PL!S$148</f>
        <v>886</v>
      </c>
      <c r="S111" s="222">
        <f>PL!T$148</f>
        <v>609</v>
      </c>
      <c r="T111" s="222">
        <f>PL!U$148</f>
        <v>609</v>
      </c>
      <c r="U111" s="222">
        <f>PL!V$148</f>
        <v>609</v>
      </c>
      <c r="V111" s="222">
        <f>PL!W$148</f>
        <v>609</v>
      </c>
      <c r="W111" s="222">
        <f>PL!X$148</f>
        <v>609</v>
      </c>
      <c r="X111" s="222">
        <f>PL!Y$148</f>
        <v>609</v>
      </c>
      <c r="Y111" s="222">
        <f>PL!Z$148</f>
        <v>609</v>
      </c>
      <c r="Z111" s="222">
        <f>PL!AA$148</f>
        <v>609</v>
      </c>
      <c r="AA111" s="222">
        <f>PL!AB$148</f>
        <v>609</v>
      </c>
      <c r="AB111" s="222">
        <f>PL!AC$148</f>
        <v>609</v>
      </c>
    </row>
    <row r="112" spans="1:28">
      <c r="A112" s="598">
        <v>1</v>
      </c>
      <c r="B112" s="598" t="s">
        <v>512</v>
      </c>
      <c r="C112" s="598" t="s">
        <v>431</v>
      </c>
      <c r="D112" s="598" t="s">
        <v>1393</v>
      </c>
      <c r="E112" s="598" t="s">
        <v>502</v>
      </c>
      <c r="G112" s="244"/>
      <c r="H112" s="244"/>
      <c r="I112" s="245"/>
      <c r="J112" s="224" t="s">
        <v>27</v>
      </c>
      <c r="K112" s="233" t="s">
        <v>275</v>
      </c>
      <c r="L112" s="232" t="s">
        <v>3</v>
      </c>
      <c r="M112" s="468" t="s">
        <v>4</v>
      </c>
      <c r="N112" s="232" t="s">
        <v>5</v>
      </c>
      <c r="O112" s="216" t="str">
        <f>PL!$P$4</f>
        <v>BIN</v>
      </c>
      <c r="P112" s="216" t="str">
        <f>PL!$I$6</f>
        <v>K_INR</v>
      </c>
      <c r="Q112" s="222" t="str">
        <f>PL!Q$149</f>
        <v>PL (1)-2 SGA Expenses Fixed Expenses</v>
      </c>
      <c r="R112" s="222">
        <f>PL!S$149</f>
        <v>129.01204706398917</v>
      </c>
      <c r="S112" s="222">
        <f>PL!T$149</f>
        <v>0</v>
      </c>
      <c r="T112" s="222">
        <f>PL!U$149</f>
        <v>0</v>
      </c>
      <c r="U112" s="222">
        <f>PL!V$149</f>
        <v>0</v>
      </c>
      <c r="V112" s="222">
        <f>PL!W$149</f>
        <v>0</v>
      </c>
      <c r="W112" s="222">
        <f>PL!X$149</f>
        <v>0</v>
      </c>
      <c r="X112" s="222">
        <f>PL!Y$149</f>
        <v>0</v>
      </c>
      <c r="Y112" s="222">
        <f>PL!Z$149</f>
        <v>0</v>
      </c>
      <c r="Z112" s="222">
        <f>PL!AA$149</f>
        <v>0</v>
      </c>
      <c r="AA112" s="222">
        <f>PL!AB$149</f>
        <v>0</v>
      </c>
      <c r="AB112" s="222">
        <f>PL!AC$149</f>
        <v>0</v>
      </c>
    </row>
    <row r="113" spans="1:28" s="682" customFormat="1">
      <c r="A113" s="682">
        <v>1</v>
      </c>
      <c r="B113" s="682" t="s">
        <v>512</v>
      </c>
      <c r="C113" s="682" t="s">
        <v>431</v>
      </c>
      <c r="D113" s="682" t="s">
        <v>1393</v>
      </c>
      <c r="E113" s="682" t="s">
        <v>46</v>
      </c>
      <c r="F113" s="684"/>
      <c r="G113" s="697"/>
      <c r="H113" s="697"/>
      <c r="I113" s="698"/>
      <c r="J113" s="699" t="s">
        <v>39</v>
      </c>
      <c r="K113" s="688" t="s">
        <v>275</v>
      </c>
      <c r="L113" s="723" t="s">
        <v>3</v>
      </c>
      <c r="M113" s="701" t="s">
        <v>275</v>
      </c>
      <c r="N113" s="700" t="s">
        <v>5</v>
      </c>
      <c r="O113" s="692" t="str">
        <f>PL!$P$4</f>
        <v>BIN</v>
      </c>
      <c r="P113" s="692" t="str">
        <f>PL!$I$6</f>
        <v>K_INR</v>
      </c>
      <c r="Q113" s="693" t="e">
        <f>Q107+Q108-Q109</f>
        <v>#VALUE!</v>
      </c>
      <c r="R113" s="693">
        <f t="shared" ref="R113:AB113" si="7">R107+R108-R109</f>
        <v>48.987952936010743</v>
      </c>
      <c r="S113" s="693">
        <f t="shared" si="7"/>
        <v>248.51570910362443</v>
      </c>
      <c r="T113" s="693">
        <f t="shared" si="7"/>
        <v>316.8515242033568</v>
      </c>
      <c r="U113" s="693">
        <f t="shared" si="7"/>
        <v>3.3835027365605583</v>
      </c>
      <c r="V113" s="693">
        <f t="shared" si="7"/>
        <v>814.8298839090246</v>
      </c>
      <c r="W113" s="693">
        <f t="shared" si="7"/>
        <v>-129.13711151896814</v>
      </c>
      <c r="X113" s="693">
        <f t="shared" si="7"/>
        <v>1582.7536876368281</v>
      </c>
      <c r="Y113" s="693">
        <f t="shared" si="7"/>
        <v>664.63814704451477</v>
      </c>
      <c r="Z113" s="693">
        <f t="shared" si="7"/>
        <v>633.9901802177086</v>
      </c>
      <c r="AA113" s="693">
        <f t="shared" si="7"/>
        <v>-23.858499151058368</v>
      </c>
      <c r="AB113" s="693">
        <f t="shared" si="7"/>
        <v>1128.5300717586961</v>
      </c>
    </row>
    <row r="114" spans="1:28" s="682" customFormat="1">
      <c r="A114" s="682">
        <v>1</v>
      </c>
      <c r="B114" s="682" t="s">
        <v>512</v>
      </c>
      <c r="C114" s="682" t="s">
        <v>431</v>
      </c>
      <c r="D114" s="682" t="s">
        <v>1393</v>
      </c>
      <c r="E114" s="682" t="s">
        <v>10</v>
      </c>
      <c r="F114" s="684"/>
      <c r="G114" s="697"/>
      <c r="H114" s="697"/>
      <c r="I114" s="698"/>
      <c r="J114" s="699" t="s">
        <v>39</v>
      </c>
      <c r="K114" s="688" t="s">
        <v>275</v>
      </c>
      <c r="L114" s="723" t="s">
        <v>3</v>
      </c>
      <c r="M114" s="701" t="s">
        <v>275</v>
      </c>
      <c r="N114" s="700" t="s">
        <v>5</v>
      </c>
      <c r="O114" s="692" t="str">
        <f>PL!$P$4</f>
        <v>BIN</v>
      </c>
      <c r="P114" s="692" t="str">
        <f>PL!$I$6</f>
        <v>K_INR</v>
      </c>
      <c r="Q114" s="693" t="e">
        <f>Q113</f>
        <v>#VALUE!</v>
      </c>
      <c r="R114" s="693">
        <f t="shared" ref="R114:AB114" si="8">R113</f>
        <v>48.987952936010743</v>
      </c>
      <c r="S114" s="693">
        <f t="shared" si="8"/>
        <v>248.51570910362443</v>
      </c>
      <c r="T114" s="693">
        <f t="shared" si="8"/>
        <v>316.8515242033568</v>
      </c>
      <c r="U114" s="693">
        <f t="shared" si="8"/>
        <v>3.3835027365605583</v>
      </c>
      <c r="V114" s="693">
        <f t="shared" si="8"/>
        <v>814.8298839090246</v>
      </c>
      <c r="W114" s="693">
        <f t="shared" si="8"/>
        <v>-129.13711151896814</v>
      </c>
      <c r="X114" s="693">
        <f t="shared" si="8"/>
        <v>1582.7536876368281</v>
      </c>
      <c r="Y114" s="693">
        <f t="shared" si="8"/>
        <v>664.63814704451477</v>
      </c>
      <c r="Z114" s="693">
        <f t="shared" si="8"/>
        <v>633.9901802177086</v>
      </c>
      <c r="AA114" s="693">
        <f t="shared" si="8"/>
        <v>-23.858499151058368</v>
      </c>
      <c r="AB114" s="693">
        <f t="shared" si="8"/>
        <v>1128.5300717586961</v>
      </c>
    </row>
    <row r="115" spans="1:28">
      <c r="A115" s="598">
        <v>1</v>
      </c>
      <c r="C115" s="239"/>
      <c r="D115" s="239"/>
      <c r="G115" s="246"/>
      <c r="H115" s="246"/>
      <c r="I115" s="246"/>
      <c r="J115" s="469"/>
      <c r="K115" s="470"/>
      <c r="L115" s="471"/>
      <c r="M115" s="471"/>
      <c r="N115" s="471"/>
      <c r="O115" s="253"/>
      <c r="P115" s="253"/>
      <c r="Q115" s="253"/>
      <c r="R115" s="253"/>
      <c r="S115" s="253"/>
      <c r="T115" s="253"/>
      <c r="U115" s="253"/>
      <c r="V115" s="253"/>
      <c r="W115" s="253"/>
      <c r="X115" s="253"/>
      <c r="Y115" s="253"/>
      <c r="Z115" s="253"/>
      <c r="AA115" s="253"/>
      <c r="AB115" s="253"/>
    </row>
    <row r="116" spans="1:28" s="726" customFormat="1">
      <c r="A116" s="726">
        <v>1</v>
      </c>
      <c r="B116" s="727"/>
      <c r="C116" s="1409" t="s">
        <v>926</v>
      </c>
      <c r="D116" s="1410"/>
      <c r="F116" s="729"/>
      <c r="G116" s="730"/>
      <c r="H116" s="730"/>
      <c r="I116" s="731"/>
      <c r="J116" s="732" t="s">
        <v>39</v>
      </c>
      <c r="K116" s="745" t="s">
        <v>705</v>
      </c>
      <c r="L116" s="734" t="s">
        <v>29</v>
      </c>
      <c r="M116" s="735" t="s">
        <v>4</v>
      </c>
      <c r="N116" s="736" t="s">
        <v>5</v>
      </c>
      <c r="O116" s="737" t="str">
        <f>PL!$P$4</f>
        <v>BIN</v>
      </c>
      <c r="P116" s="737" t="str">
        <f>PL!$I$6</f>
        <v>K_INR</v>
      </c>
      <c r="Q116" s="738"/>
      <c r="R116" s="738"/>
      <c r="S116" s="738"/>
      <c r="T116" s="738"/>
      <c r="U116" s="738"/>
      <c r="V116" s="738"/>
      <c r="W116" s="738"/>
      <c r="X116" s="738"/>
      <c r="Y116" s="738"/>
      <c r="Z116" s="738"/>
      <c r="AA116" s="738"/>
      <c r="AB116" s="738"/>
    </row>
    <row r="117" spans="1:28">
      <c r="A117" s="598">
        <v>1</v>
      </c>
      <c r="B117" s="598" t="s">
        <v>512</v>
      </c>
      <c r="C117" s="703" t="s">
        <v>954</v>
      </c>
      <c r="D117" s="702" t="s">
        <v>643</v>
      </c>
      <c r="E117" s="598" t="s">
        <v>39</v>
      </c>
      <c r="G117" s="246"/>
      <c r="H117" s="246"/>
      <c r="I117" s="245"/>
      <c r="J117" s="219" t="s">
        <v>39</v>
      </c>
      <c r="K117" s="231" t="s">
        <v>12</v>
      </c>
      <c r="L117" s="231" t="s">
        <v>29</v>
      </c>
      <c r="M117" s="468" t="s">
        <v>4</v>
      </c>
      <c r="N117" s="232" t="s">
        <v>5</v>
      </c>
      <c r="O117" s="216" t="str">
        <f>PL!$P$4</f>
        <v>BIN</v>
      </c>
      <c r="P117" s="216" t="str">
        <f>PL!$I$6</f>
        <v>K_INR</v>
      </c>
      <c r="Q117" s="222" t="str">
        <f>PL!Q$756</f>
        <v>S/GP (5) Net Sales Direct IMS</v>
      </c>
      <c r="R117" s="222">
        <f>PL!S$756</f>
        <v>0</v>
      </c>
      <c r="S117" s="222">
        <f>PL!T$756</f>
        <v>0</v>
      </c>
      <c r="T117" s="222">
        <f>PL!U$756</f>
        <v>510</v>
      </c>
      <c r="U117" s="222">
        <f>PL!V$756</f>
        <v>0</v>
      </c>
      <c r="V117" s="222">
        <f>PL!W$756</f>
        <v>0</v>
      </c>
      <c r="W117" s="222">
        <f>PL!X$756</f>
        <v>510</v>
      </c>
      <c r="X117" s="222">
        <f>PL!Y$756</f>
        <v>0</v>
      </c>
      <c r="Y117" s="222">
        <f>PL!Z$756</f>
        <v>0</v>
      </c>
      <c r="Z117" s="222">
        <f>PL!AA$756</f>
        <v>510</v>
      </c>
      <c r="AA117" s="222">
        <f>PL!AB$756</f>
        <v>0</v>
      </c>
      <c r="AB117" s="222">
        <f>PL!AC$756</f>
        <v>0</v>
      </c>
    </row>
    <row r="118" spans="1:28">
      <c r="A118" s="598">
        <v>1</v>
      </c>
      <c r="B118" s="598" t="s">
        <v>512</v>
      </c>
      <c r="C118" s="703" t="s">
        <v>954</v>
      </c>
      <c r="D118" s="702" t="s">
        <v>1234</v>
      </c>
      <c r="E118" s="598" t="s">
        <v>39</v>
      </c>
      <c r="G118" s="246"/>
      <c r="H118" s="246"/>
      <c r="I118" s="245"/>
      <c r="J118" s="219" t="s">
        <v>39</v>
      </c>
      <c r="K118" s="680" t="s">
        <v>1233</v>
      </c>
      <c r="L118" s="231" t="s">
        <v>29</v>
      </c>
      <c r="M118" s="468" t="s">
        <v>4</v>
      </c>
      <c r="N118" s="232" t="s">
        <v>5</v>
      </c>
      <c r="O118" s="216" t="str">
        <f>PL!$P$4</f>
        <v>BIN</v>
      </c>
      <c r="P118" s="216" t="str">
        <f>PL!$I$6</f>
        <v>K_INR</v>
      </c>
      <c r="Q118" s="222" t="str">
        <f>PL!Q$761</f>
        <v>S/GP (5) Net Sales Direct ICW-IT</v>
      </c>
      <c r="R118" s="222">
        <f>PL!S$761</f>
        <v>0</v>
      </c>
      <c r="S118" s="222">
        <f>PL!T$761</f>
        <v>0</v>
      </c>
      <c r="T118" s="222">
        <f>PL!U$761</f>
        <v>0</v>
      </c>
      <c r="U118" s="222">
        <f>PL!V$761</f>
        <v>0</v>
      </c>
      <c r="V118" s="222">
        <f>PL!W$761</f>
        <v>0</v>
      </c>
      <c r="W118" s="222">
        <f>PL!X$761</f>
        <v>0</v>
      </c>
      <c r="X118" s="222">
        <f>PL!Y$761</f>
        <v>0</v>
      </c>
      <c r="Y118" s="222">
        <f>PL!Z$761</f>
        <v>0</v>
      </c>
      <c r="Z118" s="222">
        <f>PL!AA$761</f>
        <v>0</v>
      </c>
      <c r="AA118" s="222">
        <f>PL!AB$761</f>
        <v>0</v>
      </c>
      <c r="AB118" s="222">
        <f>PL!AC$761</f>
        <v>0</v>
      </c>
    </row>
    <row r="119" spans="1:28">
      <c r="A119" s="598">
        <v>1</v>
      </c>
      <c r="B119" s="598" t="s">
        <v>512</v>
      </c>
      <c r="C119" s="703" t="s">
        <v>954</v>
      </c>
      <c r="D119" s="702" t="s">
        <v>13</v>
      </c>
      <c r="E119" s="598" t="s">
        <v>39</v>
      </c>
      <c r="G119" s="244"/>
      <c r="H119" s="244"/>
      <c r="I119" s="245"/>
      <c r="J119" s="219" t="s">
        <v>39</v>
      </c>
      <c r="K119" s="231" t="s">
        <v>13</v>
      </c>
      <c r="L119" s="231" t="s">
        <v>29</v>
      </c>
      <c r="M119" s="468" t="s">
        <v>4</v>
      </c>
      <c r="N119" s="232" t="s">
        <v>5</v>
      </c>
      <c r="O119" s="216" t="str">
        <f>PL!$P$4</f>
        <v>BIN</v>
      </c>
      <c r="P119" s="216" t="str">
        <f>PL!$I$6</f>
        <v>K_INR</v>
      </c>
      <c r="Q119" s="222" t="str">
        <f>PL!Q$766</f>
        <v>S/GP (5) Net Sales Direct MCS</v>
      </c>
      <c r="R119" s="222">
        <f>PL!S$766</f>
        <v>263</v>
      </c>
      <c r="S119" s="222">
        <f>PL!T$766</f>
        <v>439</v>
      </c>
      <c r="T119" s="222">
        <f>PL!U$766</f>
        <v>412</v>
      </c>
      <c r="U119" s="222">
        <f>PL!V$766</f>
        <v>3555</v>
      </c>
      <c r="V119" s="222">
        <f>PL!W$766</f>
        <v>44</v>
      </c>
      <c r="W119" s="222">
        <f>PL!X$766</f>
        <v>198</v>
      </c>
      <c r="X119" s="222">
        <f>PL!Y$766</f>
        <v>500</v>
      </c>
      <c r="Y119" s="222">
        <f>PL!Z$766</f>
        <v>0</v>
      </c>
      <c r="Z119" s="222">
        <f>PL!AA$766</f>
        <v>44</v>
      </c>
      <c r="AA119" s="222">
        <f>PL!AB$766</f>
        <v>843</v>
      </c>
      <c r="AB119" s="222">
        <f>PL!AC$766</f>
        <v>281</v>
      </c>
    </row>
    <row r="120" spans="1:28">
      <c r="A120" s="598">
        <v>1</v>
      </c>
      <c r="B120" s="598" t="s">
        <v>630</v>
      </c>
      <c r="C120" s="703" t="s">
        <v>954</v>
      </c>
      <c r="D120" s="702" t="s">
        <v>1178</v>
      </c>
      <c r="E120" s="598" t="s">
        <v>39</v>
      </c>
      <c r="G120" s="244"/>
      <c r="H120" s="244"/>
      <c r="I120" s="245"/>
      <c r="J120" s="219" t="s">
        <v>39</v>
      </c>
      <c r="K120" s="680" t="s">
        <v>1156</v>
      </c>
      <c r="L120" s="231" t="s">
        <v>29</v>
      </c>
      <c r="M120" s="468" t="s">
        <v>4</v>
      </c>
      <c r="N120" s="232" t="s">
        <v>5</v>
      </c>
      <c r="O120" s="216" t="str">
        <f>PL!$P$4</f>
        <v>BIN</v>
      </c>
      <c r="P120" s="216" t="str">
        <f>PL!$I$6</f>
        <v>K_INR</v>
      </c>
      <c r="Q120" s="222" t="str">
        <f>PL!Q$771</f>
        <v>S/GP (5) Net Sales Direct BPS</v>
      </c>
      <c r="R120" s="222">
        <f>PL!S$771</f>
        <v>0</v>
      </c>
      <c r="S120" s="222">
        <f>PL!T$771</f>
        <v>0</v>
      </c>
      <c r="T120" s="222">
        <f>PL!U$771</f>
        <v>0</v>
      </c>
      <c r="U120" s="222">
        <f>PL!V$771</f>
        <v>0</v>
      </c>
      <c r="V120" s="222">
        <f>PL!W$771</f>
        <v>0</v>
      </c>
      <c r="W120" s="222">
        <f>PL!X$771</f>
        <v>0</v>
      </c>
      <c r="X120" s="222">
        <f>PL!Y$771</f>
        <v>0</v>
      </c>
      <c r="Y120" s="222">
        <f>PL!Z$771</f>
        <v>0</v>
      </c>
      <c r="Z120" s="222">
        <f>PL!AA$771</f>
        <v>0</v>
      </c>
      <c r="AA120" s="222">
        <f>PL!AB$771</f>
        <v>0</v>
      </c>
      <c r="AB120" s="222">
        <f>PL!AC$771</f>
        <v>0</v>
      </c>
    </row>
    <row r="121" spans="1:28">
      <c r="A121" s="598">
        <v>1</v>
      </c>
      <c r="B121" s="598" t="s">
        <v>512</v>
      </c>
      <c r="C121" s="703" t="s">
        <v>954</v>
      </c>
      <c r="D121" s="702" t="s">
        <v>1235</v>
      </c>
      <c r="E121" s="598" t="s">
        <v>39</v>
      </c>
      <c r="G121" s="244"/>
      <c r="H121" s="244"/>
      <c r="I121" s="245"/>
      <c r="J121" s="219" t="s">
        <v>39</v>
      </c>
      <c r="K121" s="680" t="s">
        <v>1183</v>
      </c>
      <c r="L121" s="231" t="s">
        <v>29</v>
      </c>
      <c r="M121" s="468" t="s">
        <v>4</v>
      </c>
      <c r="N121" s="232" t="s">
        <v>5</v>
      </c>
      <c r="O121" s="216" t="str">
        <f>PL!$P$4</f>
        <v>BIN</v>
      </c>
      <c r="P121" s="216" t="str">
        <f>PL!$I$6</f>
        <v>K_INR</v>
      </c>
      <c r="Q121" s="222" t="str">
        <f>PL!Q$776</f>
        <v>S/GP (5) Net Sales Direct ICW-WK</v>
      </c>
      <c r="R121" s="222">
        <f>PL!S$776</f>
        <v>0</v>
      </c>
      <c r="S121" s="222">
        <f>PL!T$776</f>
        <v>0</v>
      </c>
      <c r="T121" s="222">
        <f>PL!U$776</f>
        <v>0</v>
      </c>
      <c r="U121" s="222">
        <f>PL!V$776</f>
        <v>0</v>
      </c>
      <c r="V121" s="222">
        <f>PL!W$776</f>
        <v>0</v>
      </c>
      <c r="W121" s="222">
        <f>PL!X$776</f>
        <v>0</v>
      </c>
      <c r="X121" s="222">
        <f>PL!Y$776</f>
        <v>0</v>
      </c>
      <c r="Y121" s="222">
        <f>PL!Z$776</f>
        <v>0</v>
      </c>
      <c r="Z121" s="222">
        <f>PL!AA$776</f>
        <v>0</v>
      </c>
      <c r="AA121" s="222">
        <f>PL!AB$776</f>
        <v>0</v>
      </c>
      <c r="AB121" s="222">
        <f>PL!AC$776</f>
        <v>0</v>
      </c>
    </row>
    <row r="122" spans="1:28">
      <c r="A122" s="598">
        <v>1</v>
      </c>
      <c r="B122" s="598" t="s">
        <v>512</v>
      </c>
      <c r="C122" s="703" t="s">
        <v>954</v>
      </c>
      <c r="D122" s="702" t="s">
        <v>1236</v>
      </c>
      <c r="E122" s="598" t="s">
        <v>39</v>
      </c>
      <c r="G122" s="244"/>
      <c r="H122" s="244"/>
      <c r="I122" s="245"/>
      <c r="J122" s="219" t="s">
        <v>39</v>
      </c>
      <c r="K122" s="680" t="s">
        <v>1181</v>
      </c>
      <c r="L122" s="231" t="s">
        <v>29</v>
      </c>
      <c r="M122" s="468" t="s">
        <v>4</v>
      </c>
      <c r="N122" s="232" t="s">
        <v>5</v>
      </c>
      <c r="O122" s="216" t="str">
        <f>PL!$P$4</f>
        <v>BIN</v>
      </c>
      <c r="P122" s="216" t="str">
        <f>PL!$I$6</f>
        <v>K_INR</v>
      </c>
      <c r="Q122" s="222" t="str">
        <f>PL!Q$781</f>
        <v>S/GP (5) Net Sales Direct ICW-P</v>
      </c>
      <c r="R122" s="222">
        <f>PL!S$781</f>
        <v>0</v>
      </c>
      <c r="S122" s="222">
        <f>PL!T$781</f>
        <v>0</v>
      </c>
      <c r="T122" s="222">
        <f>PL!U$781</f>
        <v>0</v>
      </c>
      <c r="U122" s="222">
        <f>PL!V$781</f>
        <v>0</v>
      </c>
      <c r="V122" s="222">
        <f>PL!W$781</f>
        <v>0</v>
      </c>
      <c r="W122" s="222">
        <f>PL!X$781</f>
        <v>0</v>
      </c>
      <c r="X122" s="222">
        <f>PL!Y$781</f>
        <v>0</v>
      </c>
      <c r="Y122" s="222">
        <f>PL!Z$781</f>
        <v>0</v>
      </c>
      <c r="Z122" s="222">
        <f>PL!AA$781</f>
        <v>0</v>
      </c>
      <c r="AA122" s="222">
        <f>PL!AB$781</f>
        <v>0</v>
      </c>
      <c r="AB122" s="222">
        <f>PL!AC$781</f>
        <v>0</v>
      </c>
    </row>
    <row r="123" spans="1:28" s="682" customFormat="1">
      <c r="A123" s="682">
        <v>1</v>
      </c>
      <c r="C123" s="1408"/>
      <c r="D123" s="1407"/>
      <c r="F123" s="684"/>
      <c r="G123" s="685"/>
      <c r="H123" s="685"/>
      <c r="I123" s="686"/>
      <c r="J123" s="687" t="s">
        <v>39</v>
      </c>
      <c r="K123" s="723" t="s">
        <v>88</v>
      </c>
      <c r="L123" s="689" t="s">
        <v>32</v>
      </c>
      <c r="M123" s="690" t="s">
        <v>4</v>
      </c>
      <c r="N123" s="691" t="s">
        <v>5</v>
      </c>
      <c r="O123" s="692" t="str">
        <f>PL!$P$4</f>
        <v>BIN</v>
      </c>
      <c r="P123" s="692" t="str">
        <f>PL!$I$6</f>
        <v>K_INR</v>
      </c>
      <c r="Q123" s="693"/>
      <c r="R123" s="693"/>
      <c r="S123" s="693"/>
      <c r="T123" s="693"/>
      <c r="U123" s="693"/>
      <c r="V123" s="693"/>
      <c r="W123" s="693"/>
      <c r="X123" s="693"/>
      <c r="Y123" s="693"/>
      <c r="Z123" s="693"/>
      <c r="AA123" s="693"/>
      <c r="AB123" s="693"/>
    </row>
    <row r="124" spans="1:28">
      <c r="A124" s="598">
        <v>1</v>
      </c>
      <c r="B124" s="598" t="s">
        <v>512</v>
      </c>
      <c r="C124" s="703" t="s">
        <v>954</v>
      </c>
      <c r="D124" s="702" t="s">
        <v>643</v>
      </c>
      <c r="E124" s="598" t="s">
        <v>39</v>
      </c>
      <c r="G124" s="244"/>
      <c r="H124" s="244"/>
      <c r="I124" s="245"/>
      <c r="J124" s="219" t="s">
        <v>39</v>
      </c>
      <c r="K124" s="231" t="s">
        <v>12</v>
      </c>
      <c r="L124" s="231" t="s">
        <v>32</v>
      </c>
      <c r="M124" s="468" t="s">
        <v>4</v>
      </c>
      <c r="N124" s="232" t="s">
        <v>5</v>
      </c>
      <c r="O124" s="216" t="str">
        <f>PL!$P$4</f>
        <v>BIN</v>
      </c>
      <c r="P124" s="216" t="str">
        <f>PL!$I$6</f>
        <v>K_INR</v>
      </c>
      <c r="Q124" s="222" t="str">
        <f>PL!Q$787</f>
        <v>S/GP (5) Net Sales Indirect IMS</v>
      </c>
      <c r="R124" s="222">
        <f>PL!S$787</f>
        <v>0</v>
      </c>
      <c r="S124" s="222">
        <f>PL!T$787</f>
        <v>0</v>
      </c>
      <c r="T124" s="222">
        <f>PL!U$787</f>
        <v>0</v>
      </c>
      <c r="U124" s="222">
        <f>PL!V$787</f>
        <v>0</v>
      </c>
      <c r="V124" s="222">
        <f>PL!W$787</f>
        <v>0</v>
      </c>
      <c r="W124" s="222">
        <f>PL!X$787</f>
        <v>0</v>
      </c>
      <c r="X124" s="222">
        <f>PL!Y$787</f>
        <v>0</v>
      </c>
      <c r="Y124" s="222">
        <f>PL!Z$787</f>
        <v>0</v>
      </c>
      <c r="Z124" s="222">
        <f>PL!AA$787</f>
        <v>0</v>
      </c>
      <c r="AA124" s="222">
        <f>PL!AB$787</f>
        <v>0</v>
      </c>
      <c r="AB124" s="222">
        <f>PL!AC$787</f>
        <v>0</v>
      </c>
    </row>
    <row r="125" spans="1:28">
      <c r="A125" s="598">
        <v>1</v>
      </c>
      <c r="B125" s="598" t="s">
        <v>512</v>
      </c>
      <c r="C125" s="703" t="s">
        <v>954</v>
      </c>
      <c r="D125" s="702" t="s">
        <v>1234</v>
      </c>
      <c r="E125" s="598" t="s">
        <v>39</v>
      </c>
      <c r="G125" s="244"/>
      <c r="H125" s="244"/>
      <c r="I125" s="245"/>
      <c r="J125" s="219" t="s">
        <v>39</v>
      </c>
      <c r="K125" s="680" t="s">
        <v>1233</v>
      </c>
      <c r="L125" s="231" t="s">
        <v>32</v>
      </c>
      <c r="M125" s="468" t="s">
        <v>4</v>
      </c>
      <c r="N125" s="232" t="s">
        <v>5</v>
      </c>
      <c r="O125" s="216" t="str">
        <f>PL!$P$4</f>
        <v>BIN</v>
      </c>
      <c r="P125" s="216" t="str">
        <f>PL!$I$6</f>
        <v>K_INR</v>
      </c>
      <c r="Q125" s="222" t="str">
        <f>PL!Q$788</f>
        <v>S/GP (5) Net Sales Indirect ICW-IT</v>
      </c>
      <c r="R125" s="222">
        <f>PL!S$788</f>
        <v>0</v>
      </c>
      <c r="S125" s="222">
        <f>PL!T$788</f>
        <v>0</v>
      </c>
      <c r="T125" s="222">
        <f>PL!U$788</f>
        <v>0</v>
      </c>
      <c r="U125" s="222">
        <f>PL!V$788</f>
        <v>0</v>
      </c>
      <c r="V125" s="222">
        <f>PL!W$788</f>
        <v>0</v>
      </c>
      <c r="W125" s="222">
        <f>PL!X$788</f>
        <v>0</v>
      </c>
      <c r="X125" s="222">
        <f>PL!Y$788</f>
        <v>0</v>
      </c>
      <c r="Y125" s="222">
        <f>PL!Z$788</f>
        <v>0</v>
      </c>
      <c r="Z125" s="222">
        <f>PL!AA$788</f>
        <v>0</v>
      </c>
      <c r="AA125" s="222">
        <f>PL!AB$788</f>
        <v>0</v>
      </c>
      <c r="AB125" s="222">
        <f>PL!AC$788</f>
        <v>0</v>
      </c>
    </row>
    <row r="126" spans="1:28">
      <c r="A126" s="598">
        <v>1</v>
      </c>
      <c r="B126" s="598" t="s">
        <v>512</v>
      </c>
      <c r="C126" s="703" t="s">
        <v>954</v>
      </c>
      <c r="D126" s="702" t="s">
        <v>13</v>
      </c>
      <c r="E126" s="598" t="s">
        <v>39</v>
      </c>
      <c r="G126" s="244"/>
      <c r="H126" s="244"/>
      <c r="I126" s="245"/>
      <c r="J126" s="219" t="s">
        <v>39</v>
      </c>
      <c r="K126" s="231" t="s">
        <v>13</v>
      </c>
      <c r="L126" s="231" t="s">
        <v>32</v>
      </c>
      <c r="M126" s="468" t="s">
        <v>4</v>
      </c>
      <c r="N126" s="232" t="s">
        <v>5</v>
      </c>
      <c r="O126" s="216" t="str">
        <f>PL!$P$4</f>
        <v>BIN</v>
      </c>
      <c r="P126" s="216" t="str">
        <f>PL!$I$6</f>
        <v>K_INR</v>
      </c>
      <c r="Q126" s="222" t="str">
        <f>PL!Q$789</f>
        <v>S/GP (5) Net Sales Indirect MCS</v>
      </c>
      <c r="R126" s="222">
        <f>PL!S$789</f>
        <v>0</v>
      </c>
      <c r="S126" s="222">
        <f>PL!T$789</f>
        <v>0</v>
      </c>
      <c r="T126" s="222">
        <f>PL!U$789</f>
        <v>0</v>
      </c>
      <c r="U126" s="222">
        <f>PL!V$789</f>
        <v>0</v>
      </c>
      <c r="V126" s="222">
        <f>PL!W$789</f>
        <v>0</v>
      </c>
      <c r="W126" s="222">
        <f>PL!X$789</f>
        <v>0</v>
      </c>
      <c r="X126" s="222">
        <f>PL!Y$789</f>
        <v>0</v>
      </c>
      <c r="Y126" s="222">
        <f>PL!Z$789</f>
        <v>0</v>
      </c>
      <c r="Z126" s="222">
        <f>PL!AA$789</f>
        <v>0</v>
      </c>
      <c r="AA126" s="222">
        <f>PL!AB$789</f>
        <v>0</v>
      </c>
      <c r="AB126" s="222">
        <f>PL!AC$789</f>
        <v>0</v>
      </c>
    </row>
    <row r="127" spans="1:28">
      <c r="A127" s="598">
        <v>1</v>
      </c>
      <c r="B127" s="598" t="s">
        <v>635</v>
      </c>
      <c r="C127" s="703" t="s">
        <v>954</v>
      </c>
      <c r="D127" s="702" t="s">
        <v>1178</v>
      </c>
      <c r="E127" s="598" t="s">
        <v>39</v>
      </c>
      <c r="G127" s="244"/>
      <c r="H127" s="244"/>
      <c r="I127" s="245"/>
      <c r="J127" s="219" t="s">
        <v>39</v>
      </c>
      <c r="K127" s="680" t="s">
        <v>1156</v>
      </c>
      <c r="L127" s="231" t="s">
        <v>32</v>
      </c>
      <c r="M127" s="468" t="s">
        <v>4</v>
      </c>
      <c r="N127" s="232" t="s">
        <v>5</v>
      </c>
      <c r="O127" s="216" t="str">
        <f>PL!$P$4</f>
        <v>BIN</v>
      </c>
      <c r="P127" s="216" t="str">
        <f>PL!$I$6</f>
        <v>K_INR</v>
      </c>
      <c r="Q127" s="222" t="str">
        <f>PL!Q$790</f>
        <v>S/GP (5) Net Sales Indirect BPS</v>
      </c>
      <c r="R127" s="222">
        <f>PL!S$790</f>
        <v>0</v>
      </c>
      <c r="S127" s="222">
        <f>PL!T$790</f>
        <v>0</v>
      </c>
      <c r="T127" s="222">
        <f>PL!U$790</f>
        <v>0</v>
      </c>
      <c r="U127" s="222">
        <f>PL!V$790</f>
        <v>0</v>
      </c>
      <c r="V127" s="222">
        <f>PL!W$790</f>
        <v>0</v>
      </c>
      <c r="W127" s="222">
        <f>PL!X$790</f>
        <v>0</v>
      </c>
      <c r="X127" s="222">
        <f>PL!Y$790</f>
        <v>0</v>
      </c>
      <c r="Y127" s="222">
        <f>PL!Z$790</f>
        <v>0</v>
      </c>
      <c r="Z127" s="222">
        <f>PL!AA$790</f>
        <v>0</v>
      </c>
      <c r="AA127" s="222">
        <f>PL!AB$790</f>
        <v>0</v>
      </c>
      <c r="AB127" s="222">
        <f>PL!AC$790</f>
        <v>0</v>
      </c>
    </row>
    <row r="128" spans="1:28">
      <c r="A128" s="598">
        <v>1</v>
      </c>
      <c r="B128" s="598" t="s">
        <v>512</v>
      </c>
      <c r="C128" s="703" t="s">
        <v>954</v>
      </c>
      <c r="D128" s="702" t="s">
        <v>1235</v>
      </c>
      <c r="E128" s="598" t="s">
        <v>39</v>
      </c>
      <c r="G128" s="244"/>
      <c r="H128" s="244"/>
      <c r="I128" s="245"/>
      <c r="J128" s="219" t="s">
        <v>39</v>
      </c>
      <c r="K128" s="680" t="s">
        <v>1183</v>
      </c>
      <c r="L128" s="231" t="s">
        <v>32</v>
      </c>
      <c r="M128" s="468" t="s">
        <v>4</v>
      </c>
      <c r="N128" s="232" t="s">
        <v>5</v>
      </c>
      <c r="O128" s="216" t="str">
        <f>PL!$P$4</f>
        <v>BIN</v>
      </c>
      <c r="P128" s="216" t="str">
        <f>PL!$I$6</f>
        <v>K_INR</v>
      </c>
      <c r="Q128" s="222" t="str">
        <f>PL!Q$791</f>
        <v>S/GP (5) Net Sales Indirect ICW-WK</v>
      </c>
      <c r="R128" s="222">
        <f>PL!S$791</f>
        <v>0</v>
      </c>
      <c r="S128" s="222">
        <f>PL!T$791</f>
        <v>0</v>
      </c>
      <c r="T128" s="222">
        <f>PL!U$791</f>
        <v>0</v>
      </c>
      <c r="U128" s="222">
        <f>PL!V$791</f>
        <v>0</v>
      </c>
      <c r="V128" s="222">
        <f>PL!W$791</f>
        <v>0</v>
      </c>
      <c r="W128" s="222">
        <f>PL!X$791</f>
        <v>0</v>
      </c>
      <c r="X128" s="222">
        <f>PL!Y$791</f>
        <v>0</v>
      </c>
      <c r="Y128" s="222">
        <f>PL!Z$791</f>
        <v>0</v>
      </c>
      <c r="Z128" s="222">
        <f>PL!AA$791</f>
        <v>0</v>
      </c>
      <c r="AA128" s="222">
        <f>PL!AB$791</f>
        <v>0</v>
      </c>
      <c r="AB128" s="222">
        <f>PL!AC$791</f>
        <v>0</v>
      </c>
    </row>
    <row r="129" spans="1:28">
      <c r="A129" s="598">
        <v>1</v>
      </c>
      <c r="B129" s="598" t="s">
        <v>512</v>
      </c>
      <c r="C129" s="703" t="s">
        <v>954</v>
      </c>
      <c r="D129" s="702" t="s">
        <v>1236</v>
      </c>
      <c r="E129" s="598" t="s">
        <v>39</v>
      </c>
      <c r="G129" s="244"/>
      <c r="H129" s="244"/>
      <c r="I129" s="245"/>
      <c r="J129" s="219" t="s">
        <v>39</v>
      </c>
      <c r="K129" s="680" t="s">
        <v>1181</v>
      </c>
      <c r="L129" s="231" t="s">
        <v>32</v>
      </c>
      <c r="M129" s="468" t="s">
        <v>4</v>
      </c>
      <c r="N129" s="232" t="s">
        <v>5</v>
      </c>
      <c r="O129" s="216" t="str">
        <f>PL!$P$4</f>
        <v>BIN</v>
      </c>
      <c r="P129" s="216" t="str">
        <f>PL!$I$6</f>
        <v>K_INR</v>
      </c>
      <c r="Q129" s="222" t="str">
        <f>PL!Q$792</f>
        <v>S/GP (5) Net Sales Indirect ICW-P</v>
      </c>
      <c r="R129" s="222">
        <f>PL!S$792</f>
        <v>0</v>
      </c>
      <c r="S129" s="222">
        <f>PL!T$792</f>
        <v>0</v>
      </c>
      <c r="T129" s="222">
        <f>PL!U$792</f>
        <v>0</v>
      </c>
      <c r="U129" s="222">
        <f>PL!V$792</f>
        <v>0</v>
      </c>
      <c r="V129" s="222">
        <f>PL!W$792</f>
        <v>0</v>
      </c>
      <c r="W129" s="222">
        <f>PL!X$792</f>
        <v>0</v>
      </c>
      <c r="X129" s="222">
        <f>PL!Y$792</f>
        <v>0</v>
      </c>
      <c r="Y129" s="222">
        <f>PL!Z$792</f>
        <v>0</v>
      </c>
      <c r="Z129" s="222">
        <f>PL!AA$792</f>
        <v>0</v>
      </c>
      <c r="AA129" s="222">
        <f>PL!AB$792</f>
        <v>0</v>
      </c>
      <c r="AB129" s="222">
        <f>PL!AC$792</f>
        <v>0</v>
      </c>
    </row>
    <row r="130" spans="1:28" s="682" customFormat="1">
      <c r="A130" s="682">
        <v>1</v>
      </c>
      <c r="C130" s="1408"/>
      <c r="D130" s="1407"/>
      <c r="F130" s="684"/>
      <c r="G130" s="685"/>
      <c r="H130" s="685"/>
      <c r="I130" s="686"/>
      <c r="J130" s="687" t="s">
        <v>31</v>
      </c>
      <c r="K130" s="723" t="s">
        <v>88</v>
      </c>
      <c r="L130" s="689" t="s">
        <v>29</v>
      </c>
      <c r="M130" s="690" t="s">
        <v>4</v>
      </c>
      <c r="N130" s="691" t="s">
        <v>5</v>
      </c>
      <c r="O130" s="692" t="str">
        <f>PL!$P$4</f>
        <v>BIN</v>
      </c>
      <c r="P130" s="692" t="str">
        <f>PL!$I$6</f>
        <v>K_INR</v>
      </c>
      <c r="Q130" s="693">
        <f>SUM(Q131:Q136)</f>
        <v>0</v>
      </c>
      <c r="R130" s="693">
        <f t="shared" ref="R130:AB130" si="9">SUM(R131:R136)</f>
        <v>130</v>
      </c>
      <c r="S130" s="693">
        <f t="shared" si="9"/>
        <v>184</v>
      </c>
      <c r="T130" s="693">
        <f t="shared" si="9"/>
        <v>686</v>
      </c>
      <c r="U130" s="693">
        <f t="shared" si="9"/>
        <v>461</v>
      </c>
      <c r="V130" s="693">
        <f t="shared" si="9"/>
        <v>22</v>
      </c>
      <c r="W130" s="693">
        <f t="shared" si="9"/>
        <v>363</v>
      </c>
      <c r="X130" s="693">
        <f t="shared" si="9"/>
        <v>407</v>
      </c>
      <c r="Y130" s="693">
        <f t="shared" si="9"/>
        <v>0</v>
      </c>
      <c r="Z130" s="693">
        <f t="shared" si="9"/>
        <v>187</v>
      </c>
      <c r="AA130" s="693">
        <f t="shared" si="9"/>
        <v>362</v>
      </c>
      <c r="AB130" s="693">
        <f t="shared" si="9"/>
        <v>401</v>
      </c>
    </row>
    <row r="131" spans="1:28">
      <c r="A131" s="598">
        <v>1</v>
      </c>
      <c r="B131" s="598" t="s">
        <v>512</v>
      </c>
      <c r="C131" s="703" t="s">
        <v>954</v>
      </c>
      <c r="D131" s="702" t="s">
        <v>643</v>
      </c>
      <c r="E131" s="598" t="s">
        <v>45</v>
      </c>
      <c r="G131" s="244"/>
      <c r="H131" s="244"/>
      <c r="I131" s="245"/>
      <c r="J131" s="220" t="s">
        <v>31</v>
      </c>
      <c r="K131" s="231" t="s">
        <v>12</v>
      </c>
      <c r="L131" s="231" t="s">
        <v>29</v>
      </c>
      <c r="M131" s="468" t="s">
        <v>4</v>
      </c>
      <c r="N131" s="232" t="s">
        <v>5</v>
      </c>
      <c r="O131" s="216" t="str">
        <f>PL!$P$4</f>
        <v>BIN</v>
      </c>
      <c r="P131" s="216" t="str">
        <f>PL!$I$6</f>
        <v>K_INR</v>
      </c>
      <c r="Q131" s="222" t="str">
        <f>PL!Q$795</f>
        <v>S/GP (5) Gross Profit Direct IMS</v>
      </c>
      <c r="R131" s="222">
        <f>PL!S$795</f>
        <v>0</v>
      </c>
      <c r="S131" s="222">
        <f>PL!T$795</f>
        <v>0</v>
      </c>
      <c r="T131" s="222">
        <f>PL!U$795</f>
        <v>510</v>
      </c>
      <c r="U131" s="222">
        <f>PL!V$795</f>
        <v>0</v>
      </c>
      <c r="V131" s="222">
        <f>PL!W$795</f>
        <v>0</v>
      </c>
      <c r="W131" s="222">
        <f>PL!X$795</f>
        <v>165</v>
      </c>
      <c r="X131" s="222">
        <f>PL!Y$795</f>
        <v>0</v>
      </c>
      <c r="Y131" s="222">
        <f>PL!Z$795</f>
        <v>0</v>
      </c>
      <c r="Z131" s="222">
        <f>PL!AA$795</f>
        <v>165</v>
      </c>
      <c r="AA131" s="222">
        <f>PL!AB$795</f>
        <v>0</v>
      </c>
      <c r="AB131" s="222">
        <f>PL!AC$795</f>
        <v>0</v>
      </c>
    </row>
    <row r="132" spans="1:28">
      <c r="A132" s="598">
        <v>1</v>
      </c>
      <c r="B132" s="598" t="s">
        <v>512</v>
      </c>
      <c r="C132" s="703" t="s">
        <v>954</v>
      </c>
      <c r="D132" s="702" t="s">
        <v>1234</v>
      </c>
      <c r="E132" s="598" t="s">
        <v>45</v>
      </c>
      <c r="G132" s="244"/>
      <c r="H132" s="244"/>
      <c r="I132" s="245"/>
      <c r="J132" s="220" t="s">
        <v>31</v>
      </c>
      <c r="K132" s="680" t="s">
        <v>1233</v>
      </c>
      <c r="L132" s="231" t="s">
        <v>29</v>
      </c>
      <c r="M132" s="468" t="s">
        <v>4</v>
      </c>
      <c r="N132" s="232" t="s">
        <v>5</v>
      </c>
      <c r="O132" s="216" t="str">
        <f>PL!$P$4</f>
        <v>BIN</v>
      </c>
      <c r="P132" s="216" t="str">
        <f>PL!$I$6</f>
        <v>K_INR</v>
      </c>
      <c r="Q132" s="222" t="str">
        <f>PL!Q$800</f>
        <v>S/GP (5) Gross Profit Direct ICW-IT</v>
      </c>
      <c r="R132" s="222">
        <f>PL!S$800</f>
        <v>0</v>
      </c>
      <c r="S132" s="222">
        <f>PL!T$800</f>
        <v>0</v>
      </c>
      <c r="T132" s="222">
        <f>PL!U$800</f>
        <v>0</v>
      </c>
      <c r="U132" s="222">
        <f>PL!V$800</f>
        <v>0</v>
      </c>
      <c r="V132" s="222">
        <f>PL!W$800</f>
        <v>0</v>
      </c>
      <c r="W132" s="222">
        <f>PL!X$800</f>
        <v>0</v>
      </c>
      <c r="X132" s="222">
        <f>PL!Y$800</f>
        <v>0</v>
      </c>
      <c r="Y132" s="222">
        <f>PL!Z$800</f>
        <v>0</v>
      </c>
      <c r="Z132" s="222">
        <f>PL!AA$800</f>
        <v>0</v>
      </c>
      <c r="AA132" s="222">
        <f>PL!AB$800</f>
        <v>0</v>
      </c>
      <c r="AB132" s="222">
        <f>PL!AC$800</f>
        <v>0</v>
      </c>
    </row>
    <row r="133" spans="1:28">
      <c r="A133" s="598">
        <v>1</v>
      </c>
      <c r="B133" s="598" t="s">
        <v>512</v>
      </c>
      <c r="C133" s="703" t="s">
        <v>954</v>
      </c>
      <c r="D133" s="702" t="s">
        <v>13</v>
      </c>
      <c r="E133" s="598" t="s">
        <v>45</v>
      </c>
      <c r="G133" s="244"/>
      <c r="H133" s="244"/>
      <c r="I133" s="245"/>
      <c r="J133" s="220" t="s">
        <v>31</v>
      </c>
      <c r="K133" s="231" t="s">
        <v>13</v>
      </c>
      <c r="L133" s="231" t="s">
        <v>29</v>
      </c>
      <c r="M133" s="468" t="s">
        <v>4</v>
      </c>
      <c r="N133" s="232" t="s">
        <v>5</v>
      </c>
      <c r="O133" s="216" t="str">
        <f>PL!$P$4</f>
        <v>BIN</v>
      </c>
      <c r="P133" s="216" t="str">
        <f>PL!$I$6</f>
        <v>K_INR</v>
      </c>
      <c r="Q133" s="222" t="str">
        <f>PL!Q$805</f>
        <v>S/GP (5) Gross Profit Direct MCS</v>
      </c>
      <c r="R133" s="222">
        <f>PL!S$805</f>
        <v>130</v>
      </c>
      <c r="S133" s="222">
        <f>PL!T$805</f>
        <v>184</v>
      </c>
      <c r="T133" s="222">
        <f>PL!U$805</f>
        <v>176</v>
      </c>
      <c r="U133" s="222">
        <f>PL!V$805</f>
        <v>461</v>
      </c>
      <c r="V133" s="222">
        <f>PL!W$805</f>
        <v>22</v>
      </c>
      <c r="W133" s="222">
        <f>PL!X$805</f>
        <v>198</v>
      </c>
      <c r="X133" s="222">
        <f>PL!Y$805</f>
        <v>407</v>
      </c>
      <c r="Y133" s="222">
        <f>PL!Z$805</f>
        <v>0</v>
      </c>
      <c r="Z133" s="222">
        <f>PL!AA$805</f>
        <v>22</v>
      </c>
      <c r="AA133" s="222">
        <f>PL!AB$805</f>
        <v>362</v>
      </c>
      <c r="AB133" s="222">
        <f>PL!AC$805</f>
        <v>401</v>
      </c>
    </row>
    <row r="134" spans="1:28">
      <c r="A134" s="598">
        <v>1</v>
      </c>
      <c r="B134" s="598" t="s">
        <v>512</v>
      </c>
      <c r="C134" s="703" t="s">
        <v>954</v>
      </c>
      <c r="D134" s="702" t="s">
        <v>1178</v>
      </c>
      <c r="E134" s="598" t="s">
        <v>45</v>
      </c>
      <c r="G134" s="244"/>
      <c r="H134" s="244"/>
      <c r="I134" s="245"/>
      <c r="J134" s="220" t="s">
        <v>31</v>
      </c>
      <c r="K134" s="680" t="s">
        <v>1156</v>
      </c>
      <c r="L134" s="231" t="s">
        <v>29</v>
      </c>
      <c r="M134" s="468" t="s">
        <v>4</v>
      </c>
      <c r="N134" s="232" t="s">
        <v>5</v>
      </c>
      <c r="O134" s="216" t="str">
        <f>PL!$P$4</f>
        <v>BIN</v>
      </c>
      <c r="P134" s="216" t="str">
        <f>PL!$I$6</f>
        <v>K_INR</v>
      </c>
      <c r="Q134" s="222" t="str">
        <f>PL!Q$810</f>
        <v>S/GP (5) Gross Profit Direct BPS</v>
      </c>
      <c r="R134" s="222">
        <f>PL!S$810</f>
        <v>0</v>
      </c>
      <c r="S134" s="222">
        <f>PL!T$810</f>
        <v>0</v>
      </c>
      <c r="T134" s="222">
        <f>PL!U$810</f>
        <v>0</v>
      </c>
      <c r="U134" s="222">
        <f>PL!V$810</f>
        <v>0</v>
      </c>
      <c r="V134" s="222">
        <f>PL!W$810</f>
        <v>0</v>
      </c>
      <c r="W134" s="222">
        <f>PL!X$810</f>
        <v>0</v>
      </c>
      <c r="X134" s="222">
        <f>PL!Y$810</f>
        <v>0</v>
      </c>
      <c r="Y134" s="222">
        <f>PL!Z$810</f>
        <v>0</v>
      </c>
      <c r="Z134" s="222">
        <f>PL!AA$810</f>
        <v>0</v>
      </c>
      <c r="AA134" s="222">
        <f>PL!AB$810</f>
        <v>0</v>
      </c>
      <c r="AB134" s="222">
        <f>PL!AC$810</f>
        <v>0</v>
      </c>
    </row>
    <row r="135" spans="1:28">
      <c r="A135" s="598">
        <v>1</v>
      </c>
      <c r="B135" s="598" t="s">
        <v>512</v>
      </c>
      <c r="C135" s="703" t="s">
        <v>954</v>
      </c>
      <c r="D135" s="702" t="s">
        <v>1235</v>
      </c>
      <c r="E135" s="598" t="s">
        <v>45</v>
      </c>
      <c r="G135" s="244"/>
      <c r="H135" s="244"/>
      <c r="I135" s="245"/>
      <c r="J135" s="220" t="s">
        <v>31</v>
      </c>
      <c r="K135" s="680" t="s">
        <v>1183</v>
      </c>
      <c r="L135" s="231" t="s">
        <v>29</v>
      </c>
      <c r="M135" s="468" t="s">
        <v>4</v>
      </c>
      <c r="N135" s="232" t="s">
        <v>5</v>
      </c>
      <c r="O135" s="216" t="str">
        <f>PL!$P$4</f>
        <v>BIN</v>
      </c>
      <c r="P135" s="216" t="str">
        <f>PL!$I$6</f>
        <v>K_INR</v>
      </c>
      <c r="Q135" s="222" t="str">
        <f>PL!Q$815</f>
        <v>S/GP (5) Gross Profit Direct ICW-WK</v>
      </c>
      <c r="R135" s="222">
        <f>PL!S$815</f>
        <v>0</v>
      </c>
      <c r="S135" s="222">
        <f>PL!T$815</f>
        <v>0</v>
      </c>
      <c r="T135" s="222">
        <f>PL!U$815</f>
        <v>0</v>
      </c>
      <c r="U135" s="222">
        <f>PL!V$815</f>
        <v>0</v>
      </c>
      <c r="V135" s="222">
        <f>PL!W$815</f>
        <v>0</v>
      </c>
      <c r="W135" s="222">
        <f>PL!X$815</f>
        <v>0</v>
      </c>
      <c r="X135" s="222">
        <f>PL!Y$815</f>
        <v>0</v>
      </c>
      <c r="Y135" s="222">
        <f>PL!Z$815</f>
        <v>0</v>
      </c>
      <c r="Z135" s="222">
        <f>PL!AA$815</f>
        <v>0</v>
      </c>
      <c r="AA135" s="222">
        <f>PL!AB$815</f>
        <v>0</v>
      </c>
      <c r="AB135" s="222">
        <f>PL!AC$815</f>
        <v>0</v>
      </c>
    </row>
    <row r="136" spans="1:28">
      <c r="A136" s="598">
        <v>1</v>
      </c>
      <c r="B136" s="598" t="s">
        <v>512</v>
      </c>
      <c r="C136" s="703" t="s">
        <v>954</v>
      </c>
      <c r="D136" s="702" t="s">
        <v>1236</v>
      </c>
      <c r="E136" s="598" t="s">
        <v>45</v>
      </c>
      <c r="G136" s="244"/>
      <c r="H136" s="244"/>
      <c r="I136" s="245"/>
      <c r="J136" s="220" t="s">
        <v>31</v>
      </c>
      <c r="K136" s="680" t="s">
        <v>1181</v>
      </c>
      <c r="L136" s="231" t="s">
        <v>29</v>
      </c>
      <c r="M136" s="468" t="s">
        <v>4</v>
      </c>
      <c r="N136" s="232" t="s">
        <v>5</v>
      </c>
      <c r="O136" s="216" t="str">
        <f>PL!$P$4</f>
        <v>BIN</v>
      </c>
      <c r="P136" s="216" t="str">
        <f>PL!$I$6</f>
        <v>K_INR</v>
      </c>
      <c r="Q136" s="222" t="str">
        <f>PL!Q$820</f>
        <v>S/GP (5) Gross Profit Direct ICW-P</v>
      </c>
      <c r="R136" s="222">
        <f>PL!S$820</f>
        <v>0</v>
      </c>
      <c r="S136" s="222">
        <f>PL!T$820</f>
        <v>0</v>
      </c>
      <c r="T136" s="222">
        <f>PL!U$820</f>
        <v>0</v>
      </c>
      <c r="U136" s="222">
        <f>PL!V$820</f>
        <v>0</v>
      </c>
      <c r="V136" s="222">
        <f>PL!W$820</f>
        <v>0</v>
      </c>
      <c r="W136" s="222">
        <f>PL!X$820</f>
        <v>0</v>
      </c>
      <c r="X136" s="222">
        <f>PL!Y$820</f>
        <v>0</v>
      </c>
      <c r="Y136" s="222">
        <f>PL!Z$820</f>
        <v>0</v>
      </c>
      <c r="Z136" s="222">
        <f>PL!AA$820</f>
        <v>0</v>
      </c>
      <c r="AA136" s="222">
        <f>PL!AB$820</f>
        <v>0</v>
      </c>
      <c r="AB136" s="222">
        <f>PL!AC$820</f>
        <v>0</v>
      </c>
    </row>
    <row r="137" spans="1:28" s="695" customFormat="1">
      <c r="A137" s="682">
        <v>1</v>
      </c>
      <c r="B137" s="682"/>
      <c r="C137" s="1408"/>
      <c r="D137" s="1407"/>
      <c r="E137" s="682"/>
      <c r="F137" s="684"/>
      <c r="G137" s="685"/>
      <c r="H137" s="685"/>
      <c r="I137" s="686"/>
      <c r="J137" s="687" t="s">
        <v>31</v>
      </c>
      <c r="K137" s="723" t="s">
        <v>88</v>
      </c>
      <c r="L137" s="689" t="s">
        <v>32</v>
      </c>
      <c r="M137" s="694" t="s">
        <v>4</v>
      </c>
      <c r="N137" s="691" t="s">
        <v>5</v>
      </c>
      <c r="O137" s="692" t="str">
        <f>PL!$P$4</f>
        <v>BIN</v>
      </c>
      <c r="P137" s="692" t="str">
        <f>PL!$I$6</f>
        <v>K_INR</v>
      </c>
      <c r="Q137" s="693">
        <f>SUM(Q138:Q143)</f>
        <v>0</v>
      </c>
      <c r="R137" s="693">
        <f t="shared" ref="R137:AB137" si="10">SUM(R138:R143)</f>
        <v>0</v>
      </c>
      <c r="S137" s="693">
        <f t="shared" si="10"/>
        <v>0</v>
      </c>
      <c r="T137" s="693">
        <f t="shared" si="10"/>
        <v>0</v>
      </c>
      <c r="U137" s="693">
        <f t="shared" si="10"/>
        <v>0</v>
      </c>
      <c r="V137" s="693">
        <f t="shared" si="10"/>
        <v>0</v>
      </c>
      <c r="W137" s="693">
        <f t="shared" si="10"/>
        <v>0</v>
      </c>
      <c r="X137" s="693">
        <f t="shared" si="10"/>
        <v>0</v>
      </c>
      <c r="Y137" s="693">
        <f t="shared" si="10"/>
        <v>0</v>
      </c>
      <c r="Z137" s="693">
        <f t="shared" si="10"/>
        <v>0</v>
      </c>
      <c r="AA137" s="693">
        <f t="shared" si="10"/>
        <v>0</v>
      </c>
      <c r="AB137" s="693">
        <f t="shared" si="10"/>
        <v>0</v>
      </c>
    </row>
    <row r="138" spans="1:28">
      <c r="A138" s="598">
        <v>1</v>
      </c>
      <c r="B138" s="598" t="s">
        <v>512</v>
      </c>
      <c r="C138" s="703" t="s">
        <v>954</v>
      </c>
      <c r="D138" s="702" t="s">
        <v>643</v>
      </c>
      <c r="E138" s="598" t="s">
        <v>45</v>
      </c>
      <c r="G138" s="244"/>
      <c r="H138" s="244"/>
      <c r="I138" s="245"/>
      <c r="J138" s="220" t="s">
        <v>31</v>
      </c>
      <c r="K138" s="231" t="s">
        <v>12</v>
      </c>
      <c r="L138" s="237" t="s">
        <v>32</v>
      </c>
      <c r="M138" s="468" t="s">
        <v>4</v>
      </c>
      <c r="N138" s="238" t="s">
        <v>5</v>
      </c>
      <c r="O138" s="216" t="str">
        <f>PL!$P$4</f>
        <v>BIN</v>
      </c>
      <c r="P138" s="216" t="str">
        <f>PL!$I$6</f>
        <v>K_INR</v>
      </c>
      <c r="Q138" s="222" t="str">
        <f>PL!Q$826</f>
        <v>S/GP (5) Gross Profit Indirect IMS</v>
      </c>
      <c r="R138" s="222">
        <f>PL!S$826</f>
        <v>0</v>
      </c>
      <c r="S138" s="222">
        <f>PL!T$826</f>
        <v>0</v>
      </c>
      <c r="T138" s="222">
        <f>PL!U$826</f>
        <v>0</v>
      </c>
      <c r="U138" s="222">
        <f>PL!V$826</f>
        <v>0</v>
      </c>
      <c r="V138" s="222">
        <f>PL!W$826</f>
        <v>0</v>
      </c>
      <c r="W138" s="222">
        <f>PL!X$826</f>
        <v>0</v>
      </c>
      <c r="X138" s="222">
        <f>PL!Y$826</f>
        <v>0</v>
      </c>
      <c r="Y138" s="222">
        <f>PL!Z$826</f>
        <v>0</v>
      </c>
      <c r="Z138" s="222">
        <f>PL!AA$826</f>
        <v>0</v>
      </c>
      <c r="AA138" s="222">
        <f>PL!AB$826</f>
        <v>0</v>
      </c>
      <c r="AB138" s="222">
        <f>PL!AC$826</f>
        <v>0</v>
      </c>
    </row>
    <row r="139" spans="1:28">
      <c r="A139" s="598">
        <v>1</v>
      </c>
      <c r="B139" s="598" t="s">
        <v>512</v>
      </c>
      <c r="C139" s="703" t="s">
        <v>954</v>
      </c>
      <c r="D139" s="702" t="s">
        <v>1234</v>
      </c>
      <c r="E139" s="598" t="s">
        <v>45</v>
      </c>
      <c r="G139" s="244"/>
      <c r="H139" s="244"/>
      <c r="I139" s="245"/>
      <c r="J139" s="220" t="s">
        <v>31</v>
      </c>
      <c r="K139" s="680" t="s">
        <v>1233</v>
      </c>
      <c r="L139" s="237" t="s">
        <v>32</v>
      </c>
      <c r="M139" s="468" t="s">
        <v>4</v>
      </c>
      <c r="N139" s="238" t="s">
        <v>5</v>
      </c>
      <c r="O139" s="216" t="str">
        <f>PL!$P$4</f>
        <v>BIN</v>
      </c>
      <c r="P139" s="216" t="str">
        <f>PL!$I$6</f>
        <v>K_INR</v>
      </c>
      <c r="Q139" s="222" t="str">
        <f>PL!Q$827</f>
        <v>S/GP (5) Gross Profit Indirect ICW-IT</v>
      </c>
      <c r="R139" s="222">
        <f>PL!S$827</f>
        <v>0</v>
      </c>
      <c r="S139" s="222">
        <f>PL!T$827</f>
        <v>0</v>
      </c>
      <c r="T139" s="222">
        <f>PL!U$827</f>
        <v>0</v>
      </c>
      <c r="U139" s="222">
        <f>PL!V$827</f>
        <v>0</v>
      </c>
      <c r="V139" s="222">
        <f>PL!W$827</f>
        <v>0</v>
      </c>
      <c r="W139" s="222">
        <f>PL!X$827</f>
        <v>0</v>
      </c>
      <c r="X139" s="222">
        <f>PL!Y$827</f>
        <v>0</v>
      </c>
      <c r="Y139" s="222">
        <f>PL!Z$827</f>
        <v>0</v>
      </c>
      <c r="Z139" s="222">
        <f>PL!AA$827</f>
        <v>0</v>
      </c>
      <c r="AA139" s="222">
        <f>PL!AB$827</f>
        <v>0</v>
      </c>
      <c r="AB139" s="222">
        <f>PL!AC$827</f>
        <v>0</v>
      </c>
    </row>
    <row r="140" spans="1:28">
      <c r="A140" s="598">
        <v>1</v>
      </c>
      <c r="B140" s="598" t="s">
        <v>512</v>
      </c>
      <c r="C140" s="703" t="s">
        <v>954</v>
      </c>
      <c r="D140" s="702" t="s">
        <v>13</v>
      </c>
      <c r="E140" s="598" t="s">
        <v>45</v>
      </c>
      <c r="G140" s="244"/>
      <c r="H140" s="244"/>
      <c r="I140" s="245"/>
      <c r="J140" s="220" t="s">
        <v>31</v>
      </c>
      <c r="K140" s="231" t="s">
        <v>13</v>
      </c>
      <c r="L140" s="237" t="s">
        <v>32</v>
      </c>
      <c r="M140" s="468" t="s">
        <v>4</v>
      </c>
      <c r="N140" s="238" t="s">
        <v>5</v>
      </c>
      <c r="O140" s="216" t="str">
        <f>PL!$P$4</f>
        <v>BIN</v>
      </c>
      <c r="P140" s="216" t="str">
        <f>PL!$I$6</f>
        <v>K_INR</v>
      </c>
      <c r="Q140" s="222" t="str">
        <f>PL!Q$828</f>
        <v>S/GP (5) Gross Profit Indirect MCS</v>
      </c>
      <c r="R140" s="222">
        <f>PL!S$828</f>
        <v>0</v>
      </c>
      <c r="S140" s="222">
        <f>PL!T$828</f>
        <v>0</v>
      </c>
      <c r="T140" s="222">
        <f>PL!U$828</f>
        <v>0</v>
      </c>
      <c r="U140" s="222">
        <f>PL!V$828</f>
        <v>0</v>
      </c>
      <c r="V140" s="222">
        <f>PL!W$828</f>
        <v>0</v>
      </c>
      <c r="W140" s="222">
        <f>PL!X$828</f>
        <v>0</v>
      </c>
      <c r="X140" s="222">
        <f>PL!Y$828</f>
        <v>0</v>
      </c>
      <c r="Y140" s="222">
        <f>PL!Z$828</f>
        <v>0</v>
      </c>
      <c r="Z140" s="222">
        <f>PL!AA$828</f>
        <v>0</v>
      </c>
      <c r="AA140" s="222">
        <f>PL!AB$828</f>
        <v>0</v>
      </c>
      <c r="AB140" s="222">
        <f>PL!AC$828</f>
        <v>0</v>
      </c>
    </row>
    <row r="141" spans="1:28">
      <c r="A141" s="598">
        <v>1</v>
      </c>
      <c r="B141" s="598" t="s">
        <v>630</v>
      </c>
      <c r="C141" s="703" t="s">
        <v>954</v>
      </c>
      <c r="D141" s="702" t="s">
        <v>1178</v>
      </c>
      <c r="E141" s="598" t="s">
        <v>45</v>
      </c>
      <c r="G141" s="244"/>
      <c r="H141" s="244"/>
      <c r="I141" s="245"/>
      <c r="J141" s="220" t="s">
        <v>31</v>
      </c>
      <c r="K141" s="680" t="s">
        <v>1156</v>
      </c>
      <c r="L141" s="237" t="s">
        <v>32</v>
      </c>
      <c r="M141" s="468" t="s">
        <v>4</v>
      </c>
      <c r="N141" s="238" t="s">
        <v>5</v>
      </c>
      <c r="O141" s="216" t="str">
        <f>PL!$P$4</f>
        <v>BIN</v>
      </c>
      <c r="P141" s="216" t="str">
        <f>PL!$I$6</f>
        <v>K_INR</v>
      </c>
      <c r="Q141" s="222" t="str">
        <f>PL!Q$829</f>
        <v>S/GP (5) Gross Profit Indirect BPS</v>
      </c>
      <c r="R141" s="222">
        <f>PL!S$829</f>
        <v>0</v>
      </c>
      <c r="S141" s="222">
        <f>PL!T$829</f>
        <v>0</v>
      </c>
      <c r="T141" s="222">
        <f>PL!U$829</f>
        <v>0</v>
      </c>
      <c r="U141" s="222">
        <f>PL!V$829</f>
        <v>0</v>
      </c>
      <c r="V141" s="222">
        <f>PL!W$829</f>
        <v>0</v>
      </c>
      <c r="W141" s="222">
        <f>PL!X$829</f>
        <v>0</v>
      </c>
      <c r="X141" s="222">
        <f>PL!Y$829</f>
        <v>0</v>
      </c>
      <c r="Y141" s="222">
        <f>PL!Z$829</f>
        <v>0</v>
      </c>
      <c r="Z141" s="222">
        <f>PL!AA$829</f>
        <v>0</v>
      </c>
      <c r="AA141" s="222">
        <f>PL!AB$829</f>
        <v>0</v>
      </c>
      <c r="AB141" s="222">
        <f>PL!AC$829</f>
        <v>0</v>
      </c>
    </row>
    <row r="142" spans="1:28">
      <c r="A142" s="598">
        <v>1</v>
      </c>
      <c r="B142" s="598" t="s">
        <v>512</v>
      </c>
      <c r="C142" s="703" t="s">
        <v>954</v>
      </c>
      <c r="D142" s="702" t="s">
        <v>1235</v>
      </c>
      <c r="E142" s="598" t="s">
        <v>45</v>
      </c>
      <c r="G142" s="244"/>
      <c r="H142" s="244"/>
      <c r="I142" s="245"/>
      <c r="J142" s="220" t="s">
        <v>31</v>
      </c>
      <c r="K142" s="680" t="s">
        <v>1183</v>
      </c>
      <c r="L142" s="237" t="s">
        <v>32</v>
      </c>
      <c r="M142" s="468" t="s">
        <v>4</v>
      </c>
      <c r="N142" s="238" t="s">
        <v>5</v>
      </c>
      <c r="O142" s="216" t="str">
        <f>PL!$P$4</f>
        <v>BIN</v>
      </c>
      <c r="P142" s="216" t="str">
        <f>PL!$I$6</f>
        <v>K_INR</v>
      </c>
      <c r="Q142" s="222" t="str">
        <f>PL!Q$830</f>
        <v>S/GP (5) Gross Profit Indirect ICW-WK</v>
      </c>
      <c r="R142" s="222">
        <f>PL!S$830</f>
        <v>0</v>
      </c>
      <c r="S142" s="222">
        <f>PL!T$830</f>
        <v>0</v>
      </c>
      <c r="T142" s="222">
        <f>PL!U$830</f>
        <v>0</v>
      </c>
      <c r="U142" s="222">
        <f>PL!V$830</f>
        <v>0</v>
      </c>
      <c r="V142" s="222">
        <f>PL!W$830</f>
        <v>0</v>
      </c>
      <c r="W142" s="222">
        <f>PL!X$830</f>
        <v>0</v>
      </c>
      <c r="X142" s="222">
        <f>PL!Y$830</f>
        <v>0</v>
      </c>
      <c r="Y142" s="222">
        <f>PL!Z$830</f>
        <v>0</v>
      </c>
      <c r="Z142" s="222">
        <f>PL!AA$830</f>
        <v>0</v>
      </c>
      <c r="AA142" s="222">
        <f>PL!AB$830</f>
        <v>0</v>
      </c>
      <c r="AB142" s="222">
        <f>PL!AC$830</f>
        <v>0</v>
      </c>
    </row>
    <row r="143" spans="1:28">
      <c r="A143" s="598">
        <v>1</v>
      </c>
      <c r="B143" s="598" t="s">
        <v>512</v>
      </c>
      <c r="C143" s="703" t="s">
        <v>954</v>
      </c>
      <c r="D143" s="702" t="s">
        <v>1236</v>
      </c>
      <c r="E143" s="598" t="s">
        <v>45</v>
      </c>
      <c r="G143" s="244"/>
      <c r="H143" s="244"/>
      <c r="I143" s="245"/>
      <c r="J143" s="220" t="s">
        <v>31</v>
      </c>
      <c r="K143" s="680" t="s">
        <v>1181</v>
      </c>
      <c r="L143" s="237" t="s">
        <v>32</v>
      </c>
      <c r="M143" s="468" t="s">
        <v>4</v>
      </c>
      <c r="N143" s="238" t="s">
        <v>5</v>
      </c>
      <c r="O143" s="216" t="str">
        <f>PL!$P$4</f>
        <v>BIN</v>
      </c>
      <c r="P143" s="216" t="str">
        <f>PL!$I$6</f>
        <v>K_INR</v>
      </c>
      <c r="Q143" s="222" t="str">
        <f>PL!Q$831</f>
        <v>S/GP (5) Gross Profit Indirect ICW-P</v>
      </c>
      <c r="R143" s="222">
        <f>PL!S$831</f>
        <v>0</v>
      </c>
      <c r="S143" s="222">
        <f>PL!T$831</f>
        <v>0</v>
      </c>
      <c r="T143" s="222">
        <f>PL!U$831</f>
        <v>0</v>
      </c>
      <c r="U143" s="222">
        <f>PL!V$831</f>
        <v>0</v>
      </c>
      <c r="V143" s="222">
        <f>PL!W$831</f>
        <v>0</v>
      </c>
      <c r="W143" s="222">
        <f>PL!X$831</f>
        <v>0</v>
      </c>
      <c r="X143" s="222">
        <f>PL!Y$831</f>
        <v>0</v>
      </c>
      <c r="Y143" s="222">
        <f>PL!Z$831</f>
        <v>0</v>
      </c>
      <c r="Z143" s="222">
        <f>PL!AA$831</f>
        <v>0</v>
      </c>
      <c r="AA143" s="222">
        <f>PL!AB$831</f>
        <v>0</v>
      </c>
      <c r="AB143" s="222">
        <f>PL!AC$831</f>
        <v>0</v>
      </c>
    </row>
    <row r="144" spans="1:28" s="695" customFormat="1">
      <c r="A144" s="682">
        <v>1</v>
      </c>
      <c r="B144" s="682"/>
      <c r="C144" s="1408"/>
      <c r="D144" s="1407"/>
      <c r="E144" s="682"/>
      <c r="F144" s="684"/>
      <c r="G144" s="685"/>
      <c r="H144" s="685"/>
      <c r="I144" s="686"/>
      <c r="J144" s="687" t="s">
        <v>9</v>
      </c>
      <c r="K144" s="723" t="s">
        <v>88</v>
      </c>
      <c r="L144" s="689" t="s">
        <v>3</v>
      </c>
      <c r="M144" s="694" t="s">
        <v>4</v>
      </c>
      <c r="N144" s="691" t="s">
        <v>37</v>
      </c>
      <c r="O144" s="692" t="str">
        <f>PL!$P$4</f>
        <v>BIN</v>
      </c>
      <c r="P144" s="692" t="str">
        <f>PL!$I$6</f>
        <v>K_INR</v>
      </c>
      <c r="Q144" s="693">
        <f t="shared" ref="Q144:AB144" si="11">SUM(Q145:Q150)</f>
        <v>0</v>
      </c>
      <c r="R144" s="693">
        <f t="shared" si="11"/>
        <v>263</v>
      </c>
      <c r="S144" s="693">
        <f t="shared" si="11"/>
        <v>439</v>
      </c>
      <c r="T144" s="693">
        <f t="shared" si="11"/>
        <v>922</v>
      </c>
      <c r="U144" s="693">
        <f t="shared" si="11"/>
        <v>3555</v>
      </c>
      <c r="V144" s="693">
        <f t="shared" si="11"/>
        <v>44</v>
      </c>
      <c r="W144" s="693">
        <f t="shared" si="11"/>
        <v>708</v>
      </c>
      <c r="X144" s="693">
        <f t="shared" si="11"/>
        <v>500</v>
      </c>
      <c r="Y144" s="693">
        <f t="shared" si="11"/>
        <v>0</v>
      </c>
      <c r="Z144" s="693">
        <f t="shared" si="11"/>
        <v>554</v>
      </c>
      <c r="AA144" s="693">
        <f t="shared" si="11"/>
        <v>843</v>
      </c>
      <c r="AB144" s="693">
        <f t="shared" si="11"/>
        <v>281</v>
      </c>
    </row>
    <row r="145" spans="1:28">
      <c r="A145" s="598">
        <v>1</v>
      </c>
      <c r="B145" s="598" t="s">
        <v>512</v>
      </c>
      <c r="C145" s="703" t="s">
        <v>954</v>
      </c>
      <c r="D145" s="702" t="s">
        <v>643</v>
      </c>
      <c r="E145" s="598" t="s">
        <v>9</v>
      </c>
      <c r="G145" s="244"/>
      <c r="H145" s="244"/>
      <c r="I145" s="245"/>
      <c r="J145" s="220" t="s">
        <v>9</v>
      </c>
      <c r="K145" s="231" t="s">
        <v>12</v>
      </c>
      <c r="L145" s="237" t="s">
        <v>3</v>
      </c>
      <c r="M145" s="468" t="s">
        <v>4</v>
      </c>
      <c r="N145" s="238" t="s">
        <v>37</v>
      </c>
      <c r="O145" s="216" t="str">
        <f>PL!$P$4</f>
        <v>BIN</v>
      </c>
      <c r="P145" s="216" t="str">
        <f>PL!$I$6</f>
        <v>K_INR</v>
      </c>
      <c r="Q145" s="222" t="str">
        <f>PL!Q$364</f>
        <v>PL (5) BT Cons. Sales ITS IMS</v>
      </c>
      <c r="R145" s="222">
        <f>PL!S$364</f>
        <v>0</v>
      </c>
      <c r="S145" s="222">
        <f>PL!T$364</f>
        <v>0</v>
      </c>
      <c r="T145" s="222">
        <f>PL!U$364</f>
        <v>510</v>
      </c>
      <c r="U145" s="222">
        <f>PL!V$364</f>
        <v>0</v>
      </c>
      <c r="V145" s="222">
        <f>PL!W$364</f>
        <v>0</v>
      </c>
      <c r="W145" s="222">
        <f>PL!X$364</f>
        <v>510</v>
      </c>
      <c r="X145" s="222">
        <f>PL!Y$364</f>
        <v>0</v>
      </c>
      <c r="Y145" s="222">
        <f>PL!Z$364</f>
        <v>0</v>
      </c>
      <c r="Z145" s="222">
        <f>PL!AA$364</f>
        <v>510</v>
      </c>
      <c r="AA145" s="222">
        <f>PL!AB$364</f>
        <v>0</v>
      </c>
      <c r="AB145" s="222">
        <f>PL!AC$364</f>
        <v>0</v>
      </c>
    </row>
    <row r="146" spans="1:28">
      <c r="A146" s="598">
        <v>1</v>
      </c>
      <c r="B146" s="598" t="s">
        <v>512</v>
      </c>
      <c r="C146" s="703" t="s">
        <v>954</v>
      </c>
      <c r="D146" s="702" t="s">
        <v>1234</v>
      </c>
      <c r="E146" s="598" t="s">
        <v>9</v>
      </c>
      <c r="G146" s="244"/>
      <c r="H146" s="244"/>
      <c r="I146" s="245"/>
      <c r="J146" s="220" t="s">
        <v>9</v>
      </c>
      <c r="K146" s="680" t="s">
        <v>1233</v>
      </c>
      <c r="L146" s="237" t="s">
        <v>3</v>
      </c>
      <c r="M146" s="468" t="s">
        <v>4</v>
      </c>
      <c r="N146" s="238" t="s">
        <v>37</v>
      </c>
      <c r="O146" s="216" t="str">
        <f>PL!$P$4</f>
        <v>BIN</v>
      </c>
      <c r="P146" s="216" t="str">
        <f>PL!$I$6</f>
        <v>K_INR</v>
      </c>
      <c r="Q146" s="222" t="str">
        <f>PL!Q$368</f>
        <v>PL (5) BT Cons. Sales ICW ICW-IT</v>
      </c>
      <c r="R146" s="222">
        <f>PL!S$368</f>
        <v>0</v>
      </c>
      <c r="S146" s="222">
        <f>PL!T$368</f>
        <v>0</v>
      </c>
      <c r="T146" s="222">
        <f>PL!U$368</f>
        <v>0</v>
      </c>
      <c r="U146" s="222">
        <f>PL!V$368</f>
        <v>0</v>
      </c>
      <c r="V146" s="222">
        <f>PL!W$368</f>
        <v>0</v>
      </c>
      <c r="W146" s="222">
        <f>PL!X$368</f>
        <v>0</v>
      </c>
      <c r="X146" s="222">
        <f>PL!Y$368</f>
        <v>0</v>
      </c>
      <c r="Y146" s="222">
        <f>PL!Z$368</f>
        <v>0</v>
      </c>
      <c r="Z146" s="222">
        <f>PL!AA$368</f>
        <v>0</v>
      </c>
      <c r="AA146" s="222">
        <f>PL!AB$368</f>
        <v>0</v>
      </c>
      <c r="AB146" s="222">
        <f>PL!AC$368</f>
        <v>0</v>
      </c>
    </row>
    <row r="147" spans="1:28">
      <c r="A147" s="598">
        <v>1</v>
      </c>
      <c r="B147" s="598" t="s">
        <v>512</v>
      </c>
      <c r="C147" s="703" t="s">
        <v>954</v>
      </c>
      <c r="D147" s="702" t="s">
        <v>13</v>
      </c>
      <c r="E147" s="598" t="s">
        <v>9</v>
      </c>
      <c r="G147" s="244"/>
      <c r="H147" s="244"/>
      <c r="I147" s="245"/>
      <c r="J147" s="220" t="s">
        <v>9</v>
      </c>
      <c r="K147" s="231" t="s">
        <v>13</v>
      </c>
      <c r="L147" s="237" t="s">
        <v>3</v>
      </c>
      <c r="M147" s="468" t="s">
        <v>4</v>
      </c>
      <c r="N147" s="238" t="s">
        <v>37</v>
      </c>
      <c r="O147" s="216" t="str">
        <f>PL!$P$4</f>
        <v>BIN</v>
      </c>
      <c r="P147" s="216" t="str">
        <f>PL!$I$6</f>
        <v>K_INR</v>
      </c>
      <c r="Q147" s="222" t="str">
        <f>PL!Q$365</f>
        <v>PL (5) BT Cons. Sales ITS MCS</v>
      </c>
      <c r="R147" s="222">
        <f>PL!S$365</f>
        <v>263</v>
      </c>
      <c r="S147" s="222">
        <f>PL!T$365</f>
        <v>439</v>
      </c>
      <c r="T147" s="222">
        <f>PL!U$365</f>
        <v>412</v>
      </c>
      <c r="U147" s="222">
        <f>PL!V$365</f>
        <v>3555</v>
      </c>
      <c r="V147" s="222">
        <f>PL!W$365</f>
        <v>44</v>
      </c>
      <c r="W147" s="222">
        <f>PL!X$365</f>
        <v>198</v>
      </c>
      <c r="X147" s="222">
        <f>PL!Y$365</f>
        <v>500</v>
      </c>
      <c r="Y147" s="222">
        <f>PL!Z$365</f>
        <v>0</v>
      </c>
      <c r="Z147" s="222">
        <f>PL!AA$365</f>
        <v>44</v>
      </c>
      <c r="AA147" s="222">
        <f>PL!AB$365</f>
        <v>843</v>
      </c>
      <c r="AB147" s="222">
        <f>PL!AC$365</f>
        <v>281</v>
      </c>
    </row>
    <row r="148" spans="1:28">
      <c r="A148" s="598">
        <v>1</v>
      </c>
      <c r="B148" s="598" t="s">
        <v>512</v>
      </c>
      <c r="C148" s="703" t="s">
        <v>954</v>
      </c>
      <c r="D148" s="702" t="s">
        <v>1178</v>
      </c>
      <c r="E148" s="598" t="s">
        <v>9</v>
      </c>
      <c r="G148" s="244"/>
      <c r="H148" s="244"/>
      <c r="I148" s="245"/>
      <c r="J148" s="220" t="s">
        <v>9</v>
      </c>
      <c r="K148" s="680" t="s">
        <v>1156</v>
      </c>
      <c r="L148" s="237" t="s">
        <v>3</v>
      </c>
      <c r="M148" s="468" t="s">
        <v>4</v>
      </c>
      <c r="N148" s="238" t="s">
        <v>37</v>
      </c>
      <c r="O148" s="216" t="str">
        <f>PL!$P$4</f>
        <v>BIN</v>
      </c>
      <c r="P148" s="216" t="str">
        <f>PL!$I$6</f>
        <v>K_INR</v>
      </c>
      <c r="Q148" s="222" t="str">
        <f>PL!Q$366</f>
        <v>PL (5) BT Cons. Sales ITS BPS</v>
      </c>
      <c r="R148" s="222">
        <f>PL!S$366</f>
        <v>0</v>
      </c>
      <c r="S148" s="222">
        <f>PL!T$366</f>
        <v>0</v>
      </c>
      <c r="T148" s="222">
        <f>PL!U$366</f>
        <v>0</v>
      </c>
      <c r="U148" s="222">
        <f>PL!V$366</f>
        <v>0</v>
      </c>
      <c r="V148" s="222">
        <f>PL!W$366</f>
        <v>0</v>
      </c>
      <c r="W148" s="222">
        <f>PL!X$366</f>
        <v>0</v>
      </c>
      <c r="X148" s="222">
        <f>PL!Y$366</f>
        <v>0</v>
      </c>
      <c r="Y148" s="222">
        <f>PL!Z$366</f>
        <v>0</v>
      </c>
      <c r="Z148" s="222">
        <f>PL!AA$366</f>
        <v>0</v>
      </c>
      <c r="AA148" s="222">
        <f>PL!AB$366</f>
        <v>0</v>
      </c>
      <c r="AB148" s="222">
        <f>PL!AC$366</f>
        <v>0</v>
      </c>
    </row>
    <row r="149" spans="1:28">
      <c r="A149" s="598">
        <v>1</v>
      </c>
      <c r="B149" s="598" t="s">
        <v>512</v>
      </c>
      <c r="C149" s="703" t="s">
        <v>954</v>
      </c>
      <c r="D149" s="702" t="s">
        <v>1235</v>
      </c>
      <c r="E149" s="598" t="s">
        <v>9</v>
      </c>
      <c r="G149" s="244"/>
      <c r="H149" s="244"/>
      <c r="I149" s="245"/>
      <c r="J149" s="220" t="s">
        <v>9</v>
      </c>
      <c r="K149" s="680" t="s">
        <v>1183</v>
      </c>
      <c r="L149" s="237" t="s">
        <v>3</v>
      </c>
      <c r="M149" s="468" t="s">
        <v>4</v>
      </c>
      <c r="N149" s="238" t="s">
        <v>37</v>
      </c>
      <c r="O149" s="216" t="str">
        <f>PL!$P$4</f>
        <v>BIN</v>
      </c>
      <c r="P149" s="216" t="str">
        <f>PL!$I$6</f>
        <v>K_INR</v>
      </c>
      <c r="Q149" s="222" t="str">
        <f>PL!Q$369</f>
        <v>PL (5) BT Cons. Sales ICW ICW-WK</v>
      </c>
      <c r="R149" s="222">
        <f>PL!S$369</f>
        <v>0</v>
      </c>
      <c r="S149" s="222">
        <f>PL!T$369</f>
        <v>0</v>
      </c>
      <c r="T149" s="222">
        <f>PL!U$369</f>
        <v>0</v>
      </c>
      <c r="U149" s="222">
        <f>PL!V$369</f>
        <v>0</v>
      </c>
      <c r="V149" s="222">
        <f>PL!W$369</f>
        <v>0</v>
      </c>
      <c r="W149" s="222">
        <f>PL!X$369</f>
        <v>0</v>
      </c>
      <c r="X149" s="222">
        <f>PL!Y$369</f>
        <v>0</v>
      </c>
      <c r="Y149" s="222">
        <f>PL!Z$369</f>
        <v>0</v>
      </c>
      <c r="Z149" s="222">
        <f>PL!AA$369</f>
        <v>0</v>
      </c>
      <c r="AA149" s="222">
        <f>PL!AB$369</f>
        <v>0</v>
      </c>
      <c r="AB149" s="222">
        <f>PL!AC$369</f>
        <v>0</v>
      </c>
    </row>
    <row r="150" spans="1:28">
      <c r="A150" s="598">
        <v>1</v>
      </c>
      <c r="B150" s="598" t="s">
        <v>512</v>
      </c>
      <c r="C150" s="703" t="s">
        <v>954</v>
      </c>
      <c r="D150" s="702" t="s">
        <v>1236</v>
      </c>
      <c r="E150" s="598" t="s">
        <v>9</v>
      </c>
      <c r="G150" s="244"/>
      <c r="H150" s="244"/>
      <c r="I150" s="245"/>
      <c r="J150" s="220" t="s">
        <v>9</v>
      </c>
      <c r="K150" s="680" t="s">
        <v>1181</v>
      </c>
      <c r="L150" s="237" t="s">
        <v>3</v>
      </c>
      <c r="M150" s="468" t="s">
        <v>4</v>
      </c>
      <c r="N150" s="238" t="s">
        <v>37</v>
      </c>
      <c r="O150" s="216" t="str">
        <f>PL!$P$4</f>
        <v>BIN</v>
      </c>
      <c r="P150" s="216" t="str">
        <f>PL!$I$6</f>
        <v>K_INR</v>
      </c>
      <c r="Q150" s="222" t="str">
        <f>PL!Q$370</f>
        <v>PL (5) BT Cons. Sales ICW ICW-P</v>
      </c>
      <c r="R150" s="222">
        <f>PL!S$370</f>
        <v>0</v>
      </c>
      <c r="S150" s="222">
        <f>PL!T$370</f>
        <v>0</v>
      </c>
      <c r="T150" s="222">
        <f>PL!U$370</f>
        <v>0</v>
      </c>
      <c r="U150" s="222">
        <f>PL!V$370</f>
        <v>0</v>
      </c>
      <c r="V150" s="222">
        <f>PL!W$370</f>
        <v>0</v>
      </c>
      <c r="W150" s="222">
        <f>PL!X$370</f>
        <v>0</v>
      </c>
      <c r="X150" s="222">
        <f>PL!Y$370</f>
        <v>0</v>
      </c>
      <c r="Y150" s="222">
        <f>PL!Z$370</f>
        <v>0</v>
      </c>
      <c r="Z150" s="222">
        <f>PL!AA$370</f>
        <v>0</v>
      </c>
      <c r="AA150" s="222">
        <f>PL!AB$370</f>
        <v>0</v>
      </c>
      <c r="AB150" s="222">
        <f>PL!AC$370</f>
        <v>0</v>
      </c>
    </row>
    <row r="151" spans="1:28" s="682" customFormat="1">
      <c r="A151" s="682">
        <v>1</v>
      </c>
      <c r="C151" s="1408"/>
      <c r="D151" s="1407"/>
      <c r="F151" s="684"/>
      <c r="G151" s="685"/>
      <c r="H151" s="685"/>
      <c r="I151" s="686"/>
      <c r="J151" s="687" t="s">
        <v>44</v>
      </c>
      <c r="K151" s="688" t="s">
        <v>88</v>
      </c>
      <c r="L151" s="694" t="s">
        <v>3</v>
      </c>
      <c r="M151" s="690" t="s">
        <v>4</v>
      </c>
      <c r="N151" s="691" t="s">
        <v>5</v>
      </c>
      <c r="O151" s="692" t="str">
        <f>PL!$P$4</f>
        <v>BIN</v>
      </c>
      <c r="P151" s="692" t="str">
        <f>PL!$I$6</f>
        <v>K_INR</v>
      </c>
      <c r="Q151" s="693">
        <f>SUM(Q152:Q154)</f>
        <v>0</v>
      </c>
      <c r="R151" s="693">
        <f t="shared" ref="R151:AB151" si="12">SUM(R152:R154)</f>
        <v>1791</v>
      </c>
      <c r="S151" s="693">
        <f t="shared" si="12"/>
        <v>1557</v>
      </c>
      <c r="T151" s="693">
        <f t="shared" si="12"/>
        <v>1543</v>
      </c>
      <c r="U151" s="693">
        <f t="shared" si="12"/>
        <v>1234.1868567744368</v>
      </c>
      <c r="V151" s="693">
        <f t="shared" si="12"/>
        <v>1032</v>
      </c>
      <c r="W151" s="693">
        <f t="shared" si="12"/>
        <v>1216</v>
      </c>
      <c r="X151" s="693">
        <f t="shared" si="12"/>
        <v>1046.5941841461286</v>
      </c>
      <c r="Y151" s="693">
        <f t="shared" si="12"/>
        <v>1490.8997470445147</v>
      </c>
      <c r="Z151" s="693">
        <f t="shared" si="12"/>
        <v>1626.6104702177086</v>
      </c>
      <c r="AA151" s="693">
        <f t="shared" si="12"/>
        <v>2004.748270848942</v>
      </c>
      <c r="AB151" s="693">
        <f t="shared" si="12"/>
        <v>1752.4208787210021</v>
      </c>
    </row>
    <row r="152" spans="1:28">
      <c r="A152" s="598">
        <v>1</v>
      </c>
      <c r="B152" s="598" t="s">
        <v>630</v>
      </c>
      <c r="C152" s="703" t="s">
        <v>954</v>
      </c>
      <c r="D152" s="702" t="s">
        <v>505</v>
      </c>
      <c r="E152" s="598" t="s">
        <v>623</v>
      </c>
      <c r="G152" s="244"/>
      <c r="H152" s="244"/>
      <c r="I152" s="245"/>
      <c r="J152" s="224" t="s">
        <v>25</v>
      </c>
      <c r="K152" s="233" t="s">
        <v>88</v>
      </c>
      <c r="L152" s="232" t="s">
        <v>3</v>
      </c>
      <c r="M152" s="468" t="s">
        <v>4</v>
      </c>
      <c r="N152" s="232" t="s">
        <v>5</v>
      </c>
      <c r="O152" s="216" t="str">
        <f>PL!$P$4</f>
        <v>BIN</v>
      </c>
      <c r="P152" s="216" t="str">
        <f>PL!$I$6</f>
        <v>K_INR</v>
      </c>
      <c r="Q152" s="222" t="str">
        <f>PL!Q$390</f>
        <v>PL (5) SGA Expenses Variable Expenses</v>
      </c>
      <c r="R152" s="222">
        <f>PL!S$390</f>
        <v>21</v>
      </c>
      <c r="S152" s="222">
        <f>PL!T$390</f>
        <v>44</v>
      </c>
      <c r="T152" s="222">
        <f>PL!U$390</f>
        <v>33</v>
      </c>
      <c r="U152" s="222">
        <f>PL!V$390</f>
        <v>140.57616273656043</v>
      </c>
      <c r="V152" s="222">
        <f>PL!W$390</f>
        <v>36</v>
      </c>
      <c r="W152" s="222">
        <f>PL!X$390</f>
        <v>139</v>
      </c>
      <c r="X152" s="222">
        <f>PL!Y$390</f>
        <v>46.497217636828026</v>
      </c>
      <c r="Y152" s="222">
        <f>PL!Z$390</f>
        <v>95.754747044514701</v>
      </c>
      <c r="Z152" s="222">
        <f>PL!AA$390</f>
        <v>51.465470217708592</v>
      </c>
      <c r="AA152" s="222">
        <f>PL!AB$390</f>
        <v>392.60327084894192</v>
      </c>
      <c r="AB152" s="222">
        <f>PL!AC$390</f>
        <v>46.280071758696181</v>
      </c>
    </row>
    <row r="153" spans="1:28">
      <c r="A153" s="598">
        <v>1</v>
      </c>
      <c r="B153" s="598" t="s">
        <v>630</v>
      </c>
      <c r="C153" s="703" t="s">
        <v>954</v>
      </c>
      <c r="D153" s="702" t="s">
        <v>644</v>
      </c>
      <c r="E153" s="598" t="s">
        <v>645</v>
      </c>
      <c r="G153" s="244"/>
      <c r="H153" s="244"/>
      <c r="I153" s="245"/>
      <c r="J153" s="224" t="s">
        <v>26</v>
      </c>
      <c r="K153" s="233" t="s">
        <v>88</v>
      </c>
      <c r="L153" s="232" t="s">
        <v>3</v>
      </c>
      <c r="M153" s="468" t="s">
        <v>4</v>
      </c>
      <c r="N153" s="232" t="s">
        <v>5</v>
      </c>
      <c r="O153" s="216" t="str">
        <f>PL!$P$4</f>
        <v>BIN</v>
      </c>
      <c r="P153" s="216" t="str">
        <f>PL!$I$6</f>
        <v>K_INR</v>
      </c>
      <c r="Q153" s="222" t="str">
        <f>PL!Q$391</f>
        <v>PL (5) SGA Expenses Wages &amp; Salaries</v>
      </c>
      <c r="R153" s="222">
        <f>PL!S$391</f>
        <v>1685</v>
      </c>
      <c r="S153" s="222">
        <f>PL!T$391</f>
        <v>1115</v>
      </c>
      <c r="T153" s="222">
        <f>PL!U$391</f>
        <v>1292</v>
      </c>
      <c r="U153" s="222">
        <f>PL!V$391</f>
        <v>808</v>
      </c>
      <c r="V153" s="222">
        <f>PL!W$391</f>
        <v>878</v>
      </c>
      <c r="W153" s="222">
        <f>PL!X$391</f>
        <v>887</v>
      </c>
      <c r="X153" s="222">
        <f>PL!Y$391</f>
        <v>861</v>
      </c>
      <c r="Y153" s="222">
        <f>PL!Z$391</f>
        <v>1253.145</v>
      </c>
      <c r="Z153" s="222">
        <f>PL!AA$391</f>
        <v>1432.145</v>
      </c>
      <c r="AA153" s="222">
        <f>PL!AB$391</f>
        <v>1465.145</v>
      </c>
      <c r="AB153" s="222">
        <f>PL!AC$391</f>
        <v>1474.145</v>
      </c>
    </row>
    <row r="154" spans="1:28">
      <c r="A154" s="598">
        <v>1</v>
      </c>
      <c r="B154" s="598" t="s">
        <v>635</v>
      </c>
      <c r="C154" s="703" t="s">
        <v>954</v>
      </c>
      <c r="D154" s="702" t="s">
        <v>505</v>
      </c>
      <c r="E154" s="598" t="s">
        <v>502</v>
      </c>
      <c r="G154" s="244"/>
      <c r="H154" s="244"/>
      <c r="I154" s="245"/>
      <c r="J154" s="224" t="s">
        <v>27</v>
      </c>
      <c r="K154" s="233" t="s">
        <v>88</v>
      </c>
      <c r="L154" s="232" t="s">
        <v>3</v>
      </c>
      <c r="M154" s="468" t="s">
        <v>4</v>
      </c>
      <c r="N154" s="232" t="s">
        <v>5</v>
      </c>
      <c r="O154" s="216" t="str">
        <f>PL!$P$4</f>
        <v>BIN</v>
      </c>
      <c r="P154" s="216" t="str">
        <f>PL!$I$6</f>
        <v>K_INR</v>
      </c>
      <c r="Q154" s="222" t="str">
        <f>PL!Q$396</f>
        <v>PL (5) SGA Expenses Fixed Expenses</v>
      </c>
      <c r="R154" s="222">
        <f>PL!S$396</f>
        <v>85</v>
      </c>
      <c r="S154" s="222">
        <f>PL!T$396</f>
        <v>398</v>
      </c>
      <c r="T154" s="222">
        <f>PL!U$396</f>
        <v>218</v>
      </c>
      <c r="U154" s="222">
        <f>PL!V$396</f>
        <v>285.61069403787621</v>
      </c>
      <c r="V154" s="222">
        <f>PL!W$396</f>
        <v>118</v>
      </c>
      <c r="W154" s="222">
        <f>PL!X$396</f>
        <v>190</v>
      </c>
      <c r="X154" s="222">
        <f>PL!Y$396</f>
        <v>139.09696650930061</v>
      </c>
      <c r="Y154" s="222">
        <f>PL!Z$396</f>
        <v>142</v>
      </c>
      <c r="Z154" s="222">
        <f>PL!AA$396</f>
        <v>143</v>
      </c>
      <c r="AA154" s="222">
        <f>PL!AB$396</f>
        <v>147</v>
      </c>
      <c r="AB154" s="222">
        <f>PL!AC$396</f>
        <v>231.99580696230598</v>
      </c>
    </row>
    <row r="155" spans="1:28" s="682" customFormat="1">
      <c r="A155" s="682">
        <v>1</v>
      </c>
      <c r="C155" s="1408"/>
      <c r="D155" s="1407"/>
      <c r="F155" s="684"/>
      <c r="G155" s="685"/>
      <c r="H155" s="685"/>
      <c r="I155" s="686"/>
      <c r="J155" s="696" t="s">
        <v>692</v>
      </c>
      <c r="K155" s="688" t="s">
        <v>88</v>
      </c>
      <c r="L155" s="694" t="s">
        <v>3</v>
      </c>
      <c r="M155" s="690" t="s">
        <v>4</v>
      </c>
      <c r="N155" s="691" t="s">
        <v>5</v>
      </c>
      <c r="O155" s="692" t="str">
        <f>PL!$P$4</f>
        <v>BIN</v>
      </c>
      <c r="P155" s="692" t="str">
        <f>PL!$I$6</f>
        <v>K_INR</v>
      </c>
      <c r="Q155" s="693">
        <f>SUM(Q156:Q159)</f>
        <v>0</v>
      </c>
      <c r="R155" s="693">
        <f t="shared" ref="R155:AB155" si="13">SUM(R156:R159)</f>
        <v>1685</v>
      </c>
      <c r="S155" s="693">
        <f t="shared" si="13"/>
        <v>1115</v>
      </c>
      <c r="T155" s="693">
        <f t="shared" si="13"/>
        <v>1292</v>
      </c>
      <c r="U155" s="693">
        <f t="shared" si="13"/>
        <v>808</v>
      </c>
      <c r="V155" s="693">
        <f t="shared" si="13"/>
        <v>878</v>
      </c>
      <c r="W155" s="693">
        <f t="shared" si="13"/>
        <v>887</v>
      </c>
      <c r="X155" s="693">
        <f t="shared" si="13"/>
        <v>861</v>
      </c>
      <c r="Y155" s="693">
        <f t="shared" si="13"/>
        <v>1253.145</v>
      </c>
      <c r="Z155" s="693">
        <f t="shared" si="13"/>
        <v>1432.145</v>
      </c>
      <c r="AA155" s="693">
        <f t="shared" si="13"/>
        <v>1465.145</v>
      </c>
      <c r="AB155" s="693">
        <f t="shared" si="13"/>
        <v>1474.145</v>
      </c>
    </row>
    <row r="156" spans="1:28">
      <c r="A156" s="598">
        <v>1</v>
      </c>
      <c r="B156" s="598" t="s">
        <v>512</v>
      </c>
      <c r="C156" s="703" t="s">
        <v>954</v>
      </c>
      <c r="D156" s="702" t="s">
        <v>956</v>
      </c>
      <c r="E156" s="598" t="s">
        <v>691</v>
      </c>
      <c r="G156" s="244"/>
      <c r="H156" s="244"/>
      <c r="I156" s="245"/>
      <c r="J156" s="681" t="s">
        <v>691</v>
      </c>
      <c r="K156" s="233" t="s">
        <v>88</v>
      </c>
      <c r="L156" s="232" t="s">
        <v>3</v>
      </c>
      <c r="M156" s="468" t="s">
        <v>4</v>
      </c>
      <c r="N156" s="232" t="s">
        <v>5</v>
      </c>
      <c r="O156" s="216" t="str">
        <f>PL!$P$4</f>
        <v>BIN</v>
      </c>
      <c r="P156" s="216" t="str">
        <f>PL!$I$6</f>
        <v>K_INR</v>
      </c>
      <c r="Q156" s="222" t="str">
        <f>PL!Q$392</f>
        <v>PL (5) SGA Expenses Wages &amp; Salaries Sales</v>
      </c>
      <c r="R156" s="222">
        <f>PL!S$392</f>
        <v>336</v>
      </c>
      <c r="S156" s="222">
        <f>PL!T$392</f>
        <v>336</v>
      </c>
      <c r="T156" s="222">
        <f>PL!U$392</f>
        <v>389</v>
      </c>
      <c r="U156" s="222">
        <f>PL!V$392</f>
        <v>241</v>
      </c>
      <c r="V156" s="222">
        <f>PL!W$392</f>
        <v>241</v>
      </c>
      <c r="W156" s="222">
        <f>PL!X$392</f>
        <v>241</v>
      </c>
      <c r="X156" s="222">
        <f>PL!Y$392</f>
        <v>241</v>
      </c>
      <c r="Y156" s="222">
        <f>PL!Z$392</f>
        <v>229.14500000000001</v>
      </c>
      <c r="Z156" s="222">
        <f>PL!AA$392</f>
        <v>229.14500000000001</v>
      </c>
      <c r="AA156" s="222">
        <f>PL!AB$392</f>
        <v>229.14500000000001</v>
      </c>
      <c r="AB156" s="222">
        <f>PL!AC$392</f>
        <v>229.14500000000001</v>
      </c>
    </row>
    <row r="157" spans="1:28">
      <c r="A157" s="598">
        <v>1</v>
      </c>
      <c r="B157" s="598" t="s">
        <v>512</v>
      </c>
      <c r="C157" s="703" t="s">
        <v>954</v>
      </c>
      <c r="D157" s="702" t="s">
        <v>957</v>
      </c>
      <c r="E157" s="598" t="s">
        <v>691</v>
      </c>
      <c r="G157" s="244"/>
      <c r="H157" s="244"/>
      <c r="I157" s="245"/>
      <c r="J157" s="681" t="s">
        <v>691</v>
      </c>
      <c r="K157" s="233" t="s">
        <v>88</v>
      </c>
      <c r="L157" s="232" t="s">
        <v>3</v>
      </c>
      <c r="M157" s="468" t="s">
        <v>4</v>
      </c>
      <c r="N157" s="232" t="s">
        <v>5</v>
      </c>
      <c r="O157" s="216" t="str">
        <f>PL!$P$4</f>
        <v>BIN</v>
      </c>
      <c r="P157" s="216" t="str">
        <f>PL!$I$6</f>
        <v>K_INR</v>
      </c>
      <c r="Q157" s="222" t="str">
        <f>PL!Q$393</f>
        <v>PL (5) SGA Expenses Wages &amp; Salaries Pre-sales / Consultant</v>
      </c>
      <c r="R157" s="222">
        <f>PL!S$393</f>
        <v>524</v>
      </c>
      <c r="S157" s="222">
        <f>PL!T$393</f>
        <v>524</v>
      </c>
      <c r="T157" s="222">
        <f>PL!U$393</f>
        <v>608</v>
      </c>
      <c r="U157" s="222">
        <f>PL!V$393</f>
        <v>348</v>
      </c>
      <c r="V157" s="222">
        <f>PL!W$393</f>
        <v>348</v>
      </c>
      <c r="W157" s="222">
        <f>PL!X$393</f>
        <v>348</v>
      </c>
      <c r="X157" s="222">
        <f>PL!Y$393</f>
        <v>348</v>
      </c>
      <c r="Y157" s="222">
        <f>PL!Z$393</f>
        <v>752</v>
      </c>
      <c r="Z157" s="222">
        <f>PL!AA$393</f>
        <v>931</v>
      </c>
      <c r="AA157" s="222">
        <f>PL!AB$393</f>
        <v>964</v>
      </c>
      <c r="AB157" s="222">
        <f>PL!AC$393</f>
        <v>973</v>
      </c>
    </row>
    <row r="158" spans="1:28">
      <c r="A158" s="598">
        <v>1</v>
      </c>
      <c r="B158" s="598" t="s">
        <v>512</v>
      </c>
      <c r="C158" s="703" t="s">
        <v>954</v>
      </c>
      <c r="D158" s="702" t="s">
        <v>958</v>
      </c>
      <c r="E158" s="598" t="s">
        <v>691</v>
      </c>
      <c r="G158" s="244"/>
      <c r="H158" s="244"/>
      <c r="I158" s="245"/>
      <c r="J158" s="681" t="s">
        <v>691</v>
      </c>
      <c r="K158" s="233" t="s">
        <v>88</v>
      </c>
      <c r="L158" s="232" t="s">
        <v>3</v>
      </c>
      <c r="M158" s="468" t="s">
        <v>4</v>
      </c>
      <c r="N158" s="232" t="s">
        <v>5</v>
      </c>
      <c r="O158" s="216" t="str">
        <f>PL!$P$4</f>
        <v>BIN</v>
      </c>
      <c r="P158" s="216" t="str">
        <f>PL!$I$6</f>
        <v>K_INR</v>
      </c>
      <c r="Q158" s="222" t="str">
        <f>PL!Q$394</f>
        <v>PL (5) SGA Expenses Wages &amp; Salaries Marketing / Business</v>
      </c>
      <c r="R158" s="222">
        <f>PL!S$394</f>
        <v>133</v>
      </c>
      <c r="S158" s="222">
        <f>PL!T$394</f>
        <v>133</v>
      </c>
      <c r="T158" s="222">
        <f>PL!U$394</f>
        <v>154</v>
      </c>
      <c r="U158" s="222">
        <f>PL!V$394</f>
        <v>108</v>
      </c>
      <c r="V158" s="222">
        <f>PL!W$394</f>
        <v>108</v>
      </c>
      <c r="W158" s="222">
        <f>PL!X$394</f>
        <v>108</v>
      </c>
      <c r="X158" s="222">
        <f>PL!Y$394</f>
        <v>108</v>
      </c>
      <c r="Y158" s="222">
        <f>PL!Z$394</f>
        <v>108</v>
      </c>
      <c r="Z158" s="222">
        <f>PL!AA$394</f>
        <v>108</v>
      </c>
      <c r="AA158" s="222">
        <f>PL!AB$394</f>
        <v>108</v>
      </c>
      <c r="AB158" s="222">
        <f>PL!AC$394</f>
        <v>108</v>
      </c>
    </row>
    <row r="159" spans="1:28">
      <c r="A159" s="598">
        <v>1</v>
      </c>
      <c r="B159" s="598" t="s">
        <v>512</v>
      </c>
      <c r="C159" s="703" t="s">
        <v>954</v>
      </c>
      <c r="D159" s="702" t="s">
        <v>959</v>
      </c>
      <c r="E159" s="598" t="s">
        <v>691</v>
      </c>
      <c r="G159" s="244"/>
      <c r="H159" s="244"/>
      <c r="I159" s="245"/>
      <c r="J159" s="681" t="s">
        <v>691</v>
      </c>
      <c r="K159" s="233" t="s">
        <v>88</v>
      </c>
      <c r="L159" s="232" t="s">
        <v>3</v>
      </c>
      <c r="M159" s="468" t="s">
        <v>4</v>
      </c>
      <c r="N159" s="232" t="s">
        <v>5</v>
      </c>
      <c r="O159" s="216" t="str">
        <f>PL!$P$4</f>
        <v>BIN</v>
      </c>
      <c r="P159" s="216" t="str">
        <f>PL!$I$6</f>
        <v>K_INR</v>
      </c>
      <c r="Q159" s="222" t="str">
        <f>PL!Q$395</f>
        <v>PL (5) SGA Expenses Wages &amp; Salaries Admin / Others</v>
      </c>
      <c r="R159" s="222">
        <f>PL!S$395</f>
        <v>692</v>
      </c>
      <c r="S159" s="222">
        <f>PL!T$395</f>
        <v>122</v>
      </c>
      <c r="T159" s="222">
        <f>PL!U$395</f>
        <v>141</v>
      </c>
      <c r="U159" s="222">
        <f>PL!V$395</f>
        <v>111</v>
      </c>
      <c r="V159" s="222">
        <f>PL!W$395</f>
        <v>181</v>
      </c>
      <c r="W159" s="222">
        <f>PL!X$395</f>
        <v>190</v>
      </c>
      <c r="X159" s="222">
        <f>PL!Y$395</f>
        <v>164</v>
      </c>
      <c r="Y159" s="222">
        <f>PL!Z$395</f>
        <v>164</v>
      </c>
      <c r="Z159" s="222">
        <f>PL!AA$395</f>
        <v>164</v>
      </c>
      <c r="AA159" s="222">
        <f>PL!AB$395</f>
        <v>164</v>
      </c>
      <c r="AB159" s="222">
        <f>PL!AC$395</f>
        <v>164</v>
      </c>
    </row>
    <row r="160" spans="1:28" s="682" customFormat="1">
      <c r="A160" s="682">
        <v>1</v>
      </c>
      <c r="B160" s="682" t="s">
        <v>512</v>
      </c>
      <c r="C160" s="1408" t="s">
        <v>954</v>
      </c>
      <c r="D160" s="1407" t="s">
        <v>505</v>
      </c>
      <c r="E160" s="682" t="s">
        <v>695</v>
      </c>
      <c r="F160" s="684"/>
      <c r="G160" s="685"/>
      <c r="H160" s="685"/>
      <c r="I160" s="686"/>
      <c r="J160" s="687" t="s">
        <v>46</v>
      </c>
      <c r="K160" s="688" t="s">
        <v>88</v>
      </c>
      <c r="L160" s="694" t="s">
        <v>3</v>
      </c>
      <c r="M160" s="690" t="s">
        <v>4</v>
      </c>
      <c r="N160" s="691" t="s">
        <v>5</v>
      </c>
      <c r="O160" s="692" t="str">
        <f>PL!$P$4</f>
        <v>BIN</v>
      </c>
      <c r="P160" s="692" t="str">
        <f>PL!$I$6</f>
        <v>K_INR</v>
      </c>
      <c r="Q160" s="693">
        <f t="shared" ref="Q160:AB160" si="14">Q130+Q137-Q151</f>
        <v>0</v>
      </c>
      <c r="R160" s="693">
        <f t="shared" si="14"/>
        <v>-1661</v>
      </c>
      <c r="S160" s="693">
        <f t="shared" si="14"/>
        <v>-1373</v>
      </c>
      <c r="T160" s="693">
        <f t="shared" si="14"/>
        <v>-857</v>
      </c>
      <c r="U160" s="693">
        <f t="shared" si="14"/>
        <v>-773.18685677443682</v>
      </c>
      <c r="V160" s="693">
        <f t="shared" si="14"/>
        <v>-1010</v>
      </c>
      <c r="W160" s="693">
        <f t="shared" si="14"/>
        <v>-853</v>
      </c>
      <c r="X160" s="693">
        <f t="shared" si="14"/>
        <v>-639.59418414612855</v>
      </c>
      <c r="Y160" s="693">
        <f t="shared" si="14"/>
        <v>-1490.8997470445147</v>
      </c>
      <c r="Z160" s="693">
        <f t="shared" si="14"/>
        <v>-1439.6104702177086</v>
      </c>
      <c r="AA160" s="693">
        <f t="shared" si="14"/>
        <v>-1642.748270848942</v>
      </c>
      <c r="AB160" s="693">
        <f t="shared" si="14"/>
        <v>-1351.4208787210021</v>
      </c>
    </row>
    <row r="161" spans="1:28">
      <c r="A161" s="598">
        <v>1</v>
      </c>
      <c r="B161" s="598" t="s">
        <v>512</v>
      </c>
      <c r="C161" s="703" t="s">
        <v>954</v>
      </c>
      <c r="D161" s="702" t="s">
        <v>505</v>
      </c>
      <c r="E161" s="598" t="s">
        <v>504</v>
      </c>
      <c r="G161" s="244"/>
      <c r="H161" s="244"/>
      <c r="I161" s="245"/>
      <c r="J161" s="220" t="s">
        <v>23</v>
      </c>
      <c r="K161" s="233" t="s">
        <v>88</v>
      </c>
      <c r="L161" s="232" t="s">
        <v>3</v>
      </c>
      <c r="M161" s="468" t="s">
        <v>4</v>
      </c>
      <c r="N161" s="232" t="s">
        <v>5</v>
      </c>
      <c r="O161" s="216" t="str">
        <f>PL!$P$4</f>
        <v>BIN</v>
      </c>
      <c r="P161" s="216" t="str">
        <f>PL!$I$6</f>
        <v>K_INR</v>
      </c>
      <c r="Q161" s="222" t="str">
        <f>PL!Q$409</f>
        <v>PL (5) Other Income</v>
      </c>
      <c r="R161" s="222">
        <f>PL!S$409</f>
        <v>0</v>
      </c>
      <c r="S161" s="222">
        <f>PL!T$409</f>
        <v>0</v>
      </c>
      <c r="T161" s="222">
        <f>PL!U$409</f>
        <v>0</v>
      </c>
      <c r="U161" s="222">
        <f>PL!V$409</f>
        <v>0</v>
      </c>
      <c r="V161" s="222">
        <f>PL!W$409</f>
        <v>0</v>
      </c>
      <c r="W161" s="222">
        <f>PL!X$409</f>
        <v>0</v>
      </c>
      <c r="X161" s="222">
        <f>PL!Y$409</f>
        <v>0</v>
      </c>
      <c r="Y161" s="222">
        <f>PL!Z$409</f>
        <v>0</v>
      </c>
      <c r="Z161" s="222">
        <f>PL!AA$409</f>
        <v>0</v>
      </c>
      <c r="AA161" s="222">
        <f>PL!AB$409</f>
        <v>0</v>
      </c>
      <c r="AB161" s="222">
        <f>PL!AC$409</f>
        <v>0</v>
      </c>
    </row>
    <row r="162" spans="1:28">
      <c r="A162" s="598">
        <v>1</v>
      </c>
      <c r="B162" s="598" t="s">
        <v>635</v>
      </c>
      <c r="C162" s="703" t="s">
        <v>954</v>
      </c>
      <c r="D162" s="702" t="s">
        <v>505</v>
      </c>
      <c r="E162" s="601" t="s">
        <v>646</v>
      </c>
      <c r="G162" s="244"/>
      <c r="H162" s="244"/>
      <c r="I162" s="245"/>
      <c r="J162" s="220" t="s">
        <v>24</v>
      </c>
      <c r="K162" s="233" t="s">
        <v>88</v>
      </c>
      <c r="L162" s="232" t="s">
        <v>3</v>
      </c>
      <c r="M162" s="468" t="s">
        <v>4</v>
      </c>
      <c r="N162" s="232" t="s">
        <v>5</v>
      </c>
      <c r="O162" s="216" t="str">
        <f>PL!$P$4</f>
        <v>BIN</v>
      </c>
      <c r="P162" s="216" t="str">
        <f>PL!$I$6</f>
        <v>K_INR</v>
      </c>
      <c r="Q162" s="222" t="str">
        <f>PL!Q$410</f>
        <v>PL (5) Other Expenses</v>
      </c>
      <c r="R162" s="222">
        <f>PL!S$410</f>
        <v>0</v>
      </c>
      <c r="S162" s="222">
        <f>PL!T$410</f>
        <v>0</v>
      </c>
      <c r="T162" s="222">
        <f>PL!U$410</f>
        <v>0</v>
      </c>
      <c r="U162" s="222">
        <f>PL!V$410</f>
        <v>0</v>
      </c>
      <c r="V162" s="222">
        <f>PL!W$410</f>
        <v>0</v>
      </c>
      <c r="W162" s="222">
        <f>PL!X$410</f>
        <v>0</v>
      </c>
      <c r="X162" s="222">
        <f>PL!Y$410</f>
        <v>0</v>
      </c>
      <c r="Y162" s="222">
        <f>PL!Z$410</f>
        <v>0</v>
      </c>
      <c r="Z162" s="222">
        <f>PL!AA$410</f>
        <v>0</v>
      </c>
      <c r="AA162" s="222">
        <f>PL!AB$410</f>
        <v>0</v>
      </c>
      <c r="AB162" s="222">
        <f>PL!AC$410</f>
        <v>0</v>
      </c>
    </row>
    <row r="163" spans="1:28" s="682" customFormat="1">
      <c r="A163" s="682">
        <v>1</v>
      </c>
      <c r="B163" s="682" t="s">
        <v>698</v>
      </c>
      <c r="C163" s="1408" t="s">
        <v>954</v>
      </c>
      <c r="D163" s="1407" t="s">
        <v>696</v>
      </c>
      <c r="E163" s="682" t="s">
        <v>10</v>
      </c>
      <c r="F163" s="684"/>
      <c r="G163" s="685"/>
      <c r="H163" s="685"/>
      <c r="I163" s="686"/>
      <c r="J163" s="687" t="s">
        <v>10</v>
      </c>
      <c r="K163" s="688" t="s">
        <v>88</v>
      </c>
      <c r="L163" s="694" t="s">
        <v>3</v>
      </c>
      <c r="M163" s="690" t="s">
        <v>4</v>
      </c>
      <c r="N163" s="691" t="s">
        <v>5</v>
      </c>
      <c r="O163" s="692" t="str">
        <f>PL!$P$4</f>
        <v>BIN</v>
      </c>
      <c r="P163" s="692" t="str">
        <f>PL!$I$6</f>
        <v>K_INR</v>
      </c>
      <c r="Q163" s="693" t="e">
        <f>Q160+Q161-Q162</f>
        <v>#VALUE!</v>
      </c>
      <c r="R163" s="693">
        <f t="shared" ref="R163:AB163" si="15">R160+R161-R162</f>
        <v>-1661</v>
      </c>
      <c r="S163" s="693">
        <f t="shared" si="15"/>
        <v>-1373</v>
      </c>
      <c r="T163" s="693">
        <f t="shared" si="15"/>
        <v>-857</v>
      </c>
      <c r="U163" s="693">
        <f t="shared" si="15"/>
        <v>-773.18685677443682</v>
      </c>
      <c r="V163" s="693">
        <f t="shared" si="15"/>
        <v>-1010</v>
      </c>
      <c r="W163" s="693">
        <f t="shared" si="15"/>
        <v>-853</v>
      </c>
      <c r="X163" s="693">
        <f t="shared" si="15"/>
        <v>-639.59418414612855</v>
      </c>
      <c r="Y163" s="693">
        <f t="shared" si="15"/>
        <v>-1490.8997470445147</v>
      </c>
      <c r="Z163" s="693">
        <f t="shared" si="15"/>
        <v>-1439.6104702177086</v>
      </c>
      <c r="AA163" s="693">
        <f t="shared" si="15"/>
        <v>-1642.748270848942</v>
      </c>
      <c r="AB163" s="693">
        <f t="shared" si="15"/>
        <v>-1351.4208787210021</v>
      </c>
    </row>
    <row r="164" spans="1:28" s="475" customFormat="1">
      <c r="A164" s="598">
        <v>1</v>
      </c>
      <c r="B164" s="598" t="s">
        <v>622</v>
      </c>
      <c r="C164" s="703" t="s">
        <v>954</v>
      </c>
      <c r="D164" s="702" t="s">
        <v>511</v>
      </c>
      <c r="E164" s="598" t="s">
        <v>45</v>
      </c>
      <c r="G164" s="476"/>
      <c r="H164" s="476"/>
      <c r="I164" s="477"/>
      <c r="J164" s="474" t="s">
        <v>423</v>
      </c>
      <c r="K164" s="478" t="s">
        <v>88</v>
      </c>
      <c r="L164" s="479" t="s">
        <v>3</v>
      </c>
      <c r="M164" s="480" t="s">
        <v>4</v>
      </c>
      <c r="N164" s="481" t="s">
        <v>5</v>
      </c>
      <c r="O164" s="482" t="str">
        <f>PL!$P$4</f>
        <v>BIN</v>
      </c>
      <c r="P164" s="482" t="str">
        <f>PL!$I$6</f>
        <v>K_INR</v>
      </c>
      <c r="Q164" s="483" t="e">
        <f>-PL!Q$870</f>
        <v>#VALUE!</v>
      </c>
      <c r="R164" s="483">
        <f>-PL!S$870</f>
        <v>0</v>
      </c>
      <c r="S164" s="483">
        <f>-PL!T$870</f>
        <v>0</v>
      </c>
      <c r="T164" s="483">
        <f>-PL!U$870</f>
        <v>0</v>
      </c>
      <c r="U164" s="483">
        <f>-PL!V$870</f>
        <v>0</v>
      </c>
      <c r="V164" s="483">
        <f>-PL!W$870</f>
        <v>0</v>
      </c>
      <c r="W164" s="483">
        <f>-PL!X$870</f>
        <v>0</v>
      </c>
      <c r="X164" s="483">
        <f>-PL!Y$870</f>
        <v>0</v>
      </c>
      <c r="Y164" s="483">
        <f>-PL!Z$870</f>
        <v>0</v>
      </c>
      <c r="Z164" s="483">
        <f>-PL!AA$870</f>
        <v>0</v>
      </c>
      <c r="AA164" s="483">
        <f>-PL!AB$870</f>
        <v>0</v>
      </c>
      <c r="AB164" s="483">
        <f>-PL!AC$870</f>
        <v>0</v>
      </c>
    </row>
    <row r="165" spans="1:28" s="475" customFormat="1">
      <c r="A165" s="598">
        <v>1</v>
      </c>
      <c r="B165" s="598" t="s">
        <v>622</v>
      </c>
      <c r="C165" s="703" t="s">
        <v>954</v>
      </c>
      <c r="D165" s="702" t="s">
        <v>511</v>
      </c>
      <c r="E165" s="598" t="s">
        <v>45</v>
      </c>
      <c r="G165" s="476"/>
      <c r="H165" s="476"/>
      <c r="I165" s="477"/>
      <c r="J165" s="474" t="s">
        <v>424</v>
      </c>
      <c r="K165" s="478" t="s">
        <v>88</v>
      </c>
      <c r="L165" s="479" t="s">
        <v>3</v>
      </c>
      <c r="M165" s="480" t="s">
        <v>4</v>
      </c>
      <c r="N165" s="481" t="s">
        <v>5</v>
      </c>
      <c r="O165" s="482" t="str">
        <f>PL!$P$4</f>
        <v>BIN</v>
      </c>
      <c r="P165" s="482" t="str">
        <f>PL!$I$6</f>
        <v>K_INR</v>
      </c>
      <c r="Q165" s="483" t="e">
        <f>-PL!Q$871</f>
        <v>#VALUE!</v>
      </c>
      <c r="R165" s="483">
        <f>-PL!S$871</f>
        <v>0</v>
      </c>
      <c r="S165" s="483">
        <f>-PL!T$871</f>
        <v>0</v>
      </c>
      <c r="T165" s="483">
        <f>-PL!U$871</f>
        <v>0</v>
      </c>
      <c r="U165" s="483">
        <f>-PL!V$871</f>
        <v>0</v>
      </c>
      <c r="V165" s="483">
        <f>-PL!W$871</f>
        <v>0</v>
      </c>
      <c r="W165" s="483">
        <f>-PL!X$871</f>
        <v>0</v>
      </c>
      <c r="X165" s="483">
        <f>-PL!Y$871</f>
        <v>0</v>
      </c>
      <c r="Y165" s="483">
        <f>-PL!Z$871</f>
        <v>0</v>
      </c>
      <c r="Z165" s="483">
        <f>-PL!AA$871</f>
        <v>0</v>
      </c>
      <c r="AA165" s="483">
        <f>-PL!AB$871</f>
        <v>0</v>
      </c>
      <c r="AB165" s="483">
        <f>-PL!AC$871</f>
        <v>0</v>
      </c>
    </row>
    <row r="166" spans="1:28" s="475" customFormat="1">
      <c r="A166" s="598">
        <v>1</v>
      </c>
      <c r="B166" s="598" t="s">
        <v>622</v>
      </c>
      <c r="C166" s="703" t="s">
        <v>954</v>
      </c>
      <c r="D166" s="702" t="s">
        <v>511</v>
      </c>
      <c r="E166" s="598" t="s">
        <v>45</v>
      </c>
      <c r="G166" s="476"/>
      <c r="H166" s="476"/>
      <c r="I166" s="477"/>
      <c r="J166" s="474" t="s">
        <v>425</v>
      </c>
      <c r="K166" s="478" t="s">
        <v>88</v>
      </c>
      <c r="L166" s="479" t="s">
        <v>3</v>
      </c>
      <c r="M166" s="480" t="s">
        <v>4</v>
      </c>
      <c r="N166" s="481" t="s">
        <v>5</v>
      </c>
      <c r="O166" s="482" t="str">
        <f>PL!$P$4</f>
        <v>BIN</v>
      </c>
      <c r="P166" s="482" t="str">
        <f>PL!$I$6</f>
        <v>K_INR</v>
      </c>
      <c r="Q166" s="483" t="e">
        <f>-PL!Q$873</f>
        <v>#VALUE!</v>
      </c>
      <c r="R166" s="483">
        <f>-PL!S$873</f>
        <v>0</v>
      </c>
      <c r="S166" s="483">
        <f>-PL!T$873</f>
        <v>0</v>
      </c>
      <c r="T166" s="483">
        <f>-PL!U$873</f>
        <v>0</v>
      </c>
      <c r="U166" s="483">
        <f>-PL!V$873</f>
        <v>0</v>
      </c>
      <c r="V166" s="483">
        <f>-PL!W$873</f>
        <v>0</v>
      </c>
      <c r="W166" s="483">
        <f>-PL!X$873</f>
        <v>0</v>
      </c>
      <c r="X166" s="483">
        <f>-PL!Y$873</f>
        <v>0</v>
      </c>
      <c r="Y166" s="483">
        <f>-PL!Z$873</f>
        <v>0</v>
      </c>
      <c r="Z166" s="483">
        <f>-PL!AA$873</f>
        <v>0</v>
      </c>
      <c r="AA166" s="483">
        <f>-PL!AB$873</f>
        <v>0</v>
      </c>
      <c r="AB166" s="483">
        <f>-PL!AC$873</f>
        <v>0</v>
      </c>
    </row>
    <row r="167" spans="1:28" s="475" customFormat="1">
      <c r="A167" s="598">
        <v>1</v>
      </c>
      <c r="B167" s="598" t="s">
        <v>622</v>
      </c>
      <c r="C167" s="703" t="s">
        <v>954</v>
      </c>
      <c r="D167" s="702" t="s">
        <v>511</v>
      </c>
      <c r="E167" s="598" t="s">
        <v>45</v>
      </c>
      <c r="G167" s="476"/>
      <c r="H167" s="476"/>
      <c r="I167" s="477"/>
      <c r="J167" s="474" t="s">
        <v>426</v>
      </c>
      <c r="K167" s="478" t="s">
        <v>88</v>
      </c>
      <c r="L167" s="479" t="s">
        <v>3</v>
      </c>
      <c r="M167" s="480" t="s">
        <v>4</v>
      </c>
      <c r="N167" s="481" t="s">
        <v>5</v>
      </c>
      <c r="O167" s="482" t="str">
        <f>PL!$P$4</f>
        <v>BIN</v>
      </c>
      <c r="P167" s="482" t="str">
        <f>PL!$I$6</f>
        <v>K_INR</v>
      </c>
      <c r="Q167" s="483" t="e">
        <f>-PL!Q$872</f>
        <v>#VALUE!</v>
      </c>
      <c r="R167" s="483">
        <f>-PL!S$872</f>
        <v>0</v>
      </c>
      <c r="S167" s="483">
        <f>-PL!T$872</f>
        <v>0</v>
      </c>
      <c r="T167" s="483">
        <f>-PL!U$872</f>
        <v>0</v>
      </c>
      <c r="U167" s="483">
        <f>-PL!V$872</f>
        <v>0</v>
      </c>
      <c r="V167" s="483">
        <f>-PL!W$872</f>
        <v>0</v>
      </c>
      <c r="W167" s="483">
        <f>-PL!X$872</f>
        <v>0</v>
      </c>
      <c r="X167" s="483">
        <f>-PL!Y$872</f>
        <v>0</v>
      </c>
      <c r="Y167" s="483">
        <f>-PL!Z$872</f>
        <v>0</v>
      </c>
      <c r="Z167" s="483">
        <f>-PL!AA$872</f>
        <v>0</v>
      </c>
      <c r="AA167" s="483">
        <f>-PL!AB$872</f>
        <v>0</v>
      </c>
      <c r="AB167" s="483">
        <f>-PL!AC$872</f>
        <v>0</v>
      </c>
    </row>
    <row r="168" spans="1:28">
      <c r="A168" s="598">
        <v>1</v>
      </c>
      <c r="G168" s="246"/>
      <c r="H168" s="246"/>
      <c r="I168" s="246"/>
      <c r="J168" s="469"/>
      <c r="K168" s="470"/>
      <c r="L168" s="471"/>
      <c r="M168" s="471"/>
      <c r="N168" s="471"/>
      <c r="O168" s="253"/>
      <c r="P168" s="253"/>
      <c r="Q168" s="253"/>
      <c r="R168" s="253"/>
      <c r="S168" s="253"/>
      <c r="T168" s="253"/>
      <c r="U168" s="253"/>
      <c r="V168" s="253"/>
      <c r="W168" s="253"/>
      <c r="X168" s="253"/>
      <c r="Y168" s="253"/>
      <c r="Z168" s="253"/>
      <c r="AA168" s="253"/>
      <c r="AB168" s="253"/>
    </row>
    <row r="169" spans="1:28" s="726" customFormat="1">
      <c r="A169" s="726">
        <v>1</v>
      </c>
      <c r="B169" s="727"/>
      <c r="C169" s="728" t="s">
        <v>432</v>
      </c>
      <c r="F169" s="729"/>
      <c r="G169" s="730"/>
      <c r="H169" s="730"/>
      <c r="I169" s="731"/>
      <c r="J169" s="732" t="s">
        <v>39</v>
      </c>
      <c r="K169" s="733" t="s">
        <v>432</v>
      </c>
      <c r="L169" s="734" t="s">
        <v>29</v>
      </c>
      <c r="M169" s="735" t="s">
        <v>4</v>
      </c>
      <c r="N169" s="736" t="s">
        <v>5</v>
      </c>
      <c r="O169" s="737" t="str">
        <f>PL!$P$4</f>
        <v>BIN</v>
      </c>
      <c r="P169" s="737" t="str">
        <f>PL!$I$6</f>
        <v>K_INR</v>
      </c>
      <c r="Q169" s="738"/>
      <c r="R169" s="738"/>
      <c r="S169" s="738"/>
      <c r="T169" s="738"/>
      <c r="U169" s="738"/>
      <c r="V169" s="738"/>
      <c r="W169" s="738"/>
      <c r="X169" s="738"/>
      <c r="Y169" s="738"/>
      <c r="Z169" s="738"/>
      <c r="AA169" s="738"/>
      <c r="AB169" s="738"/>
    </row>
    <row r="170" spans="1:28">
      <c r="A170" s="598">
        <v>1</v>
      </c>
      <c r="B170" s="598" t="s">
        <v>512</v>
      </c>
      <c r="C170" s="602" t="s">
        <v>648</v>
      </c>
      <c r="D170" s="598" t="s">
        <v>631</v>
      </c>
      <c r="E170" s="598" t="s">
        <v>39</v>
      </c>
      <c r="G170" s="246"/>
      <c r="H170" s="246"/>
      <c r="I170" s="245"/>
      <c r="J170" s="219" t="s">
        <v>39</v>
      </c>
      <c r="K170" s="234" t="s">
        <v>53</v>
      </c>
      <c r="L170" s="231" t="s">
        <v>29</v>
      </c>
      <c r="M170" s="468" t="s">
        <v>30</v>
      </c>
      <c r="N170" s="232" t="s">
        <v>5</v>
      </c>
      <c r="O170" s="216" t="str">
        <f>PL!$P$4</f>
        <v>BIN</v>
      </c>
      <c r="P170" s="216" t="str">
        <f>PL!$I$6</f>
        <v>K_INR</v>
      </c>
      <c r="Q170" s="222" t="str">
        <f>PL!Q$555</f>
        <v>S/GP (2) Net Sales Direct HW KMI</v>
      </c>
      <c r="R170" s="222">
        <f>PL!S$555</f>
        <v>104685</v>
      </c>
      <c r="S170" s="222">
        <f>PL!T$555</f>
        <v>95888</v>
      </c>
      <c r="T170" s="222">
        <f>PL!U$555</f>
        <v>122248</v>
      </c>
      <c r="U170" s="222">
        <f>PL!V$555</f>
        <v>146168.747</v>
      </c>
      <c r="V170" s="222">
        <f>PL!W$555</f>
        <v>114818</v>
      </c>
      <c r="W170" s="222">
        <f>PL!X$555</f>
        <v>171297</v>
      </c>
      <c r="X170" s="222">
        <f>PL!Y$555</f>
        <v>132244</v>
      </c>
      <c r="Y170" s="222">
        <f>PL!Z$555</f>
        <v>117597</v>
      </c>
      <c r="Z170" s="222">
        <f>PL!AA$555</f>
        <v>150636</v>
      </c>
      <c r="AA170" s="222">
        <f>PL!AB$555</f>
        <v>151240</v>
      </c>
      <c r="AB170" s="222">
        <f>PL!AC$555</f>
        <v>97886</v>
      </c>
    </row>
    <row r="171" spans="1:28">
      <c r="A171" s="598">
        <v>1</v>
      </c>
      <c r="B171" s="598" t="s">
        <v>630</v>
      </c>
      <c r="C171" s="602" t="s">
        <v>432</v>
      </c>
      <c r="D171" s="598" t="s">
        <v>631</v>
      </c>
      <c r="E171" s="598" t="s">
        <v>39</v>
      </c>
      <c r="G171" s="246"/>
      <c r="H171" s="246"/>
      <c r="I171" s="247"/>
      <c r="J171" s="219" t="s">
        <v>39</v>
      </c>
      <c r="K171" s="234" t="s">
        <v>53</v>
      </c>
      <c r="L171" s="231" t="s">
        <v>35</v>
      </c>
      <c r="M171" s="468" t="s">
        <v>30</v>
      </c>
      <c r="N171" s="232" t="s">
        <v>5</v>
      </c>
      <c r="O171" s="216" t="str">
        <f>PL!$P$4</f>
        <v>BIN</v>
      </c>
      <c r="P171" s="216" t="str">
        <f>PL!$I$6</f>
        <v>K_INR</v>
      </c>
      <c r="Q171" s="222" t="str">
        <f>PL!Q$556</f>
        <v>S/GP (2) Net Sales Direct HW 3rd Party</v>
      </c>
      <c r="R171" s="222">
        <f>PL!S$556</f>
        <v>0</v>
      </c>
      <c r="S171" s="222">
        <f>PL!T$556</f>
        <v>0</v>
      </c>
      <c r="T171" s="222">
        <f>PL!U$556</f>
        <v>0</v>
      </c>
      <c r="U171" s="222">
        <f>PL!V$556</f>
        <v>0</v>
      </c>
      <c r="V171" s="222">
        <f>PL!W$556</f>
        <v>0</v>
      </c>
      <c r="W171" s="222">
        <f>PL!X$556</f>
        <v>0</v>
      </c>
      <c r="X171" s="222">
        <f>PL!Y$556</f>
        <v>0</v>
      </c>
      <c r="Y171" s="222">
        <f>PL!Z$556</f>
        <v>0</v>
      </c>
      <c r="Z171" s="222">
        <f>PL!AA$556</f>
        <v>0</v>
      </c>
      <c r="AA171" s="222">
        <f>PL!AB$556</f>
        <v>0</v>
      </c>
      <c r="AB171" s="222">
        <f>PL!AC$556</f>
        <v>0</v>
      </c>
    </row>
    <row r="172" spans="1:28">
      <c r="A172" s="598">
        <v>1</v>
      </c>
      <c r="B172" s="598" t="s">
        <v>512</v>
      </c>
      <c r="C172" s="602" t="s">
        <v>648</v>
      </c>
      <c r="D172" s="598" t="s">
        <v>634</v>
      </c>
      <c r="E172" s="598" t="s">
        <v>39</v>
      </c>
      <c r="G172" s="244"/>
      <c r="H172" s="244"/>
      <c r="I172" s="245"/>
      <c r="J172" s="219" t="s">
        <v>39</v>
      </c>
      <c r="K172" s="234" t="s">
        <v>53</v>
      </c>
      <c r="L172" s="231" t="s">
        <v>29</v>
      </c>
      <c r="M172" s="468" t="s">
        <v>33</v>
      </c>
      <c r="N172" s="232" t="s">
        <v>5</v>
      </c>
      <c r="O172" s="216" t="str">
        <f>PL!$P$4</f>
        <v>BIN</v>
      </c>
      <c r="P172" s="216" t="str">
        <f>PL!$I$6</f>
        <v>K_INR</v>
      </c>
      <c r="Q172" s="222" t="str">
        <f>PL!Q$558</f>
        <v>S/GP (2) Net Sales Direct NH KMI</v>
      </c>
      <c r="R172" s="222">
        <f>PL!S$558</f>
        <v>306386</v>
      </c>
      <c r="S172" s="222">
        <f>PL!T$558</f>
        <v>310533</v>
      </c>
      <c r="T172" s="222">
        <f>PL!U$558</f>
        <v>296245</v>
      </c>
      <c r="U172" s="222">
        <f>PL!V$558</f>
        <v>339586.24706999998</v>
      </c>
      <c r="V172" s="222">
        <f>PL!W$558</f>
        <v>265277</v>
      </c>
      <c r="W172" s="222">
        <f>PL!X$558</f>
        <v>401800</v>
      </c>
      <c r="X172" s="222">
        <f>PL!Y$558</f>
        <v>332958</v>
      </c>
      <c r="Y172" s="222">
        <f>PL!Z$558</f>
        <v>341264</v>
      </c>
      <c r="Z172" s="222">
        <f>PL!AA$558</f>
        <v>351073</v>
      </c>
      <c r="AA172" s="222">
        <f>PL!AB$558</f>
        <v>358074</v>
      </c>
      <c r="AB172" s="222">
        <f>PL!AC$558</f>
        <v>296718</v>
      </c>
    </row>
    <row r="173" spans="1:28">
      <c r="A173" s="598">
        <v>1</v>
      </c>
      <c r="B173" s="598" t="s">
        <v>630</v>
      </c>
      <c r="C173" s="602" t="s">
        <v>432</v>
      </c>
      <c r="D173" s="598" t="s">
        <v>511</v>
      </c>
      <c r="E173" s="598" t="s">
        <v>39</v>
      </c>
      <c r="G173" s="244"/>
      <c r="H173" s="244"/>
      <c r="I173" s="245"/>
      <c r="J173" s="219" t="s">
        <v>39</v>
      </c>
      <c r="K173" s="234" t="s">
        <v>53</v>
      </c>
      <c r="L173" s="231" t="s">
        <v>35</v>
      </c>
      <c r="M173" s="468" t="s">
        <v>33</v>
      </c>
      <c r="N173" s="232" t="s">
        <v>5</v>
      </c>
      <c r="O173" s="216" t="str">
        <f>PL!$P$4</f>
        <v>BIN</v>
      </c>
      <c r="P173" s="216" t="str">
        <f>PL!$I$6</f>
        <v>K_INR</v>
      </c>
      <c r="Q173" s="222" t="str">
        <f>PL!Q$561</f>
        <v>S/GP (2) Net Sales Direct NH 3rd Party</v>
      </c>
      <c r="R173" s="222">
        <f>PL!S$561</f>
        <v>0</v>
      </c>
      <c r="S173" s="222">
        <f>PL!T$561</f>
        <v>0</v>
      </c>
      <c r="T173" s="222">
        <f>PL!U$561</f>
        <v>0</v>
      </c>
      <c r="U173" s="222">
        <f>PL!V$561</f>
        <v>0</v>
      </c>
      <c r="V173" s="222">
        <f>PL!W$561</f>
        <v>0</v>
      </c>
      <c r="W173" s="222">
        <f>PL!X$561</f>
        <v>0</v>
      </c>
      <c r="X173" s="222">
        <f>PL!Y$561</f>
        <v>0</v>
      </c>
      <c r="Y173" s="222">
        <f>PL!Z$561</f>
        <v>0</v>
      </c>
      <c r="Z173" s="222">
        <f>PL!AA$561</f>
        <v>0</v>
      </c>
      <c r="AA173" s="222">
        <f>PL!AB$561</f>
        <v>0</v>
      </c>
      <c r="AB173" s="222">
        <f>PL!AC$561</f>
        <v>0</v>
      </c>
    </row>
    <row r="174" spans="1:28">
      <c r="A174" s="598">
        <v>1</v>
      </c>
      <c r="B174" s="598" t="s">
        <v>638</v>
      </c>
      <c r="C174" s="602" t="s">
        <v>648</v>
      </c>
      <c r="D174" s="602" t="s">
        <v>85</v>
      </c>
      <c r="E174" s="598" t="s">
        <v>39</v>
      </c>
      <c r="G174" s="244"/>
      <c r="H174" s="244"/>
      <c r="I174" s="245"/>
      <c r="J174" s="219" t="s">
        <v>39</v>
      </c>
      <c r="K174" s="234" t="s">
        <v>53</v>
      </c>
      <c r="L174" s="231" t="s">
        <v>29</v>
      </c>
      <c r="M174" s="468" t="s">
        <v>85</v>
      </c>
      <c r="N174" s="232" t="s">
        <v>5</v>
      </c>
      <c r="O174" s="216" t="str">
        <f>PL!$P$4</f>
        <v>BIN</v>
      </c>
      <c r="P174" s="216" t="str">
        <f>PL!$I$6</f>
        <v>K_INR</v>
      </c>
      <c r="Q174" s="222" t="str">
        <f>PL!Q$562</f>
        <v>S/GP (2) Net Sales Direct Solution</v>
      </c>
      <c r="R174" s="222">
        <f>PL!S$562</f>
        <v>0</v>
      </c>
      <c r="S174" s="222">
        <f>PL!T$562</f>
        <v>0</v>
      </c>
      <c r="T174" s="222">
        <f>PL!U$562</f>
        <v>0</v>
      </c>
      <c r="U174" s="222">
        <f>PL!V$562</f>
        <v>0</v>
      </c>
      <c r="V174" s="222">
        <f>PL!W$562</f>
        <v>0</v>
      </c>
      <c r="W174" s="222">
        <f>PL!X$562</f>
        <v>0</v>
      </c>
      <c r="X174" s="222">
        <f>PL!Y$562</f>
        <v>0</v>
      </c>
      <c r="Y174" s="222">
        <f>PL!Z$562</f>
        <v>0</v>
      </c>
      <c r="Z174" s="222">
        <f>PL!AA$562</f>
        <v>0</v>
      </c>
      <c r="AA174" s="222">
        <f>PL!AB$562</f>
        <v>0</v>
      </c>
      <c r="AB174" s="222">
        <f>PL!AC$562</f>
        <v>0</v>
      </c>
    </row>
    <row r="175" spans="1:28">
      <c r="A175" s="598">
        <v>1</v>
      </c>
      <c r="B175" s="598" t="s">
        <v>630</v>
      </c>
      <c r="C175" s="602" t="s">
        <v>648</v>
      </c>
      <c r="D175" s="598" t="s">
        <v>642</v>
      </c>
      <c r="E175" s="598" t="s">
        <v>39</v>
      </c>
      <c r="G175" s="244"/>
      <c r="H175" s="244"/>
      <c r="I175" s="245"/>
      <c r="J175" s="219" t="s">
        <v>39</v>
      </c>
      <c r="K175" s="234" t="s">
        <v>53</v>
      </c>
      <c r="L175" s="231" t="s">
        <v>29</v>
      </c>
      <c r="M175" s="468" t="s">
        <v>11</v>
      </c>
      <c r="N175" s="232" t="s">
        <v>5</v>
      </c>
      <c r="O175" s="216" t="str">
        <f>PL!$P$4</f>
        <v>BIN</v>
      </c>
      <c r="P175" s="216" t="str">
        <f>PL!$I$6</f>
        <v>K_INR</v>
      </c>
      <c r="Q175" s="222" t="str">
        <f>PL!Q$567</f>
        <v>S/GP (2) Net Sales Direct Others</v>
      </c>
      <c r="R175" s="222">
        <f>PL!S$567</f>
        <v>0</v>
      </c>
      <c r="S175" s="222">
        <f>PL!T$567</f>
        <v>0</v>
      </c>
      <c r="T175" s="222">
        <f>PL!U$567</f>
        <v>0</v>
      </c>
      <c r="U175" s="222">
        <f>PL!V$567</f>
        <v>0</v>
      </c>
      <c r="V175" s="222">
        <f>PL!W$567</f>
        <v>0</v>
      </c>
      <c r="W175" s="222">
        <f>PL!X$567</f>
        <v>0</v>
      </c>
      <c r="X175" s="222">
        <f>PL!Y$567</f>
        <v>0</v>
      </c>
      <c r="Y175" s="222">
        <f>PL!Z$567</f>
        <v>0</v>
      </c>
      <c r="Z175" s="222">
        <f>PL!AA$567</f>
        <v>0</v>
      </c>
      <c r="AA175" s="222">
        <f>PL!AB$567</f>
        <v>0</v>
      </c>
      <c r="AB175" s="222">
        <f>PL!AC$567</f>
        <v>0</v>
      </c>
    </row>
    <row r="176" spans="1:28" s="682" customFormat="1">
      <c r="A176" s="682">
        <v>1</v>
      </c>
      <c r="C176" s="683"/>
      <c r="F176" s="684"/>
      <c r="G176" s="685"/>
      <c r="H176" s="685"/>
      <c r="I176" s="686"/>
      <c r="J176" s="687" t="s">
        <v>39</v>
      </c>
      <c r="K176" s="688" t="s">
        <v>53</v>
      </c>
      <c r="L176" s="689" t="s">
        <v>32</v>
      </c>
      <c r="M176" s="690" t="s">
        <v>4</v>
      </c>
      <c r="N176" s="691" t="s">
        <v>5</v>
      </c>
      <c r="O176" s="692" t="str">
        <f>PL!$P$4</f>
        <v>BIN</v>
      </c>
      <c r="P176" s="692" t="str">
        <f>PL!$I$6</f>
        <v>K_INR</v>
      </c>
      <c r="Q176" s="693"/>
      <c r="R176" s="693"/>
      <c r="S176" s="693"/>
      <c r="T176" s="693"/>
      <c r="U176" s="693"/>
      <c r="V176" s="693"/>
      <c r="W176" s="693"/>
      <c r="X176" s="693"/>
      <c r="Y176" s="693"/>
      <c r="Z176" s="693"/>
      <c r="AA176" s="693"/>
      <c r="AB176" s="693"/>
    </row>
    <row r="177" spans="1:28">
      <c r="A177" s="598">
        <v>1</v>
      </c>
      <c r="B177" s="598" t="s">
        <v>630</v>
      </c>
      <c r="C177" s="602" t="s">
        <v>432</v>
      </c>
      <c r="D177" s="598" t="s">
        <v>631</v>
      </c>
      <c r="E177" s="598" t="s">
        <v>39</v>
      </c>
      <c r="G177" s="244"/>
      <c r="H177" s="244"/>
      <c r="I177" s="245"/>
      <c r="J177" s="219" t="s">
        <v>39</v>
      </c>
      <c r="K177" s="234" t="s">
        <v>53</v>
      </c>
      <c r="L177" s="231" t="s">
        <v>32</v>
      </c>
      <c r="M177" s="468" t="s">
        <v>30</v>
      </c>
      <c r="N177" s="232" t="s">
        <v>5</v>
      </c>
      <c r="O177" s="216" t="str">
        <f>PL!$P$4</f>
        <v>BIN</v>
      </c>
      <c r="P177" s="216" t="str">
        <f>PL!$I$6</f>
        <v>K_INR</v>
      </c>
      <c r="Q177" s="222" t="str">
        <f>PL!Q$570</f>
        <v>S/GP (2) Net Sales Indirect HW KMI</v>
      </c>
      <c r="R177" s="222">
        <f>PL!S$570</f>
        <v>12202</v>
      </c>
      <c r="S177" s="222">
        <f>PL!T$570</f>
        <v>11739</v>
      </c>
      <c r="T177" s="222">
        <f>PL!U$570</f>
        <v>24361</v>
      </c>
      <c r="U177" s="222">
        <f>PL!V$570</f>
        <v>21912.361000000001</v>
      </c>
      <c r="V177" s="222">
        <f>PL!W$570</f>
        <v>10950</v>
      </c>
      <c r="W177" s="222">
        <f>PL!X$570</f>
        <v>13738</v>
      </c>
      <c r="X177" s="222">
        <f>PL!Y$570</f>
        <v>18724</v>
      </c>
      <c r="Y177" s="222">
        <f>PL!Z$570</f>
        <v>9392</v>
      </c>
      <c r="Z177" s="222">
        <f>PL!AA$570</f>
        <v>15378</v>
      </c>
      <c r="AA177" s="222">
        <f>PL!AB$570</f>
        <v>14712</v>
      </c>
      <c r="AB177" s="222">
        <f>PL!AC$570</f>
        <v>13993</v>
      </c>
    </row>
    <row r="178" spans="1:28">
      <c r="A178" s="598">
        <v>1</v>
      </c>
      <c r="B178" s="598" t="s">
        <v>512</v>
      </c>
      <c r="C178" s="602" t="s">
        <v>648</v>
      </c>
      <c r="D178" s="598" t="s">
        <v>298</v>
      </c>
      <c r="E178" s="598" t="s">
        <v>39</v>
      </c>
      <c r="G178" s="244"/>
      <c r="H178" s="244"/>
      <c r="I178" s="245"/>
      <c r="J178" s="219" t="s">
        <v>39</v>
      </c>
      <c r="K178" s="234" t="s">
        <v>53</v>
      </c>
      <c r="L178" s="231" t="s">
        <v>36</v>
      </c>
      <c r="M178" s="468" t="s">
        <v>30</v>
      </c>
      <c r="N178" s="232" t="s">
        <v>5</v>
      </c>
      <c r="O178" s="216" t="str">
        <f>PL!$P$4</f>
        <v>BIN</v>
      </c>
      <c r="P178" s="216" t="str">
        <f>PL!$I$6</f>
        <v>K_INR</v>
      </c>
      <c r="Q178" s="222" t="str">
        <f>PL!Q$571</f>
        <v>S/GP (2) Net Sales Indirect HW 3rd Party</v>
      </c>
      <c r="R178" s="222">
        <f>PL!S$571</f>
        <v>0</v>
      </c>
      <c r="S178" s="222">
        <f>PL!T$571</f>
        <v>0</v>
      </c>
      <c r="T178" s="222">
        <f>PL!U$571</f>
        <v>0</v>
      </c>
      <c r="U178" s="222">
        <f>PL!V$571</f>
        <v>0</v>
      </c>
      <c r="V178" s="222">
        <f>PL!W$571</f>
        <v>0</v>
      </c>
      <c r="W178" s="222">
        <f>PL!X$571</f>
        <v>0</v>
      </c>
      <c r="X178" s="222">
        <f>PL!Y$571</f>
        <v>0</v>
      </c>
      <c r="Y178" s="222">
        <f>PL!Z$571</f>
        <v>0</v>
      </c>
      <c r="Z178" s="222">
        <f>PL!AA$571</f>
        <v>0</v>
      </c>
      <c r="AA178" s="222">
        <f>PL!AB$571</f>
        <v>0</v>
      </c>
      <c r="AB178" s="222">
        <f>PL!AC$571</f>
        <v>0</v>
      </c>
    </row>
    <row r="179" spans="1:28">
      <c r="A179" s="598">
        <v>1</v>
      </c>
      <c r="B179" s="598" t="s">
        <v>638</v>
      </c>
      <c r="C179" s="602" t="s">
        <v>648</v>
      </c>
      <c r="D179" s="598" t="s">
        <v>511</v>
      </c>
      <c r="E179" s="598" t="s">
        <v>39</v>
      </c>
      <c r="G179" s="244"/>
      <c r="H179" s="244"/>
      <c r="I179" s="245"/>
      <c r="J179" s="219" t="s">
        <v>39</v>
      </c>
      <c r="K179" s="234" t="s">
        <v>53</v>
      </c>
      <c r="L179" s="231" t="s">
        <v>32</v>
      </c>
      <c r="M179" s="468" t="s">
        <v>33</v>
      </c>
      <c r="N179" s="232" t="s">
        <v>5</v>
      </c>
      <c r="O179" s="216" t="str">
        <f>PL!$P$4</f>
        <v>BIN</v>
      </c>
      <c r="P179" s="216" t="str">
        <f>PL!$I$6</f>
        <v>K_INR</v>
      </c>
      <c r="Q179" s="222" t="str">
        <f>PL!Q$573</f>
        <v>S/GP (2) Net Sales Indirect NH KMI</v>
      </c>
      <c r="R179" s="222">
        <f>PL!S$573</f>
        <v>42640</v>
      </c>
      <c r="S179" s="222">
        <f>PL!T$573</f>
        <v>50077</v>
      </c>
      <c r="T179" s="222">
        <f>PL!U$573</f>
        <v>47818</v>
      </c>
      <c r="U179" s="222">
        <f>PL!V$573</f>
        <v>36455.847000000002</v>
      </c>
      <c r="V179" s="222">
        <f>PL!W$573</f>
        <v>29329</v>
      </c>
      <c r="W179" s="222">
        <f>PL!X$573</f>
        <v>44253</v>
      </c>
      <c r="X179" s="222">
        <f>PL!Y$573</f>
        <v>40654</v>
      </c>
      <c r="Y179" s="222">
        <f>PL!Z$573</f>
        <v>46500</v>
      </c>
      <c r="Z179" s="222">
        <f>PL!AA$573</f>
        <v>48019</v>
      </c>
      <c r="AA179" s="222">
        <f>PL!AB$573</f>
        <v>73701</v>
      </c>
      <c r="AB179" s="222">
        <f>PL!AC$573</f>
        <v>47200</v>
      </c>
    </row>
    <row r="180" spans="1:28">
      <c r="A180" s="598">
        <v>1</v>
      </c>
      <c r="B180" s="598" t="s">
        <v>512</v>
      </c>
      <c r="C180" s="602" t="s">
        <v>432</v>
      </c>
      <c r="D180" s="598" t="s">
        <v>511</v>
      </c>
      <c r="E180" s="598" t="s">
        <v>39</v>
      </c>
      <c r="G180" s="244"/>
      <c r="H180" s="244"/>
      <c r="I180" s="245"/>
      <c r="J180" s="219" t="s">
        <v>39</v>
      </c>
      <c r="K180" s="234" t="s">
        <v>53</v>
      </c>
      <c r="L180" s="231" t="s">
        <v>36</v>
      </c>
      <c r="M180" s="468" t="s">
        <v>33</v>
      </c>
      <c r="N180" s="232" t="s">
        <v>5</v>
      </c>
      <c r="O180" s="216" t="str">
        <f>PL!$P$4</f>
        <v>BIN</v>
      </c>
      <c r="P180" s="216" t="str">
        <f>PL!$I$6</f>
        <v>K_INR</v>
      </c>
      <c r="Q180" s="222" t="str">
        <f>PL!Q$576</f>
        <v>S/GP (2) Net Sales Indirect NH 3rd Party</v>
      </c>
      <c r="R180" s="222">
        <f>PL!S$576</f>
        <v>0</v>
      </c>
      <c r="S180" s="222">
        <f>PL!T$576</f>
        <v>0</v>
      </c>
      <c r="T180" s="222">
        <f>PL!U$576</f>
        <v>0</v>
      </c>
      <c r="U180" s="222">
        <f>PL!V$576</f>
        <v>0</v>
      </c>
      <c r="V180" s="222">
        <f>PL!W$576</f>
        <v>0</v>
      </c>
      <c r="W180" s="222">
        <f>PL!X$576</f>
        <v>0</v>
      </c>
      <c r="X180" s="222">
        <f>PL!Y$576</f>
        <v>0</v>
      </c>
      <c r="Y180" s="222">
        <f>PL!Z$576</f>
        <v>0</v>
      </c>
      <c r="Z180" s="222">
        <f>PL!AA$576</f>
        <v>0</v>
      </c>
      <c r="AA180" s="222">
        <f>PL!AB$576</f>
        <v>0</v>
      </c>
      <c r="AB180" s="222">
        <f>PL!AC$576</f>
        <v>0</v>
      </c>
    </row>
    <row r="181" spans="1:28">
      <c r="A181" s="598">
        <v>1</v>
      </c>
      <c r="B181" s="598" t="s">
        <v>512</v>
      </c>
      <c r="C181" s="602" t="s">
        <v>648</v>
      </c>
      <c r="D181" s="602" t="s">
        <v>85</v>
      </c>
      <c r="E181" s="598" t="s">
        <v>39</v>
      </c>
      <c r="G181" s="244"/>
      <c r="H181" s="244"/>
      <c r="I181" s="245"/>
      <c r="J181" s="219" t="s">
        <v>39</v>
      </c>
      <c r="K181" s="234" t="s">
        <v>53</v>
      </c>
      <c r="L181" s="231" t="s">
        <v>32</v>
      </c>
      <c r="M181" s="468" t="s">
        <v>85</v>
      </c>
      <c r="N181" s="232" t="s">
        <v>5</v>
      </c>
      <c r="O181" s="216" t="str">
        <f>PL!$P$4</f>
        <v>BIN</v>
      </c>
      <c r="P181" s="216" t="str">
        <f>PL!$I$6</f>
        <v>K_INR</v>
      </c>
      <c r="Q181" s="222" t="str">
        <f>PL!Q$577</f>
        <v>S/GP (2) Net Sales Indirect Solution</v>
      </c>
      <c r="R181" s="222">
        <f>PL!S$577</f>
        <v>0</v>
      </c>
      <c r="S181" s="222">
        <f>PL!T$577</f>
        <v>0</v>
      </c>
      <c r="T181" s="222">
        <f>PL!U$577</f>
        <v>0</v>
      </c>
      <c r="U181" s="222">
        <f>PL!V$577</f>
        <v>0</v>
      </c>
      <c r="V181" s="222">
        <f>PL!W$577</f>
        <v>0</v>
      </c>
      <c r="W181" s="222">
        <f>PL!X$577</f>
        <v>0</v>
      </c>
      <c r="X181" s="222">
        <f>PL!Y$577</f>
        <v>0</v>
      </c>
      <c r="Y181" s="222">
        <f>PL!Z$577</f>
        <v>0</v>
      </c>
      <c r="Z181" s="222">
        <f>PL!AA$577</f>
        <v>0</v>
      </c>
      <c r="AA181" s="222">
        <f>PL!AB$577</f>
        <v>0</v>
      </c>
      <c r="AB181" s="222">
        <f>PL!AC$577</f>
        <v>0</v>
      </c>
    </row>
    <row r="182" spans="1:28">
      <c r="A182" s="598">
        <v>1</v>
      </c>
      <c r="B182" s="598" t="s">
        <v>512</v>
      </c>
      <c r="C182" s="602" t="s">
        <v>649</v>
      </c>
      <c r="D182" s="598" t="s">
        <v>639</v>
      </c>
      <c r="E182" s="598" t="s">
        <v>39</v>
      </c>
      <c r="G182" s="244"/>
      <c r="H182" s="244"/>
      <c r="I182" s="245"/>
      <c r="J182" s="219" t="s">
        <v>39</v>
      </c>
      <c r="K182" s="234" t="s">
        <v>53</v>
      </c>
      <c r="L182" s="231" t="s">
        <v>32</v>
      </c>
      <c r="M182" s="468" t="s">
        <v>11</v>
      </c>
      <c r="N182" s="232" t="s">
        <v>5</v>
      </c>
      <c r="O182" s="216" t="str">
        <f>PL!$P$4</f>
        <v>BIN</v>
      </c>
      <c r="P182" s="216" t="str">
        <f>PL!$I$6</f>
        <v>K_INR</v>
      </c>
      <c r="Q182" s="222" t="str">
        <f>PL!Q$582</f>
        <v>S/GP (2) Net Sales Indirect Others</v>
      </c>
      <c r="R182" s="222">
        <f>PL!S$582</f>
        <v>0</v>
      </c>
      <c r="S182" s="222">
        <f>PL!T$582</f>
        <v>0</v>
      </c>
      <c r="T182" s="222">
        <f>PL!U$582</f>
        <v>0</v>
      </c>
      <c r="U182" s="222">
        <f>PL!V$582</f>
        <v>0</v>
      </c>
      <c r="V182" s="222">
        <f>PL!W$582</f>
        <v>0</v>
      </c>
      <c r="W182" s="222">
        <f>PL!X$582</f>
        <v>0</v>
      </c>
      <c r="X182" s="222">
        <f>PL!Y$582</f>
        <v>0</v>
      </c>
      <c r="Y182" s="222">
        <f>PL!Z$582</f>
        <v>0</v>
      </c>
      <c r="Z182" s="222">
        <f>PL!AA$582</f>
        <v>0</v>
      </c>
      <c r="AA182" s="222">
        <f>PL!AB$582</f>
        <v>0</v>
      </c>
      <c r="AB182" s="222">
        <f>PL!AC$582</f>
        <v>0</v>
      </c>
    </row>
    <row r="183" spans="1:28" s="682" customFormat="1">
      <c r="A183" s="682">
        <v>1</v>
      </c>
      <c r="C183" s="683"/>
      <c r="F183" s="684"/>
      <c r="G183" s="685"/>
      <c r="H183" s="685"/>
      <c r="I183" s="686"/>
      <c r="J183" s="687" t="s">
        <v>9</v>
      </c>
      <c r="K183" s="688" t="s">
        <v>53</v>
      </c>
      <c r="L183" s="689" t="s">
        <v>32</v>
      </c>
      <c r="M183" s="690" t="s">
        <v>4</v>
      </c>
      <c r="N183" s="691" t="s">
        <v>37</v>
      </c>
      <c r="O183" s="692" t="str">
        <f>PL!$P$4</f>
        <v>BIN</v>
      </c>
      <c r="P183" s="692" t="str">
        <f>PL!$I$6</f>
        <v>K_INR</v>
      </c>
      <c r="Q183" s="693"/>
      <c r="R183" s="693"/>
      <c r="S183" s="693"/>
      <c r="T183" s="693"/>
      <c r="U183" s="693"/>
      <c r="V183" s="693"/>
      <c r="W183" s="693"/>
      <c r="X183" s="693"/>
      <c r="Y183" s="693"/>
      <c r="Z183" s="693"/>
      <c r="AA183" s="693"/>
      <c r="AB183" s="693"/>
    </row>
    <row r="184" spans="1:28">
      <c r="A184" s="598">
        <v>1</v>
      </c>
      <c r="B184" s="598" t="s">
        <v>512</v>
      </c>
      <c r="C184" s="602" t="s">
        <v>432</v>
      </c>
      <c r="D184" s="598" t="s">
        <v>137</v>
      </c>
      <c r="E184" s="600" t="s">
        <v>647</v>
      </c>
      <c r="G184" s="244"/>
      <c r="H184" s="244"/>
      <c r="I184" s="245"/>
      <c r="J184" s="219" t="s">
        <v>9</v>
      </c>
      <c r="K184" s="234" t="s">
        <v>53</v>
      </c>
      <c r="L184" s="232" t="s">
        <v>3</v>
      </c>
      <c r="M184" s="468" t="s">
        <v>30</v>
      </c>
      <c r="N184" s="231" t="s">
        <v>37</v>
      </c>
      <c r="O184" s="216" t="str">
        <f>PL!$P$4</f>
        <v>BIN</v>
      </c>
      <c r="P184" s="216" t="str">
        <f>PL!$I$6</f>
        <v>K_INR</v>
      </c>
      <c r="Q184" s="222" t="str">
        <f>PL!Q$160</f>
        <v>PL (2) BT Cons. Sales HW</v>
      </c>
      <c r="R184" s="222">
        <f>PL!S$160</f>
        <v>116887</v>
      </c>
      <c r="S184" s="222">
        <f>PL!T$160</f>
        <v>107627</v>
      </c>
      <c r="T184" s="222">
        <f>PL!U$160</f>
        <v>143440</v>
      </c>
      <c r="U184" s="222">
        <f>PL!V$160</f>
        <v>168081.10800000001</v>
      </c>
      <c r="V184" s="222">
        <f>PL!W$160</f>
        <v>125768</v>
      </c>
      <c r="W184" s="222">
        <f>PL!X$160</f>
        <v>185035</v>
      </c>
      <c r="X184" s="222">
        <f>PL!Y$160</f>
        <v>150968</v>
      </c>
      <c r="Y184" s="222">
        <f>PL!Z$160</f>
        <v>126989</v>
      </c>
      <c r="Z184" s="222">
        <f>PL!AA$160</f>
        <v>166014</v>
      </c>
      <c r="AA184" s="222">
        <f>PL!AB$160</f>
        <v>165952</v>
      </c>
      <c r="AB184" s="222">
        <f>PL!AC$160</f>
        <v>111879</v>
      </c>
    </row>
    <row r="185" spans="1:28">
      <c r="A185" s="598">
        <v>1</v>
      </c>
      <c r="B185" s="598" t="s">
        <v>512</v>
      </c>
      <c r="C185" s="602" t="s">
        <v>648</v>
      </c>
      <c r="D185" s="598" t="s">
        <v>524</v>
      </c>
      <c r="E185" s="600" t="s">
        <v>506</v>
      </c>
      <c r="G185" s="244"/>
      <c r="H185" s="244"/>
      <c r="I185" s="245"/>
      <c r="J185" s="219" t="s">
        <v>9</v>
      </c>
      <c r="K185" s="234" t="s">
        <v>53</v>
      </c>
      <c r="L185" s="232" t="s">
        <v>3</v>
      </c>
      <c r="M185" s="468" t="s">
        <v>33</v>
      </c>
      <c r="N185" s="231" t="s">
        <v>37</v>
      </c>
      <c r="O185" s="216" t="str">
        <f>PL!$P$4</f>
        <v>BIN</v>
      </c>
      <c r="P185" s="216" t="str">
        <f>PL!$I$6</f>
        <v>K_INR</v>
      </c>
      <c r="Q185" s="222" t="str">
        <f>PL!Q$161</f>
        <v>PL (2) BT Cons. Sales NH</v>
      </c>
      <c r="R185" s="222">
        <f>PL!S$161</f>
        <v>349026</v>
      </c>
      <c r="S185" s="222">
        <f>PL!T$161</f>
        <v>360610</v>
      </c>
      <c r="T185" s="222">
        <f>PL!U$161</f>
        <v>344063</v>
      </c>
      <c r="U185" s="222">
        <f>PL!V$161</f>
        <v>376042.09406999999</v>
      </c>
      <c r="V185" s="222">
        <f>PL!W$161</f>
        <v>294606</v>
      </c>
      <c r="W185" s="222">
        <f>PL!X$161</f>
        <v>446053</v>
      </c>
      <c r="X185" s="222">
        <f>PL!Y$161</f>
        <v>373612</v>
      </c>
      <c r="Y185" s="222">
        <f>PL!Z$161</f>
        <v>387764</v>
      </c>
      <c r="Z185" s="222">
        <f>PL!AA$161</f>
        <v>399092</v>
      </c>
      <c r="AA185" s="222">
        <f>PL!AB$161</f>
        <v>431775</v>
      </c>
      <c r="AB185" s="222">
        <f>PL!AC$161</f>
        <v>343918</v>
      </c>
    </row>
    <row r="186" spans="1:28">
      <c r="A186" s="598">
        <v>1</v>
      </c>
      <c r="B186" s="598" t="s">
        <v>630</v>
      </c>
      <c r="C186" s="602" t="s">
        <v>432</v>
      </c>
      <c r="D186" s="598" t="s">
        <v>85</v>
      </c>
      <c r="E186" s="600" t="s">
        <v>506</v>
      </c>
      <c r="G186" s="244"/>
      <c r="H186" s="244"/>
      <c r="I186" s="245"/>
      <c r="J186" s="219" t="s">
        <v>9</v>
      </c>
      <c r="K186" s="234" t="s">
        <v>53</v>
      </c>
      <c r="L186" s="232" t="s">
        <v>3</v>
      </c>
      <c r="M186" s="468" t="s">
        <v>85</v>
      </c>
      <c r="N186" s="231" t="s">
        <v>37</v>
      </c>
      <c r="O186" s="216" t="str">
        <f>PL!$P$4</f>
        <v>BIN</v>
      </c>
      <c r="P186" s="216" t="str">
        <f>PL!$I$6</f>
        <v>K_INR</v>
      </c>
      <c r="Q186" s="222" t="str">
        <f>PL!Q$162</f>
        <v>PL (2) BT Cons. Sales Solution</v>
      </c>
      <c r="R186" s="222">
        <f>PL!S$162</f>
        <v>0</v>
      </c>
      <c r="S186" s="222">
        <f>PL!T$162</f>
        <v>0</v>
      </c>
      <c r="T186" s="222">
        <f>PL!U$162</f>
        <v>0</v>
      </c>
      <c r="U186" s="222">
        <f>PL!V$162</f>
        <v>0</v>
      </c>
      <c r="V186" s="222">
        <f>PL!W$162</f>
        <v>0</v>
      </c>
      <c r="W186" s="222">
        <f>PL!X$162</f>
        <v>0</v>
      </c>
      <c r="X186" s="222">
        <f>PL!Y$162</f>
        <v>0</v>
      </c>
      <c r="Y186" s="222">
        <f>PL!Z$162</f>
        <v>0</v>
      </c>
      <c r="Z186" s="222">
        <f>PL!AA$162</f>
        <v>0</v>
      </c>
      <c r="AA186" s="222">
        <f>PL!AB$162</f>
        <v>0</v>
      </c>
      <c r="AB186" s="222">
        <f>PL!AC$162</f>
        <v>0</v>
      </c>
    </row>
    <row r="187" spans="1:28">
      <c r="A187" s="598">
        <v>1</v>
      </c>
      <c r="B187" s="598" t="s">
        <v>512</v>
      </c>
      <c r="C187" s="602" t="s">
        <v>432</v>
      </c>
      <c r="D187" s="598" t="s">
        <v>11</v>
      </c>
      <c r="E187" s="600" t="s">
        <v>647</v>
      </c>
      <c r="G187" s="244"/>
      <c r="H187" s="244"/>
      <c r="I187" s="245"/>
      <c r="J187" s="219" t="s">
        <v>9</v>
      </c>
      <c r="K187" s="234" t="s">
        <v>53</v>
      </c>
      <c r="L187" s="232" t="s">
        <v>3</v>
      </c>
      <c r="M187" s="468" t="s">
        <v>11</v>
      </c>
      <c r="N187" s="231" t="s">
        <v>37</v>
      </c>
      <c r="O187" s="216" t="str">
        <f>PL!$P$4</f>
        <v>BIN</v>
      </c>
      <c r="P187" s="216" t="str">
        <f>PL!$I$6</f>
        <v>K_INR</v>
      </c>
      <c r="Q187" s="222" t="str">
        <f>PL!Q$163</f>
        <v>PL (2) BT Cons. Sales Others</v>
      </c>
      <c r="R187" s="222">
        <f>PL!S$163</f>
        <v>0</v>
      </c>
      <c r="S187" s="222">
        <f>PL!T$163</f>
        <v>0</v>
      </c>
      <c r="T187" s="222">
        <f>PL!U$163</f>
        <v>0</v>
      </c>
      <c r="U187" s="222">
        <f>PL!V$163</f>
        <v>0</v>
      </c>
      <c r="V187" s="222">
        <f>PL!W$163</f>
        <v>0</v>
      </c>
      <c r="W187" s="222">
        <f>PL!X$163</f>
        <v>0</v>
      </c>
      <c r="X187" s="222">
        <f>PL!Y$163</f>
        <v>0</v>
      </c>
      <c r="Y187" s="222">
        <f>PL!Z$163</f>
        <v>0</v>
      </c>
      <c r="Z187" s="222">
        <f>PL!AA$163</f>
        <v>0</v>
      </c>
      <c r="AA187" s="222">
        <f>PL!AB$163</f>
        <v>0</v>
      </c>
      <c r="AB187" s="222">
        <f>PL!AC$163</f>
        <v>0</v>
      </c>
    </row>
    <row r="188" spans="1:28" s="682" customFormat="1">
      <c r="A188" s="682">
        <v>1</v>
      </c>
      <c r="C188" s="683"/>
      <c r="F188" s="684"/>
      <c r="G188" s="685"/>
      <c r="H188" s="685"/>
      <c r="I188" s="686"/>
      <c r="J188" s="687" t="s">
        <v>694</v>
      </c>
      <c r="K188" s="688" t="s">
        <v>432</v>
      </c>
      <c r="L188" s="689" t="s">
        <v>29</v>
      </c>
      <c r="M188" s="690" t="s">
        <v>4</v>
      </c>
      <c r="N188" s="691" t="s">
        <v>5</v>
      </c>
      <c r="O188" s="692" t="str">
        <f>PL!$P$4</f>
        <v>BIN</v>
      </c>
      <c r="P188" s="692" t="str">
        <f>PL!$I$6</f>
        <v>K_INR</v>
      </c>
      <c r="Q188" s="693">
        <f>SUM(Q189:Q200)</f>
        <v>0</v>
      </c>
      <c r="R188" s="693">
        <f t="shared" ref="R188:AB188" si="16">SUM(R189:R200)</f>
        <v>126447</v>
      </c>
      <c r="S188" s="693">
        <f t="shared" si="16"/>
        <v>129875</v>
      </c>
      <c r="T188" s="693">
        <f t="shared" si="16"/>
        <v>144282</v>
      </c>
      <c r="U188" s="693">
        <f t="shared" si="16"/>
        <v>174059.38558742515</v>
      </c>
      <c r="V188" s="693">
        <f t="shared" si="16"/>
        <v>93658.251999999993</v>
      </c>
      <c r="W188" s="693">
        <f t="shared" si="16"/>
        <v>199687.25200000001</v>
      </c>
      <c r="X188" s="693">
        <f t="shared" si="16"/>
        <v>150590</v>
      </c>
      <c r="Y188" s="693">
        <f t="shared" si="16"/>
        <v>155379</v>
      </c>
      <c r="Z188" s="693">
        <f t="shared" si="16"/>
        <v>186175</v>
      </c>
      <c r="AA188" s="693">
        <f t="shared" si="16"/>
        <v>166099.85702958333</v>
      </c>
      <c r="AB188" s="693">
        <f t="shared" si="16"/>
        <v>73638</v>
      </c>
    </row>
    <row r="189" spans="1:28">
      <c r="A189" s="598">
        <v>1</v>
      </c>
      <c r="B189" s="598" t="s">
        <v>630</v>
      </c>
      <c r="C189" s="602" t="s">
        <v>649</v>
      </c>
      <c r="D189" s="598" t="s">
        <v>631</v>
      </c>
      <c r="E189" s="598" t="s">
        <v>45</v>
      </c>
      <c r="G189" s="244"/>
      <c r="H189" s="244"/>
      <c r="I189" s="245"/>
      <c r="J189" s="220" t="s">
        <v>31</v>
      </c>
      <c r="K189" s="234" t="s">
        <v>53</v>
      </c>
      <c r="L189" s="231" t="s">
        <v>29</v>
      </c>
      <c r="M189" s="468" t="s">
        <v>30</v>
      </c>
      <c r="N189" s="232" t="s">
        <v>5</v>
      </c>
      <c r="O189" s="216" t="str">
        <f>PL!$P$4</f>
        <v>BIN</v>
      </c>
      <c r="P189" s="216" t="str">
        <f>PL!$I$6</f>
        <v>K_INR</v>
      </c>
      <c r="Q189" s="222" t="str">
        <f>PL!Q$586</f>
        <v>S/GP (2) Gross Profit Direct HW KMI</v>
      </c>
      <c r="R189" s="222">
        <f>PL!S$586</f>
        <v>33128</v>
      </c>
      <c r="S189" s="222">
        <f>PL!T$586</f>
        <v>33993</v>
      </c>
      <c r="T189" s="222">
        <f>PL!U$586</f>
        <v>45586</v>
      </c>
      <c r="U189" s="222">
        <f>PL!V$586</f>
        <v>49772.13257300407</v>
      </c>
      <c r="V189" s="222">
        <f>PL!W$586</f>
        <v>43448</v>
      </c>
      <c r="W189" s="222">
        <f>PL!X$586</f>
        <v>64807</v>
      </c>
      <c r="X189" s="222">
        <f>PL!Y$586</f>
        <v>46291</v>
      </c>
      <c r="Y189" s="222">
        <f>PL!Z$586</f>
        <v>43405</v>
      </c>
      <c r="Z189" s="222">
        <f>PL!AA$586</f>
        <v>55552</v>
      </c>
      <c r="AA189" s="222">
        <f>PL!AB$586</f>
        <v>53956.949029583338</v>
      </c>
      <c r="AB189" s="222">
        <f>PL!AC$586</f>
        <v>31460</v>
      </c>
    </row>
    <row r="190" spans="1:28">
      <c r="A190" s="598">
        <v>1</v>
      </c>
      <c r="B190" s="598" t="s">
        <v>512</v>
      </c>
      <c r="C190" s="602" t="s">
        <v>648</v>
      </c>
      <c r="D190" s="598" t="s">
        <v>298</v>
      </c>
      <c r="E190" s="598" t="s">
        <v>45</v>
      </c>
      <c r="G190" s="244"/>
      <c r="H190" s="244"/>
      <c r="I190" s="245"/>
      <c r="J190" s="220" t="s">
        <v>31</v>
      </c>
      <c r="K190" s="234" t="s">
        <v>53</v>
      </c>
      <c r="L190" s="231" t="s">
        <v>35</v>
      </c>
      <c r="M190" s="468" t="s">
        <v>30</v>
      </c>
      <c r="N190" s="232" t="s">
        <v>5</v>
      </c>
      <c r="O190" s="216" t="str">
        <f>PL!$P$4</f>
        <v>BIN</v>
      </c>
      <c r="P190" s="216" t="str">
        <f>PL!$I$6</f>
        <v>K_INR</v>
      </c>
      <c r="Q190" s="222" t="str">
        <f>PL!Q$587</f>
        <v>S/GP (2) Gross Profit Direct HW 3rd Party</v>
      </c>
      <c r="R190" s="222">
        <f>PL!S$587</f>
        <v>0</v>
      </c>
      <c r="S190" s="222">
        <f>PL!T$587</f>
        <v>0</v>
      </c>
      <c r="T190" s="222">
        <f>PL!U$587</f>
        <v>0</v>
      </c>
      <c r="U190" s="222">
        <f>PL!V$587</f>
        <v>0</v>
      </c>
      <c r="V190" s="222">
        <f>PL!W$587</f>
        <v>0</v>
      </c>
      <c r="W190" s="222">
        <f>PL!X$587</f>
        <v>0</v>
      </c>
      <c r="X190" s="222">
        <f>PL!Y$587</f>
        <v>0</v>
      </c>
      <c r="Y190" s="222">
        <f>PL!Z$587</f>
        <v>0</v>
      </c>
      <c r="Z190" s="222">
        <f>PL!AA$587</f>
        <v>0</v>
      </c>
      <c r="AA190" s="222">
        <f>PL!AB$587</f>
        <v>0</v>
      </c>
      <c r="AB190" s="222">
        <f>PL!AC$587</f>
        <v>0</v>
      </c>
    </row>
    <row r="191" spans="1:28">
      <c r="A191" s="598">
        <v>1</v>
      </c>
      <c r="B191" s="598" t="s">
        <v>630</v>
      </c>
      <c r="C191" s="602" t="s">
        <v>650</v>
      </c>
      <c r="D191" s="598" t="s">
        <v>634</v>
      </c>
      <c r="E191" s="598" t="s">
        <v>45</v>
      </c>
      <c r="G191" s="244"/>
      <c r="H191" s="244"/>
      <c r="I191" s="245"/>
      <c r="J191" s="220" t="s">
        <v>31</v>
      </c>
      <c r="K191" s="234" t="s">
        <v>53</v>
      </c>
      <c r="L191" s="231" t="s">
        <v>29</v>
      </c>
      <c r="M191" s="468" t="s">
        <v>33</v>
      </c>
      <c r="N191" s="232" t="s">
        <v>5</v>
      </c>
      <c r="O191" s="216" t="str">
        <f>PL!$P$4</f>
        <v>BIN</v>
      </c>
      <c r="P191" s="216" t="str">
        <f>PL!$I$6</f>
        <v>K_INR</v>
      </c>
      <c r="Q191" s="222" t="str">
        <f>PL!Q$589</f>
        <v>S/GP (2) Gross Profit Direct NH KMI</v>
      </c>
      <c r="R191" s="222">
        <f>PL!S$589</f>
        <v>107961</v>
      </c>
      <c r="S191" s="222">
        <f>PL!T$589</f>
        <v>111963</v>
      </c>
      <c r="T191" s="222">
        <f>PL!U$589</f>
        <v>116316</v>
      </c>
      <c r="U191" s="222">
        <f>PL!V$589</f>
        <v>141146.10871554</v>
      </c>
      <c r="V191" s="222">
        <f>PL!W$589</f>
        <v>67232</v>
      </c>
      <c r="W191" s="222">
        <f>PL!X$589</f>
        <v>161975</v>
      </c>
      <c r="X191" s="222">
        <f>PL!Y$589</f>
        <v>120002</v>
      </c>
      <c r="Y191" s="222">
        <f>PL!Z$589</f>
        <v>128348</v>
      </c>
      <c r="Z191" s="222">
        <f>PL!AA$589</f>
        <v>146200</v>
      </c>
      <c r="AA191" s="222">
        <f>PL!AB$589</f>
        <v>138441</v>
      </c>
      <c r="AB191" s="222">
        <f>PL!AC$589</f>
        <v>63249</v>
      </c>
    </row>
    <row r="192" spans="1:28">
      <c r="A192" s="598">
        <v>1</v>
      </c>
      <c r="B192" s="598" t="s">
        <v>512</v>
      </c>
      <c r="C192" s="602" t="s">
        <v>432</v>
      </c>
      <c r="D192" s="598" t="s">
        <v>511</v>
      </c>
      <c r="E192" s="598" t="s">
        <v>45</v>
      </c>
      <c r="G192" s="244"/>
      <c r="H192" s="244"/>
      <c r="I192" s="245"/>
      <c r="J192" s="220" t="s">
        <v>31</v>
      </c>
      <c r="K192" s="234" t="s">
        <v>53</v>
      </c>
      <c r="L192" s="231" t="s">
        <v>35</v>
      </c>
      <c r="M192" s="468" t="s">
        <v>33</v>
      </c>
      <c r="N192" s="232" t="s">
        <v>5</v>
      </c>
      <c r="O192" s="216" t="str">
        <f>PL!$P$4</f>
        <v>BIN</v>
      </c>
      <c r="P192" s="216" t="str">
        <f>PL!$I$6</f>
        <v>K_INR</v>
      </c>
      <c r="Q192" s="222" t="str">
        <f>PL!Q$592</f>
        <v>S/GP (2) Gross Profit Direct NH 3rd Party</v>
      </c>
      <c r="R192" s="222">
        <f>PL!S$592</f>
        <v>0</v>
      </c>
      <c r="S192" s="222">
        <f>PL!T$592</f>
        <v>0</v>
      </c>
      <c r="T192" s="222">
        <f>PL!U$592</f>
        <v>0</v>
      </c>
      <c r="U192" s="222">
        <f>PL!V$592</f>
        <v>0</v>
      </c>
      <c r="V192" s="222">
        <f>PL!W$592</f>
        <v>0</v>
      </c>
      <c r="W192" s="222">
        <f>PL!X$592</f>
        <v>0</v>
      </c>
      <c r="X192" s="222">
        <f>PL!Y$592</f>
        <v>0</v>
      </c>
      <c r="Y192" s="222">
        <f>PL!Z$592</f>
        <v>0</v>
      </c>
      <c r="Z192" s="222">
        <f>PL!AA$592</f>
        <v>0</v>
      </c>
      <c r="AA192" s="222">
        <f>PL!AB$592</f>
        <v>0</v>
      </c>
      <c r="AB192" s="222">
        <f>PL!AC$592</f>
        <v>0</v>
      </c>
    </row>
    <row r="193" spans="1:28" s="475" customFormat="1">
      <c r="A193" s="598">
        <v>1</v>
      </c>
      <c r="B193" s="598" t="s">
        <v>638</v>
      </c>
      <c r="C193" s="602" t="s">
        <v>648</v>
      </c>
      <c r="D193" s="598" t="s">
        <v>511</v>
      </c>
      <c r="E193" s="598" t="s">
        <v>45</v>
      </c>
      <c r="G193" s="476"/>
      <c r="H193" s="476"/>
      <c r="I193" s="477"/>
      <c r="J193" s="474" t="s">
        <v>423</v>
      </c>
      <c r="K193" s="478" t="s">
        <v>53</v>
      </c>
      <c r="L193" s="479" t="s">
        <v>29</v>
      </c>
      <c r="M193" s="480" t="s">
        <v>33</v>
      </c>
      <c r="N193" s="481" t="s">
        <v>5</v>
      </c>
      <c r="O193" s="482" t="str">
        <f>PL!$P$4</f>
        <v>BIN</v>
      </c>
      <c r="P193" s="482" t="str">
        <f>PL!$I$6</f>
        <v>K_INR</v>
      </c>
      <c r="Q193" s="483" t="str">
        <f>PL!Q$594</f>
        <v>S/GP (2) Gross Profit Direct NH &lt;Direct&gt;FSC(-) PC</v>
      </c>
      <c r="R193" s="483">
        <f>PL!S$594</f>
        <v>-13249</v>
      </c>
      <c r="S193" s="483">
        <f>PL!T$594</f>
        <v>-13514</v>
      </c>
      <c r="T193" s="483">
        <f>PL!U$594</f>
        <v>-15078</v>
      </c>
      <c r="U193" s="483">
        <f>PL!V$594</f>
        <v>-14059.14570111895</v>
      </c>
      <c r="V193" s="483">
        <f>PL!W$594</f>
        <v>-13264</v>
      </c>
      <c r="W193" s="483">
        <f>PL!X$594</f>
        <v>-22029</v>
      </c>
      <c r="X193" s="483">
        <f>PL!Y$594</f>
        <v>-13234</v>
      </c>
      <c r="Y193" s="483">
        <f>PL!Z$594</f>
        <v>-13397</v>
      </c>
      <c r="Z193" s="483">
        <f>PL!AA$594</f>
        <v>-13114</v>
      </c>
      <c r="AA193" s="483">
        <f>PL!AB$594</f>
        <v>-22624</v>
      </c>
      <c r="AB193" s="483">
        <f>PL!AC$594</f>
        <v>-10762</v>
      </c>
    </row>
    <row r="194" spans="1:28" s="475" customFormat="1">
      <c r="A194" s="598">
        <v>1</v>
      </c>
      <c r="B194" s="598" t="s">
        <v>512</v>
      </c>
      <c r="C194" s="602" t="s">
        <v>648</v>
      </c>
      <c r="D194" s="598" t="s">
        <v>511</v>
      </c>
      <c r="E194" s="598" t="s">
        <v>45</v>
      </c>
      <c r="G194" s="476"/>
      <c r="H194" s="476"/>
      <c r="I194" s="477"/>
      <c r="J194" s="474" t="s">
        <v>424</v>
      </c>
      <c r="K194" s="478" t="s">
        <v>53</v>
      </c>
      <c r="L194" s="479" t="s">
        <v>29</v>
      </c>
      <c r="M194" s="480" t="s">
        <v>33</v>
      </c>
      <c r="N194" s="481" t="s">
        <v>5</v>
      </c>
      <c r="O194" s="482" t="str">
        <f>PL!$P$4</f>
        <v>BIN</v>
      </c>
      <c r="P194" s="482" t="str">
        <f>PL!$I$6</f>
        <v>K_INR</v>
      </c>
      <c r="Q194" s="483" t="str">
        <f>PL!Q$595</f>
        <v>S/GP (2) Gross Profit Direct NH &lt;Direct&gt;FSC(-) TE</v>
      </c>
      <c r="R194" s="483">
        <f>PL!S$595</f>
        <v>-1074</v>
      </c>
      <c r="S194" s="483">
        <f>PL!T$595</f>
        <v>-2392</v>
      </c>
      <c r="T194" s="483">
        <f>PL!U$595</f>
        <v>-2268</v>
      </c>
      <c r="U194" s="483">
        <f>PL!V$595</f>
        <v>-2511.962</v>
      </c>
      <c r="V194" s="483">
        <f>PL!W$595</f>
        <v>-3470</v>
      </c>
      <c r="W194" s="483">
        <f>PL!X$595</f>
        <v>-4778</v>
      </c>
      <c r="X194" s="483">
        <f>PL!Y$595</f>
        <v>-2231</v>
      </c>
      <c r="Y194" s="483">
        <f>PL!Z$595</f>
        <v>-2689</v>
      </c>
      <c r="Z194" s="483">
        <f>PL!AA$595</f>
        <v>-2175</v>
      </c>
      <c r="AA194" s="483">
        <f>PL!AB$595</f>
        <v>-3386.3440000000001</v>
      </c>
      <c r="AB194" s="483">
        <f>PL!AC$595</f>
        <v>-9936</v>
      </c>
    </row>
    <row r="195" spans="1:28" s="475" customFormat="1">
      <c r="A195" s="598">
        <v>1</v>
      </c>
      <c r="B195" s="598" t="s">
        <v>630</v>
      </c>
      <c r="C195" s="602" t="s">
        <v>648</v>
      </c>
      <c r="D195" s="598" t="s">
        <v>634</v>
      </c>
      <c r="E195" s="598" t="s">
        <v>45</v>
      </c>
      <c r="G195" s="476"/>
      <c r="H195" s="476"/>
      <c r="I195" s="477"/>
      <c r="J195" s="474" t="s">
        <v>425</v>
      </c>
      <c r="K195" s="478" t="s">
        <v>53</v>
      </c>
      <c r="L195" s="479" t="s">
        <v>29</v>
      </c>
      <c r="M195" s="480" t="s">
        <v>33</v>
      </c>
      <c r="N195" s="481" t="s">
        <v>5</v>
      </c>
      <c r="O195" s="482" t="str">
        <f>PL!$P$4</f>
        <v>BIN</v>
      </c>
      <c r="P195" s="482" t="str">
        <f>PL!$I$6</f>
        <v>K_INR</v>
      </c>
      <c r="Q195" s="483" t="str">
        <f>PL!Q$600</f>
        <v>S/GP (2) Gross Profit Direct NH &lt;Direct&gt;D&amp;A (-)</v>
      </c>
      <c r="R195" s="483">
        <f>PL!S$600</f>
        <v>0</v>
      </c>
      <c r="S195" s="483">
        <f>PL!T$600</f>
        <v>0</v>
      </c>
      <c r="T195" s="483">
        <f>PL!U$600</f>
        <v>0</v>
      </c>
      <c r="U195" s="483">
        <f>PL!V$600</f>
        <v>0</v>
      </c>
      <c r="V195" s="483">
        <f>PL!W$600</f>
        <v>0</v>
      </c>
      <c r="W195" s="483">
        <f>PL!X$600</f>
        <v>0</v>
      </c>
      <c r="X195" s="483">
        <f>PL!Y$600</f>
        <v>0</v>
      </c>
      <c r="Y195" s="483">
        <f>PL!Z$600</f>
        <v>0</v>
      </c>
      <c r="Z195" s="483">
        <f>PL!AA$600</f>
        <v>0</v>
      </c>
      <c r="AA195" s="483">
        <f>PL!AB$600</f>
        <v>0</v>
      </c>
      <c r="AB195" s="483">
        <f>PL!AC$600</f>
        <v>0</v>
      </c>
    </row>
    <row r="196" spans="1:28" s="475" customFormat="1">
      <c r="A196" s="598">
        <v>1</v>
      </c>
      <c r="B196" s="598" t="s">
        <v>630</v>
      </c>
      <c r="C196" s="602" t="s">
        <v>649</v>
      </c>
      <c r="D196" s="598" t="s">
        <v>634</v>
      </c>
      <c r="E196" s="598" t="s">
        <v>45</v>
      </c>
      <c r="G196" s="476"/>
      <c r="H196" s="476"/>
      <c r="I196" s="477"/>
      <c r="J196" s="474" t="s">
        <v>426</v>
      </c>
      <c r="K196" s="478" t="s">
        <v>53</v>
      </c>
      <c r="L196" s="479" t="s">
        <v>29</v>
      </c>
      <c r="M196" s="480" t="s">
        <v>33</v>
      </c>
      <c r="N196" s="481" t="s">
        <v>5</v>
      </c>
      <c r="O196" s="482" t="str">
        <f>PL!$P$4</f>
        <v>BIN</v>
      </c>
      <c r="P196" s="482" t="str">
        <f>PL!$I$6</f>
        <v>K_INR</v>
      </c>
      <c r="Q196" s="483" t="str">
        <f>PL!Q$596</f>
        <v>S/GP (2) Gross Profit Direct NH &lt;Direct&gt;FSC(-) OFC</v>
      </c>
      <c r="R196" s="483">
        <f>PL!S$596</f>
        <v>-319</v>
      </c>
      <c r="S196" s="483">
        <f>PL!T$596</f>
        <v>-175</v>
      </c>
      <c r="T196" s="483">
        <f>PL!U$596</f>
        <v>-274</v>
      </c>
      <c r="U196" s="483">
        <f>PL!V$596</f>
        <v>-287.74799999999999</v>
      </c>
      <c r="V196" s="483">
        <f>PL!W$596</f>
        <v>-287.74799999999999</v>
      </c>
      <c r="W196" s="483">
        <f>PL!X$596</f>
        <v>-287.74799999999999</v>
      </c>
      <c r="X196" s="483">
        <f>PL!Y$596</f>
        <v>-238</v>
      </c>
      <c r="Y196" s="483">
        <f>PL!Z$596</f>
        <v>-288</v>
      </c>
      <c r="Z196" s="483">
        <f>PL!AA$596</f>
        <v>-288</v>
      </c>
      <c r="AA196" s="483">
        <f>PL!AB$596</f>
        <v>-287.74799999999999</v>
      </c>
      <c r="AB196" s="483">
        <f>PL!AC$596</f>
        <v>-373</v>
      </c>
    </row>
    <row r="197" spans="1:28" s="475" customFormat="1">
      <c r="A197" s="598">
        <v>1</v>
      </c>
      <c r="B197" s="598" t="s">
        <v>638</v>
      </c>
      <c r="C197" s="602" t="s">
        <v>432</v>
      </c>
      <c r="D197" s="598" t="s">
        <v>651</v>
      </c>
      <c r="E197" s="598" t="s">
        <v>45</v>
      </c>
      <c r="G197" s="476"/>
      <c r="H197" s="476"/>
      <c r="I197" s="477"/>
      <c r="J197" s="474" t="s">
        <v>427</v>
      </c>
      <c r="K197" s="478" t="s">
        <v>53</v>
      </c>
      <c r="L197" s="479" t="s">
        <v>29</v>
      </c>
      <c r="M197" s="480" t="s">
        <v>33</v>
      </c>
      <c r="N197" s="481" t="s">
        <v>5</v>
      </c>
      <c r="O197" s="482" t="str">
        <f>PL!$P$4</f>
        <v>BIN</v>
      </c>
      <c r="P197" s="482" t="str">
        <f>PL!$I$6</f>
        <v>K_INR</v>
      </c>
      <c r="Q197" s="483" t="str">
        <f>PL!Q$598</f>
        <v>S/GP (2) Gross Profit Direct NH &lt;Direct&gt;SDC(-) PC</v>
      </c>
      <c r="R197" s="483">
        <f>PL!S$598</f>
        <v>0</v>
      </c>
      <c r="S197" s="483">
        <f>PL!T$598</f>
        <v>0</v>
      </c>
      <c r="T197" s="483">
        <f>PL!U$598</f>
        <v>0</v>
      </c>
      <c r="U197" s="483">
        <f>PL!V$598</f>
        <v>0</v>
      </c>
      <c r="V197" s="483">
        <f>PL!W$598</f>
        <v>0</v>
      </c>
      <c r="W197" s="483">
        <f>PL!X$598</f>
        <v>0</v>
      </c>
      <c r="X197" s="483">
        <f>PL!Y$598</f>
        <v>0</v>
      </c>
      <c r="Y197" s="483">
        <f>PL!Z$598</f>
        <v>0</v>
      </c>
      <c r="Z197" s="483">
        <f>PL!AA$598</f>
        <v>0</v>
      </c>
      <c r="AA197" s="483">
        <f>PL!AB$598</f>
        <v>0</v>
      </c>
      <c r="AB197" s="483">
        <f>PL!AC$598</f>
        <v>0</v>
      </c>
    </row>
    <row r="198" spans="1:28" s="475" customFormat="1">
      <c r="A198" s="598">
        <v>1</v>
      </c>
      <c r="B198" s="598" t="s">
        <v>630</v>
      </c>
      <c r="C198" s="602" t="s">
        <v>648</v>
      </c>
      <c r="D198" s="598" t="s">
        <v>511</v>
      </c>
      <c r="E198" s="598" t="s">
        <v>45</v>
      </c>
      <c r="G198" s="476"/>
      <c r="H198" s="476"/>
      <c r="I198" s="477"/>
      <c r="J198" s="474" t="s">
        <v>428</v>
      </c>
      <c r="K198" s="478" t="s">
        <v>53</v>
      </c>
      <c r="L198" s="479" t="s">
        <v>29</v>
      </c>
      <c r="M198" s="480" t="s">
        <v>33</v>
      </c>
      <c r="N198" s="481" t="s">
        <v>5</v>
      </c>
      <c r="O198" s="482" t="str">
        <f>PL!$P$4</f>
        <v>BIN</v>
      </c>
      <c r="P198" s="482" t="str">
        <f>PL!$I$6</f>
        <v>K_INR</v>
      </c>
      <c r="Q198" s="483" t="str">
        <f>PL!Q$599</f>
        <v>S/GP (2) Gross Profit Direct NH &lt;Direct&gt;SDC(-) OFC</v>
      </c>
      <c r="R198" s="483">
        <f>PL!S$599</f>
        <v>0</v>
      </c>
      <c r="S198" s="483">
        <f>PL!T$599</f>
        <v>0</v>
      </c>
      <c r="T198" s="483">
        <f>PL!U$599</f>
        <v>0</v>
      </c>
      <c r="U198" s="483">
        <f>PL!V$599</f>
        <v>0</v>
      </c>
      <c r="V198" s="483">
        <f>PL!W$599</f>
        <v>0</v>
      </c>
      <c r="W198" s="483">
        <f>PL!X$599</f>
        <v>0</v>
      </c>
      <c r="X198" s="483">
        <f>PL!Y$599</f>
        <v>0</v>
      </c>
      <c r="Y198" s="483">
        <f>PL!Z$599</f>
        <v>0</v>
      </c>
      <c r="Z198" s="483">
        <f>PL!AA$599</f>
        <v>0</v>
      </c>
      <c r="AA198" s="483">
        <f>PL!AB$599</f>
        <v>0</v>
      </c>
      <c r="AB198" s="483">
        <f>PL!AC$599</f>
        <v>0</v>
      </c>
    </row>
    <row r="199" spans="1:28">
      <c r="A199" s="598">
        <v>1</v>
      </c>
      <c r="B199" s="598" t="s">
        <v>512</v>
      </c>
      <c r="C199" s="602" t="s">
        <v>648</v>
      </c>
      <c r="D199" s="602" t="s">
        <v>85</v>
      </c>
      <c r="E199" s="598" t="s">
        <v>45</v>
      </c>
      <c r="G199" s="244"/>
      <c r="H199" s="244"/>
      <c r="I199" s="245"/>
      <c r="J199" s="220" t="s">
        <v>31</v>
      </c>
      <c r="K199" s="234" t="s">
        <v>53</v>
      </c>
      <c r="L199" s="231" t="s">
        <v>29</v>
      </c>
      <c r="M199" s="468" t="s">
        <v>85</v>
      </c>
      <c r="N199" s="232" t="s">
        <v>5</v>
      </c>
      <c r="O199" s="216" t="str">
        <f>PL!$P$4</f>
        <v>BIN</v>
      </c>
      <c r="P199" s="216" t="str">
        <f>PL!$I$6</f>
        <v>K_INR</v>
      </c>
      <c r="Q199" s="222" t="str">
        <f>PL!Q$601</f>
        <v>S/GP (2) Gross Profit Direct Solution</v>
      </c>
      <c r="R199" s="222">
        <f>PL!S$601</f>
        <v>0</v>
      </c>
      <c r="S199" s="222">
        <f>PL!T$601</f>
        <v>0</v>
      </c>
      <c r="T199" s="222">
        <f>PL!U$601</f>
        <v>0</v>
      </c>
      <c r="U199" s="222">
        <f>PL!V$601</f>
        <v>0</v>
      </c>
      <c r="V199" s="222">
        <f>PL!W$601</f>
        <v>0</v>
      </c>
      <c r="W199" s="222">
        <f>PL!X$601</f>
        <v>0</v>
      </c>
      <c r="X199" s="222">
        <f>PL!Y$601</f>
        <v>0</v>
      </c>
      <c r="Y199" s="222">
        <f>PL!Z$601</f>
        <v>0</v>
      </c>
      <c r="Z199" s="222">
        <f>PL!AA$601</f>
        <v>0</v>
      </c>
      <c r="AA199" s="222">
        <f>PL!AB$601</f>
        <v>0</v>
      </c>
      <c r="AB199" s="222">
        <f>PL!AC$601</f>
        <v>0</v>
      </c>
    </row>
    <row r="200" spans="1:28">
      <c r="A200" s="598">
        <v>1</v>
      </c>
      <c r="B200" s="598" t="s">
        <v>630</v>
      </c>
      <c r="C200" s="602" t="s">
        <v>432</v>
      </c>
      <c r="D200" s="598" t="s">
        <v>652</v>
      </c>
      <c r="E200" s="598" t="s">
        <v>45</v>
      </c>
      <c r="G200" s="244"/>
      <c r="H200" s="244"/>
      <c r="I200" s="245"/>
      <c r="J200" s="220" t="s">
        <v>31</v>
      </c>
      <c r="K200" s="234" t="s">
        <v>53</v>
      </c>
      <c r="L200" s="231" t="s">
        <v>29</v>
      </c>
      <c r="M200" s="468" t="s">
        <v>11</v>
      </c>
      <c r="N200" s="232" t="s">
        <v>5</v>
      </c>
      <c r="O200" s="216" t="str">
        <f>PL!$P$4</f>
        <v>BIN</v>
      </c>
      <c r="P200" s="216" t="str">
        <f>PL!$I$6</f>
        <v>K_INR</v>
      </c>
      <c r="Q200" s="222" t="str">
        <f>PL!Q$606</f>
        <v>S/GP (2) Gross Profit Direct Others</v>
      </c>
      <c r="R200" s="222">
        <f>PL!S$606</f>
        <v>0</v>
      </c>
      <c r="S200" s="222">
        <f>PL!T$606</f>
        <v>0</v>
      </c>
      <c r="T200" s="222">
        <f>PL!U$606</f>
        <v>0</v>
      </c>
      <c r="U200" s="222">
        <f>PL!V$606</f>
        <v>0</v>
      </c>
      <c r="V200" s="222">
        <f>PL!W$606</f>
        <v>0</v>
      </c>
      <c r="W200" s="222">
        <f>PL!X$606</f>
        <v>0</v>
      </c>
      <c r="X200" s="222">
        <f>PL!Y$606</f>
        <v>0</v>
      </c>
      <c r="Y200" s="222">
        <f>PL!Z$606</f>
        <v>0</v>
      </c>
      <c r="Z200" s="222">
        <f>PL!AA$606</f>
        <v>0</v>
      </c>
      <c r="AA200" s="222">
        <f>PL!AB$606</f>
        <v>0</v>
      </c>
      <c r="AB200" s="222">
        <f>PL!AC$606</f>
        <v>0</v>
      </c>
    </row>
    <row r="201" spans="1:28" s="682" customFormat="1">
      <c r="A201" s="682">
        <v>1</v>
      </c>
      <c r="C201" s="683"/>
      <c r="F201" s="684"/>
      <c r="G201" s="685"/>
      <c r="H201" s="685"/>
      <c r="I201" s="686"/>
      <c r="J201" s="687" t="s">
        <v>694</v>
      </c>
      <c r="K201" s="688" t="s">
        <v>432</v>
      </c>
      <c r="L201" s="689" t="s">
        <v>32</v>
      </c>
      <c r="M201" s="690" t="s">
        <v>4</v>
      </c>
      <c r="N201" s="691" t="s">
        <v>5</v>
      </c>
      <c r="O201" s="692" t="str">
        <f>PL!$P$4</f>
        <v>BIN</v>
      </c>
      <c r="P201" s="692" t="str">
        <f>PL!$I$6</f>
        <v>K_INR</v>
      </c>
      <c r="Q201" s="693">
        <f>SUM(Q202:Q213)</f>
        <v>0</v>
      </c>
      <c r="R201" s="693">
        <f t="shared" ref="R201:AB201" si="17">SUM(R202:R213)</f>
        <v>15003</v>
      </c>
      <c r="S201" s="693">
        <f t="shared" si="17"/>
        <v>15151</v>
      </c>
      <c r="T201" s="693">
        <f t="shared" si="17"/>
        <v>21154</v>
      </c>
      <c r="U201" s="693">
        <f t="shared" si="17"/>
        <v>17987.565102660647</v>
      </c>
      <c r="V201" s="693">
        <f t="shared" si="17"/>
        <v>7119</v>
      </c>
      <c r="W201" s="693">
        <f t="shared" si="17"/>
        <v>20466</v>
      </c>
      <c r="X201" s="693">
        <f t="shared" si="17"/>
        <v>17842</v>
      </c>
      <c r="Y201" s="693">
        <f t="shared" si="17"/>
        <v>11754</v>
      </c>
      <c r="Z201" s="693">
        <f t="shared" si="17"/>
        <v>18670</v>
      </c>
      <c r="AA201" s="693">
        <f t="shared" si="17"/>
        <v>24203.1067</v>
      </c>
      <c r="AB201" s="693">
        <f t="shared" si="17"/>
        <v>16181</v>
      </c>
    </row>
    <row r="202" spans="1:28">
      <c r="A202" s="598">
        <v>1</v>
      </c>
      <c r="B202" s="598" t="s">
        <v>630</v>
      </c>
      <c r="C202" s="602" t="s">
        <v>648</v>
      </c>
      <c r="D202" s="598" t="s">
        <v>298</v>
      </c>
      <c r="E202" s="598" t="s">
        <v>45</v>
      </c>
      <c r="G202" s="244"/>
      <c r="H202" s="244"/>
      <c r="I202" s="245"/>
      <c r="J202" s="220" t="s">
        <v>31</v>
      </c>
      <c r="K202" s="234" t="s">
        <v>53</v>
      </c>
      <c r="L202" s="231" t="s">
        <v>32</v>
      </c>
      <c r="M202" s="468" t="s">
        <v>30</v>
      </c>
      <c r="N202" s="232" t="s">
        <v>5</v>
      </c>
      <c r="O202" s="216" t="str">
        <f>PL!$P$4</f>
        <v>BIN</v>
      </c>
      <c r="P202" s="216" t="str">
        <f>PL!$I$6</f>
        <v>K_INR</v>
      </c>
      <c r="Q202" s="222" t="str">
        <f>PL!Q$609</f>
        <v>S/GP (2) Gross Profit Indirect HW KMI</v>
      </c>
      <c r="R202" s="222">
        <f>PL!S$609</f>
        <v>3772</v>
      </c>
      <c r="S202" s="222">
        <f>PL!T$609</f>
        <v>1690</v>
      </c>
      <c r="T202" s="222">
        <f>PL!U$609</f>
        <v>6090</v>
      </c>
      <c r="U202" s="222">
        <f>PL!V$609</f>
        <v>7150.7017364027297</v>
      </c>
      <c r="V202" s="222">
        <f>PL!W$609</f>
        <v>1751</v>
      </c>
      <c r="W202" s="222">
        <f>PL!X$609</f>
        <v>4327</v>
      </c>
      <c r="X202" s="222">
        <f>PL!Y$609</f>
        <v>5166</v>
      </c>
      <c r="Y202" s="222">
        <f>PL!Z$609</f>
        <v>-1488</v>
      </c>
      <c r="Z202" s="222">
        <f>PL!AA$609</f>
        <v>4533</v>
      </c>
      <c r="AA202" s="222">
        <f>PL!AB$609</f>
        <v>4714</v>
      </c>
      <c r="AB202" s="222">
        <f>PL!AC$609</f>
        <v>2094</v>
      </c>
    </row>
    <row r="203" spans="1:28">
      <c r="A203" s="598">
        <v>1</v>
      </c>
      <c r="B203" s="598" t="s">
        <v>630</v>
      </c>
      <c r="C203" s="602" t="s">
        <v>653</v>
      </c>
      <c r="D203" s="598" t="s">
        <v>631</v>
      </c>
      <c r="E203" s="598" t="s">
        <v>45</v>
      </c>
      <c r="G203" s="244"/>
      <c r="H203" s="244"/>
      <c r="I203" s="245"/>
      <c r="J203" s="220" t="s">
        <v>31</v>
      </c>
      <c r="K203" s="234" t="s">
        <v>53</v>
      </c>
      <c r="L203" s="231" t="s">
        <v>36</v>
      </c>
      <c r="M203" s="468" t="s">
        <v>30</v>
      </c>
      <c r="N203" s="232" t="s">
        <v>5</v>
      </c>
      <c r="O203" s="216" t="str">
        <f>PL!$P$4</f>
        <v>BIN</v>
      </c>
      <c r="P203" s="216" t="str">
        <f>PL!$I$6</f>
        <v>K_INR</v>
      </c>
      <c r="Q203" s="222" t="str">
        <f>PL!Q$610</f>
        <v>S/GP (2) Gross Profit Indirect HW 3rd Party</v>
      </c>
      <c r="R203" s="222">
        <f>PL!S$610</f>
        <v>0</v>
      </c>
      <c r="S203" s="222">
        <f>PL!T$610</f>
        <v>0</v>
      </c>
      <c r="T203" s="222">
        <f>PL!U$610</f>
        <v>0</v>
      </c>
      <c r="U203" s="222">
        <f>PL!V$610</f>
        <v>0</v>
      </c>
      <c r="V203" s="222">
        <f>PL!W$610</f>
        <v>0</v>
      </c>
      <c r="W203" s="222">
        <f>PL!X$610</f>
        <v>0</v>
      </c>
      <c r="X203" s="222">
        <f>PL!Y$610</f>
        <v>0</v>
      </c>
      <c r="Y203" s="222">
        <f>PL!Z$610</f>
        <v>0</v>
      </c>
      <c r="Z203" s="222">
        <f>PL!AA$610</f>
        <v>0</v>
      </c>
      <c r="AA203" s="222">
        <f>PL!AB$610</f>
        <v>0</v>
      </c>
      <c r="AB203" s="222">
        <f>PL!AC$610</f>
        <v>0</v>
      </c>
    </row>
    <row r="204" spans="1:28">
      <c r="A204" s="598">
        <v>1</v>
      </c>
      <c r="B204" s="598" t="s">
        <v>512</v>
      </c>
      <c r="C204" s="602" t="s">
        <v>648</v>
      </c>
      <c r="D204" s="598" t="s">
        <v>641</v>
      </c>
      <c r="E204" s="598" t="s">
        <v>45</v>
      </c>
      <c r="G204" s="244"/>
      <c r="H204" s="244"/>
      <c r="I204" s="245"/>
      <c r="J204" s="220" t="s">
        <v>31</v>
      </c>
      <c r="K204" s="234" t="s">
        <v>53</v>
      </c>
      <c r="L204" s="231" t="s">
        <v>32</v>
      </c>
      <c r="M204" s="468" t="s">
        <v>33</v>
      </c>
      <c r="N204" s="232" t="s">
        <v>5</v>
      </c>
      <c r="O204" s="216" t="str">
        <f>PL!$P$4</f>
        <v>BIN</v>
      </c>
      <c r="P204" s="216" t="str">
        <f>PL!$I$6</f>
        <v>K_INR</v>
      </c>
      <c r="Q204" s="222" t="str">
        <f>PL!Q$612</f>
        <v>S/GP (2) Gross Profit Indirect NH KMI</v>
      </c>
      <c r="R204" s="222">
        <f>PL!S$612</f>
        <v>11231</v>
      </c>
      <c r="S204" s="222">
        <f>PL!T$612</f>
        <v>13461</v>
      </c>
      <c r="T204" s="222">
        <f>PL!U$612</f>
        <v>15064</v>
      </c>
      <c r="U204" s="222">
        <f>PL!V$612</f>
        <v>10836.863366257916</v>
      </c>
      <c r="V204" s="222">
        <f>PL!W$612</f>
        <v>5368</v>
      </c>
      <c r="W204" s="222">
        <f>PL!X$612</f>
        <v>16139</v>
      </c>
      <c r="X204" s="222">
        <f>PL!Y$612</f>
        <v>12676</v>
      </c>
      <c r="Y204" s="222">
        <f>PL!Z$612</f>
        <v>13242</v>
      </c>
      <c r="Z204" s="222">
        <f>PL!AA$612</f>
        <v>14137</v>
      </c>
      <c r="AA204" s="222">
        <f>PL!AB$612</f>
        <v>19489.1067</v>
      </c>
      <c r="AB204" s="222">
        <f>PL!AC$612</f>
        <v>14087</v>
      </c>
    </row>
    <row r="205" spans="1:28">
      <c r="A205" s="598">
        <v>1</v>
      </c>
      <c r="B205" s="598" t="s">
        <v>512</v>
      </c>
      <c r="C205" s="602" t="s">
        <v>648</v>
      </c>
      <c r="D205" s="598" t="s">
        <v>634</v>
      </c>
      <c r="E205" s="598" t="s">
        <v>45</v>
      </c>
      <c r="G205" s="244"/>
      <c r="H205" s="244"/>
      <c r="I205" s="245"/>
      <c r="J205" s="220" t="s">
        <v>31</v>
      </c>
      <c r="K205" s="234" t="s">
        <v>53</v>
      </c>
      <c r="L205" s="231" t="s">
        <v>36</v>
      </c>
      <c r="M205" s="468" t="s">
        <v>33</v>
      </c>
      <c r="N205" s="232" t="s">
        <v>5</v>
      </c>
      <c r="O205" s="216" t="str">
        <f>PL!$P$4</f>
        <v>BIN</v>
      </c>
      <c r="P205" s="216" t="str">
        <f>PL!$I$6</f>
        <v>K_INR</v>
      </c>
      <c r="Q205" s="222" t="str">
        <f>PL!Q$615</f>
        <v>S/GP (2) Gross Profit Indirect NH 3rd Party</v>
      </c>
      <c r="R205" s="222">
        <f>PL!S$615</f>
        <v>0</v>
      </c>
      <c r="S205" s="222">
        <f>PL!T$615</f>
        <v>0</v>
      </c>
      <c r="T205" s="222">
        <f>PL!U$615</f>
        <v>0</v>
      </c>
      <c r="U205" s="222">
        <f>PL!V$615</f>
        <v>0</v>
      </c>
      <c r="V205" s="222">
        <f>PL!W$615</f>
        <v>0</v>
      </c>
      <c r="W205" s="222">
        <f>PL!X$615</f>
        <v>0</v>
      </c>
      <c r="X205" s="222">
        <f>PL!Y$615</f>
        <v>0</v>
      </c>
      <c r="Y205" s="222">
        <f>PL!Z$615</f>
        <v>0</v>
      </c>
      <c r="Z205" s="222">
        <f>PL!AA$615</f>
        <v>0</v>
      </c>
      <c r="AA205" s="222">
        <f>PL!AB$615</f>
        <v>0</v>
      </c>
      <c r="AB205" s="222">
        <f>PL!AC$615</f>
        <v>0</v>
      </c>
    </row>
    <row r="206" spans="1:28" s="475" customFormat="1">
      <c r="A206" s="598">
        <v>1</v>
      </c>
      <c r="B206" s="598" t="s">
        <v>512</v>
      </c>
      <c r="C206" s="602" t="s">
        <v>653</v>
      </c>
      <c r="D206" s="598" t="s">
        <v>634</v>
      </c>
      <c r="E206" s="598" t="s">
        <v>45</v>
      </c>
      <c r="G206" s="476"/>
      <c r="H206" s="476"/>
      <c r="I206" s="477"/>
      <c r="J206" s="474" t="s">
        <v>423</v>
      </c>
      <c r="K206" s="478" t="s">
        <v>53</v>
      </c>
      <c r="L206" s="479" t="s">
        <v>32</v>
      </c>
      <c r="M206" s="480" t="s">
        <v>33</v>
      </c>
      <c r="N206" s="481" t="s">
        <v>5</v>
      </c>
      <c r="O206" s="482" t="str">
        <f>PL!$P$4</f>
        <v>BIN</v>
      </c>
      <c r="P206" s="482" t="str">
        <f>PL!$I$6</f>
        <v>K_INR</v>
      </c>
      <c r="Q206" s="483" t="str">
        <f>PL!Q$617</f>
        <v>S/GP (2) Gross Profit Indirect NH &lt;Direct&gt;FSC(-) PC</v>
      </c>
      <c r="R206" s="483">
        <f>PL!S$617</f>
        <v>0</v>
      </c>
      <c r="S206" s="483">
        <f>PL!T$617</f>
        <v>0</v>
      </c>
      <c r="T206" s="483">
        <f>PL!U$617</f>
        <v>0</v>
      </c>
      <c r="U206" s="483">
        <f>PL!V$617</f>
        <v>0</v>
      </c>
      <c r="V206" s="483">
        <f>PL!W$617</f>
        <v>0</v>
      </c>
      <c r="W206" s="483">
        <f>PL!X$617</f>
        <v>0</v>
      </c>
      <c r="X206" s="483">
        <f>PL!Y$617</f>
        <v>0</v>
      </c>
      <c r="Y206" s="483">
        <f>PL!Z$617</f>
        <v>0</v>
      </c>
      <c r="Z206" s="483">
        <f>PL!AA$617</f>
        <v>0</v>
      </c>
      <c r="AA206" s="483">
        <f>PL!AB$617</f>
        <v>0</v>
      </c>
      <c r="AB206" s="483">
        <f>PL!AC$617</f>
        <v>0</v>
      </c>
    </row>
    <row r="207" spans="1:28" s="475" customFormat="1">
      <c r="A207" s="598">
        <v>1</v>
      </c>
      <c r="B207" s="598" t="s">
        <v>512</v>
      </c>
      <c r="C207" s="602" t="s">
        <v>432</v>
      </c>
      <c r="D207" s="598" t="s">
        <v>651</v>
      </c>
      <c r="E207" s="598" t="s">
        <v>45</v>
      </c>
      <c r="G207" s="476"/>
      <c r="H207" s="476"/>
      <c r="I207" s="477"/>
      <c r="J207" s="474" t="s">
        <v>424</v>
      </c>
      <c r="K207" s="478" t="s">
        <v>53</v>
      </c>
      <c r="L207" s="479" t="s">
        <v>32</v>
      </c>
      <c r="M207" s="480" t="s">
        <v>33</v>
      </c>
      <c r="N207" s="481" t="s">
        <v>5</v>
      </c>
      <c r="O207" s="482" t="str">
        <f>PL!$P$4</f>
        <v>BIN</v>
      </c>
      <c r="P207" s="482" t="str">
        <f>PL!$I$6</f>
        <v>K_INR</v>
      </c>
      <c r="Q207" s="483" t="str">
        <f>PL!Q$618</f>
        <v>S/GP (2) Gross Profit Indirect NH &lt;Direct&gt;FSC(-) TE</v>
      </c>
      <c r="R207" s="483">
        <f>PL!S$618</f>
        <v>0</v>
      </c>
      <c r="S207" s="483">
        <f>PL!T$618</f>
        <v>0</v>
      </c>
      <c r="T207" s="483">
        <f>PL!U$618</f>
        <v>0</v>
      </c>
      <c r="U207" s="483">
        <f>PL!V$618</f>
        <v>0</v>
      </c>
      <c r="V207" s="483">
        <f>PL!W$618</f>
        <v>0</v>
      </c>
      <c r="W207" s="483">
        <f>PL!X$618</f>
        <v>0</v>
      </c>
      <c r="X207" s="483">
        <f>PL!Y$618</f>
        <v>0</v>
      </c>
      <c r="Y207" s="483">
        <f>PL!Z$618</f>
        <v>0</v>
      </c>
      <c r="Z207" s="483">
        <f>PL!AA$618</f>
        <v>0</v>
      </c>
      <c r="AA207" s="483">
        <f>PL!AB$618</f>
        <v>0</v>
      </c>
      <c r="AB207" s="483">
        <f>PL!AC$618</f>
        <v>0</v>
      </c>
    </row>
    <row r="208" spans="1:28" s="475" customFormat="1">
      <c r="A208" s="598">
        <v>1</v>
      </c>
      <c r="B208" s="598" t="s">
        <v>630</v>
      </c>
      <c r="C208" s="602" t="s">
        <v>432</v>
      </c>
      <c r="D208" s="598" t="s">
        <v>634</v>
      </c>
      <c r="E208" s="598" t="s">
        <v>45</v>
      </c>
      <c r="G208" s="476"/>
      <c r="H208" s="476"/>
      <c r="I208" s="477"/>
      <c r="J208" s="474" t="s">
        <v>425</v>
      </c>
      <c r="K208" s="478" t="s">
        <v>53</v>
      </c>
      <c r="L208" s="479" t="s">
        <v>32</v>
      </c>
      <c r="M208" s="480" t="s">
        <v>33</v>
      </c>
      <c r="N208" s="481" t="s">
        <v>5</v>
      </c>
      <c r="O208" s="482" t="str">
        <f>PL!$P$4</f>
        <v>BIN</v>
      </c>
      <c r="P208" s="482" t="str">
        <f>PL!$I$6</f>
        <v>K_INR</v>
      </c>
      <c r="Q208" s="483" t="str">
        <f>PL!Q$623</f>
        <v>S/GP (2) Gross Profit Indirect NH &lt;Direct&gt;D&amp;A (-)</v>
      </c>
      <c r="R208" s="483">
        <f>PL!S$623</f>
        <v>0</v>
      </c>
      <c r="S208" s="483">
        <f>PL!T$623</f>
        <v>0</v>
      </c>
      <c r="T208" s="483">
        <f>PL!U$623</f>
        <v>0</v>
      </c>
      <c r="U208" s="483">
        <f>PL!V$623</f>
        <v>0</v>
      </c>
      <c r="V208" s="483">
        <f>PL!W$623</f>
        <v>0</v>
      </c>
      <c r="W208" s="483">
        <f>PL!X$623</f>
        <v>0</v>
      </c>
      <c r="X208" s="483">
        <f>PL!Y$623</f>
        <v>0</v>
      </c>
      <c r="Y208" s="483">
        <f>PL!Z$623</f>
        <v>0</v>
      </c>
      <c r="Z208" s="483">
        <f>PL!AA$623</f>
        <v>0</v>
      </c>
      <c r="AA208" s="483">
        <f>PL!AB$623</f>
        <v>0</v>
      </c>
      <c r="AB208" s="483">
        <f>PL!AC$623</f>
        <v>0</v>
      </c>
    </row>
    <row r="209" spans="1:28" s="475" customFormat="1">
      <c r="A209" s="598">
        <v>1</v>
      </c>
      <c r="B209" s="598" t="s">
        <v>512</v>
      </c>
      <c r="C209" s="602" t="s">
        <v>432</v>
      </c>
      <c r="D209" s="598" t="s">
        <v>641</v>
      </c>
      <c r="E209" s="598" t="s">
        <v>45</v>
      </c>
      <c r="G209" s="476"/>
      <c r="H209" s="476"/>
      <c r="I209" s="477"/>
      <c r="J209" s="474" t="s">
        <v>426</v>
      </c>
      <c r="K209" s="478" t="s">
        <v>53</v>
      </c>
      <c r="L209" s="479" t="s">
        <v>32</v>
      </c>
      <c r="M209" s="480" t="s">
        <v>33</v>
      </c>
      <c r="N209" s="481" t="s">
        <v>5</v>
      </c>
      <c r="O209" s="482" t="str">
        <f>PL!$P$4</f>
        <v>BIN</v>
      </c>
      <c r="P209" s="482" t="str">
        <f>PL!$I$6</f>
        <v>K_INR</v>
      </c>
      <c r="Q209" s="483" t="str">
        <f>PL!Q$619</f>
        <v>S/GP (2) Gross Profit Indirect NH &lt;Direct&gt;FSC(-) OFC</v>
      </c>
      <c r="R209" s="483">
        <f>PL!S$619</f>
        <v>0</v>
      </c>
      <c r="S209" s="483">
        <f>PL!T$619</f>
        <v>0</v>
      </c>
      <c r="T209" s="483">
        <f>PL!U$619</f>
        <v>0</v>
      </c>
      <c r="U209" s="483">
        <f>PL!V$619</f>
        <v>0</v>
      </c>
      <c r="V209" s="483">
        <f>PL!W$619</f>
        <v>0</v>
      </c>
      <c r="W209" s="483">
        <f>PL!X$619</f>
        <v>0</v>
      </c>
      <c r="X209" s="483">
        <f>PL!Y$619</f>
        <v>0</v>
      </c>
      <c r="Y209" s="483">
        <f>PL!Z$619</f>
        <v>0</v>
      </c>
      <c r="Z209" s="483">
        <f>PL!AA$619</f>
        <v>0</v>
      </c>
      <c r="AA209" s="483">
        <f>PL!AB$619</f>
        <v>0</v>
      </c>
      <c r="AB209" s="483">
        <f>PL!AC$619</f>
        <v>0</v>
      </c>
    </row>
    <row r="210" spans="1:28" s="475" customFormat="1">
      <c r="A210" s="598">
        <v>1</v>
      </c>
      <c r="B210" s="598" t="s">
        <v>512</v>
      </c>
      <c r="C210" s="602" t="s">
        <v>432</v>
      </c>
      <c r="D210" s="598" t="s">
        <v>633</v>
      </c>
      <c r="E210" s="598" t="s">
        <v>45</v>
      </c>
      <c r="G210" s="476"/>
      <c r="H210" s="476"/>
      <c r="I210" s="477"/>
      <c r="J210" s="474" t="s">
        <v>427</v>
      </c>
      <c r="K210" s="478" t="s">
        <v>53</v>
      </c>
      <c r="L210" s="479" t="s">
        <v>32</v>
      </c>
      <c r="M210" s="480" t="s">
        <v>33</v>
      </c>
      <c r="N210" s="481" t="s">
        <v>5</v>
      </c>
      <c r="O210" s="482" t="str">
        <f>PL!$P$4</f>
        <v>BIN</v>
      </c>
      <c r="P210" s="482" t="str">
        <f>PL!$I$6</f>
        <v>K_INR</v>
      </c>
      <c r="Q210" s="483" t="str">
        <f>PL!Q$621</f>
        <v>S/GP (2) Gross Profit Indirect NH &lt;Direct&gt;SDC(-) PC</v>
      </c>
      <c r="R210" s="483">
        <f>PL!S$621</f>
        <v>0</v>
      </c>
      <c r="S210" s="483">
        <f>PL!T$621</f>
        <v>0</v>
      </c>
      <c r="T210" s="483">
        <f>PL!U$621</f>
        <v>0</v>
      </c>
      <c r="U210" s="483">
        <f>PL!V$621</f>
        <v>0</v>
      </c>
      <c r="V210" s="483">
        <f>PL!W$621</f>
        <v>0</v>
      </c>
      <c r="W210" s="483">
        <f>PL!X$621</f>
        <v>0</v>
      </c>
      <c r="X210" s="483">
        <f>PL!Y$621</f>
        <v>0</v>
      </c>
      <c r="Y210" s="483">
        <f>PL!Z$621</f>
        <v>0</v>
      </c>
      <c r="Z210" s="483">
        <f>PL!AA$621</f>
        <v>0</v>
      </c>
      <c r="AA210" s="483">
        <f>PL!AB$621</f>
        <v>0</v>
      </c>
      <c r="AB210" s="483">
        <f>PL!AC$621</f>
        <v>0</v>
      </c>
    </row>
    <row r="211" spans="1:28" s="475" customFormat="1">
      <c r="A211" s="598">
        <v>1</v>
      </c>
      <c r="B211" s="598" t="s">
        <v>512</v>
      </c>
      <c r="C211" s="602" t="s">
        <v>653</v>
      </c>
      <c r="D211" s="598" t="s">
        <v>511</v>
      </c>
      <c r="E211" s="598" t="s">
        <v>45</v>
      </c>
      <c r="G211" s="476"/>
      <c r="H211" s="476"/>
      <c r="I211" s="477"/>
      <c r="J211" s="474" t="s">
        <v>428</v>
      </c>
      <c r="K211" s="478" t="s">
        <v>53</v>
      </c>
      <c r="L211" s="479" t="s">
        <v>32</v>
      </c>
      <c r="M211" s="480" t="s">
        <v>33</v>
      </c>
      <c r="N211" s="481" t="s">
        <v>5</v>
      </c>
      <c r="O211" s="482" t="str">
        <f>PL!$P$4</f>
        <v>BIN</v>
      </c>
      <c r="P211" s="482" t="str">
        <f>PL!$I$6</f>
        <v>K_INR</v>
      </c>
      <c r="Q211" s="483" t="str">
        <f>PL!Q$622</f>
        <v>S/GP (2) Gross Profit Indirect NH &lt;Direct&gt;SDC(-) OFC</v>
      </c>
      <c r="R211" s="483">
        <f>PL!S$622</f>
        <v>0</v>
      </c>
      <c r="S211" s="483">
        <f>PL!T$622</f>
        <v>0</v>
      </c>
      <c r="T211" s="483">
        <f>PL!U$622</f>
        <v>0</v>
      </c>
      <c r="U211" s="483">
        <f>PL!V$622</f>
        <v>0</v>
      </c>
      <c r="V211" s="483">
        <f>PL!W$622</f>
        <v>0</v>
      </c>
      <c r="W211" s="483">
        <f>PL!X$622</f>
        <v>0</v>
      </c>
      <c r="X211" s="483">
        <f>PL!Y$622</f>
        <v>0</v>
      </c>
      <c r="Y211" s="483">
        <f>PL!Z$622</f>
        <v>0</v>
      </c>
      <c r="Z211" s="483">
        <f>PL!AA$622</f>
        <v>0</v>
      </c>
      <c r="AA211" s="483">
        <f>PL!AB$622</f>
        <v>0</v>
      </c>
      <c r="AB211" s="483">
        <f>PL!AC$622</f>
        <v>0</v>
      </c>
    </row>
    <row r="212" spans="1:28">
      <c r="A212" s="598">
        <v>1</v>
      </c>
      <c r="B212" s="598" t="s">
        <v>512</v>
      </c>
      <c r="C212" s="602" t="s">
        <v>432</v>
      </c>
      <c r="D212" s="602" t="s">
        <v>85</v>
      </c>
      <c r="E212" s="598" t="s">
        <v>45</v>
      </c>
      <c r="G212" s="244"/>
      <c r="H212" s="244"/>
      <c r="I212" s="245"/>
      <c r="J212" s="220" t="s">
        <v>31</v>
      </c>
      <c r="K212" s="234" t="s">
        <v>53</v>
      </c>
      <c r="L212" s="231" t="s">
        <v>32</v>
      </c>
      <c r="M212" s="468" t="s">
        <v>85</v>
      </c>
      <c r="N212" s="232" t="s">
        <v>5</v>
      </c>
      <c r="O212" s="216" t="str">
        <f>PL!$P$4</f>
        <v>BIN</v>
      </c>
      <c r="P212" s="216" t="str">
        <f>PL!$I$6</f>
        <v>K_INR</v>
      </c>
      <c r="Q212" s="222" t="str">
        <f>PL!Q$624</f>
        <v>S/GP (2) Gross Profit Indirect Solution</v>
      </c>
      <c r="R212" s="222">
        <f>PL!S$624</f>
        <v>0</v>
      </c>
      <c r="S212" s="222">
        <f>PL!T$624</f>
        <v>0</v>
      </c>
      <c r="T212" s="222">
        <f>PL!U$624</f>
        <v>0</v>
      </c>
      <c r="U212" s="222">
        <f>PL!V$624</f>
        <v>0</v>
      </c>
      <c r="V212" s="222">
        <f>PL!W$624</f>
        <v>0</v>
      </c>
      <c r="W212" s="222">
        <f>PL!X$624</f>
        <v>0</v>
      </c>
      <c r="X212" s="222">
        <f>PL!Y$624</f>
        <v>0</v>
      </c>
      <c r="Y212" s="222">
        <f>PL!Z$624</f>
        <v>0</v>
      </c>
      <c r="Z212" s="222">
        <f>PL!AA$624</f>
        <v>0</v>
      </c>
      <c r="AA212" s="222">
        <f>PL!AB$624</f>
        <v>0</v>
      </c>
      <c r="AB212" s="222">
        <f>PL!AC$624</f>
        <v>0</v>
      </c>
    </row>
    <row r="213" spans="1:28">
      <c r="A213" s="598">
        <v>1</v>
      </c>
      <c r="B213" s="598" t="s">
        <v>512</v>
      </c>
      <c r="C213" s="602" t="s">
        <v>648</v>
      </c>
      <c r="D213" s="598" t="s">
        <v>459</v>
      </c>
      <c r="E213" s="598" t="s">
        <v>45</v>
      </c>
      <c r="G213" s="244"/>
      <c r="H213" s="244"/>
      <c r="I213" s="245"/>
      <c r="J213" s="220" t="s">
        <v>31</v>
      </c>
      <c r="K213" s="234" t="s">
        <v>53</v>
      </c>
      <c r="L213" s="231" t="s">
        <v>32</v>
      </c>
      <c r="M213" s="468" t="s">
        <v>11</v>
      </c>
      <c r="N213" s="232" t="s">
        <v>5</v>
      </c>
      <c r="O213" s="216" t="str">
        <f>PL!$P$4</f>
        <v>BIN</v>
      </c>
      <c r="P213" s="216" t="str">
        <f>PL!$I$6</f>
        <v>K_INR</v>
      </c>
      <c r="Q213" s="222" t="str">
        <f>PL!Q$629</f>
        <v>S/GP (2) Gross Profit Indirect Others</v>
      </c>
      <c r="R213" s="222">
        <f>PL!S$629</f>
        <v>0</v>
      </c>
      <c r="S213" s="222">
        <f>PL!T$629</f>
        <v>0</v>
      </c>
      <c r="T213" s="222">
        <f>PL!U$629</f>
        <v>0</v>
      </c>
      <c r="U213" s="222">
        <f>PL!V$629</f>
        <v>0</v>
      </c>
      <c r="V213" s="222">
        <f>PL!W$629</f>
        <v>0</v>
      </c>
      <c r="W213" s="222">
        <f>PL!X$629</f>
        <v>0</v>
      </c>
      <c r="X213" s="222">
        <f>PL!Y$629</f>
        <v>0</v>
      </c>
      <c r="Y213" s="222">
        <f>PL!Z$629</f>
        <v>0</v>
      </c>
      <c r="Z213" s="222">
        <f>PL!AA$629</f>
        <v>0</v>
      </c>
      <c r="AA213" s="222">
        <f>PL!AB$629</f>
        <v>0</v>
      </c>
      <c r="AB213" s="222">
        <f>PL!AC$629</f>
        <v>0</v>
      </c>
    </row>
    <row r="214" spans="1:28" s="682" customFormat="1">
      <c r="A214" s="682">
        <v>1</v>
      </c>
      <c r="C214" s="683"/>
      <c r="F214" s="684"/>
      <c r="G214" s="685"/>
      <c r="H214" s="685"/>
      <c r="I214" s="686"/>
      <c r="J214" s="687" t="s">
        <v>697</v>
      </c>
      <c r="K214" s="688" t="s">
        <v>432</v>
      </c>
      <c r="L214" s="689" t="s">
        <v>3</v>
      </c>
      <c r="M214" s="690" t="s">
        <v>4</v>
      </c>
      <c r="N214" s="691" t="s">
        <v>5</v>
      </c>
      <c r="O214" s="692" t="str">
        <f>PL!$P$4</f>
        <v>BIN</v>
      </c>
      <c r="P214" s="692" t="str">
        <f>PL!$I$6</f>
        <v>K_INR</v>
      </c>
      <c r="Q214" s="693">
        <f>SUM(Q215:Q217)</f>
        <v>0</v>
      </c>
      <c r="R214" s="693">
        <f t="shared" ref="R214:AB214" si="18">SUM(R215:R217)</f>
        <v>96374.58726737916</v>
      </c>
      <c r="S214" s="693">
        <f t="shared" si="18"/>
        <v>105341.56526438489</v>
      </c>
      <c r="T214" s="693">
        <f t="shared" si="18"/>
        <v>109581.6021147548</v>
      </c>
      <c r="U214" s="693">
        <f t="shared" si="18"/>
        <v>125972.05612566469</v>
      </c>
      <c r="V214" s="693">
        <f t="shared" si="18"/>
        <v>71051.648915335623</v>
      </c>
      <c r="W214" s="693">
        <f t="shared" si="18"/>
        <v>140996.27414251596</v>
      </c>
      <c r="X214" s="693">
        <f t="shared" si="18"/>
        <v>114873.50444027773</v>
      </c>
      <c r="Y214" s="693">
        <f t="shared" si="18"/>
        <v>105330.84492900592</v>
      </c>
      <c r="Z214" s="693">
        <f t="shared" si="18"/>
        <v>143279.34918475087</v>
      </c>
      <c r="AA214" s="693">
        <f t="shared" si="18"/>
        <v>102245.23734156512</v>
      </c>
      <c r="AB214" s="693">
        <f t="shared" si="18"/>
        <v>42686.185673351632</v>
      </c>
    </row>
    <row r="215" spans="1:28">
      <c r="A215" s="598">
        <v>1</v>
      </c>
      <c r="B215" s="598" t="s">
        <v>512</v>
      </c>
      <c r="C215" s="602" t="s">
        <v>432</v>
      </c>
      <c r="D215" s="598" t="s">
        <v>505</v>
      </c>
      <c r="E215" s="598" t="s">
        <v>502</v>
      </c>
      <c r="G215" s="244"/>
      <c r="H215" s="244"/>
      <c r="I215" s="245"/>
      <c r="J215" s="224" t="s">
        <v>25</v>
      </c>
      <c r="K215" s="234" t="s">
        <v>53</v>
      </c>
      <c r="L215" s="232" t="s">
        <v>3</v>
      </c>
      <c r="M215" s="468" t="s">
        <v>4</v>
      </c>
      <c r="N215" s="232" t="s">
        <v>5</v>
      </c>
      <c r="O215" s="216" t="str">
        <f>PL!$P$4</f>
        <v>BIN</v>
      </c>
      <c r="P215" s="216" t="str">
        <f>PL!$I$6</f>
        <v>K_INR</v>
      </c>
      <c r="Q215" s="771" t="str">
        <f>PL!Q$187</f>
        <v>PL (2) SGA Expenses Variable Expenses</v>
      </c>
      <c r="R215" s="771">
        <f>PL!S$187</f>
        <v>35213.833682844801</v>
      </c>
      <c r="S215" s="771">
        <f>PL!T$187</f>
        <v>31987.938684800614</v>
      </c>
      <c r="T215" s="771">
        <f>PL!U$187</f>
        <v>48892.622918824985</v>
      </c>
      <c r="U215" s="771">
        <f>PL!V$187</f>
        <v>53486.563090539872</v>
      </c>
      <c r="V215" s="771">
        <f>PL!W$187</f>
        <v>24617.548684937588</v>
      </c>
      <c r="W215" s="771">
        <f>PL!X$187</f>
        <v>29671.333607622662</v>
      </c>
      <c r="X215" s="771">
        <f>PL!Y$187</f>
        <v>41294.323064053802</v>
      </c>
      <c r="Y215" s="771">
        <f>PL!Z$187</f>
        <v>35347.167694969408</v>
      </c>
      <c r="Z215" s="771">
        <f>PL!AA$187</f>
        <v>57724.584173726296</v>
      </c>
      <c r="AA215" s="771">
        <f>PL!AB$187</f>
        <v>51375.583366575869</v>
      </c>
      <c r="AB215" s="771">
        <f>PL!AC$187</f>
        <v>-20729.93237792993</v>
      </c>
    </row>
    <row r="216" spans="1:28">
      <c r="A216" s="598">
        <v>1</v>
      </c>
      <c r="B216" s="598" t="s">
        <v>638</v>
      </c>
      <c r="C216" s="602" t="s">
        <v>648</v>
      </c>
      <c r="D216" s="598" t="s">
        <v>505</v>
      </c>
      <c r="E216" s="598" t="s">
        <v>623</v>
      </c>
      <c r="G216" s="244"/>
      <c r="H216" s="244"/>
      <c r="I216" s="245"/>
      <c r="J216" s="224" t="s">
        <v>26</v>
      </c>
      <c r="K216" s="234" t="s">
        <v>53</v>
      </c>
      <c r="L216" s="232" t="s">
        <v>3</v>
      </c>
      <c r="M216" s="468" t="s">
        <v>4</v>
      </c>
      <c r="N216" s="232" t="s">
        <v>5</v>
      </c>
      <c r="O216" s="216" t="str">
        <f>PL!$P$4</f>
        <v>BIN</v>
      </c>
      <c r="P216" s="216" t="str">
        <f>PL!$I$6</f>
        <v>K_INR</v>
      </c>
      <c r="Q216" s="771" t="str">
        <f>PL!Q$188</f>
        <v>PL (2) SGA Expenses Wages &amp; Salaries</v>
      </c>
      <c r="R216" s="771">
        <f>PL!S$188</f>
        <v>30140.440136684108</v>
      </c>
      <c r="S216" s="771">
        <f>PL!T$188</f>
        <v>30930.759945960657</v>
      </c>
      <c r="T216" s="771">
        <f>PL!U$188</f>
        <v>29139.745399736257</v>
      </c>
      <c r="U216" s="771">
        <f>PL!V$188</f>
        <v>31288.618267790549</v>
      </c>
      <c r="V216" s="771">
        <f>PL!W$188</f>
        <v>34145.797004117812</v>
      </c>
      <c r="W216" s="771">
        <f>PL!X$188</f>
        <v>53400.294390658441</v>
      </c>
      <c r="X216" s="771">
        <f>PL!Y$188</f>
        <v>37428.901709825499</v>
      </c>
      <c r="Y216" s="771">
        <f>PL!Z$188</f>
        <v>36766.522825144275</v>
      </c>
      <c r="Z216" s="771">
        <f>PL!AA$188</f>
        <v>37234.042197121285</v>
      </c>
      <c r="AA216" s="771">
        <f>PL!AB$188</f>
        <v>32271.163148431609</v>
      </c>
      <c r="AB216" s="771">
        <f>PL!AC$188</f>
        <v>29268.075336481961</v>
      </c>
    </row>
    <row r="217" spans="1:28">
      <c r="A217" s="598">
        <v>1</v>
      </c>
      <c r="B217" s="598" t="s">
        <v>630</v>
      </c>
      <c r="C217" s="602" t="s">
        <v>648</v>
      </c>
      <c r="D217" s="598" t="s">
        <v>505</v>
      </c>
      <c r="E217" s="598" t="s">
        <v>623</v>
      </c>
      <c r="G217" s="244"/>
      <c r="H217" s="244"/>
      <c r="I217" s="245"/>
      <c r="J217" s="224" t="s">
        <v>27</v>
      </c>
      <c r="K217" s="234" t="s">
        <v>53</v>
      </c>
      <c r="L217" s="232" t="s">
        <v>3</v>
      </c>
      <c r="M217" s="468" t="s">
        <v>4</v>
      </c>
      <c r="N217" s="232" t="s">
        <v>5</v>
      </c>
      <c r="O217" s="216" t="str">
        <f>PL!$P$4</f>
        <v>BIN</v>
      </c>
      <c r="P217" s="216" t="str">
        <f>PL!$I$6</f>
        <v>K_INR</v>
      </c>
      <c r="Q217" s="771" t="str">
        <f>PL!Q$189</f>
        <v>PL (2) SGA Expenses Fixed Expenses</v>
      </c>
      <c r="R217" s="771">
        <f>PL!S$189</f>
        <v>31020.313447850254</v>
      </c>
      <c r="S217" s="771">
        <f>PL!T$189</f>
        <v>42422.86663362362</v>
      </c>
      <c r="T217" s="771">
        <f>PL!U$189</f>
        <v>31549.233796193559</v>
      </c>
      <c r="U217" s="771">
        <f>PL!V$189</f>
        <v>41196.874767334273</v>
      </c>
      <c r="V217" s="771">
        <f>PL!W$189</f>
        <v>12288.303226280226</v>
      </c>
      <c r="W217" s="771">
        <f>PL!X$189</f>
        <v>57924.646144234881</v>
      </c>
      <c r="X217" s="771">
        <f>PL!Y$189</f>
        <v>36150.279666398426</v>
      </c>
      <c r="Y217" s="771">
        <f>PL!Z$189</f>
        <v>33217.154408892238</v>
      </c>
      <c r="Z217" s="771">
        <f>PL!AA$189</f>
        <v>48320.722813903296</v>
      </c>
      <c r="AA217" s="771">
        <f>PL!AB$189</f>
        <v>18598.490826557638</v>
      </c>
      <c r="AB217" s="771">
        <f>PL!AC$189</f>
        <v>34148.042714799602</v>
      </c>
    </row>
    <row r="218" spans="1:28" s="682" customFormat="1">
      <c r="A218" s="682">
        <v>1</v>
      </c>
      <c r="B218" s="682" t="s">
        <v>512</v>
      </c>
      <c r="C218" s="683" t="s">
        <v>432</v>
      </c>
      <c r="D218" s="682" t="s">
        <v>696</v>
      </c>
      <c r="E218" s="682" t="s">
        <v>695</v>
      </c>
      <c r="F218" s="684"/>
      <c r="G218" s="685"/>
      <c r="H218" s="685"/>
      <c r="I218" s="686"/>
      <c r="J218" s="687" t="s">
        <v>695</v>
      </c>
      <c r="K218" s="688" t="s">
        <v>432</v>
      </c>
      <c r="L218" s="689" t="s">
        <v>3</v>
      </c>
      <c r="M218" s="690" t="s">
        <v>4</v>
      </c>
      <c r="N218" s="691" t="s">
        <v>5</v>
      </c>
      <c r="O218" s="692" t="str">
        <f>PL!$P$4</f>
        <v>BIN</v>
      </c>
      <c r="P218" s="692" t="str">
        <f>PL!$I$6</f>
        <v>K_INR</v>
      </c>
      <c r="Q218" s="693">
        <f>Q188+Q201-Q214</f>
        <v>0</v>
      </c>
      <c r="R218" s="693">
        <f t="shared" ref="R218:AB218" si="19">R188+R201-R214</f>
        <v>45075.41273262084</v>
      </c>
      <c r="S218" s="693">
        <f t="shared" si="19"/>
        <v>39684.434735615112</v>
      </c>
      <c r="T218" s="693">
        <f t="shared" si="19"/>
        <v>55854.397885245198</v>
      </c>
      <c r="U218" s="693">
        <f t="shared" si="19"/>
        <v>66074.894564421105</v>
      </c>
      <c r="V218" s="693">
        <f t="shared" si="19"/>
        <v>29725.60308466437</v>
      </c>
      <c r="W218" s="693">
        <f t="shared" si="19"/>
        <v>79156.977857484046</v>
      </c>
      <c r="X218" s="693">
        <f t="shared" si="19"/>
        <v>53558.495559722272</v>
      </c>
      <c r="Y218" s="693">
        <f t="shared" si="19"/>
        <v>61802.155070994078</v>
      </c>
      <c r="Z218" s="693">
        <f t="shared" si="19"/>
        <v>61565.65081524913</v>
      </c>
      <c r="AA218" s="693">
        <f t="shared" si="19"/>
        <v>88057.726388018214</v>
      </c>
      <c r="AB218" s="693">
        <f t="shared" si="19"/>
        <v>47132.814326648368</v>
      </c>
    </row>
    <row r="219" spans="1:28">
      <c r="A219" s="598">
        <v>1</v>
      </c>
      <c r="B219" s="598" t="s">
        <v>630</v>
      </c>
      <c r="C219" s="602" t="s">
        <v>648</v>
      </c>
      <c r="D219" s="598" t="s">
        <v>696</v>
      </c>
      <c r="E219" s="598" t="s">
        <v>504</v>
      </c>
      <c r="G219" s="244"/>
      <c r="H219" s="244"/>
      <c r="I219" s="245"/>
      <c r="J219" s="220" t="s">
        <v>23</v>
      </c>
      <c r="K219" s="234" t="s">
        <v>53</v>
      </c>
      <c r="L219" s="232" t="s">
        <v>3</v>
      </c>
      <c r="M219" s="468" t="s">
        <v>4</v>
      </c>
      <c r="N219" s="232" t="s">
        <v>5</v>
      </c>
      <c r="O219" s="216" t="str">
        <f>PL!$P$4</f>
        <v>BIN</v>
      </c>
      <c r="P219" s="216" t="str">
        <f>PL!$I$6</f>
        <v>K_INR</v>
      </c>
      <c r="Q219" s="222" t="str">
        <f>PL!Q$192</f>
        <v>PL (2) Other Income</v>
      </c>
      <c r="R219" s="222">
        <f>PL!S$192</f>
        <v>260</v>
      </c>
      <c r="S219" s="222">
        <f>PL!T$192</f>
        <v>15</v>
      </c>
      <c r="T219" s="222">
        <f>PL!U$192</f>
        <v>163</v>
      </c>
      <c r="U219" s="222">
        <f>PL!V$192</f>
        <v>304.70994725272249</v>
      </c>
      <c r="V219" s="222">
        <f>PL!W$192</f>
        <v>14</v>
      </c>
      <c r="W219" s="222">
        <f>PL!X$192</f>
        <v>0</v>
      </c>
      <c r="X219" s="222">
        <f>PL!Y$192</f>
        <v>192</v>
      </c>
      <c r="Y219" s="222">
        <f>PL!Z$192</f>
        <v>62955.509081814511</v>
      </c>
      <c r="Z219" s="222">
        <f>PL!AA$192</f>
        <v>3663.1910393582725</v>
      </c>
      <c r="AA219" s="222">
        <f>PL!AB$192</f>
        <v>881.18672944502691</v>
      </c>
      <c r="AB219" s="222">
        <f>PL!AC$192</f>
        <v>24150.30144646551</v>
      </c>
    </row>
    <row r="220" spans="1:28">
      <c r="A220" s="598">
        <v>1</v>
      </c>
      <c r="B220" s="598" t="s">
        <v>630</v>
      </c>
      <c r="C220" s="602" t="s">
        <v>432</v>
      </c>
      <c r="D220" s="598" t="s">
        <v>696</v>
      </c>
      <c r="E220" s="601" t="s">
        <v>192</v>
      </c>
      <c r="G220" s="244"/>
      <c r="H220" s="244"/>
      <c r="I220" s="245"/>
      <c r="J220" s="220" t="s">
        <v>24</v>
      </c>
      <c r="K220" s="234" t="s">
        <v>53</v>
      </c>
      <c r="L220" s="232" t="s">
        <v>3</v>
      </c>
      <c r="M220" s="468" t="s">
        <v>4</v>
      </c>
      <c r="N220" s="232" t="s">
        <v>5</v>
      </c>
      <c r="O220" s="216" t="str">
        <f>PL!$P$4</f>
        <v>BIN</v>
      </c>
      <c r="P220" s="216" t="str">
        <f>PL!$I$6</f>
        <v>K_INR</v>
      </c>
      <c r="Q220" s="222" t="str">
        <f>PL!Q$193</f>
        <v>PL (2) Other Expenses</v>
      </c>
      <c r="R220" s="222">
        <f>PL!S$193</f>
        <v>0</v>
      </c>
      <c r="S220" s="222">
        <f>PL!T$193</f>
        <v>0</v>
      </c>
      <c r="T220" s="222">
        <f>PL!U$193</f>
        <v>0</v>
      </c>
      <c r="U220" s="222">
        <f>PL!V$193</f>
        <v>0</v>
      </c>
      <c r="V220" s="222">
        <f>PL!W$193</f>
        <v>0</v>
      </c>
      <c r="W220" s="222">
        <f>PL!X$193</f>
        <v>0</v>
      </c>
      <c r="X220" s="222">
        <f>PL!Y$193</f>
        <v>0</v>
      </c>
      <c r="Y220" s="222">
        <f>PL!Z$193</f>
        <v>0</v>
      </c>
      <c r="Z220" s="222">
        <f>PL!AA$193</f>
        <v>0</v>
      </c>
      <c r="AA220" s="222">
        <f>PL!AB$193</f>
        <v>0</v>
      </c>
      <c r="AB220" s="222">
        <f>PL!AC$193</f>
        <v>0</v>
      </c>
    </row>
    <row r="221" spans="1:28" s="682" customFormat="1">
      <c r="A221" s="682">
        <v>1</v>
      </c>
      <c r="B221" s="598" t="s">
        <v>512</v>
      </c>
      <c r="C221" s="602" t="s">
        <v>432</v>
      </c>
      <c r="D221" s="682" t="s">
        <v>696</v>
      </c>
      <c r="E221" s="682" t="s">
        <v>10</v>
      </c>
      <c r="F221" s="684"/>
      <c r="G221" s="685"/>
      <c r="H221" s="685"/>
      <c r="I221" s="686"/>
      <c r="J221" s="687" t="s">
        <v>699</v>
      </c>
      <c r="K221" s="688" t="s">
        <v>432</v>
      </c>
      <c r="L221" s="689" t="s">
        <v>3</v>
      </c>
      <c r="M221" s="690" t="s">
        <v>4</v>
      </c>
      <c r="N221" s="691" t="s">
        <v>5</v>
      </c>
      <c r="O221" s="692" t="str">
        <f>PL!$P$4</f>
        <v>BIN</v>
      </c>
      <c r="P221" s="692" t="str">
        <f>PL!$I$6</f>
        <v>K_INR</v>
      </c>
      <c r="Q221" s="693" t="e">
        <f>Q218+Q219-Q220</f>
        <v>#VALUE!</v>
      </c>
      <c r="R221" s="693">
        <f t="shared" ref="R221:AB221" si="20">R218+R219-R220</f>
        <v>45335.41273262084</v>
      </c>
      <c r="S221" s="693">
        <f t="shared" si="20"/>
        <v>39699.434735615112</v>
      </c>
      <c r="T221" s="693">
        <f t="shared" si="20"/>
        <v>56017.397885245198</v>
      </c>
      <c r="U221" s="693">
        <f t="shared" si="20"/>
        <v>66379.604511673824</v>
      </c>
      <c r="V221" s="693">
        <f t="shared" si="20"/>
        <v>29739.60308466437</v>
      </c>
      <c r="W221" s="693">
        <f t="shared" si="20"/>
        <v>79156.977857484046</v>
      </c>
      <c r="X221" s="693">
        <f t="shared" si="20"/>
        <v>53750.495559722272</v>
      </c>
      <c r="Y221" s="693">
        <f t="shared" si="20"/>
        <v>124757.66415280859</v>
      </c>
      <c r="Z221" s="693">
        <f t="shared" si="20"/>
        <v>65228.841854607403</v>
      </c>
      <c r="AA221" s="693">
        <f t="shared" si="20"/>
        <v>88938.913117463235</v>
      </c>
      <c r="AB221" s="693">
        <f t="shared" si="20"/>
        <v>71283.115773113881</v>
      </c>
    </row>
    <row r="222" spans="1:28">
      <c r="A222" s="598">
        <v>1</v>
      </c>
      <c r="G222" s="246"/>
      <c r="H222" s="246"/>
      <c r="I222" s="246"/>
      <c r="J222" s="469"/>
      <c r="K222" s="473"/>
      <c r="L222" s="471"/>
      <c r="M222" s="471"/>
      <c r="N222" s="471"/>
      <c r="O222" s="253"/>
      <c r="P222" s="253"/>
      <c r="Q222" s="253"/>
      <c r="R222" s="253"/>
      <c r="S222" s="253"/>
      <c r="T222" s="253"/>
      <c r="U222" s="253"/>
      <c r="V222" s="253"/>
      <c r="W222" s="253"/>
      <c r="X222" s="253"/>
      <c r="Y222" s="253"/>
      <c r="Z222" s="253"/>
      <c r="AA222" s="253"/>
      <c r="AB222" s="253"/>
    </row>
    <row r="223" spans="1:28" s="726" customFormat="1">
      <c r="A223" s="726">
        <v>1</v>
      </c>
      <c r="B223" s="727"/>
      <c r="C223" s="728" t="s">
        <v>429</v>
      </c>
      <c r="F223" s="729"/>
      <c r="G223" s="730"/>
      <c r="H223" s="730"/>
      <c r="I223" s="731"/>
      <c r="J223" s="732" t="s">
        <v>39</v>
      </c>
      <c r="K223" s="733" t="s">
        <v>704</v>
      </c>
      <c r="L223" s="734" t="s">
        <v>29</v>
      </c>
      <c r="M223" s="735" t="s">
        <v>4</v>
      </c>
      <c r="N223" s="736" t="s">
        <v>5</v>
      </c>
      <c r="O223" s="737" t="str">
        <f>PL!$P$4</f>
        <v>BIN</v>
      </c>
      <c r="P223" s="737" t="str">
        <f>PL!$I$6</f>
        <v>K_INR</v>
      </c>
      <c r="Q223" s="738"/>
      <c r="R223" s="738"/>
      <c r="S223" s="738"/>
      <c r="T223" s="738"/>
      <c r="U223" s="738"/>
      <c r="V223" s="738"/>
      <c r="W223" s="738"/>
      <c r="X223" s="738"/>
      <c r="Y223" s="738"/>
      <c r="Z223" s="738"/>
      <c r="AA223" s="738"/>
      <c r="AB223" s="738"/>
    </row>
    <row r="224" spans="1:28">
      <c r="A224" s="598">
        <v>1</v>
      </c>
      <c r="B224" s="598" t="s">
        <v>635</v>
      </c>
      <c r="C224" s="602" t="s">
        <v>654</v>
      </c>
      <c r="D224" s="598" t="s">
        <v>298</v>
      </c>
      <c r="E224" s="598" t="s">
        <v>39</v>
      </c>
      <c r="G224" s="246"/>
      <c r="H224" s="246"/>
      <c r="I224" s="245"/>
      <c r="J224" s="219" t="s">
        <v>39</v>
      </c>
      <c r="K224" s="233" t="s">
        <v>316</v>
      </c>
      <c r="L224" s="231" t="s">
        <v>29</v>
      </c>
      <c r="M224" s="468" t="s">
        <v>30</v>
      </c>
      <c r="N224" s="232" t="s">
        <v>5</v>
      </c>
      <c r="O224" s="216" t="str">
        <f>PL!$P$4</f>
        <v>BIN</v>
      </c>
      <c r="P224" s="216" t="str">
        <f>PL!$I$6</f>
        <v>K_INR</v>
      </c>
      <c r="Q224" s="222" t="str">
        <f>PL!Q$635</f>
        <v>S/GP (3) Net Sales Direct HW &amp; Solution KM-1/KM-1e</v>
      </c>
      <c r="R224" s="222">
        <f>PL!S$635</f>
        <v>0</v>
      </c>
      <c r="S224" s="222">
        <f>PL!T$635</f>
        <v>0</v>
      </c>
      <c r="T224" s="222">
        <f>PL!U$635</f>
        <v>0</v>
      </c>
      <c r="U224" s="222">
        <f>PL!V$635</f>
        <v>0</v>
      </c>
      <c r="V224" s="222">
        <f>PL!W$635</f>
        <v>0</v>
      </c>
      <c r="W224" s="222">
        <f>PL!X$635</f>
        <v>0</v>
      </c>
      <c r="X224" s="222">
        <f>PL!Y$635</f>
        <v>0</v>
      </c>
      <c r="Y224" s="222">
        <f>PL!Z$635</f>
        <v>0</v>
      </c>
      <c r="Z224" s="222">
        <f>PL!AA$635</f>
        <v>0</v>
      </c>
      <c r="AA224" s="222">
        <f>PL!AB$635</f>
        <v>0</v>
      </c>
      <c r="AB224" s="222">
        <f>PL!AC$635</f>
        <v>-1515</v>
      </c>
    </row>
    <row r="225" spans="1:28">
      <c r="A225" s="598">
        <v>1</v>
      </c>
      <c r="B225" s="598" t="s">
        <v>630</v>
      </c>
      <c r="C225" s="602" t="s">
        <v>654</v>
      </c>
      <c r="D225" s="598" t="s">
        <v>655</v>
      </c>
      <c r="E225" s="598" t="s">
        <v>39</v>
      </c>
      <c r="G225" s="246"/>
      <c r="H225" s="246"/>
      <c r="I225" s="247"/>
      <c r="J225" s="219" t="s">
        <v>39</v>
      </c>
      <c r="K225" s="233" t="s">
        <v>317</v>
      </c>
      <c r="L225" s="231" t="s">
        <v>29</v>
      </c>
      <c r="M225" s="468" t="s">
        <v>30</v>
      </c>
      <c r="N225" s="232" t="s">
        <v>5</v>
      </c>
      <c r="O225" s="216" t="str">
        <f>PL!$P$4</f>
        <v>BIN</v>
      </c>
      <c r="P225" s="216" t="str">
        <f>PL!$I$6</f>
        <v>K_INR</v>
      </c>
      <c r="Q225" s="222" t="str">
        <f>PL!Q$636</f>
        <v>S/GP (3) Net Sales Direct HW &amp; Solution Label Printer</v>
      </c>
      <c r="R225" s="222">
        <f>PL!S$636</f>
        <v>0</v>
      </c>
      <c r="S225" s="222">
        <f>PL!T$636</f>
        <v>9500</v>
      </c>
      <c r="T225" s="222">
        <f>PL!U$636</f>
        <v>0</v>
      </c>
      <c r="U225" s="222">
        <f>PL!V$636</f>
        <v>0</v>
      </c>
      <c r="V225" s="222">
        <f>PL!W$636</f>
        <v>0</v>
      </c>
      <c r="W225" s="222">
        <f>PL!X$636</f>
        <v>0</v>
      </c>
      <c r="X225" s="222">
        <f>PL!Y$636</f>
        <v>0</v>
      </c>
      <c r="Y225" s="222">
        <f>PL!Z$636</f>
        <v>0</v>
      </c>
      <c r="Z225" s="222">
        <f>PL!AA$636</f>
        <v>9100</v>
      </c>
      <c r="AA225" s="222">
        <f>PL!AB$636</f>
        <v>0</v>
      </c>
      <c r="AB225" s="222">
        <f>PL!AC$636</f>
        <v>9000</v>
      </c>
    </row>
    <row r="226" spans="1:28">
      <c r="A226" s="598">
        <v>1</v>
      </c>
      <c r="B226" s="598" t="s">
        <v>630</v>
      </c>
      <c r="C226" s="602" t="s">
        <v>654</v>
      </c>
      <c r="D226" s="598" t="s">
        <v>631</v>
      </c>
      <c r="E226" s="598" t="s">
        <v>39</v>
      </c>
      <c r="G226" s="244"/>
      <c r="H226" s="244"/>
      <c r="I226" s="245"/>
      <c r="J226" s="219" t="s">
        <v>39</v>
      </c>
      <c r="K226" s="233" t="s">
        <v>318</v>
      </c>
      <c r="L226" s="231" t="s">
        <v>29</v>
      </c>
      <c r="M226" s="468" t="s">
        <v>30</v>
      </c>
      <c r="N226" s="232" t="s">
        <v>5</v>
      </c>
      <c r="O226" s="216" t="str">
        <f>PL!$P$4</f>
        <v>BIN</v>
      </c>
      <c r="P226" s="216" t="str">
        <f>PL!$I$6</f>
        <v>K_INR</v>
      </c>
      <c r="Q226" s="222" t="str">
        <f>PL!Q$637</f>
        <v>S/GP (3) Net Sales Direct HW &amp; Solution MGI</v>
      </c>
      <c r="R226" s="222">
        <f>PL!S$637</f>
        <v>252</v>
      </c>
      <c r="S226" s="222">
        <f>PL!T$637</f>
        <v>9752</v>
      </c>
      <c r="T226" s="222">
        <f>PL!U$637</f>
        <v>252</v>
      </c>
      <c r="U226" s="222">
        <f>PL!V$637</f>
        <v>9600</v>
      </c>
      <c r="V226" s="222">
        <f>PL!W$637</f>
        <v>10756</v>
      </c>
      <c r="W226" s="222">
        <f>PL!X$637</f>
        <v>378</v>
      </c>
      <c r="X226" s="222">
        <f>PL!Y$637</f>
        <v>9900</v>
      </c>
      <c r="Y226" s="222">
        <f>PL!Z$637</f>
        <v>0</v>
      </c>
      <c r="Z226" s="222">
        <f>PL!AA$637</f>
        <v>9752</v>
      </c>
      <c r="AA226" s="222">
        <f>PL!AB$637</f>
        <v>0</v>
      </c>
      <c r="AB226" s="222">
        <f>PL!AC$637</f>
        <v>9600</v>
      </c>
    </row>
    <row r="227" spans="1:28">
      <c r="A227" s="598">
        <v>1</v>
      </c>
      <c r="B227" s="598" t="s">
        <v>512</v>
      </c>
      <c r="C227" s="602" t="s">
        <v>654</v>
      </c>
      <c r="D227" s="598" t="s">
        <v>298</v>
      </c>
      <c r="E227" s="598" t="s">
        <v>39</v>
      </c>
      <c r="G227" s="244"/>
      <c r="H227" s="244"/>
      <c r="I227" s="245"/>
      <c r="J227" s="219" t="s">
        <v>39</v>
      </c>
      <c r="K227" s="233" t="s">
        <v>319</v>
      </c>
      <c r="L227" s="231" t="s">
        <v>29</v>
      </c>
      <c r="M227" s="468" t="s">
        <v>30</v>
      </c>
      <c r="N227" s="232" t="s">
        <v>5</v>
      </c>
      <c r="O227" s="216" t="str">
        <f>PL!$P$4</f>
        <v>BIN</v>
      </c>
      <c r="P227" s="216" t="str">
        <f>PL!$I$6</f>
        <v>K_INR</v>
      </c>
      <c r="Q227" s="222" t="str">
        <f>PL!Q$638</f>
        <v>S/GP (3) Net Sales Direct HW &amp; Solution EFI/LF</v>
      </c>
      <c r="R227" s="222">
        <f>PL!S$638</f>
        <v>0</v>
      </c>
      <c r="S227" s="222">
        <f>PL!T$638</f>
        <v>0</v>
      </c>
      <c r="T227" s="222">
        <f>PL!U$638</f>
        <v>0</v>
      </c>
      <c r="U227" s="222">
        <f>PL!V$638</f>
        <v>0</v>
      </c>
      <c r="V227" s="222">
        <f>PL!W$638</f>
        <v>0</v>
      </c>
      <c r="W227" s="222">
        <f>PL!X$638</f>
        <v>0</v>
      </c>
      <c r="X227" s="222">
        <f>PL!Y$638</f>
        <v>0</v>
      </c>
      <c r="Y227" s="222">
        <f>PL!Z$638</f>
        <v>0</v>
      </c>
      <c r="Z227" s="222">
        <f>PL!AA$638</f>
        <v>0</v>
      </c>
      <c r="AA227" s="222">
        <f>PL!AB$638</f>
        <v>0</v>
      </c>
      <c r="AB227" s="222">
        <f>PL!AC$638</f>
        <v>0</v>
      </c>
    </row>
    <row r="228" spans="1:28">
      <c r="A228" s="598">
        <v>1</v>
      </c>
      <c r="B228" s="598" t="s">
        <v>630</v>
      </c>
      <c r="C228" s="602" t="s">
        <v>654</v>
      </c>
      <c r="D228" s="598" t="s">
        <v>631</v>
      </c>
      <c r="E228" s="598" t="s">
        <v>39</v>
      </c>
      <c r="G228" s="244"/>
      <c r="H228" s="244"/>
      <c r="I228" s="245"/>
      <c r="J228" s="219" t="s">
        <v>39</v>
      </c>
      <c r="K228" s="233" t="s">
        <v>320</v>
      </c>
      <c r="L228" s="231" t="s">
        <v>29</v>
      </c>
      <c r="M228" s="468" t="s">
        <v>30</v>
      </c>
      <c r="N228" s="232" t="s">
        <v>5</v>
      </c>
      <c r="O228" s="216" t="str">
        <f>PL!$P$4</f>
        <v>BIN</v>
      </c>
      <c r="P228" s="216" t="str">
        <f>PL!$I$6</f>
        <v>K_INR</v>
      </c>
      <c r="Q228" s="222" t="str">
        <f>PL!Q$639</f>
        <v>S/GP (3) Net Sales Direct HW &amp; Solution Textile Printer</v>
      </c>
      <c r="R228" s="222">
        <f>PL!S$639</f>
        <v>0</v>
      </c>
      <c r="S228" s="222">
        <f>PL!T$639</f>
        <v>0</v>
      </c>
      <c r="T228" s="222">
        <f>PL!U$639</f>
        <v>0</v>
      </c>
      <c r="U228" s="222">
        <f>PL!V$639</f>
        <v>0</v>
      </c>
      <c r="V228" s="222">
        <f>PL!W$639</f>
        <v>0</v>
      </c>
      <c r="W228" s="222">
        <f>PL!X$639</f>
        <v>0</v>
      </c>
      <c r="X228" s="222">
        <f>PL!Y$639</f>
        <v>0</v>
      </c>
      <c r="Y228" s="222">
        <f>PL!Z$639</f>
        <v>0</v>
      </c>
      <c r="Z228" s="222">
        <f>PL!AA$639</f>
        <v>0</v>
      </c>
      <c r="AA228" s="222">
        <f>PL!AB$639</f>
        <v>0</v>
      </c>
      <c r="AB228" s="222">
        <f>PL!AC$639</f>
        <v>0</v>
      </c>
    </row>
    <row r="229" spans="1:28">
      <c r="A229" s="598">
        <v>1</v>
      </c>
      <c r="B229" s="598" t="s">
        <v>512</v>
      </c>
      <c r="C229" s="602" t="s">
        <v>429</v>
      </c>
      <c r="D229" s="598" t="s">
        <v>656</v>
      </c>
      <c r="E229" s="598" t="s">
        <v>39</v>
      </c>
      <c r="G229" s="244"/>
      <c r="H229" s="244"/>
      <c r="I229" s="245"/>
      <c r="J229" s="219" t="s">
        <v>39</v>
      </c>
      <c r="K229" s="233" t="s">
        <v>321</v>
      </c>
      <c r="L229" s="231" t="s">
        <v>29</v>
      </c>
      <c r="M229" s="468" t="s">
        <v>30</v>
      </c>
      <c r="N229" s="232" t="s">
        <v>5</v>
      </c>
      <c r="O229" s="216" t="str">
        <f>PL!$P$4</f>
        <v>BIN</v>
      </c>
      <c r="P229" s="216" t="str">
        <f>PL!$I$6</f>
        <v>K_INR</v>
      </c>
      <c r="Q229" s="222" t="str">
        <f>PL!Q$640</f>
        <v>S/GP (3) Net Sales Direct HW &amp; Solution Others</v>
      </c>
      <c r="R229" s="222">
        <f>PL!S$640</f>
        <v>0</v>
      </c>
      <c r="S229" s="222">
        <f>PL!T$640</f>
        <v>0</v>
      </c>
      <c r="T229" s="222">
        <f>PL!U$640</f>
        <v>0</v>
      </c>
      <c r="U229" s="222">
        <f>PL!V$640</f>
        <v>0</v>
      </c>
      <c r="V229" s="222">
        <f>PL!W$640</f>
        <v>0</v>
      </c>
      <c r="W229" s="222">
        <f>PL!X$640</f>
        <v>0</v>
      </c>
      <c r="X229" s="222">
        <f>PL!Y$640</f>
        <v>0</v>
      </c>
      <c r="Y229" s="222">
        <f>PL!Z$640</f>
        <v>0</v>
      </c>
      <c r="Z229" s="222">
        <f>PL!AA$640</f>
        <v>0</v>
      </c>
      <c r="AA229" s="222">
        <f>PL!AB$640</f>
        <v>0</v>
      </c>
      <c r="AB229" s="222">
        <f>PL!AC$640</f>
        <v>0</v>
      </c>
    </row>
    <row r="230" spans="1:28">
      <c r="A230" s="598">
        <v>1</v>
      </c>
      <c r="B230" s="598" t="s">
        <v>630</v>
      </c>
      <c r="C230" s="602" t="s">
        <v>654</v>
      </c>
      <c r="D230" s="598" t="s">
        <v>634</v>
      </c>
      <c r="E230" s="598" t="s">
        <v>39</v>
      </c>
      <c r="G230" s="244"/>
      <c r="H230" s="244"/>
      <c r="I230" s="245"/>
      <c r="J230" s="219" t="s">
        <v>39</v>
      </c>
      <c r="K230" s="233" t="s">
        <v>316</v>
      </c>
      <c r="L230" s="231" t="s">
        <v>29</v>
      </c>
      <c r="M230" s="468" t="s">
        <v>33</v>
      </c>
      <c r="N230" s="232" t="s">
        <v>5</v>
      </c>
      <c r="O230" s="216" t="str">
        <f>PL!$P$4</f>
        <v>BIN</v>
      </c>
      <c r="P230" s="216" t="str">
        <f>PL!$I$6</f>
        <v>K_INR</v>
      </c>
      <c r="Q230" s="222" t="str">
        <f>PL!Q$642</f>
        <v>S/GP (3) Net Sales Direct NH KM-1/KM-1e</v>
      </c>
      <c r="R230" s="222">
        <f>PL!S$642</f>
        <v>271</v>
      </c>
      <c r="S230" s="222">
        <f>PL!T$642</f>
        <v>1097</v>
      </c>
      <c r="T230" s="222">
        <f>PL!U$642</f>
        <v>879</v>
      </c>
      <c r="U230" s="222">
        <f>PL!V$642</f>
        <v>259.19</v>
      </c>
      <c r="V230" s="222">
        <f>PL!W$642</f>
        <v>401</v>
      </c>
      <c r="W230" s="222">
        <f>PL!X$642</f>
        <v>1327</v>
      </c>
      <c r="X230" s="222">
        <f>PL!Y$642</f>
        <v>805</v>
      </c>
      <c r="Y230" s="222">
        <f>PL!Z$642</f>
        <v>407</v>
      </c>
      <c r="Z230" s="222">
        <f>PL!AA$642</f>
        <v>-1065</v>
      </c>
      <c r="AA230" s="222">
        <f>PL!AB$642</f>
        <v>1953.2560000000001</v>
      </c>
      <c r="AB230" s="222">
        <f>PL!AC$642</f>
        <v>-546</v>
      </c>
    </row>
    <row r="231" spans="1:28">
      <c r="A231" s="598">
        <v>1</v>
      </c>
      <c r="B231" s="598" t="s">
        <v>635</v>
      </c>
      <c r="C231" s="602" t="s">
        <v>654</v>
      </c>
      <c r="D231" s="598" t="s">
        <v>511</v>
      </c>
      <c r="E231" s="598" t="s">
        <v>39</v>
      </c>
      <c r="G231" s="244"/>
      <c r="H231" s="244"/>
      <c r="I231" s="245"/>
      <c r="J231" s="219" t="s">
        <v>39</v>
      </c>
      <c r="K231" s="233" t="s">
        <v>317</v>
      </c>
      <c r="L231" s="231" t="s">
        <v>29</v>
      </c>
      <c r="M231" s="468" t="s">
        <v>33</v>
      </c>
      <c r="N231" s="232" t="s">
        <v>5</v>
      </c>
      <c r="O231" s="216" t="str">
        <f>PL!$P$4</f>
        <v>BIN</v>
      </c>
      <c r="P231" s="216" t="str">
        <f>PL!$I$6</f>
        <v>K_INR</v>
      </c>
      <c r="Q231" s="222" t="str">
        <f>PL!Q$643</f>
        <v>S/GP (3) Net Sales Direct NH Label Printer</v>
      </c>
      <c r="R231" s="222">
        <f>PL!S$643</f>
        <v>2481</v>
      </c>
      <c r="S231" s="222">
        <f>PL!T$643</f>
        <v>2137</v>
      </c>
      <c r="T231" s="222">
        <f>PL!U$643</f>
        <v>2083</v>
      </c>
      <c r="U231" s="222">
        <f>PL!V$643</f>
        <v>2426.0450000000001</v>
      </c>
      <c r="V231" s="222">
        <f>PL!W$643</f>
        <v>1741</v>
      </c>
      <c r="W231" s="222">
        <f>PL!X$643</f>
        <v>2546</v>
      </c>
      <c r="X231" s="222">
        <f>PL!Y$643</f>
        <v>2350</v>
      </c>
      <c r="Y231" s="222">
        <f>PL!Z$643</f>
        <v>2756</v>
      </c>
      <c r="Z231" s="222">
        <f>PL!AA$643</f>
        <v>3950</v>
      </c>
      <c r="AA231" s="222">
        <f>PL!AB$643</f>
        <v>1537</v>
      </c>
      <c r="AB231" s="222">
        <f>PL!AC$643</f>
        <v>5110</v>
      </c>
    </row>
    <row r="232" spans="1:28">
      <c r="A232" s="598">
        <v>1</v>
      </c>
      <c r="B232" s="598" t="s">
        <v>630</v>
      </c>
      <c r="C232" s="602" t="s">
        <v>429</v>
      </c>
      <c r="D232" s="598" t="s">
        <v>634</v>
      </c>
      <c r="E232" s="598" t="s">
        <v>39</v>
      </c>
      <c r="G232" s="244"/>
      <c r="H232" s="244"/>
      <c r="I232" s="245"/>
      <c r="J232" s="219" t="s">
        <v>39</v>
      </c>
      <c r="K232" s="233" t="s">
        <v>318</v>
      </c>
      <c r="L232" s="231" t="s">
        <v>29</v>
      </c>
      <c r="M232" s="468" t="s">
        <v>33</v>
      </c>
      <c r="N232" s="232" t="s">
        <v>5</v>
      </c>
      <c r="O232" s="216" t="str">
        <f>PL!$P$4</f>
        <v>BIN</v>
      </c>
      <c r="P232" s="216" t="str">
        <f>PL!$I$6</f>
        <v>K_INR</v>
      </c>
      <c r="Q232" s="222" t="str">
        <f>PL!Q$644</f>
        <v>S/GP (3) Net Sales Direct NH MGI</v>
      </c>
      <c r="R232" s="222">
        <f>PL!S$644</f>
        <v>2991</v>
      </c>
      <c r="S232" s="222">
        <f>PL!T$644</f>
        <v>3182</v>
      </c>
      <c r="T232" s="222">
        <f>PL!U$644</f>
        <v>4244</v>
      </c>
      <c r="U232" s="222">
        <f>PL!V$644</f>
        <v>5162.9139999999998</v>
      </c>
      <c r="V232" s="222">
        <f>PL!W$644</f>
        <v>6164</v>
      </c>
      <c r="W232" s="222">
        <f>PL!X$644</f>
        <v>3111</v>
      </c>
      <c r="X232" s="222">
        <f>PL!Y$644</f>
        <v>3968</v>
      </c>
      <c r="Y232" s="222">
        <f>PL!Z$644</f>
        <v>4422</v>
      </c>
      <c r="Z232" s="222">
        <f>PL!AA$644</f>
        <v>4413</v>
      </c>
      <c r="AA232" s="222">
        <f>PL!AB$644</f>
        <v>5093</v>
      </c>
      <c r="AB232" s="222">
        <f>PL!AC$644</f>
        <v>4098</v>
      </c>
    </row>
    <row r="233" spans="1:28">
      <c r="A233" s="598">
        <v>1</v>
      </c>
      <c r="B233" s="598" t="s">
        <v>512</v>
      </c>
      <c r="C233" s="602" t="s">
        <v>654</v>
      </c>
      <c r="D233" s="598" t="s">
        <v>634</v>
      </c>
      <c r="E233" s="598" t="s">
        <v>39</v>
      </c>
      <c r="G233" s="244"/>
      <c r="H233" s="244"/>
      <c r="I233" s="245"/>
      <c r="J233" s="219" t="s">
        <v>39</v>
      </c>
      <c r="K233" s="233" t="s">
        <v>319</v>
      </c>
      <c r="L233" s="231" t="s">
        <v>29</v>
      </c>
      <c r="M233" s="468" t="s">
        <v>33</v>
      </c>
      <c r="N233" s="232" t="s">
        <v>5</v>
      </c>
      <c r="O233" s="216" t="str">
        <f>PL!$P$4</f>
        <v>BIN</v>
      </c>
      <c r="P233" s="216" t="str">
        <f>PL!$I$6</f>
        <v>K_INR</v>
      </c>
      <c r="Q233" s="222" t="str">
        <f>PL!Q$645</f>
        <v>S/GP (3) Net Sales Direct NH EFI/LF</v>
      </c>
      <c r="R233" s="222">
        <f>PL!S$645</f>
        <v>0</v>
      </c>
      <c r="S233" s="222">
        <f>PL!T$645</f>
        <v>0</v>
      </c>
      <c r="T233" s="222">
        <f>PL!U$645</f>
        <v>0</v>
      </c>
      <c r="U233" s="222">
        <f>PL!V$645</f>
        <v>0</v>
      </c>
      <c r="V233" s="222">
        <f>PL!W$645</f>
        <v>0</v>
      </c>
      <c r="W233" s="222">
        <f>PL!X$645</f>
        <v>0</v>
      </c>
      <c r="X233" s="222">
        <f>PL!Y$645</f>
        <v>0</v>
      </c>
      <c r="Y233" s="222">
        <f>PL!Z$645</f>
        <v>0</v>
      </c>
      <c r="Z233" s="222">
        <f>PL!AA$645</f>
        <v>0</v>
      </c>
      <c r="AA233" s="222">
        <f>PL!AB$645</f>
        <v>0</v>
      </c>
      <c r="AB233" s="222">
        <f>PL!AC$645</f>
        <v>0</v>
      </c>
    </row>
    <row r="234" spans="1:28">
      <c r="A234" s="598">
        <v>1</v>
      </c>
      <c r="B234" s="598" t="s">
        <v>512</v>
      </c>
      <c r="C234" s="602" t="s">
        <v>429</v>
      </c>
      <c r="D234" s="598" t="s">
        <v>634</v>
      </c>
      <c r="E234" s="598" t="s">
        <v>39</v>
      </c>
      <c r="G234" s="244"/>
      <c r="H234" s="244"/>
      <c r="I234" s="245"/>
      <c r="J234" s="219" t="s">
        <v>39</v>
      </c>
      <c r="K234" s="233" t="s">
        <v>320</v>
      </c>
      <c r="L234" s="231" t="s">
        <v>29</v>
      </c>
      <c r="M234" s="468" t="s">
        <v>33</v>
      </c>
      <c r="N234" s="232" t="s">
        <v>5</v>
      </c>
      <c r="O234" s="216" t="str">
        <f>PL!$P$4</f>
        <v>BIN</v>
      </c>
      <c r="P234" s="216" t="str">
        <f>PL!$I$6</f>
        <v>K_INR</v>
      </c>
      <c r="Q234" s="222" t="str">
        <f>PL!Q$646</f>
        <v>S/GP (3) Net Sales Direct NH Textile Printer</v>
      </c>
      <c r="R234" s="222">
        <f>PL!S$646</f>
        <v>0</v>
      </c>
      <c r="S234" s="222">
        <f>PL!T$646</f>
        <v>0</v>
      </c>
      <c r="T234" s="222">
        <f>PL!U$646</f>
        <v>0</v>
      </c>
      <c r="U234" s="222">
        <f>PL!V$646</f>
        <v>0</v>
      </c>
      <c r="V234" s="222">
        <f>PL!W$646</f>
        <v>0</v>
      </c>
      <c r="W234" s="222">
        <f>PL!X$646</f>
        <v>0</v>
      </c>
      <c r="X234" s="222">
        <f>PL!Y$646</f>
        <v>0</v>
      </c>
      <c r="Y234" s="222">
        <f>PL!Z$646</f>
        <v>0</v>
      </c>
      <c r="Z234" s="222">
        <f>PL!AA$646</f>
        <v>0</v>
      </c>
      <c r="AA234" s="222">
        <f>PL!AB$646</f>
        <v>0</v>
      </c>
      <c r="AB234" s="222">
        <f>PL!AC$646</f>
        <v>0</v>
      </c>
    </row>
    <row r="235" spans="1:28">
      <c r="A235" s="598">
        <v>1</v>
      </c>
      <c r="B235" s="598" t="s">
        <v>638</v>
      </c>
      <c r="C235" s="602" t="s">
        <v>654</v>
      </c>
      <c r="D235" s="598" t="s">
        <v>634</v>
      </c>
      <c r="E235" s="598" t="s">
        <v>39</v>
      </c>
      <c r="G235" s="244"/>
      <c r="H235" s="244"/>
      <c r="I235" s="245"/>
      <c r="J235" s="219" t="s">
        <v>39</v>
      </c>
      <c r="K235" s="233" t="s">
        <v>321</v>
      </c>
      <c r="L235" s="231" t="s">
        <v>29</v>
      </c>
      <c r="M235" s="468" t="s">
        <v>33</v>
      </c>
      <c r="N235" s="232" t="s">
        <v>5</v>
      </c>
      <c r="O235" s="216" t="str">
        <f>PL!$P$4</f>
        <v>BIN</v>
      </c>
      <c r="P235" s="216" t="str">
        <f>PL!$I$6</f>
        <v>K_INR</v>
      </c>
      <c r="Q235" s="222" t="str">
        <f>PL!Q$647</f>
        <v>S/GP (3) Net Sales Direct NH Others</v>
      </c>
      <c r="R235" s="222">
        <f>PL!S$647</f>
        <v>0</v>
      </c>
      <c r="S235" s="222">
        <f>PL!T$647</f>
        <v>0</v>
      </c>
      <c r="T235" s="222">
        <f>PL!U$647</f>
        <v>0</v>
      </c>
      <c r="U235" s="222">
        <f>PL!V$647</f>
        <v>0</v>
      </c>
      <c r="V235" s="222">
        <f>PL!W$647</f>
        <v>0</v>
      </c>
      <c r="W235" s="222">
        <f>PL!X$647</f>
        <v>0</v>
      </c>
      <c r="X235" s="222">
        <f>PL!Y$647</f>
        <v>0</v>
      </c>
      <c r="Y235" s="222">
        <f>PL!Z$647</f>
        <v>0</v>
      </c>
      <c r="Z235" s="222">
        <f>PL!AA$647</f>
        <v>0</v>
      </c>
      <c r="AA235" s="222">
        <f>PL!AB$647</f>
        <v>0</v>
      </c>
      <c r="AB235" s="222">
        <f>PL!AC$647</f>
        <v>0</v>
      </c>
    </row>
    <row r="236" spans="1:28" s="682" customFormat="1">
      <c r="A236" s="682">
        <v>1</v>
      </c>
      <c r="C236" s="683"/>
      <c r="F236" s="684"/>
      <c r="G236" s="685"/>
      <c r="H236" s="685"/>
      <c r="I236" s="686"/>
      <c r="J236" s="687" t="s">
        <v>39</v>
      </c>
      <c r="K236" s="688" t="s">
        <v>321</v>
      </c>
      <c r="L236" s="689" t="s">
        <v>32</v>
      </c>
      <c r="M236" s="690" t="s">
        <v>4</v>
      </c>
      <c r="N236" s="691" t="s">
        <v>5</v>
      </c>
      <c r="O236" s="692" t="str">
        <f>PL!$P$4</f>
        <v>BIN</v>
      </c>
      <c r="P236" s="692" t="str">
        <f>PL!$I$6</f>
        <v>K_INR</v>
      </c>
      <c r="Q236" s="693"/>
      <c r="R236" s="693"/>
      <c r="S236" s="693"/>
      <c r="T236" s="693"/>
      <c r="U236" s="693"/>
      <c r="V236" s="693"/>
      <c r="W236" s="693"/>
      <c r="X236" s="693"/>
      <c r="Y236" s="693"/>
      <c r="Z236" s="693"/>
      <c r="AA236" s="693"/>
      <c r="AB236" s="693"/>
    </row>
    <row r="237" spans="1:28">
      <c r="A237" s="598">
        <v>1</v>
      </c>
      <c r="B237" s="598" t="s">
        <v>512</v>
      </c>
      <c r="C237" s="602" t="s">
        <v>654</v>
      </c>
      <c r="D237" s="598" t="s">
        <v>298</v>
      </c>
      <c r="E237" s="598" t="s">
        <v>39</v>
      </c>
      <c r="G237" s="244"/>
      <c r="H237" s="244"/>
      <c r="I237" s="245"/>
      <c r="J237" s="219" t="s">
        <v>39</v>
      </c>
      <c r="K237" s="233" t="s">
        <v>316</v>
      </c>
      <c r="L237" s="231" t="s">
        <v>32</v>
      </c>
      <c r="M237" s="468" t="s">
        <v>30</v>
      </c>
      <c r="N237" s="232" t="s">
        <v>5</v>
      </c>
      <c r="O237" s="216" t="str">
        <f>PL!$P$4</f>
        <v>BIN</v>
      </c>
      <c r="P237" s="216" t="str">
        <f>PL!$I$6</f>
        <v>K_INR</v>
      </c>
      <c r="Q237" s="222" t="str">
        <f>PL!Q$650</f>
        <v>S/GP (3) Net Sales Indirect HW &amp; Solution KM-1/KM-1e</v>
      </c>
      <c r="R237" s="222">
        <f>PL!S$650</f>
        <v>0</v>
      </c>
      <c r="S237" s="222">
        <f>PL!T$650</f>
        <v>0</v>
      </c>
      <c r="T237" s="222">
        <f>PL!U$650</f>
        <v>0</v>
      </c>
      <c r="U237" s="222">
        <f>PL!V$650</f>
        <v>0</v>
      </c>
      <c r="V237" s="222">
        <f>PL!W$650</f>
        <v>0</v>
      </c>
      <c r="W237" s="222">
        <f>PL!X$650</f>
        <v>0</v>
      </c>
      <c r="X237" s="222">
        <f>PL!Y$650</f>
        <v>0</v>
      </c>
      <c r="Y237" s="222">
        <f>PL!Z$650</f>
        <v>0</v>
      </c>
      <c r="Z237" s="222">
        <f>PL!AA$650</f>
        <v>0</v>
      </c>
      <c r="AA237" s="222">
        <f>PL!AB$650</f>
        <v>0</v>
      </c>
      <c r="AB237" s="222">
        <f>PL!AC$650</f>
        <v>0</v>
      </c>
    </row>
    <row r="238" spans="1:28">
      <c r="A238" s="598">
        <v>1</v>
      </c>
      <c r="B238" s="598" t="s">
        <v>512</v>
      </c>
      <c r="C238" s="602" t="s">
        <v>654</v>
      </c>
      <c r="D238" s="598" t="s">
        <v>298</v>
      </c>
      <c r="E238" s="598" t="s">
        <v>39</v>
      </c>
      <c r="G238" s="244"/>
      <c r="H238" s="244"/>
      <c r="I238" s="245"/>
      <c r="J238" s="219" t="s">
        <v>39</v>
      </c>
      <c r="K238" s="233" t="s">
        <v>317</v>
      </c>
      <c r="L238" s="231" t="s">
        <v>32</v>
      </c>
      <c r="M238" s="468" t="s">
        <v>30</v>
      </c>
      <c r="N238" s="232" t="s">
        <v>5</v>
      </c>
      <c r="O238" s="216" t="str">
        <f>PL!$P$4</f>
        <v>BIN</v>
      </c>
      <c r="P238" s="216" t="str">
        <f>PL!$I$6</f>
        <v>K_INR</v>
      </c>
      <c r="Q238" s="222" t="str">
        <f>PL!Q$651</f>
        <v>S/GP (3) Net Sales Indirect HW &amp; Solution Label Printer</v>
      </c>
      <c r="R238" s="222">
        <f>PL!S$651</f>
        <v>0</v>
      </c>
      <c r="S238" s="222">
        <f>PL!T$651</f>
        <v>0</v>
      </c>
      <c r="T238" s="222">
        <f>PL!U$651</f>
        <v>0</v>
      </c>
      <c r="U238" s="222">
        <f>PL!V$651</f>
        <v>0</v>
      </c>
      <c r="V238" s="222">
        <f>PL!W$651</f>
        <v>0</v>
      </c>
      <c r="W238" s="222">
        <f>PL!X$651</f>
        <v>0</v>
      </c>
      <c r="X238" s="222">
        <f>PL!Y$651</f>
        <v>0</v>
      </c>
      <c r="Y238" s="222">
        <f>PL!Z$651</f>
        <v>0</v>
      </c>
      <c r="Z238" s="222">
        <f>PL!AA$651</f>
        <v>0</v>
      </c>
      <c r="AA238" s="222">
        <f>PL!AB$651</f>
        <v>0</v>
      </c>
      <c r="AB238" s="222">
        <f>PL!AC$651</f>
        <v>0</v>
      </c>
    </row>
    <row r="239" spans="1:28">
      <c r="A239" s="598">
        <v>1</v>
      </c>
      <c r="B239" s="598" t="s">
        <v>638</v>
      </c>
      <c r="C239" s="602" t="s">
        <v>654</v>
      </c>
      <c r="D239" s="598" t="s">
        <v>298</v>
      </c>
      <c r="E239" s="598" t="s">
        <v>39</v>
      </c>
      <c r="G239" s="244"/>
      <c r="H239" s="244"/>
      <c r="I239" s="245"/>
      <c r="J239" s="219" t="s">
        <v>39</v>
      </c>
      <c r="K239" s="233" t="s">
        <v>318</v>
      </c>
      <c r="L239" s="231" t="s">
        <v>32</v>
      </c>
      <c r="M239" s="468" t="s">
        <v>30</v>
      </c>
      <c r="N239" s="232" t="s">
        <v>5</v>
      </c>
      <c r="O239" s="216" t="str">
        <f>PL!$P$4</f>
        <v>BIN</v>
      </c>
      <c r="P239" s="216" t="str">
        <f>PL!$I$6</f>
        <v>K_INR</v>
      </c>
      <c r="Q239" s="222" t="str">
        <f>PL!Q$652</f>
        <v>S/GP (3) Net Sales Indirect HW &amp; Solution MGI</v>
      </c>
      <c r="R239" s="222">
        <f>PL!S$652</f>
        <v>0</v>
      </c>
      <c r="S239" s="222">
        <f>PL!T$652</f>
        <v>0</v>
      </c>
      <c r="T239" s="222">
        <f>PL!U$652</f>
        <v>0</v>
      </c>
      <c r="U239" s="222">
        <f>PL!V$652</f>
        <v>0</v>
      </c>
      <c r="V239" s="222">
        <f>PL!W$652</f>
        <v>0</v>
      </c>
      <c r="W239" s="222">
        <f>PL!X$652</f>
        <v>0</v>
      </c>
      <c r="X239" s="222">
        <f>PL!Y$652</f>
        <v>0</v>
      </c>
      <c r="Y239" s="222">
        <f>PL!Z$652</f>
        <v>0</v>
      </c>
      <c r="Z239" s="222">
        <f>PL!AA$652</f>
        <v>0</v>
      </c>
      <c r="AA239" s="222">
        <f>PL!AB$652</f>
        <v>0</v>
      </c>
      <c r="AB239" s="222">
        <f>PL!AC$652</f>
        <v>0</v>
      </c>
    </row>
    <row r="240" spans="1:28">
      <c r="A240" s="598">
        <v>1</v>
      </c>
      <c r="B240" s="598" t="s">
        <v>512</v>
      </c>
      <c r="C240" s="602" t="s">
        <v>654</v>
      </c>
      <c r="D240" s="598" t="s">
        <v>298</v>
      </c>
      <c r="E240" s="598" t="s">
        <v>39</v>
      </c>
      <c r="G240" s="244"/>
      <c r="H240" s="244"/>
      <c r="I240" s="245"/>
      <c r="J240" s="219" t="s">
        <v>39</v>
      </c>
      <c r="K240" s="233" t="s">
        <v>319</v>
      </c>
      <c r="L240" s="231" t="s">
        <v>32</v>
      </c>
      <c r="M240" s="468" t="s">
        <v>30</v>
      </c>
      <c r="N240" s="232" t="s">
        <v>5</v>
      </c>
      <c r="O240" s="216" t="str">
        <f>PL!$P$4</f>
        <v>BIN</v>
      </c>
      <c r="P240" s="216" t="str">
        <f>PL!$I$6</f>
        <v>K_INR</v>
      </c>
      <c r="Q240" s="222" t="str">
        <f>PL!Q$653</f>
        <v>S/GP (3) Net Sales Indirect HW &amp; Solution EFI/LF</v>
      </c>
      <c r="R240" s="222">
        <f>PL!S$653</f>
        <v>0</v>
      </c>
      <c r="S240" s="222">
        <f>PL!T$653</f>
        <v>0</v>
      </c>
      <c r="T240" s="222">
        <f>PL!U$653</f>
        <v>0</v>
      </c>
      <c r="U240" s="222">
        <f>PL!V$653</f>
        <v>0</v>
      </c>
      <c r="V240" s="222">
        <f>PL!W$653</f>
        <v>0</v>
      </c>
      <c r="W240" s="222">
        <f>PL!X$653</f>
        <v>0</v>
      </c>
      <c r="X240" s="222">
        <f>PL!Y$653</f>
        <v>0</v>
      </c>
      <c r="Y240" s="222">
        <f>PL!Z$653</f>
        <v>0</v>
      </c>
      <c r="Z240" s="222">
        <f>PL!AA$653</f>
        <v>0</v>
      </c>
      <c r="AA240" s="222">
        <f>PL!AB$653</f>
        <v>0</v>
      </c>
      <c r="AB240" s="222">
        <f>PL!AC$653</f>
        <v>0</v>
      </c>
    </row>
    <row r="241" spans="1:28">
      <c r="A241" s="598">
        <v>1</v>
      </c>
      <c r="B241" s="598" t="s">
        <v>630</v>
      </c>
      <c r="C241" s="602" t="s">
        <v>657</v>
      </c>
      <c r="D241" s="598" t="s">
        <v>655</v>
      </c>
      <c r="E241" s="598" t="s">
        <v>39</v>
      </c>
      <c r="G241" s="244"/>
      <c r="H241" s="244"/>
      <c r="I241" s="245"/>
      <c r="J241" s="219" t="s">
        <v>39</v>
      </c>
      <c r="K241" s="233" t="s">
        <v>320</v>
      </c>
      <c r="L241" s="231" t="s">
        <v>32</v>
      </c>
      <c r="M241" s="468" t="s">
        <v>30</v>
      </c>
      <c r="N241" s="232" t="s">
        <v>5</v>
      </c>
      <c r="O241" s="216" t="str">
        <f>PL!$P$4</f>
        <v>BIN</v>
      </c>
      <c r="P241" s="216" t="str">
        <f>PL!$I$6</f>
        <v>K_INR</v>
      </c>
      <c r="Q241" s="222" t="str">
        <f>PL!Q$654</f>
        <v>S/GP (3) Net Sales Indirect HW &amp; Solution Textile Printer</v>
      </c>
      <c r="R241" s="222">
        <f>PL!S$654</f>
        <v>0</v>
      </c>
      <c r="S241" s="222">
        <f>PL!T$654</f>
        <v>0</v>
      </c>
      <c r="T241" s="222">
        <f>PL!U$654</f>
        <v>0</v>
      </c>
      <c r="U241" s="222">
        <f>PL!V$654</f>
        <v>0</v>
      </c>
      <c r="V241" s="222">
        <f>PL!W$654</f>
        <v>0</v>
      </c>
      <c r="W241" s="222">
        <f>PL!X$654</f>
        <v>0</v>
      </c>
      <c r="X241" s="222">
        <f>PL!Y$654</f>
        <v>0</v>
      </c>
      <c r="Y241" s="222">
        <f>PL!Z$654</f>
        <v>0</v>
      </c>
      <c r="Z241" s="222">
        <f>PL!AA$654</f>
        <v>0</v>
      </c>
      <c r="AA241" s="222">
        <f>PL!AB$654</f>
        <v>0</v>
      </c>
      <c r="AB241" s="222">
        <f>PL!AC$654</f>
        <v>0</v>
      </c>
    </row>
    <row r="242" spans="1:28">
      <c r="A242" s="598">
        <v>1</v>
      </c>
      <c r="B242" s="598" t="s">
        <v>512</v>
      </c>
      <c r="C242" s="602" t="s">
        <v>654</v>
      </c>
      <c r="D242" s="598" t="s">
        <v>631</v>
      </c>
      <c r="E242" s="598" t="s">
        <v>39</v>
      </c>
      <c r="G242" s="244"/>
      <c r="H242" s="244"/>
      <c r="I242" s="245"/>
      <c r="J242" s="219" t="s">
        <v>39</v>
      </c>
      <c r="K242" s="233" t="s">
        <v>321</v>
      </c>
      <c r="L242" s="231" t="s">
        <v>32</v>
      </c>
      <c r="M242" s="468" t="s">
        <v>30</v>
      </c>
      <c r="N242" s="232" t="s">
        <v>5</v>
      </c>
      <c r="O242" s="216" t="str">
        <f>PL!$P$4</f>
        <v>BIN</v>
      </c>
      <c r="P242" s="216" t="str">
        <f>PL!$I$6</f>
        <v>K_INR</v>
      </c>
      <c r="Q242" s="222" t="str">
        <f>PL!Q$655</f>
        <v>S/GP (3) Net Sales Indirect HW &amp; Solution Others</v>
      </c>
      <c r="R242" s="222">
        <f>PL!S$655</f>
        <v>0</v>
      </c>
      <c r="S242" s="222">
        <f>PL!T$655</f>
        <v>0</v>
      </c>
      <c r="T242" s="222">
        <f>PL!U$655</f>
        <v>0</v>
      </c>
      <c r="U242" s="222">
        <f>PL!V$655</f>
        <v>0</v>
      </c>
      <c r="V242" s="222">
        <f>PL!W$655</f>
        <v>0</v>
      </c>
      <c r="W242" s="222">
        <f>PL!X$655</f>
        <v>0</v>
      </c>
      <c r="X242" s="222">
        <f>PL!Y$655</f>
        <v>0</v>
      </c>
      <c r="Y242" s="222">
        <f>PL!Z$655</f>
        <v>0</v>
      </c>
      <c r="Z242" s="222">
        <f>PL!AA$655</f>
        <v>0</v>
      </c>
      <c r="AA242" s="222">
        <f>PL!AB$655</f>
        <v>0</v>
      </c>
      <c r="AB242" s="222">
        <f>PL!AC$655</f>
        <v>0</v>
      </c>
    </row>
    <row r="243" spans="1:28">
      <c r="A243" s="598">
        <v>1</v>
      </c>
      <c r="B243" s="598" t="s">
        <v>512</v>
      </c>
      <c r="C243" s="602" t="s">
        <v>658</v>
      </c>
      <c r="D243" s="598" t="s">
        <v>651</v>
      </c>
      <c r="E243" s="598" t="s">
        <v>39</v>
      </c>
      <c r="G243" s="244"/>
      <c r="H243" s="244"/>
      <c r="I243" s="245"/>
      <c r="J243" s="219" t="s">
        <v>39</v>
      </c>
      <c r="K243" s="233" t="s">
        <v>316</v>
      </c>
      <c r="L243" s="231" t="s">
        <v>32</v>
      </c>
      <c r="M243" s="468" t="s">
        <v>33</v>
      </c>
      <c r="N243" s="232" t="s">
        <v>5</v>
      </c>
      <c r="O243" s="216" t="str">
        <f>PL!$P$4</f>
        <v>BIN</v>
      </c>
      <c r="P243" s="216" t="str">
        <f>PL!$I$6</f>
        <v>K_INR</v>
      </c>
      <c r="Q243" s="222" t="str">
        <f>PL!Q$657</f>
        <v>S/GP (3) Net Sales Indirect NH KM-1/KM-1e</v>
      </c>
      <c r="R243" s="222">
        <f>PL!S$657</f>
        <v>0</v>
      </c>
      <c r="S243" s="222">
        <f>PL!T$657</f>
        <v>0</v>
      </c>
      <c r="T243" s="222">
        <f>PL!U$657</f>
        <v>0</v>
      </c>
      <c r="U243" s="222">
        <f>PL!V$657</f>
        <v>0</v>
      </c>
      <c r="V243" s="222">
        <f>PL!W$657</f>
        <v>0</v>
      </c>
      <c r="W243" s="222">
        <f>PL!X$657</f>
        <v>0</v>
      </c>
      <c r="X243" s="222">
        <f>PL!Y$657</f>
        <v>0</v>
      </c>
      <c r="Y243" s="222">
        <f>PL!Z$657</f>
        <v>0</v>
      </c>
      <c r="Z243" s="222">
        <f>PL!AA$657</f>
        <v>0</v>
      </c>
      <c r="AA243" s="222">
        <f>PL!AB$657</f>
        <v>0</v>
      </c>
      <c r="AB243" s="222">
        <f>PL!AC$657</f>
        <v>0</v>
      </c>
    </row>
    <row r="244" spans="1:28">
      <c r="A244" s="598">
        <v>1</v>
      </c>
      <c r="B244" s="598" t="s">
        <v>512</v>
      </c>
      <c r="C244" s="602" t="s">
        <v>654</v>
      </c>
      <c r="D244" s="598" t="s">
        <v>511</v>
      </c>
      <c r="E244" s="598" t="s">
        <v>39</v>
      </c>
      <c r="G244" s="244"/>
      <c r="H244" s="244"/>
      <c r="I244" s="245"/>
      <c r="J244" s="219" t="s">
        <v>39</v>
      </c>
      <c r="K244" s="233" t="s">
        <v>317</v>
      </c>
      <c r="L244" s="231" t="s">
        <v>32</v>
      </c>
      <c r="M244" s="468" t="s">
        <v>33</v>
      </c>
      <c r="N244" s="232" t="s">
        <v>5</v>
      </c>
      <c r="O244" s="216" t="str">
        <f>PL!$P$4</f>
        <v>BIN</v>
      </c>
      <c r="P244" s="216" t="str">
        <f>PL!$I$6</f>
        <v>K_INR</v>
      </c>
      <c r="Q244" s="222" t="str">
        <f>PL!Q$658</f>
        <v>S/GP (3) Net Sales Indirect NH Label Printer</v>
      </c>
      <c r="R244" s="222">
        <f>PL!S$658</f>
        <v>0</v>
      </c>
      <c r="S244" s="222">
        <f>PL!T$658</f>
        <v>0</v>
      </c>
      <c r="T244" s="222">
        <f>PL!U$658</f>
        <v>0</v>
      </c>
      <c r="U244" s="222">
        <f>PL!V$658</f>
        <v>0</v>
      </c>
      <c r="V244" s="222">
        <f>PL!W$658</f>
        <v>0</v>
      </c>
      <c r="W244" s="222">
        <f>PL!X$658</f>
        <v>0</v>
      </c>
      <c r="X244" s="222">
        <f>PL!Y$658</f>
        <v>0</v>
      </c>
      <c r="Y244" s="222">
        <f>PL!Z$658</f>
        <v>0</v>
      </c>
      <c r="Z244" s="222">
        <f>PL!AA$658</f>
        <v>0</v>
      </c>
      <c r="AA244" s="222">
        <f>PL!AB$658</f>
        <v>0</v>
      </c>
      <c r="AB244" s="222">
        <f>PL!AC$658</f>
        <v>0</v>
      </c>
    </row>
    <row r="245" spans="1:28">
      <c r="A245" s="598">
        <v>1</v>
      </c>
      <c r="B245" s="598" t="s">
        <v>512</v>
      </c>
      <c r="C245" s="602" t="s">
        <v>429</v>
      </c>
      <c r="D245" s="598" t="s">
        <v>511</v>
      </c>
      <c r="E245" s="598" t="s">
        <v>39</v>
      </c>
      <c r="G245" s="244"/>
      <c r="H245" s="244"/>
      <c r="I245" s="245"/>
      <c r="J245" s="219" t="s">
        <v>39</v>
      </c>
      <c r="K245" s="233" t="s">
        <v>318</v>
      </c>
      <c r="L245" s="231" t="s">
        <v>32</v>
      </c>
      <c r="M245" s="468" t="s">
        <v>33</v>
      </c>
      <c r="N245" s="232" t="s">
        <v>5</v>
      </c>
      <c r="O245" s="216" t="str">
        <f>PL!$P$4</f>
        <v>BIN</v>
      </c>
      <c r="P245" s="216" t="str">
        <f>PL!$I$6</f>
        <v>K_INR</v>
      </c>
      <c r="Q245" s="222" t="str">
        <f>PL!Q$659</f>
        <v>S/GP (3) Net Sales Indirect NH MGI</v>
      </c>
      <c r="R245" s="222">
        <f>PL!S$659</f>
        <v>0</v>
      </c>
      <c r="S245" s="222">
        <f>PL!T$659</f>
        <v>0</v>
      </c>
      <c r="T245" s="222">
        <f>PL!U$659</f>
        <v>0</v>
      </c>
      <c r="U245" s="222">
        <f>PL!V$659</f>
        <v>0</v>
      </c>
      <c r="V245" s="222">
        <f>PL!W$659</f>
        <v>0</v>
      </c>
      <c r="W245" s="222">
        <f>PL!X$659</f>
        <v>0</v>
      </c>
      <c r="X245" s="222">
        <f>PL!Y$659</f>
        <v>0</v>
      </c>
      <c r="Y245" s="222">
        <f>PL!Z$659</f>
        <v>0</v>
      </c>
      <c r="Z245" s="222">
        <f>PL!AA$659</f>
        <v>0</v>
      </c>
      <c r="AA245" s="222">
        <f>PL!AB$659</f>
        <v>0</v>
      </c>
      <c r="AB245" s="222">
        <f>PL!AC$659</f>
        <v>0</v>
      </c>
    </row>
    <row r="246" spans="1:28">
      <c r="A246" s="598">
        <v>1</v>
      </c>
      <c r="B246" s="598" t="s">
        <v>630</v>
      </c>
      <c r="C246" s="602" t="s">
        <v>429</v>
      </c>
      <c r="D246" s="598" t="s">
        <v>511</v>
      </c>
      <c r="E246" s="598" t="s">
        <v>39</v>
      </c>
      <c r="G246" s="244"/>
      <c r="H246" s="244"/>
      <c r="I246" s="245"/>
      <c r="J246" s="219" t="s">
        <v>39</v>
      </c>
      <c r="K246" s="233" t="s">
        <v>319</v>
      </c>
      <c r="L246" s="231" t="s">
        <v>32</v>
      </c>
      <c r="M246" s="468" t="s">
        <v>33</v>
      </c>
      <c r="N246" s="232" t="s">
        <v>5</v>
      </c>
      <c r="O246" s="216" t="str">
        <f>PL!$P$4</f>
        <v>BIN</v>
      </c>
      <c r="P246" s="216" t="str">
        <f>PL!$I$6</f>
        <v>K_INR</v>
      </c>
      <c r="Q246" s="222" t="str">
        <f>PL!Q$660</f>
        <v>S/GP (3) Net Sales Indirect NH EFI/LF</v>
      </c>
      <c r="R246" s="222">
        <f>PL!S$660</f>
        <v>0</v>
      </c>
      <c r="S246" s="222">
        <f>PL!T$660</f>
        <v>0</v>
      </c>
      <c r="T246" s="222">
        <f>PL!U$660</f>
        <v>0</v>
      </c>
      <c r="U246" s="222">
        <f>PL!V$660</f>
        <v>0</v>
      </c>
      <c r="V246" s="222">
        <f>PL!W$660</f>
        <v>0</v>
      </c>
      <c r="W246" s="222">
        <f>PL!X$660</f>
        <v>0</v>
      </c>
      <c r="X246" s="222">
        <f>PL!Y$660</f>
        <v>0</v>
      </c>
      <c r="Y246" s="222">
        <f>PL!Z$660</f>
        <v>0</v>
      </c>
      <c r="Z246" s="222">
        <f>PL!AA$660</f>
        <v>0</v>
      </c>
      <c r="AA246" s="222">
        <f>PL!AB$660</f>
        <v>0</v>
      </c>
      <c r="AB246" s="222">
        <f>PL!AC$660</f>
        <v>0</v>
      </c>
    </row>
    <row r="247" spans="1:28">
      <c r="A247" s="598">
        <v>1</v>
      </c>
      <c r="B247" s="598" t="s">
        <v>635</v>
      </c>
      <c r="C247" s="602" t="s">
        <v>654</v>
      </c>
      <c r="D247" s="598" t="s">
        <v>511</v>
      </c>
      <c r="E247" s="598" t="s">
        <v>39</v>
      </c>
      <c r="G247" s="244"/>
      <c r="H247" s="244"/>
      <c r="I247" s="245"/>
      <c r="J247" s="219" t="s">
        <v>39</v>
      </c>
      <c r="K247" s="233" t="s">
        <v>320</v>
      </c>
      <c r="L247" s="231" t="s">
        <v>32</v>
      </c>
      <c r="M247" s="468" t="s">
        <v>33</v>
      </c>
      <c r="N247" s="232" t="s">
        <v>5</v>
      </c>
      <c r="O247" s="216" t="str">
        <f>PL!$P$4</f>
        <v>BIN</v>
      </c>
      <c r="P247" s="216" t="str">
        <f>PL!$I$6</f>
        <v>K_INR</v>
      </c>
      <c r="Q247" s="222" t="str">
        <f>PL!Q$661</f>
        <v>S/GP (3) Net Sales Indirect NH Textile Printer</v>
      </c>
      <c r="R247" s="222">
        <f>PL!S$661</f>
        <v>0</v>
      </c>
      <c r="S247" s="222">
        <f>PL!T$661</f>
        <v>0</v>
      </c>
      <c r="T247" s="222">
        <f>PL!U$661</f>
        <v>0</v>
      </c>
      <c r="U247" s="222">
        <f>PL!V$661</f>
        <v>0</v>
      </c>
      <c r="V247" s="222">
        <f>PL!W$661</f>
        <v>0</v>
      </c>
      <c r="W247" s="222">
        <f>PL!X$661</f>
        <v>0</v>
      </c>
      <c r="X247" s="222">
        <f>PL!Y$661</f>
        <v>0</v>
      </c>
      <c r="Y247" s="222">
        <f>PL!Z$661</f>
        <v>0</v>
      </c>
      <c r="Z247" s="222">
        <f>PL!AA$661</f>
        <v>0</v>
      </c>
      <c r="AA247" s="222">
        <f>PL!AB$661</f>
        <v>0</v>
      </c>
      <c r="AB247" s="222">
        <f>PL!AC$661</f>
        <v>0</v>
      </c>
    </row>
    <row r="248" spans="1:28">
      <c r="A248" s="598">
        <v>1</v>
      </c>
      <c r="B248" s="598" t="s">
        <v>630</v>
      </c>
      <c r="C248" s="602" t="s">
        <v>429</v>
      </c>
      <c r="D248" s="598" t="s">
        <v>634</v>
      </c>
      <c r="E248" s="598" t="s">
        <v>39</v>
      </c>
      <c r="G248" s="244"/>
      <c r="H248" s="244"/>
      <c r="I248" s="245"/>
      <c r="J248" s="219" t="s">
        <v>39</v>
      </c>
      <c r="K248" s="233" t="s">
        <v>321</v>
      </c>
      <c r="L248" s="231" t="s">
        <v>32</v>
      </c>
      <c r="M248" s="468" t="s">
        <v>33</v>
      </c>
      <c r="N248" s="232" t="s">
        <v>5</v>
      </c>
      <c r="O248" s="216" t="str">
        <f>PL!$P$4</f>
        <v>BIN</v>
      </c>
      <c r="P248" s="216" t="str">
        <f>PL!$I$6</f>
        <v>K_INR</v>
      </c>
      <c r="Q248" s="222" t="str">
        <f>PL!Q$662</f>
        <v>S/GP (3) Net Sales Indirect NH Others</v>
      </c>
      <c r="R248" s="222">
        <f>PL!S$662</f>
        <v>0</v>
      </c>
      <c r="S248" s="222">
        <f>PL!T$662</f>
        <v>0</v>
      </c>
      <c r="T248" s="222">
        <f>PL!U$662</f>
        <v>0</v>
      </c>
      <c r="U248" s="222">
        <f>PL!V$662</f>
        <v>0</v>
      </c>
      <c r="V248" s="222">
        <f>PL!W$662</f>
        <v>0</v>
      </c>
      <c r="W248" s="222">
        <f>PL!X$662</f>
        <v>0</v>
      </c>
      <c r="X248" s="222">
        <f>PL!Y$662</f>
        <v>0</v>
      </c>
      <c r="Y248" s="222">
        <f>PL!Z$662</f>
        <v>0</v>
      </c>
      <c r="Z248" s="222">
        <f>PL!AA$662</f>
        <v>0</v>
      </c>
      <c r="AA248" s="222">
        <f>PL!AB$662</f>
        <v>0</v>
      </c>
      <c r="AB248" s="222">
        <f>PL!AC$662</f>
        <v>0</v>
      </c>
    </row>
    <row r="249" spans="1:28" s="682" customFormat="1">
      <c r="A249" s="682">
        <v>1</v>
      </c>
      <c r="C249" s="683"/>
      <c r="F249" s="684"/>
      <c r="G249" s="685"/>
      <c r="H249" s="685"/>
      <c r="I249" s="686"/>
      <c r="J249" s="687" t="s">
        <v>9</v>
      </c>
      <c r="K249" s="688" t="s">
        <v>321</v>
      </c>
      <c r="L249" s="689" t="s">
        <v>32</v>
      </c>
      <c r="M249" s="690" t="s">
        <v>4</v>
      </c>
      <c r="N249" s="691" t="s">
        <v>37</v>
      </c>
      <c r="O249" s="692" t="str">
        <f>PL!$P$4</f>
        <v>BIN</v>
      </c>
      <c r="P249" s="692" t="str">
        <f>PL!$I$6</f>
        <v>K_INR</v>
      </c>
      <c r="Q249" s="693"/>
      <c r="R249" s="693"/>
      <c r="S249" s="693"/>
      <c r="T249" s="693"/>
      <c r="U249" s="693"/>
      <c r="V249" s="693"/>
      <c r="W249" s="693"/>
      <c r="X249" s="693"/>
      <c r="Y249" s="693"/>
      <c r="Z249" s="693"/>
      <c r="AA249" s="693"/>
      <c r="AB249" s="693"/>
    </row>
    <row r="250" spans="1:28" s="239" customFormat="1">
      <c r="A250" s="702">
        <v>1</v>
      </c>
      <c r="B250" s="702" t="s">
        <v>512</v>
      </c>
      <c r="C250" s="703" t="s">
        <v>654</v>
      </c>
      <c r="D250" s="702" t="s">
        <v>298</v>
      </c>
      <c r="E250" s="702" t="s">
        <v>9</v>
      </c>
      <c r="G250" s="704"/>
      <c r="H250" s="704"/>
      <c r="I250" s="252"/>
      <c r="J250" s="236" t="s">
        <v>9</v>
      </c>
      <c r="K250" s="705" t="s">
        <v>316</v>
      </c>
      <c r="L250" s="237" t="s">
        <v>3</v>
      </c>
      <c r="M250" s="472" t="s">
        <v>30</v>
      </c>
      <c r="N250" s="238" t="s">
        <v>37</v>
      </c>
      <c r="O250" s="706" t="str">
        <f>PL!$P$4</f>
        <v>BIN</v>
      </c>
      <c r="P250" s="706" t="str">
        <f>PL!$I$6</f>
        <v>K_INR</v>
      </c>
      <c r="Q250" s="707" t="str">
        <f>PL!Q$225</f>
        <v>PL (3) BT Cons. Sales HW &amp; Solution KM-1/KM-1e</v>
      </c>
      <c r="R250" s="707">
        <f>PL!S$225</f>
        <v>0</v>
      </c>
      <c r="S250" s="707">
        <f>PL!T$225</f>
        <v>0</v>
      </c>
      <c r="T250" s="707">
        <f>PL!U$225</f>
        <v>0</v>
      </c>
      <c r="U250" s="707">
        <f>PL!V$225</f>
        <v>0</v>
      </c>
      <c r="V250" s="707">
        <f>PL!W$225</f>
        <v>0</v>
      </c>
      <c r="W250" s="707">
        <f>PL!X$225</f>
        <v>0</v>
      </c>
      <c r="X250" s="707">
        <f>PL!Y$225</f>
        <v>0</v>
      </c>
      <c r="Y250" s="707">
        <f>PL!Z$225</f>
        <v>0</v>
      </c>
      <c r="Z250" s="707">
        <f>PL!AA$225</f>
        <v>0</v>
      </c>
      <c r="AA250" s="707">
        <f>PL!AB$225</f>
        <v>0</v>
      </c>
      <c r="AB250" s="707">
        <f>PL!AC$225</f>
        <v>-1515</v>
      </c>
    </row>
    <row r="251" spans="1:28" s="239" customFormat="1">
      <c r="A251" s="702">
        <v>1</v>
      </c>
      <c r="B251" s="702" t="s">
        <v>638</v>
      </c>
      <c r="C251" s="703" t="s">
        <v>654</v>
      </c>
      <c r="D251" s="702" t="s">
        <v>298</v>
      </c>
      <c r="E251" s="702" t="s">
        <v>9</v>
      </c>
      <c r="G251" s="704"/>
      <c r="H251" s="704"/>
      <c r="I251" s="708"/>
      <c r="J251" s="236" t="s">
        <v>9</v>
      </c>
      <c r="K251" s="705" t="s">
        <v>317</v>
      </c>
      <c r="L251" s="237" t="s">
        <v>3</v>
      </c>
      <c r="M251" s="472" t="s">
        <v>30</v>
      </c>
      <c r="N251" s="238" t="s">
        <v>37</v>
      </c>
      <c r="O251" s="706" t="str">
        <f>PL!$P$4</f>
        <v>BIN</v>
      </c>
      <c r="P251" s="706" t="str">
        <f>PL!$I$6</f>
        <v>K_INR</v>
      </c>
      <c r="Q251" s="707" t="str">
        <f>PL!Q$226</f>
        <v>PL (3) BT Cons. Sales HW &amp; Solution Label Printer</v>
      </c>
      <c r="R251" s="707">
        <f>PL!S$226</f>
        <v>0</v>
      </c>
      <c r="S251" s="707">
        <f>PL!T$226</f>
        <v>9500</v>
      </c>
      <c r="T251" s="707">
        <f>PL!U$226</f>
        <v>0</v>
      </c>
      <c r="U251" s="707">
        <f>PL!V$226</f>
        <v>0</v>
      </c>
      <c r="V251" s="707">
        <f>PL!W$226</f>
        <v>0</v>
      </c>
      <c r="W251" s="707">
        <f>PL!X$226</f>
        <v>0</v>
      </c>
      <c r="X251" s="707">
        <f>PL!Y$226</f>
        <v>0</v>
      </c>
      <c r="Y251" s="707">
        <f>PL!Z$226</f>
        <v>0</v>
      </c>
      <c r="Z251" s="707">
        <f>PL!AA$226</f>
        <v>9100</v>
      </c>
      <c r="AA251" s="707">
        <f>PL!AB$226</f>
        <v>0</v>
      </c>
      <c r="AB251" s="707">
        <f>PL!AC$226</f>
        <v>9000</v>
      </c>
    </row>
    <row r="252" spans="1:28" s="239" customFormat="1">
      <c r="A252" s="702">
        <v>1</v>
      </c>
      <c r="B252" s="702" t="s">
        <v>512</v>
      </c>
      <c r="C252" s="703" t="s">
        <v>658</v>
      </c>
      <c r="D252" s="702" t="s">
        <v>298</v>
      </c>
      <c r="E252" s="702" t="s">
        <v>9</v>
      </c>
      <c r="G252" s="251"/>
      <c r="H252" s="251"/>
      <c r="I252" s="252"/>
      <c r="J252" s="236" t="s">
        <v>9</v>
      </c>
      <c r="K252" s="705" t="s">
        <v>318</v>
      </c>
      <c r="L252" s="237" t="s">
        <v>3</v>
      </c>
      <c r="M252" s="472" t="s">
        <v>30</v>
      </c>
      <c r="N252" s="238" t="s">
        <v>37</v>
      </c>
      <c r="O252" s="706" t="str">
        <f>PL!$P$4</f>
        <v>BIN</v>
      </c>
      <c r="P252" s="706" t="str">
        <f>PL!$I$6</f>
        <v>K_INR</v>
      </c>
      <c r="Q252" s="707" t="str">
        <f>PL!Q$227</f>
        <v>PL (3) BT Cons. Sales HW &amp; Solution MGI</v>
      </c>
      <c r="R252" s="707">
        <f>PL!S$227</f>
        <v>252</v>
      </c>
      <c r="S252" s="707">
        <f>PL!T$227</f>
        <v>9752</v>
      </c>
      <c r="T252" s="707">
        <f>PL!U$227</f>
        <v>252</v>
      </c>
      <c r="U252" s="707">
        <f>PL!V$227</f>
        <v>9600</v>
      </c>
      <c r="V252" s="707">
        <f>PL!W$227</f>
        <v>10756</v>
      </c>
      <c r="W252" s="707">
        <f>PL!X$227</f>
        <v>378</v>
      </c>
      <c r="X252" s="707">
        <f>PL!Y$227</f>
        <v>9900</v>
      </c>
      <c r="Y252" s="707">
        <f>PL!Z$227</f>
        <v>0</v>
      </c>
      <c r="Z252" s="707">
        <f>PL!AA$227</f>
        <v>9752</v>
      </c>
      <c r="AA252" s="707">
        <f>PL!AB$227</f>
        <v>0</v>
      </c>
      <c r="AB252" s="707">
        <f>PL!AC$227</f>
        <v>9600</v>
      </c>
    </row>
    <row r="253" spans="1:28" s="239" customFormat="1">
      <c r="A253" s="702">
        <v>1</v>
      </c>
      <c r="B253" s="702" t="s">
        <v>616</v>
      </c>
      <c r="C253" s="703" t="s">
        <v>654</v>
      </c>
      <c r="D253" s="702" t="s">
        <v>631</v>
      </c>
      <c r="E253" s="702" t="s">
        <v>9</v>
      </c>
      <c r="G253" s="251"/>
      <c r="H253" s="251"/>
      <c r="I253" s="252"/>
      <c r="J253" s="236" t="s">
        <v>9</v>
      </c>
      <c r="K253" s="705" t="s">
        <v>319</v>
      </c>
      <c r="L253" s="237" t="s">
        <v>3</v>
      </c>
      <c r="M253" s="472" t="s">
        <v>30</v>
      </c>
      <c r="N253" s="238" t="s">
        <v>37</v>
      </c>
      <c r="O253" s="706" t="str">
        <f>PL!$P$4</f>
        <v>BIN</v>
      </c>
      <c r="P253" s="706" t="str">
        <f>PL!$I$6</f>
        <v>K_INR</v>
      </c>
      <c r="Q253" s="707" t="str">
        <f>PL!Q$228</f>
        <v>PL (3) BT Cons. Sales HW &amp; Solution EFI/LF</v>
      </c>
      <c r="R253" s="707">
        <f>PL!S$228</f>
        <v>0</v>
      </c>
      <c r="S253" s="707">
        <f>PL!T$228</f>
        <v>0</v>
      </c>
      <c r="T253" s="707">
        <f>PL!U$228</f>
        <v>0</v>
      </c>
      <c r="U253" s="707">
        <f>PL!V$228</f>
        <v>0</v>
      </c>
      <c r="V253" s="707">
        <f>PL!W$228</f>
        <v>0</v>
      </c>
      <c r="W253" s="707">
        <f>PL!X$228</f>
        <v>0</v>
      </c>
      <c r="X253" s="707">
        <f>PL!Y$228</f>
        <v>0</v>
      </c>
      <c r="Y253" s="707">
        <f>PL!Z$228</f>
        <v>0</v>
      </c>
      <c r="Z253" s="707">
        <f>PL!AA$228</f>
        <v>0</v>
      </c>
      <c r="AA253" s="707">
        <f>PL!AB$228</f>
        <v>0</v>
      </c>
      <c r="AB253" s="707">
        <f>PL!AC$228</f>
        <v>0</v>
      </c>
    </row>
    <row r="254" spans="1:28" s="239" customFormat="1">
      <c r="A254" s="702">
        <v>1</v>
      </c>
      <c r="B254" s="702" t="s">
        <v>630</v>
      </c>
      <c r="C254" s="703" t="s">
        <v>654</v>
      </c>
      <c r="D254" s="702" t="s">
        <v>298</v>
      </c>
      <c r="E254" s="702" t="s">
        <v>9</v>
      </c>
      <c r="G254" s="251"/>
      <c r="H254" s="251"/>
      <c r="I254" s="252"/>
      <c r="J254" s="236" t="s">
        <v>9</v>
      </c>
      <c r="K254" s="705" t="s">
        <v>320</v>
      </c>
      <c r="L254" s="237" t="s">
        <v>3</v>
      </c>
      <c r="M254" s="472" t="s">
        <v>30</v>
      </c>
      <c r="N254" s="238" t="s">
        <v>37</v>
      </c>
      <c r="O254" s="706" t="str">
        <f>PL!$P$4</f>
        <v>BIN</v>
      </c>
      <c r="P254" s="706" t="str">
        <f>PL!$I$6</f>
        <v>K_INR</v>
      </c>
      <c r="Q254" s="707" t="str">
        <f>PL!Q$229</f>
        <v>PL (3) BT Cons. Sales HW &amp; Solution Textile Printer</v>
      </c>
      <c r="R254" s="707">
        <f>PL!S$229</f>
        <v>0</v>
      </c>
      <c r="S254" s="707">
        <f>PL!T$229</f>
        <v>0</v>
      </c>
      <c r="T254" s="707">
        <f>PL!U$229</f>
        <v>0</v>
      </c>
      <c r="U254" s="707">
        <f>PL!V$229</f>
        <v>0</v>
      </c>
      <c r="V254" s="707">
        <f>PL!W$229</f>
        <v>0</v>
      </c>
      <c r="W254" s="707">
        <f>PL!X$229</f>
        <v>0</v>
      </c>
      <c r="X254" s="707">
        <f>PL!Y$229</f>
        <v>0</v>
      </c>
      <c r="Y254" s="707">
        <f>PL!Z$229</f>
        <v>0</v>
      </c>
      <c r="Z254" s="707">
        <f>PL!AA$229</f>
        <v>0</v>
      </c>
      <c r="AA254" s="707">
        <f>PL!AB$229</f>
        <v>0</v>
      </c>
      <c r="AB254" s="707">
        <f>PL!AC$229</f>
        <v>0</v>
      </c>
    </row>
    <row r="255" spans="1:28" s="239" customFormat="1">
      <c r="A255" s="702">
        <v>1</v>
      </c>
      <c r="B255" s="702" t="s">
        <v>630</v>
      </c>
      <c r="C255" s="703" t="s">
        <v>654</v>
      </c>
      <c r="D255" s="702" t="s">
        <v>656</v>
      </c>
      <c r="E255" s="702" t="s">
        <v>9</v>
      </c>
      <c r="G255" s="251"/>
      <c r="H255" s="251"/>
      <c r="I255" s="252"/>
      <c r="J255" s="236" t="s">
        <v>9</v>
      </c>
      <c r="K255" s="705" t="s">
        <v>321</v>
      </c>
      <c r="L255" s="237" t="s">
        <v>3</v>
      </c>
      <c r="M255" s="472" t="s">
        <v>30</v>
      </c>
      <c r="N255" s="238" t="s">
        <v>37</v>
      </c>
      <c r="O255" s="706" t="str">
        <f>PL!$P$4</f>
        <v>BIN</v>
      </c>
      <c r="P255" s="706" t="str">
        <f>PL!$I$6</f>
        <v>K_INR</v>
      </c>
      <c r="Q255" s="707" t="str">
        <f>PL!Q$230</f>
        <v>PL (3) BT Cons. Sales HW &amp; Solution Others</v>
      </c>
      <c r="R255" s="707">
        <f>PL!S$230</f>
        <v>0</v>
      </c>
      <c r="S255" s="707">
        <f>PL!T$230</f>
        <v>0</v>
      </c>
      <c r="T255" s="707">
        <f>PL!U$230</f>
        <v>0</v>
      </c>
      <c r="U255" s="707">
        <f>PL!V$230</f>
        <v>0</v>
      </c>
      <c r="V255" s="707">
        <f>PL!W$230</f>
        <v>0</v>
      </c>
      <c r="W255" s="707">
        <f>PL!X$230</f>
        <v>0</v>
      </c>
      <c r="X255" s="707">
        <f>PL!Y$230</f>
        <v>0</v>
      </c>
      <c r="Y255" s="707">
        <f>PL!Z$230</f>
        <v>0</v>
      </c>
      <c r="Z255" s="707">
        <f>PL!AA$230</f>
        <v>0</v>
      </c>
      <c r="AA255" s="707">
        <f>PL!AB$230</f>
        <v>0</v>
      </c>
      <c r="AB255" s="707">
        <f>PL!AC$230</f>
        <v>0</v>
      </c>
    </row>
    <row r="256" spans="1:28" s="239" customFormat="1">
      <c r="A256" s="702">
        <v>1</v>
      </c>
      <c r="B256" s="702" t="s">
        <v>630</v>
      </c>
      <c r="C256" s="703" t="s">
        <v>429</v>
      </c>
      <c r="D256" s="702" t="s">
        <v>511</v>
      </c>
      <c r="E256" s="702" t="s">
        <v>9</v>
      </c>
      <c r="G256" s="251"/>
      <c r="H256" s="251"/>
      <c r="I256" s="252"/>
      <c r="J256" s="236" t="s">
        <v>9</v>
      </c>
      <c r="K256" s="705" t="s">
        <v>316</v>
      </c>
      <c r="L256" s="237" t="s">
        <v>3</v>
      </c>
      <c r="M256" s="472" t="s">
        <v>33</v>
      </c>
      <c r="N256" s="238" t="s">
        <v>37</v>
      </c>
      <c r="O256" s="706" t="str">
        <f>PL!$P$4</f>
        <v>BIN</v>
      </c>
      <c r="P256" s="706" t="str">
        <f>PL!$I$6</f>
        <v>K_INR</v>
      </c>
      <c r="Q256" s="707" t="str">
        <f>PL!Q$232</f>
        <v>PL (3) BT Cons. Sales NH KM-1/KM-1e</v>
      </c>
      <c r="R256" s="707">
        <f>PL!S$232</f>
        <v>271</v>
      </c>
      <c r="S256" s="707">
        <f>PL!T$232</f>
        <v>1097</v>
      </c>
      <c r="T256" s="707">
        <f>PL!U$232</f>
        <v>879</v>
      </c>
      <c r="U256" s="707">
        <f>PL!V$232</f>
        <v>259.19</v>
      </c>
      <c r="V256" s="707">
        <f>PL!W$232</f>
        <v>401</v>
      </c>
      <c r="W256" s="707">
        <f>PL!X$232</f>
        <v>1327</v>
      </c>
      <c r="X256" s="707">
        <f>PL!Y$232</f>
        <v>805</v>
      </c>
      <c r="Y256" s="707">
        <f>PL!Z$232</f>
        <v>407</v>
      </c>
      <c r="Z256" s="707">
        <f>PL!AA$232</f>
        <v>-1065</v>
      </c>
      <c r="AA256" s="707">
        <f>PL!AB$232</f>
        <v>1953.2560000000001</v>
      </c>
      <c r="AB256" s="707">
        <f>PL!AC$232</f>
        <v>-546</v>
      </c>
    </row>
    <row r="257" spans="1:28" s="239" customFormat="1">
      <c r="A257" s="702">
        <v>1</v>
      </c>
      <c r="B257" s="702" t="s">
        <v>630</v>
      </c>
      <c r="C257" s="703" t="s">
        <v>429</v>
      </c>
      <c r="D257" s="702" t="s">
        <v>634</v>
      </c>
      <c r="E257" s="702" t="s">
        <v>9</v>
      </c>
      <c r="G257" s="251"/>
      <c r="H257" s="251"/>
      <c r="I257" s="252"/>
      <c r="J257" s="236" t="s">
        <v>9</v>
      </c>
      <c r="K257" s="705" t="s">
        <v>317</v>
      </c>
      <c r="L257" s="237" t="s">
        <v>3</v>
      </c>
      <c r="M257" s="472" t="s">
        <v>33</v>
      </c>
      <c r="N257" s="238" t="s">
        <v>37</v>
      </c>
      <c r="O257" s="706" t="str">
        <f>PL!$P$4</f>
        <v>BIN</v>
      </c>
      <c r="P257" s="706" t="str">
        <f>PL!$I$6</f>
        <v>K_INR</v>
      </c>
      <c r="Q257" s="707" t="str">
        <f>PL!Q$233</f>
        <v>PL (3) BT Cons. Sales NH Label Printer</v>
      </c>
      <c r="R257" s="707">
        <f>PL!S$233</f>
        <v>2481</v>
      </c>
      <c r="S257" s="707">
        <f>PL!T$233</f>
        <v>2137</v>
      </c>
      <c r="T257" s="707">
        <f>PL!U$233</f>
        <v>2083</v>
      </c>
      <c r="U257" s="707">
        <f>PL!V$233</f>
        <v>2426.0450000000001</v>
      </c>
      <c r="V257" s="707">
        <f>PL!W$233</f>
        <v>1741</v>
      </c>
      <c r="W257" s="707">
        <f>PL!X$233</f>
        <v>2546</v>
      </c>
      <c r="X257" s="707">
        <f>PL!Y$233</f>
        <v>2350</v>
      </c>
      <c r="Y257" s="707">
        <f>PL!Z$233</f>
        <v>2756</v>
      </c>
      <c r="Z257" s="707">
        <f>PL!AA$233</f>
        <v>3950</v>
      </c>
      <c r="AA257" s="707">
        <f>PL!AB$233</f>
        <v>1537</v>
      </c>
      <c r="AB257" s="707">
        <f>PL!AC$233</f>
        <v>5110</v>
      </c>
    </row>
    <row r="258" spans="1:28" s="239" customFormat="1">
      <c r="A258" s="702">
        <v>1</v>
      </c>
      <c r="B258" s="702" t="s">
        <v>635</v>
      </c>
      <c r="C258" s="703" t="s">
        <v>429</v>
      </c>
      <c r="D258" s="702" t="s">
        <v>511</v>
      </c>
      <c r="E258" s="702" t="s">
        <v>9</v>
      </c>
      <c r="G258" s="251"/>
      <c r="H258" s="251"/>
      <c r="I258" s="252"/>
      <c r="J258" s="236" t="s">
        <v>9</v>
      </c>
      <c r="K258" s="705" t="s">
        <v>318</v>
      </c>
      <c r="L258" s="237" t="s">
        <v>3</v>
      </c>
      <c r="M258" s="472" t="s">
        <v>33</v>
      </c>
      <c r="N258" s="238" t="s">
        <v>37</v>
      </c>
      <c r="O258" s="706" t="str">
        <f>PL!$P$4</f>
        <v>BIN</v>
      </c>
      <c r="P258" s="706" t="str">
        <f>PL!$I$6</f>
        <v>K_INR</v>
      </c>
      <c r="Q258" s="707" t="str">
        <f>PL!Q$234</f>
        <v>PL (3) BT Cons. Sales NH MGI</v>
      </c>
      <c r="R258" s="707">
        <f>PL!S$234</f>
        <v>2991</v>
      </c>
      <c r="S258" s="707">
        <f>PL!T$234</f>
        <v>3182</v>
      </c>
      <c r="T258" s="707">
        <f>PL!U$234</f>
        <v>4244</v>
      </c>
      <c r="U258" s="707">
        <f>PL!V$234</f>
        <v>5162.9139999999998</v>
      </c>
      <c r="V258" s="707">
        <f>PL!W$234</f>
        <v>6164</v>
      </c>
      <c r="W258" s="707">
        <f>PL!X$234</f>
        <v>3111</v>
      </c>
      <c r="X258" s="707">
        <f>PL!Y$234</f>
        <v>3968</v>
      </c>
      <c r="Y258" s="707">
        <f>PL!Z$234</f>
        <v>4422</v>
      </c>
      <c r="Z258" s="707">
        <f>PL!AA$234</f>
        <v>4413</v>
      </c>
      <c r="AA258" s="707">
        <f>PL!AB$234</f>
        <v>5093</v>
      </c>
      <c r="AB258" s="707">
        <f>PL!AC$234</f>
        <v>4098</v>
      </c>
    </row>
    <row r="259" spans="1:28" s="239" customFormat="1">
      <c r="A259" s="702">
        <v>1</v>
      </c>
      <c r="B259" s="702" t="s">
        <v>630</v>
      </c>
      <c r="C259" s="703" t="s">
        <v>429</v>
      </c>
      <c r="D259" s="702" t="s">
        <v>634</v>
      </c>
      <c r="E259" s="702" t="s">
        <v>9</v>
      </c>
      <c r="G259" s="251"/>
      <c r="H259" s="251"/>
      <c r="I259" s="252"/>
      <c r="J259" s="236" t="s">
        <v>9</v>
      </c>
      <c r="K259" s="705" t="s">
        <v>319</v>
      </c>
      <c r="L259" s="237" t="s">
        <v>3</v>
      </c>
      <c r="M259" s="472" t="s">
        <v>33</v>
      </c>
      <c r="N259" s="238" t="s">
        <v>37</v>
      </c>
      <c r="O259" s="706" t="str">
        <f>PL!$P$4</f>
        <v>BIN</v>
      </c>
      <c r="P259" s="706" t="str">
        <f>PL!$I$6</f>
        <v>K_INR</v>
      </c>
      <c r="Q259" s="707" t="str">
        <f>PL!Q$235</f>
        <v>PL (3) BT Cons. Sales NH EFI/LF</v>
      </c>
      <c r="R259" s="707">
        <f>PL!S$235</f>
        <v>0</v>
      </c>
      <c r="S259" s="707">
        <f>PL!T$235</f>
        <v>0</v>
      </c>
      <c r="T259" s="707">
        <f>PL!U$235</f>
        <v>0</v>
      </c>
      <c r="U259" s="707">
        <f>PL!V$235</f>
        <v>0</v>
      </c>
      <c r="V259" s="707">
        <f>PL!W$235</f>
        <v>0</v>
      </c>
      <c r="W259" s="707">
        <f>PL!X$235</f>
        <v>0</v>
      </c>
      <c r="X259" s="707">
        <f>PL!Y$235</f>
        <v>0</v>
      </c>
      <c r="Y259" s="707">
        <f>PL!Z$235</f>
        <v>0</v>
      </c>
      <c r="Z259" s="707">
        <f>PL!AA$235</f>
        <v>0</v>
      </c>
      <c r="AA259" s="707">
        <f>PL!AB$235</f>
        <v>0</v>
      </c>
      <c r="AB259" s="707">
        <f>PL!AC$235</f>
        <v>0</v>
      </c>
    </row>
    <row r="260" spans="1:28" s="239" customFormat="1">
      <c r="A260" s="702">
        <v>1</v>
      </c>
      <c r="B260" s="702" t="s">
        <v>630</v>
      </c>
      <c r="C260" s="703" t="s">
        <v>654</v>
      </c>
      <c r="D260" s="702" t="s">
        <v>511</v>
      </c>
      <c r="E260" s="702" t="s">
        <v>9</v>
      </c>
      <c r="G260" s="251"/>
      <c r="H260" s="251"/>
      <c r="I260" s="252"/>
      <c r="J260" s="236" t="s">
        <v>9</v>
      </c>
      <c r="K260" s="705" t="s">
        <v>320</v>
      </c>
      <c r="L260" s="237" t="s">
        <v>3</v>
      </c>
      <c r="M260" s="472" t="s">
        <v>33</v>
      </c>
      <c r="N260" s="238" t="s">
        <v>37</v>
      </c>
      <c r="O260" s="706" t="str">
        <f>PL!$P$4</f>
        <v>BIN</v>
      </c>
      <c r="P260" s="706" t="str">
        <f>PL!$I$6</f>
        <v>K_INR</v>
      </c>
      <c r="Q260" s="707" t="str">
        <f>PL!Q$236</f>
        <v>PL (3) BT Cons. Sales NH Textile Printer</v>
      </c>
      <c r="R260" s="707">
        <f>PL!S$236</f>
        <v>0</v>
      </c>
      <c r="S260" s="707">
        <f>PL!T$236</f>
        <v>0</v>
      </c>
      <c r="T260" s="707">
        <f>PL!U$236</f>
        <v>0</v>
      </c>
      <c r="U260" s="707">
        <f>PL!V$236</f>
        <v>0</v>
      </c>
      <c r="V260" s="707">
        <f>PL!W$236</f>
        <v>0</v>
      </c>
      <c r="W260" s="707">
        <f>PL!X$236</f>
        <v>0</v>
      </c>
      <c r="X260" s="707">
        <f>PL!Y$236</f>
        <v>0</v>
      </c>
      <c r="Y260" s="707">
        <f>PL!Z$236</f>
        <v>0</v>
      </c>
      <c r="Z260" s="707">
        <f>PL!AA$236</f>
        <v>0</v>
      </c>
      <c r="AA260" s="707">
        <f>PL!AB$236</f>
        <v>0</v>
      </c>
      <c r="AB260" s="707">
        <f>PL!AC$236</f>
        <v>0</v>
      </c>
    </row>
    <row r="261" spans="1:28" s="239" customFormat="1">
      <c r="A261" s="702">
        <v>1</v>
      </c>
      <c r="B261" s="702" t="s">
        <v>635</v>
      </c>
      <c r="C261" s="703" t="s">
        <v>429</v>
      </c>
      <c r="D261" s="702" t="s">
        <v>511</v>
      </c>
      <c r="E261" s="702" t="s">
        <v>9</v>
      </c>
      <c r="G261" s="251"/>
      <c r="H261" s="251"/>
      <c r="I261" s="252"/>
      <c r="J261" s="236" t="s">
        <v>9</v>
      </c>
      <c r="K261" s="705" t="s">
        <v>321</v>
      </c>
      <c r="L261" s="237" t="s">
        <v>3</v>
      </c>
      <c r="M261" s="472" t="s">
        <v>33</v>
      </c>
      <c r="N261" s="238" t="s">
        <v>37</v>
      </c>
      <c r="O261" s="706" t="str">
        <f>PL!$P$4</f>
        <v>BIN</v>
      </c>
      <c r="P261" s="706" t="str">
        <f>PL!$I$6</f>
        <v>K_INR</v>
      </c>
      <c r="Q261" s="707" t="str">
        <f>PL!Q$237</f>
        <v>PL (3) BT Cons. Sales NH Others</v>
      </c>
      <c r="R261" s="707">
        <f>PL!S$237</f>
        <v>0</v>
      </c>
      <c r="S261" s="707">
        <f>PL!T$237</f>
        <v>0</v>
      </c>
      <c r="T261" s="707">
        <f>PL!U$237</f>
        <v>0</v>
      </c>
      <c r="U261" s="707">
        <f>PL!V$237</f>
        <v>0</v>
      </c>
      <c r="V261" s="707">
        <f>PL!W$237</f>
        <v>0</v>
      </c>
      <c r="W261" s="707">
        <f>PL!X$237</f>
        <v>0</v>
      </c>
      <c r="X261" s="707">
        <f>PL!Y$237</f>
        <v>0</v>
      </c>
      <c r="Y261" s="707">
        <f>PL!Z$237</f>
        <v>0</v>
      </c>
      <c r="Z261" s="707">
        <f>PL!AA$237</f>
        <v>0</v>
      </c>
      <c r="AA261" s="707">
        <f>PL!AB$237</f>
        <v>0</v>
      </c>
      <c r="AB261" s="707">
        <f>PL!AC$237</f>
        <v>0</v>
      </c>
    </row>
    <row r="262" spans="1:28" s="682" customFormat="1">
      <c r="A262" s="682">
        <v>1</v>
      </c>
      <c r="C262" s="683"/>
      <c r="F262" s="684"/>
      <c r="G262" s="685"/>
      <c r="H262" s="685"/>
      <c r="I262" s="686"/>
      <c r="J262" s="687" t="s">
        <v>31</v>
      </c>
      <c r="K262" s="688" t="s">
        <v>429</v>
      </c>
      <c r="L262" s="689" t="s">
        <v>29</v>
      </c>
      <c r="M262" s="690" t="s">
        <v>4</v>
      </c>
      <c r="N262" s="691" t="s">
        <v>5</v>
      </c>
      <c r="O262" s="692" t="str">
        <f>PL!$P$4</f>
        <v>BIN</v>
      </c>
      <c r="P262" s="692" t="str">
        <f>PL!$I$6</f>
        <v>K_INR</v>
      </c>
      <c r="Q262" s="693">
        <f>SUM(Q263:Q292)</f>
        <v>0</v>
      </c>
      <c r="R262" s="693">
        <f t="shared" ref="R262:AB262" si="21">SUM(R263:R292)</f>
        <v>-2772</v>
      </c>
      <c r="S262" s="693">
        <f t="shared" si="21"/>
        <v>8754</v>
      </c>
      <c r="T262" s="693">
        <f t="shared" si="21"/>
        <v>1694</v>
      </c>
      <c r="U262" s="693">
        <f t="shared" si="21"/>
        <v>3560.1597017955837</v>
      </c>
      <c r="V262" s="693">
        <f t="shared" si="21"/>
        <v>2264.3970114766835</v>
      </c>
      <c r="W262" s="693">
        <f t="shared" si="21"/>
        <v>2885</v>
      </c>
      <c r="X262" s="693">
        <f t="shared" si="21"/>
        <v>2492</v>
      </c>
      <c r="Y262" s="693">
        <f t="shared" si="21"/>
        <v>-8828</v>
      </c>
      <c r="Z262" s="693">
        <f t="shared" si="21"/>
        <v>6520</v>
      </c>
      <c r="AA262" s="693">
        <f t="shared" si="21"/>
        <v>636.03926000000001</v>
      </c>
      <c r="AB262" s="693">
        <f t="shared" si="21"/>
        <v>7486</v>
      </c>
    </row>
    <row r="263" spans="1:28">
      <c r="A263" s="598">
        <v>1</v>
      </c>
      <c r="B263" s="598" t="s">
        <v>512</v>
      </c>
      <c r="C263" s="602" t="s">
        <v>429</v>
      </c>
      <c r="D263" s="598" t="s">
        <v>298</v>
      </c>
      <c r="E263" s="598" t="s">
        <v>45</v>
      </c>
      <c r="G263" s="244"/>
      <c r="H263" s="244"/>
      <c r="I263" s="245"/>
      <c r="J263" s="220" t="s">
        <v>31</v>
      </c>
      <c r="K263" s="233" t="s">
        <v>316</v>
      </c>
      <c r="L263" s="231" t="s">
        <v>29</v>
      </c>
      <c r="M263" s="468" t="s">
        <v>30</v>
      </c>
      <c r="N263" s="232" t="s">
        <v>5</v>
      </c>
      <c r="O263" s="216" t="str">
        <f>PL!$P$4</f>
        <v>BIN</v>
      </c>
      <c r="P263" s="216" t="str">
        <f>PL!$I$6</f>
        <v>K_INR</v>
      </c>
      <c r="Q263" s="222" t="str">
        <f>PL!Q$666</f>
        <v>S/GP (3) Gross Profit Direct HW &amp; Solution KM-1/KM-1e</v>
      </c>
      <c r="R263" s="222">
        <f>PL!S$666</f>
        <v>0</v>
      </c>
      <c r="S263" s="222">
        <f>PL!T$666</f>
        <v>0</v>
      </c>
      <c r="T263" s="222">
        <f>PL!U$666</f>
        <v>0</v>
      </c>
      <c r="U263" s="222">
        <f>PL!V$666</f>
        <v>0</v>
      </c>
      <c r="V263" s="222">
        <f>PL!W$666</f>
        <v>0</v>
      </c>
      <c r="W263" s="222">
        <f>PL!X$666</f>
        <v>0</v>
      </c>
      <c r="X263" s="222">
        <f>PL!Y$666</f>
        <v>0</v>
      </c>
      <c r="Y263" s="222">
        <f>PL!Z$666</f>
        <v>0</v>
      </c>
      <c r="Z263" s="222">
        <f>PL!AA$666</f>
        <v>0</v>
      </c>
      <c r="AA263" s="222">
        <f>PL!AB$666</f>
        <v>0</v>
      </c>
      <c r="AB263" s="222">
        <f>PL!AC$666</f>
        <v>-2368</v>
      </c>
    </row>
    <row r="264" spans="1:28">
      <c r="A264" s="598">
        <v>1</v>
      </c>
      <c r="B264" s="598" t="s">
        <v>635</v>
      </c>
      <c r="C264" s="602" t="s">
        <v>654</v>
      </c>
      <c r="D264" s="598" t="s">
        <v>298</v>
      </c>
      <c r="E264" s="598" t="s">
        <v>45</v>
      </c>
      <c r="G264" s="244"/>
      <c r="H264" s="244"/>
      <c r="I264" s="245"/>
      <c r="J264" s="220" t="s">
        <v>31</v>
      </c>
      <c r="K264" s="233" t="s">
        <v>317</v>
      </c>
      <c r="L264" s="231" t="s">
        <v>29</v>
      </c>
      <c r="M264" s="468" t="s">
        <v>30</v>
      </c>
      <c r="N264" s="232" t="s">
        <v>5</v>
      </c>
      <c r="O264" s="216" t="str">
        <f>PL!$P$4</f>
        <v>BIN</v>
      </c>
      <c r="P264" s="216" t="str">
        <f>PL!$I$6</f>
        <v>K_INR</v>
      </c>
      <c r="Q264" s="222" t="str">
        <f>PL!Q$667</f>
        <v>S/GP (3) Gross Profit Direct HW &amp; Solution Label Printer</v>
      </c>
      <c r="R264" s="222">
        <f>PL!S$667</f>
        <v>0</v>
      </c>
      <c r="S264" s="222">
        <f>PL!T$667</f>
        <v>5473</v>
      </c>
      <c r="T264" s="222">
        <f>PL!U$667</f>
        <v>0</v>
      </c>
      <c r="U264" s="222">
        <f>PL!V$667</f>
        <v>0</v>
      </c>
      <c r="V264" s="222">
        <f>PL!W$667</f>
        <v>0</v>
      </c>
      <c r="W264" s="222">
        <f>PL!X$667</f>
        <v>0</v>
      </c>
      <c r="X264" s="222">
        <f>PL!Y$667</f>
        <v>0</v>
      </c>
      <c r="Y264" s="222">
        <f>PL!Z$667</f>
        <v>-10000</v>
      </c>
      <c r="Z264" s="222">
        <f>PL!AA$667</f>
        <v>5081</v>
      </c>
      <c r="AA264" s="222">
        <f>PL!AB$667</f>
        <v>0</v>
      </c>
      <c r="AB264" s="222">
        <f>PL!AC$667</f>
        <v>14670</v>
      </c>
    </row>
    <row r="265" spans="1:28">
      <c r="A265" s="598">
        <v>1</v>
      </c>
      <c r="B265" s="598" t="s">
        <v>512</v>
      </c>
      <c r="C265" s="602" t="s">
        <v>654</v>
      </c>
      <c r="D265" s="598" t="s">
        <v>631</v>
      </c>
      <c r="E265" s="598" t="s">
        <v>45</v>
      </c>
      <c r="G265" s="244"/>
      <c r="H265" s="244"/>
      <c r="I265" s="245"/>
      <c r="J265" s="220" t="s">
        <v>31</v>
      </c>
      <c r="K265" s="233" t="s">
        <v>318</v>
      </c>
      <c r="L265" s="231" t="s">
        <v>29</v>
      </c>
      <c r="M265" s="468" t="s">
        <v>30</v>
      </c>
      <c r="N265" s="232" t="s">
        <v>5</v>
      </c>
      <c r="O265" s="216" t="str">
        <f>PL!$P$4</f>
        <v>BIN</v>
      </c>
      <c r="P265" s="216" t="str">
        <f>PL!$I$6</f>
        <v>K_INR</v>
      </c>
      <c r="Q265" s="222" t="str">
        <f>PL!Q$668</f>
        <v>S/GP (3) Gross Profit Direct HW &amp; Solution MGI</v>
      </c>
      <c r="R265" s="222">
        <f>PL!S$668</f>
        <v>-5163</v>
      </c>
      <c r="S265" s="222">
        <f>PL!T$668</f>
        <v>2338</v>
      </c>
      <c r="T265" s="222">
        <f>PL!U$668</f>
        <v>208</v>
      </c>
      <c r="U265" s="222">
        <f>PL!V$668</f>
        <v>1519.330102126642</v>
      </c>
      <c r="V265" s="222">
        <f>PL!W$668</f>
        <v>1637</v>
      </c>
      <c r="W265" s="222">
        <f>PL!X$668</f>
        <v>152</v>
      </c>
      <c r="X265" s="222">
        <f>PL!Y$668</f>
        <v>1090</v>
      </c>
      <c r="Y265" s="222">
        <f>PL!Z$668</f>
        <v>-398</v>
      </c>
      <c r="Z265" s="222">
        <f>PL!AA$668</f>
        <v>755</v>
      </c>
      <c r="AA265" s="222">
        <f>PL!AB$668</f>
        <v>-208</v>
      </c>
      <c r="AB265" s="222">
        <f>PL!AC$668</f>
        <v>4082</v>
      </c>
    </row>
    <row r="266" spans="1:28">
      <c r="A266" s="598">
        <v>1</v>
      </c>
      <c r="B266" s="598" t="s">
        <v>512</v>
      </c>
      <c r="C266" s="602" t="s">
        <v>429</v>
      </c>
      <c r="D266" s="598" t="s">
        <v>631</v>
      </c>
      <c r="E266" s="598" t="s">
        <v>45</v>
      </c>
      <c r="G266" s="244"/>
      <c r="H266" s="244"/>
      <c r="I266" s="245"/>
      <c r="J266" s="220" t="s">
        <v>31</v>
      </c>
      <c r="K266" s="233" t="s">
        <v>319</v>
      </c>
      <c r="L266" s="231" t="s">
        <v>29</v>
      </c>
      <c r="M266" s="468" t="s">
        <v>30</v>
      </c>
      <c r="N266" s="232" t="s">
        <v>5</v>
      </c>
      <c r="O266" s="216" t="str">
        <f>PL!$P$4</f>
        <v>BIN</v>
      </c>
      <c r="P266" s="216" t="str">
        <f>PL!$I$6</f>
        <v>K_INR</v>
      </c>
      <c r="Q266" s="222" t="str">
        <f>PL!Q$669</f>
        <v>S/GP (3) Gross Profit Direct HW &amp; Solution EFI/LF</v>
      </c>
      <c r="R266" s="222">
        <f>PL!S$669</f>
        <v>0</v>
      </c>
      <c r="S266" s="222">
        <f>PL!T$669</f>
        <v>0</v>
      </c>
      <c r="T266" s="222">
        <f>PL!U$669</f>
        <v>0</v>
      </c>
      <c r="U266" s="222">
        <f>PL!V$669</f>
        <v>0</v>
      </c>
      <c r="V266" s="222">
        <f>PL!W$669</f>
        <v>0</v>
      </c>
      <c r="W266" s="222">
        <f>PL!X$669</f>
        <v>0</v>
      </c>
      <c r="X266" s="222">
        <f>PL!Y$669</f>
        <v>0</v>
      </c>
      <c r="Y266" s="222">
        <f>PL!Z$669</f>
        <v>0</v>
      </c>
      <c r="Z266" s="222">
        <f>PL!AA$669</f>
        <v>0</v>
      </c>
      <c r="AA266" s="222">
        <f>PL!AB$669</f>
        <v>0</v>
      </c>
      <c r="AB266" s="222">
        <f>PL!AC$669</f>
        <v>0</v>
      </c>
    </row>
    <row r="267" spans="1:28">
      <c r="A267" s="598">
        <v>1</v>
      </c>
      <c r="B267" s="598" t="s">
        <v>630</v>
      </c>
      <c r="C267" s="602" t="s">
        <v>654</v>
      </c>
      <c r="D267" s="598" t="s">
        <v>298</v>
      </c>
      <c r="E267" s="598" t="s">
        <v>45</v>
      </c>
      <c r="G267" s="244"/>
      <c r="H267" s="244"/>
      <c r="I267" s="245"/>
      <c r="J267" s="220" t="s">
        <v>31</v>
      </c>
      <c r="K267" s="233" t="s">
        <v>320</v>
      </c>
      <c r="L267" s="231" t="s">
        <v>29</v>
      </c>
      <c r="M267" s="468" t="s">
        <v>30</v>
      </c>
      <c r="N267" s="232" t="s">
        <v>5</v>
      </c>
      <c r="O267" s="216" t="str">
        <f>PL!$P$4</f>
        <v>BIN</v>
      </c>
      <c r="P267" s="216" t="str">
        <f>PL!$I$6</f>
        <v>K_INR</v>
      </c>
      <c r="Q267" s="222" t="str">
        <f>PL!Q$670</f>
        <v>S/GP (3) Gross Profit Direct HW &amp; Solution Textile Printer</v>
      </c>
      <c r="R267" s="222">
        <f>PL!S$670</f>
        <v>0</v>
      </c>
      <c r="S267" s="222">
        <f>PL!T$670</f>
        <v>0</v>
      </c>
      <c r="T267" s="222">
        <f>PL!U$670</f>
        <v>0</v>
      </c>
      <c r="U267" s="222">
        <f>PL!V$670</f>
        <v>0</v>
      </c>
      <c r="V267" s="222">
        <f>PL!W$670</f>
        <v>0</v>
      </c>
      <c r="W267" s="222">
        <f>PL!X$670</f>
        <v>0</v>
      </c>
      <c r="X267" s="222">
        <f>PL!Y$670</f>
        <v>0</v>
      </c>
      <c r="Y267" s="222">
        <f>PL!Z$670</f>
        <v>0</v>
      </c>
      <c r="Z267" s="222">
        <f>PL!AA$670</f>
        <v>0</v>
      </c>
      <c r="AA267" s="222">
        <f>PL!AB$670</f>
        <v>0</v>
      </c>
      <c r="AB267" s="222">
        <f>PL!AC$670</f>
        <v>0</v>
      </c>
    </row>
    <row r="268" spans="1:28">
      <c r="A268" s="598">
        <v>1</v>
      </c>
      <c r="B268" s="598" t="s">
        <v>630</v>
      </c>
      <c r="C268" s="602" t="s">
        <v>429</v>
      </c>
      <c r="D268" s="598" t="s">
        <v>298</v>
      </c>
      <c r="E268" s="598" t="s">
        <v>45</v>
      </c>
      <c r="G268" s="244"/>
      <c r="H268" s="244"/>
      <c r="I268" s="245"/>
      <c r="J268" s="220" t="s">
        <v>31</v>
      </c>
      <c r="K268" s="233" t="s">
        <v>321</v>
      </c>
      <c r="L268" s="231" t="s">
        <v>29</v>
      </c>
      <c r="M268" s="468" t="s">
        <v>30</v>
      </c>
      <c r="N268" s="232" t="s">
        <v>5</v>
      </c>
      <c r="O268" s="216" t="str">
        <f>PL!$P$4</f>
        <v>BIN</v>
      </c>
      <c r="P268" s="216" t="str">
        <f>PL!$I$6</f>
        <v>K_INR</v>
      </c>
      <c r="Q268" s="222" t="str">
        <f>PL!Q$671</f>
        <v>S/GP (3) Gross Profit Direct HW &amp; Solution Others</v>
      </c>
      <c r="R268" s="222">
        <f>PL!S$671</f>
        <v>0</v>
      </c>
      <c r="S268" s="222">
        <f>PL!T$671</f>
        <v>0</v>
      </c>
      <c r="T268" s="222">
        <f>PL!U$671</f>
        <v>0</v>
      </c>
      <c r="U268" s="222">
        <f>PL!V$671</f>
        <v>0</v>
      </c>
      <c r="V268" s="222">
        <f>PL!W$671</f>
        <v>0</v>
      </c>
      <c r="W268" s="222">
        <f>PL!X$671</f>
        <v>0</v>
      </c>
      <c r="X268" s="222">
        <f>PL!Y$671</f>
        <v>0</v>
      </c>
      <c r="Y268" s="222">
        <f>PL!Z$671</f>
        <v>0</v>
      </c>
      <c r="Z268" s="222">
        <f>PL!AA$671</f>
        <v>0</v>
      </c>
      <c r="AA268" s="222">
        <f>PL!AB$671</f>
        <v>0</v>
      </c>
      <c r="AB268" s="222">
        <f>PL!AC$671</f>
        <v>0</v>
      </c>
    </row>
    <row r="269" spans="1:28">
      <c r="A269" s="598">
        <v>1</v>
      </c>
      <c r="B269" s="598" t="s">
        <v>512</v>
      </c>
      <c r="C269" s="602" t="s">
        <v>429</v>
      </c>
      <c r="D269" s="598" t="s">
        <v>633</v>
      </c>
      <c r="E269" s="598" t="s">
        <v>45</v>
      </c>
      <c r="G269" s="244"/>
      <c r="H269" s="244"/>
      <c r="I269" s="245"/>
      <c r="J269" s="220" t="s">
        <v>31</v>
      </c>
      <c r="K269" s="233" t="s">
        <v>316</v>
      </c>
      <c r="L269" s="231" t="s">
        <v>29</v>
      </c>
      <c r="M269" s="468" t="s">
        <v>33</v>
      </c>
      <c r="N269" s="232" t="s">
        <v>5</v>
      </c>
      <c r="O269" s="216" t="str">
        <f>PL!$P$4</f>
        <v>BIN</v>
      </c>
      <c r="P269" s="216" t="str">
        <f>PL!$I$6</f>
        <v>K_INR</v>
      </c>
      <c r="Q269" s="222" t="str">
        <f>PL!Q$674</f>
        <v>S/GP (3) Gross Profit Direct NH KM-1/KM-1e KM-1/KM-1e</v>
      </c>
      <c r="R269" s="222">
        <f>PL!S$674</f>
        <v>35</v>
      </c>
      <c r="S269" s="222">
        <f>PL!T$674</f>
        <v>126</v>
      </c>
      <c r="T269" s="222">
        <f>PL!U$674</f>
        <v>-77</v>
      </c>
      <c r="U269" s="222">
        <f>PL!V$674</f>
        <v>51.853029999999997</v>
      </c>
      <c r="V269" s="222">
        <f>PL!W$674</f>
        <v>-848</v>
      </c>
      <c r="W269" s="222">
        <f>PL!X$674</f>
        <v>850</v>
      </c>
      <c r="X269" s="222">
        <f>PL!Y$674</f>
        <v>53</v>
      </c>
      <c r="Y269" s="222">
        <f>PL!Z$674</f>
        <v>28</v>
      </c>
      <c r="Z269" s="222">
        <f>PL!AA$674</f>
        <v>-1431</v>
      </c>
      <c r="AA269" s="222">
        <f>PL!AB$674</f>
        <v>1117.03926</v>
      </c>
      <c r="AB269" s="222">
        <f>PL!AC$674</f>
        <v>-975</v>
      </c>
    </row>
    <row r="270" spans="1:28" s="475" customFormat="1">
      <c r="A270" s="598">
        <v>1</v>
      </c>
      <c r="B270" s="598" t="s">
        <v>630</v>
      </c>
      <c r="C270" s="602" t="s">
        <v>429</v>
      </c>
      <c r="D270" s="598" t="s">
        <v>511</v>
      </c>
      <c r="E270" s="598" t="s">
        <v>45</v>
      </c>
      <c r="G270" s="476"/>
      <c r="H270" s="476"/>
      <c r="I270" s="477"/>
      <c r="J270" s="474" t="s">
        <v>423</v>
      </c>
      <c r="K270" s="478" t="s">
        <v>316</v>
      </c>
      <c r="L270" s="479" t="s">
        <v>29</v>
      </c>
      <c r="M270" s="480" t="s">
        <v>33</v>
      </c>
      <c r="N270" s="481" t="s">
        <v>5</v>
      </c>
      <c r="O270" s="482" t="str">
        <f>PL!$P$4</f>
        <v>BIN</v>
      </c>
      <c r="P270" s="482" t="str">
        <f>PL!$I$6</f>
        <v>K_INR</v>
      </c>
      <c r="Q270" s="483" t="str">
        <f>PL!Q$676</f>
        <v>S/GP (3) Gross Profit Direct NH KM-1/KM-1e FSC (-) PC</v>
      </c>
      <c r="R270" s="483">
        <f>PL!S$676</f>
        <v>-158</v>
      </c>
      <c r="S270" s="483">
        <f>PL!T$676</f>
        <v>-214</v>
      </c>
      <c r="T270" s="483">
        <f>PL!U$676</f>
        <v>-213</v>
      </c>
      <c r="U270" s="483">
        <f>PL!V$676</f>
        <v>-130.67292147115094</v>
      </c>
      <c r="V270" s="483">
        <f>PL!W$676</f>
        <v>-166</v>
      </c>
      <c r="W270" s="483">
        <f>PL!X$676</f>
        <v>-163</v>
      </c>
      <c r="X270" s="483">
        <f>PL!Y$676</f>
        <v>-159</v>
      </c>
      <c r="Y270" s="483">
        <f>PL!Z$676</f>
        <v>-206</v>
      </c>
      <c r="Z270" s="483">
        <f>PL!AA$676</f>
        <v>-159</v>
      </c>
      <c r="AA270" s="483">
        <f>PL!AB$676</f>
        <v>-159</v>
      </c>
      <c r="AB270" s="483">
        <f>PL!AC$676</f>
        <v>-121</v>
      </c>
    </row>
    <row r="271" spans="1:28" s="475" customFormat="1">
      <c r="A271" s="598">
        <v>1</v>
      </c>
      <c r="B271" s="598" t="s">
        <v>630</v>
      </c>
      <c r="C271" s="602" t="s">
        <v>429</v>
      </c>
      <c r="D271" s="598" t="s">
        <v>634</v>
      </c>
      <c r="E271" s="598" t="s">
        <v>45</v>
      </c>
      <c r="G271" s="476"/>
      <c r="H271" s="476"/>
      <c r="I271" s="477"/>
      <c r="J271" s="474" t="s">
        <v>424</v>
      </c>
      <c r="K271" s="478" t="s">
        <v>316</v>
      </c>
      <c r="L271" s="479" t="s">
        <v>29</v>
      </c>
      <c r="M271" s="480" t="s">
        <v>33</v>
      </c>
      <c r="N271" s="481" t="s">
        <v>5</v>
      </c>
      <c r="O271" s="482" t="str">
        <f>PL!$P$4</f>
        <v>BIN</v>
      </c>
      <c r="P271" s="482" t="str">
        <f>PL!$I$6</f>
        <v>K_INR</v>
      </c>
      <c r="Q271" s="483" t="str">
        <f>PL!Q$677</f>
        <v>S/GP (3) Gross Profit Direct NH KM-1/KM-1e FSC (-) TE</v>
      </c>
      <c r="R271" s="483">
        <f>PL!S$677</f>
        <v>-18</v>
      </c>
      <c r="S271" s="483">
        <f>PL!T$677</f>
        <v>-19</v>
      </c>
      <c r="T271" s="483">
        <f>PL!U$677</f>
        <v>-19</v>
      </c>
      <c r="U271" s="483">
        <f>PL!V$677</f>
        <v>-25</v>
      </c>
      <c r="V271" s="483">
        <f>PL!W$677</f>
        <v>-10</v>
      </c>
      <c r="W271" s="483">
        <f>PL!X$677</f>
        <v>-27</v>
      </c>
      <c r="X271" s="483">
        <f>PL!Y$677</f>
        <v>-18</v>
      </c>
      <c r="Y271" s="483">
        <f>PL!Z$677</f>
        <v>-18</v>
      </c>
      <c r="Z271" s="483">
        <f>PL!AA$677</f>
        <v>-25</v>
      </c>
      <c r="AA271" s="483">
        <f>PL!AB$677</f>
        <v>-17</v>
      </c>
      <c r="AB271" s="483">
        <f>PL!AC$677</f>
        <v>-18</v>
      </c>
    </row>
    <row r="272" spans="1:28" s="475" customFormat="1">
      <c r="A272" s="598">
        <v>1</v>
      </c>
      <c r="B272" s="598" t="s">
        <v>630</v>
      </c>
      <c r="C272" s="602" t="s">
        <v>657</v>
      </c>
      <c r="D272" s="598" t="s">
        <v>634</v>
      </c>
      <c r="E272" s="598" t="s">
        <v>45</v>
      </c>
      <c r="G272" s="476"/>
      <c r="H272" s="476"/>
      <c r="I272" s="477"/>
      <c r="J272" s="474" t="s">
        <v>426</v>
      </c>
      <c r="K272" s="478" t="s">
        <v>316</v>
      </c>
      <c r="L272" s="479" t="s">
        <v>29</v>
      </c>
      <c r="M272" s="480" t="s">
        <v>33</v>
      </c>
      <c r="N272" s="481" t="s">
        <v>5</v>
      </c>
      <c r="O272" s="482" t="str">
        <f>PL!$P$4</f>
        <v>BIN</v>
      </c>
      <c r="P272" s="482" t="str">
        <f>PL!$I$6</f>
        <v>K_INR</v>
      </c>
      <c r="Q272" s="483" t="str">
        <f>PL!Q$678</f>
        <v>S/GP (3) Gross Profit Direct NH KM-1/KM-1e FSC (-) OFC</v>
      </c>
      <c r="R272" s="483">
        <f>PL!S$678</f>
        <v>0</v>
      </c>
      <c r="S272" s="483">
        <f>PL!T$678</f>
        <v>0</v>
      </c>
      <c r="T272" s="483">
        <f>PL!U$678</f>
        <v>0</v>
      </c>
      <c r="U272" s="483">
        <f>PL!V$678</f>
        <v>0</v>
      </c>
      <c r="V272" s="483">
        <f>PL!W$678</f>
        <v>0</v>
      </c>
      <c r="W272" s="483">
        <f>PL!X$678</f>
        <v>0</v>
      </c>
      <c r="X272" s="483">
        <f>PL!Y$678</f>
        <v>0</v>
      </c>
      <c r="Y272" s="483">
        <f>PL!Z$678</f>
        <v>0</v>
      </c>
      <c r="Z272" s="483">
        <f>PL!AA$678</f>
        <v>0</v>
      </c>
      <c r="AA272" s="483">
        <f>PL!AB$678</f>
        <v>0</v>
      </c>
      <c r="AB272" s="483">
        <f>PL!AC$678</f>
        <v>0</v>
      </c>
    </row>
    <row r="273" spans="1:28">
      <c r="A273" s="598">
        <v>1</v>
      </c>
      <c r="B273" s="598" t="s">
        <v>630</v>
      </c>
      <c r="C273" s="602" t="s">
        <v>654</v>
      </c>
      <c r="D273" s="598" t="s">
        <v>511</v>
      </c>
      <c r="E273" s="598" t="s">
        <v>45</v>
      </c>
      <c r="G273" s="244"/>
      <c r="H273" s="244"/>
      <c r="I273" s="245"/>
      <c r="J273" s="220" t="s">
        <v>31</v>
      </c>
      <c r="K273" s="233" t="s">
        <v>317</v>
      </c>
      <c r="L273" s="231" t="s">
        <v>29</v>
      </c>
      <c r="M273" s="468" t="s">
        <v>33</v>
      </c>
      <c r="N273" s="232" t="s">
        <v>5</v>
      </c>
      <c r="O273" s="216" t="str">
        <f>PL!$P$4</f>
        <v>BIN</v>
      </c>
      <c r="P273" s="216" t="str">
        <f>PL!$I$6</f>
        <v>K_INR</v>
      </c>
      <c r="Q273" s="222" t="str">
        <f>PL!Q$680</f>
        <v>S/GP (3) Gross Profit Direct NH Label Printer Label Printer</v>
      </c>
      <c r="R273" s="222">
        <f>PL!S$680</f>
        <v>2010</v>
      </c>
      <c r="S273" s="222">
        <f>PL!T$680</f>
        <v>1729</v>
      </c>
      <c r="T273" s="222">
        <f>PL!U$680</f>
        <v>1651</v>
      </c>
      <c r="U273" s="222">
        <f>PL!V$680</f>
        <v>1986.4525000000001</v>
      </c>
      <c r="V273" s="222">
        <f>PL!W$680</f>
        <v>1204</v>
      </c>
      <c r="W273" s="222">
        <f>PL!X$680</f>
        <v>2130</v>
      </c>
      <c r="X273" s="222">
        <f>PL!Y$680</f>
        <v>1695</v>
      </c>
      <c r="Y273" s="222">
        <f>PL!Z$680</f>
        <v>2139</v>
      </c>
      <c r="Z273" s="222">
        <f>PL!AA$680</f>
        <v>3028</v>
      </c>
      <c r="AA273" s="222">
        <f>PL!AB$680</f>
        <v>576</v>
      </c>
      <c r="AB273" s="222">
        <f>PL!AC$680</f>
        <v>3027</v>
      </c>
    </row>
    <row r="274" spans="1:28" s="475" customFormat="1">
      <c r="A274" s="598">
        <v>1</v>
      </c>
      <c r="B274" s="598" t="s">
        <v>630</v>
      </c>
      <c r="C274" s="602" t="s">
        <v>429</v>
      </c>
      <c r="D274" s="598" t="s">
        <v>634</v>
      </c>
      <c r="E274" s="598" t="s">
        <v>45</v>
      </c>
      <c r="G274" s="476"/>
      <c r="H274" s="476"/>
      <c r="I274" s="477"/>
      <c r="J274" s="474" t="s">
        <v>423</v>
      </c>
      <c r="K274" s="478" t="s">
        <v>317</v>
      </c>
      <c r="L274" s="479" t="s">
        <v>29</v>
      </c>
      <c r="M274" s="480" t="s">
        <v>33</v>
      </c>
      <c r="N274" s="481" t="s">
        <v>5</v>
      </c>
      <c r="O274" s="482" t="str">
        <f>PL!$P$4</f>
        <v>BIN</v>
      </c>
      <c r="P274" s="482" t="str">
        <f>PL!$I$6</f>
        <v>K_INR</v>
      </c>
      <c r="Q274" s="483" t="str">
        <f>PL!Q$682</f>
        <v>S/GP (3) Gross Profit Direct NH Label Printer FSC (-) PC</v>
      </c>
      <c r="R274" s="483">
        <f>PL!S$682</f>
        <v>-54</v>
      </c>
      <c r="S274" s="483">
        <f>PL!T$682</f>
        <v>-54</v>
      </c>
      <c r="T274" s="483">
        <f>PL!U$682</f>
        <v>-61</v>
      </c>
      <c r="U274" s="483">
        <f>PL!V$682</f>
        <v>-55.602988523316242</v>
      </c>
      <c r="V274" s="483">
        <f>PL!W$682</f>
        <v>-55.602988523316242</v>
      </c>
      <c r="W274" s="483">
        <f>PL!X$682</f>
        <v>-54</v>
      </c>
      <c r="X274" s="483">
        <f>PL!Y$682</f>
        <v>-54</v>
      </c>
      <c r="Y274" s="483">
        <f>PL!Z$682</f>
        <v>-53</v>
      </c>
      <c r="Z274" s="483">
        <f>PL!AA$682</f>
        <v>-53</v>
      </c>
      <c r="AA274" s="483">
        <f>PL!AB$682</f>
        <v>-53</v>
      </c>
      <c r="AB274" s="483">
        <f>PL!AC$682</f>
        <v>-40</v>
      </c>
    </row>
    <row r="275" spans="1:28" s="475" customFormat="1">
      <c r="A275" s="598">
        <v>1</v>
      </c>
      <c r="B275" s="598" t="s">
        <v>512</v>
      </c>
      <c r="C275" s="602" t="s">
        <v>654</v>
      </c>
      <c r="D275" s="598" t="s">
        <v>641</v>
      </c>
      <c r="E275" s="598" t="s">
        <v>45</v>
      </c>
      <c r="G275" s="476"/>
      <c r="H275" s="476"/>
      <c r="I275" s="477"/>
      <c r="J275" s="474" t="s">
        <v>424</v>
      </c>
      <c r="K275" s="478" t="s">
        <v>317</v>
      </c>
      <c r="L275" s="479" t="s">
        <v>29</v>
      </c>
      <c r="M275" s="480" t="s">
        <v>33</v>
      </c>
      <c r="N275" s="481" t="s">
        <v>5</v>
      </c>
      <c r="O275" s="482" t="str">
        <f>PL!$P$4</f>
        <v>BIN</v>
      </c>
      <c r="P275" s="482" t="str">
        <f>PL!$I$6</f>
        <v>K_INR</v>
      </c>
      <c r="Q275" s="483" t="str">
        <f>PL!Q$683</f>
        <v>S/GP (3) Gross Profit Direct NH Label Printer FSC (-) TE</v>
      </c>
      <c r="R275" s="483">
        <f>PL!S$683</f>
        <v>-2</v>
      </c>
      <c r="S275" s="483">
        <f>PL!T$683</f>
        <v>-14</v>
      </c>
      <c r="T275" s="483">
        <f>PL!U$683</f>
        <v>-17</v>
      </c>
      <c r="U275" s="483">
        <f>PL!V$683</f>
        <v>-26</v>
      </c>
      <c r="V275" s="483">
        <f>PL!W$683</f>
        <v>-17</v>
      </c>
      <c r="W275" s="483">
        <f>PL!X$683</f>
        <v>-29</v>
      </c>
      <c r="X275" s="483">
        <f>PL!Y$683</f>
        <v>0</v>
      </c>
      <c r="Y275" s="483">
        <f>PL!Z$683</f>
        <v>-30</v>
      </c>
      <c r="Z275" s="483">
        <f>PL!AA$683</f>
        <v>0</v>
      </c>
      <c r="AA275" s="483">
        <f>PL!AB$683</f>
        <v>0</v>
      </c>
      <c r="AB275" s="483">
        <f>PL!AC$683</f>
        <v>-53</v>
      </c>
    </row>
    <row r="276" spans="1:28" s="475" customFormat="1">
      <c r="A276" s="598">
        <v>1</v>
      </c>
      <c r="B276" s="598" t="s">
        <v>630</v>
      </c>
      <c r="C276" s="602" t="s">
        <v>429</v>
      </c>
      <c r="D276" s="598" t="s">
        <v>511</v>
      </c>
      <c r="E276" s="598" t="s">
        <v>45</v>
      </c>
      <c r="G276" s="476"/>
      <c r="H276" s="476"/>
      <c r="I276" s="477"/>
      <c r="J276" s="474" t="s">
        <v>426</v>
      </c>
      <c r="K276" s="478" t="s">
        <v>317</v>
      </c>
      <c r="L276" s="479" t="s">
        <v>29</v>
      </c>
      <c r="M276" s="480" t="s">
        <v>33</v>
      </c>
      <c r="N276" s="481" t="s">
        <v>5</v>
      </c>
      <c r="O276" s="482" t="str">
        <f>PL!$P$4</f>
        <v>BIN</v>
      </c>
      <c r="P276" s="482" t="str">
        <f>PL!$I$6</f>
        <v>K_INR</v>
      </c>
      <c r="Q276" s="483" t="str">
        <f>PL!Q$684</f>
        <v>S/GP (3) Gross Profit Direct NH Label Printer FSC (-) OFC</v>
      </c>
      <c r="R276" s="483">
        <f>PL!S$684</f>
        <v>0</v>
      </c>
      <c r="S276" s="483">
        <f>PL!T$684</f>
        <v>0</v>
      </c>
      <c r="T276" s="483">
        <f>PL!U$684</f>
        <v>0</v>
      </c>
      <c r="U276" s="483">
        <f>PL!V$684</f>
        <v>0</v>
      </c>
      <c r="V276" s="483">
        <f>PL!W$684</f>
        <v>0</v>
      </c>
      <c r="W276" s="483">
        <f>PL!X$684</f>
        <v>0</v>
      </c>
      <c r="X276" s="483">
        <f>PL!Y$684</f>
        <v>0</v>
      </c>
      <c r="Y276" s="483">
        <f>PL!Z$684</f>
        <v>0</v>
      </c>
      <c r="Z276" s="483">
        <f>PL!AA$684</f>
        <v>0</v>
      </c>
      <c r="AA276" s="483">
        <f>PL!AB$684</f>
        <v>0</v>
      </c>
      <c r="AB276" s="483">
        <f>PL!AC$684</f>
        <v>0</v>
      </c>
    </row>
    <row r="277" spans="1:28">
      <c r="A277" s="598">
        <v>1</v>
      </c>
      <c r="B277" s="598" t="s">
        <v>512</v>
      </c>
      <c r="C277" s="602" t="s">
        <v>658</v>
      </c>
      <c r="D277" s="598" t="s">
        <v>634</v>
      </c>
      <c r="E277" s="598" t="s">
        <v>45</v>
      </c>
      <c r="G277" s="244"/>
      <c r="H277" s="244"/>
      <c r="I277" s="245"/>
      <c r="J277" s="220" t="s">
        <v>31</v>
      </c>
      <c r="K277" s="233" t="s">
        <v>318</v>
      </c>
      <c r="L277" s="231" t="s">
        <v>29</v>
      </c>
      <c r="M277" s="468" t="s">
        <v>33</v>
      </c>
      <c r="N277" s="232" t="s">
        <v>5</v>
      </c>
      <c r="O277" s="216" t="str">
        <f>PL!$P$4</f>
        <v>BIN</v>
      </c>
      <c r="P277" s="216" t="str">
        <f>PL!$I$6</f>
        <v>K_INR</v>
      </c>
      <c r="Q277" s="222" t="str">
        <f>PL!Q$686</f>
        <v>S/GP (3) Gross Profit Direct NH MGI MGI</v>
      </c>
      <c r="R277" s="222">
        <f>PL!S$686</f>
        <v>1407</v>
      </c>
      <c r="S277" s="222">
        <f>PL!T$686</f>
        <v>197</v>
      </c>
      <c r="T277" s="222">
        <f>PL!U$686</f>
        <v>1039</v>
      </c>
      <c r="U277" s="222">
        <f>PL!V$686</f>
        <v>1009.7617950258523</v>
      </c>
      <c r="V277" s="222">
        <f>PL!W$686</f>
        <v>1292</v>
      </c>
      <c r="W277" s="222">
        <f>PL!X$686</f>
        <v>806</v>
      </c>
      <c r="X277" s="222">
        <f>PL!Y$686</f>
        <v>594</v>
      </c>
      <c r="Y277" s="222">
        <f>PL!Z$686</f>
        <v>508</v>
      </c>
      <c r="Z277" s="222">
        <f>PL!AA$686</f>
        <v>76</v>
      </c>
      <c r="AA277" s="222">
        <f>PL!AB$686</f>
        <v>106</v>
      </c>
      <c r="AB277" s="222">
        <f>PL!AC$686</f>
        <v>-9956</v>
      </c>
    </row>
    <row r="278" spans="1:28" s="475" customFormat="1">
      <c r="A278" s="598">
        <v>1</v>
      </c>
      <c r="B278" s="598" t="s">
        <v>512</v>
      </c>
      <c r="C278" s="602" t="s">
        <v>429</v>
      </c>
      <c r="D278" s="598" t="s">
        <v>511</v>
      </c>
      <c r="E278" s="598" t="s">
        <v>45</v>
      </c>
      <c r="G278" s="476"/>
      <c r="H278" s="476"/>
      <c r="I278" s="477"/>
      <c r="J278" s="474" t="s">
        <v>423</v>
      </c>
      <c r="K278" s="478" t="s">
        <v>318</v>
      </c>
      <c r="L278" s="479" t="s">
        <v>29</v>
      </c>
      <c r="M278" s="480" t="s">
        <v>33</v>
      </c>
      <c r="N278" s="481" t="s">
        <v>5</v>
      </c>
      <c r="O278" s="482" t="str">
        <f>PL!$P$4</f>
        <v>BIN</v>
      </c>
      <c r="P278" s="482" t="str">
        <f>PL!$I$6</f>
        <v>K_INR</v>
      </c>
      <c r="Q278" s="483" t="str">
        <f>PL!Q$688</f>
        <v>S/GP (3) Gross Profit Direct NH MGI FSC (-) PC</v>
      </c>
      <c r="R278" s="483">
        <f>PL!S$688</f>
        <v>-786</v>
      </c>
      <c r="S278" s="483">
        <f>PL!T$688</f>
        <v>-713</v>
      </c>
      <c r="T278" s="483">
        <f>PL!U$688</f>
        <v>-710</v>
      </c>
      <c r="U278" s="483">
        <f>PL!V$688</f>
        <v>-692.32981536244404</v>
      </c>
      <c r="V278" s="483">
        <f>PL!W$688</f>
        <v>-695</v>
      </c>
      <c r="W278" s="483">
        <f>PL!X$688</f>
        <v>-646</v>
      </c>
      <c r="X278" s="483">
        <f>PL!Y$688</f>
        <v>-675</v>
      </c>
      <c r="Y278" s="483">
        <f>PL!Z$688</f>
        <v>-716</v>
      </c>
      <c r="Z278" s="483">
        <f>PL!AA$688</f>
        <v>-665</v>
      </c>
      <c r="AA278" s="483">
        <f>PL!AB$688</f>
        <v>-660</v>
      </c>
      <c r="AB278" s="483">
        <f>PL!AC$688</f>
        <v>-537</v>
      </c>
    </row>
    <row r="279" spans="1:28" s="475" customFormat="1">
      <c r="A279" s="598">
        <v>1</v>
      </c>
      <c r="B279" s="598" t="s">
        <v>512</v>
      </c>
      <c r="C279" s="602" t="s">
        <v>657</v>
      </c>
      <c r="D279" s="598" t="s">
        <v>634</v>
      </c>
      <c r="E279" s="598" t="s">
        <v>45</v>
      </c>
      <c r="G279" s="476"/>
      <c r="H279" s="476"/>
      <c r="I279" s="477"/>
      <c r="J279" s="474" t="s">
        <v>424</v>
      </c>
      <c r="K279" s="478" t="s">
        <v>318</v>
      </c>
      <c r="L279" s="479" t="s">
        <v>29</v>
      </c>
      <c r="M279" s="480" t="s">
        <v>33</v>
      </c>
      <c r="N279" s="481" t="s">
        <v>5</v>
      </c>
      <c r="O279" s="482" t="str">
        <f>PL!$P$4</f>
        <v>BIN</v>
      </c>
      <c r="P279" s="482" t="str">
        <f>PL!$I$6</f>
        <v>K_INR</v>
      </c>
      <c r="Q279" s="483" t="str">
        <f>PL!Q$689</f>
        <v>S/GP (3) Gross Profit Direct NH MGI FSC (-) TE</v>
      </c>
      <c r="R279" s="483">
        <f>PL!S$689</f>
        <v>-43</v>
      </c>
      <c r="S279" s="483">
        <f>PL!T$689</f>
        <v>-95</v>
      </c>
      <c r="T279" s="483">
        <f>PL!U$689</f>
        <v>-107</v>
      </c>
      <c r="U279" s="483">
        <f>PL!V$689</f>
        <v>-77.632000000000005</v>
      </c>
      <c r="V279" s="483">
        <f>PL!W$689</f>
        <v>-77</v>
      </c>
      <c r="W279" s="483">
        <f>PL!X$689</f>
        <v>-134</v>
      </c>
      <c r="X279" s="483">
        <f>PL!Y$689</f>
        <v>-34</v>
      </c>
      <c r="Y279" s="483">
        <f>PL!Z$689</f>
        <v>-82</v>
      </c>
      <c r="Z279" s="483">
        <f>PL!AA$689</f>
        <v>-87</v>
      </c>
      <c r="AA279" s="483">
        <f>PL!AB$689</f>
        <v>-66</v>
      </c>
      <c r="AB279" s="483">
        <f>PL!AC$689</f>
        <v>-225</v>
      </c>
    </row>
    <row r="280" spans="1:28" s="475" customFormat="1">
      <c r="A280" s="598">
        <v>1</v>
      </c>
      <c r="B280" s="598" t="s">
        <v>512</v>
      </c>
      <c r="C280" s="602" t="s">
        <v>429</v>
      </c>
      <c r="D280" s="598" t="s">
        <v>634</v>
      </c>
      <c r="E280" s="598" t="s">
        <v>45</v>
      </c>
      <c r="G280" s="476"/>
      <c r="H280" s="476"/>
      <c r="I280" s="477"/>
      <c r="J280" s="474" t="s">
        <v>426</v>
      </c>
      <c r="K280" s="478" t="s">
        <v>318</v>
      </c>
      <c r="L280" s="479" t="s">
        <v>29</v>
      </c>
      <c r="M280" s="480" t="s">
        <v>33</v>
      </c>
      <c r="N280" s="481" t="s">
        <v>5</v>
      </c>
      <c r="O280" s="482" t="str">
        <f>PL!$P$4</f>
        <v>BIN</v>
      </c>
      <c r="P280" s="482" t="str">
        <f>PL!$I$6</f>
        <v>K_INR</v>
      </c>
      <c r="Q280" s="483" t="str">
        <f>PL!Q$690</f>
        <v>S/GP (3) Gross Profit Direct NH MGI FSC (-) OFC</v>
      </c>
      <c r="R280" s="483">
        <f>PL!S$690</f>
        <v>0</v>
      </c>
      <c r="S280" s="483">
        <f>PL!T$690</f>
        <v>0</v>
      </c>
      <c r="T280" s="483">
        <f>PL!U$690</f>
        <v>0</v>
      </c>
      <c r="U280" s="483">
        <f>PL!V$690</f>
        <v>0</v>
      </c>
      <c r="V280" s="483">
        <f>PL!W$690</f>
        <v>0</v>
      </c>
      <c r="W280" s="483">
        <f>PL!X$690</f>
        <v>0</v>
      </c>
      <c r="X280" s="483">
        <f>PL!Y$690</f>
        <v>0</v>
      </c>
      <c r="Y280" s="483">
        <f>PL!Z$690</f>
        <v>0</v>
      </c>
      <c r="Z280" s="483">
        <f>PL!AA$690</f>
        <v>0</v>
      </c>
      <c r="AA280" s="483">
        <f>PL!AB$690</f>
        <v>0</v>
      </c>
      <c r="AB280" s="483">
        <f>PL!AC$690</f>
        <v>0</v>
      </c>
    </row>
    <row r="281" spans="1:28">
      <c r="A281" s="598">
        <v>1</v>
      </c>
      <c r="B281" s="598" t="s">
        <v>630</v>
      </c>
      <c r="C281" s="602" t="s">
        <v>429</v>
      </c>
      <c r="D281" s="598" t="s">
        <v>511</v>
      </c>
      <c r="E281" s="598" t="s">
        <v>45</v>
      </c>
      <c r="G281" s="244"/>
      <c r="H281" s="244"/>
      <c r="I281" s="245"/>
      <c r="J281" s="220" t="s">
        <v>31</v>
      </c>
      <c r="K281" s="233" t="s">
        <v>319</v>
      </c>
      <c r="L281" s="231" t="s">
        <v>29</v>
      </c>
      <c r="M281" s="468" t="s">
        <v>33</v>
      </c>
      <c r="N281" s="232" t="s">
        <v>5</v>
      </c>
      <c r="O281" s="216" t="str">
        <f>PL!$P$4</f>
        <v>BIN</v>
      </c>
      <c r="P281" s="216" t="str">
        <f>PL!$I$6</f>
        <v>K_INR</v>
      </c>
      <c r="Q281" s="222" t="str">
        <f>PL!Q$692</f>
        <v>S/GP (3) Gross Profit Direct NH EFI/LF EFI/LF</v>
      </c>
      <c r="R281" s="222">
        <f>PL!S$692</f>
        <v>0</v>
      </c>
      <c r="S281" s="222">
        <f>PL!T$692</f>
        <v>0</v>
      </c>
      <c r="T281" s="222">
        <f>PL!U$692</f>
        <v>0</v>
      </c>
      <c r="U281" s="222">
        <f>PL!V$692</f>
        <v>0</v>
      </c>
      <c r="V281" s="222">
        <f>PL!W$692</f>
        <v>0</v>
      </c>
      <c r="W281" s="222">
        <f>PL!X$692</f>
        <v>0</v>
      </c>
      <c r="X281" s="222">
        <f>PL!Y$692</f>
        <v>0</v>
      </c>
      <c r="Y281" s="222">
        <f>PL!Z$692</f>
        <v>0</v>
      </c>
      <c r="Z281" s="222">
        <f>PL!AA$692</f>
        <v>0</v>
      </c>
      <c r="AA281" s="222">
        <f>PL!AB$692</f>
        <v>0</v>
      </c>
      <c r="AB281" s="222">
        <f>PL!AC$692</f>
        <v>0</v>
      </c>
    </row>
    <row r="282" spans="1:28" s="475" customFormat="1">
      <c r="A282" s="598">
        <v>1</v>
      </c>
      <c r="B282" s="598" t="s">
        <v>630</v>
      </c>
      <c r="C282" s="602" t="s">
        <v>654</v>
      </c>
      <c r="D282" s="598" t="s">
        <v>634</v>
      </c>
      <c r="E282" s="598" t="s">
        <v>45</v>
      </c>
      <c r="G282" s="476"/>
      <c r="H282" s="476"/>
      <c r="I282" s="477"/>
      <c r="J282" s="474" t="s">
        <v>423</v>
      </c>
      <c r="K282" s="478" t="s">
        <v>319</v>
      </c>
      <c r="L282" s="479" t="s">
        <v>29</v>
      </c>
      <c r="M282" s="480" t="s">
        <v>33</v>
      </c>
      <c r="N282" s="481" t="s">
        <v>5</v>
      </c>
      <c r="O282" s="482" t="str">
        <f>PL!$P$4</f>
        <v>BIN</v>
      </c>
      <c r="P282" s="482" t="str">
        <f>PL!$I$6</f>
        <v>K_INR</v>
      </c>
      <c r="Q282" s="483" t="str">
        <f>PL!Q$694</f>
        <v>S/GP (3) Gross Profit Direct NH EFI/LF FSC (-) PC</v>
      </c>
      <c r="R282" s="483">
        <f>PL!S$694</f>
        <v>0</v>
      </c>
      <c r="S282" s="483">
        <f>PL!T$694</f>
        <v>0</v>
      </c>
      <c r="T282" s="483">
        <f>PL!U$694</f>
        <v>0</v>
      </c>
      <c r="U282" s="483">
        <f>PL!V$694</f>
        <v>0</v>
      </c>
      <c r="V282" s="483">
        <f>PL!W$694</f>
        <v>0</v>
      </c>
      <c r="W282" s="483">
        <f>PL!X$694</f>
        <v>0</v>
      </c>
      <c r="X282" s="483">
        <f>PL!Y$694</f>
        <v>0</v>
      </c>
      <c r="Y282" s="483">
        <f>PL!Z$694</f>
        <v>0</v>
      </c>
      <c r="Z282" s="483">
        <f>PL!AA$694</f>
        <v>0</v>
      </c>
      <c r="AA282" s="483">
        <f>PL!AB$694</f>
        <v>0</v>
      </c>
      <c r="AB282" s="483">
        <f>PL!AC$694</f>
        <v>0</v>
      </c>
    </row>
    <row r="283" spans="1:28" s="475" customFormat="1">
      <c r="A283" s="598">
        <v>1</v>
      </c>
      <c r="B283" s="598" t="s">
        <v>512</v>
      </c>
      <c r="C283" s="602" t="s">
        <v>654</v>
      </c>
      <c r="D283" s="598" t="s">
        <v>634</v>
      </c>
      <c r="E283" s="598" t="s">
        <v>45</v>
      </c>
      <c r="G283" s="476"/>
      <c r="H283" s="476"/>
      <c r="I283" s="477"/>
      <c r="J283" s="474" t="s">
        <v>424</v>
      </c>
      <c r="K283" s="478" t="s">
        <v>319</v>
      </c>
      <c r="L283" s="479" t="s">
        <v>29</v>
      </c>
      <c r="M283" s="480" t="s">
        <v>33</v>
      </c>
      <c r="N283" s="481" t="s">
        <v>5</v>
      </c>
      <c r="O283" s="482" t="str">
        <f>PL!$P$4</f>
        <v>BIN</v>
      </c>
      <c r="P283" s="482" t="str">
        <f>PL!$I$6</f>
        <v>K_INR</v>
      </c>
      <c r="Q283" s="483" t="str">
        <f>PL!Q$695</f>
        <v>S/GP (3) Gross Profit Direct NH EFI/LF FSC (-) TE</v>
      </c>
      <c r="R283" s="483">
        <f>PL!S$695</f>
        <v>0</v>
      </c>
      <c r="S283" s="483">
        <f>PL!T$695</f>
        <v>0</v>
      </c>
      <c r="T283" s="483">
        <f>PL!U$695</f>
        <v>0</v>
      </c>
      <c r="U283" s="483">
        <f>PL!V$695</f>
        <v>0</v>
      </c>
      <c r="V283" s="483">
        <f>PL!W$695</f>
        <v>0</v>
      </c>
      <c r="W283" s="483">
        <f>PL!X$695</f>
        <v>0</v>
      </c>
      <c r="X283" s="483">
        <f>PL!Y$695</f>
        <v>0</v>
      </c>
      <c r="Y283" s="483">
        <f>PL!Z$695</f>
        <v>0</v>
      </c>
      <c r="Z283" s="483">
        <f>PL!AA$695</f>
        <v>0</v>
      </c>
      <c r="AA283" s="483">
        <f>PL!AB$695</f>
        <v>0</v>
      </c>
      <c r="AB283" s="483">
        <f>PL!AC$695</f>
        <v>0</v>
      </c>
    </row>
    <row r="284" spans="1:28" s="475" customFormat="1">
      <c r="A284" s="598">
        <v>1</v>
      </c>
      <c r="B284" s="598" t="s">
        <v>630</v>
      </c>
      <c r="C284" s="602" t="s">
        <v>429</v>
      </c>
      <c r="D284" s="598" t="s">
        <v>634</v>
      </c>
      <c r="E284" s="598" t="s">
        <v>45</v>
      </c>
      <c r="G284" s="476"/>
      <c r="H284" s="476"/>
      <c r="I284" s="477"/>
      <c r="J284" s="474" t="s">
        <v>426</v>
      </c>
      <c r="K284" s="478" t="s">
        <v>319</v>
      </c>
      <c r="L284" s="479" t="s">
        <v>29</v>
      </c>
      <c r="M284" s="480" t="s">
        <v>33</v>
      </c>
      <c r="N284" s="481" t="s">
        <v>5</v>
      </c>
      <c r="O284" s="482" t="str">
        <f>PL!$P$4</f>
        <v>BIN</v>
      </c>
      <c r="P284" s="482" t="str">
        <f>PL!$I$6</f>
        <v>K_INR</v>
      </c>
      <c r="Q284" s="483" t="str">
        <f>PL!Q$696</f>
        <v>S/GP (3) Gross Profit Direct NH EFI/LF FSC (-) OFC</v>
      </c>
      <c r="R284" s="483">
        <f>PL!S$696</f>
        <v>0</v>
      </c>
      <c r="S284" s="483">
        <f>PL!T$696</f>
        <v>0</v>
      </c>
      <c r="T284" s="483">
        <f>PL!U$696</f>
        <v>0</v>
      </c>
      <c r="U284" s="483">
        <f>PL!V$696</f>
        <v>0</v>
      </c>
      <c r="V284" s="483">
        <f>PL!W$696</f>
        <v>0</v>
      </c>
      <c r="W284" s="483">
        <f>PL!X$696</f>
        <v>0</v>
      </c>
      <c r="X284" s="483">
        <f>PL!Y$696</f>
        <v>0</v>
      </c>
      <c r="Y284" s="483">
        <f>PL!Z$696</f>
        <v>0</v>
      </c>
      <c r="Z284" s="483">
        <f>PL!AA$696</f>
        <v>0</v>
      </c>
      <c r="AA284" s="483">
        <f>PL!AB$696</f>
        <v>0</v>
      </c>
      <c r="AB284" s="483">
        <f>PL!AC$696</f>
        <v>0</v>
      </c>
    </row>
    <row r="285" spans="1:28">
      <c r="A285" s="598">
        <v>1</v>
      </c>
      <c r="B285" s="598" t="s">
        <v>512</v>
      </c>
      <c r="C285" s="602" t="s">
        <v>654</v>
      </c>
      <c r="D285" s="598" t="s">
        <v>511</v>
      </c>
      <c r="E285" s="598" t="s">
        <v>45</v>
      </c>
      <c r="G285" s="244"/>
      <c r="H285" s="244"/>
      <c r="I285" s="245"/>
      <c r="J285" s="220" t="s">
        <v>31</v>
      </c>
      <c r="K285" s="233" t="s">
        <v>320</v>
      </c>
      <c r="L285" s="231" t="s">
        <v>29</v>
      </c>
      <c r="M285" s="468" t="s">
        <v>33</v>
      </c>
      <c r="N285" s="232" t="s">
        <v>5</v>
      </c>
      <c r="O285" s="216" t="str">
        <f>PL!$P$4</f>
        <v>BIN</v>
      </c>
      <c r="P285" s="216" t="str">
        <f>PL!$I$6</f>
        <v>K_INR</v>
      </c>
      <c r="Q285" s="222" t="str">
        <f>PL!Q$698</f>
        <v>S/GP (3) Gross Profit Direct NH Textile Printer TP</v>
      </c>
      <c r="R285" s="222">
        <f>PL!S$698</f>
        <v>0</v>
      </c>
      <c r="S285" s="222">
        <f>PL!T$698</f>
        <v>0</v>
      </c>
      <c r="T285" s="222">
        <f>PL!U$698</f>
        <v>0</v>
      </c>
      <c r="U285" s="222">
        <f>PL!V$698</f>
        <v>0</v>
      </c>
      <c r="V285" s="222">
        <f>PL!W$698</f>
        <v>0</v>
      </c>
      <c r="W285" s="222">
        <f>PL!X$698</f>
        <v>0</v>
      </c>
      <c r="X285" s="222">
        <f>PL!Y$698</f>
        <v>0</v>
      </c>
      <c r="Y285" s="222">
        <f>PL!Z$698</f>
        <v>0</v>
      </c>
      <c r="Z285" s="222">
        <f>PL!AA$698</f>
        <v>0</v>
      </c>
      <c r="AA285" s="222">
        <f>PL!AB$698</f>
        <v>0</v>
      </c>
      <c r="AB285" s="222">
        <f>PL!AC$698</f>
        <v>0</v>
      </c>
    </row>
    <row r="286" spans="1:28" s="475" customFormat="1">
      <c r="A286" s="598">
        <v>1</v>
      </c>
      <c r="B286" s="598" t="s">
        <v>635</v>
      </c>
      <c r="C286" s="602" t="s">
        <v>429</v>
      </c>
      <c r="D286" s="598" t="s">
        <v>511</v>
      </c>
      <c r="E286" s="598" t="s">
        <v>45</v>
      </c>
      <c r="G286" s="476"/>
      <c r="H286" s="476"/>
      <c r="I286" s="477"/>
      <c r="J286" s="474" t="s">
        <v>423</v>
      </c>
      <c r="K286" s="478" t="s">
        <v>320</v>
      </c>
      <c r="L286" s="479" t="s">
        <v>29</v>
      </c>
      <c r="M286" s="480" t="s">
        <v>33</v>
      </c>
      <c r="N286" s="481" t="s">
        <v>5</v>
      </c>
      <c r="O286" s="482" t="str">
        <f>PL!$P$4</f>
        <v>BIN</v>
      </c>
      <c r="P286" s="482" t="str">
        <f>PL!$I$6</f>
        <v>K_INR</v>
      </c>
      <c r="Q286" s="483" t="str">
        <f>PL!Q$700</f>
        <v>S/GP (3) Gross Profit Direct NH Textile Printer FSC (-) PC</v>
      </c>
      <c r="R286" s="483">
        <f>PL!S$700</f>
        <v>0</v>
      </c>
      <c r="S286" s="483">
        <f>PL!T$700</f>
        <v>0</v>
      </c>
      <c r="T286" s="483">
        <f>PL!U$700</f>
        <v>0</v>
      </c>
      <c r="U286" s="483">
        <f>PL!V$700</f>
        <v>0</v>
      </c>
      <c r="V286" s="483">
        <f>PL!W$700</f>
        <v>0</v>
      </c>
      <c r="W286" s="483">
        <f>PL!X$700</f>
        <v>0</v>
      </c>
      <c r="X286" s="483">
        <f>PL!Y$700</f>
        <v>0</v>
      </c>
      <c r="Y286" s="483">
        <f>PL!Z$700</f>
        <v>0</v>
      </c>
      <c r="Z286" s="483">
        <f>PL!AA$700</f>
        <v>0</v>
      </c>
      <c r="AA286" s="483">
        <f>PL!AB$700</f>
        <v>0</v>
      </c>
      <c r="AB286" s="483">
        <f>PL!AC$700</f>
        <v>0</v>
      </c>
    </row>
    <row r="287" spans="1:28" s="475" customFormat="1">
      <c r="A287" s="598">
        <v>1</v>
      </c>
      <c r="B287" s="598" t="s">
        <v>638</v>
      </c>
      <c r="C287" s="602" t="s">
        <v>654</v>
      </c>
      <c r="D287" s="598" t="s">
        <v>511</v>
      </c>
      <c r="E287" s="598" t="s">
        <v>45</v>
      </c>
      <c r="G287" s="476"/>
      <c r="H287" s="476"/>
      <c r="I287" s="477"/>
      <c r="J287" s="474" t="s">
        <v>424</v>
      </c>
      <c r="K287" s="478" t="s">
        <v>320</v>
      </c>
      <c r="L287" s="479" t="s">
        <v>29</v>
      </c>
      <c r="M287" s="480" t="s">
        <v>33</v>
      </c>
      <c r="N287" s="481" t="s">
        <v>5</v>
      </c>
      <c r="O287" s="482" t="str">
        <f>PL!$P$4</f>
        <v>BIN</v>
      </c>
      <c r="P287" s="482" t="str">
        <f>PL!$I$6</f>
        <v>K_INR</v>
      </c>
      <c r="Q287" s="483" t="str">
        <f>PL!Q$701</f>
        <v>S/GP (3) Gross Profit Direct NH Textile Printer FSC (-) TE</v>
      </c>
      <c r="R287" s="483">
        <f>PL!S$701</f>
        <v>0</v>
      </c>
      <c r="S287" s="483">
        <f>PL!T$701</f>
        <v>0</v>
      </c>
      <c r="T287" s="483">
        <f>PL!U$701</f>
        <v>0</v>
      </c>
      <c r="U287" s="483">
        <f>PL!V$701</f>
        <v>0</v>
      </c>
      <c r="V287" s="483">
        <f>PL!W$701</f>
        <v>0</v>
      </c>
      <c r="W287" s="483">
        <f>PL!X$701</f>
        <v>0</v>
      </c>
      <c r="X287" s="483">
        <f>PL!Y$701</f>
        <v>0</v>
      </c>
      <c r="Y287" s="483">
        <f>PL!Z$701</f>
        <v>0</v>
      </c>
      <c r="Z287" s="483">
        <f>PL!AA$701</f>
        <v>0</v>
      </c>
      <c r="AA287" s="483">
        <f>PL!AB$701</f>
        <v>0</v>
      </c>
      <c r="AB287" s="483">
        <f>PL!AC$701</f>
        <v>0</v>
      </c>
    </row>
    <row r="288" spans="1:28" s="475" customFormat="1">
      <c r="A288" s="598">
        <v>1</v>
      </c>
      <c r="B288" s="598" t="s">
        <v>630</v>
      </c>
      <c r="C288" s="602" t="s">
        <v>654</v>
      </c>
      <c r="D288" s="598" t="s">
        <v>634</v>
      </c>
      <c r="E288" s="598" t="s">
        <v>45</v>
      </c>
      <c r="G288" s="476"/>
      <c r="H288" s="476"/>
      <c r="I288" s="477"/>
      <c r="J288" s="474" t="s">
        <v>426</v>
      </c>
      <c r="K288" s="478" t="s">
        <v>320</v>
      </c>
      <c r="L288" s="479" t="s">
        <v>29</v>
      </c>
      <c r="M288" s="480" t="s">
        <v>33</v>
      </c>
      <c r="N288" s="481" t="s">
        <v>5</v>
      </c>
      <c r="O288" s="482" t="str">
        <f>PL!$P$4</f>
        <v>BIN</v>
      </c>
      <c r="P288" s="482" t="str">
        <f>PL!$I$6</f>
        <v>K_INR</v>
      </c>
      <c r="Q288" s="483" t="str">
        <f>PL!Q$702</f>
        <v>S/GP (3) Gross Profit Direct NH Textile Printer FSC (-) OFC</v>
      </c>
      <c r="R288" s="483">
        <f>PL!S$702</f>
        <v>0</v>
      </c>
      <c r="S288" s="483">
        <f>PL!T$702</f>
        <v>0</v>
      </c>
      <c r="T288" s="483">
        <f>PL!U$702</f>
        <v>0</v>
      </c>
      <c r="U288" s="483">
        <f>PL!V$702</f>
        <v>0</v>
      </c>
      <c r="V288" s="483">
        <f>PL!W$702</f>
        <v>0</v>
      </c>
      <c r="W288" s="483">
        <f>PL!X$702</f>
        <v>0</v>
      </c>
      <c r="X288" s="483">
        <f>PL!Y$702</f>
        <v>0</v>
      </c>
      <c r="Y288" s="483">
        <f>PL!Z$702</f>
        <v>0</v>
      </c>
      <c r="Z288" s="483">
        <f>PL!AA$702</f>
        <v>0</v>
      </c>
      <c r="AA288" s="483">
        <f>PL!AB$702</f>
        <v>0</v>
      </c>
      <c r="AB288" s="483">
        <f>PL!AC$702</f>
        <v>0</v>
      </c>
    </row>
    <row r="289" spans="1:28" s="475" customFormat="1">
      <c r="A289" s="598">
        <v>1</v>
      </c>
      <c r="B289" s="598" t="s">
        <v>512</v>
      </c>
      <c r="C289" s="602" t="s">
        <v>654</v>
      </c>
      <c r="D289" s="598" t="s">
        <v>511</v>
      </c>
      <c r="E289" s="598" t="s">
        <v>45</v>
      </c>
      <c r="G289" s="476"/>
      <c r="H289" s="476"/>
      <c r="I289" s="477"/>
      <c r="J289" s="474" t="s">
        <v>427</v>
      </c>
      <c r="K289" s="478" t="s">
        <v>321</v>
      </c>
      <c r="L289" s="479" t="s">
        <v>29</v>
      </c>
      <c r="M289" s="480" t="s">
        <v>33</v>
      </c>
      <c r="N289" s="481" t="s">
        <v>5</v>
      </c>
      <c r="O289" s="482" t="str">
        <f>PL!$P$4</f>
        <v>BIN</v>
      </c>
      <c r="P289" s="482" t="str">
        <f>PL!$I$6</f>
        <v>K_INR</v>
      </c>
      <c r="Q289" s="483" t="str">
        <f>PL!Q$704</f>
        <v>S/GP (3) Gross Profit Direct NH &lt;Direct&gt; SDC (-) PC</v>
      </c>
      <c r="R289" s="483">
        <f>PL!S$704</f>
        <v>0</v>
      </c>
      <c r="S289" s="483">
        <f>PL!T$704</f>
        <v>0</v>
      </c>
      <c r="T289" s="483">
        <f>PL!U$704</f>
        <v>0</v>
      </c>
      <c r="U289" s="483">
        <f>PL!V$704</f>
        <v>0</v>
      </c>
      <c r="V289" s="483">
        <f>PL!W$704</f>
        <v>0</v>
      </c>
      <c r="W289" s="483">
        <f>PL!X$704</f>
        <v>0</v>
      </c>
      <c r="X289" s="483">
        <f>PL!Y$704</f>
        <v>0</v>
      </c>
      <c r="Y289" s="483">
        <f>PL!Z$704</f>
        <v>0</v>
      </c>
      <c r="Z289" s="483">
        <f>PL!AA$704</f>
        <v>0</v>
      </c>
      <c r="AA289" s="483">
        <f>PL!AB$704</f>
        <v>0</v>
      </c>
      <c r="AB289" s="483">
        <f>PL!AC$704</f>
        <v>0</v>
      </c>
    </row>
    <row r="290" spans="1:28" s="475" customFormat="1">
      <c r="A290" s="598">
        <v>1</v>
      </c>
      <c r="B290" s="598" t="s">
        <v>512</v>
      </c>
      <c r="C290" s="602" t="s">
        <v>654</v>
      </c>
      <c r="D290" s="598" t="s">
        <v>633</v>
      </c>
      <c r="E290" s="598" t="s">
        <v>45</v>
      </c>
      <c r="G290" s="476"/>
      <c r="H290" s="476"/>
      <c r="I290" s="477"/>
      <c r="J290" s="474" t="s">
        <v>428</v>
      </c>
      <c r="K290" s="478" t="s">
        <v>321</v>
      </c>
      <c r="L290" s="479" t="s">
        <v>29</v>
      </c>
      <c r="M290" s="480" t="s">
        <v>33</v>
      </c>
      <c r="N290" s="481" t="s">
        <v>5</v>
      </c>
      <c r="O290" s="482" t="str">
        <f>PL!$P$4</f>
        <v>BIN</v>
      </c>
      <c r="P290" s="482" t="str">
        <f>PL!$I$6</f>
        <v>K_INR</v>
      </c>
      <c r="Q290" s="483" t="str">
        <f>PL!Q$705</f>
        <v>S/GP (3) Gross Profit Direct NH &lt;Direct&gt; SDC (-) OFC</v>
      </c>
      <c r="R290" s="483">
        <f>PL!S$705</f>
        <v>0</v>
      </c>
      <c r="S290" s="483">
        <f>PL!T$705</f>
        <v>0</v>
      </c>
      <c r="T290" s="483">
        <f>PL!U$705</f>
        <v>0</v>
      </c>
      <c r="U290" s="483">
        <f>PL!V$705</f>
        <v>0</v>
      </c>
      <c r="V290" s="483">
        <f>PL!W$705</f>
        <v>0</v>
      </c>
      <c r="W290" s="483">
        <f>PL!X$705</f>
        <v>0</v>
      </c>
      <c r="X290" s="483">
        <f>PL!Y$705</f>
        <v>0</v>
      </c>
      <c r="Y290" s="483">
        <f>PL!Z$705</f>
        <v>0</v>
      </c>
      <c r="Z290" s="483">
        <f>PL!AA$705</f>
        <v>0</v>
      </c>
      <c r="AA290" s="483">
        <f>PL!AB$705</f>
        <v>0</v>
      </c>
      <c r="AB290" s="483">
        <f>PL!AC$705</f>
        <v>0</v>
      </c>
    </row>
    <row r="291" spans="1:28" s="475" customFormat="1">
      <c r="A291" s="598">
        <v>1</v>
      </c>
      <c r="B291" s="598" t="s">
        <v>512</v>
      </c>
      <c r="C291" s="602" t="s">
        <v>654</v>
      </c>
      <c r="D291" s="598" t="s">
        <v>634</v>
      </c>
      <c r="E291" s="598" t="s">
        <v>45</v>
      </c>
      <c r="G291" s="476"/>
      <c r="H291" s="476"/>
      <c r="I291" s="477"/>
      <c r="J291" s="474" t="s">
        <v>425</v>
      </c>
      <c r="K291" s="478" t="s">
        <v>321</v>
      </c>
      <c r="L291" s="479" t="s">
        <v>29</v>
      </c>
      <c r="M291" s="480" t="s">
        <v>33</v>
      </c>
      <c r="N291" s="481" t="s">
        <v>5</v>
      </c>
      <c r="O291" s="482" t="str">
        <f>PL!$P$4</f>
        <v>BIN</v>
      </c>
      <c r="P291" s="482" t="str">
        <f>PL!$I$6</f>
        <v>K_INR</v>
      </c>
      <c r="Q291" s="483" t="str">
        <f>PL!Q$706</f>
        <v>S/GP (3) Gross Profit Direct NH &lt;Direct&gt; D &amp; A (-)</v>
      </c>
      <c r="R291" s="483">
        <f>PL!S$706</f>
        <v>0</v>
      </c>
      <c r="S291" s="483">
        <f>PL!T$706</f>
        <v>0</v>
      </c>
      <c r="T291" s="483">
        <f>PL!U$706</f>
        <v>0</v>
      </c>
      <c r="U291" s="483">
        <f>PL!V$706</f>
        <v>0</v>
      </c>
      <c r="V291" s="483">
        <f>PL!W$706</f>
        <v>0</v>
      </c>
      <c r="W291" s="483">
        <f>PL!X$706</f>
        <v>0</v>
      </c>
      <c r="X291" s="483">
        <f>PL!Y$706</f>
        <v>0</v>
      </c>
      <c r="Y291" s="483">
        <f>PL!Z$706</f>
        <v>0</v>
      </c>
      <c r="Z291" s="483">
        <f>PL!AA$706</f>
        <v>0</v>
      </c>
      <c r="AA291" s="483">
        <f>PL!AB$706</f>
        <v>0</v>
      </c>
      <c r="AB291" s="483">
        <f>PL!AC$706</f>
        <v>0</v>
      </c>
    </row>
    <row r="292" spans="1:28">
      <c r="A292" s="598">
        <v>1</v>
      </c>
      <c r="B292" s="598" t="s">
        <v>630</v>
      </c>
      <c r="C292" s="602" t="s">
        <v>654</v>
      </c>
      <c r="D292" s="598" t="s">
        <v>511</v>
      </c>
      <c r="E292" s="598" t="s">
        <v>45</v>
      </c>
      <c r="G292" s="244"/>
      <c r="H292" s="244"/>
      <c r="I292" s="245"/>
      <c r="J292" s="220" t="s">
        <v>31</v>
      </c>
      <c r="K292" s="233" t="s">
        <v>321</v>
      </c>
      <c r="L292" s="231" t="s">
        <v>29</v>
      </c>
      <c r="M292" s="468" t="s">
        <v>33</v>
      </c>
      <c r="N292" s="232" t="s">
        <v>5</v>
      </c>
      <c r="O292" s="216" t="str">
        <f>PL!$P$4</f>
        <v>BIN</v>
      </c>
      <c r="P292" s="216" t="str">
        <f>PL!$I$6</f>
        <v>K_INR</v>
      </c>
      <c r="Q292" s="222" t="str">
        <f>PL!Q$707</f>
        <v>S/GP (3) Gross Profit Direct NH Others</v>
      </c>
      <c r="R292" s="222">
        <f>PL!S$707</f>
        <v>0</v>
      </c>
      <c r="S292" s="222">
        <f>PL!T$707</f>
        <v>0</v>
      </c>
      <c r="T292" s="222">
        <f>PL!U$707</f>
        <v>0</v>
      </c>
      <c r="U292" s="222">
        <f>PL!V$707</f>
        <v>0</v>
      </c>
      <c r="V292" s="222">
        <f>PL!W$707</f>
        <v>0</v>
      </c>
      <c r="W292" s="222">
        <f>PL!X$707</f>
        <v>0</v>
      </c>
      <c r="X292" s="222">
        <f>PL!Y$707</f>
        <v>0</v>
      </c>
      <c r="Y292" s="222">
        <f>PL!Z$707</f>
        <v>0</v>
      </c>
      <c r="Z292" s="222">
        <f>PL!AA$707</f>
        <v>0</v>
      </c>
      <c r="AA292" s="222">
        <f>PL!AB$707</f>
        <v>0</v>
      </c>
      <c r="AB292" s="222">
        <f>PL!AC$707</f>
        <v>0</v>
      </c>
    </row>
    <row r="293" spans="1:28" s="682" customFormat="1">
      <c r="A293" s="682">
        <v>1</v>
      </c>
      <c r="C293" s="683"/>
      <c r="F293" s="684"/>
      <c r="G293" s="685"/>
      <c r="H293" s="685"/>
      <c r="I293" s="686"/>
      <c r="J293" s="687" t="s">
        <v>31</v>
      </c>
      <c r="K293" s="688" t="s">
        <v>429</v>
      </c>
      <c r="L293" s="689" t="s">
        <v>32</v>
      </c>
      <c r="M293" s="690" t="s">
        <v>4</v>
      </c>
      <c r="N293" s="691" t="s">
        <v>5</v>
      </c>
      <c r="O293" s="692" t="str">
        <f>PL!$P$4</f>
        <v>BIN</v>
      </c>
      <c r="P293" s="692" t="str">
        <f>PL!$I$6</f>
        <v>K_INR</v>
      </c>
      <c r="Q293" s="693">
        <f>SUM(Q294:Q323)</f>
        <v>0</v>
      </c>
      <c r="R293" s="693">
        <f t="shared" ref="R293:AB293" si="22">SUM(R294:R323)</f>
        <v>0</v>
      </c>
      <c r="S293" s="693">
        <f t="shared" si="22"/>
        <v>0</v>
      </c>
      <c r="T293" s="693">
        <f t="shared" si="22"/>
        <v>0</v>
      </c>
      <c r="U293" s="693">
        <f t="shared" si="22"/>
        <v>0</v>
      </c>
      <c r="V293" s="693">
        <f t="shared" si="22"/>
        <v>0</v>
      </c>
      <c r="W293" s="693">
        <f t="shared" si="22"/>
        <v>0</v>
      </c>
      <c r="X293" s="693">
        <f t="shared" si="22"/>
        <v>0</v>
      </c>
      <c r="Y293" s="693">
        <f t="shared" si="22"/>
        <v>0</v>
      </c>
      <c r="Z293" s="693">
        <f t="shared" si="22"/>
        <v>0</v>
      </c>
      <c r="AA293" s="693">
        <f t="shared" si="22"/>
        <v>0</v>
      </c>
      <c r="AB293" s="693">
        <f t="shared" si="22"/>
        <v>0</v>
      </c>
    </row>
    <row r="294" spans="1:28">
      <c r="A294" s="598">
        <v>1</v>
      </c>
      <c r="B294" s="598" t="s">
        <v>512</v>
      </c>
      <c r="C294" s="602" t="s">
        <v>654</v>
      </c>
      <c r="D294" s="598" t="s">
        <v>631</v>
      </c>
      <c r="E294" s="598" t="s">
        <v>45</v>
      </c>
      <c r="G294" s="244"/>
      <c r="H294" s="244"/>
      <c r="I294" s="245"/>
      <c r="J294" s="220" t="s">
        <v>31</v>
      </c>
      <c r="K294" s="233" t="s">
        <v>316</v>
      </c>
      <c r="L294" s="231" t="s">
        <v>32</v>
      </c>
      <c r="M294" s="468" t="s">
        <v>30</v>
      </c>
      <c r="N294" s="232" t="s">
        <v>5</v>
      </c>
      <c r="O294" s="216" t="str">
        <f>PL!$P$4</f>
        <v>BIN</v>
      </c>
      <c r="P294" s="216" t="str">
        <f>PL!$I$6</f>
        <v>K_INR</v>
      </c>
      <c r="Q294" s="222" t="str">
        <f>PL!Q$710</f>
        <v>S/GP (3) Gross Profit Indirect HW &amp; Solution KM-1/KM-1e</v>
      </c>
      <c r="R294" s="222">
        <f>PL!S$710</f>
        <v>0</v>
      </c>
      <c r="S294" s="222">
        <f>PL!T$710</f>
        <v>0</v>
      </c>
      <c r="T294" s="222">
        <f>PL!U$710</f>
        <v>0</v>
      </c>
      <c r="U294" s="222">
        <f>PL!V$710</f>
        <v>0</v>
      </c>
      <c r="V294" s="222">
        <f>PL!W$710</f>
        <v>0</v>
      </c>
      <c r="W294" s="222">
        <f>PL!X$710</f>
        <v>0</v>
      </c>
      <c r="X294" s="222">
        <f>PL!Y$710</f>
        <v>0</v>
      </c>
      <c r="Y294" s="222">
        <f>PL!Z$710</f>
        <v>0</v>
      </c>
      <c r="Z294" s="222">
        <f>PL!AA$710</f>
        <v>0</v>
      </c>
      <c r="AA294" s="222">
        <f>PL!AB$710</f>
        <v>0</v>
      </c>
      <c r="AB294" s="222">
        <f>PL!AC$710</f>
        <v>0</v>
      </c>
    </row>
    <row r="295" spans="1:28">
      <c r="A295" s="598">
        <v>1</v>
      </c>
      <c r="B295" s="598" t="s">
        <v>512</v>
      </c>
      <c r="C295" s="602" t="s">
        <v>654</v>
      </c>
      <c r="D295" s="598" t="s">
        <v>656</v>
      </c>
      <c r="E295" s="598" t="s">
        <v>45</v>
      </c>
      <c r="G295" s="244"/>
      <c r="H295" s="244"/>
      <c r="I295" s="245"/>
      <c r="J295" s="220" t="s">
        <v>31</v>
      </c>
      <c r="K295" s="233" t="s">
        <v>317</v>
      </c>
      <c r="L295" s="231" t="s">
        <v>32</v>
      </c>
      <c r="M295" s="468" t="s">
        <v>30</v>
      </c>
      <c r="N295" s="232" t="s">
        <v>5</v>
      </c>
      <c r="O295" s="216" t="str">
        <f>PL!$P$4</f>
        <v>BIN</v>
      </c>
      <c r="P295" s="216" t="str">
        <f>PL!$I$6</f>
        <v>K_INR</v>
      </c>
      <c r="Q295" s="222" t="str">
        <f>PL!Q$711</f>
        <v>S/GP (3) Gross Profit Indirect HW &amp; Solution Label Printer</v>
      </c>
      <c r="R295" s="222">
        <f>PL!S$711</f>
        <v>0</v>
      </c>
      <c r="S295" s="222">
        <f>PL!T$711</f>
        <v>0</v>
      </c>
      <c r="T295" s="222">
        <f>PL!U$711</f>
        <v>0</v>
      </c>
      <c r="U295" s="222">
        <f>PL!V$711</f>
        <v>0</v>
      </c>
      <c r="V295" s="222">
        <f>PL!W$711</f>
        <v>0</v>
      </c>
      <c r="W295" s="222">
        <f>PL!X$711</f>
        <v>0</v>
      </c>
      <c r="X295" s="222">
        <f>PL!Y$711</f>
        <v>0</v>
      </c>
      <c r="Y295" s="222">
        <f>PL!Z$711</f>
        <v>0</v>
      </c>
      <c r="Z295" s="222">
        <f>PL!AA$711</f>
        <v>0</v>
      </c>
      <c r="AA295" s="222">
        <f>PL!AB$711</f>
        <v>0</v>
      </c>
      <c r="AB295" s="222">
        <f>PL!AC$711</f>
        <v>0</v>
      </c>
    </row>
    <row r="296" spans="1:28">
      <c r="A296" s="598">
        <v>1</v>
      </c>
      <c r="B296" s="598" t="s">
        <v>616</v>
      </c>
      <c r="C296" s="602" t="s">
        <v>654</v>
      </c>
      <c r="D296" s="598" t="s">
        <v>631</v>
      </c>
      <c r="E296" s="598" t="s">
        <v>45</v>
      </c>
      <c r="G296" s="244"/>
      <c r="H296" s="244"/>
      <c r="I296" s="245"/>
      <c r="J296" s="220" t="s">
        <v>31</v>
      </c>
      <c r="K296" s="233" t="s">
        <v>318</v>
      </c>
      <c r="L296" s="231" t="s">
        <v>32</v>
      </c>
      <c r="M296" s="468" t="s">
        <v>30</v>
      </c>
      <c r="N296" s="232" t="s">
        <v>5</v>
      </c>
      <c r="O296" s="216" t="str">
        <f>PL!$P$4</f>
        <v>BIN</v>
      </c>
      <c r="P296" s="216" t="str">
        <f>PL!$I$6</f>
        <v>K_INR</v>
      </c>
      <c r="Q296" s="222" t="str">
        <f>PL!Q$712</f>
        <v>S/GP (3) Gross Profit Indirect HW &amp; Solution MGI</v>
      </c>
      <c r="R296" s="222">
        <f>PL!S$712</f>
        <v>0</v>
      </c>
      <c r="S296" s="222">
        <f>PL!T$712</f>
        <v>0</v>
      </c>
      <c r="T296" s="222">
        <f>PL!U$712</f>
        <v>0</v>
      </c>
      <c r="U296" s="222">
        <f>PL!V$712</f>
        <v>0</v>
      </c>
      <c r="V296" s="222">
        <f>PL!W$712</f>
        <v>0</v>
      </c>
      <c r="W296" s="222">
        <f>PL!X$712</f>
        <v>0</v>
      </c>
      <c r="X296" s="222">
        <f>PL!Y$712</f>
        <v>0</v>
      </c>
      <c r="Y296" s="222">
        <f>PL!Z$712</f>
        <v>0</v>
      </c>
      <c r="Z296" s="222">
        <f>PL!AA$712</f>
        <v>0</v>
      </c>
      <c r="AA296" s="222">
        <f>PL!AB$712</f>
        <v>0</v>
      </c>
      <c r="AB296" s="222">
        <f>PL!AC$712</f>
        <v>0</v>
      </c>
    </row>
    <row r="297" spans="1:28">
      <c r="A297" s="598">
        <v>1</v>
      </c>
      <c r="B297" s="598" t="s">
        <v>512</v>
      </c>
      <c r="C297" s="602" t="s">
        <v>654</v>
      </c>
      <c r="D297" s="598" t="s">
        <v>656</v>
      </c>
      <c r="E297" s="598" t="s">
        <v>45</v>
      </c>
      <c r="G297" s="244"/>
      <c r="H297" s="244"/>
      <c r="I297" s="245"/>
      <c r="J297" s="220" t="s">
        <v>31</v>
      </c>
      <c r="K297" s="233" t="s">
        <v>319</v>
      </c>
      <c r="L297" s="231" t="s">
        <v>32</v>
      </c>
      <c r="M297" s="468" t="s">
        <v>30</v>
      </c>
      <c r="N297" s="232" t="s">
        <v>5</v>
      </c>
      <c r="O297" s="216" t="str">
        <f>PL!$P$4</f>
        <v>BIN</v>
      </c>
      <c r="P297" s="216" t="str">
        <f>PL!$I$6</f>
        <v>K_INR</v>
      </c>
      <c r="Q297" s="222" t="str">
        <f>PL!Q$713</f>
        <v>S/GP (3) Gross Profit Indirect HW &amp; Solution EFI/LF</v>
      </c>
      <c r="R297" s="222">
        <f>PL!S$713</f>
        <v>0</v>
      </c>
      <c r="S297" s="222">
        <f>PL!T$713</f>
        <v>0</v>
      </c>
      <c r="T297" s="222">
        <f>PL!U$713</f>
        <v>0</v>
      </c>
      <c r="U297" s="222">
        <f>PL!V$713</f>
        <v>0</v>
      </c>
      <c r="V297" s="222">
        <f>PL!W$713</f>
        <v>0</v>
      </c>
      <c r="W297" s="222">
        <f>PL!X$713</f>
        <v>0</v>
      </c>
      <c r="X297" s="222">
        <f>PL!Y$713</f>
        <v>0</v>
      </c>
      <c r="Y297" s="222">
        <f>PL!Z$713</f>
        <v>0</v>
      </c>
      <c r="Z297" s="222">
        <f>PL!AA$713</f>
        <v>0</v>
      </c>
      <c r="AA297" s="222">
        <f>PL!AB$713</f>
        <v>0</v>
      </c>
      <c r="AB297" s="222">
        <f>PL!AC$713</f>
        <v>0</v>
      </c>
    </row>
    <row r="298" spans="1:28">
      <c r="A298" s="598">
        <v>1</v>
      </c>
      <c r="B298" s="598" t="s">
        <v>512</v>
      </c>
      <c r="C298" s="602" t="s">
        <v>659</v>
      </c>
      <c r="D298" s="598" t="s">
        <v>631</v>
      </c>
      <c r="E298" s="598" t="s">
        <v>45</v>
      </c>
      <c r="G298" s="244"/>
      <c r="H298" s="244"/>
      <c r="I298" s="245"/>
      <c r="J298" s="220" t="s">
        <v>31</v>
      </c>
      <c r="K298" s="233" t="s">
        <v>320</v>
      </c>
      <c r="L298" s="231" t="s">
        <v>32</v>
      </c>
      <c r="M298" s="468" t="s">
        <v>30</v>
      </c>
      <c r="N298" s="232" t="s">
        <v>5</v>
      </c>
      <c r="O298" s="216" t="str">
        <f>PL!$P$4</f>
        <v>BIN</v>
      </c>
      <c r="P298" s="216" t="str">
        <f>PL!$I$6</f>
        <v>K_INR</v>
      </c>
      <c r="Q298" s="222" t="str">
        <f>PL!Q$714</f>
        <v>S/GP (3) Gross Profit Indirect HW &amp; Solution Textile Printer</v>
      </c>
      <c r="R298" s="222">
        <f>PL!S$714</f>
        <v>0</v>
      </c>
      <c r="S298" s="222">
        <f>PL!T$714</f>
        <v>0</v>
      </c>
      <c r="T298" s="222">
        <f>PL!U$714</f>
        <v>0</v>
      </c>
      <c r="U298" s="222">
        <f>PL!V$714</f>
        <v>0</v>
      </c>
      <c r="V298" s="222">
        <f>PL!W$714</f>
        <v>0</v>
      </c>
      <c r="W298" s="222">
        <f>PL!X$714</f>
        <v>0</v>
      </c>
      <c r="X298" s="222">
        <f>PL!Y$714</f>
        <v>0</v>
      </c>
      <c r="Y298" s="222">
        <f>PL!Z$714</f>
        <v>0</v>
      </c>
      <c r="Z298" s="222">
        <f>PL!AA$714</f>
        <v>0</v>
      </c>
      <c r="AA298" s="222">
        <f>PL!AB$714</f>
        <v>0</v>
      </c>
      <c r="AB298" s="222">
        <f>PL!AC$714</f>
        <v>0</v>
      </c>
    </row>
    <row r="299" spans="1:28">
      <c r="A299" s="598">
        <v>1</v>
      </c>
      <c r="B299" s="598" t="s">
        <v>630</v>
      </c>
      <c r="C299" s="602" t="s">
        <v>429</v>
      </c>
      <c r="D299" s="598" t="s">
        <v>298</v>
      </c>
      <c r="E299" s="598" t="s">
        <v>45</v>
      </c>
      <c r="G299" s="244"/>
      <c r="H299" s="244"/>
      <c r="I299" s="245"/>
      <c r="J299" s="220" t="s">
        <v>31</v>
      </c>
      <c r="K299" s="233" t="s">
        <v>321</v>
      </c>
      <c r="L299" s="231" t="s">
        <v>32</v>
      </c>
      <c r="M299" s="468" t="s">
        <v>30</v>
      </c>
      <c r="N299" s="232" t="s">
        <v>5</v>
      </c>
      <c r="O299" s="216" t="str">
        <f>PL!$P$4</f>
        <v>BIN</v>
      </c>
      <c r="P299" s="216" t="str">
        <f>PL!$I$6</f>
        <v>K_INR</v>
      </c>
      <c r="Q299" s="222" t="str">
        <f>PL!Q$715</f>
        <v>S/GP (3) Gross Profit Indirect HW &amp; Solution Others</v>
      </c>
      <c r="R299" s="222">
        <f>PL!S$715</f>
        <v>0</v>
      </c>
      <c r="S299" s="222">
        <f>PL!T$715</f>
        <v>0</v>
      </c>
      <c r="T299" s="222">
        <f>PL!U$715</f>
        <v>0</v>
      </c>
      <c r="U299" s="222">
        <f>PL!V$715</f>
        <v>0</v>
      </c>
      <c r="V299" s="222">
        <f>PL!W$715</f>
        <v>0</v>
      </c>
      <c r="W299" s="222">
        <f>PL!X$715</f>
        <v>0</v>
      </c>
      <c r="X299" s="222">
        <f>PL!Y$715</f>
        <v>0</v>
      </c>
      <c r="Y299" s="222">
        <f>PL!Z$715</f>
        <v>0</v>
      </c>
      <c r="Z299" s="222">
        <f>PL!AA$715</f>
        <v>0</v>
      </c>
      <c r="AA299" s="222">
        <f>PL!AB$715</f>
        <v>0</v>
      </c>
      <c r="AB299" s="222">
        <f>PL!AC$715</f>
        <v>0</v>
      </c>
    </row>
    <row r="300" spans="1:28">
      <c r="A300" s="598">
        <v>1</v>
      </c>
      <c r="B300" s="598" t="s">
        <v>630</v>
      </c>
      <c r="C300" s="602" t="s">
        <v>654</v>
      </c>
      <c r="D300" s="598" t="s">
        <v>511</v>
      </c>
      <c r="E300" s="598" t="s">
        <v>45</v>
      </c>
      <c r="G300" s="244"/>
      <c r="H300" s="244"/>
      <c r="I300" s="245"/>
      <c r="J300" s="220" t="s">
        <v>31</v>
      </c>
      <c r="K300" s="233" t="s">
        <v>316</v>
      </c>
      <c r="L300" s="231" t="s">
        <v>32</v>
      </c>
      <c r="M300" s="468" t="s">
        <v>33</v>
      </c>
      <c r="N300" s="232" t="s">
        <v>5</v>
      </c>
      <c r="O300" s="216" t="str">
        <f>PL!$P$4</f>
        <v>BIN</v>
      </c>
      <c r="P300" s="216" t="str">
        <f>PL!$I$6</f>
        <v>K_INR</v>
      </c>
      <c r="Q300" s="222" t="str">
        <f>PL!Q$718</f>
        <v>S/GP (3) Gross Profit Indirect NH KM-1/KM-1e KM-1/KM-1e</v>
      </c>
      <c r="R300" s="222">
        <f>PL!S$718</f>
        <v>0</v>
      </c>
      <c r="S300" s="222">
        <f>PL!T$718</f>
        <v>0</v>
      </c>
      <c r="T300" s="222">
        <f>PL!U$718</f>
        <v>0</v>
      </c>
      <c r="U300" s="222">
        <f>PL!V$718</f>
        <v>0</v>
      </c>
      <c r="V300" s="222">
        <f>PL!W$718</f>
        <v>0</v>
      </c>
      <c r="W300" s="222">
        <f>PL!X$718</f>
        <v>0</v>
      </c>
      <c r="X300" s="222">
        <f>PL!Y$718</f>
        <v>0</v>
      </c>
      <c r="Y300" s="222">
        <f>PL!Z$718</f>
        <v>0</v>
      </c>
      <c r="Z300" s="222">
        <f>PL!AA$718</f>
        <v>0</v>
      </c>
      <c r="AA300" s="222">
        <f>PL!AB$718</f>
        <v>0</v>
      </c>
      <c r="AB300" s="222">
        <f>PL!AC$718</f>
        <v>0</v>
      </c>
    </row>
    <row r="301" spans="1:28" s="475" customFormat="1">
      <c r="A301" s="598">
        <v>1</v>
      </c>
      <c r="B301" s="598" t="s">
        <v>616</v>
      </c>
      <c r="C301" s="602" t="s">
        <v>654</v>
      </c>
      <c r="D301" s="598" t="s">
        <v>634</v>
      </c>
      <c r="E301" s="598" t="s">
        <v>45</v>
      </c>
      <c r="G301" s="476"/>
      <c r="H301" s="476"/>
      <c r="I301" s="477"/>
      <c r="J301" s="474" t="s">
        <v>423</v>
      </c>
      <c r="K301" s="478" t="s">
        <v>316</v>
      </c>
      <c r="L301" s="479" t="s">
        <v>32</v>
      </c>
      <c r="M301" s="480" t="s">
        <v>33</v>
      </c>
      <c r="N301" s="481" t="s">
        <v>5</v>
      </c>
      <c r="O301" s="482" t="str">
        <f>PL!$P$4</f>
        <v>BIN</v>
      </c>
      <c r="P301" s="482" t="str">
        <f>PL!$I$6</f>
        <v>K_INR</v>
      </c>
      <c r="Q301" s="483" t="str">
        <f>PL!Q$720</f>
        <v>S/GP (3) Gross Profit Indirect NH KM-1/KM-1e FSC (-) PC</v>
      </c>
      <c r="R301" s="483">
        <f>PL!S$720</f>
        <v>0</v>
      </c>
      <c r="S301" s="483">
        <f>PL!T$720</f>
        <v>0</v>
      </c>
      <c r="T301" s="483">
        <f>PL!U$720</f>
        <v>0</v>
      </c>
      <c r="U301" s="483">
        <f>PL!V$720</f>
        <v>0</v>
      </c>
      <c r="V301" s="483">
        <f>PL!W$720</f>
        <v>0</v>
      </c>
      <c r="W301" s="483">
        <f>PL!X$720</f>
        <v>0</v>
      </c>
      <c r="X301" s="483">
        <f>PL!Y$720</f>
        <v>0</v>
      </c>
      <c r="Y301" s="483">
        <f>PL!Z$720</f>
        <v>0</v>
      </c>
      <c r="Z301" s="483">
        <f>PL!AA$720</f>
        <v>0</v>
      </c>
      <c r="AA301" s="483">
        <f>PL!AB$720</f>
        <v>0</v>
      </c>
      <c r="AB301" s="483">
        <f>PL!AC$720</f>
        <v>0</v>
      </c>
    </row>
    <row r="302" spans="1:28" s="475" customFormat="1">
      <c r="A302" s="598">
        <v>1</v>
      </c>
      <c r="B302" s="598" t="s">
        <v>512</v>
      </c>
      <c r="C302" s="602" t="s">
        <v>654</v>
      </c>
      <c r="D302" s="598" t="s">
        <v>633</v>
      </c>
      <c r="E302" s="598" t="s">
        <v>45</v>
      </c>
      <c r="G302" s="476"/>
      <c r="H302" s="476"/>
      <c r="I302" s="477"/>
      <c r="J302" s="474" t="s">
        <v>424</v>
      </c>
      <c r="K302" s="478" t="s">
        <v>316</v>
      </c>
      <c r="L302" s="479" t="s">
        <v>32</v>
      </c>
      <c r="M302" s="480" t="s">
        <v>33</v>
      </c>
      <c r="N302" s="481" t="s">
        <v>5</v>
      </c>
      <c r="O302" s="482" t="str">
        <f>PL!$P$4</f>
        <v>BIN</v>
      </c>
      <c r="P302" s="482" t="str">
        <f>PL!$I$6</f>
        <v>K_INR</v>
      </c>
      <c r="Q302" s="483" t="str">
        <f>PL!Q$721</f>
        <v>S/GP (3) Gross Profit Indirect NH KM-1/KM-1e FSC (-) TE</v>
      </c>
      <c r="R302" s="483">
        <f>PL!S$721</f>
        <v>0</v>
      </c>
      <c r="S302" s="483">
        <f>PL!T$721</f>
        <v>0</v>
      </c>
      <c r="T302" s="483">
        <f>PL!U$721</f>
        <v>0</v>
      </c>
      <c r="U302" s="483">
        <f>PL!V$721</f>
        <v>0</v>
      </c>
      <c r="V302" s="483">
        <f>PL!W$721</f>
        <v>0</v>
      </c>
      <c r="W302" s="483">
        <f>PL!X$721</f>
        <v>0</v>
      </c>
      <c r="X302" s="483">
        <f>PL!Y$721</f>
        <v>0</v>
      </c>
      <c r="Y302" s="483">
        <f>PL!Z$721</f>
        <v>0</v>
      </c>
      <c r="Z302" s="483">
        <f>PL!AA$721</f>
        <v>0</v>
      </c>
      <c r="AA302" s="483">
        <f>PL!AB$721</f>
        <v>0</v>
      </c>
      <c r="AB302" s="483">
        <f>PL!AC$721</f>
        <v>0</v>
      </c>
    </row>
    <row r="303" spans="1:28" s="475" customFormat="1">
      <c r="A303" s="598">
        <v>1</v>
      </c>
      <c r="B303" s="598" t="s">
        <v>630</v>
      </c>
      <c r="C303" s="602" t="s">
        <v>429</v>
      </c>
      <c r="D303" s="598" t="s">
        <v>634</v>
      </c>
      <c r="E303" s="598" t="s">
        <v>45</v>
      </c>
      <c r="G303" s="476"/>
      <c r="H303" s="476"/>
      <c r="I303" s="477"/>
      <c r="J303" s="474" t="s">
        <v>426</v>
      </c>
      <c r="K303" s="478" t="s">
        <v>316</v>
      </c>
      <c r="L303" s="479" t="s">
        <v>32</v>
      </c>
      <c r="M303" s="480" t="s">
        <v>33</v>
      </c>
      <c r="N303" s="481" t="s">
        <v>5</v>
      </c>
      <c r="O303" s="482" t="str">
        <f>PL!$P$4</f>
        <v>BIN</v>
      </c>
      <c r="P303" s="482" t="str">
        <f>PL!$I$6</f>
        <v>K_INR</v>
      </c>
      <c r="Q303" s="483" t="str">
        <f>PL!Q$722</f>
        <v>S/GP (3) Gross Profit Indirect NH KM-1/KM-1e FSC (-) OFC</v>
      </c>
      <c r="R303" s="483">
        <f>PL!S$722</f>
        <v>0</v>
      </c>
      <c r="S303" s="483">
        <f>PL!T$722</f>
        <v>0</v>
      </c>
      <c r="T303" s="483">
        <f>PL!U$722</f>
        <v>0</v>
      </c>
      <c r="U303" s="483">
        <f>PL!V$722</f>
        <v>0</v>
      </c>
      <c r="V303" s="483">
        <f>PL!W$722</f>
        <v>0</v>
      </c>
      <c r="W303" s="483">
        <f>PL!X$722</f>
        <v>0</v>
      </c>
      <c r="X303" s="483">
        <f>PL!Y$722</f>
        <v>0</v>
      </c>
      <c r="Y303" s="483">
        <f>PL!Z$722</f>
        <v>0</v>
      </c>
      <c r="Z303" s="483">
        <f>PL!AA$722</f>
        <v>0</v>
      </c>
      <c r="AA303" s="483">
        <f>PL!AB$722</f>
        <v>0</v>
      </c>
      <c r="AB303" s="483">
        <f>PL!AC$722</f>
        <v>0</v>
      </c>
    </row>
    <row r="304" spans="1:28">
      <c r="A304" s="598">
        <v>1</v>
      </c>
      <c r="B304" s="598" t="s">
        <v>635</v>
      </c>
      <c r="C304" s="602" t="s">
        <v>429</v>
      </c>
      <c r="D304" s="598" t="s">
        <v>634</v>
      </c>
      <c r="E304" s="598" t="s">
        <v>45</v>
      </c>
      <c r="G304" s="244"/>
      <c r="H304" s="244"/>
      <c r="I304" s="245"/>
      <c r="J304" s="220" t="s">
        <v>31</v>
      </c>
      <c r="K304" s="233" t="s">
        <v>317</v>
      </c>
      <c r="L304" s="231" t="s">
        <v>32</v>
      </c>
      <c r="M304" s="468" t="s">
        <v>33</v>
      </c>
      <c r="N304" s="232" t="s">
        <v>5</v>
      </c>
      <c r="O304" s="216" t="str">
        <f>PL!$P$4</f>
        <v>BIN</v>
      </c>
      <c r="P304" s="216" t="str">
        <f>PL!$I$6</f>
        <v>K_INR</v>
      </c>
      <c r="Q304" s="222" t="str">
        <f>PL!Q$724</f>
        <v>S/GP (3) Gross Profit Indirect NH Label Printer LP</v>
      </c>
      <c r="R304" s="222">
        <f>PL!S$724</f>
        <v>0</v>
      </c>
      <c r="S304" s="222">
        <f>PL!T$724</f>
        <v>0</v>
      </c>
      <c r="T304" s="222">
        <f>PL!U$724</f>
        <v>0</v>
      </c>
      <c r="U304" s="222">
        <f>PL!V$724</f>
        <v>0</v>
      </c>
      <c r="V304" s="222">
        <f>PL!W$724</f>
        <v>0</v>
      </c>
      <c r="W304" s="222">
        <f>PL!X$724</f>
        <v>0</v>
      </c>
      <c r="X304" s="222">
        <f>PL!Y$724</f>
        <v>0</v>
      </c>
      <c r="Y304" s="222">
        <f>PL!Z$724</f>
        <v>0</v>
      </c>
      <c r="Z304" s="222">
        <f>PL!AA$724</f>
        <v>0</v>
      </c>
      <c r="AA304" s="222">
        <f>PL!AB$724</f>
        <v>0</v>
      </c>
      <c r="AB304" s="222">
        <f>PL!AC$724</f>
        <v>0</v>
      </c>
    </row>
    <row r="305" spans="1:28" s="475" customFormat="1">
      <c r="A305" s="598">
        <v>1</v>
      </c>
      <c r="B305" s="598" t="s">
        <v>630</v>
      </c>
      <c r="C305" s="602" t="s">
        <v>429</v>
      </c>
      <c r="D305" s="598" t="s">
        <v>633</v>
      </c>
      <c r="E305" s="598" t="s">
        <v>45</v>
      </c>
      <c r="G305" s="476"/>
      <c r="H305" s="476"/>
      <c r="I305" s="477"/>
      <c r="J305" s="474" t="s">
        <v>423</v>
      </c>
      <c r="K305" s="478" t="s">
        <v>317</v>
      </c>
      <c r="L305" s="479" t="s">
        <v>32</v>
      </c>
      <c r="M305" s="480" t="s">
        <v>33</v>
      </c>
      <c r="N305" s="481" t="s">
        <v>5</v>
      </c>
      <c r="O305" s="482" t="str">
        <f>PL!$P$4</f>
        <v>BIN</v>
      </c>
      <c r="P305" s="482" t="str">
        <f>PL!$I$6</f>
        <v>K_INR</v>
      </c>
      <c r="Q305" s="483" t="str">
        <f>PL!Q$726</f>
        <v>S/GP (3) Gross Profit Indirect NH Label Printer FSC (-) PC</v>
      </c>
      <c r="R305" s="483">
        <f>PL!S$726</f>
        <v>0</v>
      </c>
      <c r="S305" s="483">
        <f>PL!T$726</f>
        <v>0</v>
      </c>
      <c r="T305" s="483">
        <f>PL!U$726</f>
        <v>0</v>
      </c>
      <c r="U305" s="483">
        <f>PL!V$726</f>
        <v>0</v>
      </c>
      <c r="V305" s="483">
        <f>PL!W$726</f>
        <v>0</v>
      </c>
      <c r="W305" s="483">
        <f>PL!X$726</f>
        <v>0</v>
      </c>
      <c r="X305" s="483">
        <f>PL!Y$726</f>
        <v>0</v>
      </c>
      <c r="Y305" s="483">
        <f>PL!Z$726</f>
        <v>0</v>
      </c>
      <c r="Z305" s="483">
        <f>PL!AA$726</f>
        <v>0</v>
      </c>
      <c r="AA305" s="483">
        <f>PL!AB$726</f>
        <v>0</v>
      </c>
      <c r="AB305" s="483">
        <f>PL!AC$726</f>
        <v>0</v>
      </c>
    </row>
    <row r="306" spans="1:28" s="475" customFormat="1">
      <c r="A306" s="598">
        <v>1</v>
      </c>
      <c r="B306" s="598" t="s">
        <v>630</v>
      </c>
      <c r="C306" s="602" t="s">
        <v>429</v>
      </c>
      <c r="D306" s="598" t="s">
        <v>511</v>
      </c>
      <c r="E306" s="598" t="s">
        <v>45</v>
      </c>
      <c r="G306" s="476"/>
      <c r="H306" s="476"/>
      <c r="I306" s="477"/>
      <c r="J306" s="474" t="s">
        <v>424</v>
      </c>
      <c r="K306" s="478" t="s">
        <v>317</v>
      </c>
      <c r="L306" s="479" t="s">
        <v>32</v>
      </c>
      <c r="M306" s="480" t="s">
        <v>33</v>
      </c>
      <c r="N306" s="481" t="s">
        <v>5</v>
      </c>
      <c r="O306" s="482" t="str">
        <f>PL!$P$4</f>
        <v>BIN</v>
      </c>
      <c r="P306" s="482" t="str">
        <f>PL!$I$6</f>
        <v>K_INR</v>
      </c>
      <c r="Q306" s="483" t="str">
        <f>PL!Q$727</f>
        <v>S/GP (3) Gross Profit Indirect NH Label Printer FSC (-) TE</v>
      </c>
      <c r="R306" s="483">
        <f>PL!S$727</f>
        <v>0</v>
      </c>
      <c r="S306" s="483">
        <f>PL!T$727</f>
        <v>0</v>
      </c>
      <c r="T306" s="483">
        <f>PL!U$727</f>
        <v>0</v>
      </c>
      <c r="U306" s="483">
        <f>PL!V$727</f>
        <v>0</v>
      </c>
      <c r="V306" s="483">
        <f>PL!W$727</f>
        <v>0</v>
      </c>
      <c r="W306" s="483">
        <f>PL!X$727</f>
        <v>0</v>
      </c>
      <c r="X306" s="483">
        <f>PL!Y$727</f>
        <v>0</v>
      </c>
      <c r="Y306" s="483">
        <f>PL!Z$727</f>
        <v>0</v>
      </c>
      <c r="Z306" s="483">
        <f>PL!AA$727</f>
        <v>0</v>
      </c>
      <c r="AA306" s="483">
        <f>PL!AB$727</f>
        <v>0</v>
      </c>
      <c r="AB306" s="483">
        <f>PL!AC$727</f>
        <v>0</v>
      </c>
    </row>
    <row r="307" spans="1:28" s="475" customFormat="1">
      <c r="A307" s="598">
        <v>1</v>
      </c>
      <c r="B307" s="598" t="s">
        <v>616</v>
      </c>
      <c r="C307" s="602" t="s">
        <v>654</v>
      </c>
      <c r="D307" s="598" t="s">
        <v>634</v>
      </c>
      <c r="E307" s="598" t="s">
        <v>45</v>
      </c>
      <c r="G307" s="476"/>
      <c r="H307" s="476"/>
      <c r="I307" s="477"/>
      <c r="J307" s="474" t="s">
        <v>426</v>
      </c>
      <c r="K307" s="478" t="s">
        <v>317</v>
      </c>
      <c r="L307" s="479" t="s">
        <v>32</v>
      </c>
      <c r="M307" s="480" t="s">
        <v>33</v>
      </c>
      <c r="N307" s="481" t="s">
        <v>5</v>
      </c>
      <c r="O307" s="482" t="str">
        <f>PL!$P$4</f>
        <v>BIN</v>
      </c>
      <c r="P307" s="482" t="str">
        <f>PL!$I$6</f>
        <v>K_INR</v>
      </c>
      <c r="Q307" s="483" t="str">
        <f>PL!Q$728</f>
        <v>S/GP (3) Gross Profit Indirect NH Label Printer FSC (-) OFC</v>
      </c>
      <c r="R307" s="483">
        <f>PL!S$728</f>
        <v>0</v>
      </c>
      <c r="S307" s="483">
        <f>PL!T$728</f>
        <v>0</v>
      </c>
      <c r="T307" s="483">
        <f>PL!U$728</f>
        <v>0</v>
      </c>
      <c r="U307" s="483">
        <f>PL!V$728</f>
        <v>0</v>
      </c>
      <c r="V307" s="483">
        <f>PL!W$728</f>
        <v>0</v>
      </c>
      <c r="W307" s="483">
        <f>PL!X$728</f>
        <v>0</v>
      </c>
      <c r="X307" s="483">
        <f>PL!Y$728</f>
        <v>0</v>
      </c>
      <c r="Y307" s="483">
        <f>PL!Z$728</f>
        <v>0</v>
      </c>
      <c r="Z307" s="483">
        <f>PL!AA$728</f>
        <v>0</v>
      </c>
      <c r="AA307" s="483">
        <f>PL!AB$728</f>
        <v>0</v>
      </c>
      <c r="AB307" s="483">
        <f>PL!AC$728</f>
        <v>0</v>
      </c>
    </row>
    <row r="308" spans="1:28">
      <c r="A308" s="598">
        <v>1</v>
      </c>
      <c r="B308" s="598" t="s">
        <v>635</v>
      </c>
      <c r="C308" s="602" t="s">
        <v>654</v>
      </c>
      <c r="D308" s="598" t="s">
        <v>511</v>
      </c>
      <c r="E308" s="598" t="s">
        <v>45</v>
      </c>
      <c r="G308" s="244"/>
      <c r="H308" s="244"/>
      <c r="I308" s="245"/>
      <c r="J308" s="220" t="s">
        <v>31</v>
      </c>
      <c r="K308" s="233" t="s">
        <v>318</v>
      </c>
      <c r="L308" s="231" t="s">
        <v>32</v>
      </c>
      <c r="M308" s="468" t="s">
        <v>33</v>
      </c>
      <c r="N308" s="232" t="s">
        <v>5</v>
      </c>
      <c r="O308" s="216" t="str">
        <f>PL!$P$4</f>
        <v>BIN</v>
      </c>
      <c r="P308" s="216" t="str">
        <f>PL!$I$6</f>
        <v>K_INR</v>
      </c>
      <c r="Q308" s="222" t="str">
        <f>PL!Q$730</f>
        <v>S/GP (3) Gross Profit Indirect NH MGI MGI</v>
      </c>
      <c r="R308" s="222">
        <f>PL!S$730</f>
        <v>0</v>
      </c>
      <c r="S308" s="222">
        <f>PL!T$730</f>
        <v>0</v>
      </c>
      <c r="T308" s="222">
        <f>PL!U$730</f>
        <v>0</v>
      </c>
      <c r="U308" s="222">
        <f>PL!V$730</f>
        <v>0</v>
      </c>
      <c r="V308" s="222">
        <f>PL!W$730</f>
        <v>0</v>
      </c>
      <c r="W308" s="222">
        <f>PL!X$730</f>
        <v>0</v>
      </c>
      <c r="X308" s="222">
        <f>PL!Y$730</f>
        <v>0</v>
      </c>
      <c r="Y308" s="222">
        <f>PL!Z$730</f>
        <v>0</v>
      </c>
      <c r="Z308" s="222">
        <f>PL!AA$730</f>
        <v>0</v>
      </c>
      <c r="AA308" s="222">
        <f>PL!AB$730</f>
        <v>0</v>
      </c>
      <c r="AB308" s="222">
        <f>PL!AC$730</f>
        <v>0</v>
      </c>
    </row>
    <row r="309" spans="1:28" s="475" customFormat="1">
      <c r="A309" s="598">
        <v>1</v>
      </c>
      <c r="B309" s="598" t="s">
        <v>512</v>
      </c>
      <c r="C309" s="602" t="s">
        <v>429</v>
      </c>
      <c r="D309" s="598" t="s">
        <v>633</v>
      </c>
      <c r="E309" s="598" t="s">
        <v>45</v>
      </c>
      <c r="G309" s="476"/>
      <c r="H309" s="476"/>
      <c r="I309" s="477"/>
      <c r="J309" s="474" t="s">
        <v>423</v>
      </c>
      <c r="K309" s="478" t="s">
        <v>318</v>
      </c>
      <c r="L309" s="479" t="s">
        <v>32</v>
      </c>
      <c r="M309" s="480" t="s">
        <v>33</v>
      </c>
      <c r="N309" s="481" t="s">
        <v>5</v>
      </c>
      <c r="O309" s="482" t="str">
        <f>PL!$P$4</f>
        <v>BIN</v>
      </c>
      <c r="P309" s="482" t="str">
        <f>PL!$I$6</f>
        <v>K_INR</v>
      </c>
      <c r="Q309" s="483" t="str">
        <f>PL!Q$732</f>
        <v>S/GP (3) Gross Profit Indirect NH MGI FSC (-) PC</v>
      </c>
      <c r="R309" s="483">
        <f>PL!S$732</f>
        <v>0</v>
      </c>
      <c r="S309" s="483">
        <f>PL!T$732</f>
        <v>0</v>
      </c>
      <c r="T309" s="483">
        <f>PL!U$732</f>
        <v>0</v>
      </c>
      <c r="U309" s="483">
        <f>PL!V$732</f>
        <v>0</v>
      </c>
      <c r="V309" s="483">
        <f>PL!W$732</f>
        <v>0</v>
      </c>
      <c r="W309" s="483">
        <f>PL!X$732</f>
        <v>0</v>
      </c>
      <c r="X309" s="483">
        <f>PL!Y$732</f>
        <v>0</v>
      </c>
      <c r="Y309" s="483">
        <f>PL!Z$732</f>
        <v>0</v>
      </c>
      <c r="Z309" s="483">
        <f>PL!AA$732</f>
        <v>0</v>
      </c>
      <c r="AA309" s="483">
        <f>PL!AB$732</f>
        <v>0</v>
      </c>
      <c r="AB309" s="483">
        <f>PL!AC$732</f>
        <v>0</v>
      </c>
    </row>
    <row r="310" spans="1:28" s="475" customFormat="1">
      <c r="A310" s="598">
        <v>1</v>
      </c>
      <c r="B310" s="598" t="s">
        <v>630</v>
      </c>
      <c r="C310" s="602" t="s">
        <v>429</v>
      </c>
      <c r="D310" s="598" t="s">
        <v>511</v>
      </c>
      <c r="E310" s="598" t="s">
        <v>45</v>
      </c>
      <c r="G310" s="476"/>
      <c r="H310" s="476"/>
      <c r="I310" s="477"/>
      <c r="J310" s="474" t="s">
        <v>424</v>
      </c>
      <c r="K310" s="478" t="s">
        <v>318</v>
      </c>
      <c r="L310" s="479" t="s">
        <v>32</v>
      </c>
      <c r="M310" s="480" t="s">
        <v>33</v>
      </c>
      <c r="N310" s="481" t="s">
        <v>5</v>
      </c>
      <c r="O310" s="482" t="str">
        <f>PL!$P$4</f>
        <v>BIN</v>
      </c>
      <c r="P310" s="482" t="str">
        <f>PL!$I$6</f>
        <v>K_INR</v>
      </c>
      <c r="Q310" s="483" t="str">
        <f>PL!Q$733</f>
        <v>S/GP (3) Gross Profit Indirect NH MGI FSC (-) TE</v>
      </c>
      <c r="R310" s="483">
        <f>PL!S$733</f>
        <v>0</v>
      </c>
      <c r="S310" s="483">
        <f>PL!T$733</f>
        <v>0</v>
      </c>
      <c r="T310" s="483">
        <f>PL!U$733</f>
        <v>0</v>
      </c>
      <c r="U310" s="483">
        <f>PL!V$733</f>
        <v>0</v>
      </c>
      <c r="V310" s="483">
        <f>PL!W$733</f>
        <v>0</v>
      </c>
      <c r="W310" s="483">
        <f>PL!X$733</f>
        <v>0</v>
      </c>
      <c r="X310" s="483">
        <f>PL!Y$733</f>
        <v>0</v>
      </c>
      <c r="Y310" s="483">
        <f>PL!Z$733</f>
        <v>0</v>
      </c>
      <c r="Z310" s="483">
        <f>PL!AA$733</f>
        <v>0</v>
      </c>
      <c r="AA310" s="483">
        <f>PL!AB$733</f>
        <v>0</v>
      </c>
      <c r="AB310" s="483">
        <f>PL!AC$733</f>
        <v>0</v>
      </c>
    </row>
    <row r="311" spans="1:28" s="475" customFormat="1">
      <c r="A311" s="598">
        <v>1</v>
      </c>
      <c r="B311" s="598" t="s">
        <v>630</v>
      </c>
      <c r="C311" s="602" t="s">
        <v>429</v>
      </c>
      <c r="D311" s="598" t="s">
        <v>634</v>
      </c>
      <c r="E311" s="598" t="s">
        <v>45</v>
      </c>
      <c r="G311" s="476"/>
      <c r="H311" s="476"/>
      <c r="I311" s="477"/>
      <c r="J311" s="474" t="s">
        <v>426</v>
      </c>
      <c r="K311" s="478" t="s">
        <v>318</v>
      </c>
      <c r="L311" s="479" t="s">
        <v>32</v>
      </c>
      <c r="M311" s="480" t="s">
        <v>33</v>
      </c>
      <c r="N311" s="481" t="s">
        <v>5</v>
      </c>
      <c r="O311" s="482" t="str">
        <f>PL!$P$4</f>
        <v>BIN</v>
      </c>
      <c r="P311" s="482" t="str">
        <f>PL!$I$6</f>
        <v>K_INR</v>
      </c>
      <c r="Q311" s="483" t="str">
        <f>PL!Q$734</f>
        <v>S/GP (3) Gross Profit Indirect NH MGI FSC (-) OFC</v>
      </c>
      <c r="R311" s="483">
        <f>PL!S$734</f>
        <v>0</v>
      </c>
      <c r="S311" s="483">
        <f>PL!T$734</f>
        <v>0</v>
      </c>
      <c r="T311" s="483">
        <f>PL!U$734</f>
        <v>0</v>
      </c>
      <c r="U311" s="483">
        <f>PL!V$734</f>
        <v>0</v>
      </c>
      <c r="V311" s="483">
        <f>PL!W$734</f>
        <v>0</v>
      </c>
      <c r="W311" s="483">
        <f>PL!X$734</f>
        <v>0</v>
      </c>
      <c r="X311" s="483">
        <f>PL!Y$734</f>
        <v>0</v>
      </c>
      <c r="Y311" s="483">
        <f>PL!Z$734</f>
        <v>0</v>
      </c>
      <c r="Z311" s="483">
        <f>PL!AA$734</f>
        <v>0</v>
      </c>
      <c r="AA311" s="483">
        <f>PL!AB$734</f>
        <v>0</v>
      </c>
      <c r="AB311" s="483">
        <f>PL!AC$734</f>
        <v>0</v>
      </c>
    </row>
    <row r="312" spans="1:28">
      <c r="A312" s="598">
        <v>1</v>
      </c>
      <c r="B312" s="598" t="s">
        <v>630</v>
      </c>
      <c r="C312" s="602" t="s">
        <v>654</v>
      </c>
      <c r="D312" s="598" t="s">
        <v>634</v>
      </c>
      <c r="E312" s="598" t="s">
        <v>45</v>
      </c>
      <c r="G312" s="244"/>
      <c r="H312" s="244"/>
      <c r="I312" s="245"/>
      <c r="J312" s="220" t="s">
        <v>31</v>
      </c>
      <c r="K312" s="233" t="s">
        <v>319</v>
      </c>
      <c r="L312" s="231" t="s">
        <v>32</v>
      </c>
      <c r="M312" s="468" t="s">
        <v>33</v>
      </c>
      <c r="N312" s="232" t="s">
        <v>5</v>
      </c>
      <c r="O312" s="216" t="str">
        <f>PL!$P$4</f>
        <v>BIN</v>
      </c>
      <c r="P312" s="216" t="str">
        <f>PL!$I$6</f>
        <v>K_INR</v>
      </c>
      <c r="Q312" s="222" t="str">
        <f>PL!Q$736</f>
        <v>S/GP (3) Gross Profit Indirect NH EFI/LF EFI/LF</v>
      </c>
      <c r="R312" s="222">
        <f>PL!S$736</f>
        <v>0</v>
      </c>
      <c r="S312" s="222">
        <f>PL!T$736</f>
        <v>0</v>
      </c>
      <c r="T312" s="222">
        <f>PL!U$736</f>
        <v>0</v>
      </c>
      <c r="U312" s="222">
        <f>PL!V$736</f>
        <v>0</v>
      </c>
      <c r="V312" s="222">
        <f>PL!W$736</f>
        <v>0</v>
      </c>
      <c r="W312" s="222">
        <f>PL!X$736</f>
        <v>0</v>
      </c>
      <c r="X312" s="222">
        <f>PL!Y$736</f>
        <v>0</v>
      </c>
      <c r="Y312" s="222">
        <f>PL!Z$736</f>
        <v>0</v>
      </c>
      <c r="Z312" s="222">
        <f>PL!AA$736</f>
        <v>0</v>
      </c>
      <c r="AA312" s="222">
        <f>PL!AB$736</f>
        <v>0</v>
      </c>
      <c r="AB312" s="222">
        <f>PL!AC$736</f>
        <v>0</v>
      </c>
    </row>
    <row r="313" spans="1:28" s="475" customFormat="1">
      <c r="A313" s="598">
        <v>1</v>
      </c>
      <c r="B313" s="598" t="s">
        <v>616</v>
      </c>
      <c r="C313" s="602" t="s">
        <v>654</v>
      </c>
      <c r="D313" s="598" t="s">
        <v>633</v>
      </c>
      <c r="E313" s="598" t="s">
        <v>45</v>
      </c>
      <c r="G313" s="476"/>
      <c r="H313" s="476"/>
      <c r="I313" s="477"/>
      <c r="J313" s="474" t="s">
        <v>423</v>
      </c>
      <c r="K313" s="478" t="s">
        <v>319</v>
      </c>
      <c r="L313" s="479" t="s">
        <v>32</v>
      </c>
      <c r="M313" s="480" t="s">
        <v>33</v>
      </c>
      <c r="N313" s="481" t="s">
        <v>5</v>
      </c>
      <c r="O313" s="482" t="str">
        <f>PL!$P$4</f>
        <v>BIN</v>
      </c>
      <c r="P313" s="482" t="str">
        <f>PL!$I$6</f>
        <v>K_INR</v>
      </c>
      <c r="Q313" s="483" t="str">
        <f>PL!Q$738</f>
        <v>S/GP (3) Gross Profit Indirect NH EFI/LF FSC (-) PC</v>
      </c>
      <c r="R313" s="483">
        <f>PL!S$738</f>
        <v>0</v>
      </c>
      <c r="S313" s="483">
        <f>PL!T$738</f>
        <v>0</v>
      </c>
      <c r="T313" s="483">
        <f>PL!U$738</f>
        <v>0</v>
      </c>
      <c r="U313" s="483">
        <f>PL!V$738</f>
        <v>0</v>
      </c>
      <c r="V313" s="483">
        <f>PL!W$738</f>
        <v>0</v>
      </c>
      <c r="W313" s="483">
        <f>PL!X$738</f>
        <v>0</v>
      </c>
      <c r="X313" s="483">
        <f>PL!Y$738</f>
        <v>0</v>
      </c>
      <c r="Y313" s="483">
        <f>PL!Z$738</f>
        <v>0</v>
      </c>
      <c r="Z313" s="483">
        <f>PL!AA$738</f>
        <v>0</v>
      </c>
      <c r="AA313" s="483">
        <f>PL!AB$738</f>
        <v>0</v>
      </c>
      <c r="AB313" s="483">
        <f>PL!AC$738</f>
        <v>0</v>
      </c>
    </row>
    <row r="314" spans="1:28" s="475" customFormat="1">
      <c r="A314" s="598">
        <v>1</v>
      </c>
      <c r="B314" s="598" t="s">
        <v>660</v>
      </c>
      <c r="C314" s="602" t="s">
        <v>654</v>
      </c>
      <c r="D314" s="598" t="s">
        <v>511</v>
      </c>
      <c r="E314" s="598" t="s">
        <v>45</v>
      </c>
      <c r="G314" s="476"/>
      <c r="H314" s="476"/>
      <c r="I314" s="477"/>
      <c r="J314" s="474" t="s">
        <v>424</v>
      </c>
      <c r="K314" s="478" t="s">
        <v>319</v>
      </c>
      <c r="L314" s="479" t="s">
        <v>32</v>
      </c>
      <c r="M314" s="480" t="s">
        <v>33</v>
      </c>
      <c r="N314" s="481" t="s">
        <v>5</v>
      </c>
      <c r="O314" s="482" t="str">
        <f>PL!$P$4</f>
        <v>BIN</v>
      </c>
      <c r="P314" s="482" t="str">
        <f>PL!$I$6</f>
        <v>K_INR</v>
      </c>
      <c r="Q314" s="483" t="str">
        <f>PL!Q$739</f>
        <v>S/GP (3) Gross Profit Indirect NH EFI/LF FSC (-) TE</v>
      </c>
      <c r="R314" s="483">
        <f>PL!S$739</f>
        <v>0</v>
      </c>
      <c r="S314" s="483">
        <f>PL!T$739</f>
        <v>0</v>
      </c>
      <c r="T314" s="483">
        <f>PL!U$739</f>
        <v>0</v>
      </c>
      <c r="U314" s="483">
        <f>PL!V$739</f>
        <v>0</v>
      </c>
      <c r="V314" s="483">
        <f>PL!W$739</f>
        <v>0</v>
      </c>
      <c r="W314" s="483">
        <f>PL!X$739</f>
        <v>0</v>
      </c>
      <c r="X314" s="483">
        <f>PL!Y$739</f>
        <v>0</v>
      </c>
      <c r="Y314" s="483">
        <f>PL!Z$739</f>
        <v>0</v>
      </c>
      <c r="Z314" s="483">
        <f>PL!AA$739</f>
        <v>0</v>
      </c>
      <c r="AA314" s="483">
        <f>PL!AB$739</f>
        <v>0</v>
      </c>
      <c r="AB314" s="483">
        <f>PL!AC$739</f>
        <v>0</v>
      </c>
    </row>
    <row r="315" spans="1:28" s="475" customFormat="1">
      <c r="A315" s="598">
        <v>1</v>
      </c>
      <c r="B315" s="598" t="s">
        <v>660</v>
      </c>
      <c r="C315" s="602" t="s">
        <v>654</v>
      </c>
      <c r="D315" s="598" t="s">
        <v>511</v>
      </c>
      <c r="E315" s="598" t="s">
        <v>45</v>
      </c>
      <c r="G315" s="476"/>
      <c r="H315" s="476"/>
      <c r="I315" s="477"/>
      <c r="J315" s="474" t="s">
        <v>426</v>
      </c>
      <c r="K315" s="478" t="s">
        <v>319</v>
      </c>
      <c r="L315" s="479" t="s">
        <v>32</v>
      </c>
      <c r="M315" s="480" t="s">
        <v>33</v>
      </c>
      <c r="N315" s="481" t="s">
        <v>5</v>
      </c>
      <c r="O315" s="482" t="str">
        <f>PL!$P$4</f>
        <v>BIN</v>
      </c>
      <c r="P315" s="482" t="str">
        <f>PL!$I$6</f>
        <v>K_INR</v>
      </c>
      <c r="Q315" s="483" t="str">
        <f>PL!Q$740</f>
        <v>S/GP (3) Gross Profit Indirect NH EFI/LF FSC (-) OFC</v>
      </c>
      <c r="R315" s="483">
        <f>PL!S$740</f>
        <v>0</v>
      </c>
      <c r="S315" s="483">
        <f>PL!T$740</f>
        <v>0</v>
      </c>
      <c r="T315" s="483">
        <f>PL!U$740</f>
        <v>0</v>
      </c>
      <c r="U315" s="483">
        <f>PL!V$740</f>
        <v>0</v>
      </c>
      <c r="V315" s="483">
        <f>PL!W$740</f>
        <v>0</v>
      </c>
      <c r="W315" s="483">
        <f>PL!X$740</f>
        <v>0</v>
      </c>
      <c r="X315" s="483">
        <f>PL!Y$740</f>
        <v>0</v>
      </c>
      <c r="Y315" s="483">
        <f>PL!Z$740</f>
        <v>0</v>
      </c>
      <c r="Z315" s="483">
        <f>PL!AA$740</f>
        <v>0</v>
      </c>
      <c r="AA315" s="483">
        <f>PL!AB$740</f>
        <v>0</v>
      </c>
      <c r="AB315" s="483">
        <f>PL!AC$740</f>
        <v>0</v>
      </c>
    </row>
    <row r="316" spans="1:28">
      <c r="A316" s="598">
        <v>1</v>
      </c>
      <c r="B316" s="598" t="s">
        <v>512</v>
      </c>
      <c r="C316" s="602" t="s">
        <v>429</v>
      </c>
      <c r="D316" s="598" t="s">
        <v>511</v>
      </c>
      <c r="E316" s="598" t="s">
        <v>45</v>
      </c>
      <c r="G316" s="244"/>
      <c r="H316" s="244"/>
      <c r="I316" s="245"/>
      <c r="J316" s="220" t="s">
        <v>31</v>
      </c>
      <c r="K316" s="233" t="s">
        <v>320</v>
      </c>
      <c r="L316" s="231" t="s">
        <v>32</v>
      </c>
      <c r="M316" s="468" t="s">
        <v>33</v>
      </c>
      <c r="N316" s="232" t="s">
        <v>5</v>
      </c>
      <c r="O316" s="216" t="str">
        <f>PL!$P$4</f>
        <v>BIN</v>
      </c>
      <c r="P316" s="216" t="str">
        <f>PL!$I$6</f>
        <v>K_INR</v>
      </c>
      <c r="Q316" s="222" t="str">
        <f>PL!Q$742</f>
        <v>S/GP (3) Gross Profit Indirect NH TextilePrinter TP</v>
      </c>
      <c r="R316" s="222">
        <f>PL!S$742</f>
        <v>0</v>
      </c>
      <c r="S316" s="222">
        <f>PL!T$742</f>
        <v>0</v>
      </c>
      <c r="T316" s="222">
        <f>PL!U$742</f>
        <v>0</v>
      </c>
      <c r="U316" s="222">
        <f>PL!V$742</f>
        <v>0</v>
      </c>
      <c r="V316" s="222">
        <f>PL!W$742</f>
        <v>0</v>
      </c>
      <c r="W316" s="222">
        <f>PL!X$742</f>
        <v>0</v>
      </c>
      <c r="X316" s="222">
        <f>PL!Y$742</f>
        <v>0</v>
      </c>
      <c r="Y316" s="222">
        <f>PL!Z$742</f>
        <v>0</v>
      </c>
      <c r="Z316" s="222">
        <f>PL!AA$742</f>
        <v>0</v>
      </c>
      <c r="AA316" s="222">
        <f>PL!AB$742</f>
        <v>0</v>
      </c>
      <c r="AB316" s="222">
        <f>PL!AC$742</f>
        <v>0</v>
      </c>
    </row>
    <row r="317" spans="1:28" s="475" customFormat="1">
      <c r="A317" s="598">
        <v>1</v>
      </c>
      <c r="B317" s="598" t="s">
        <v>660</v>
      </c>
      <c r="C317" s="602" t="s">
        <v>429</v>
      </c>
      <c r="D317" s="598" t="s">
        <v>511</v>
      </c>
      <c r="E317" s="598" t="s">
        <v>45</v>
      </c>
      <c r="G317" s="476"/>
      <c r="H317" s="476"/>
      <c r="I317" s="477"/>
      <c r="J317" s="474" t="s">
        <v>423</v>
      </c>
      <c r="K317" s="478" t="s">
        <v>320</v>
      </c>
      <c r="L317" s="479" t="s">
        <v>32</v>
      </c>
      <c r="M317" s="480" t="s">
        <v>33</v>
      </c>
      <c r="N317" s="481" t="s">
        <v>5</v>
      </c>
      <c r="O317" s="482" t="str">
        <f>PL!$P$4</f>
        <v>BIN</v>
      </c>
      <c r="P317" s="482" t="str">
        <f>PL!$I$6</f>
        <v>K_INR</v>
      </c>
      <c r="Q317" s="483" t="str">
        <f>PL!Q$744</f>
        <v>S/GP (3) Gross Profit Indirect NH TextilePrinter FSC (-) PC</v>
      </c>
      <c r="R317" s="483">
        <f>PL!S$744</f>
        <v>0</v>
      </c>
      <c r="S317" s="483">
        <f>PL!T$744</f>
        <v>0</v>
      </c>
      <c r="T317" s="483">
        <f>PL!U$744</f>
        <v>0</v>
      </c>
      <c r="U317" s="483">
        <f>PL!V$744</f>
        <v>0</v>
      </c>
      <c r="V317" s="483">
        <f>PL!W$744</f>
        <v>0</v>
      </c>
      <c r="W317" s="483">
        <f>PL!X$744</f>
        <v>0</v>
      </c>
      <c r="X317" s="483">
        <f>PL!Y$744</f>
        <v>0</v>
      </c>
      <c r="Y317" s="483">
        <f>PL!Z$744</f>
        <v>0</v>
      </c>
      <c r="Z317" s="483">
        <f>PL!AA$744</f>
        <v>0</v>
      </c>
      <c r="AA317" s="483">
        <f>PL!AB$744</f>
        <v>0</v>
      </c>
      <c r="AB317" s="483">
        <f>PL!AC$744</f>
        <v>0</v>
      </c>
    </row>
    <row r="318" spans="1:28" s="475" customFormat="1">
      <c r="A318" s="598">
        <v>1</v>
      </c>
      <c r="B318" s="598" t="s">
        <v>630</v>
      </c>
      <c r="C318" s="602" t="s">
        <v>654</v>
      </c>
      <c r="D318" s="598" t="s">
        <v>661</v>
      </c>
      <c r="E318" s="598" t="s">
        <v>45</v>
      </c>
      <c r="G318" s="476"/>
      <c r="H318" s="476"/>
      <c r="I318" s="477"/>
      <c r="J318" s="474" t="s">
        <v>424</v>
      </c>
      <c r="K318" s="478" t="s">
        <v>320</v>
      </c>
      <c r="L318" s="479" t="s">
        <v>32</v>
      </c>
      <c r="M318" s="480" t="s">
        <v>33</v>
      </c>
      <c r="N318" s="481" t="s">
        <v>5</v>
      </c>
      <c r="O318" s="482" t="str">
        <f>PL!$P$4</f>
        <v>BIN</v>
      </c>
      <c r="P318" s="482" t="str">
        <f>PL!$I$6</f>
        <v>K_INR</v>
      </c>
      <c r="Q318" s="483" t="str">
        <f>PL!Q$745</f>
        <v>S/GP (3) Gross Profit Indirect NH TextilePrinter FSC (-) TE</v>
      </c>
      <c r="R318" s="483">
        <f>PL!S$745</f>
        <v>0</v>
      </c>
      <c r="S318" s="483">
        <f>PL!T$745</f>
        <v>0</v>
      </c>
      <c r="T318" s="483">
        <f>PL!U$745</f>
        <v>0</v>
      </c>
      <c r="U318" s="483">
        <f>PL!V$745</f>
        <v>0</v>
      </c>
      <c r="V318" s="483">
        <f>PL!W$745</f>
        <v>0</v>
      </c>
      <c r="W318" s="483">
        <f>PL!X$745</f>
        <v>0</v>
      </c>
      <c r="X318" s="483">
        <f>PL!Y$745</f>
        <v>0</v>
      </c>
      <c r="Y318" s="483">
        <f>PL!Z$745</f>
        <v>0</v>
      </c>
      <c r="Z318" s="483">
        <f>PL!AA$745</f>
        <v>0</v>
      </c>
      <c r="AA318" s="483">
        <f>PL!AB$745</f>
        <v>0</v>
      </c>
      <c r="AB318" s="483">
        <f>PL!AC$745</f>
        <v>0</v>
      </c>
    </row>
    <row r="319" spans="1:28" s="475" customFormat="1">
      <c r="A319" s="598">
        <v>1</v>
      </c>
      <c r="B319" s="598" t="s">
        <v>512</v>
      </c>
      <c r="C319" s="602" t="s">
        <v>654</v>
      </c>
      <c r="D319" s="598" t="s">
        <v>511</v>
      </c>
      <c r="E319" s="598" t="s">
        <v>45</v>
      </c>
      <c r="G319" s="476"/>
      <c r="H319" s="476"/>
      <c r="I319" s="477"/>
      <c r="J319" s="474" t="s">
        <v>426</v>
      </c>
      <c r="K319" s="478" t="s">
        <v>320</v>
      </c>
      <c r="L319" s="479" t="s">
        <v>32</v>
      </c>
      <c r="M319" s="480" t="s">
        <v>33</v>
      </c>
      <c r="N319" s="481" t="s">
        <v>5</v>
      </c>
      <c r="O319" s="482" t="str">
        <f>PL!$P$4</f>
        <v>BIN</v>
      </c>
      <c r="P319" s="482" t="str">
        <f>PL!$I$6</f>
        <v>K_INR</v>
      </c>
      <c r="Q319" s="483" t="str">
        <f>PL!Q$746</f>
        <v>S/GP (3) Gross Profit Indirect NH TextilePrinter FSC (-) OFC</v>
      </c>
      <c r="R319" s="483">
        <f>PL!S$746</f>
        <v>0</v>
      </c>
      <c r="S319" s="483">
        <f>PL!T$746</f>
        <v>0</v>
      </c>
      <c r="T319" s="483">
        <f>PL!U$746</f>
        <v>0</v>
      </c>
      <c r="U319" s="483">
        <f>PL!V$746</f>
        <v>0</v>
      </c>
      <c r="V319" s="483">
        <f>PL!W$746</f>
        <v>0</v>
      </c>
      <c r="W319" s="483">
        <f>PL!X$746</f>
        <v>0</v>
      </c>
      <c r="X319" s="483">
        <f>PL!Y$746</f>
        <v>0</v>
      </c>
      <c r="Y319" s="483">
        <f>PL!Z$746</f>
        <v>0</v>
      </c>
      <c r="Z319" s="483">
        <f>PL!AA$746</f>
        <v>0</v>
      </c>
      <c r="AA319" s="483">
        <f>PL!AB$746</f>
        <v>0</v>
      </c>
      <c r="AB319" s="483">
        <f>PL!AC$746</f>
        <v>0</v>
      </c>
    </row>
    <row r="320" spans="1:28" s="475" customFormat="1">
      <c r="A320" s="598">
        <v>1</v>
      </c>
      <c r="B320" s="598" t="s">
        <v>512</v>
      </c>
      <c r="C320" s="602" t="s">
        <v>662</v>
      </c>
      <c r="D320" s="598" t="s">
        <v>661</v>
      </c>
      <c r="E320" s="598" t="s">
        <v>45</v>
      </c>
      <c r="G320" s="476"/>
      <c r="H320" s="476"/>
      <c r="I320" s="477"/>
      <c r="J320" s="474" t="s">
        <v>427</v>
      </c>
      <c r="K320" s="478" t="s">
        <v>321</v>
      </c>
      <c r="L320" s="479" t="s">
        <v>32</v>
      </c>
      <c r="M320" s="480" t="s">
        <v>33</v>
      </c>
      <c r="N320" s="481" t="s">
        <v>5</v>
      </c>
      <c r="O320" s="482" t="str">
        <f>PL!$P$4</f>
        <v>BIN</v>
      </c>
      <c r="P320" s="482" t="str">
        <f>PL!$I$6</f>
        <v>K_INR</v>
      </c>
      <c r="Q320" s="483" t="str">
        <f>PL!Q$748</f>
        <v>S/GP (3) Gross Profit Indirect NH &lt;Direct&gt; SDC (-) PC</v>
      </c>
      <c r="R320" s="483">
        <f>PL!S$748</f>
        <v>0</v>
      </c>
      <c r="S320" s="483">
        <f>PL!T$748</f>
        <v>0</v>
      </c>
      <c r="T320" s="483">
        <f>PL!U$748</f>
        <v>0</v>
      </c>
      <c r="U320" s="483">
        <f>PL!V$748</f>
        <v>0</v>
      </c>
      <c r="V320" s="483">
        <f>PL!W$748</f>
        <v>0</v>
      </c>
      <c r="W320" s="483">
        <f>PL!X$748</f>
        <v>0</v>
      </c>
      <c r="X320" s="483">
        <f>PL!Y$748</f>
        <v>0</v>
      </c>
      <c r="Y320" s="483">
        <f>PL!Z$748</f>
        <v>0</v>
      </c>
      <c r="Z320" s="483">
        <f>PL!AA$748</f>
        <v>0</v>
      </c>
      <c r="AA320" s="483">
        <f>PL!AB$748</f>
        <v>0</v>
      </c>
      <c r="AB320" s="483">
        <f>PL!AC$748</f>
        <v>0</v>
      </c>
    </row>
    <row r="321" spans="1:28" s="475" customFormat="1">
      <c r="A321" s="598">
        <v>1</v>
      </c>
      <c r="B321" s="598" t="s">
        <v>630</v>
      </c>
      <c r="C321" s="602" t="s">
        <v>654</v>
      </c>
      <c r="D321" s="598" t="s">
        <v>634</v>
      </c>
      <c r="E321" s="598" t="s">
        <v>45</v>
      </c>
      <c r="G321" s="476"/>
      <c r="H321" s="476"/>
      <c r="I321" s="477"/>
      <c r="J321" s="474" t="s">
        <v>428</v>
      </c>
      <c r="K321" s="478" t="s">
        <v>321</v>
      </c>
      <c r="L321" s="479" t="s">
        <v>32</v>
      </c>
      <c r="M321" s="480" t="s">
        <v>33</v>
      </c>
      <c r="N321" s="481" t="s">
        <v>5</v>
      </c>
      <c r="O321" s="482" t="str">
        <f>PL!$P$4</f>
        <v>BIN</v>
      </c>
      <c r="P321" s="482" t="str">
        <f>PL!$I$6</f>
        <v>K_INR</v>
      </c>
      <c r="Q321" s="483" t="str">
        <f>PL!Q$749</f>
        <v>S/GP (3) Gross Profit Indirect NH &lt;Direct&gt; SDC (-) OFC</v>
      </c>
      <c r="R321" s="483">
        <f>PL!S$749</f>
        <v>0</v>
      </c>
      <c r="S321" s="483">
        <f>PL!T$749</f>
        <v>0</v>
      </c>
      <c r="T321" s="483">
        <f>PL!U$749</f>
        <v>0</v>
      </c>
      <c r="U321" s="483">
        <f>PL!V$749</f>
        <v>0</v>
      </c>
      <c r="V321" s="483">
        <f>PL!W$749</f>
        <v>0</v>
      </c>
      <c r="W321" s="483">
        <f>PL!X$749</f>
        <v>0</v>
      </c>
      <c r="X321" s="483">
        <f>PL!Y$749</f>
        <v>0</v>
      </c>
      <c r="Y321" s="483">
        <f>PL!Z$749</f>
        <v>0</v>
      </c>
      <c r="Z321" s="483">
        <f>PL!AA$749</f>
        <v>0</v>
      </c>
      <c r="AA321" s="483">
        <f>PL!AB$749</f>
        <v>0</v>
      </c>
      <c r="AB321" s="483">
        <f>PL!AC$749</f>
        <v>0</v>
      </c>
    </row>
    <row r="322" spans="1:28" s="475" customFormat="1">
      <c r="A322" s="598">
        <v>1</v>
      </c>
      <c r="B322" s="598" t="s">
        <v>630</v>
      </c>
      <c r="C322" s="602" t="s">
        <v>429</v>
      </c>
      <c r="D322" s="598" t="s">
        <v>661</v>
      </c>
      <c r="E322" s="598" t="s">
        <v>45</v>
      </c>
      <c r="G322" s="476"/>
      <c r="H322" s="476"/>
      <c r="I322" s="477"/>
      <c r="J322" s="474" t="s">
        <v>425</v>
      </c>
      <c r="K322" s="478" t="s">
        <v>321</v>
      </c>
      <c r="L322" s="479" t="s">
        <v>32</v>
      </c>
      <c r="M322" s="480" t="s">
        <v>33</v>
      </c>
      <c r="N322" s="481" t="s">
        <v>5</v>
      </c>
      <c r="O322" s="482" t="str">
        <f>PL!$P$4</f>
        <v>BIN</v>
      </c>
      <c r="P322" s="482" t="str">
        <f>PL!$I$6</f>
        <v>K_INR</v>
      </c>
      <c r="Q322" s="483" t="str">
        <f>PL!Q$750</f>
        <v>S/GP (3) Gross Profit Indirect NH &lt;Direct&gt; D &amp; A (-)</v>
      </c>
      <c r="R322" s="483">
        <f>PL!S$750</f>
        <v>0</v>
      </c>
      <c r="S322" s="483">
        <f>PL!T$750</f>
        <v>0</v>
      </c>
      <c r="T322" s="483">
        <f>PL!U$750</f>
        <v>0</v>
      </c>
      <c r="U322" s="483">
        <f>PL!V$750</f>
        <v>0</v>
      </c>
      <c r="V322" s="483">
        <f>PL!W$750</f>
        <v>0</v>
      </c>
      <c r="W322" s="483">
        <f>PL!X$750</f>
        <v>0</v>
      </c>
      <c r="X322" s="483">
        <f>PL!Y$750</f>
        <v>0</v>
      </c>
      <c r="Y322" s="483">
        <f>PL!Z$750</f>
        <v>0</v>
      </c>
      <c r="Z322" s="483">
        <f>PL!AA$750</f>
        <v>0</v>
      </c>
      <c r="AA322" s="483">
        <f>PL!AB$750</f>
        <v>0</v>
      </c>
      <c r="AB322" s="483">
        <f>PL!AC$750</f>
        <v>0</v>
      </c>
    </row>
    <row r="323" spans="1:28">
      <c r="A323" s="598">
        <v>1</v>
      </c>
      <c r="B323" s="598" t="s">
        <v>660</v>
      </c>
      <c r="C323" s="602" t="s">
        <v>662</v>
      </c>
      <c r="D323" s="598" t="s">
        <v>511</v>
      </c>
      <c r="E323" s="598" t="s">
        <v>45</v>
      </c>
      <c r="G323" s="244"/>
      <c r="H323" s="244"/>
      <c r="I323" s="245"/>
      <c r="J323" s="220" t="s">
        <v>31</v>
      </c>
      <c r="K323" s="233" t="s">
        <v>321</v>
      </c>
      <c r="L323" s="231" t="s">
        <v>32</v>
      </c>
      <c r="M323" s="468" t="s">
        <v>33</v>
      </c>
      <c r="N323" s="232" t="s">
        <v>5</v>
      </c>
      <c r="O323" s="216" t="str">
        <f>PL!$P$4</f>
        <v>BIN</v>
      </c>
      <c r="P323" s="216" t="str">
        <f>PL!$I$6</f>
        <v>K_INR</v>
      </c>
      <c r="Q323" s="222" t="str">
        <f>PL!Q$751</f>
        <v>S/GP (3) Gross Profit Indirect NH Others</v>
      </c>
      <c r="R323" s="222">
        <f>PL!S$751</f>
        <v>0</v>
      </c>
      <c r="S323" s="222">
        <f>PL!T$751</f>
        <v>0</v>
      </c>
      <c r="T323" s="222">
        <f>PL!U$751</f>
        <v>0</v>
      </c>
      <c r="U323" s="222">
        <f>PL!V$751</f>
        <v>0</v>
      </c>
      <c r="V323" s="222">
        <f>PL!W$751</f>
        <v>0</v>
      </c>
      <c r="W323" s="222">
        <f>PL!X$751</f>
        <v>0</v>
      </c>
      <c r="X323" s="222">
        <f>PL!Y$751</f>
        <v>0</v>
      </c>
      <c r="Y323" s="222">
        <f>PL!Z$751</f>
        <v>0</v>
      </c>
      <c r="Z323" s="222">
        <f>PL!AA$751</f>
        <v>0</v>
      </c>
      <c r="AA323" s="222">
        <f>PL!AB$751</f>
        <v>0</v>
      </c>
      <c r="AB323" s="222">
        <f>PL!AC$751</f>
        <v>0</v>
      </c>
    </row>
    <row r="324" spans="1:28" s="682" customFormat="1">
      <c r="A324" s="682">
        <v>1</v>
      </c>
      <c r="C324" s="683"/>
      <c r="F324" s="684"/>
      <c r="G324" s="685"/>
      <c r="H324" s="685"/>
      <c r="I324" s="686"/>
      <c r="J324" s="687" t="s">
        <v>44</v>
      </c>
      <c r="K324" s="688" t="s">
        <v>429</v>
      </c>
      <c r="L324" s="689" t="s">
        <v>3</v>
      </c>
      <c r="M324" s="690" t="s">
        <v>4</v>
      </c>
      <c r="N324" s="691" t="s">
        <v>5</v>
      </c>
      <c r="O324" s="692" t="str">
        <f>PL!$P$4</f>
        <v>BIN</v>
      </c>
      <c r="P324" s="692" t="str">
        <f>PL!$I$6</f>
        <v>K_INR</v>
      </c>
      <c r="Q324" s="693">
        <f>SUM(Q325:Q327)</f>
        <v>0</v>
      </c>
      <c r="R324" s="693">
        <f t="shared" ref="R324:AB324" si="23">SUM(R325:R327)</f>
        <v>2277.5850230155347</v>
      </c>
      <c r="S324" s="693">
        <f t="shared" si="23"/>
        <v>2653.8869849289322</v>
      </c>
      <c r="T324" s="693">
        <f t="shared" si="23"/>
        <v>2642.4913994741919</v>
      </c>
      <c r="U324" s="693">
        <f t="shared" si="23"/>
        <v>2654.6348013777306</v>
      </c>
      <c r="V324" s="693">
        <f t="shared" si="23"/>
        <v>2761.8275081004808</v>
      </c>
      <c r="W324" s="693">
        <f t="shared" si="23"/>
        <v>2687.8747639580652</v>
      </c>
      <c r="X324" s="693">
        <f t="shared" si="23"/>
        <v>2764.0233053629686</v>
      </c>
      <c r="Y324" s="693">
        <f t="shared" si="23"/>
        <v>2798.3414142982901</v>
      </c>
      <c r="Z324" s="693">
        <f t="shared" si="23"/>
        <v>3475.1798832428681</v>
      </c>
      <c r="AA324" s="693">
        <f t="shared" si="23"/>
        <v>3704.6254925391677</v>
      </c>
      <c r="AB324" s="693">
        <f t="shared" si="23"/>
        <v>1221.7619243365768</v>
      </c>
    </row>
    <row r="325" spans="1:28">
      <c r="A325" s="598">
        <v>1</v>
      </c>
      <c r="B325" s="598" t="s">
        <v>660</v>
      </c>
      <c r="C325" s="602" t="s">
        <v>429</v>
      </c>
      <c r="D325" s="598" t="s">
        <v>620</v>
      </c>
      <c r="E325" s="598" t="s">
        <v>623</v>
      </c>
      <c r="G325" s="244"/>
      <c r="H325" s="244"/>
      <c r="I325" s="245"/>
      <c r="J325" s="224" t="s">
        <v>25</v>
      </c>
      <c r="K325" s="233" t="s">
        <v>321</v>
      </c>
      <c r="L325" s="232" t="s">
        <v>3</v>
      </c>
      <c r="M325" s="468" t="s">
        <v>4</v>
      </c>
      <c r="N325" s="232" t="s">
        <v>5</v>
      </c>
      <c r="O325" s="216" t="str">
        <f>PL!$P$4</f>
        <v>BIN</v>
      </c>
      <c r="P325" s="216" t="str">
        <f>PL!$I$6</f>
        <v>K_INR</v>
      </c>
      <c r="Q325" s="222" t="str">
        <f>PL!Q$269</f>
        <v>PL (3) SGA Expenses Variable Expenses</v>
      </c>
      <c r="R325" s="222">
        <f>PL!S$269</f>
        <v>239.55089132340413</v>
      </c>
      <c r="S325" s="222">
        <f>PL!T$269</f>
        <v>185.98715867134592</v>
      </c>
      <c r="T325" s="222">
        <f>PL!U$269</f>
        <v>348.9773196471948</v>
      </c>
      <c r="U325" s="222">
        <f>PL!V$269</f>
        <v>133.9207567772001</v>
      </c>
      <c r="V325" s="222">
        <f>PL!W$269</f>
        <v>470.97790040105588</v>
      </c>
      <c r="W325" s="222">
        <f>PL!X$269</f>
        <v>204.33572717881862</v>
      </c>
      <c r="X325" s="222">
        <f>PL!Y$269</f>
        <v>489.00176305503419</v>
      </c>
      <c r="Y325" s="222">
        <f>PL!Z$269</f>
        <v>163.4234496295926</v>
      </c>
      <c r="Z325" s="222">
        <f>PL!AA$269</f>
        <v>1375.4058572666568</v>
      </c>
      <c r="AA325" s="222">
        <f>PL!AB$269</f>
        <v>1648.2257486920998</v>
      </c>
      <c r="AB325" s="222">
        <f>PL!AC$269</f>
        <v>-701.86655152023945</v>
      </c>
    </row>
    <row r="326" spans="1:28">
      <c r="A326" s="598">
        <v>1</v>
      </c>
      <c r="B326" s="598" t="s">
        <v>660</v>
      </c>
      <c r="C326" s="602" t="s">
        <v>654</v>
      </c>
      <c r="D326" s="598" t="s">
        <v>620</v>
      </c>
      <c r="E326" s="598" t="s">
        <v>663</v>
      </c>
      <c r="G326" s="244"/>
      <c r="H326" s="244"/>
      <c r="I326" s="245"/>
      <c r="J326" s="224" t="s">
        <v>26</v>
      </c>
      <c r="K326" s="233" t="s">
        <v>321</v>
      </c>
      <c r="L326" s="232" t="s">
        <v>3</v>
      </c>
      <c r="M326" s="468" t="s">
        <v>4</v>
      </c>
      <c r="N326" s="232" t="s">
        <v>5</v>
      </c>
      <c r="O326" s="216" t="str">
        <f>PL!$P$4</f>
        <v>BIN</v>
      </c>
      <c r="P326" s="216" t="str">
        <f>PL!$I$6</f>
        <v>K_INR</v>
      </c>
      <c r="Q326" s="222" t="str">
        <f>PL!Q$270</f>
        <v>PL (3) SGA Expenses Wages &amp; Salaries</v>
      </c>
      <c r="R326" s="222">
        <f>PL!S$270</f>
        <v>1727.0701752737095</v>
      </c>
      <c r="S326" s="222">
        <f>PL!T$270</f>
        <v>1812.0943117414163</v>
      </c>
      <c r="T326" s="222">
        <f>PL!U$270</f>
        <v>1705.3713716575785</v>
      </c>
      <c r="U326" s="222">
        <f>PL!V$270</f>
        <v>1719.2948784058999</v>
      </c>
      <c r="V326" s="222">
        <f>PL!W$270</f>
        <v>1819.5483783134659</v>
      </c>
      <c r="W326" s="222">
        <f>PL!X$270</f>
        <v>1668.497553102123</v>
      </c>
      <c r="X326" s="222">
        <f>PL!Y$270</f>
        <v>1751.2024207938862</v>
      </c>
      <c r="Y326" s="222">
        <f>PL!Z$270</f>
        <v>2062.8042584419636</v>
      </c>
      <c r="Z326" s="222">
        <f>PL!AA$270</f>
        <v>1545.4615870404195</v>
      </c>
      <c r="AA326" s="222">
        <f>PL!AB$270</f>
        <v>1492.5247886308562</v>
      </c>
      <c r="AB326" s="222">
        <f>PL!AC$270</f>
        <v>1551.2666141716552</v>
      </c>
    </row>
    <row r="327" spans="1:28">
      <c r="A327" s="598">
        <v>1</v>
      </c>
      <c r="B327" s="598" t="s">
        <v>660</v>
      </c>
      <c r="C327" s="602" t="s">
        <v>429</v>
      </c>
      <c r="D327" s="598" t="s">
        <v>620</v>
      </c>
      <c r="E327" s="598" t="s">
        <v>623</v>
      </c>
      <c r="G327" s="244"/>
      <c r="H327" s="244"/>
      <c r="I327" s="245"/>
      <c r="J327" s="224" t="s">
        <v>27</v>
      </c>
      <c r="K327" s="233" t="s">
        <v>321</v>
      </c>
      <c r="L327" s="232" t="s">
        <v>3</v>
      </c>
      <c r="M327" s="468" t="s">
        <v>4</v>
      </c>
      <c r="N327" s="232" t="s">
        <v>5</v>
      </c>
      <c r="O327" s="216" t="str">
        <f>PL!$P$4</f>
        <v>BIN</v>
      </c>
      <c r="P327" s="216" t="str">
        <f>PL!$I$6</f>
        <v>K_INR</v>
      </c>
      <c r="Q327" s="222" t="str">
        <f>PL!Q$271</f>
        <v>PL (3) SGA Expenses Fixed Expenses</v>
      </c>
      <c r="R327" s="222">
        <f>PL!S$271</f>
        <v>310.96395641842105</v>
      </c>
      <c r="S327" s="222">
        <f>PL!T$271</f>
        <v>655.80551451616975</v>
      </c>
      <c r="T327" s="222">
        <f>PL!U$271</f>
        <v>588.14270816941882</v>
      </c>
      <c r="U327" s="222">
        <f>PL!V$271</f>
        <v>801.41916619463086</v>
      </c>
      <c r="V327" s="222">
        <f>PL!W$271</f>
        <v>471.30122938595883</v>
      </c>
      <c r="W327" s="222">
        <f>PL!X$271</f>
        <v>815.04148367712367</v>
      </c>
      <c r="X327" s="222">
        <f>PL!Y$271</f>
        <v>523.81912151404833</v>
      </c>
      <c r="Y327" s="222">
        <f>PL!Z$271</f>
        <v>572.11370622673394</v>
      </c>
      <c r="Z327" s="222">
        <f>PL!AA$271</f>
        <v>554.31243893579187</v>
      </c>
      <c r="AA327" s="222">
        <f>PL!AB$271</f>
        <v>563.87495521621145</v>
      </c>
      <c r="AB327" s="222">
        <f>PL!AC$271</f>
        <v>372.36186168516116</v>
      </c>
    </row>
    <row r="328" spans="1:28" s="682" customFormat="1">
      <c r="A328" s="682">
        <v>1</v>
      </c>
      <c r="B328" s="682" t="s">
        <v>698</v>
      </c>
      <c r="C328" s="683" t="s">
        <v>54</v>
      </c>
      <c r="D328" s="682" t="s">
        <v>696</v>
      </c>
      <c r="E328" s="682" t="s">
        <v>695</v>
      </c>
      <c r="F328" s="684"/>
      <c r="G328" s="685"/>
      <c r="H328" s="685"/>
      <c r="I328" s="686"/>
      <c r="J328" s="687" t="s">
        <v>46</v>
      </c>
      <c r="K328" s="688" t="s">
        <v>429</v>
      </c>
      <c r="L328" s="689" t="s">
        <v>3</v>
      </c>
      <c r="M328" s="690" t="s">
        <v>4</v>
      </c>
      <c r="N328" s="691" t="s">
        <v>5</v>
      </c>
      <c r="O328" s="692" t="str">
        <f>PL!$P$4</f>
        <v>BIN</v>
      </c>
      <c r="P328" s="692" t="str">
        <f>PL!$I$6</f>
        <v>K_INR</v>
      </c>
      <c r="Q328" s="693">
        <f>Q262+Q293-Q324</f>
        <v>0</v>
      </c>
      <c r="R328" s="693">
        <f t="shared" ref="R328:AB328" si="24">R262+R293-R324</f>
        <v>-5049.5850230155347</v>
      </c>
      <c r="S328" s="693">
        <f t="shared" si="24"/>
        <v>6100.1130150710678</v>
      </c>
      <c r="T328" s="693">
        <f t="shared" si="24"/>
        <v>-948.49139947419189</v>
      </c>
      <c r="U328" s="693">
        <f t="shared" si="24"/>
        <v>905.52490041785313</v>
      </c>
      <c r="V328" s="693">
        <f t="shared" si="24"/>
        <v>-497.43049662379735</v>
      </c>
      <c r="W328" s="693">
        <f t="shared" si="24"/>
        <v>197.12523604193484</v>
      </c>
      <c r="X328" s="693">
        <f t="shared" si="24"/>
        <v>-272.02330536296859</v>
      </c>
      <c r="Y328" s="693">
        <f t="shared" si="24"/>
        <v>-11626.341414298291</v>
      </c>
      <c r="Z328" s="693">
        <f t="shared" si="24"/>
        <v>3044.8201167571319</v>
      </c>
      <c r="AA328" s="693">
        <f t="shared" si="24"/>
        <v>-3068.5862325391677</v>
      </c>
      <c r="AB328" s="693">
        <f t="shared" si="24"/>
        <v>6264.2380756634229</v>
      </c>
    </row>
    <row r="329" spans="1:28">
      <c r="A329" s="598">
        <v>1</v>
      </c>
      <c r="B329" s="598" t="s">
        <v>698</v>
      </c>
      <c r="C329" s="602" t="s">
        <v>54</v>
      </c>
      <c r="D329" s="598" t="s">
        <v>696</v>
      </c>
      <c r="E329" s="598" t="s">
        <v>504</v>
      </c>
      <c r="G329" s="244"/>
      <c r="H329" s="244"/>
      <c r="I329" s="245"/>
      <c r="J329" s="220" t="s">
        <v>23</v>
      </c>
      <c r="K329" s="233" t="s">
        <v>321</v>
      </c>
      <c r="L329" s="232" t="s">
        <v>3</v>
      </c>
      <c r="M329" s="468" t="s">
        <v>4</v>
      </c>
      <c r="N329" s="232" t="s">
        <v>5</v>
      </c>
      <c r="O329" s="216" t="str">
        <f>PL!$P$4</f>
        <v>BIN</v>
      </c>
      <c r="P329" s="216" t="str">
        <f>PL!$I$6</f>
        <v>K_INR</v>
      </c>
      <c r="Q329" s="222" t="str">
        <f>PL!Q$274</f>
        <v>PL (3) Other Income</v>
      </c>
      <c r="R329" s="222">
        <f>PL!S$274</f>
        <v>0</v>
      </c>
      <c r="S329" s="222">
        <f>PL!T$274</f>
        <v>0</v>
      </c>
      <c r="T329" s="222">
        <f>PL!U$274</f>
        <v>0</v>
      </c>
      <c r="U329" s="222">
        <f>PL!V$274</f>
        <v>0</v>
      </c>
      <c r="V329" s="222">
        <f>PL!W$274</f>
        <v>0</v>
      </c>
      <c r="W329" s="222">
        <f>PL!X$274</f>
        <v>0</v>
      </c>
      <c r="X329" s="222">
        <f>PL!Y$274</f>
        <v>0</v>
      </c>
      <c r="Y329" s="222">
        <f>PL!Z$274</f>
        <v>0</v>
      </c>
      <c r="Z329" s="222">
        <f>PL!AA$274</f>
        <v>0</v>
      </c>
      <c r="AA329" s="222">
        <f>PL!AB$274</f>
        <v>0</v>
      </c>
      <c r="AB329" s="222">
        <f>PL!AC$274</f>
        <v>0</v>
      </c>
    </row>
    <row r="330" spans="1:28">
      <c r="A330" s="598">
        <v>1</v>
      </c>
      <c r="B330" s="598" t="s">
        <v>512</v>
      </c>
      <c r="C330" s="602" t="s">
        <v>662</v>
      </c>
      <c r="D330" s="598" t="s">
        <v>505</v>
      </c>
      <c r="E330" s="601" t="s">
        <v>628</v>
      </c>
      <c r="G330" s="244"/>
      <c r="H330" s="244"/>
      <c r="I330" s="245"/>
      <c r="J330" s="220" t="s">
        <v>24</v>
      </c>
      <c r="K330" s="233" t="s">
        <v>321</v>
      </c>
      <c r="L330" s="232" t="s">
        <v>3</v>
      </c>
      <c r="M330" s="468" t="s">
        <v>4</v>
      </c>
      <c r="N330" s="232" t="s">
        <v>5</v>
      </c>
      <c r="O330" s="216" t="str">
        <f>PL!$P$4</f>
        <v>BIN</v>
      </c>
      <c r="P330" s="216" t="str">
        <f>PL!$I$6</f>
        <v>K_INR</v>
      </c>
      <c r="Q330" s="222" t="str">
        <f>PL!Q$275</f>
        <v>PL (3) Other Expenses</v>
      </c>
      <c r="R330" s="222">
        <f>PL!S$275</f>
        <v>0</v>
      </c>
      <c r="S330" s="222">
        <f>PL!T$275</f>
        <v>0</v>
      </c>
      <c r="T330" s="222">
        <f>PL!U$275</f>
        <v>0</v>
      </c>
      <c r="U330" s="222">
        <f>PL!V$275</f>
        <v>0</v>
      </c>
      <c r="V330" s="222">
        <f>PL!W$275</f>
        <v>0</v>
      </c>
      <c r="W330" s="222">
        <f>PL!X$275</f>
        <v>0</v>
      </c>
      <c r="X330" s="222">
        <f>PL!Y$275</f>
        <v>0</v>
      </c>
      <c r="Y330" s="222">
        <f>PL!Z$275</f>
        <v>0</v>
      </c>
      <c r="Z330" s="222">
        <f>PL!AA$275</f>
        <v>0</v>
      </c>
      <c r="AA330" s="222">
        <f>PL!AB$275</f>
        <v>0</v>
      </c>
      <c r="AB330" s="222">
        <f>PL!AC$275</f>
        <v>0</v>
      </c>
    </row>
    <row r="331" spans="1:28" s="682" customFormat="1">
      <c r="A331" s="682">
        <v>1</v>
      </c>
      <c r="B331" s="682" t="s">
        <v>698</v>
      </c>
      <c r="C331" s="683" t="s">
        <v>54</v>
      </c>
      <c r="D331" s="682" t="s">
        <v>696</v>
      </c>
      <c r="E331" s="682" t="s">
        <v>10</v>
      </c>
      <c r="F331" s="684"/>
      <c r="G331" s="685"/>
      <c r="H331" s="685"/>
      <c r="I331" s="686"/>
      <c r="J331" s="687" t="s">
        <v>10</v>
      </c>
      <c r="K331" s="688" t="s">
        <v>429</v>
      </c>
      <c r="L331" s="689" t="s">
        <v>3</v>
      </c>
      <c r="M331" s="690" t="s">
        <v>4</v>
      </c>
      <c r="N331" s="691" t="s">
        <v>5</v>
      </c>
      <c r="O331" s="692" t="str">
        <f>PL!$P$4</f>
        <v>BIN</v>
      </c>
      <c r="P331" s="692" t="str">
        <f>PL!$I$6</f>
        <v>K_INR</v>
      </c>
      <c r="Q331" s="693" t="e">
        <f>Q328+Q329-Q330</f>
        <v>#VALUE!</v>
      </c>
      <c r="R331" s="693">
        <f t="shared" ref="R331:AB331" si="25">R328+R329-R330</f>
        <v>-5049.5850230155347</v>
      </c>
      <c r="S331" s="693">
        <f t="shared" si="25"/>
        <v>6100.1130150710678</v>
      </c>
      <c r="T331" s="693">
        <f t="shared" si="25"/>
        <v>-948.49139947419189</v>
      </c>
      <c r="U331" s="693">
        <f t="shared" si="25"/>
        <v>905.52490041785313</v>
      </c>
      <c r="V331" s="693">
        <f t="shared" si="25"/>
        <v>-497.43049662379735</v>
      </c>
      <c r="W331" s="693">
        <f t="shared" si="25"/>
        <v>197.12523604193484</v>
      </c>
      <c r="X331" s="693">
        <f t="shared" si="25"/>
        <v>-272.02330536296859</v>
      </c>
      <c r="Y331" s="693">
        <f t="shared" si="25"/>
        <v>-11626.341414298291</v>
      </c>
      <c r="Z331" s="693">
        <f t="shared" si="25"/>
        <v>3044.8201167571319</v>
      </c>
      <c r="AA331" s="693">
        <f t="shared" si="25"/>
        <v>-3068.5862325391677</v>
      </c>
      <c r="AB331" s="693">
        <f t="shared" si="25"/>
        <v>6264.2380756634229</v>
      </c>
    </row>
    <row r="332" spans="1:28">
      <c r="A332" s="598">
        <v>1</v>
      </c>
      <c r="G332" s="246"/>
      <c r="H332" s="246"/>
      <c r="I332" s="246"/>
      <c r="J332" s="469"/>
      <c r="K332" s="473"/>
      <c r="L332" s="471"/>
      <c r="M332" s="471"/>
      <c r="N332" s="471"/>
      <c r="O332" s="253"/>
      <c r="P332" s="253"/>
      <c r="Q332" s="253"/>
      <c r="R332" s="253"/>
      <c r="S332" s="253"/>
      <c r="T332" s="253"/>
      <c r="U332" s="253"/>
      <c r="V332" s="253"/>
      <c r="W332" s="253"/>
      <c r="X332" s="253"/>
      <c r="Y332" s="253"/>
      <c r="Z332" s="253"/>
      <c r="AA332" s="253"/>
      <c r="AB332" s="253"/>
    </row>
    <row r="333" spans="1:28" s="726" customFormat="1">
      <c r="A333" s="726">
        <v>1</v>
      </c>
      <c r="B333" s="727"/>
      <c r="C333" s="728" t="s">
        <v>430</v>
      </c>
      <c r="F333" s="729"/>
      <c r="G333" s="730"/>
      <c r="H333" s="730"/>
      <c r="I333" s="731"/>
      <c r="J333" s="732" t="s">
        <v>39</v>
      </c>
      <c r="K333" s="733" t="s">
        <v>430</v>
      </c>
      <c r="L333" s="734" t="s">
        <v>3</v>
      </c>
      <c r="M333" s="735" t="s">
        <v>4</v>
      </c>
      <c r="N333" s="736" t="s">
        <v>5</v>
      </c>
      <c r="O333" s="737" t="str">
        <f>PL!$P$4</f>
        <v>BIN</v>
      </c>
      <c r="P333" s="737" t="str">
        <f>PL!$I$6</f>
        <v>K_INR</v>
      </c>
      <c r="Q333" s="738"/>
      <c r="R333" s="738"/>
      <c r="S333" s="738"/>
      <c r="T333" s="738"/>
      <c r="U333" s="738"/>
      <c r="V333" s="738"/>
      <c r="W333" s="738"/>
      <c r="X333" s="738"/>
      <c r="Y333" s="738"/>
      <c r="Z333" s="738"/>
      <c r="AA333" s="738"/>
      <c r="AB333" s="738"/>
    </row>
    <row r="334" spans="1:28">
      <c r="A334" s="598">
        <v>1</v>
      </c>
      <c r="B334" s="598" t="s">
        <v>660</v>
      </c>
      <c r="C334" s="602" t="s">
        <v>430</v>
      </c>
      <c r="D334" s="602" t="s">
        <v>57</v>
      </c>
      <c r="E334" s="598" t="s">
        <v>39</v>
      </c>
      <c r="G334" s="246"/>
      <c r="H334" s="246"/>
      <c r="I334" s="245"/>
      <c r="J334" s="219" t="s">
        <v>39</v>
      </c>
      <c r="K334" s="710" t="s">
        <v>702</v>
      </c>
      <c r="L334" s="232" t="s">
        <v>3</v>
      </c>
      <c r="M334" s="468" t="s">
        <v>57</v>
      </c>
      <c r="N334" s="232" t="s">
        <v>5</v>
      </c>
      <c r="O334" s="216" t="str">
        <f>PL!$P$4</f>
        <v>BIN</v>
      </c>
      <c r="P334" s="216" t="str">
        <f>PL!$I$6</f>
        <v>K_INR</v>
      </c>
      <c r="Q334" s="222" t="str">
        <f>PL!Q$292</f>
        <v>PL (4) Net Sales MPM Procurement</v>
      </c>
      <c r="R334" s="222">
        <f>PL!S$292</f>
        <v>0</v>
      </c>
      <c r="S334" s="222">
        <f>PL!T$292</f>
        <v>0</v>
      </c>
      <c r="T334" s="222">
        <f>PL!U$292</f>
        <v>0</v>
      </c>
      <c r="U334" s="222">
        <f>PL!V$292</f>
        <v>0</v>
      </c>
      <c r="V334" s="222">
        <f>PL!W$292</f>
        <v>0</v>
      </c>
      <c r="W334" s="222">
        <f>PL!X$292</f>
        <v>0</v>
      </c>
      <c r="X334" s="222">
        <f>PL!Y$292</f>
        <v>0</v>
      </c>
      <c r="Y334" s="222">
        <f>PL!Z$292</f>
        <v>0</v>
      </c>
      <c r="Z334" s="222">
        <f>PL!AA$292</f>
        <v>0</v>
      </c>
      <c r="AA334" s="222">
        <f>PL!AB$292</f>
        <v>0</v>
      </c>
      <c r="AB334" s="222">
        <f>PL!AC$292</f>
        <v>0</v>
      </c>
    </row>
    <row r="335" spans="1:28">
      <c r="A335" s="598">
        <v>1</v>
      </c>
      <c r="B335" s="598" t="s">
        <v>660</v>
      </c>
      <c r="C335" s="602" t="s">
        <v>664</v>
      </c>
      <c r="D335" s="602" t="s">
        <v>58</v>
      </c>
      <c r="E335" s="598" t="s">
        <v>39</v>
      </c>
      <c r="G335" s="244"/>
      <c r="H335" s="244"/>
      <c r="I335" s="245"/>
      <c r="J335" s="219" t="s">
        <v>39</v>
      </c>
      <c r="K335" s="710" t="s">
        <v>702</v>
      </c>
      <c r="L335" s="232" t="s">
        <v>3</v>
      </c>
      <c r="M335" s="468" t="s">
        <v>58</v>
      </c>
      <c r="N335" s="232" t="s">
        <v>5</v>
      </c>
      <c r="O335" s="216" t="str">
        <f>PL!$P$4</f>
        <v>BIN</v>
      </c>
      <c r="P335" s="216" t="str">
        <f>PL!$I$6</f>
        <v>K_INR</v>
      </c>
      <c r="Q335" s="222" t="str">
        <f>PL!Q$293</f>
        <v>PL (4) Net Sales MPM Production</v>
      </c>
      <c r="R335" s="222">
        <f>PL!S$293</f>
        <v>0</v>
      </c>
      <c r="S335" s="222">
        <f>PL!T$293</f>
        <v>0</v>
      </c>
      <c r="T335" s="222">
        <f>PL!U$293</f>
        <v>0</v>
      </c>
      <c r="U335" s="222">
        <f>PL!V$293</f>
        <v>0</v>
      </c>
      <c r="V335" s="222">
        <f>PL!W$293</f>
        <v>0</v>
      </c>
      <c r="W335" s="222">
        <f>PL!X$293</f>
        <v>0</v>
      </c>
      <c r="X335" s="222">
        <f>PL!Y$293</f>
        <v>0</v>
      </c>
      <c r="Y335" s="222">
        <f>PL!Z$293</f>
        <v>0</v>
      </c>
      <c r="Z335" s="222">
        <f>PL!AA$293</f>
        <v>0</v>
      </c>
      <c r="AA335" s="222">
        <f>PL!AB$293</f>
        <v>0</v>
      </c>
      <c r="AB335" s="222">
        <f>PL!AC$293</f>
        <v>0</v>
      </c>
    </row>
    <row r="336" spans="1:28">
      <c r="A336" s="598">
        <v>1</v>
      </c>
      <c r="B336" s="598" t="s">
        <v>660</v>
      </c>
      <c r="C336" s="602" t="s">
        <v>664</v>
      </c>
      <c r="D336" s="602" t="s">
        <v>85</v>
      </c>
      <c r="E336" s="598" t="s">
        <v>39</v>
      </c>
      <c r="G336" s="244"/>
      <c r="H336" s="244"/>
      <c r="I336" s="245"/>
      <c r="J336" s="219" t="s">
        <v>39</v>
      </c>
      <c r="K336" s="710" t="s">
        <v>702</v>
      </c>
      <c r="L336" s="232" t="s">
        <v>3</v>
      </c>
      <c r="M336" s="468" t="s">
        <v>85</v>
      </c>
      <c r="N336" s="232" t="s">
        <v>5</v>
      </c>
      <c r="O336" s="216" t="str">
        <f>PL!$P$4</f>
        <v>BIN</v>
      </c>
      <c r="P336" s="216" t="str">
        <f>PL!$I$6</f>
        <v>K_INR</v>
      </c>
      <c r="Q336" s="222" t="str">
        <f>PL!Q$294</f>
        <v>PL (4) Net Sales MPM Solution</v>
      </c>
      <c r="R336" s="222">
        <f>PL!S$294</f>
        <v>0</v>
      </c>
      <c r="S336" s="222">
        <f>PL!T$294</f>
        <v>0</v>
      </c>
      <c r="T336" s="222">
        <f>PL!U$294</f>
        <v>0</v>
      </c>
      <c r="U336" s="222">
        <f>PL!V$294</f>
        <v>0</v>
      </c>
      <c r="V336" s="222">
        <f>PL!W$294</f>
        <v>0</v>
      </c>
      <c r="W336" s="222">
        <f>PL!X$294</f>
        <v>0</v>
      </c>
      <c r="X336" s="222">
        <f>PL!Y$294</f>
        <v>0</v>
      </c>
      <c r="Y336" s="222">
        <f>PL!Z$294</f>
        <v>0</v>
      </c>
      <c r="Z336" s="222">
        <f>PL!AA$294</f>
        <v>0</v>
      </c>
      <c r="AA336" s="222">
        <f>PL!AB$294</f>
        <v>0</v>
      </c>
      <c r="AB336" s="222">
        <f>PL!AC$294</f>
        <v>0</v>
      </c>
    </row>
    <row r="337" spans="1:28">
      <c r="A337" s="598">
        <v>1</v>
      </c>
      <c r="B337" s="598" t="s">
        <v>512</v>
      </c>
      <c r="C337" s="602" t="s">
        <v>664</v>
      </c>
      <c r="D337" s="602" t="s">
        <v>59</v>
      </c>
      <c r="E337" s="598" t="s">
        <v>39</v>
      </c>
      <c r="G337" s="244"/>
      <c r="H337" s="244"/>
      <c r="I337" s="245"/>
      <c r="J337" s="219" t="s">
        <v>39</v>
      </c>
      <c r="K337" s="710" t="s">
        <v>703</v>
      </c>
      <c r="L337" s="232" t="s">
        <v>3</v>
      </c>
      <c r="M337" s="468" t="s">
        <v>59</v>
      </c>
      <c r="N337" s="232" t="s">
        <v>5</v>
      </c>
      <c r="O337" s="216" t="str">
        <f>PL!$P$4</f>
        <v>BIN</v>
      </c>
      <c r="P337" s="216" t="str">
        <f>PL!$I$6</f>
        <v>K_INR</v>
      </c>
      <c r="Q337" s="222" t="str">
        <f>PL!Q$296</f>
        <v>PL (4) Net Sales ODP On Demand Printing</v>
      </c>
      <c r="R337" s="222">
        <f>PL!S$296</f>
        <v>0</v>
      </c>
      <c r="S337" s="222">
        <f>PL!T$296</f>
        <v>0</v>
      </c>
      <c r="T337" s="222">
        <f>PL!U$296</f>
        <v>0</v>
      </c>
      <c r="U337" s="222">
        <f>PL!V$296</f>
        <v>0</v>
      </c>
      <c r="V337" s="222">
        <f>PL!W$296</f>
        <v>0</v>
      </c>
      <c r="W337" s="222">
        <f>PL!X$296</f>
        <v>0</v>
      </c>
      <c r="X337" s="222">
        <f>PL!Y$296</f>
        <v>0</v>
      </c>
      <c r="Y337" s="222">
        <f>PL!Z$296</f>
        <v>0</v>
      </c>
      <c r="Z337" s="222">
        <f>PL!AA$296</f>
        <v>0</v>
      </c>
      <c r="AA337" s="222">
        <f>PL!AB$296</f>
        <v>0</v>
      </c>
      <c r="AB337" s="222">
        <f>PL!AC$296</f>
        <v>0</v>
      </c>
    </row>
    <row r="338" spans="1:28">
      <c r="A338" s="598">
        <v>1</v>
      </c>
      <c r="B338" s="598" t="s">
        <v>512</v>
      </c>
      <c r="C338" s="602" t="s">
        <v>430</v>
      </c>
      <c r="D338" s="602" t="s">
        <v>683</v>
      </c>
      <c r="E338" s="598" t="s">
        <v>39</v>
      </c>
      <c r="G338" s="244"/>
      <c r="H338" s="244"/>
      <c r="I338" s="245"/>
      <c r="J338" s="219" t="s">
        <v>39</v>
      </c>
      <c r="K338" s="710" t="s">
        <v>703</v>
      </c>
      <c r="L338" s="232" t="s">
        <v>3</v>
      </c>
      <c r="M338" s="709" t="s">
        <v>683</v>
      </c>
      <c r="N338" s="232" t="s">
        <v>5</v>
      </c>
      <c r="O338" s="216" t="str">
        <f>PL!$P$4</f>
        <v>BIN</v>
      </c>
      <c r="P338" s="216" t="str">
        <f>PL!$I$6</f>
        <v>K_INR</v>
      </c>
      <c r="Q338" s="222" t="str">
        <f>PL!Q$297</f>
        <v>PL (4) Net Sales ODP Marketing Service</v>
      </c>
      <c r="R338" s="222">
        <f>PL!S$297</f>
        <v>0</v>
      </c>
      <c r="S338" s="222">
        <f>PL!T$297</f>
        <v>0</v>
      </c>
      <c r="T338" s="222">
        <f>PL!U$297</f>
        <v>0</v>
      </c>
      <c r="U338" s="222">
        <f>PL!V$297</f>
        <v>0</v>
      </c>
      <c r="V338" s="222">
        <f>PL!W$297</f>
        <v>0</v>
      </c>
      <c r="W338" s="222">
        <f>PL!X$297</f>
        <v>0</v>
      </c>
      <c r="X338" s="222">
        <f>PL!Y$297</f>
        <v>0</v>
      </c>
      <c r="Y338" s="222">
        <f>PL!Z$297</f>
        <v>0</v>
      </c>
      <c r="Z338" s="222">
        <f>PL!AA$297</f>
        <v>0</v>
      </c>
      <c r="AA338" s="222">
        <f>PL!AB$297</f>
        <v>0</v>
      </c>
      <c r="AB338" s="222">
        <f>PL!AC$297</f>
        <v>0</v>
      </c>
    </row>
    <row r="339" spans="1:28">
      <c r="A339" s="598">
        <v>1</v>
      </c>
      <c r="B339" s="598" t="s">
        <v>512</v>
      </c>
      <c r="C339" s="602" t="s">
        <v>430</v>
      </c>
      <c r="D339" s="602" t="s">
        <v>684</v>
      </c>
      <c r="E339" s="598" t="s">
        <v>39</v>
      </c>
      <c r="G339" s="244"/>
      <c r="H339" s="244"/>
      <c r="I339" s="245"/>
      <c r="J339" s="219" t="s">
        <v>39</v>
      </c>
      <c r="K339" s="710" t="s">
        <v>703</v>
      </c>
      <c r="L339" s="232" t="s">
        <v>3</v>
      </c>
      <c r="M339" s="709" t="s">
        <v>684</v>
      </c>
      <c r="N339" s="232" t="s">
        <v>5</v>
      </c>
      <c r="O339" s="216" t="str">
        <f>PL!$P$4</f>
        <v>BIN</v>
      </c>
      <c r="P339" s="216" t="str">
        <f>PL!$I$6</f>
        <v>K_INR</v>
      </c>
      <c r="Q339" s="222" t="str">
        <f>PL!Q$298</f>
        <v>PL (4) Net Sales ODP Digital Solution</v>
      </c>
      <c r="R339" s="222">
        <f>PL!S$298</f>
        <v>0</v>
      </c>
      <c r="S339" s="222">
        <f>PL!T$298</f>
        <v>0</v>
      </c>
      <c r="T339" s="222">
        <f>PL!U$298</f>
        <v>0</v>
      </c>
      <c r="U339" s="222">
        <f>PL!V$298</f>
        <v>0</v>
      </c>
      <c r="V339" s="222">
        <f>PL!W$298</f>
        <v>0</v>
      </c>
      <c r="W339" s="222">
        <f>PL!X$298</f>
        <v>0</v>
      </c>
      <c r="X339" s="222">
        <f>PL!Y$298</f>
        <v>0</v>
      </c>
      <c r="Y339" s="222">
        <f>PL!Z$298</f>
        <v>0</v>
      </c>
      <c r="Z339" s="222">
        <f>PL!AA$298</f>
        <v>0</v>
      </c>
      <c r="AA339" s="222">
        <f>PL!AB$298</f>
        <v>0</v>
      </c>
      <c r="AB339" s="222">
        <f>PL!AC$298</f>
        <v>0</v>
      </c>
    </row>
    <row r="340" spans="1:28">
      <c r="A340" s="598">
        <v>1</v>
      </c>
      <c r="B340" s="598" t="s">
        <v>512</v>
      </c>
      <c r="C340" s="602" t="s">
        <v>430</v>
      </c>
      <c r="D340" s="602" t="s">
        <v>685</v>
      </c>
      <c r="E340" s="598" t="s">
        <v>39</v>
      </c>
      <c r="G340" s="244"/>
      <c r="H340" s="244"/>
      <c r="I340" s="245"/>
      <c r="J340" s="219" t="s">
        <v>39</v>
      </c>
      <c r="K340" s="710" t="s">
        <v>703</v>
      </c>
      <c r="L340" s="232" t="s">
        <v>3</v>
      </c>
      <c r="M340" s="709" t="s">
        <v>685</v>
      </c>
      <c r="N340" s="232" t="s">
        <v>5</v>
      </c>
      <c r="O340" s="216" t="str">
        <f>PL!$P$4</f>
        <v>BIN</v>
      </c>
      <c r="P340" s="216" t="str">
        <f>PL!$I$6</f>
        <v>K_INR</v>
      </c>
      <c r="Q340" s="222" t="str">
        <f>PL!Q$299</f>
        <v>PL (4) Net Sales ODP ODP New Business</v>
      </c>
      <c r="R340" s="222">
        <f>PL!S$299</f>
        <v>0</v>
      </c>
      <c r="S340" s="222">
        <f>PL!T$299</f>
        <v>0</v>
      </c>
      <c r="T340" s="222">
        <f>PL!U$299</f>
        <v>0</v>
      </c>
      <c r="U340" s="222">
        <f>PL!V$299</f>
        <v>0</v>
      </c>
      <c r="V340" s="222">
        <f>PL!W$299</f>
        <v>0</v>
      </c>
      <c r="W340" s="222">
        <f>PL!X$299</f>
        <v>0</v>
      </c>
      <c r="X340" s="222">
        <f>PL!Y$299</f>
        <v>0</v>
      </c>
      <c r="Y340" s="222">
        <f>PL!Z$299</f>
        <v>0</v>
      </c>
      <c r="Z340" s="222">
        <f>PL!AA$299</f>
        <v>0</v>
      </c>
      <c r="AA340" s="222">
        <f>PL!AB$299</f>
        <v>0</v>
      </c>
      <c r="AB340" s="222">
        <f>PL!AC$299</f>
        <v>0</v>
      </c>
    </row>
    <row r="341" spans="1:28" s="682" customFormat="1">
      <c r="A341" s="682">
        <v>1</v>
      </c>
      <c r="C341" s="683"/>
      <c r="F341" s="684"/>
      <c r="G341" s="685"/>
      <c r="H341" s="685"/>
      <c r="I341" s="686"/>
      <c r="J341" s="687" t="s">
        <v>9</v>
      </c>
      <c r="K341" s="688" t="s">
        <v>430</v>
      </c>
      <c r="L341" s="689" t="s">
        <v>3</v>
      </c>
      <c r="M341" s="690" t="s">
        <v>4</v>
      </c>
      <c r="N341" s="691" t="s">
        <v>37</v>
      </c>
      <c r="O341" s="692" t="str">
        <f>PL!$P$4</f>
        <v>BIN</v>
      </c>
      <c r="P341" s="692" t="str">
        <f>PL!$I$6</f>
        <v>K_INR</v>
      </c>
      <c r="Q341" s="693"/>
      <c r="R341" s="693"/>
      <c r="S341" s="693"/>
      <c r="T341" s="693"/>
      <c r="U341" s="693"/>
      <c r="V341" s="693"/>
      <c r="W341" s="693"/>
      <c r="X341" s="693"/>
      <c r="Y341" s="693"/>
      <c r="Z341" s="693"/>
      <c r="AA341" s="693"/>
      <c r="AB341" s="693"/>
    </row>
    <row r="342" spans="1:28">
      <c r="A342" s="598">
        <v>1</v>
      </c>
      <c r="B342" s="598" t="s">
        <v>630</v>
      </c>
      <c r="C342" s="602" t="s">
        <v>664</v>
      </c>
      <c r="D342" s="602" t="s">
        <v>57</v>
      </c>
      <c r="E342" s="600" t="s">
        <v>506</v>
      </c>
      <c r="G342" s="246"/>
      <c r="H342" s="246"/>
      <c r="I342" s="245"/>
      <c r="J342" s="219" t="s">
        <v>39</v>
      </c>
      <c r="K342" s="710" t="s">
        <v>702</v>
      </c>
      <c r="L342" s="232" t="s">
        <v>700</v>
      </c>
      <c r="M342" s="468" t="s">
        <v>57</v>
      </c>
      <c r="N342" s="232" t="s">
        <v>37</v>
      </c>
      <c r="O342" s="216" t="str">
        <f>PL!$P$4</f>
        <v>BIN</v>
      </c>
      <c r="P342" s="216" t="str">
        <f>PL!$I$6</f>
        <v>K_INR</v>
      </c>
      <c r="Q342" s="222" t="str">
        <f>PL!Q$302</f>
        <v>PL (4) BT Cons. Sales MPM Procurement</v>
      </c>
      <c r="R342" s="222">
        <f>PL!S$302</f>
        <v>0</v>
      </c>
      <c r="S342" s="222">
        <f>PL!T$302</f>
        <v>0</v>
      </c>
      <c r="T342" s="222">
        <f>PL!U$302</f>
        <v>0</v>
      </c>
      <c r="U342" s="222">
        <f>PL!V$302</f>
        <v>0</v>
      </c>
      <c r="V342" s="222">
        <f>PL!W$302</f>
        <v>0</v>
      </c>
      <c r="W342" s="222">
        <f>PL!X$302</f>
        <v>0</v>
      </c>
      <c r="X342" s="222">
        <f>PL!Y$302</f>
        <v>0</v>
      </c>
      <c r="Y342" s="222">
        <f>PL!Z$302</f>
        <v>0</v>
      </c>
      <c r="Z342" s="222">
        <f>PL!AA$302</f>
        <v>0</v>
      </c>
      <c r="AA342" s="222">
        <f>PL!AB$302</f>
        <v>0</v>
      </c>
      <c r="AB342" s="222">
        <f>PL!AC$302</f>
        <v>0</v>
      </c>
    </row>
    <row r="343" spans="1:28">
      <c r="A343" s="598">
        <v>1</v>
      </c>
      <c r="B343" s="598" t="s">
        <v>630</v>
      </c>
      <c r="C343" s="602" t="s">
        <v>664</v>
      </c>
      <c r="D343" s="602" t="s">
        <v>58</v>
      </c>
      <c r="E343" s="600" t="s">
        <v>506</v>
      </c>
      <c r="G343" s="244"/>
      <c r="H343" s="244"/>
      <c r="I343" s="245"/>
      <c r="J343" s="219" t="s">
        <v>39</v>
      </c>
      <c r="K343" s="710" t="s">
        <v>702</v>
      </c>
      <c r="L343" s="232" t="s">
        <v>3</v>
      </c>
      <c r="M343" s="468" t="s">
        <v>701</v>
      </c>
      <c r="N343" s="232" t="s">
        <v>37</v>
      </c>
      <c r="O343" s="216" t="str">
        <f>PL!$P$4</f>
        <v>BIN</v>
      </c>
      <c r="P343" s="216" t="str">
        <f>PL!$I$6</f>
        <v>K_INR</v>
      </c>
      <c r="Q343" s="222" t="str">
        <f>PL!Q$303</f>
        <v>PL (4) BT Cons. Sales MPM Production</v>
      </c>
      <c r="R343" s="222">
        <f>PL!S$303</f>
        <v>0</v>
      </c>
      <c r="S343" s="222">
        <f>PL!T$303</f>
        <v>0</v>
      </c>
      <c r="T343" s="222">
        <f>PL!U$303</f>
        <v>0</v>
      </c>
      <c r="U343" s="222">
        <f>PL!V$303</f>
        <v>0</v>
      </c>
      <c r="V343" s="222">
        <f>PL!W$303</f>
        <v>0</v>
      </c>
      <c r="W343" s="222">
        <f>PL!X$303</f>
        <v>0</v>
      </c>
      <c r="X343" s="222">
        <f>PL!Y$303</f>
        <v>0</v>
      </c>
      <c r="Y343" s="222">
        <f>PL!Z$303</f>
        <v>0</v>
      </c>
      <c r="Z343" s="222">
        <f>PL!AA$303</f>
        <v>0</v>
      </c>
      <c r="AA343" s="222">
        <f>PL!AB$303</f>
        <v>0</v>
      </c>
      <c r="AB343" s="222">
        <f>PL!AC$303</f>
        <v>0</v>
      </c>
    </row>
    <row r="344" spans="1:28">
      <c r="A344" s="598">
        <v>1</v>
      </c>
      <c r="B344" s="598" t="s">
        <v>512</v>
      </c>
      <c r="C344" s="602" t="s">
        <v>665</v>
      </c>
      <c r="D344" s="602" t="s">
        <v>85</v>
      </c>
      <c r="E344" s="600" t="s">
        <v>647</v>
      </c>
      <c r="G344" s="244"/>
      <c r="H344" s="244"/>
      <c r="I344" s="245"/>
      <c r="J344" s="219" t="s">
        <v>39</v>
      </c>
      <c r="K344" s="710" t="s">
        <v>702</v>
      </c>
      <c r="L344" s="232" t="s">
        <v>3</v>
      </c>
      <c r="M344" s="468" t="s">
        <v>85</v>
      </c>
      <c r="N344" s="232" t="s">
        <v>37</v>
      </c>
      <c r="O344" s="216" t="str">
        <f>PL!$P$4</f>
        <v>BIN</v>
      </c>
      <c r="P344" s="216" t="str">
        <f>PL!$I$6</f>
        <v>K_INR</v>
      </c>
      <c r="Q344" s="222" t="str">
        <f>PL!Q$304</f>
        <v>PL (4) BT Cons. Sales MPM Solution</v>
      </c>
      <c r="R344" s="222">
        <f>PL!S$304</f>
        <v>0</v>
      </c>
      <c r="S344" s="222">
        <f>PL!T$304</f>
        <v>0</v>
      </c>
      <c r="T344" s="222">
        <f>PL!U$304</f>
        <v>0</v>
      </c>
      <c r="U344" s="222">
        <f>PL!V$304</f>
        <v>0</v>
      </c>
      <c r="V344" s="222">
        <f>PL!W$304</f>
        <v>0</v>
      </c>
      <c r="W344" s="222">
        <f>PL!X$304</f>
        <v>0</v>
      </c>
      <c r="X344" s="222">
        <f>PL!Y$304</f>
        <v>0</v>
      </c>
      <c r="Y344" s="222">
        <f>PL!Z$304</f>
        <v>0</v>
      </c>
      <c r="Z344" s="222">
        <f>PL!AA$304</f>
        <v>0</v>
      </c>
      <c r="AA344" s="222">
        <f>PL!AB$304</f>
        <v>0</v>
      </c>
      <c r="AB344" s="222">
        <f>PL!AC$304</f>
        <v>0</v>
      </c>
    </row>
    <row r="345" spans="1:28">
      <c r="A345" s="598">
        <v>1</v>
      </c>
      <c r="B345" s="598" t="s">
        <v>630</v>
      </c>
      <c r="C345" s="602" t="s">
        <v>664</v>
      </c>
      <c r="D345" s="602" t="s">
        <v>59</v>
      </c>
      <c r="E345" s="600" t="s">
        <v>647</v>
      </c>
      <c r="G345" s="244"/>
      <c r="H345" s="244"/>
      <c r="I345" s="245"/>
      <c r="J345" s="219" t="s">
        <v>39</v>
      </c>
      <c r="K345" s="710" t="s">
        <v>703</v>
      </c>
      <c r="L345" s="232" t="s">
        <v>3</v>
      </c>
      <c r="M345" s="468" t="s">
        <v>59</v>
      </c>
      <c r="N345" s="232" t="s">
        <v>37</v>
      </c>
      <c r="O345" s="216" t="str">
        <f>PL!$P$4</f>
        <v>BIN</v>
      </c>
      <c r="P345" s="216" t="str">
        <f>PL!$I$6</f>
        <v>K_INR</v>
      </c>
      <c r="Q345" s="222" t="str">
        <f>PL!Q$306</f>
        <v>PL (4) BT Cons. Sales ODP On Demand Printing</v>
      </c>
      <c r="R345" s="222">
        <f>PL!S$306</f>
        <v>0</v>
      </c>
      <c r="S345" s="222">
        <f>PL!T$306</f>
        <v>0</v>
      </c>
      <c r="T345" s="222">
        <f>PL!U$306</f>
        <v>0</v>
      </c>
      <c r="U345" s="222">
        <f>PL!V$306</f>
        <v>0</v>
      </c>
      <c r="V345" s="222">
        <f>PL!W$306</f>
        <v>0</v>
      </c>
      <c r="W345" s="222">
        <f>PL!X$306</f>
        <v>0</v>
      </c>
      <c r="X345" s="222">
        <f>PL!Y$306</f>
        <v>0</v>
      </c>
      <c r="Y345" s="222">
        <f>PL!Z$306</f>
        <v>0</v>
      </c>
      <c r="Z345" s="222">
        <f>PL!AA$306</f>
        <v>0</v>
      </c>
      <c r="AA345" s="222">
        <f>PL!AB$306</f>
        <v>0</v>
      </c>
      <c r="AB345" s="222">
        <f>PL!AC$306</f>
        <v>0</v>
      </c>
    </row>
    <row r="346" spans="1:28">
      <c r="A346" s="598">
        <v>1</v>
      </c>
      <c r="B346" s="598" t="s">
        <v>512</v>
      </c>
      <c r="C346" s="602" t="s">
        <v>430</v>
      </c>
      <c r="D346" s="602" t="s">
        <v>683</v>
      </c>
      <c r="E346" s="600" t="s">
        <v>506</v>
      </c>
      <c r="G346" s="244"/>
      <c r="H346" s="244"/>
      <c r="I346" s="245"/>
      <c r="J346" s="219" t="s">
        <v>39</v>
      </c>
      <c r="K346" s="710" t="s">
        <v>703</v>
      </c>
      <c r="L346" s="232" t="s">
        <v>3</v>
      </c>
      <c r="M346" s="709" t="s">
        <v>683</v>
      </c>
      <c r="N346" s="232" t="s">
        <v>37</v>
      </c>
      <c r="O346" s="216" t="str">
        <f>PL!$P$4</f>
        <v>BIN</v>
      </c>
      <c r="P346" s="216" t="str">
        <f>PL!$I$6</f>
        <v>K_INR</v>
      </c>
      <c r="Q346" s="222" t="str">
        <f>PL!Q$307</f>
        <v>PL (4) BT Cons. Sales ODP Marketing Service</v>
      </c>
      <c r="R346" s="222">
        <f>PL!S$307</f>
        <v>0</v>
      </c>
      <c r="S346" s="222">
        <f>PL!T$307</f>
        <v>0</v>
      </c>
      <c r="T346" s="222">
        <f>PL!U$307</f>
        <v>0</v>
      </c>
      <c r="U346" s="222">
        <f>PL!V$307</f>
        <v>0</v>
      </c>
      <c r="V346" s="222">
        <f>PL!W$307</f>
        <v>0</v>
      </c>
      <c r="W346" s="222">
        <f>PL!X$307</f>
        <v>0</v>
      </c>
      <c r="X346" s="222">
        <f>PL!Y$307</f>
        <v>0</v>
      </c>
      <c r="Y346" s="222">
        <f>PL!Z$307</f>
        <v>0</v>
      </c>
      <c r="Z346" s="222">
        <f>PL!AA$307</f>
        <v>0</v>
      </c>
      <c r="AA346" s="222">
        <f>PL!AB$307</f>
        <v>0</v>
      </c>
      <c r="AB346" s="222">
        <f>PL!AC$307</f>
        <v>0</v>
      </c>
    </row>
    <row r="347" spans="1:28">
      <c r="A347" s="598">
        <v>1</v>
      </c>
      <c r="B347" s="598" t="s">
        <v>512</v>
      </c>
      <c r="C347" s="602" t="s">
        <v>430</v>
      </c>
      <c r="D347" s="602" t="s">
        <v>684</v>
      </c>
      <c r="E347" s="600" t="s">
        <v>506</v>
      </c>
      <c r="G347" s="244"/>
      <c r="H347" s="244"/>
      <c r="I347" s="245"/>
      <c r="J347" s="219" t="s">
        <v>39</v>
      </c>
      <c r="K347" s="710" t="s">
        <v>703</v>
      </c>
      <c r="L347" s="232" t="s">
        <v>3</v>
      </c>
      <c r="M347" s="709" t="s">
        <v>684</v>
      </c>
      <c r="N347" s="232" t="s">
        <v>37</v>
      </c>
      <c r="O347" s="216" t="str">
        <f>PL!$P$4</f>
        <v>BIN</v>
      </c>
      <c r="P347" s="216" t="str">
        <f>PL!$I$6</f>
        <v>K_INR</v>
      </c>
      <c r="Q347" s="222" t="str">
        <f>PL!Q$308</f>
        <v>PL (4) BT Cons. Sales ODP Digital Solution</v>
      </c>
      <c r="R347" s="222">
        <f>PL!S$308</f>
        <v>0</v>
      </c>
      <c r="S347" s="222">
        <f>PL!T$308</f>
        <v>0</v>
      </c>
      <c r="T347" s="222">
        <f>PL!U$308</f>
        <v>0</v>
      </c>
      <c r="U347" s="222">
        <f>PL!V$308</f>
        <v>0</v>
      </c>
      <c r="V347" s="222">
        <f>PL!W$308</f>
        <v>0</v>
      </c>
      <c r="W347" s="222">
        <f>PL!X$308</f>
        <v>0</v>
      </c>
      <c r="X347" s="222">
        <f>PL!Y$308</f>
        <v>0</v>
      </c>
      <c r="Y347" s="222">
        <f>PL!Z$308</f>
        <v>0</v>
      </c>
      <c r="Z347" s="222">
        <f>PL!AA$308</f>
        <v>0</v>
      </c>
      <c r="AA347" s="222">
        <f>PL!AB$308</f>
        <v>0</v>
      </c>
      <c r="AB347" s="222">
        <f>PL!AC$308</f>
        <v>0</v>
      </c>
    </row>
    <row r="348" spans="1:28">
      <c r="A348" s="598">
        <v>1</v>
      </c>
      <c r="B348" s="598" t="s">
        <v>512</v>
      </c>
      <c r="C348" s="602" t="s">
        <v>430</v>
      </c>
      <c r="D348" s="602" t="s">
        <v>685</v>
      </c>
      <c r="E348" s="600" t="s">
        <v>506</v>
      </c>
      <c r="G348" s="244"/>
      <c r="H348" s="244"/>
      <c r="I348" s="245"/>
      <c r="J348" s="219" t="s">
        <v>39</v>
      </c>
      <c r="K348" s="710" t="s">
        <v>703</v>
      </c>
      <c r="L348" s="232" t="s">
        <v>3</v>
      </c>
      <c r="M348" s="709" t="s">
        <v>685</v>
      </c>
      <c r="N348" s="232" t="s">
        <v>37</v>
      </c>
      <c r="O348" s="216" t="str">
        <f>PL!$P$4</f>
        <v>BIN</v>
      </c>
      <c r="P348" s="216" t="str">
        <f>PL!$I$6</f>
        <v>K_INR</v>
      </c>
      <c r="Q348" s="222" t="str">
        <f>PL!Q$309</f>
        <v>PL (4) BT Cons. Sales ODP ODP New Business</v>
      </c>
      <c r="R348" s="222">
        <f>PL!S$309</f>
        <v>0</v>
      </c>
      <c r="S348" s="222">
        <f>PL!T$309</f>
        <v>0</v>
      </c>
      <c r="T348" s="222">
        <f>PL!U$309</f>
        <v>0</v>
      </c>
      <c r="U348" s="222">
        <f>PL!V$309</f>
        <v>0</v>
      </c>
      <c r="V348" s="222">
        <f>PL!W$309</f>
        <v>0</v>
      </c>
      <c r="W348" s="222">
        <f>PL!X$309</f>
        <v>0</v>
      </c>
      <c r="X348" s="222">
        <f>PL!Y$309</f>
        <v>0</v>
      </c>
      <c r="Y348" s="222">
        <f>PL!Z$309</f>
        <v>0</v>
      </c>
      <c r="Z348" s="222">
        <f>PL!AA$309</f>
        <v>0</v>
      </c>
      <c r="AA348" s="222">
        <f>PL!AB$309</f>
        <v>0</v>
      </c>
      <c r="AB348" s="222">
        <f>PL!AC$309</f>
        <v>0</v>
      </c>
    </row>
    <row r="349" spans="1:28" s="682" customFormat="1">
      <c r="A349" s="682">
        <v>1</v>
      </c>
      <c r="C349" s="683"/>
      <c r="F349" s="684"/>
      <c r="G349" s="685"/>
      <c r="H349" s="685"/>
      <c r="I349" s="686"/>
      <c r="J349" s="687" t="s">
        <v>31</v>
      </c>
      <c r="K349" s="688" t="s">
        <v>430</v>
      </c>
      <c r="L349" s="689" t="s">
        <v>3</v>
      </c>
      <c r="M349" s="690" t="s">
        <v>4</v>
      </c>
      <c r="N349" s="691" t="s">
        <v>5</v>
      </c>
      <c r="O349" s="692" t="str">
        <f>PL!$P$4</f>
        <v>BIN</v>
      </c>
      <c r="P349" s="692" t="str">
        <f>PL!$I$6</f>
        <v>K_INR</v>
      </c>
      <c r="Q349" s="693" t="e">
        <f>SUM(Q350:Q360)</f>
        <v>#VALUE!</v>
      </c>
      <c r="R349" s="693">
        <f t="shared" ref="R349:AB349" si="26">SUM(R350:R360)</f>
        <v>0</v>
      </c>
      <c r="S349" s="693">
        <f t="shared" si="26"/>
        <v>0</v>
      </c>
      <c r="T349" s="693">
        <f t="shared" si="26"/>
        <v>0</v>
      </c>
      <c r="U349" s="693">
        <f t="shared" si="26"/>
        <v>0</v>
      </c>
      <c r="V349" s="693">
        <f t="shared" si="26"/>
        <v>0</v>
      </c>
      <c r="W349" s="693">
        <f t="shared" si="26"/>
        <v>0</v>
      </c>
      <c r="X349" s="693">
        <f t="shared" si="26"/>
        <v>0</v>
      </c>
      <c r="Y349" s="693">
        <f t="shared" si="26"/>
        <v>0</v>
      </c>
      <c r="Z349" s="693">
        <f t="shared" si="26"/>
        <v>0</v>
      </c>
      <c r="AA349" s="693">
        <f t="shared" si="26"/>
        <v>0</v>
      </c>
      <c r="AB349" s="693">
        <f t="shared" si="26"/>
        <v>0</v>
      </c>
    </row>
    <row r="350" spans="1:28">
      <c r="A350" s="598">
        <v>1</v>
      </c>
      <c r="B350" s="598" t="s">
        <v>512</v>
      </c>
      <c r="C350" s="602" t="s">
        <v>665</v>
      </c>
      <c r="D350" s="602" t="s">
        <v>57</v>
      </c>
      <c r="E350" s="598" t="s">
        <v>45</v>
      </c>
      <c r="G350" s="244"/>
      <c r="H350" s="244"/>
      <c r="I350" s="245"/>
      <c r="J350" s="220" t="s">
        <v>31</v>
      </c>
      <c r="K350" s="234" t="s">
        <v>56</v>
      </c>
      <c r="L350" s="232" t="s">
        <v>3</v>
      </c>
      <c r="M350" s="468" t="s">
        <v>57</v>
      </c>
      <c r="N350" s="232" t="s">
        <v>5</v>
      </c>
      <c r="O350" s="216" t="str">
        <f>PL!$P$4</f>
        <v>BIN</v>
      </c>
      <c r="P350" s="216" t="str">
        <f>PL!$I$6</f>
        <v>K_INR</v>
      </c>
      <c r="Q350" s="222" t="str">
        <f>PL!Q$322</f>
        <v>PL (4) Gross Profit MPM Procurement</v>
      </c>
      <c r="R350" s="222">
        <f>PL!S$322</f>
        <v>0</v>
      </c>
      <c r="S350" s="222">
        <f>PL!T$322</f>
        <v>0</v>
      </c>
      <c r="T350" s="222">
        <f>PL!U$322</f>
        <v>0</v>
      </c>
      <c r="U350" s="222">
        <f>PL!V$322</f>
        <v>0</v>
      </c>
      <c r="V350" s="222">
        <f>PL!W$322</f>
        <v>0</v>
      </c>
      <c r="W350" s="222">
        <f>PL!X$322</f>
        <v>0</v>
      </c>
      <c r="X350" s="222">
        <f>PL!Y$322</f>
        <v>0</v>
      </c>
      <c r="Y350" s="222">
        <f>PL!Z$322</f>
        <v>0</v>
      </c>
      <c r="Z350" s="222">
        <f>PL!AA$322</f>
        <v>0</v>
      </c>
      <c r="AA350" s="222">
        <f>PL!AB$322</f>
        <v>0</v>
      </c>
      <c r="AB350" s="222">
        <f>PL!AC$322</f>
        <v>0</v>
      </c>
    </row>
    <row r="351" spans="1:28">
      <c r="A351" s="598">
        <v>1</v>
      </c>
      <c r="B351" s="598" t="s">
        <v>512</v>
      </c>
      <c r="C351" s="602" t="s">
        <v>665</v>
      </c>
      <c r="D351" s="602" t="s">
        <v>58</v>
      </c>
      <c r="E351" s="598" t="s">
        <v>45</v>
      </c>
      <c r="G351" s="244"/>
      <c r="H351" s="244"/>
      <c r="I351" s="245"/>
      <c r="J351" s="220" t="s">
        <v>31</v>
      </c>
      <c r="K351" s="234" t="s">
        <v>56</v>
      </c>
      <c r="L351" s="232" t="s">
        <v>3</v>
      </c>
      <c r="M351" s="468" t="s">
        <v>58</v>
      </c>
      <c r="N351" s="232" t="s">
        <v>5</v>
      </c>
      <c r="O351" s="216" t="str">
        <f>PL!$P$4</f>
        <v>BIN</v>
      </c>
      <c r="P351" s="216" t="str">
        <f>PL!$I$6</f>
        <v>K_INR</v>
      </c>
      <c r="Q351" s="222" t="str">
        <f>PL!Q$323</f>
        <v>PL (4) Gross Profit MPM Production</v>
      </c>
      <c r="R351" s="222">
        <f>PL!S$323</f>
        <v>0</v>
      </c>
      <c r="S351" s="222">
        <f>PL!T$323</f>
        <v>0</v>
      </c>
      <c r="T351" s="222">
        <f>PL!U$323</f>
        <v>0</v>
      </c>
      <c r="U351" s="222">
        <f>PL!V$323</f>
        <v>0</v>
      </c>
      <c r="V351" s="222">
        <f>PL!W$323</f>
        <v>0</v>
      </c>
      <c r="W351" s="222">
        <f>PL!X$323</f>
        <v>0</v>
      </c>
      <c r="X351" s="222">
        <f>PL!Y$323</f>
        <v>0</v>
      </c>
      <c r="Y351" s="222">
        <f>PL!Z$323</f>
        <v>0</v>
      </c>
      <c r="Z351" s="222">
        <f>PL!AA$323</f>
        <v>0</v>
      </c>
      <c r="AA351" s="222">
        <f>PL!AB$323</f>
        <v>0</v>
      </c>
      <c r="AB351" s="222">
        <f>PL!AC$323</f>
        <v>0</v>
      </c>
    </row>
    <row r="352" spans="1:28">
      <c r="A352" s="598">
        <v>1</v>
      </c>
      <c r="B352" s="598" t="s">
        <v>630</v>
      </c>
      <c r="C352" s="602" t="s">
        <v>665</v>
      </c>
      <c r="D352" s="602" t="s">
        <v>85</v>
      </c>
      <c r="E352" s="598" t="s">
        <v>45</v>
      </c>
      <c r="G352" s="244"/>
      <c r="H352" s="244"/>
      <c r="I352" s="245"/>
      <c r="J352" s="220" t="s">
        <v>31</v>
      </c>
      <c r="K352" s="234" t="s">
        <v>56</v>
      </c>
      <c r="L352" s="232" t="s">
        <v>3</v>
      </c>
      <c r="M352" s="468" t="s">
        <v>85</v>
      </c>
      <c r="N352" s="232" t="s">
        <v>5</v>
      </c>
      <c r="O352" s="216" t="str">
        <f>PL!$P$4</f>
        <v>BIN</v>
      </c>
      <c r="P352" s="216" t="str">
        <f>PL!$I$6</f>
        <v>K_INR</v>
      </c>
      <c r="Q352" s="222" t="str">
        <f>PL!Q$324</f>
        <v>PL (4) Gross Profit MPM Solution</v>
      </c>
      <c r="R352" s="222">
        <f>PL!S$324</f>
        <v>0</v>
      </c>
      <c r="S352" s="222">
        <f>PL!T$324</f>
        <v>0</v>
      </c>
      <c r="T352" s="222">
        <f>PL!U$324</f>
        <v>0</v>
      </c>
      <c r="U352" s="222">
        <f>PL!V$324</f>
        <v>0</v>
      </c>
      <c r="V352" s="222">
        <f>PL!W$324</f>
        <v>0</v>
      </c>
      <c r="W352" s="222">
        <f>PL!X$324</f>
        <v>0</v>
      </c>
      <c r="X352" s="222">
        <f>PL!Y$324</f>
        <v>0</v>
      </c>
      <c r="Y352" s="222">
        <f>PL!Z$324</f>
        <v>0</v>
      </c>
      <c r="Z352" s="222">
        <f>PL!AA$324</f>
        <v>0</v>
      </c>
      <c r="AA352" s="222">
        <f>PL!AB$324</f>
        <v>0</v>
      </c>
      <c r="AB352" s="222">
        <f>PL!AC$324</f>
        <v>0</v>
      </c>
    </row>
    <row r="353" spans="1:28">
      <c r="A353" s="598">
        <v>1</v>
      </c>
      <c r="B353" s="598" t="s">
        <v>512</v>
      </c>
      <c r="C353" s="602" t="s">
        <v>665</v>
      </c>
      <c r="D353" s="602" t="s">
        <v>59</v>
      </c>
      <c r="E353" s="598" t="s">
        <v>45</v>
      </c>
      <c r="G353" s="244"/>
      <c r="H353" s="244"/>
      <c r="I353" s="245"/>
      <c r="J353" s="220" t="s">
        <v>31</v>
      </c>
      <c r="K353" s="234" t="s">
        <v>56</v>
      </c>
      <c r="L353" s="232" t="s">
        <v>3</v>
      </c>
      <c r="M353" s="468" t="s">
        <v>59</v>
      </c>
      <c r="N353" s="232" t="s">
        <v>5</v>
      </c>
      <c r="O353" s="216" t="str">
        <f>PL!$P$4</f>
        <v>BIN</v>
      </c>
      <c r="P353" s="216" t="str">
        <f>PL!$I$6</f>
        <v>K_INR</v>
      </c>
      <c r="Q353" s="222" t="str">
        <f>PL!Q$326</f>
        <v>PL (4) Gross Profit ODP On Demand Printing</v>
      </c>
      <c r="R353" s="222">
        <f>PL!S$326</f>
        <v>0</v>
      </c>
      <c r="S353" s="222">
        <f>PL!T$326</f>
        <v>0</v>
      </c>
      <c r="T353" s="222">
        <f>PL!U$326</f>
        <v>0</v>
      </c>
      <c r="U353" s="222">
        <f>PL!V$326</f>
        <v>0</v>
      </c>
      <c r="V353" s="222">
        <f>PL!W$326</f>
        <v>0</v>
      </c>
      <c r="W353" s="222">
        <f>PL!X$326</f>
        <v>0</v>
      </c>
      <c r="X353" s="222">
        <f>PL!Y$326</f>
        <v>0</v>
      </c>
      <c r="Y353" s="222">
        <f>PL!Z$326</f>
        <v>0</v>
      </c>
      <c r="Z353" s="222">
        <f>PL!AA$326</f>
        <v>0</v>
      </c>
      <c r="AA353" s="222">
        <f>PL!AB$326</f>
        <v>0</v>
      </c>
      <c r="AB353" s="222">
        <f>PL!AC$326</f>
        <v>0</v>
      </c>
    </row>
    <row r="354" spans="1:28">
      <c r="A354" s="598">
        <v>1</v>
      </c>
      <c r="B354" s="598" t="s">
        <v>512</v>
      </c>
      <c r="C354" s="602" t="s">
        <v>430</v>
      </c>
      <c r="D354" s="602" t="s">
        <v>683</v>
      </c>
      <c r="E354" s="598" t="s">
        <v>45</v>
      </c>
      <c r="G354" s="244"/>
      <c r="H354" s="244"/>
      <c r="I354" s="245"/>
      <c r="J354" s="220" t="s">
        <v>31</v>
      </c>
      <c r="K354" s="710" t="s">
        <v>703</v>
      </c>
      <c r="L354" s="232" t="s">
        <v>3</v>
      </c>
      <c r="M354" s="468" t="s">
        <v>59</v>
      </c>
      <c r="N354" s="232" t="s">
        <v>5</v>
      </c>
      <c r="O354" s="216" t="str">
        <f>PL!$P$4</f>
        <v>BIN</v>
      </c>
      <c r="P354" s="216" t="str">
        <f>PL!$I$6</f>
        <v>K_INR</v>
      </c>
      <c r="Q354" s="222" t="str">
        <f>PL!Q$327</f>
        <v>PL (4) Gross Profit ODP Marketing Service</v>
      </c>
      <c r="R354" s="222">
        <f>PL!S$327</f>
        <v>0</v>
      </c>
      <c r="S354" s="222">
        <f>PL!T$327</f>
        <v>0</v>
      </c>
      <c r="T354" s="222">
        <f>PL!U$327</f>
        <v>0</v>
      </c>
      <c r="U354" s="222">
        <f>PL!V$327</f>
        <v>0</v>
      </c>
      <c r="V354" s="222">
        <f>PL!W$327</f>
        <v>0</v>
      </c>
      <c r="W354" s="222">
        <f>PL!X$327</f>
        <v>0</v>
      </c>
      <c r="X354" s="222">
        <f>PL!Y$327</f>
        <v>0</v>
      </c>
      <c r="Y354" s="222">
        <f>PL!Z$327</f>
        <v>0</v>
      </c>
      <c r="Z354" s="222">
        <f>PL!AA$327</f>
        <v>0</v>
      </c>
      <c r="AA354" s="222">
        <f>PL!AB$327</f>
        <v>0</v>
      </c>
      <c r="AB354" s="222">
        <f>PL!AC$327</f>
        <v>0</v>
      </c>
    </row>
    <row r="355" spans="1:28">
      <c r="A355" s="598">
        <v>1</v>
      </c>
      <c r="B355" s="598" t="s">
        <v>512</v>
      </c>
      <c r="C355" s="602" t="s">
        <v>430</v>
      </c>
      <c r="D355" s="602" t="s">
        <v>684</v>
      </c>
      <c r="E355" s="598" t="s">
        <v>45</v>
      </c>
      <c r="G355" s="244"/>
      <c r="H355" s="244"/>
      <c r="I355" s="245"/>
      <c r="J355" s="220" t="s">
        <v>31</v>
      </c>
      <c r="K355" s="710" t="s">
        <v>703</v>
      </c>
      <c r="L355" s="232" t="s">
        <v>3</v>
      </c>
      <c r="M355" s="468" t="s">
        <v>59</v>
      </c>
      <c r="N355" s="232" t="s">
        <v>5</v>
      </c>
      <c r="O355" s="216" t="str">
        <f>PL!$P$4</f>
        <v>BIN</v>
      </c>
      <c r="P355" s="216" t="str">
        <f>PL!$I$6</f>
        <v>K_INR</v>
      </c>
      <c r="Q355" s="222" t="str">
        <f>PL!Q$328</f>
        <v>PL (4) Gross Profit ODP Digital Solution</v>
      </c>
      <c r="R355" s="222">
        <f>PL!S$328</f>
        <v>0</v>
      </c>
      <c r="S355" s="222">
        <f>PL!T$328</f>
        <v>0</v>
      </c>
      <c r="T355" s="222">
        <f>PL!U$328</f>
        <v>0</v>
      </c>
      <c r="U355" s="222">
        <f>PL!V$328</f>
        <v>0</v>
      </c>
      <c r="V355" s="222">
        <f>PL!W$328</f>
        <v>0</v>
      </c>
      <c r="W355" s="222">
        <f>PL!X$328</f>
        <v>0</v>
      </c>
      <c r="X355" s="222">
        <f>PL!Y$328</f>
        <v>0</v>
      </c>
      <c r="Y355" s="222">
        <f>PL!Z$328</f>
        <v>0</v>
      </c>
      <c r="Z355" s="222">
        <f>PL!AA$328</f>
        <v>0</v>
      </c>
      <c r="AA355" s="222">
        <f>PL!AB$328</f>
        <v>0</v>
      </c>
      <c r="AB355" s="222">
        <f>PL!AC$328</f>
        <v>0</v>
      </c>
    </row>
    <row r="356" spans="1:28">
      <c r="A356" s="598">
        <v>1</v>
      </c>
      <c r="B356" s="598" t="s">
        <v>512</v>
      </c>
      <c r="C356" s="602" t="s">
        <v>430</v>
      </c>
      <c r="D356" s="602" t="s">
        <v>685</v>
      </c>
      <c r="E356" s="598" t="s">
        <v>45</v>
      </c>
      <c r="G356" s="244"/>
      <c r="H356" s="244"/>
      <c r="I356" s="245"/>
      <c r="J356" s="220" t="s">
        <v>31</v>
      </c>
      <c r="K356" s="710" t="s">
        <v>703</v>
      </c>
      <c r="L356" s="232" t="s">
        <v>3</v>
      </c>
      <c r="M356" s="468" t="s">
        <v>59</v>
      </c>
      <c r="N356" s="232" t="s">
        <v>5</v>
      </c>
      <c r="O356" s="216" t="str">
        <f>PL!$P$4</f>
        <v>BIN</v>
      </c>
      <c r="P356" s="216" t="str">
        <f>PL!$I$6</f>
        <v>K_INR</v>
      </c>
      <c r="Q356" s="222" t="str">
        <f>PL!Q$329</f>
        <v>PL (4) Gross Profit ODP ODP New Business</v>
      </c>
      <c r="R356" s="222">
        <f>PL!S$329</f>
        <v>0</v>
      </c>
      <c r="S356" s="222">
        <f>PL!T$329</f>
        <v>0</v>
      </c>
      <c r="T356" s="222">
        <f>PL!U$329</f>
        <v>0</v>
      </c>
      <c r="U356" s="222">
        <f>PL!V$329</f>
        <v>0</v>
      </c>
      <c r="V356" s="222">
        <f>PL!W$329</f>
        <v>0</v>
      </c>
      <c r="W356" s="222">
        <f>PL!X$329</f>
        <v>0</v>
      </c>
      <c r="X356" s="222">
        <f>PL!Y$329</f>
        <v>0</v>
      </c>
      <c r="Y356" s="222">
        <f>PL!Z$329</f>
        <v>0</v>
      </c>
      <c r="Z356" s="222">
        <f>PL!AA$329</f>
        <v>0</v>
      </c>
      <c r="AA356" s="222">
        <f>PL!AB$329</f>
        <v>0</v>
      </c>
      <c r="AB356" s="222">
        <f>PL!AC$329</f>
        <v>0</v>
      </c>
    </row>
    <row r="357" spans="1:28">
      <c r="A357" s="598">
        <v>1</v>
      </c>
      <c r="B357" s="598" t="s">
        <v>630</v>
      </c>
      <c r="C357" s="602" t="s">
        <v>665</v>
      </c>
      <c r="D357" s="598" t="s">
        <v>505</v>
      </c>
      <c r="E357" s="598" t="s">
        <v>45</v>
      </c>
      <c r="G357" s="244"/>
      <c r="H357" s="244"/>
      <c r="I357" s="245"/>
      <c r="J357" s="474" t="s">
        <v>423</v>
      </c>
      <c r="K357" s="234" t="s">
        <v>56</v>
      </c>
      <c r="L357" s="232" t="s">
        <v>3</v>
      </c>
      <c r="M357" s="468" t="s">
        <v>4</v>
      </c>
      <c r="N357" s="232" t="s">
        <v>5</v>
      </c>
      <c r="O357" s="216" t="str">
        <f>PL!$P$4</f>
        <v>BIN</v>
      </c>
      <c r="P357" s="216" t="str">
        <f>PL!$I$6</f>
        <v>K_INR</v>
      </c>
      <c r="Q357" s="222" t="e">
        <f>PL!Q865*-1</f>
        <v>#VALUE!</v>
      </c>
      <c r="R357" s="222">
        <f>PL!S865*-1</f>
        <v>0</v>
      </c>
      <c r="S357" s="222">
        <f>PL!T865*-1</f>
        <v>0</v>
      </c>
      <c r="T357" s="222">
        <f>PL!U865*-1</f>
        <v>0</v>
      </c>
      <c r="U357" s="222">
        <f>PL!V865*-1</f>
        <v>0</v>
      </c>
      <c r="V357" s="222">
        <f>PL!W865*-1</f>
        <v>0</v>
      </c>
      <c r="W357" s="222">
        <f>PL!X865*-1</f>
        <v>0</v>
      </c>
      <c r="X357" s="222">
        <f>PL!Y865*-1</f>
        <v>0</v>
      </c>
      <c r="Y357" s="222">
        <f>PL!Z865*-1</f>
        <v>0</v>
      </c>
      <c r="Z357" s="222">
        <f>PL!AA865*-1</f>
        <v>0</v>
      </c>
      <c r="AA357" s="222">
        <f>PL!AB865*-1</f>
        <v>0</v>
      </c>
      <c r="AB357" s="222">
        <f>PL!AC865*-1</f>
        <v>0</v>
      </c>
    </row>
    <row r="358" spans="1:28">
      <c r="A358" s="598">
        <v>1</v>
      </c>
      <c r="B358" s="598" t="s">
        <v>512</v>
      </c>
      <c r="C358" s="602" t="s">
        <v>664</v>
      </c>
      <c r="D358" s="598" t="s">
        <v>620</v>
      </c>
      <c r="E358" s="598" t="s">
        <v>45</v>
      </c>
      <c r="G358" s="244"/>
      <c r="H358" s="244"/>
      <c r="I358" s="245"/>
      <c r="J358" s="474" t="s">
        <v>424</v>
      </c>
      <c r="K358" s="234" t="s">
        <v>56</v>
      </c>
      <c r="L358" s="232" t="s">
        <v>3</v>
      </c>
      <c r="M358" s="468" t="s">
        <v>4</v>
      </c>
      <c r="N358" s="232" t="s">
        <v>5</v>
      </c>
      <c r="O358" s="216" t="str">
        <f>PL!$P$4</f>
        <v>BIN</v>
      </c>
      <c r="P358" s="216" t="str">
        <f>PL!$I$6</f>
        <v>K_INR</v>
      </c>
      <c r="Q358" s="222" t="e">
        <f>PL!Q866*-1</f>
        <v>#VALUE!</v>
      </c>
      <c r="R358" s="222">
        <f>PL!S866*-1</f>
        <v>0</v>
      </c>
      <c r="S358" s="222">
        <f>PL!T866*-1</f>
        <v>0</v>
      </c>
      <c r="T358" s="222">
        <f>PL!U866*-1</f>
        <v>0</v>
      </c>
      <c r="U358" s="222">
        <f>PL!V866*-1</f>
        <v>0</v>
      </c>
      <c r="V358" s="222">
        <f>PL!W866*-1</f>
        <v>0</v>
      </c>
      <c r="W358" s="222">
        <f>PL!X866*-1</f>
        <v>0</v>
      </c>
      <c r="X358" s="222">
        <f>PL!Y866*-1</f>
        <v>0</v>
      </c>
      <c r="Y358" s="222">
        <f>PL!Z866*-1</f>
        <v>0</v>
      </c>
      <c r="Z358" s="222">
        <f>PL!AA866*-1</f>
        <v>0</v>
      </c>
      <c r="AA358" s="222">
        <f>PL!AB866*-1</f>
        <v>0</v>
      </c>
      <c r="AB358" s="222">
        <f>PL!AC866*-1</f>
        <v>0</v>
      </c>
    </row>
    <row r="359" spans="1:28">
      <c r="A359" s="598">
        <v>1</v>
      </c>
      <c r="B359" s="598" t="s">
        <v>660</v>
      </c>
      <c r="C359" s="602" t="s">
        <v>664</v>
      </c>
      <c r="D359" s="598" t="s">
        <v>620</v>
      </c>
      <c r="E359" s="598" t="s">
        <v>45</v>
      </c>
      <c r="G359" s="244"/>
      <c r="H359" s="244"/>
      <c r="I359" s="245"/>
      <c r="J359" s="474" t="s">
        <v>425</v>
      </c>
      <c r="K359" s="234" t="s">
        <v>56</v>
      </c>
      <c r="L359" s="232" t="s">
        <v>3</v>
      </c>
      <c r="M359" s="468" t="s">
        <v>4</v>
      </c>
      <c r="N359" s="232" t="s">
        <v>5</v>
      </c>
      <c r="O359" s="216" t="str">
        <f>PL!$P$4</f>
        <v>BIN</v>
      </c>
      <c r="P359" s="216" t="str">
        <f>PL!$I$6</f>
        <v>K_INR</v>
      </c>
      <c r="Q359" s="222" t="e">
        <f>PL!Q868*-1</f>
        <v>#VALUE!</v>
      </c>
      <c r="R359" s="222">
        <f>PL!S868*-1</f>
        <v>0</v>
      </c>
      <c r="S359" s="222">
        <f>PL!T868*-1</f>
        <v>0</v>
      </c>
      <c r="T359" s="222">
        <f>PL!U868*-1</f>
        <v>0</v>
      </c>
      <c r="U359" s="222">
        <f>PL!V868*-1</f>
        <v>0</v>
      </c>
      <c r="V359" s="222">
        <f>PL!W868*-1</f>
        <v>0</v>
      </c>
      <c r="W359" s="222">
        <f>PL!X868*-1</f>
        <v>0</v>
      </c>
      <c r="X359" s="222">
        <f>PL!Y868*-1</f>
        <v>0</v>
      </c>
      <c r="Y359" s="222">
        <f>PL!Z868*-1</f>
        <v>0</v>
      </c>
      <c r="Z359" s="222">
        <f>PL!AA868*-1</f>
        <v>0</v>
      </c>
      <c r="AA359" s="222">
        <f>PL!AB868*-1</f>
        <v>0</v>
      </c>
      <c r="AB359" s="222">
        <f>PL!AC868*-1</f>
        <v>0</v>
      </c>
    </row>
    <row r="360" spans="1:28">
      <c r="A360" s="598">
        <v>1</v>
      </c>
      <c r="B360" s="598" t="s">
        <v>660</v>
      </c>
      <c r="C360" s="602" t="s">
        <v>665</v>
      </c>
      <c r="D360" s="598" t="s">
        <v>620</v>
      </c>
      <c r="E360" s="598" t="s">
        <v>45</v>
      </c>
      <c r="G360" s="244"/>
      <c r="H360" s="244"/>
      <c r="I360" s="245"/>
      <c r="J360" s="474" t="s">
        <v>426</v>
      </c>
      <c r="K360" s="234" t="s">
        <v>56</v>
      </c>
      <c r="L360" s="232" t="s">
        <v>3</v>
      </c>
      <c r="M360" s="468" t="s">
        <v>4</v>
      </c>
      <c r="N360" s="232" t="s">
        <v>5</v>
      </c>
      <c r="O360" s="216" t="str">
        <f>PL!$P$4</f>
        <v>BIN</v>
      </c>
      <c r="P360" s="216" t="str">
        <f>PL!$I$6</f>
        <v>K_INR</v>
      </c>
      <c r="Q360" s="222" t="e">
        <f>PL!Q867*-1</f>
        <v>#VALUE!</v>
      </c>
      <c r="R360" s="222">
        <f>PL!S867*-1</f>
        <v>0</v>
      </c>
      <c r="S360" s="222">
        <f>PL!T867*-1</f>
        <v>0</v>
      </c>
      <c r="T360" s="222">
        <f>PL!U867*-1</f>
        <v>0</v>
      </c>
      <c r="U360" s="222">
        <f>PL!V867*-1</f>
        <v>0</v>
      </c>
      <c r="V360" s="222">
        <f>PL!W867*-1</f>
        <v>0</v>
      </c>
      <c r="W360" s="222">
        <f>PL!X867*-1</f>
        <v>0</v>
      </c>
      <c r="X360" s="222">
        <f>PL!Y867*-1</f>
        <v>0</v>
      </c>
      <c r="Y360" s="222">
        <f>PL!Z867*-1</f>
        <v>0</v>
      </c>
      <c r="Z360" s="222">
        <f>PL!AA867*-1</f>
        <v>0</v>
      </c>
      <c r="AA360" s="222">
        <f>PL!AB867*-1</f>
        <v>0</v>
      </c>
      <c r="AB360" s="222">
        <f>PL!AC867*-1</f>
        <v>0</v>
      </c>
    </row>
    <row r="361" spans="1:28" s="682" customFormat="1">
      <c r="A361" s="682">
        <v>1</v>
      </c>
      <c r="C361" s="683"/>
      <c r="F361" s="684"/>
      <c r="G361" s="685"/>
      <c r="H361" s="685"/>
      <c r="I361" s="686"/>
      <c r="J361" s="687" t="s">
        <v>44</v>
      </c>
      <c r="K361" s="688" t="s">
        <v>430</v>
      </c>
      <c r="L361" s="689" t="s">
        <v>3</v>
      </c>
      <c r="M361" s="690" t="s">
        <v>4</v>
      </c>
      <c r="N361" s="691" t="s">
        <v>5</v>
      </c>
      <c r="O361" s="692" t="str">
        <f>PL!$P$4</f>
        <v>BIN</v>
      </c>
      <c r="P361" s="692" t="str">
        <f>PL!$I$6</f>
        <v>K_INR</v>
      </c>
      <c r="Q361" s="693">
        <f>SUM(Q362:Q364)</f>
        <v>0</v>
      </c>
      <c r="R361" s="693">
        <f t="shared" ref="R361:AB361" si="27">SUM(R362:R364)</f>
        <v>0</v>
      </c>
      <c r="S361" s="693">
        <f t="shared" si="27"/>
        <v>0</v>
      </c>
      <c r="T361" s="693">
        <f t="shared" si="27"/>
        <v>0</v>
      </c>
      <c r="U361" s="693">
        <f t="shared" si="27"/>
        <v>0</v>
      </c>
      <c r="V361" s="693">
        <f t="shared" si="27"/>
        <v>0</v>
      </c>
      <c r="W361" s="693">
        <f t="shared" si="27"/>
        <v>0</v>
      </c>
      <c r="X361" s="693">
        <f t="shared" si="27"/>
        <v>0</v>
      </c>
      <c r="Y361" s="693">
        <f t="shared" si="27"/>
        <v>0</v>
      </c>
      <c r="Z361" s="693">
        <f t="shared" si="27"/>
        <v>0</v>
      </c>
      <c r="AA361" s="693">
        <f t="shared" si="27"/>
        <v>0</v>
      </c>
      <c r="AB361" s="693">
        <f t="shared" si="27"/>
        <v>0</v>
      </c>
    </row>
    <row r="362" spans="1:28">
      <c r="A362" s="598">
        <v>1</v>
      </c>
      <c r="B362" s="598" t="s">
        <v>512</v>
      </c>
      <c r="C362" s="602" t="s">
        <v>664</v>
      </c>
      <c r="D362" s="598" t="s">
        <v>620</v>
      </c>
      <c r="E362" s="598" t="s">
        <v>663</v>
      </c>
      <c r="G362" s="244"/>
      <c r="H362" s="244"/>
      <c r="I362" s="245"/>
      <c r="J362" s="224" t="s">
        <v>25</v>
      </c>
      <c r="K362" s="234" t="s">
        <v>56</v>
      </c>
      <c r="L362" s="232" t="s">
        <v>3</v>
      </c>
      <c r="M362" s="468" t="s">
        <v>4</v>
      </c>
      <c r="N362" s="232" t="s">
        <v>5</v>
      </c>
      <c r="O362" s="216" t="str">
        <f>PL!$P$4</f>
        <v>BIN</v>
      </c>
      <c r="P362" s="216" t="str">
        <f>PL!$I$6</f>
        <v>K_INR</v>
      </c>
      <c r="Q362" s="222" t="str">
        <f>PL!Q$332</f>
        <v>PL (4) SGA Expenses Variable Expenses</v>
      </c>
      <c r="R362" s="222">
        <f>PL!S$332</f>
        <v>0</v>
      </c>
      <c r="S362" s="222">
        <f>PL!T$332</f>
        <v>0</v>
      </c>
      <c r="T362" s="222">
        <f>PL!U$332</f>
        <v>0</v>
      </c>
      <c r="U362" s="222">
        <f>PL!V$332</f>
        <v>0</v>
      </c>
      <c r="V362" s="222">
        <f>PL!W$332</f>
        <v>0</v>
      </c>
      <c r="W362" s="222">
        <f>PL!X$332</f>
        <v>0</v>
      </c>
      <c r="X362" s="222">
        <f>PL!Y$332</f>
        <v>0</v>
      </c>
      <c r="Y362" s="222">
        <f>PL!Z$332</f>
        <v>0</v>
      </c>
      <c r="Z362" s="222">
        <f>PL!AA$332</f>
        <v>0</v>
      </c>
      <c r="AA362" s="222">
        <f>PL!AB$332</f>
        <v>0</v>
      </c>
      <c r="AB362" s="222">
        <f>PL!AC$332</f>
        <v>0</v>
      </c>
    </row>
    <row r="363" spans="1:28">
      <c r="A363" s="598">
        <v>1</v>
      </c>
      <c r="B363" s="598" t="s">
        <v>512</v>
      </c>
      <c r="C363" s="602" t="s">
        <v>664</v>
      </c>
      <c r="D363" s="598" t="s">
        <v>505</v>
      </c>
      <c r="E363" s="598" t="s">
        <v>502</v>
      </c>
      <c r="G363" s="244"/>
      <c r="H363" s="244"/>
      <c r="I363" s="245"/>
      <c r="J363" s="224" t="s">
        <v>26</v>
      </c>
      <c r="K363" s="234" t="s">
        <v>56</v>
      </c>
      <c r="L363" s="232" t="s">
        <v>3</v>
      </c>
      <c r="M363" s="468" t="s">
        <v>4</v>
      </c>
      <c r="N363" s="232" t="s">
        <v>5</v>
      </c>
      <c r="O363" s="216" t="str">
        <f>PL!$P$4</f>
        <v>BIN</v>
      </c>
      <c r="P363" s="216" t="str">
        <f>PL!$I$6</f>
        <v>K_INR</v>
      </c>
      <c r="Q363" s="222" t="str">
        <f>PL!Q$333</f>
        <v>PL (4) SGA Expenses Wages &amp; Salaries</v>
      </c>
      <c r="R363" s="222">
        <f>PL!S$333</f>
        <v>0</v>
      </c>
      <c r="S363" s="222">
        <f>PL!T$333</f>
        <v>0</v>
      </c>
      <c r="T363" s="222">
        <f>PL!U$333</f>
        <v>0</v>
      </c>
      <c r="U363" s="222">
        <f>PL!V$333</f>
        <v>0</v>
      </c>
      <c r="V363" s="222">
        <f>PL!W$333</f>
        <v>0</v>
      </c>
      <c r="W363" s="222">
        <f>PL!X$333</f>
        <v>0</v>
      </c>
      <c r="X363" s="222">
        <f>PL!Y$333</f>
        <v>0</v>
      </c>
      <c r="Y363" s="222">
        <f>PL!Z$333</f>
        <v>0</v>
      </c>
      <c r="Z363" s="222">
        <f>PL!AA$333</f>
        <v>0</v>
      </c>
      <c r="AA363" s="222">
        <f>PL!AB$333</f>
        <v>0</v>
      </c>
      <c r="AB363" s="222">
        <f>PL!AC$333</f>
        <v>0</v>
      </c>
    </row>
    <row r="364" spans="1:28">
      <c r="A364" s="598">
        <v>1</v>
      </c>
      <c r="B364" s="598" t="s">
        <v>630</v>
      </c>
      <c r="C364" s="602" t="s">
        <v>664</v>
      </c>
      <c r="D364" s="598" t="s">
        <v>505</v>
      </c>
      <c r="E364" s="598" t="s">
        <v>502</v>
      </c>
      <c r="G364" s="244"/>
      <c r="H364" s="244"/>
      <c r="I364" s="245"/>
      <c r="J364" s="224" t="s">
        <v>27</v>
      </c>
      <c r="K364" s="234" t="s">
        <v>56</v>
      </c>
      <c r="L364" s="232" t="s">
        <v>3</v>
      </c>
      <c r="M364" s="468" t="s">
        <v>4</v>
      </c>
      <c r="N364" s="232" t="s">
        <v>5</v>
      </c>
      <c r="O364" s="216" t="str">
        <f>PL!$P$4</f>
        <v>BIN</v>
      </c>
      <c r="P364" s="216" t="str">
        <f>PL!$I$6</f>
        <v>K_INR</v>
      </c>
      <c r="Q364" s="222" t="str">
        <f>PL!Q$334</f>
        <v>PL (4) SGA Expenses Fixed Expenses</v>
      </c>
      <c r="R364" s="222">
        <f>PL!S$334</f>
        <v>0</v>
      </c>
      <c r="S364" s="222">
        <f>PL!T$334</f>
        <v>0</v>
      </c>
      <c r="T364" s="222">
        <f>PL!U$334</f>
        <v>0</v>
      </c>
      <c r="U364" s="222">
        <f>PL!V$334</f>
        <v>0</v>
      </c>
      <c r="V364" s="222">
        <f>PL!W$334</f>
        <v>0</v>
      </c>
      <c r="W364" s="222">
        <f>PL!X$334</f>
        <v>0</v>
      </c>
      <c r="X364" s="222">
        <f>PL!Y$334</f>
        <v>0</v>
      </c>
      <c r="Y364" s="222">
        <f>PL!Z$334</f>
        <v>0</v>
      </c>
      <c r="Z364" s="222">
        <f>PL!AA$334</f>
        <v>0</v>
      </c>
      <c r="AA364" s="222">
        <f>PL!AB$334</f>
        <v>0</v>
      </c>
      <c r="AB364" s="222">
        <f>PL!AC$334</f>
        <v>0</v>
      </c>
    </row>
    <row r="365" spans="1:28" s="682" customFormat="1">
      <c r="A365" s="682">
        <v>1</v>
      </c>
      <c r="B365" s="682" t="s">
        <v>698</v>
      </c>
      <c r="C365" s="683" t="s">
        <v>56</v>
      </c>
      <c r="D365" s="682" t="s">
        <v>696</v>
      </c>
      <c r="E365" s="682" t="s">
        <v>695</v>
      </c>
      <c r="F365" s="684"/>
      <c r="G365" s="685"/>
      <c r="H365" s="685"/>
      <c r="I365" s="686"/>
      <c r="J365" s="687" t="s">
        <v>46</v>
      </c>
      <c r="K365" s="688" t="s">
        <v>430</v>
      </c>
      <c r="L365" s="689" t="s">
        <v>3</v>
      </c>
      <c r="M365" s="690" t="s">
        <v>4</v>
      </c>
      <c r="N365" s="691" t="s">
        <v>5</v>
      </c>
      <c r="O365" s="692" t="str">
        <f>PL!$P$4</f>
        <v>BIN</v>
      </c>
      <c r="P365" s="692" t="str">
        <f>PL!$I$6</f>
        <v>K_INR</v>
      </c>
      <c r="Q365" s="693" t="e">
        <f>Q349-Q361</f>
        <v>#VALUE!</v>
      </c>
      <c r="R365" s="693">
        <f t="shared" ref="R365:AB365" si="28">R349-R361</f>
        <v>0</v>
      </c>
      <c r="S365" s="693">
        <f t="shared" si="28"/>
        <v>0</v>
      </c>
      <c r="T365" s="693">
        <f t="shared" si="28"/>
        <v>0</v>
      </c>
      <c r="U365" s="693">
        <f t="shared" si="28"/>
        <v>0</v>
      </c>
      <c r="V365" s="693">
        <f t="shared" si="28"/>
        <v>0</v>
      </c>
      <c r="W365" s="693">
        <f t="shared" si="28"/>
        <v>0</v>
      </c>
      <c r="X365" s="693">
        <f t="shared" si="28"/>
        <v>0</v>
      </c>
      <c r="Y365" s="693">
        <f t="shared" si="28"/>
        <v>0</v>
      </c>
      <c r="Z365" s="693">
        <f t="shared" si="28"/>
        <v>0</v>
      </c>
      <c r="AA365" s="693">
        <f t="shared" si="28"/>
        <v>0</v>
      </c>
      <c r="AB365" s="693">
        <f t="shared" si="28"/>
        <v>0</v>
      </c>
    </row>
    <row r="366" spans="1:28">
      <c r="A366" s="598">
        <v>1</v>
      </c>
      <c r="B366" s="598" t="s">
        <v>698</v>
      </c>
      <c r="C366" s="602" t="s">
        <v>56</v>
      </c>
      <c r="D366" s="598" t="s">
        <v>696</v>
      </c>
      <c r="E366" s="598" t="s">
        <v>504</v>
      </c>
      <c r="G366" s="244"/>
      <c r="H366" s="244"/>
      <c r="I366" s="245"/>
      <c r="J366" s="220" t="s">
        <v>23</v>
      </c>
      <c r="K366" s="234" t="s">
        <v>56</v>
      </c>
      <c r="L366" s="232" t="s">
        <v>3</v>
      </c>
      <c r="M366" s="468" t="s">
        <v>4</v>
      </c>
      <c r="N366" s="232" t="s">
        <v>5</v>
      </c>
      <c r="O366" s="216" t="str">
        <f>PL!$P$4</f>
        <v>BIN</v>
      </c>
      <c r="P366" s="216" t="str">
        <f>PL!$I$6</f>
        <v>K_INR</v>
      </c>
      <c r="Q366" s="222" t="str">
        <f>PL!Q$337</f>
        <v>PL (4) Other Income</v>
      </c>
      <c r="R366" s="222">
        <f>PL!S$337</f>
        <v>0</v>
      </c>
      <c r="S366" s="222">
        <f>PL!T$337</f>
        <v>0</v>
      </c>
      <c r="T366" s="222">
        <f>PL!U$337</f>
        <v>0</v>
      </c>
      <c r="U366" s="222">
        <f>PL!V$337</f>
        <v>0</v>
      </c>
      <c r="V366" s="222">
        <f>PL!W$337</f>
        <v>0</v>
      </c>
      <c r="W366" s="222">
        <f>PL!X$337</f>
        <v>0</v>
      </c>
      <c r="X366" s="222">
        <f>PL!Y$337</f>
        <v>0</v>
      </c>
      <c r="Y366" s="222">
        <f>PL!Z$337</f>
        <v>0</v>
      </c>
      <c r="Z366" s="222">
        <f>PL!AA$337</f>
        <v>0</v>
      </c>
      <c r="AA366" s="222">
        <f>PL!AB$337</f>
        <v>0</v>
      </c>
      <c r="AB366" s="222">
        <f>PL!AC$337</f>
        <v>0</v>
      </c>
    </row>
    <row r="367" spans="1:28">
      <c r="A367" s="598">
        <v>1</v>
      </c>
      <c r="B367" s="598" t="s">
        <v>698</v>
      </c>
      <c r="C367" s="602" t="s">
        <v>56</v>
      </c>
      <c r="D367" s="598" t="s">
        <v>696</v>
      </c>
      <c r="E367" s="601" t="s">
        <v>192</v>
      </c>
      <c r="G367" s="244"/>
      <c r="H367" s="244"/>
      <c r="I367" s="245"/>
      <c r="J367" s="220" t="s">
        <v>24</v>
      </c>
      <c r="K367" s="234" t="s">
        <v>56</v>
      </c>
      <c r="L367" s="232" t="s">
        <v>3</v>
      </c>
      <c r="M367" s="468" t="s">
        <v>4</v>
      </c>
      <c r="N367" s="232" t="s">
        <v>5</v>
      </c>
      <c r="O367" s="216" t="str">
        <f>PL!$P$4</f>
        <v>BIN</v>
      </c>
      <c r="P367" s="216" t="str">
        <f>PL!$I$6</f>
        <v>K_INR</v>
      </c>
      <c r="Q367" s="222" t="str">
        <f>PL!Q$338</f>
        <v>PL (4) Other Expenses</v>
      </c>
      <c r="R367" s="222">
        <f>PL!S$338</f>
        <v>0</v>
      </c>
      <c r="S367" s="222">
        <f>PL!T$338</f>
        <v>0</v>
      </c>
      <c r="T367" s="222">
        <f>PL!U$338</f>
        <v>0</v>
      </c>
      <c r="U367" s="222">
        <f>PL!V$338</f>
        <v>0</v>
      </c>
      <c r="V367" s="222">
        <f>PL!W$338</f>
        <v>0</v>
      </c>
      <c r="W367" s="222">
        <f>PL!X$338</f>
        <v>0</v>
      </c>
      <c r="X367" s="222">
        <f>PL!Y$338</f>
        <v>0</v>
      </c>
      <c r="Y367" s="222">
        <f>PL!Z$338</f>
        <v>0</v>
      </c>
      <c r="Z367" s="222">
        <f>PL!AA$338</f>
        <v>0</v>
      </c>
      <c r="AA367" s="222">
        <f>PL!AB$338</f>
        <v>0</v>
      </c>
      <c r="AB367" s="222">
        <f>PL!AC$338</f>
        <v>0</v>
      </c>
    </row>
    <row r="368" spans="1:28" s="682" customFormat="1">
      <c r="A368" s="682">
        <v>1</v>
      </c>
      <c r="B368" s="682" t="s">
        <v>698</v>
      </c>
      <c r="C368" s="683" t="s">
        <v>56</v>
      </c>
      <c r="D368" s="682" t="s">
        <v>696</v>
      </c>
      <c r="E368" s="682" t="s">
        <v>10</v>
      </c>
      <c r="F368" s="684"/>
      <c r="G368" s="685"/>
      <c r="H368" s="685"/>
      <c r="I368" s="686"/>
      <c r="J368" s="687" t="s">
        <v>10</v>
      </c>
      <c r="K368" s="688" t="s">
        <v>430</v>
      </c>
      <c r="L368" s="689" t="s">
        <v>3</v>
      </c>
      <c r="M368" s="690" t="s">
        <v>4</v>
      </c>
      <c r="N368" s="691" t="s">
        <v>5</v>
      </c>
      <c r="O368" s="692" t="str">
        <f>PL!$P$4</f>
        <v>BIN</v>
      </c>
      <c r="P368" s="692" t="str">
        <f>PL!$I$6</f>
        <v>K_INR</v>
      </c>
      <c r="Q368" s="693" t="e">
        <f>Q365+Q366-Q367</f>
        <v>#VALUE!</v>
      </c>
      <c r="R368" s="693">
        <f t="shared" ref="R368:AB368" si="29">R365+R366-R367</f>
        <v>0</v>
      </c>
      <c r="S368" s="693">
        <f t="shared" si="29"/>
        <v>0</v>
      </c>
      <c r="T368" s="693">
        <f t="shared" si="29"/>
        <v>0</v>
      </c>
      <c r="U368" s="693">
        <f t="shared" si="29"/>
        <v>0</v>
      </c>
      <c r="V368" s="693">
        <f t="shared" si="29"/>
        <v>0</v>
      </c>
      <c r="W368" s="693">
        <f t="shared" si="29"/>
        <v>0</v>
      </c>
      <c r="X368" s="693">
        <f t="shared" si="29"/>
        <v>0</v>
      </c>
      <c r="Y368" s="693">
        <f t="shared" si="29"/>
        <v>0</v>
      </c>
      <c r="Z368" s="693">
        <f t="shared" si="29"/>
        <v>0</v>
      </c>
      <c r="AA368" s="693">
        <f t="shared" si="29"/>
        <v>0</v>
      </c>
      <c r="AB368" s="693">
        <f t="shared" si="29"/>
        <v>0</v>
      </c>
    </row>
    <row r="369" spans="1:28">
      <c r="A369" s="598">
        <v>1</v>
      </c>
      <c r="G369" s="246"/>
      <c r="H369" s="246"/>
      <c r="I369" s="246"/>
      <c r="J369" s="253"/>
      <c r="K369" s="254"/>
      <c r="L369" s="254"/>
      <c r="M369" s="254"/>
      <c r="N369" s="254"/>
      <c r="O369" s="253"/>
      <c r="P369" s="253"/>
      <c r="Q369" s="253"/>
      <c r="R369" s="253"/>
      <c r="S369" s="253"/>
      <c r="T369" s="253"/>
      <c r="U369" s="253"/>
      <c r="V369" s="253"/>
      <c r="W369" s="253"/>
      <c r="X369" s="253"/>
      <c r="Y369" s="253"/>
      <c r="Z369" s="253"/>
      <c r="AA369" s="253"/>
      <c r="AB369" s="253"/>
    </row>
    <row r="370" spans="1:28">
      <c r="A370" s="598">
        <v>1</v>
      </c>
      <c r="G370" s="244"/>
      <c r="H370" s="246"/>
      <c r="I370" s="244"/>
      <c r="J370" s="253"/>
      <c r="K370" s="254"/>
      <c r="L370" s="254"/>
      <c r="M370" s="254"/>
      <c r="N370" s="254"/>
      <c r="O370" s="253"/>
      <c r="P370" s="253"/>
      <c r="Q370" s="253"/>
      <c r="R370" s="253"/>
      <c r="S370" s="253"/>
      <c r="T370" s="253"/>
      <c r="U370" s="253"/>
      <c r="V370" s="253"/>
      <c r="W370" s="253"/>
      <c r="X370" s="253"/>
      <c r="Y370" s="253"/>
      <c r="Z370" s="253"/>
      <c r="AA370" s="253"/>
      <c r="AB370" s="253"/>
    </row>
    <row r="371" spans="1:28" s="711" customFormat="1">
      <c r="A371" s="711">
        <v>1</v>
      </c>
      <c r="C371" s="712" t="s">
        <v>507</v>
      </c>
      <c r="F371" s="713"/>
      <c r="G371" s="717"/>
      <c r="H371" s="717"/>
      <c r="I371" s="718"/>
      <c r="J371" s="715" t="s">
        <v>60</v>
      </c>
      <c r="K371" s="719" t="s">
        <v>52</v>
      </c>
      <c r="L371" s="720" t="s">
        <v>3</v>
      </c>
      <c r="M371" s="721" t="s">
        <v>4</v>
      </c>
      <c r="N371" s="720" t="s">
        <v>61</v>
      </c>
      <c r="O371" s="722" t="str">
        <f>PL!$P$4</f>
        <v>BIN</v>
      </c>
      <c r="P371" s="722" t="s">
        <v>322</v>
      </c>
      <c r="Q371" s="716"/>
      <c r="R371" s="716"/>
      <c r="S371" s="716"/>
      <c r="T371" s="716"/>
      <c r="U371" s="716"/>
      <c r="V371" s="716"/>
      <c r="W371" s="716"/>
      <c r="X371" s="716"/>
      <c r="Y371" s="716"/>
      <c r="Z371" s="716"/>
      <c r="AA371" s="716"/>
      <c r="AB371" s="716"/>
    </row>
    <row r="372" spans="1:28" s="726" customFormat="1">
      <c r="A372" s="726">
        <v>1</v>
      </c>
      <c r="C372" s="727" t="s">
        <v>431</v>
      </c>
      <c r="F372" s="729"/>
      <c r="G372" s="739"/>
      <c r="H372" s="739"/>
      <c r="I372" s="740"/>
      <c r="J372" s="741" t="s">
        <v>60</v>
      </c>
      <c r="K372" s="742" t="s">
        <v>52</v>
      </c>
      <c r="L372" s="743" t="s">
        <v>3</v>
      </c>
      <c r="M372" s="744" t="s">
        <v>4</v>
      </c>
      <c r="N372" s="745" t="s">
        <v>62</v>
      </c>
      <c r="O372" s="741" t="str">
        <f>PL!$P$4</f>
        <v>BIN</v>
      </c>
      <c r="P372" s="741" t="s">
        <v>322</v>
      </c>
      <c r="Q372" s="738"/>
      <c r="R372" s="738"/>
      <c r="S372" s="738"/>
      <c r="T372" s="738"/>
      <c r="U372" s="738"/>
      <c r="V372" s="738"/>
      <c r="W372" s="738"/>
      <c r="X372" s="738"/>
      <c r="Y372" s="738"/>
      <c r="Z372" s="738"/>
      <c r="AA372" s="738"/>
      <c r="AB372" s="738"/>
    </row>
    <row r="373" spans="1:28">
      <c r="A373" s="598">
        <v>1</v>
      </c>
      <c r="B373" s="598" t="s">
        <v>666</v>
      </c>
      <c r="C373" s="598" t="s">
        <v>636</v>
      </c>
      <c r="D373" s="598" t="s">
        <v>62</v>
      </c>
      <c r="E373" s="598" t="s">
        <v>508</v>
      </c>
      <c r="G373" s="244"/>
      <c r="H373" s="244"/>
      <c r="I373" s="245"/>
      <c r="J373" s="219" t="s">
        <v>60</v>
      </c>
      <c r="K373" s="233" t="s">
        <v>52</v>
      </c>
      <c r="L373" s="232" t="s">
        <v>3</v>
      </c>
      <c r="M373" s="468" t="s">
        <v>4</v>
      </c>
      <c r="N373" s="234" t="s">
        <v>63</v>
      </c>
      <c r="O373" s="219" t="str">
        <f>PL!$P$4</f>
        <v>BIN</v>
      </c>
      <c r="P373" s="219" t="s">
        <v>322</v>
      </c>
      <c r="Q373" s="222" t="str">
        <f>PL!Q$912</f>
        <v>HC Office FE/TTOC Sales Total Direct sales rep.</v>
      </c>
      <c r="R373" s="222">
        <f>PL!S$912</f>
        <v>43</v>
      </c>
      <c r="S373" s="222">
        <f>PL!T$912</f>
        <v>41</v>
      </c>
      <c r="T373" s="222">
        <f>PL!U$912</f>
        <v>42</v>
      </c>
      <c r="U373" s="222">
        <f>PL!V$912</f>
        <v>43</v>
      </c>
      <c r="V373" s="222">
        <f>PL!W$912</f>
        <v>45</v>
      </c>
      <c r="W373" s="222">
        <f>PL!X$912</f>
        <v>45</v>
      </c>
      <c r="X373" s="222">
        <f>PL!Y$912</f>
        <v>46</v>
      </c>
      <c r="Y373" s="222">
        <f>PL!Z$912</f>
        <v>46</v>
      </c>
      <c r="Z373" s="222">
        <f>PL!AA$912</f>
        <v>47</v>
      </c>
      <c r="AA373" s="222">
        <f>PL!AB$912</f>
        <v>47</v>
      </c>
      <c r="AB373" s="222">
        <f>PL!AC$912</f>
        <v>48</v>
      </c>
    </row>
    <row r="374" spans="1:28">
      <c r="A374" s="598">
        <v>1</v>
      </c>
      <c r="B374" s="598" t="s">
        <v>666</v>
      </c>
      <c r="C374" s="598" t="s">
        <v>636</v>
      </c>
      <c r="D374" s="598" t="s">
        <v>62</v>
      </c>
      <c r="E374" s="598" t="s">
        <v>508</v>
      </c>
      <c r="G374" s="244"/>
      <c r="H374" s="244"/>
      <c r="I374" s="245"/>
      <c r="J374" s="219" t="s">
        <v>60</v>
      </c>
      <c r="K374" s="233" t="s">
        <v>52</v>
      </c>
      <c r="L374" s="232" t="s">
        <v>3</v>
      </c>
      <c r="M374" s="468" t="s">
        <v>4</v>
      </c>
      <c r="N374" s="234" t="s">
        <v>64</v>
      </c>
      <c r="O374" s="219" t="str">
        <f>PL!$P$4</f>
        <v>BIN</v>
      </c>
      <c r="P374" s="219" t="s">
        <v>322</v>
      </c>
      <c r="Q374" s="222" t="str">
        <f>PL!Q$913</f>
        <v>HC Office FE/TTOC Sales Total Direct sales engineers</v>
      </c>
      <c r="R374" s="222">
        <f>PL!S$913</f>
        <v>5</v>
      </c>
      <c r="S374" s="222">
        <f>PL!T$913</f>
        <v>5</v>
      </c>
      <c r="T374" s="222">
        <f>PL!U$913</f>
        <v>5</v>
      </c>
      <c r="U374" s="222">
        <f>PL!V$913</f>
        <v>5</v>
      </c>
      <c r="V374" s="222">
        <f>PL!W$913</f>
        <v>5</v>
      </c>
      <c r="W374" s="222">
        <f>PL!X$913</f>
        <v>5</v>
      </c>
      <c r="X374" s="222">
        <f>PL!Y$913</f>
        <v>5</v>
      </c>
      <c r="Y374" s="222">
        <f>PL!Z$913</f>
        <v>5</v>
      </c>
      <c r="Z374" s="222">
        <f>PL!AA$913</f>
        <v>5</v>
      </c>
      <c r="AA374" s="222">
        <f>PL!AB$913</f>
        <v>5</v>
      </c>
      <c r="AB374" s="222">
        <f>PL!AC$913</f>
        <v>5</v>
      </c>
    </row>
    <row r="375" spans="1:28">
      <c r="A375" s="598">
        <v>1</v>
      </c>
      <c r="B375" s="598" t="s">
        <v>507</v>
      </c>
      <c r="C375" s="598" t="s">
        <v>431</v>
      </c>
      <c r="D375" s="598" t="s">
        <v>62</v>
      </c>
      <c r="E375" s="598" t="s">
        <v>508</v>
      </c>
      <c r="G375" s="244"/>
      <c r="H375" s="244"/>
      <c r="I375" s="245"/>
      <c r="J375" s="219" t="s">
        <v>60</v>
      </c>
      <c r="K375" s="233" t="s">
        <v>52</v>
      </c>
      <c r="L375" s="232" t="s">
        <v>3</v>
      </c>
      <c r="M375" s="468" t="s">
        <v>4</v>
      </c>
      <c r="N375" s="234" t="s">
        <v>65</v>
      </c>
      <c r="O375" s="219" t="str">
        <f>PL!$P$4</f>
        <v>BIN</v>
      </c>
      <c r="P375" s="219" t="s">
        <v>322</v>
      </c>
      <c r="Q375" s="222" t="str">
        <f>PL!Q$914</f>
        <v>HC Office FE/TTOC Sales Total Dealer(Indirect) sales rep.</v>
      </c>
      <c r="R375" s="222">
        <f>PL!S$914</f>
        <v>28</v>
      </c>
      <c r="S375" s="222">
        <f>PL!T$914</f>
        <v>28</v>
      </c>
      <c r="T375" s="222">
        <f>PL!U$914</f>
        <v>28</v>
      </c>
      <c r="U375" s="222">
        <f>PL!V$914</f>
        <v>27</v>
      </c>
      <c r="V375" s="222">
        <f>PL!W$914</f>
        <v>27</v>
      </c>
      <c r="W375" s="222">
        <f>PL!X$914</f>
        <v>27</v>
      </c>
      <c r="X375" s="222">
        <f>PL!Y$914</f>
        <v>27</v>
      </c>
      <c r="Y375" s="222">
        <f>PL!Z$914</f>
        <v>27</v>
      </c>
      <c r="Z375" s="222">
        <f>PL!AA$914</f>
        <v>27</v>
      </c>
      <c r="AA375" s="222">
        <f>PL!AB$914</f>
        <v>28</v>
      </c>
      <c r="AB375" s="222">
        <f>PL!AC$914</f>
        <v>27</v>
      </c>
    </row>
    <row r="376" spans="1:28">
      <c r="A376" s="598">
        <v>1</v>
      </c>
      <c r="B376" s="598" t="s">
        <v>666</v>
      </c>
      <c r="C376" s="598" t="s">
        <v>431</v>
      </c>
      <c r="D376" s="598" t="s">
        <v>62</v>
      </c>
      <c r="E376" s="598" t="s">
        <v>508</v>
      </c>
      <c r="G376" s="244"/>
      <c r="H376" s="244"/>
      <c r="I376" s="245"/>
      <c r="J376" s="219" t="s">
        <v>60</v>
      </c>
      <c r="K376" s="233" t="s">
        <v>52</v>
      </c>
      <c r="L376" s="232" t="s">
        <v>3</v>
      </c>
      <c r="M376" s="468" t="s">
        <v>4</v>
      </c>
      <c r="N376" s="234" t="s">
        <v>66</v>
      </c>
      <c r="O376" s="219" t="str">
        <f>PL!$P$4</f>
        <v>BIN</v>
      </c>
      <c r="P376" s="219" t="s">
        <v>322</v>
      </c>
      <c r="Q376" s="222" t="str">
        <f>PL!Q$915</f>
        <v>HC Office FE/TTOC Sales Total Administration/Others</v>
      </c>
      <c r="R376" s="222">
        <f>PL!S$915</f>
        <v>19</v>
      </c>
      <c r="S376" s="222">
        <f>PL!T$915</f>
        <v>19</v>
      </c>
      <c r="T376" s="222">
        <f>PL!U$915</f>
        <v>19</v>
      </c>
      <c r="U376" s="222">
        <f>PL!V$915</f>
        <v>19</v>
      </c>
      <c r="V376" s="222">
        <f>PL!W$915</f>
        <v>17</v>
      </c>
      <c r="W376" s="222">
        <f>PL!X$915</f>
        <v>18</v>
      </c>
      <c r="X376" s="222">
        <f>PL!Y$915</f>
        <v>16</v>
      </c>
      <c r="Y376" s="222">
        <f>PL!Z$915</f>
        <v>18</v>
      </c>
      <c r="Z376" s="222">
        <f>PL!AA$915</f>
        <v>18</v>
      </c>
      <c r="AA376" s="222">
        <f>PL!AB$915</f>
        <v>19</v>
      </c>
      <c r="AB376" s="222">
        <f>PL!AC$915</f>
        <v>18</v>
      </c>
    </row>
    <row r="377" spans="1:28" s="682" customFormat="1">
      <c r="A377" s="682">
        <v>1</v>
      </c>
      <c r="F377" s="684"/>
      <c r="G377" s="697"/>
      <c r="H377" s="697"/>
      <c r="I377" s="698"/>
      <c r="J377" s="699" t="s">
        <v>60</v>
      </c>
      <c r="K377" s="688" t="s">
        <v>52</v>
      </c>
      <c r="L377" s="700" t="s">
        <v>3</v>
      </c>
      <c r="M377" s="701" t="s">
        <v>4</v>
      </c>
      <c r="N377" s="723" t="s">
        <v>86</v>
      </c>
      <c r="O377" s="699" t="str">
        <f>PL!$P$4</f>
        <v>BIN</v>
      </c>
      <c r="P377" s="699" t="s">
        <v>322</v>
      </c>
      <c r="Q377" s="693"/>
      <c r="R377" s="693"/>
      <c r="S377" s="693"/>
      <c r="T377" s="693"/>
      <c r="U377" s="693"/>
      <c r="V377" s="693"/>
      <c r="W377" s="693"/>
      <c r="X377" s="693"/>
      <c r="Y377" s="693"/>
      <c r="Z377" s="693"/>
      <c r="AA377" s="693"/>
      <c r="AB377" s="693"/>
    </row>
    <row r="378" spans="1:28">
      <c r="A378" s="598">
        <v>1</v>
      </c>
      <c r="B378" s="598" t="s">
        <v>667</v>
      </c>
      <c r="C378" s="598" t="s">
        <v>636</v>
      </c>
      <c r="D378" s="598" t="s">
        <v>86</v>
      </c>
      <c r="E378" s="598" t="s">
        <v>668</v>
      </c>
      <c r="G378" s="244"/>
      <c r="H378" s="244"/>
      <c r="I378" s="245"/>
      <c r="J378" s="219" t="s">
        <v>60</v>
      </c>
      <c r="K378" s="233" t="s">
        <v>52</v>
      </c>
      <c r="L378" s="232" t="s">
        <v>3</v>
      </c>
      <c r="M378" s="468" t="s">
        <v>4</v>
      </c>
      <c r="N378" s="234" t="s">
        <v>67</v>
      </c>
      <c r="O378" s="219" t="str">
        <f>PL!$P$4</f>
        <v>BIN</v>
      </c>
      <c r="P378" s="219" t="s">
        <v>322</v>
      </c>
      <c r="Q378" s="222" t="str">
        <f>PL!Q$917</f>
        <v>HC Office FE/TTOC Service Total Onsite Engineer</v>
      </c>
      <c r="R378" s="222">
        <f>PL!S$917</f>
        <v>50</v>
      </c>
      <c r="S378" s="222">
        <f>PL!T$917</f>
        <v>49</v>
      </c>
      <c r="T378" s="222">
        <f>PL!U$917</f>
        <v>51</v>
      </c>
      <c r="U378" s="222">
        <f>PL!V$917</f>
        <v>52</v>
      </c>
      <c r="V378" s="222">
        <f>PL!W$917</f>
        <v>53</v>
      </c>
      <c r="W378" s="222">
        <f>PL!X$917</f>
        <v>53</v>
      </c>
      <c r="X378" s="222">
        <f>PL!Y$917</f>
        <v>53</v>
      </c>
      <c r="Y378" s="222">
        <f>PL!Z$917</f>
        <v>54</v>
      </c>
      <c r="Z378" s="222">
        <f>PL!AA$917</f>
        <v>53</v>
      </c>
      <c r="AA378" s="222">
        <f>PL!AB$917</f>
        <v>52</v>
      </c>
      <c r="AB378" s="222">
        <f>PL!AC$917</f>
        <v>53</v>
      </c>
    </row>
    <row r="379" spans="1:28">
      <c r="A379" s="598">
        <v>1</v>
      </c>
      <c r="B379" s="598" t="s">
        <v>507</v>
      </c>
      <c r="C379" s="598" t="s">
        <v>636</v>
      </c>
      <c r="D379" s="598" t="s">
        <v>86</v>
      </c>
      <c r="E379" s="598" t="s">
        <v>508</v>
      </c>
      <c r="G379" s="244"/>
      <c r="H379" s="244"/>
      <c r="I379" s="245"/>
      <c r="J379" s="219" t="s">
        <v>60</v>
      </c>
      <c r="K379" s="233" t="s">
        <v>52</v>
      </c>
      <c r="L379" s="232" t="s">
        <v>3</v>
      </c>
      <c r="M379" s="468" t="s">
        <v>4</v>
      </c>
      <c r="N379" s="234" t="s">
        <v>68</v>
      </c>
      <c r="O379" s="219" t="str">
        <f>PL!$P$4</f>
        <v>BIN</v>
      </c>
      <c r="P379" s="219" t="s">
        <v>322</v>
      </c>
      <c r="Q379" s="222" t="str">
        <f>PL!Q$918</f>
        <v>HC Office FE/TTOC Service Total Remote Engineer</v>
      </c>
      <c r="R379" s="222">
        <f>PL!S$918</f>
        <v>1</v>
      </c>
      <c r="S379" s="222">
        <f>PL!T$918</f>
        <v>1</v>
      </c>
      <c r="T379" s="222">
        <f>PL!U$918</f>
        <v>1</v>
      </c>
      <c r="U379" s="222">
        <f>PL!V$918</f>
        <v>1</v>
      </c>
      <c r="V379" s="222">
        <f>PL!W$918</f>
        <v>1</v>
      </c>
      <c r="W379" s="222">
        <f>PL!X$918</f>
        <v>1</v>
      </c>
      <c r="X379" s="222">
        <f>PL!Y$918</f>
        <v>1</v>
      </c>
      <c r="Y379" s="222">
        <f>PL!Z$918</f>
        <v>1</v>
      </c>
      <c r="Z379" s="222">
        <f>PL!AA$918</f>
        <v>1</v>
      </c>
      <c r="AA379" s="222">
        <f>PL!AB$918</f>
        <v>1</v>
      </c>
      <c r="AB379" s="222">
        <f>PL!AC$918</f>
        <v>1</v>
      </c>
    </row>
    <row r="380" spans="1:28">
      <c r="A380" s="598">
        <v>1</v>
      </c>
      <c r="B380" s="598" t="s">
        <v>507</v>
      </c>
      <c r="C380" s="598" t="s">
        <v>669</v>
      </c>
      <c r="D380" s="598" t="s">
        <v>86</v>
      </c>
      <c r="E380" s="598" t="s">
        <v>670</v>
      </c>
      <c r="G380" s="244"/>
      <c r="H380" s="244"/>
      <c r="I380" s="245"/>
      <c r="J380" s="219" t="s">
        <v>60</v>
      </c>
      <c r="K380" s="233" t="s">
        <v>52</v>
      </c>
      <c r="L380" s="232" t="s">
        <v>3</v>
      </c>
      <c r="M380" s="468" t="s">
        <v>4</v>
      </c>
      <c r="N380" s="234" t="s">
        <v>69</v>
      </c>
      <c r="O380" s="219" t="str">
        <f>PL!$P$4</f>
        <v>BIN</v>
      </c>
      <c r="P380" s="219" t="s">
        <v>322</v>
      </c>
      <c r="Q380" s="222" t="str">
        <f>PL!Q$919</f>
        <v>HC Office FE/TTOC Service Total Technical support</v>
      </c>
      <c r="R380" s="222">
        <f>PL!S$919</f>
        <v>17</v>
      </c>
      <c r="S380" s="222">
        <f>PL!T$919</f>
        <v>17</v>
      </c>
      <c r="T380" s="222">
        <f>PL!U$919</f>
        <v>17</v>
      </c>
      <c r="U380" s="222">
        <f>PL!V$919</f>
        <v>18</v>
      </c>
      <c r="V380" s="222">
        <f>PL!W$919</f>
        <v>18</v>
      </c>
      <c r="W380" s="222">
        <f>PL!X$919</f>
        <v>18</v>
      </c>
      <c r="X380" s="222">
        <f>PL!Y$919</f>
        <v>18</v>
      </c>
      <c r="Y380" s="222">
        <f>PL!Z$919</f>
        <v>18</v>
      </c>
      <c r="Z380" s="222">
        <f>PL!AA$919</f>
        <v>18</v>
      </c>
      <c r="AA380" s="222">
        <f>PL!AB$919</f>
        <v>18</v>
      </c>
      <c r="AB380" s="222">
        <f>PL!AC$919</f>
        <v>18</v>
      </c>
    </row>
    <row r="381" spans="1:28">
      <c r="A381" s="598">
        <v>1</v>
      </c>
      <c r="B381" s="598" t="s">
        <v>507</v>
      </c>
      <c r="C381" s="598" t="s">
        <v>431</v>
      </c>
      <c r="D381" s="598" t="s">
        <v>86</v>
      </c>
      <c r="E381" s="598" t="s">
        <v>668</v>
      </c>
      <c r="G381" s="244"/>
      <c r="H381" s="244"/>
      <c r="I381" s="245"/>
      <c r="J381" s="219" t="s">
        <v>60</v>
      </c>
      <c r="K381" s="233" t="s">
        <v>52</v>
      </c>
      <c r="L381" s="232" t="s">
        <v>3</v>
      </c>
      <c r="M381" s="468" t="s">
        <v>4</v>
      </c>
      <c r="N381" s="234" t="s">
        <v>70</v>
      </c>
      <c r="O381" s="219" t="str">
        <f>PL!$P$4</f>
        <v>BIN</v>
      </c>
      <c r="P381" s="219" t="s">
        <v>322</v>
      </c>
      <c r="Q381" s="222" t="str">
        <f>PL!Q$920</f>
        <v>HC Office FE/TTOC Service Total Dealer(Indirect) support</v>
      </c>
      <c r="R381" s="222">
        <f>PL!S$920</f>
        <v>0</v>
      </c>
      <c r="S381" s="222">
        <f>PL!T$920</f>
        <v>0</v>
      </c>
      <c r="T381" s="222">
        <f>PL!U$920</f>
        <v>0</v>
      </c>
      <c r="U381" s="222">
        <f>PL!V$920</f>
        <v>0</v>
      </c>
      <c r="V381" s="222">
        <f>PL!W$920</f>
        <v>0</v>
      </c>
      <c r="W381" s="222">
        <f>PL!X$920</f>
        <v>0</v>
      </c>
      <c r="X381" s="222">
        <f>PL!Y$920</f>
        <v>0</v>
      </c>
      <c r="Y381" s="222">
        <f>PL!Z$920</f>
        <v>0</v>
      </c>
      <c r="Z381" s="222">
        <f>PL!AA$920</f>
        <v>0</v>
      </c>
      <c r="AA381" s="222">
        <f>PL!AB$920</f>
        <v>0</v>
      </c>
      <c r="AB381" s="222">
        <f>PL!AC$920</f>
        <v>0</v>
      </c>
    </row>
    <row r="382" spans="1:28">
      <c r="A382" s="598">
        <v>1</v>
      </c>
      <c r="B382" s="598" t="s">
        <v>667</v>
      </c>
      <c r="C382" s="598" t="s">
        <v>669</v>
      </c>
      <c r="D382" s="598" t="s">
        <v>86</v>
      </c>
      <c r="E382" s="598" t="s">
        <v>508</v>
      </c>
      <c r="G382" s="244"/>
      <c r="H382" s="244"/>
      <c r="I382" s="245"/>
      <c r="J382" s="219" t="s">
        <v>60</v>
      </c>
      <c r="K382" s="233" t="s">
        <v>52</v>
      </c>
      <c r="L382" s="232" t="s">
        <v>3</v>
      </c>
      <c r="M382" s="468" t="s">
        <v>4</v>
      </c>
      <c r="N382" s="234" t="s">
        <v>71</v>
      </c>
      <c r="O382" s="219" t="str">
        <f>PL!$P$4</f>
        <v>BIN</v>
      </c>
      <c r="P382" s="219" t="s">
        <v>322</v>
      </c>
      <c r="Q382" s="222" t="str">
        <f>PL!Q$921</f>
        <v>HC Office FE/TTOC Service Total Administration/Others</v>
      </c>
      <c r="R382" s="222">
        <f>PL!S$921</f>
        <v>19</v>
      </c>
      <c r="S382" s="222">
        <f>PL!T$921</f>
        <v>19</v>
      </c>
      <c r="T382" s="222">
        <f>PL!U$921</f>
        <v>19</v>
      </c>
      <c r="U382" s="222">
        <f>PL!V$921</f>
        <v>19</v>
      </c>
      <c r="V382" s="222">
        <f>PL!W$921</f>
        <v>19</v>
      </c>
      <c r="W382" s="222">
        <f>PL!X$921</f>
        <v>19</v>
      </c>
      <c r="X382" s="222">
        <f>PL!Y$921</f>
        <v>20</v>
      </c>
      <c r="Y382" s="222">
        <f>PL!Z$921</f>
        <v>20</v>
      </c>
      <c r="Z382" s="222">
        <f>PL!AA$921</f>
        <v>20</v>
      </c>
      <c r="AA382" s="222">
        <f>PL!AB$921</f>
        <v>20</v>
      </c>
      <c r="AB382" s="222">
        <f>PL!AC$921</f>
        <v>21</v>
      </c>
    </row>
    <row r="383" spans="1:28" s="682" customFormat="1">
      <c r="A383" s="682">
        <v>1</v>
      </c>
      <c r="F383" s="684"/>
      <c r="G383" s="697"/>
      <c r="H383" s="697"/>
      <c r="I383" s="698"/>
      <c r="J383" s="699" t="s">
        <v>60</v>
      </c>
      <c r="K383" s="688" t="s">
        <v>52</v>
      </c>
      <c r="L383" s="700" t="s">
        <v>3</v>
      </c>
      <c r="M383" s="701" t="s">
        <v>4</v>
      </c>
      <c r="N383" s="723" t="s">
        <v>72</v>
      </c>
      <c r="O383" s="699" t="str">
        <f>PL!$P$4</f>
        <v>BIN</v>
      </c>
      <c r="P383" s="699" t="s">
        <v>322</v>
      </c>
      <c r="Q383" s="693"/>
      <c r="R383" s="693"/>
      <c r="S383" s="693"/>
      <c r="T383" s="693"/>
      <c r="U383" s="693"/>
      <c r="V383" s="693"/>
      <c r="W383" s="693"/>
      <c r="X383" s="693"/>
      <c r="Y383" s="693"/>
      <c r="Z383" s="693"/>
      <c r="AA383" s="693"/>
      <c r="AB383" s="693"/>
    </row>
    <row r="384" spans="1:28">
      <c r="A384" s="598">
        <v>1</v>
      </c>
      <c r="B384" s="598" t="s">
        <v>507</v>
      </c>
      <c r="C384" s="598" t="s">
        <v>431</v>
      </c>
      <c r="D384" s="598" t="s">
        <v>72</v>
      </c>
      <c r="E384" s="598" t="s">
        <v>668</v>
      </c>
      <c r="G384" s="244"/>
      <c r="H384" s="244"/>
      <c r="I384" s="245"/>
      <c r="J384" s="219" t="s">
        <v>60</v>
      </c>
      <c r="K384" s="233" t="s">
        <v>52</v>
      </c>
      <c r="L384" s="232" t="s">
        <v>3</v>
      </c>
      <c r="M384" s="468" t="s">
        <v>4</v>
      </c>
      <c r="N384" s="234" t="s">
        <v>323</v>
      </c>
      <c r="O384" s="219" t="str">
        <f>PL!$P$4</f>
        <v>BIN</v>
      </c>
      <c r="P384" s="219" t="s">
        <v>322</v>
      </c>
      <c r="Q384" s="222" t="str">
        <f>PL!Q$923</f>
        <v>HC Office FE/TTOC Marketing Total Business Development</v>
      </c>
      <c r="R384" s="222">
        <f>PL!S$923</f>
        <v>0</v>
      </c>
      <c r="S384" s="222">
        <f>PL!T$923</f>
        <v>0</v>
      </c>
      <c r="T384" s="222">
        <f>PL!U$923</f>
        <v>0</v>
      </c>
      <c r="U384" s="222">
        <f>PL!V$923</f>
        <v>0</v>
      </c>
      <c r="V384" s="222">
        <f>PL!W$923</f>
        <v>0</v>
      </c>
      <c r="W384" s="222">
        <f>PL!X$923</f>
        <v>0</v>
      </c>
      <c r="X384" s="222">
        <f>PL!Y$923</f>
        <v>0</v>
      </c>
      <c r="Y384" s="222">
        <f>PL!Z$923</f>
        <v>0</v>
      </c>
      <c r="Z384" s="222">
        <f>PL!AA$923</f>
        <v>0</v>
      </c>
      <c r="AA384" s="222">
        <f>PL!AB$923</f>
        <v>0</v>
      </c>
      <c r="AB384" s="222">
        <f>PL!AC$923</f>
        <v>0</v>
      </c>
    </row>
    <row r="385" spans="1:28">
      <c r="A385" s="598">
        <v>1</v>
      </c>
      <c r="B385" s="598" t="s">
        <v>666</v>
      </c>
      <c r="C385" s="598" t="s">
        <v>431</v>
      </c>
      <c r="D385" s="598" t="s">
        <v>72</v>
      </c>
      <c r="E385" s="598" t="s">
        <v>508</v>
      </c>
      <c r="G385" s="244"/>
      <c r="H385" s="244"/>
      <c r="I385" s="245"/>
      <c r="J385" s="219" t="s">
        <v>60</v>
      </c>
      <c r="K385" s="233" t="s">
        <v>52</v>
      </c>
      <c r="L385" s="232" t="s">
        <v>3</v>
      </c>
      <c r="M385" s="468" t="s">
        <v>4</v>
      </c>
      <c r="N385" s="234" t="s">
        <v>324</v>
      </c>
      <c r="O385" s="219" t="str">
        <f>PL!$P$4</f>
        <v>BIN</v>
      </c>
      <c r="P385" s="219" t="s">
        <v>322</v>
      </c>
      <c r="Q385" s="222" t="str">
        <f>PL!Q$924</f>
        <v>HC Office FE/TTOC Marketing Total Channel Marketing</v>
      </c>
      <c r="R385" s="222">
        <f>PL!S$924</f>
        <v>0</v>
      </c>
      <c r="S385" s="222">
        <f>PL!T$924</f>
        <v>0</v>
      </c>
      <c r="T385" s="222">
        <f>PL!U$924</f>
        <v>0</v>
      </c>
      <c r="U385" s="222">
        <f>PL!V$924</f>
        <v>0</v>
      </c>
      <c r="V385" s="222">
        <f>PL!W$924</f>
        <v>0</v>
      </c>
      <c r="W385" s="222">
        <f>PL!X$924</f>
        <v>0</v>
      </c>
      <c r="X385" s="222">
        <f>PL!Y$924</f>
        <v>0</v>
      </c>
      <c r="Y385" s="222">
        <f>PL!Z$924</f>
        <v>0</v>
      </c>
      <c r="Z385" s="222">
        <f>PL!AA$924</f>
        <v>0</v>
      </c>
      <c r="AA385" s="222">
        <f>PL!AB$924</f>
        <v>0</v>
      </c>
      <c r="AB385" s="222">
        <f>PL!AC$924</f>
        <v>0</v>
      </c>
    </row>
    <row r="386" spans="1:28">
      <c r="A386" s="598">
        <v>1</v>
      </c>
      <c r="B386" s="598" t="s">
        <v>666</v>
      </c>
      <c r="C386" s="598" t="s">
        <v>431</v>
      </c>
      <c r="D386" s="598" t="s">
        <v>72</v>
      </c>
      <c r="E386" s="598" t="s">
        <v>508</v>
      </c>
      <c r="G386" s="244"/>
      <c r="H386" s="244"/>
      <c r="I386" s="245"/>
      <c r="J386" s="219" t="s">
        <v>60</v>
      </c>
      <c r="K386" s="233" t="s">
        <v>52</v>
      </c>
      <c r="L386" s="232" t="s">
        <v>3</v>
      </c>
      <c r="M386" s="468" t="s">
        <v>4</v>
      </c>
      <c r="N386" s="234" t="s">
        <v>325</v>
      </c>
      <c r="O386" s="219" t="str">
        <f>PL!$P$4</f>
        <v>BIN</v>
      </c>
      <c r="P386" s="219" t="s">
        <v>322</v>
      </c>
      <c r="Q386" s="222" t="str">
        <f>PL!Q$925</f>
        <v>HC Office FE/TTOC Marketing Total Product Marketing</v>
      </c>
      <c r="R386" s="222">
        <f>PL!S$925</f>
        <v>4</v>
      </c>
      <c r="S386" s="222">
        <f>PL!T$925</f>
        <v>4</v>
      </c>
      <c r="T386" s="222">
        <f>PL!U$925</f>
        <v>4</v>
      </c>
      <c r="U386" s="222">
        <f>PL!V$925</f>
        <v>4</v>
      </c>
      <c r="V386" s="222">
        <f>PL!W$925</f>
        <v>4</v>
      </c>
      <c r="W386" s="222">
        <f>PL!X$925</f>
        <v>4</v>
      </c>
      <c r="X386" s="222">
        <f>PL!Y$925</f>
        <v>4</v>
      </c>
      <c r="Y386" s="222">
        <f>PL!Z$925</f>
        <v>4</v>
      </c>
      <c r="Z386" s="222">
        <f>PL!AA$925</f>
        <v>4</v>
      </c>
      <c r="AA386" s="222">
        <f>PL!AB$925</f>
        <v>4</v>
      </c>
      <c r="AB386" s="222">
        <f>PL!AC$925</f>
        <v>4</v>
      </c>
    </row>
    <row r="387" spans="1:28">
      <c r="A387" s="598">
        <v>1</v>
      </c>
      <c r="B387" s="598" t="s">
        <v>507</v>
      </c>
      <c r="C387" s="598" t="s">
        <v>669</v>
      </c>
      <c r="D387" s="598" t="s">
        <v>72</v>
      </c>
      <c r="E387" s="598" t="s">
        <v>508</v>
      </c>
      <c r="G387" s="244"/>
      <c r="H387" s="244"/>
      <c r="I387" s="245"/>
      <c r="J387" s="219" t="s">
        <v>60</v>
      </c>
      <c r="K387" s="233" t="s">
        <v>52</v>
      </c>
      <c r="L387" s="232" t="s">
        <v>3</v>
      </c>
      <c r="M387" s="468" t="s">
        <v>4</v>
      </c>
      <c r="N387" s="234" t="s">
        <v>326</v>
      </c>
      <c r="O387" s="219" t="str">
        <f>PL!$P$4</f>
        <v>BIN</v>
      </c>
      <c r="P387" s="219" t="s">
        <v>322</v>
      </c>
      <c r="Q387" s="222" t="str">
        <f>PL!Q$926</f>
        <v>HC Office FE/TTOC Marketing Total MC / O</v>
      </c>
      <c r="R387" s="222">
        <f>PL!S$926</f>
        <v>0</v>
      </c>
      <c r="S387" s="222">
        <f>PL!T$926</f>
        <v>0</v>
      </c>
      <c r="T387" s="222">
        <f>PL!U$926</f>
        <v>0</v>
      </c>
      <c r="U387" s="222">
        <f>PL!V$926</f>
        <v>0</v>
      </c>
      <c r="V387" s="222">
        <f>PL!W$926</f>
        <v>0</v>
      </c>
      <c r="W387" s="222">
        <f>PL!X$926</f>
        <v>0</v>
      </c>
      <c r="X387" s="222">
        <f>PL!Y$926</f>
        <v>0</v>
      </c>
      <c r="Y387" s="222">
        <f>PL!Z$926</f>
        <v>0</v>
      </c>
      <c r="Z387" s="222">
        <f>PL!AA$926</f>
        <v>0</v>
      </c>
      <c r="AA387" s="222">
        <f>PL!AB$926</f>
        <v>0</v>
      </c>
      <c r="AB387" s="222">
        <f>PL!AC$926</f>
        <v>0</v>
      </c>
    </row>
    <row r="388" spans="1:28" s="682" customFormat="1">
      <c r="A388" s="682">
        <v>1</v>
      </c>
      <c r="F388" s="684"/>
      <c r="G388" s="697"/>
      <c r="H388" s="697"/>
      <c r="I388" s="698"/>
      <c r="J388" s="699" t="s">
        <v>60</v>
      </c>
      <c r="K388" s="688" t="s">
        <v>52</v>
      </c>
      <c r="L388" s="700" t="s">
        <v>3</v>
      </c>
      <c r="M388" s="701" t="s">
        <v>4</v>
      </c>
      <c r="N388" s="723" t="s">
        <v>73</v>
      </c>
      <c r="O388" s="699" t="str">
        <f>PL!$P$4</f>
        <v>BIN</v>
      </c>
      <c r="P388" s="699" t="s">
        <v>322</v>
      </c>
      <c r="Q388" s="693"/>
      <c r="R388" s="693"/>
      <c r="S388" s="693"/>
      <c r="T388" s="693"/>
      <c r="U388" s="693"/>
      <c r="V388" s="693"/>
      <c r="W388" s="693"/>
      <c r="X388" s="693"/>
      <c r="Y388" s="693"/>
      <c r="Z388" s="693"/>
      <c r="AA388" s="693"/>
      <c r="AB388" s="693"/>
    </row>
    <row r="389" spans="1:28">
      <c r="A389" s="598">
        <v>1</v>
      </c>
      <c r="B389" s="598" t="s">
        <v>667</v>
      </c>
      <c r="C389" s="598" t="s">
        <v>431</v>
      </c>
      <c r="D389" s="598" t="s">
        <v>73</v>
      </c>
      <c r="E389" s="598" t="s">
        <v>670</v>
      </c>
      <c r="G389" s="244"/>
      <c r="H389" s="244"/>
      <c r="I389" s="245"/>
      <c r="J389" s="219" t="s">
        <v>60</v>
      </c>
      <c r="K389" s="233" t="s">
        <v>52</v>
      </c>
      <c r="L389" s="232" t="s">
        <v>3</v>
      </c>
      <c r="M389" s="468" t="s">
        <v>4</v>
      </c>
      <c r="N389" s="234" t="s">
        <v>74</v>
      </c>
      <c r="O389" s="219" t="str">
        <f>PL!$P$4</f>
        <v>BIN</v>
      </c>
      <c r="P389" s="219" t="s">
        <v>322</v>
      </c>
      <c r="Q389" s="222" t="str">
        <f>PL!Q$928</f>
        <v>HC Office FE/TTOC Administration Total IT</v>
      </c>
      <c r="R389" s="222">
        <f>PL!S$928</f>
        <v>2</v>
      </c>
      <c r="S389" s="222">
        <f>PL!T$928</f>
        <v>2</v>
      </c>
      <c r="T389" s="222">
        <f>PL!U$928</f>
        <v>2</v>
      </c>
      <c r="U389" s="222">
        <f>PL!V$928</f>
        <v>2</v>
      </c>
      <c r="V389" s="222">
        <f>PL!W$928</f>
        <v>2</v>
      </c>
      <c r="W389" s="222">
        <f>PL!X$928</f>
        <v>2</v>
      </c>
      <c r="X389" s="222">
        <f>PL!Y$928</f>
        <v>2</v>
      </c>
      <c r="Y389" s="222">
        <f>PL!Z$928</f>
        <v>2</v>
      </c>
      <c r="Z389" s="222">
        <f>PL!AA$928</f>
        <v>2</v>
      </c>
      <c r="AA389" s="222">
        <f>PL!AB$928</f>
        <v>2</v>
      </c>
      <c r="AB389" s="222">
        <f>PL!AC$928</f>
        <v>2</v>
      </c>
    </row>
    <row r="390" spans="1:28">
      <c r="A390" s="598">
        <v>1</v>
      </c>
      <c r="B390" s="598" t="s">
        <v>507</v>
      </c>
      <c r="C390" s="598" t="s">
        <v>669</v>
      </c>
      <c r="D390" s="598" t="s">
        <v>73</v>
      </c>
      <c r="E390" s="598" t="s">
        <v>670</v>
      </c>
      <c r="G390" s="244"/>
      <c r="H390" s="244"/>
      <c r="I390" s="245"/>
      <c r="J390" s="219" t="s">
        <v>60</v>
      </c>
      <c r="K390" s="233" t="s">
        <v>52</v>
      </c>
      <c r="L390" s="232" t="s">
        <v>3</v>
      </c>
      <c r="M390" s="468" t="s">
        <v>4</v>
      </c>
      <c r="N390" s="234" t="s">
        <v>75</v>
      </c>
      <c r="O390" s="219" t="str">
        <f>PL!$P$4</f>
        <v>BIN</v>
      </c>
      <c r="P390" s="219" t="s">
        <v>322</v>
      </c>
      <c r="Q390" s="222" t="str">
        <f>PL!Q$929</f>
        <v>HC Office FE/TTOC Administration Total Finance</v>
      </c>
      <c r="R390" s="222">
        <f>PL!S$929</f>
        <v>13</v>
      </c>
      <c r="S390" s="222">
        <f>PL!T$929</f>
        <v>13</v>
      </c>
      <c r="T390" s="222">
        <f>PL!U$929</f>
        <v>13</v>
      </c>
      <c r="U390" s="222">
        <f>PL!V$929</f>
        <v>12</v>
      </c>
      <c r="V390" s="222">
        <f>PL!W$929</f>
        <v>13</v>
      </c>
      <c r="W390" s="222">
        <f>PL!X$929</f>
        <v>14</v>
      </c>
      <c r="X390" s="222">
        <f>PL!Y$929</f>
        <v>14</v>
      </c>
      <c r="Y390" s="222">
        <f>PL!Z$929</f>
        <v>13</v>
      </c>
      <c r="Z390" s="222">
        <f>PL!AA$929</f>
        <v>14</v>
      </c>
      <c r="AA390" s="222">
        <f>PL!AB$929</f>
        <v>16</v>
      </c>
      <c r="AB390" s="222">
        <f>PL!AC$929</f>
        <v>16</v>
      </c>
    </row>
    <row r="391" spans="1:28">
      <c r="A391" s="598">
        <v>1</v>
      </c>
      <c r="B391" s="598" t="s">
        <v>667</v>
      </c>
      <c r="C391" s="598" t="s">
        <v>669</v>
      </c>
      <c r="D391" s="598" t="s">
        <v>73</v>
      </c>
      <c r="E391" s="598" t="s">
        <v>508</v>
      </c>
      <c r="G391" s="244"/>
      <c r="H391" s="244"/>
      <c r="I391" s="245"/>
      <c r="J391" s="219" t="s">
        <v>60</v>
      </c>
      <c r="K391" s="233" t="s">
        <v>52</v>
      </c>
      <c r="L391" s="232" t="s">
        <v>3</v>
      </c>
      <c r="M391" s="468" t="s">
        <v>4</v>
      </c>
      <c r="N391" s="234" t="s">
        <v>76</v>
      </c>
      <c r="O391" s="219" t="str">
        <f>PL!$P$4</f>
        <v>BIN</v>
      </c>
      <c r="P391" s="219" t="s">
        <v>322</v>
      </c>
      <c r="Q391" s="222" t="str">
        <f>PL!Q$930</f>
        <v>HC Office FE/TTOC Administration Total HR</v>
      </c>
      <c r="R391" s="222">
        <f>PL!S$930</f>
        <v>3</v>
      </c>
      <c r="S391" s="222">
        <f>PL!T$930</f>
        <v>3</v>
      </c>
      <c r="T391" s="222">
        <f>PL!U$930</f>
        <v>4</v>
      </c>
      <c r="U391" s="222">
        <f>PL!V$930</f>
        <v>4</v>
      </c>
      <c r="V391" s="222">
        <f>PL!W$930</f>
        <v>3</v>
      </c>
      <c r="W391" s="222">
        <f>PL!X$930</f>
        <v>3</v>
      </c>
      <c r="X391" s="222">
        <f>PL!Y$930</f>
        <v>3</v>
      </c>
      <c r="Y391" s="222">
        <f>PL!Z$930</f>
        <v>4</v>
      </c>
      <c r="Z391" s="222">
        <f>PL!AA$930</f>
        <v>4</v>
      </c>
      <c r="AA391" s="222">
        <f>PL!AB$930</f>
        <v>4</v>
      </c>
      <c r="AB391" s="222">
        <f>PL!AC$930</f>
        <v>4</v>
      </c>
    </row>
    <row r="392" spans="1:28">
      <c r="A392" s="598">
        <v>1</v>
      </c>
      <c r="B392" s="598" t="s">
        <v>507</v>
      </c>
      <c r="C392" s="598" t="s">
        <v>669</v>
      </c>
      <c r="D392" s="598" t="s">
        <v>73</v>
      </c>
      <c r="E392" s="598" t="s">
        <v>670</v>
      </c>
      <c r="G392" s="244"/>
      <c r="H392" s="244"/>
      <c r="I392" s="245"/>
      <c r="J392" s="219" t="s">
        <v>60</v>
      </c>
      <c r="K392" s="233" t="s">
        <v>52</v>
      </c>
      <c r="L392" s="232" t="s">
        <v>3</v>
      </c>
      <c r="M392" s="468" t="s">
        <v>4</v>
      </c>
      <c r="N392" s="234" t="s">
        <v>77</v>
      </c>
      <c r="O392" s="219" t="str">
        <f>PL!$P$4</f>
        <v>BIN</v>
      </c>
      <c r="P392" s="219" t="s">
        <v>322</v>
      </c>
      <c r="Q392" s="222" t="str">
        <f>PL!Q$931</f>
        <v>HC Office FE/TTOC Administration Total Training</v>
      </c>
      <c r="R392" s="222">
        <f>PL!S$931</f>
        <v>0</v>
      </c>
      <c r="S392" s="222">
        <f>PL!T$931</f>
        <v>0</v>
      </c>
      <c r="T392" s="222">
        <f>PL!U$931</f>
        <v>0</v>
      </c>
      <c r="U392" s="222">
        <f>PL!V$931</f>
        <v>0</v>
      </c>
      <c r="V392" s="222">
        <f>PL!W$931</f>
        <v>0</v>
      </c>
      <c r="W392" s="222">
        <f>PL!X$931</f>
        <v>0</v>
      </c>
      <c r="X392" s="222">
        <f>PL!Y$931</f>
        <v>0</v>
      </c>
      <c r="Y392" s="222">
        <f>PL!Z$931</f>
        <v>0</v>
      </c>
      <c r="Z392" s="222">
        <f>PL!AA$931</f>
        <v>0</v>
      </c>
      <c r="AA392" s="222">
        <f>PL!AB$931</f>
        <v>0</v>
      </c>
      <c r="AB392" s="222">
        <f>PL!AC$931</f>
        <v>0</v>
      </c>
    </row>
    <row r="393" spans="1:28">
      <c r="A393" s="598">
        <v>1</v>
      </c>
      <c r="B393" s="598" t="s">
        <v>507</v>
      </c>
      <c r="C393" s="598" t="s">
        <v>431</v>
      </c>
      <c r="D393" s="598" t="s">
        <v>73</v>
      </c>
      <c r="E393" s="598" t="s">
        <v>670</v>
      </c>
      <c r="G393" s="244"/>
      <c r="H393" s="244"/>
      <c r="I393" s="245"/>
      <c r="J393" s="219" t="s">
        <v>60</v>
      </c>
      <c r="K393" s="233" t="s">
        <v>52</v>
      </c>
      <c r="L393" s="232" t="s">
        <v>3</v>
      </c>
      <c r="M393" s="468" t="s">
        <v>4</v>
      </c>
      <c r="N393" s="234" t="s">
        <v>78</v>
      </c>
      <c r="O393" s="219" t="str">
        <f>PL!$P$4</f>
        <v>BIN</v>
      </c>
      <c r="P393" s="219" t="s">
        <v>322</v>
      </c>
      <c r="Q393" s="222" t="str">
        <f>PL!Q$932</f>
        <v>HC Office FE/TTOC Administration Total Others</v>
      </c>
      <c r="R393" s="222">
        <f>PL!S$932</f>
        <v>8</v>
      </c>
      <c r="S393" s="222">
        <f>PL!T$932</f>
        <v>8</v>
      </c>
      <c r="T393" s="222">
        <f>PL!U$932</f>
        <v>7</v>
      </c>
      <c r="U393" s="222">
        <f>PL!V$932</f>
        <v>7</v>
      </c>
      <c r="V393" s="222">
        <f>PL!W$932</f>
        <v>7</v>
      </c>
      <c r="W393" s="222">
        <f>PL!X$932</f>
        <v>7</v>
      </c>
      <c r="X393" s="222">
        <f>PL!Y$932</f>
        <v>9</v>
      </c>
      <c r="Y393" s="222">
        <f>PL!Z$932</f>
        <v>9</v>
      </c>
      <c r="Z393" s="222">
        <f>PL!AA$932</f>
        <v>9</v>
      </c>
      <c r="AA393" s="222">
        <f>PL!AB$932</f>
        <v>9</v>
      </c>
      <c r="AB393" s="222">
        <f>PL!AC$932</f>
        <v>8</v>
      </c>
    </row>
    <row r="394" spans="1:28" s="682" customFormat="1">
      <c r="A394" s="682">
        <v>1</v>
      </c>
      <c r="F394" s="684"/>
      <c r="G394" s="697"/>
      <c r="H394" s="697"/>
      <c r="I394" s="698"/>
      <c r="J394" s="699" t="s">
        <v>60</v>
      </c>
      <c r="K394" s="688" t="s">
        <v>52</v>
      </c>
      <c r="L394" s="700" t="s">
        <v>3</v>
      </c>
      <c r="M394" s="701" t="s">
        <v>4</v>
      </c>
      <c r="N394" s="723" t="s">
        <v>87</v>
      </c>
      <c r="O394" s="699" t="str">
        <f>PL!$P$4</f>
        <v>BIN</v>
      </c>
      <c r="P394" s="699" t="s">
        <v>322</v>
      </c>
      <c r="Q394" s="693"/>
      <c r="R394" s="693"/>
      <c r="S394" s="693"/>
      <c r="T394" s="693"/>
      <c r="U394" s="693"/>
      <c r="V394" s="693"/>
      <c r="W394" s="693"/>
      <c r="X394" s="693"/>
      <c r="Y394" s="693"/>
      <c r="Z394" s="693"/>
      <c r="AA394" s="693"/>
      <c r="AB394" s="693"/>
    </row>
    <row r="395" spans="1:28">
      <c r="A395" s="598">
        <v>1</v>
      </c>
      <c r="B395" s="598" t="s">
        <v>507</v>
      </c>
      <c r="C395" s="598" t="s">
        <v>669</v>
      </c>
      <c r="D395" s="598" t="s">
        <v>87</v>
      </c>
      <c r="E395" s="598" t="s">
        <v>670</v>
      </c>
      <c r="G395" s="244"/>
      <c r="H395" s="244"/>
      <c r="I395" s="245"/>
      <c r="J395" s="219" t="s">
        <v>60</v>
      </c>
      <c r="K395" s="233" t="s">
        <v>52</v>
      </c>
      <c r="L395" s="232" t="s">
        <v>3</v>
      </c>
      <c r="M395" s="468" t="s">
        <v>4</v>
      </c>
      <c r="N395" s="234" t="s">
        <v>79</v>
      </c>
      <c r="O395" s="219" t="str">
        <f>PL!$P$4</f>
        <v>BIN</v>
      </c>
      <c r="P395" s="219" t="s">
        <v>322</v>
      </c>
      <c r="Q395" s="222" t="str">
        <f>PL!Q$934</f>
        <v>HC Office FE/TTOC Logistics Total Administration</v>
      </c>
      <c r="R395" s="222">
        <f>PL!S$934</f>
        <v>4</v>
      </c>
      <c r="S395" s="222">
        <f>PL!T$934</f>
        <v>5</v>
      </c>
      <c r="T395" s="222">
        <f>PL!U$934</f>
        <v>5</v>
      </c>
      <c r="U395" s="222">
        <f>PL!V$934</f>
        <v>5</v>
      </c>
      <c r="V395" s="222">
        <f>PL!W$934</f>
        <v>6</v>
      </c>
      <c r="W395" s="222">
        <f>PL!X$934</f>
        <v>6</v>
      </c>
      <c r="X395" s="222">
        <f>PL!Y$934</f>
        <v>6</v>
      </c>
      <c r="Y395" s="222">
        <f>PL!Z$934</f>
        <v>7</v>
      </c>
      <c r="Z395" s="222">
        <f>PL!AA$934</f>
        <v>7</v>
      </c>
      <c r="AA395" s="222">
        <f>PL!AB$934</f>
        <v>7</v>
      </c>
      <c r="AB395" s="222">
        <f>PL!AC$934</f>
        <v>7</v>
      </c>
    </row>
    <row r="396" spans="1:28">
      <c r="A396" s="598">
        <v>1</v>
      </c>
      <c r="B396" s="598" t="s">
        <v>667</v>
      </c>
      <c r="C396" s="598" t="s">
        <v>636</v>
      </c>
      <c r="D396" s="598" t="s">
        <v>87</v>
      </c>
      <c r="E396" s="598" t="s">
        <v>668</v>
      </c>
      <c r="G396" s="244"/>
      <c r="H396" s="244"/>
      <c r="I396" s="245"/>
      <c r="J396" s="219" t="s">
        <v>60</v>
      </c>
      <c r="K396" s="233" t="s">
        <v>52</v>
      </c>
      <c r="L396" s="232" t="s">
        <v>3</v>
      </c>
      <c r="M396" s="468" t="s">
        <v>4</v>
      </c>
      <c r="N396" s="234" t="s">
        <v>80</v>
      </c>
      <c r="O396" s="219" t="str">
        <f>PL!$P$4</f>
        <v>BIN</v>
      </c>
      <c r="P396" s="219" t="s">
        <v>322</v>
      </c>
      <c r="Q396" s="222" t="str">
        <f>PL!Q$935</f>
        <v>HC Office FE/TTOC Logistics Total Warehouse</v>
      </c>
      <c r="R396" s="222">
        <f>PL!S$935</f>
        <v>9</v>
      </c>
      <c r="S396" s="222">
        <f>PL!T$935</f>
        <v>10</v>
      </c>
      <c r="T396" s="222">
        <f>PL!U$935</f>
        <v>10</v>
      </c>
      <c r="U396" s="222">
        <f>PL!V$935</f>
        <v>10</v>
      </c>
      <c r="V396" s="222">
        <f>PL!W$935</f>
        <v>9</v>
      </c>
      <c r="W396" s="222">
        <f>PL!X$935</f>
        <v>9</v>
      </c>
      <c r="X396" s="222">
        <f>PL!Y$935</f>
        <v>9</v>
      </c>
      <c r="Y396" s="222">
        <f>PL!Z$935</f>
        <v>9</v>
      </c>
      <c r="Z396" s="222">
        <f>PL!AA$935</f>
        <v>9</v>
      </c>
      <c r="AA396" s="222">
        <f>PL!AB$935</f>
        <v>9</v>
      </c>
      <c r="AB396" s="222">
        <f>PL!AC$935</f>
        <v>9</v>
      </c>
    </row>
    <row r="397" spans="1:28">
      <c r="A397" s="598">
        <v>1</v>
      </c>
      <c r="B397" s="598" t="s">
        <v>667</v>
      </c>
      <c r="C397" s="598" t="s">
        <v>669</v>
      </c>
      <c r="D397" s="598" t="s">
        <v>87</v>
      </c>
      <c r="E397" s="598" t="s">
        <v>668</v>
      </c>
      <c r="G397" s="244"/>
      <c r="H397" s="244"/>
      <c r="I397" s="245"/>
      <c r="J397" s="219" t="s">
        <v>60</v>
      </c>
      <c r="K397" s="233" t="s">
        <v>52</v>
      </c>
      <c r="L397" s="232" t="s">
        <v>3</v>
      </c>
      <c r="M397" s="468" t="s">
        <v>4</v>
      </c>
      <c r="N397" s="234" t="s">
        <v>81</v>
      </c>
      <c r="O397" s="219" t="str">
        <f>PL!$P$4</f>
        <v>BIN</v>
      </c>
      <c r="P397" s="219" t="s">
        <v>322</v>
      </c>
      <c r="Q397" s="222" t="str">
        <f>PL!Q$936</f>
        <v>HC Office FE/TTOC Logistics Total Workshop</v>
      </c>
      <c r="R397" s="222">
        <f>PL!S$936</f>
        <v>0</v>
      </c>
      <c r="S397" s="222">
        <f>PL!T$936</f>
        <v>0</v>
      </c>
      <c r="T397" s="222">
        <f>PL!U$936</f>
        <v>0</v>
      </c>
      <c r="U397" s="222">
        <f>PL!V$936</f>
        <v>0</v>
      </c>
      <c r="V397" s="222">
        <f>PL!W$936</f>
        <v>0</v>
      </c>
      <c r="W397" s="222">
        <f>PL!X$936</f>
        <v>0</v>
      </c>
      <c r="X397" s="222">
        <f>PL!Y$936</f>
        <v>0</v>
      </c>
      <c r="Y397" s="222">
        <f>PL!Z$936</f>
        <v>0</v>
      </c>
      <c r="Z397" s="222">
        <f>PL!AA$936</f>
        <v>0</v>
      </c>
      <c r="AA397" s="222">
        <f>PL!AB$936</f>
        <v>0</v>
      </c>
      <c r="AB397" s="222">
        <f>PL!AC$936</f>
        <v>0</v>
      </c>
    </row>
    <row r="398" spans="1:28">
      <c r="A398" s="598">
        <v>1</v>
      </c>
      <c r="B398" s="598" t="s">
        <v>507</v>
      </c>
      <c r="C398" s="598" t="s">
        <v>636</v>
      </c>
      <c r="D398" s="598" t="s">
        <v>327</v>
      </c>
      <c r="E398" s="598" t="s">
        <v>327</v>
      </c>
      <c r="G398" s="244"/>
      <c r="H398" s="244"/>
      <c r="I398" s="245"/>
      <c r="J398" s="219" t="s">
        <v>60</v>
      </c>
      <c r="K398" s="233" t="s">
        <v>52</v>
      </c>
      <c r="L398" s="232" t="s">
        <v>3</v>
      </c>
      <c r="M398" s="468" t="s">
        <v>4</v>
      </c>
      <c r="N398" s="231" t="s">
        <v>327</v>
      </c>
      <c r="O398" s="219" t="str">
        <f>PL!$P$4</f>
        <v>BIN</v>
      </c>
      <c r="P398" s="219" t="s">
        <v>322</v>
      </c>
      <c r="Q398" s="222" t="str">
        <f>PL!Q$937</f>
        <v>HC Office Semi-Full-Time/Part-Time Employees /Contractors</v>
      </c>
      <c r="R398" s="222">
        <f>PL!S$937</f>
        <v>18</v>
      </c>
      <c r="S398" s="222">
        <f>PL!T$937</f>
        <v>17</v>
      </c>
      <c r="T398" s="222">
        <f>PL!U$937</f>
        <v>16</v>
      </c>
      <c r="U398" s="222">
        <f>PL!V$937</f>
        <v>16</v>
      </c>
      <c r="V398" s="222">
        <f>PL!W$937</f>
        <v>21</v>
      </c>
      <c r="W398" s="222">
        <f>PL!X$937</f>
        <v>24</v>
      </c>
      <c r="X398" s="222">
        <f>PL!Y$937</f>
        <v>24</v>
      </c>
      <c r="Y398" s="222">
        <f>PL!Z$937</f>
        <v>26</v>
      </c>
      <c r="Z398" s="222">
        <f>PL!AA$937</f>
        <v>27</v>
      </c>
      <c r="AA398" s="222">
        <f>PL!AB$937</f>
        <v>27</v>
      </c>
      <c r="AB398" s="222">
        <f>PL!AC$937</f>
        <v>27</v>
      </c>
    </row>
    <row r="399" spans="1:28">
      <c r="A399" s="598">
        <v>1</v>
      </c>
      <c r="G399" s="244"/>
      <c r="H399" s="246"/>
      <c r="I399" s="244"/>
      <c r="J399" s="253"/>
      <c r="K399" s="254"/>
      <c r="L399" s="254"/>
      <c r="M399" s="254"/>
      <c r="N399" s="254"/>
      <c r="O399" s="253"/>
      <c r="P399" s="253"/>
      <c r="Q399" s="253"/>
      <c r="R399" s="253"/>
      <c r="S399" s="253"/>
      <c r="T399" s="253"/>
      <c r="U399" s="253"/>
      <c r="V399" s="253"/>
      <c r="W399" s="253"/>
      <c r="X399" s="253"/>
      <c r="Y399" s="253"/>
      <c r="Z399" s="253"/>
      <c r="AA399" s="253"/>
      <c r="AB399" s="253"/>
    </row>
    <row r="400" spans="1:28" s="726" customFormat="1">
      <c r="A400" s="726">
        <v>1</v>
      </c>
      <c r="C400" s="1406" t="s">
        <v>926</v>
      </c>
      <c r="F400" s="729"/>
      <c r="G400" s="739"/>
      <c r="H400" s="739"/>
      <c r="I400" s="740"/>
      <c r="J400" s="741" t="s">
        <v>60</v>
      </c>
      <c r="K400" s="742" t="s">
        <v>47</v>
      </c>
      <c r="L400" s="743" t="s">
        <v>3</v>
      </c>
      <c r="M400" s="744" t="s">
        <v>4</v>
      </c>
      <c r="N400" s="745" t="s">
        <v>62</v>
      </c>
      <c r="O400" s="741" t="str">
        <f>PL!$P$4</f>
        <v>BIN</v>
      </c>
      <c r="P400" s="741" t="s">
        <v>322</v>
      </c>
      <c r="Q400" s="738"/>
      <c r="R400" s="738"/>
      <c r="S400" s="738"/>
      <c r="T400" s="738"/>
      <c r="U400" s="738"/>
      <c r="V400" s="738"/>
      <c r="W400" s="738"/>
      <c r="X400" s="738"/>
      <c r="Y400" s="738"/>
      <c r="Z400" s="738"/>
      <c r="AA400" s="738"/>
      <c r="AB400" s="738"/>
    </row>
    <row r="401" spans="1:28">
      <c r="A401" s="598">
        <v>1</v>
      </c>
      <c r="B401" s="598" t="s">
        <v>507</v>
      </c>
      <c r="C401" s="702" t="s">
        <v>954</v>
      </c>
      <c r="D401" s="598" t="s">
        <v>62</v>
      </c>
      <c r="E401" s="598" t="s">
        <v>508</v>
      </c>
      <c r="G401" s="244"/>
      <c r="H401" s="244"/>
      <c r="I401" s="245"/>
      <c r="J401" s="219" t="s">
        <v>60</v>
      </c>
      <c r="K401" s="233" t="s">
        <v>88</v>
      </c>
      <c r="L401" s="232" t="s">
        <v>3</v>
      </c>
      <c r="M401" s="468" t="s">
        <v>4</v>
      </c>
      <c r="N401" s="234" t="s">
        <v>63</v>
      </c>
      <c r="O401" s="219" t="str">
        <f>PL!$P$4</f>
        <v>BIN</v>
      </c>
      <c r="P401" s="219" t="s">
        <v>322</v>
      </c>
      <c r="Q401" s="222" t="str">
        <f>PL!Q$1032</f>
        <v>HC DW-DX FE/TTOC Sales Total Direct sales rep.</v>
      </c>
      <c r="R401" s="222">
        <f>PL!S$1032</f>
        <v>3</v>
      </c>
      <c r="S401" s="222">
        <f>PL!T$1032</f>
        <v>3</v>
      </c>
      <c r="T401" s="222">
        <f>PL!U$1032</f>
        <v>3</v>
      </c>
      <c r="U401" s="222">
        <f>PL!V$1032</f>
        <v>3</v>
      </c>
      <c r="V401" s="222">
        <f>PL!W$1032</f>
        <v>3</v>
      </c>
      <c r="W401" s="222">
        <f>PL!X$1032</f>
        <v>3</v>
      </c>
      <c r="X401" s="222">
        <f>PL!Y$1032</f>
        <v>3</v>
      </c>
      <c r="Y401" s="222">
        <f>PL!Z$1032</f>
        <v>3</v>
      </c>
      <c r="Z401" s="222">
        <f>PL!AA$1032</f>
        <v>3</v>
      </c>
      <c r="AA401" s="222">
        <f>PL!AB$1032</f>
        <v>3</v>
      </c>
      <c r="AB401" s="222">
        <f>PL!AC$1032</f>
        <v>2</v>
      </c>
    </row>
    <row r="402" spans="1:28">
      <c r="A402" s="598">
        <v>1</v>
      </c>
      <c r="B402" s="598" t="s">
        <v>507</v>
      </c>
      <c r="C402" s="702" t="s">
        <v>954</v>
      </c>
      <c r="D402" s="598" t="s">
        <v>62</v>
      </c>
      <c r="E402" s="598" t="s">
        <v>508</v>
      </c>
      <c r="G402" s="244"/>
      <c r="H402" s="244"/>
      <c r="I402" s="245"/>
      <c r="J402" s="219" t="s">
        <v>60</v>
      </c>
      <c r="K402" s="233" t="s">
        <v>88</v>
      </c>
      <c r="L402" s="232" t="s">
        <v>3</v>
      </c>
      <c r="M402" s="468" t="s">
        <v>4</v>
      </c>
      <c r="N402" s="234" t="s">
        <v>64</v>
      </c>
      <c r="O402" s="219" t="str">
        <f>PL!$P$4</f>
        <v>BIN</v>
      </c>
      <c r="P402" s="219" t="s">
        <v>322</v>
      </c>
      <c r="Q402" s="222" t="str">
        <f>PL!Q$1033</f>
        <v>HC DW-DX FE/TTOC Sales Total Direct sales engineers</v>
      </c>
      <c r="R402" s="222">
        <f>PL!S$1033</f>
        <v>2</v>
      </c>
      <c r="S402" s="222">
        <f>PL!T$1033</f>
        <v>2</v>
      </c>
      <c r="T402" s="222">
        <f>PL!U$1033</f>
        <v>2</v>
      </c>
      <c r="U402" s="222">
        <f>PL!V$1033</f>
        <v>2</v>
      </c>
      <c r="V402" s="222">
        <f>PL!W$1033</f>
        <v>2</v>
      </c>
      <c r="W402" s="222">
        <f>PL!X$1033</f>
        <v>2</v>
      </c>
      <c r="X402" s="222">
        <f>PL!Y$1033</f>
        <v>2</v>
      </c>
      <c r="Y402" s="222">
        <f>PL!Z$1033</f>
        <v>2</v>
      </c>
      <c r="Z402" s="222">
        <f>PL!AA$1033</f>
        <v>2</v>
      </c>
      <c r="AA402" s="222">
        <f>PL!AB$1033</f>
        <v>2</v>
      </c>
      <c r="AB402" s="222">
        <f>PL!AC$1033</f>
        <v>2</v>
      </c>
    </row>
    <row r="403" spans="1:28">
      <c r="A403" s="598">
        <v>1</v>
      </c>
      <c r="B403" s="598" t="s">
        <v>507</v>
      </c>
      <c r="C403" s="702" t="s">
        <v>954</v>
      </c>
      <c r="D403" s="598" t="s">
        <v>62</v>
      </c>
      <c r="E403" s="598" t="s">
        <v>508</v>
      </c>
      <c r="G403" s="244"/>
      <c r="H403" s="244"/>
      <c r="I403" s="245"/>
      <c r="J403" s="219" t="s">
        <v>60</v>
      </c>
      <c r="K403" s="233" t="s">
        <v>88</v>
      </c>
      <c r="L403" s="232" t="s">
        <v>3</v>
      </c>
      <c r="M403" s="468" t="s">
        <v>4</v>
      </c>
      <c r="N403" s="234" t="s">
        <v>65</v>
      </c>
      <c r="O403" s="219" t="str">
        <f>PL!$P$4</f>
        <v>BIN</v>
      </c>
      <c r="P403" s="219" t="s">
        <v>322</v>
      </c>
      <c r="Q403" s="222" t="str">
        <f>PL!Q$1034</f>
        <v>HC DW-DX FE/TTOC Sales Total Dealer(Indirect) sales rep.</v>
      </c>
      <c r="R403" s="222">
        <f>PL!S$1034</f>
        <v>0</v>
      </c>
      <c r="S403" s="222">
        <f>PL!T$1034</f>
        <v>0</v>
      </c>
      <c r="T403" s="222">
        <f>PL!U$1034</f>
        <v>0</v>
      </c>
      <c r="U403" s="222">
        <f>PL!V$1034</f>
        <v>0</v>
      </c>
      <c r="V403" s="222">
        <f>PL!W$1034</f>
        <v>0</v>
      </c>
      <c r="W403" s="222">
        <f>PL!X$1034</f>
        <v>0</v>
      </c>
      <c r="X403" s="222">
        <f>PL!Y$1034</f>
        <v>0</v>
      </c>
      <c r="Y403" s="222">
        <f>PL!Z$1034</f>
        <v>0</v>
      </c>
      <c r="Z403" s="222">
        <f>PL!AA$1034</f>
        <v>0</v>
      </c>
      <c r="AA403" s="222">
        <f>PL!AB$1034</f>
        <v>0</v>
      </c>
      <c r="AB403" s="222">
        <f>PL!AC$1034</f>
        <v>0</v>
      </c>
    </row>
    <row r="404" spans="1:28">
      <c r="A404" s="598">
        <v>1</v>
      </c>
      <c r="B404" s="598" t="s">
        <v>507</v>
      </c>
      <c r="C404" s="702" t="s">
        <v>954</v>
      </c>
      <c r="D404" s="598" t="s">
        <v>62</v>
      </c>
      <c r="E404" s="598" t="s">
        <v>508</v>
      </c>
      <c r="G404" s="244"/>
      <c r="H404" s="244"/>
      <c r="I404" s="245"/>
      <c r="J404" s="219" t="s">
        <v>60</v>
      </c>
      <c r="K404" s="233" t="s">
        <v>88</v>
      </c>
      <c r="L404" s="232" t="s">
        <v>3</v>
      </c>
      <c r="M404" s="468" t="s">
        <v>4</v>
      </c>
      <c r="N404" s="234" t="s">
        <v>66</v>
      </c>
      <c r="O404" s="219" t="str">
        <f>PL!$P$4</f>
        <v>BIN</v>
      </c>
      <c r="P404" s="219" t="s">
        <v>322</v>
      </c>
      <c r="Q404" s="222" t="str">
        <f>PL!Q$1035</f>
        <v>HC DW-DX FE/TTOC Sales Total Administration/Others</v>
      </c>
      <c r="R404" s="222">
        <f>PL!S$1035</f>
        <v>0</v>
      </c>
      <c r="S404" s="222">
        <f>PL!T$1035</f>
        <v>0</v>
      </c>
      <c r="T404" s="222">
        <f>PL!U$1035</f>
        <v>0</v>
      </c>
      <c r="U404" s="222">
        <f>PL!V$1035</f>
        <v>0</v>
      </c>
      <c r="V404" s="222">
        <f>PL!W$1035</f>
        <v>0</v>
      </c>
      <c r="W404" s="222">
        <f>PL!X$1035</f>
        <v>0</v>
      </c>
      <c r="X404" s="222">
        <f>PL!Y$1035</f>
        <v>0</v>
      </c>
      <c r="Y404" s="222">
        <f>PL!Z$1035</f>
        <v>0</v>
      </c>
      <c r="Z404" s="222">
        <f>PL!AA$1035</f>
        <v>0</v>
      </c>
      <c r="AA404" s="222">
        <f>PL!AB$1035</f>
        <v>0</v>
      </c>
      <c r="AB404" s="222">
        <f>PL!AC$1035</f>
        <v>0</v>
      </c>
    </row>
    <row r="405" spans="1:28" s="682" customFormat="1">
      <c r="A405" s="682">
        <v>1</v>
      </c>
      <c r="C405" s="1407"/>
      <c r="F405" s="684"/>
      <c r="G405" s="697"/>
      <c r="H405" s="697"/>
      <c r="I405" s="698"/>
      <c r="J405" s="699" t="s">
        <v>60</v>
      </c>
      <c r="K405" s="688" t="s">
        <v>47</v>
      </c>
      <c r="L405" s="700" t="s">
        <v>3</v>
      </c>
      <c r="M405" s="701" t="s">
        <v>4</v>
      </c>
      <c r="N405" s="723" t="s">
        <v>86</v>
      </c>
      <c r="O405" s="699" t="str">
        <f>PL!$P$4</f>
        <v>BIN</v>
      </c>
      <c r="P405" s="699" t="s">
        <v>322</v>
      </c>
      <c r="Q405" s="693"/>
      <c r="R405" s="693"/>
      <c r="S405" s="693"/>
      <c r="T405" s="693"/>
      <c r="U405" s="693"/>
      <c r="V405" s="693"/>
      <c r="W405" s="693"/>
      <c r="X405" s="693"/>
      <c r="Y405" s="693"/>
      <c r="Z405" s="693"/>
      <c r="AA405" s="693"/>
      <c r="AB405" s="693"/>
    </row>
    <row r="406" spans="1:28">
      <c r="A406" s="598">
        <v>1</v>
      </c>
      <c r="B406" s="598" t="s">
        <v>507</v>
      </c>
      <c r="C406" s="702" t="s">
        <v>954</v>
      </c>
      <c r="D406" s="598" t="s">
        <v>86</v>
      </c>
      <c r="E406" s="598" t="s">
        <v>508</v>
      </c>
      <c r="G406" s="244"/>
      <c r="H406" s="244"/>
      <c r="I406" s="245"/>
      <c r="J406" s="219" t="s">
        <v>60</v>
      </c>
      <c r="K406" s="233" t="s">
        <v>88</v>
      </c>
      <c r="L406" s="232" t="s">
        <v>3</v>
      </c>
      <c r="M406" s="468" t="s">
        <v>4</v>
      </c>
      <c r="N406" s="234" t="s">
        <v>67</v>
      </c>
      <c r="O406" s="219" t="str">
        <f>PL!$P$4</f>
        <v>BIN</v>
      </c>
      <c r="P406" s="219" t="s">
        <v>322</v>
      </c>
      <c r="Q406" s="222" t="str">
        <f>PL!Q$1037</f>
        <v>HC DW-DX FE/TTOC Service Total Onsite Engineer</v>
      </c>
      <c r="R406" s="222">
        <f>PL!S$1037</f>
        <v>0</v>
      </c>
      <c r="S406" s="222">
        <f>PL!T$1037</f>
        <v>0</v>
      </c>
      <c r="T406" s="222">
        <f>PL!U$1037</f>
        <v>0</v>
      </c>
      <c r="U406" s="222">
        <f>PL!V$1037</f>
        <v>0</v>
      </c>
      <c r="V406" s="222">
        <f>PL!W$1037</f>
        <v>0</v>
      </c>
      <c r="W406" s="222">
        <f>PL!X$1037</f>
        <v>0</v>
      </c>
      <c r="X406" s="222">
        <f>PL!Y$1037</f>
        <v>0</v>
      </c>
      <c r="Y406" s="222">
        <f>PL!Z$1037</f>
        <v>0</v>
      </c>
      <c r="Z406" s="222">
        <f>PL!AA$1037</f>
        <v>0</v>
      </c>
      <c r="AA406" s="222">
        <f>PL!AB$1037</f>
        <v>0</v>
      </c>
      <c r="AB406" s="222">
        <f>PL!AC$1037</f>
        <v>0</v>
      </c>
    </row>
    <row r="407" spans="1:28">
      <c r="A407" s="598">
        <v>1</v>
      </c>
      <c r="B407" s="598" t="s">
        <v>507</v>
      </c>
      <c r="C407" s="702" t="s">
        <v>954</v>
      </c>
      <c r="D407" s="598" t="s">
        <v>86</v>
      </c>
      <c r="E407" s="598" t="s">
        <v>508</v>
      </c>
      <c r="G407" s="244"/>
      <c r="H407" s="244"/>
      <c r="I407" s="245"/>
      <c r="J407" s="219" t="s">
        <v>60</v>
      </c>
      <c r="K407" s="233" t="s">
        <v>88</v>
      </c>
      <c r="L407" s="232" t="s">
        <v>3</v>
      </c>
      <c r="M407" s="468" t="s">
        <v>4</v>
      </c>
      <c r="N407" s="234" t="s">
        <v>68</v>
      </c>
      <c r="O407" s="219" t="str">
        <f>PL!$P$4</f>
        <v>BIN</v>
      </c>
      <c r="P407" s="219" t="s">
        <v>322</v>
      </c>
      <c r="Q407" s="222" t="str">
        <f>PL!Q$1038</f>
        <v>HC DW-DX FE/TTOC Service Total Remote Engineer</v>
      </c>
      <c r="R407" s="222">
        <f>PL!S$1038</f>
        <v>0</v>
      </c>
      <c r="S407" s="222">
        <f>PL!T$1038</f>
        <v>0</v>
      </c>
      <c r="T407" s="222">
        <f>PL!U$1038</f>
        <v>0</v>
      </c>
      <c r="U407" s="222">
        <f>PL!V$1038</f>
        <v>0</v>
      </c>
      <c r="V407" s="222">
        <f>PL!W$1038</f>
        <v>0</v>
      </c>
      <c r="W407" s="222">
        <f>PL!X$1038</f>
        <v>0</v>
      </c>
      <c r="X407" s="222">
        <f>PL!Y$1038</f>
        <v>0</v>
      </c>
      <c r="Y407" s="222">
        <f>PL!Z$1038</f>
        <v>0</v>
      </c>
      <c r="Z407" s="222">
        <f>PL!AA$1038</f>
        <v>0</v>
      </c>
      <c r="AA407" s="222">
        <f>PL!AB$1038</f>
        <v>0</v>
      </c>
      <c r="AB407" s="222">
        <f>PL!AC$1038</f>
        <v>0</v>
      </c>
    </row>
    <row r="408" spans="1:28">
      <c r="A408" s="598">
        <v>1</v>
      </c>
      <c r="B408" s="598" t="s">
        <v>507</v>
      </c>
      <c r="C408" s="702" t="s">
        <v>954</v>
      </c>
      <c r="D408" s="598" t="s">
        <v>86</v>
      </c>
      <c r="E408" s="598" t="s">
        <v>508</v>
      </c>
      <c r="G408" s="244"/>
      <c r="H408" s="244"/>
      <c r="I408" s="245"/>
      <c r="J408" s="219" t="s">
        <v>60</v>
      </c>
      <c r="K408" s="233" t="s">
        <v>88</v>
      </c>
      <c r="L408" s="232" t="s">
        <v>3</v>
      </c>
      <c r="M408" s="468" t="s">
        <v>4</v>
      </c>
      <c r="N408" s="234" t="s">
        <v>69</v>
      </c>
      <c r="O408" s="219" t="str">
        <f>PL!$P$4</f>
        <v>BIN</v>
      </c>
      <c r="P408" s="219" t="s">
        <v>322</v>
      </c>
      <c r="Q408" s="222" t="str">
        <f>PL!Q$1039</f>
        <v>HC DW-DX FE/TTOC Service Total Technical support</v>
      </c>
      <c r="R408" s="222">
        <f>PL!S$1039</f>
        <v>0</v>
      </c>
      <c r="S408" s="222">
        <f>PL!T$1039</f>
        <v>0</v>
      </c>
      <c r="T408" s="222">
        <f>PL!U$1039</f>
        <v>0</v>
      </c>
      <c r="U408" s="222">
        <f>PL!V$1039</f>
        <v>0</v>
      </c>
      <c r="V408" s="222">
        <f>PL!W$1039</f>
        <v>0</v>
      </c>
      <c r="W408" s="222">
        <f>PL!X$1039</f>
        <v>0</v>
      </c>
      <c r="X408" s="222">
        <f>PL!Y$1039</f>
        <v>0</v>
      </c>
      <c r="Y408" s="222">
        <f>PL!Z$1039</f>
        <v>0</v>
      </c>
      <c r="Z408" s="222">
        <f>PL!AA$1039</f>
        <v>0</v>
      </c>
      <c r="AA408" s="222">
        <f>PL!AB$1039</f>
        <v>0</v>
      </c>
      <c r="AB408" s="222">
        <f>PL!AC$1039</f>
        <v>0</v>
      </c>
    </row>
    <row r="409" spans="1:28">
      <c r="A409" s="598">
        <v>1</v>
      </c>
      <c r="B409" s="598" t="s">
        <v>507</v>
      </c>
      <c r="C409" s="702" t="s">
        <v>954</v>
      </c>
      <c r="D409" s="598" t="s">
        <v>86</v>
      </c>
      <c r="E409" s="598" t="s">
        <v>508</v>
      </c>
      <c r="G409" s="244"/>
      <c r="H409" s="244"/>
      <c r="I409" s="245"/>
      <c r="J409" s="219" t="s">
        <v>60</v>
      </c>
      <c r="K409" s="233" t="s">
        <v>88</v>
      </c>
      <c r="L409" s="232" t="s">
        <v>3</v>
      </c>
      <c r="M409" s="468" t="s">
        <v>4</v>
      </c>
      <c r="N409" s="234" t="s">
        <v>70</v>
      </c>
      <c r="O409" s="219" t="str">
        <f>PL!$P$4</f>
        <v>BIN</v>
      </c>
      <c r="P409" s="219" t="s">
        <v>322</v>
      </c>
      <c r="Q409" s="222" t="str">
        <f>PL!Q$1040</f>
        <v>HC DW-DX FE/TTOC Service Total Dealer(Indirect) support</v>
      </c>
      <c r="R409" s="222">
        <f>PL!S$1040</f>
        <v>0</v>
      </c>
      <c r="S409" s="222">
        <f>PL!T$1040</f>
        <v>0</v>
      </c>
      <c r="T409" s="222">
        <f>PL!U$1040</f>
        <v>0</v>
      </c>
      <c r="U409" s="222">
        <f>PL!V$1040</f>
        <v>0</v>
      </c>
      <c r="V409" s="222">
        <f>PL!W$1040</f>
        <v>0</v>
      </c>
      <c r="W409" s="222">
        <f>PL!X$1040</f>
        <v>0</v>
      </c>
      <c r="X409" s="222">
        <f>PL!Y$1040</f>
        <v>0</v>
      </c>
      <c r="Y409" s="222">
        <f>PL!Z$1040</f>
        <v>0</v>
      </c>
      <c r="Z409" s="222">
        <f>PL!AA$1040</f>
        <v>0</v>
      </c>
      <c r="AA409" s="222">
        <f>PL!AB$1040</f>
        <v>0</v>
      </c>
      <c r="AB409" s="222">
        <f>PL!AC$1040</f>
        <v>0</v>
      </c>
    </row>
    <row r="410" spans="1:28">
      <c r="A410" s="598">
        <v>1</v>
      </c>
      <c r="B410" s="598" t="s">
        <v>507</v>
      </c>
      <c r="C410" s="702" t="s">
        <v>954</v>
      </c>
      <c r="D410" s="598" t="s">
        <v>86</v>
      </c>
      <c r="E410" s="598" t="s">
        <v>508</v>
      </c>
      <c r="G410" s="244"/>
      <c r="H410" s="244"/>
      <c r="I410" s="245"/>
      <c r="J410" s="219" t="s">
        <v>60</v>
      </c>
      <c r="K410" s="233" t="s">
        <v>88</v>
      </c>
      <c r="L410" s="232" t="s">
        <v>3</v>
      </c>
      <c r="M410" s="468" t="s">
        <v>4</v>
      </c>
      <c r="N410" s="234" t="s">
        <v>71</v>
      </c>
      <c r="O410" s="219" t="str">
        <f>PL!$P$4</f>
        <v>BIN</v>
      </c>
      <c r="P410" s="219" t="s">
        <v>322</v>
      </c>
      <c r="Q410" s="222" t="str">
        <f>PL!Q$1041</f>
        <v>HC DW-DX FE/TTOC Service Total Administration/Others</v>
      </c>
      <c r="R410" s="222">
        <f>PL!S$1041</f>
        <v>0</v>
      </c>
      <c r="S410" s="222">
        <f>PL!T$1041</f>
        <v>0</v>
      </c>
      <c r="T410" s="222">
        <f>PL!U$1041</f>
        <v>0</v>
      </c>
      <c r="U410" s="222">
        <f>PL!V$1041</f>
        <v>0</v>
      </c>
      <c r="V410" s="222">
        <f>PL!W$1041</f>
        <v>0</v>
      </c>
      <c r="W410" s="222">
        <f>PL!X$1041</f>
        <v>0</v>
      </c>
      <c r="X410" s="222">
        <f>PL!Y$1041</f>
        <v>0</v>
      </c>
      <c r="Y410" s="222">
        <f>PL!Z$1041</f>
        <v>0</v>
      </c>
      <c r="Z410" s="222">
        <f>PL!AA$1041</f>
        <v>0</v>
      </c>
      <c r="AA410" s="222">
        <f>PL!AB$1041</f>
        <v>0</v>
      </c>
      <c r="AB410" s="222">
        <f>PL!AC$1041</f>
        <v>0</v>
      </c>
    </row>
    <row r="411" spans="1:28" s="682" customFormat="1">
      <c r="A411" s="682">
        <v>1</v>
      </c>
      <c r="C411" s="1407"/>
      <c r="F411" s="684"/>
      <c r="G411" s="697"/>
      <c r="H411" s="697"/>
      <c r="I411" s="698"/>
      <c r="J411" s="699" t="s">
        <v>60</v>
      </c>
      <c r="K411" s="688" t="s">
        <v>88</v>
      </c>
      <c r="L411" s="700" t="s">
        <v>3</v>
      </c>
      <c r="M411" s="701" t="s">
        <v>4</v>
      </c>
      <c r="N411" s="723" t="s">
        <v>72</v>
      </c>
      <c r="O411" s="699" t="str">
        <f>PL!$P$4</f>
        <v>BIN</v>
      </c>
      <c r="P411" s="699" t="s">
        <v>322</v>
      </c>
      <c r="Q411" s="693"/>
      <c r="R411" s="693"/>
      <c r="S411" s="693"/>
      <c r="T411" s="693"/>
      <c r="U411" s="693"/>
      <c r="V411" s="693"/>
      <c r="W411" s="693"/>
      <c r="X411" s="693"/>
      <c r="Y411" s="693"/>
      <c r="Z411" s="693"/>
      <c r="AA411" s="693"/>
      <c r="AB411" s="693"/>
    </row>
    <row r="412" spans="1:28">
      <c r="A412" s="598">
        <v>1</v>
      </c>
      <c r="B412" s="598" t="s">
        <v>507</v>
      </c>
      <c r="C412" s="702" t="s">
        <v>954</v>
      </c>
      <c r="D412" s="598" t="s">
        <v>72</v>
      </c>
      <c r="E412" s="598" t="s">
        <v>508</v>
      </c>
      <c r="G412" s="244"/>
      <c r="H412" s="244"/>
      <c r="I412" s="245"/>
      <c r="J412" s="219" t="s">
        <v>60</v>
      </c>
      <c r="K412" s="233" t="s">
        <v>88</v>
      </c>
      <c r="L412" s="232" t="s">
        <v>3</v>
      </c>
      <c r="M412" s="468" t="s">
        <v>4</v>
      </c>
      <c r="N412" s="234" t="s">
        <v>323</v>
      </c>
      <c r="O412" s="219" t="str">
        <f>PL!$P$4</f>
        <v>BIN</v>
      </c>
      <c r="P412" s="219" t="s">
        <v>322</v>
      </c>
      <c r="Q412" s="222" t="str">
        <f>PL!Q$1043</f>
        <v>HC DW-DX FE/TTOC Marketing Total Business Development</v>
      </c>
      <c r="R412" s="222">
        <f>PL!S$1043</f>
        <v>0</v>
      </c>
      <c r="S412" s="222">
        <f>PL!T$1043</f>
        <v>0</v>
      </c>
      <c r="T412" s="222">
        <f>PL!U$1043</f>
        <v>0</v>
      </c>
      <c r="U412" s="222">
        <f>PL!V$1043</f>
        <v>0</v>
      </c>
      <c r="V412" s="222">
        <f>PL!W$1043</f>
        <v>0</v>
      </c>
      <c r="W412" s="222">
        <f>PL!X$1043</f>
        <v>0</v>
      </c>
      <c r="X412" s="222">
        <f>PL!Y$1043</f>
        <v>0</v>
      </c>
      <c r="Y412" s="222">
        <f>PL!Z$1043</f>
        <v>0</v>
      </c>
      <c r="Z412" s="222">
        <f>PL!AA$1043</f>
        <v>0</v>
      </c>
      <c r="AA412" s="222">
        <f>PL!AB$1043</f>
        <v>0</v>
      </c>
      <c r="AB412" s="222">
        <f>PL!AC$1043</f>
        <v>0</v>
      </c>
    </row>
    <row r="413" spans="1:28">
      <c r="A413" s="598">
        <v>1</v>
      </c>
      <c r="B413" s="598" t="s">
        <v>507</v>
      </c>
      <c r="C413" s="702" t="s">
        <v>954</v>
      </c>
      <c r="D413" s="598" t="s">
        <v>72</v>
      </c>
      <c r="E413" s="598" t="s">
        <v>508</v>
      </c>
      <c r="G413" s="244"/>
      <c r="H413" s="244"/>
      <c r="I413" s="245"/>
      <c r="J413" s="219" t="s">
        <v>60</v>
      </c>
      <c r="K413" s="233" t="s">
        <v>88</v>
      </c>
      <c r="L413" s="232" t="s">
        <v>3</v>
      </c>
      <c r="M413" s="468" t="s">
        <v>4</v>
      </c>
      <c r="N413" s="234" t="s">
        <v>324</v>
      </c>
      <c r="O413" s="219" t="str">
        <f>PL!$P$4</f>
        <v>BIN</v>
      </c>
      <c r="P413" s="219" t="s">
        <v>322</v>
      </c>
      <c r="Q413" s="222" t="str">
        <f>PL!Q$1044</f>
        <v>HC DW-DX FE/TTOC Marketing Total Channel Marketing</v>
      </c>
      <c r="R413" s="222">
        <f>PL!S$1044</f>
        <v>0</v>
      </c>
      <c r="S413" s="222">
        <f>PL!T$1044</f>
        <v>0</v>
      </c>
      <c r="T413" s="222">
        <f>PL!U$1044</f>
        <v>0</v>
      </c>
      <c r="U413" s="222">
        <f>PL!V$1044</f>
        <v>0</v>
      </c>
      <c r="V413" s="222">
        <f>PL!W$1044</f>
        <v>0</v>
      </c>
      <c r="W413" s="222">
        <f>PL!X$1044</f>
        <v>0</v>
      </c>
      <c r="X413" s="222">
        <f>PL!Y$1044</f>
        <v>0</v>
      </c>
      <c r="Y413" s="222">
        <f>PL!Z$1044</f>
        <v>0</v>
      </c>
      <c r="Z413" s="222">
        <f>PL!AA$1044</f>
        <v>0</v>
      </c>
      <c r="AA413" s="222">
        <f>PL!AB$1044</f>
        <v>0</v>
      </c>
      <c r="AB413" s="222">
        <f>PL!AC$1044</f>
        <v>0</v>
      </c>
    </row>
    <row r="414" spans="1:28">
      <c r="A414" s="598">
        <v>1</v>
      </c>
      <c r="B414" s="598" t="s">
        <v>507</v>
      </c>
      <c r="C414" s="702" t="s">
        <v>954</v>
      </c>
      <c r="D414" s="598" t="s">
        <v>72</v>
      </c>
      <c r="E414" s="598" t="s">
        <v>508</v>
      </c>
      <c r="G414" s="244"/>
      <c r="H414" s="244"/>
      <c r="I414" s="245"/>
      <c r="J414" s="219" t="s">
        <v>60</v>
      </c>
      <c r="K414" s="233" t="s">
        <v>88</v>
      </c>
      <c r="L414" s="232" t="s">
        <v>3</v>
      </c>
      <c r="M414" s="468" t="s">
        <v>4</v>
      </c>
      <c r="N414" s="234" t="s">
        <v>325</v>
      </c>
      <c r="O414" s="219" t="str">
        <f>PL!$P$4</f>
        <v>BIN</v>
      </c>
      <c r="P414" s="219" t="s">
        <v>322</v>
      </c>
      <c r="Q414" s="222" t="str">
        <f>PL!Q$1045</f>
        <v>HC DW-DX FE/TTOC Marketing Total Product Marketing</v>
      </c>
      <c r="R414" s="222">
        <f>PL!S$1045</f>
        <v>1</v>
      </c>
      <c r="S414" s="222">
        <f>PL!T$1045</f>
        <v>1</v>
      </c>
      <c r="T414" s="222">
        <f>PL!U$1045</f>
        <v>1</v>
      </c>
      <c r="U414" s="222">
        <f>PL!V$1045</f>
        <v>1</v>
      </c>
      <c r="V414" s="222">
        <f>PL!W$1045</f>
        <v>1</v>
      </c>
      <c r="W414" s="222">
        <f>PL!X$1045</f>
        <v>1</v>
      </c>
      <c r="X414" s="222">
        <f>PL!Y$1045</f>
        <v>1</v>
      </c>
      <c r="Y414" s="222">
        <f>PL!Z$1045</f>
        <v>1</v>
      </c>
      <c r="Z414" s="222">
        <f>PL!AA$1045</f>
        <v>1</v>
      </c>
      <c r="AA414" s="222">
        <f>PL!AB$1045</f>
        <v>1</v>
      </c>
      <c r="AB414" s="222">
        <f>PL!AC$1045</f>
        <v>1</v>
      </c>
    </row>
    <row r="415" spans="1:28">
      <c r="A415" s="598">
        <v>1</v>
      </c>
      <c r="B415" s="598" t="s">
        <v>507</v>
      </c>
      <c r="C415" s="702" t="s">
        <v>954</v>
      </c>
      <c r="D415" s="598" t="s">
        <v>72</v>
      </c>
      <c r="E415" s="598" t="s">
        <v>508</v>
      </c>
      <c r="G415" s="244"/>
      <c r="H415" s="244"/>
      <c r="I415" s="245"/>
      <c r="J415" s="219" t="s">
        <v>60</v>
      </c>
      <c r="K415" s="233" t="s">
        <v>88</v>
      </c>
      <c r="L415" s="232" t="s">
        <v>3</v>
      </c>
      <c r="M415" s="468" t="s">
        <v>4</v>
      </c>
      <c r="N415" s="234" t="s">
        <v>326</v>
      </c>
      <c r="O415" s="219" t="str">
        <f>PL!$P$4</f>
        <v>BIN</v>
      </c>
      <c r="P415" s="219" t="s">
        <v>322</v>
      </c>
      <c r="Q415" s="222" t="str">
        <f>PL!Q$1046</f>
        <v>HC DW-DX FE/TTOC Marketing Total MC / O</v>
      </c>
      <c r="R415" s="222">
        <f>PL!S$1046</f>
        <v>0</v>
      </c>
      <c r="S415" s="222">
        <f>PL!T$1046</f>
        <v>0</v>
      </c>
      <c r="T415" s="222">
        <f>PL!U$1046</f>
        <v>0</v>
      </c>
      <c r="U415" s="222">
        <f>PL!V$1046</f>
        <v>0</v>
      </c>
      <c r="V415" s="222">
        <f>PL!W$1046</f>
        <v>0</v>
      </c>
      <c r="W415" s="222">
        <f>PL!X$1046</f>
        <v>0</v>
      </c>
      <c r="X415" s="222">
        <f>PL!Y$1046</f>
        <v>0</v>
      </c>
      <c r="Y415" s="222">
        <f>PL!Z$1046</f>
        <v>0</v>
      </c>
      <c r="Z415" s="222">
        <f>PL!AA$1046</f>
        <v>0</v>
      </c>
      <c r="AA415" s="222">
        <f>PL!AB$1046</f>
        <v>0</v>
      </c>
      <c r="AB415" s="222">
        <f>PL!AC$1046</f>
        <v>0</v>
      </c>
    </row>
    <row r="416" spans="1:28" s="682" customFormat="1">
      <c r="A416" s="682">
        <v>1</v>
      </c>
      <c r="C416" s="1407"/>
      <c r="F416" s="684"/>
      <c r="G416" s="697"/>
      <c r="H416" s="697"/>
      <c r="I416" s="698"/>
      <c r="J416" s="699" t="s">
        <v>60</v>
      </c>
      <c r="K416" s="688" t="s">
        <v>47</v>
      </c>
      <c r="L416" s="700" t="s">
        <v>3</v>
      </c>
      <c r="M416" s="701" t="s">
        <v>4</v>
      </c>
      <c r="N416" s="723" t="s">
        <v>73</v>
      </c>
      <c r="O416" s="699" t="str">
        <f>PL!$P$4</f>
        <v>BIN</v>
      </c>
      <c r="P416" s="699" t="s">
        <v>322</v>
      </c>
      <c r="Q416" s="693"/>
      <c r="R416" s="693"/>
      <c r="S416" s="693"/>
      <c r="T416" s="693"/>
      <c r="U416" s="693"/>
      <c r="V416" s="693"/>
      <c r="W416" s="693"/>
      <c r="X416" s="693"/>
      <c r="Y416" s="693"/>
      <c r="Z416" s="693"/>
      <c r="AA416" s="693"/>
      <c r="AB416" s="693"/>
    </row>
    <row r="417" spans="1:28">
      <c r="A417" s="598">
        <v>1</v>
      </c>
      <c r="B417" s="598" t="s">
        <v>507</v>
      </c>
      <c r="C417" s="702" t="s">
        <v>954</v>
      </c>
      <c r="D417" s="598" t="s">
        <v>73</v>
      </c>
      <c r="E417" s="598" t="s">
        <v>508</v>
      </c>
      <c r="G417" s="244"/>
      <c r="H417" s="244"/>
      <c r="I417" s="245"/>
      <c r="J417" s="219" t="s">
        <v>60</v>
      </c>
      <c r="K417" s="233" t="s">
        <v>88</v>
      </c>
      <c r="L417" s="232" t="s">
        <v>3</v>
      </c>
      <c r="M417" s="468" t="s">
        <v>4</v>
      </c>
      <c r="N417" s="234" t="s">
        <v>74</v>
      </c>
      <c r="O417" s="219" t="str">
        <f>PL!$P$4</f>
        <v>BIN</v>
      </c>
      <c r="P417" s="219" t="s">
        <v>322</v>
      </c>
      <c r="Q417" s="222" t="str">
        <f>PL!Q$1048</f>
        <v>HC DW-DX FE/TTOC Administration Total IT</v>
      </c>
      <c r="R417" s="222">
        <f>PL!S$1048</f>
        <v>0</v>
      </c>
      <c r="S417" s="222">
        <f>PL!T$1048</f>
        <v>0</v>
      </c>
      <c r="T417" s="222">
        <f>PL!U$1048</f>
        <v>0</v>
      </c>
      <c r="U417" s="222">
        <f>PL!V$1048</f>
        <v>0</v>
      </c>
      <c r="V417" s="222">
        <f>PL!W$1048</f>
        <v>0</v>
      </c>
      <c r="W417" s="222">
        <f>PL!X$1048</f>
        <v>0</v>
      </c>
      <c r="X417" s="222">
        <f>PL!Y$1048</f>
        <v>0</v>
      </c>
      <c r="Y417" s="222">
        <f>PL!Z$1048</f>
        <v>0</v>
      </c>
      <c r="Z417" s="222">
        <f>PL!AA$1048</f>
        <v>0</v>
      </c>
      <c r="AA417" s="222">
        <f>PL!AB$1048</f>
        <v>0</v>
      </c>
      <c r="AB417" s="222">
        <f>PL!AC$1048</f>
        <v>0</v>
      </c>
    </row>
    <row r="418" spans="1:28">
      <c r="A418" s="598">
        <v>1</v>
      </c>
      <c r="B418" s="598" t="s">
        <v>507</v>
      </c>
      <c r="C418" s="702" t="s">
        <v>954</v>
      </c>
      <c r="D418" s="598" t="s">
        <v>73</v>
      </c>
      <c r="E418" s="598" t="s">
        <v>508</v>
      </c>
      <c r="G418" s="244"/>
      <c r="H418" s="244"/>
      <c r="I418" s="245"/>
      <c r="J418" s="219" t="s">
        <v>60</v>
      </c>
      <c r="K418" s="233" t="s">
        <v>88</v>
      </c>
      <c r="L418" s="232" t="s">
        <v>3</v>
      </c>
      <c r="M418" s="468" t="s">
        <v>4</v>
      </c>
      <c r="N418" s="234" t="s">
        <v>75</v>
      </c>
      <c r="O418" s="219" t="str">
        <f>PL!$P$4</f>
        <v>BIN</v>
      </c>
      <c r="P418" s="219" t="s">
        <v>322</v>
      </c>
      <c r="Q418" s="222" t="str">
        <f>PL!Q$1049</f>
        <v>HC DW-DX FE/TTOC Administration Total Finance</v>
      </c>
      <c r="R418" s="222">
        <f>PL!S$1049</f>
        <v>0</v>
      </c>
      <c r="S418" s="222">
        <f>PL!T$1049</f>
        <v>0</v>
      </c>
      <c r="T418" s="222">
        <f>PL!U$1049</f>
        <v>0</v>
      </c>
      <c r="U418" s="222">
        <f>PL!V$1049</f>
        <v>0</v>
      </c>
      <c r="V418" s="222">
        <f>PL!W$1049</f>
        <v>0</v>
      </c>
      <c r="W418" s="222">
        <f>PL!X$1049</f>
        <v>0</v>
      </c>
      <c r="X418" s="222">
        <f>PL!Y$1049</f>
        <v>0</v>
      </c>
      <c r="Y418" s="222">
        <f>PL!Z$1049</f>
        <v>0</v>
      </c>
      <c r="Z418" s="222">
        <f>PL!AA$1049</f>
        <v>0</v>
      </c>
      <c r="AA418" s="222">
        <f>PL!AB$1049</f>
        <v>0</v>
      </c>
      <c r="AB418" s="222">
        <f>PL!AC$1049</f>
        <v>0</v>
      </c>
    </row>
    <row r="419" spans="1:28">
      <c r="A419" s="598">
        <v>1</v>
      </c>
      <c r="B419" s="598" t="s">
        <v>507</v>
      </c>
      <c r="C419" s="702" t="s">
        <v>954</v>
      </c>
      <c r="D419" s="598" t="s">
        <v>73</v>
      </c>
      <c r="E419" s="598" t="s">
        <v>508</v>
      </c>
      <c r="G419" s="244"/>
      <c r="H419" s="244"/>
      <c r="I419" s="245"/>
      <c r="J419" s="219" t="s">
        <v>60</v>
      </c>
      <c r="K419" s="233" t="s">
        <v>88</v>
      </c>
      <c r="L419" s="232" t="s">
        <v>3</v>
      </c>
      <c r="M419" s="468" t="s">
        <v>4</v>
      </c>
      <c r="N419" s="234" t="s">
        <v>76</v>
      </c>
      <c r="O419" s="219" t="str">
        <f>PL!$P$4</f>
        <v>BIN</v>
      </c>
      <c r="P419" s="219" t="s">
        <v>322</v>
      </c>
      <c r="Q419" s="222" t="str">
        <f>PL!Q$1050</f>
        <v>HC DW-DX FE/TTOC Administration Total HR</v>
      </c>
      <c r="R419" s="222">
        <f>PL!S$1050</f>
        <v>0</v>
      </c>
      <c r="S419" s="222">
        <f>PL!T$1050</f>
        <v>0</v>
      </c>
      <c r="T419" s="222">
        <f>PL!U$1050</f>
        <v>0</v>
      </c>
      <c r="U419" s="222">
        <f>PL!V$1050</f>
        <v>0</v>
      </c>
      <c r="V419" s="222">
        <f>PL!W$1050</f>
        <v>0</v>
      </c>
      <c r="W419" s="222">
        <f>PL!X$1050</f>
        <v>0</v>
      </c>
      <c r="X419" s="222">
        <f>PL!Y$1050</f>
        <v>0</v>
      </c>
      <c r="Y419" s="222">
        <f>PL!Z$1050</f>
        <v>0</v>
      </c>
      <c r="Z419" s="222">
        <f>PL!AA$1050</f>
        <v>0</v>
      </c>
      <c r="AA419" s="222">
        <f>PL!AB$1050</f>
        <v>0</v>
      </c>
      <c r="AB419" s="222">
        <f>PL!AC$1050</f>
        <v>0</v>
      </c>
    </row>
    <row r="420" spans="1:28">
      <c r="A420" s="598">
        <v>1</v>
      </c>
      <c r="B420" s="598" t="s">
        <v>507</v>
      </c>
      <c r="C420" s="702" t="s">
        <v>954</v>
      </c>
      <c r="D420" s="598" t="s">
        <v>73</v>
      </c>
      <c r="E420" s="598" t="s">
        <v>508</v>
      </c>
      <c r="G420" s="244"/>
      <c r="H420" s="244"/>
      <c r="I420" s="245"/>
      <c r="J420" s="219" t="s">
        <v>60</v>
      </c>
      <c r="K420" s="233" t="s">
        <v>88</v>
      </c>
      <c r="L420" s="232" t="s">
        <v>3</v>
      </c>
      <c r="M420" s="468" t="s">
        <v>4</v>
      </c>
      <c r="N420" s="234" t="s">
        <v>77</v>
      </c>
      <c r="O420" s="219" t="str">
        <f>PL!$P$4</f>
        <v>BIN</v>
      </c>
      <c r="P420" s="219" t="s">
        <v>322</v>
      </c>
      <c r="Q420" s="222" t="str">
        <f>PL!Q$1051</f>
        <v>HC DW-DX FE/TTOC Administration Total Training</v>
      </c>
      <c r="R420" s="222">
        <f>PL!S$1051</f>
        <v>0</v>
      </c>
      <c r="S420" s="222">
        <f>PL!T$1051</f>
        <v>0</v>
      </c>
      <c r="T420" s="222">
        <f>PL!U$1051</f>
        <v>0</v>
      </c>
      <c r="U420" s="222">
        <f>PL!V$1051</f>
        <v>0</v>
      </c>
      <c r="V420" s="222">
        <f>PL!W$1051</f>
        <v>0</v>
      </c>
      <c r="W420" s="222">
        <f>PL!X$1051</f>
        <v>0</v>
      </c>
      <c r="X420" s="222">
        <f>PL!Y$1051</f>
        <v>0</v>
      </c>
      <c r="Y420" s="222">
        <f>PL!Z$1051</f>
        <v>0</v>
      </c>
      <c r="Z420" s="222">
        <f>PL!AA$1051</f>
        <v>0</v>
      </c>
      <c r="AA420" s="222">
        <f>PL!AB$1051</f>
        <v>0</v>
      </c>
      <c r="AB420" s="222">
        <f>PL!AC$1051</f>
        <v>0</v>
      </c>
    </row>
    <row r="421" spans="1:28">
      <c r="A421" s="598">
        <v>1</v>
      </c>
      <c r="B421" s="598" t="s">
        <v>507</v>
      </c>
      <c r="C421" s="702" t="s">
        <v>954</v>
      </c>
      <c r="D421" s="598" t="s">
        <v>73</v>
      </c>
      <c r="E421" s="598" t="s">
        <v>508</v>
      </c>
      <c r="G421" s="244"/>
      <c r="H421" s="244"/>
      <c r="I421" s="245"/>
      <c r="J421" s="219" t="s">
        <v>60</v>
      </c>
      <c r="K421" s="233" t="s">
        <v>88</v>
      </c>
      <c r="L421" s="232" t="s">
        <v>3</v>
      </c>
      <c r="M421" s="468" t="s">
        <v>4</v>
      </c>
      <c r="N421" s="234" t="s">
        <v>78</v>
      </c>
      <c r="O421" s="219" t="str">
        <f>PL!$P$4</f>
        <v>BIN</v>
      </c>
      <c r="P421" s="219" t="s">
        <v>322</v>
      </c>
      <c r="Q421" s="222" t="str">
        <f>PL!Q$1052</f>
        <v>HC DW-DX FE/TTOC Administration Total Others</v>
      </c>
      <c r="R421" s="222">
        <f>PL!S$1052</f>
        <v>0</v>
      </c>
      <c r="S421" s="222">
        <f>PL!T$1052</f>
        <v>0</v>
      </c>
      <c r="T421" s="222">
        <f>PL!U$1052</f>
        <v>0</v>
      </c>
      <c r="U421" s="222">
        <f>PL!V$1052</f>
        <v>0</v>
      </c>
      <c r="V421" s="222">
        <f>PL!W$1052</f>
        <v>0</v>
      </c>
      <c r="W421" s="222">
        <f>PL!X$1052</f>
        <v>0</v>
      </c>
      <c r="X421" s="222">
        <f>PL!Y$1052</f>
        <v>0</v>
      </c>
      <c r="Y421" s="222">
        <f>PL!Z$1052</f>
        <v>0</v>
      </c>
      <c r="Z421" s="222">
        <f>PL!AA$1052</f>
        <v>0</v>
      </c>
      <c r="AA421" s="222">
        <f>PL!AB$1052</f>
        <v>0</v>
      </c>
      <c r="AB421" s="222">
        <f>PL!AC$1052</f>
        <v>0</v>
      </c>
    </row>
    <row r="422" spans="1:28" s="682" customFormat="1">
      <c r="A422" s="682">
        <v>1</v>
      </c>
      <c r="C422" s="1407"/>
      <c r="F422" s="684"/>
      <c r="G422" s="697"/>
      <c r="H422" s="697"/>
      <c r="I422" s="698"/>
      <c r="J422" s="699" t="s">
        <v>60</v>
      </c>
      <c r="K422" s="688" t="s">
        <v>47</v>
      </c>
      <c r="L422" s="700" t="s">
        <v>3</v>
      </c>
      <c r="M422" s="701" t="s">
        <v>4</v>
      </c>
      <c r="N422" s="723" t="s">
        <v>87</v>
      </c>
      <c r="O422" s="699" t="str">
        <f>PL!$P$4</f>
        <v>BIN</v>
      </c>
      <c r="P422" s="699" t="s">
        <v>322</v>
      </c>
      <c r="Q422" s="693"/>
      <c r="R422" s="693"/>
      <c r="S422" s="693"/>
      <c r="T422" s="693"/>
      <c r="U422" s="693"/>
      <c r="V422" s="693"/>
      <c r="W422" s="693"/>
      <c r="X422" s="693"/>
      <c r="Y422" s="693"/>
      <c r="Z422" s="693"/>
      <c r="AA422" s="693"/>
      <c r="AB422" s="693"/>
    </row>
    <row r="423" spans="1:28">
      <c r="A423" s="598">
        <v>1</v>
      </c>
      <c r="B423" s="598" t="s">
        <v>507</v>
      </c>
      <c r="C423" s="702" t="s">
        <v>954</v>
      </c>
      <c r="D423" s="598" t="s">
        <v>87</v>
      </c>
      <c r="E423" s="598" t="s">
        <v>508</v>
      </c>
      <c r="G423" s="244"/>
      <c r="H423" s="244"/>
      <c r="I423" s="245"/>
      <c r="J423" s="219" t="s">
        <v>60</v>
      </c>
      <c r="K423" s="233" t="s">
        <v>88</v>
      </c>
      <c r="L423" s="232" t="s">
        <v>3</v>
      </c>
      <c r="M423" s="468" t="s">
        <v>4</v>
      </c>
      <c r="N423" s="234" t="s">
        <v>79</v>
      </c>
      <c r="O423" s="219" t="str">
        <f>PL!$P$4</f>
        <v>BIN</v>
      </c>
      <c r="P423" s="219" t="s">
        <v>322</v>
      </c>
      <c r="Q423" s="222" t="str">
        <f>PL!Q$1054</f>
        <v>HC DW-DX FE/TTOC Logistics Total Administration</v>
      </c>
      <c r="R423" s="222">
        <f>PL!S$1054</f>
        <v>0</v>
      </c>
      <c r="S423" s="222">
        <f>PL!T$1054</f>
        <v>0</v>
      </c>
      <c r="T423" s="222">
        <f>PL!U$1054</f>
        <v>0</v>
      </c>
      <c r="U423" s="222">
        <f>PL!V$1054</f>
        <v>0</v>
      </c>
      <c r="V423" s="222">
        <f>PL!W$1054</f>
        <v>0</v>
      </c>
      <c r="W423" s="222">
        <f>PL!X$1054</f>
        <v>0</v>
      </c>
      <c r="X423" s="222">
        <f>PL!Y$1054</f>
        <v>0</v>
      </c>
      <c r="Y423" s="222">
        <f>PL!Z$1054</f>
        <v>0</v>
      </c>
      <c r="Z423" s="222">
        <f>PL!AA$1054</f>
        <v>0</v>
      </c>
      <c r="AA423" s="222">
        <f>PL!AB$1054</f>
        <v>0</v>
      </c>
      <c r="AB423" s="222">
        <f>PL!AC$1054</f>
        <v>0</v>
      </c>
    </row>
    <row r="424" spans="1:28">
      <c r="A424" s="598">
        <v>1</v>
      </c>
      <c r="B424" s="598" t="s">
        <v>507</v>
      </c>
      <c r="C424" s="702" t="s">
        <v>954</v>
      </c>
      <c r="D424" s="598" t="s">
        <v>87</v>
      </c>
      <c r="E424" s="598" t="s">
        <v>508</v>
      </c>
      <c r="G424" s="244"/>
      <c r="H424" s="244"/>
      <c r="I424" s="245"/>
      <c r="J424" s="219" t="s">
        <v>60</v>
      </c>
      <c r="K424" s="233" t="s">
        <v>88</v>
      </c>
      <c r="L424" s="232" t="s">
        <v>3</v>
      </c>
      <c r="M424" s="468" t="s">
        <v>4</v>
      </c>
      <c r="N424" s="234" t="s">
        <v>80</v>
      </c>
      <c r="O424" s="219" t="str">
        <f>PL!$P$4</f>
        <v>BIN</v>
      </c>
      <c r="P424" s="219" t="s">
        <v>322</v>
      </c>
      <c r="Q424" s="222" t="str">
        <f>PL!Q$1055</f>
        <v>HC DW-DX FE/TTOC Logistics Total Warehouse</v>
      </c>
      <c r="R424" s="222">
        <f>PL!S$1055</f>
        <v>0</v>
      </c>
      <c r="S424" s="222">
        <f>PL!T$1055</f>
        <v>0</v>
      </c>
      <c r="T424" s="222">
        <f>PL!U$1055</f>
        <v>0</v>
      </c>
      <c r="U424" s="222">
        <f>PL!V$1055</f>
        <v>0</v>
      </c>
      <c r="V424" s="222">
        <f>PL!W$1055</f>
        <v>0</v>
      </c>
      <c r="W424" s="222">
        <f>PL!X$1055</f>
        <v>0</v>
      </c>
      <c r="X424" s="222">
        <f>PL!Y$1055</f>
        <v>0</v>
      </c>
      <c r="Y424" s="222">
        <f>PL!Z$1055</f>
        <v>0</v>
      </c>
      <c r="Z424" s="222">
        <f>PL!AA$1055</f>
        <v>0</v>
      </c>
      <c r="AA424" s="222">
        <f>PL!AB$1055</f>
        <v>0</v>
      </c>
      <c r="AB424" s="222">
        <f>PL!AC$1055</f>
        <v>0</v>
      </c>
    </row>
    <row r="425" spans="1:28">
      <c r="A425" s="598">
        <v>1</v>
      </c>
      <c r="B425" s="598" t="s">
        <v>507</v>
      </c>
      <c r="C425" s="702" t="s">
        <v>954</v>
      </c>
      <c r="D425" s="598" t="s">
        <v>87</v>
      </c>
      <c r="E425" s="598" t="s">
        <v>508</v>
      </c>
      <c r="G425" s="244"/>
      <c r="H425" s="244"/>
      <c r="I425" s="245"/>
      <c r="J425" s="219" t="s">
        <v>60</v>
      </c>
      <c r="K425" s="233" t="s">
        <v>88</v>
      </c>
      <c r="L425" s="232" t="s">
        <v>3</v>
      </c>
      <c r="M425" s="468" t="s">
        <v>4</v>
      </c>
      <c r="N425" s="234" t="s">
        <v>81</v>
      </c>
      <c r="O425" s="219" t="str">
        <f>PL!$P$4</f>
        <v>BIN</v>
      </c>
      <c r="P425" s="219" t="s">
        <v>322</v>
      </c>
      <c r="Q425" s="222" t="str">
        <f>PL!Q$1056</f>
        <v>HC DW-DX FE/TTOC Logistics Total Workshop</v>
      </c>
      <c r="R425" s="222">
        <f>PL!S$1056</f>
        <v>0</v>
      </c>
      <c r="S425" s="222">
        <f>PL!T$1056</f>
        <v>0</v>
      </c>
      <c r="T425" s="222">
        <f>PL!U$1056</f>
        <v>0</v>
      </c>
      <c r="U425" s="222">
        <f>PL!V$1056</f>
        <v>0</v>
      </c>
      <c r="V425" s="222">
        <f>PL!W$1056</f>
        <v>0</v>
      </c>
      <c r="W425" s="222">
        <f>PL!X$1056</f>
        <v>0</v>
      </c>
      <c r="X425" s="222">
        <f>PL!Y$1056</f>
        <v>0</v>
      </c>
      <c r="Y425" s="222">
        <f>PL!Z$1056</f>
        <v>0</v>
      </c>
      <c r="Z425" s="222">
        <f>PL!AA$1056</f>
        <v>0</v>
      </c>
      <c r="AA425" s="222">
        <f>PL!AB$1056</f>
        <v>0</v>
      </c>
      <c r="AB425" s="222">
        <f>PL!AC$1056</f>
        <v>0</v>
      </c>
    </row>
    <row r="426" spans="1:28">
      <c r="A426" s="598">
        <v>1</v>
      </c>
      <c r="B426" s="598" t="s">
        <v>507</v>
      </c>
      <c r="C426" s="702" t="s">
        <v>954</v>
      </c>
      <c r="D426" s="598" t="s">
        <v>327</v>
      </c>
      <c r="E426" s="598" t="s">
        <v>327</v>
      </c>
      <c r="G426" s="244"/>
      <c r="H426" s="244"/>
      <c r="I426" s="245"/>
      <c r="J426" s="219" t="s">
        <v>60</v>
      </c>
      <c r="K426" s="233" t="s">
        <v>88</v>
      </c>
      <c r="L426" s="232" t="s">
        <v>3</v>
      </c>
      <c r="M426" s="468" t="s">
        <v>4</v>
      </c>
      <c r="N426" s="231" t="s">
        <v>327</v>
      </c>
      <c r="O426" s="219" t="str">
        <f>PL!$P$4</f>
        <v>BIN</v>
      </c>
      <c r="P426" s="219" t="s">
        <v>322</v>
      </c>
      <c r="Q426" s="222" t="str">
        <f>PL!Q$1057</f>
        <v>HC DW-DX Semi-Full-Time/Part-Time Employees /Contractors</v>
      </c>
      <c r="R426" s="222">
        <f>PL!S$1057</f>
        <v>0</v>
      </c>
      <c r="S426" s="222">
        <f>PL!T$1057</f>
        <v>0</v>
      </c>
      <c r="T426" s="222">
        <f>PL!U$1057</f>
        <v>0</v>
      </c>
      <c r="U426" s="222">
        <f>PL!V$1057</f>
        <v>0</v>
      </c>
      <c r="V426" s="222">
        <f>PL!W$1057</f>
        <v>0</v>
      </c>
      <c r="W426" s="222">
        <f>PL!X$1057</f>
        <v>0</v>
      </c>
      <c r="X426" s="222">
        <f>PL!Y$1057</f>
        <v>0</v>
      </c>
      <c r="Y426" s="222">
        <f>PL!Z$1057</f>
        <v>0</v>
      </c>
      <c r="Z426" s="222">
        <f>PL!AA$1057</f>
        <v>0</v>
      </c>
      <c r="AA426" s="222">
        <f>PL!AB$1057</f>
        <v>0</v>
      </c>
      <c r="AB426" s="222">
        <f>PL!AC$1057</f>
        <v>0</v>
      </c>
    </row>
    <row r="427" spans="1:28">
      <c r="A427" s="598">
        <v>1</v>
      </c>
      <c r="C427" s="239"/>
      <c r="G427" s="244"/>
      <c r="H427" s="246"/>
      <c r="I427" s="244"/>
      <c r="J427" s="253"/>
      <c r="K427" s="254"/>
      <c r="L427" s="254"/>
      <c r="M427" s="254"/>
      <c r="N427" s="254"/>
      <c r="O427" s="253"/>
      <c r="P427" s="253"/>
      <c r="Q427" s="253"/>
      <c r="R427" s="253"/>
      <c r="S427" s="253"/>
      <c r="T427" s="253"/>
      <c r="U427" s="253"/>
      <c r="V427" s="253"/>
      <c r="W427" s="253"/>
      <c r="X427" s="253"/>
      <c r="Y427" s="253"/>
      <c r="Z427" s="253"/>
      <c r="AA427" s="253"/>
      <c r="AB427" s="253"/>
    </row>
    <row r="428" spans="1:28" s="726" customFormat="1">
      <c r="A428" s="726">
        <v>1</v>
      </c>
      <c r="C428" s="1406" t="s">
        <v>432</v>
      </c>
      <c r="F428" s="729"/>
      <c r="G428" s="739"/>
      <c r="H428" s="739"/>
      <c r="I428" s="740"/>
      <c r="J428" s="741" t="s">
        <v>60</v>
      </c>
      <c r="K428" s="742" t="s">
        <v>53</v>
      </c>
      <c r="L428" s="743" t="s">
        <v>3</v>
      </c>
      <c r="M428" s="744" t="s">
        <v>4</v>
      </c>
      <c r="N428" s="745" t="s">
        <v>62</v>
      </c>
      <c r="O428" s="741" t="str">
        <f>PL!$P$4</f>
        <v>BIN</v>
      </c>
      <c r="P428" s="741" t="s">
        <v>322</v>
      </c>
      <c r="Q428" s="738"/>
      <c r="R428" s="738"/>
      <c r="S428" s="738"/>
      <c r="T428" s="738"/>
      <c r="U428" s="738"/>
      <c r="V428" s="738"/>
      <c r="W428" s="738"/>
      <c r="X428" s="738"/>
      <c r="Y428" s="738"/>
      <c r="Z428" s="738"/>
      <c r="AA428" s="738"/>
      <c r="AB428" s="738"/>
    </row>
    <row r="429" spans="1:28">
      <c r="A429" s="598">
        <v>1</v>
      </c>
      <c r="B429" s="598" t="s">
        <v>507</v>
      </c>
      <c r="C429" s="702" t="s">
        <v>432</v>
      </c>
      <c r="D429" s="598" t="s">
        <v>62</v>
      </c>
      <c r="E429" s="598" t="s">
        <v>508</v>
      </c>
      <c r="G429" s="244"/>
      <c r="H429" s="244"/>
      <c r="I429" s="245"/>
      <c r="J429" s="219" t="s">
        <v>60</v>
      </c>
      <c r="K429" s="233" t="s">
        <v>53</v>
      </c>
      <c r="L429" s="232" t="s">
        <v>3</v>
      </c>
      <c r="M429" s="468" t="s">
        <v>4</v>
      </c>
      <c r="N429" s="234" t="s">
        <v>63</v>
      </c>
      <c r="O429" s="219" t="str">
        <f>PL!$P$4</f>
        <v>BIN</v>
      </c>
      <c r="P429" s="219" t="s">
        <v>322</v>
      </c>
      <c r="Q429" s="222" t="str">
        <f>PL!Q$942</f>
        <v>HC PP FE/TTOC Sales Total Direct sales rep.</v>
      </c>
      <c r="R429" s="222">
        <f>PL!S$942</f>
        <v>54</v>
      </c>
      <c r="S429" s="222">
        <f>PL!T$942</f>
        <v>53</v>
      </c>
      <c r="T429" s="222">
        <f>PL!U$942</f>
        <v>54</v>
      </c>
      <c r="U429" s="222">
        <f>PL!V$942</f>
        <v>54</v>
      </c>
      <c r="V429" s="222">
        <f>PL!W$942</f>
        <v>55</v>
      </c>
      <c r="W429" s="222">
        <f>PL!X$942</f>
        <v>56</v>
      </c>
      <c r="X429" s="222">
        <f>PL!Y$942</f>
        <v>56</v>
      </c>
      <c r="Y429" s="222">
        <f>PL!Z$942</f>
        <v>56</v>
      </c>
      <c r="Z429" s="222">
        <f>PL!AA$942</f>
        <v>57</v>
      </c>
      <c r="AA429" s="222">
        <f>PL!AB$942</f>
        <v>57</v>
      </c>
      <c r="AB429" s="222">
        <f>PL!AC$942</f>
        <v>54</v>
      </c>
    </row>
    <row r="430" spans="1:28">
      <c r="A430" s="598">
        <v>1</v>
      </c>
      <c r="B430" s="598" t="s">
        <v>507</v>
      </c>
      <c r="C430" s="702" t="s">
        <v>432</v>
      </c>
      <c r="D430" s="598" t="s">
        <v>62</v>
      </c>
      <c r="E430" s="598" t="s">
        <v>508</v>
      </c>
      <c r="G430" s="244"/>
      <c r="H430" s="244"/>
      <c r="I430" s="245"/>
      <c r="J430" s="219" t="s">
        <v>60</v>
      </c>
      <c r="K430" s="233" t="s">
        <v>53</v>
      </c>
      <c r="L430" s="232" t="s">
        <v>3</v>
      </c>
      <c r="M430" s="468" t="s">
        <v>4</v>
      </c>
      <c r="N430" s="234" t="s">
        <v>64</v>
      </c>
      <c r="O430" s="219" t="str">
        <f>PL!$P$4</f>
        <v>BIN</v>
      </c>
      <c r="P430" s="219" t="s">
        <v>322</v>
      </c>
      <c r="Q430" s="222" t="str">
        <f>PL!Q$943</f>
        <v>HC PP FE/TTOC Sales Total Direct sales engineers</v>
      </c>
      <c r="R430" s="222">
        <f>PL!S$943</f>
        <v>0</v>
      </c>
      <c r="S430" s="222">
        <f>PL!T$943</f>
        <v>0</v>
      </c>
      <c r="T430" s="222">
        <f>PL!U$943</f>
        <v>0</v>
      </c>
      <c r="U430" s="222">
        <f>PL!V$943</f>
        <v>0</v>
      </c>
      <c r="V430" s="222">
        <f>PL!W$943</f>
        <v>0</v>
      </c>
      <c r="W430" s="222">
        <f>PL!X$943</f>
        <v>0</v>
      </c>
      <c r="X430" s="222">
        <f>PL!Y$943</f>
        <v>0</v>
      </c>
      <c r="Y430" s="222">
        <f>PL!Z$943</f>
        <v>0</v>
      </c>
      <c r="Z430" s="222">
        <f>PL!AA$943</f>
        <v>0</v>
      </c>
      <c r="AA430" s="222">
        <f>PL!AB$943</f>
        <v>0</v>
      </c>
      <c r="AB430" s="222">
        <f>PL!AC$943</f>
        <v>0</v>
      </c>
    </row>
    <row r="431" spans="1:28">
      <c r="A431" s="598">
        <v>1</v>
      </c>
      <c r="B431" s="598" t="s">
        <v>507</v>
      </c>
      <c r="C431" s="702" t="s">
        <v>432</v>
      </c>
      <c r="D431" s="598" t="s">
        <v>62</v>
      </c>
      <c r="E431" s="598" t="s">
        <v>508</v>
      </c>
      <c r="G431" s="244"/>
      <c r="H431" s="244"/>
      <c r="I431" s="245"/>
      <c r="J431" s="219" t="s">
        <v>60</v>
      </c>
      <c r="K431" s="233" t="s">
        <v>53</v>
      </c>
      <c r="L431" s="232" t="s">
        <v>3</v>
      </c>
      <c r="M431" s="468" t="s">
        <v>4</v>
      </c>
      <c r="N431" s="234" t="s">
        <v>65</v>
      </c>
      <c r="O431" s="219" t="str">
        <f>PL!$P$4</f>
        <v>BIN</v>
      </c>
      <c r="P431" s="219" t="s">
        <v>322</v>
      </c>
      <c r="Q431" s="222" t="str">
        <f>PL!Q$944</f>
        <v>HC PP FE/TTOC Sales Total Dealer(Indirect) sales rep.</v>
      </c>
      <c r="R431" s="222">
        <f>PL!S$944</f>
        <v>0</v>
      </c>
      <c r="S431" s="222">
        <f>PL!T$944</f>
        <v>0</v>
      </c>
      <c r="T431" s="222">
        <f>PL!U$944</f>
        <v>0</v>
      </c>
      <c r="U431" s="222">
        <f>PL!V$944</f>
        <v>0</v>
      </c>
      <c r="V431" s="222">
        <f>PL!W$944</f>
        <v>0</v>
      </c>
      <c r="W431" s="222">
        <f>PL!X$944</f>
        <v>0</v>
      </c>
      <c r="X431" s="222">
        <f>PL!Y$944</f>
        <v>0</v>
      </c>
      <c r="Y431" s="222">
        <f>PL!Z$944</f>
        <v>0</v>
      </c>
      <c r="Z431" s="222">
        <f>PL!AA$944</f>
        <v>0</v>
      </c>
      <c r="AA431" s="222">
        <f>PL!AB$944</f>
        <v>0</v>
      </c>
      <c r="AB431" s="222">
        <f>PL!AC$944</f>
        <v>0</v>
      </c>
    </row>
    <row r="432" spans="1:28">
      <c r="A432" s="598">
        <v>1</v>
      </c>
      <c r="B432" s="598" t="s">
        <v>507</v>
      </c>
      <c r="C432" s="702" t="s">
        <v>432</v>
      </c>
      <c r="D432" s="598" t="s">
        <v>62</v>
      </c>
      <c r="E432" s="598" t="s">
        <v>508</v>
      </c>
      <c r="G432" s="244"/>
      <c r="H432" s="244"/>
      <c r="I432" s="245"/>
      <c r="J432" s="219" t="s">
        <v>60</v>
      </c>
      <c r="K432" s="233" t="s">
        <v>53</v>
      </c>
      <c r="L432" s="232" t="s">
        <v>3</v>
      </c>
      <c r="M432" s="468" t="s">
        <v>4</v>
      </c>
      <c r="N432" s="234" t="s">
        <v>66</v>
      </c>
      <c r="O432" s="219" t="str">
        <f>PL!$P$4</f>
        <v>BIN</v>
      </c>
      <c r="P432" s="219" t="s">
        <v>322</v>
      </c>
      <c r="Q432" s="222" t="str">
        <f>PL!Q$945</f>
        <v>HC PP FE/TTOC Sales Total Administration/Others</v>
      </c>
      <c r="R432" s="222">
        <f>PL!S$945</f>
        <v>13</v>
      </c>
      <c r="S432" s="222">
        <f>PL!T$945</f>
        <v>13</v>
      </c>
      <c r="T432" s="222">
        <f>PL!U$945</f>
        <v>13</v>
      </c>
      <c r="U432" s="222">
        <f>PL!V$945</f>
        <v>13</v>
      </c>
      <c r="V432" s="222">
        <f>PL!W$945</f>
        <v>13</v>
      </c>
      <c r="W432" s="222">
        <f>PL!X$945</f>
        <v>14</v>
      </c>
      <c r="X432" s="222">
        <f>PL!Y$945</f>
        <v>14</v>
      </c>
      <c r="Y432" s="222">
        <f>PL!Z$945</f>
        <v>14</v>
      </c>
      <c r="Z432" s="222">
        <f>PL!AA$945</f>
        <v>14</v>
      </c>
      <c r="AA432" s="222">
        <f>PL!AB$945</f>
        <v>14</v>
      </c>
      <c r="AB432" s="222">
        <f>PL!AC$945</f>
        <v>14</v>
      </c>
    </row>
    <row r="433" spans="1:28" s="682" customFormat="1">
      <c r="A433" s="682">
        <v>1</v>
      </c>
      <c r="C433" s="1407"/>
      <c r="F433" s="684"/>
      <c r="G433" s="697"/>
      <c r="H433" s="697"/>
      <c r="I433" s="698"/>
      <c r="J433" s="699" t="s">
        <v>60</v>
      </c>
      <c r="K433" s="688" t="s">
        <v>53</v>
      </c>
      <c r="L433" s="700" t="s">
        <v>3</v>
      </c>
      <c r="M433" s="701" t="s">
        <v>4</v>
      </c>
      <c r="N433" s="723" t="s">
        <v>86</v>
      </c>
      <c r="O433" s="699" t="str">
        <f>PL!$P$4</f>
        <v>BIN</v>
      </c>
      <c r="P433" s="699" t="s">
        <v>322</v>
      </c>
      <c r="Q433" s="693"/>
      <c r="R433" s="693"/>
      <c r="S433" s="693"/>
      <c r="T433" s="693"/>
      <c r="U433" s="693"/>
      <c r="V433" s="693"/>
      <c r="W433" s="693"/>
      <c r="X433" s="693"/>
      <c r="Y433" s="693"/>
      <c r="Z433" s="693"/>
      <c r="AA433" s="693"/>
      <c r="AB433" s="693"/>
    </row>
    <row r="434" spans="1:28">
      <c r="A434" s="598">
        <v>1</v>
      </c>
      <c r="B434" s="598" t="s">
        <v>507</v>
      </c>
      <c r="C434" s="702" t="s">
        <v>432</v>
      </c>
      <c r="D434" s="598" t="s">
        <v>86</v>
      </c>
      <c r="E434" s="598" t="s">
        <v>508</v>
      </c>
      <c r="G434" s="244"/>
      <c r="H434" s="244"/>
      <c r="I434" s="245"/>
      <c r="J434" s="219" t="s">
        <v>60</v>
      </c>
      <c r="K434" s="233" t="s">
        <v>53</v>
      </c>
      <c r="L434" s="232" t="s">
        <v>3</v>
      </c>
      <c r="M434" s="468" t="s">
        <v>4</v>
      </c>
      <c r="N434" s="234" t="s">
        <v>67</v>
      </c>
      <c r="O434" s="219" t="str">
        <f>PL!$P$4</f>
        <v>BIN</v>
      </c>
      <c r="P434" s="219" t="s">
        <v>322</v>
      </c>
      <c r="Q434" s="222" t="str">
        <f>PL!Q$947</f>
        <v>HC PP FE/TTOC Service Total Onsite Engineer</v>
      </c>
      <c r="R434" s="222">
        <f>PL!S$947</f>
        <v>271</v>
      </c>
      <c r="S434" s="222">
        <f>PL!T$947</f>
        <v>270</v>
      </c>
      <c r="T434" s="222">
        <f>PL!U$947</f>
        <v>273</v>
      </c>
      <c r="U434" s="222">
        <f>PL!V$947</f>
        <v>272</v>
      </c>
      <c r="V434" s="222">
        <f>PL!W$947</f>
        <v>270</v>
      </c>
      <c r="W434" s="222">
        <f>PL!X$947</f>
        <v>273</v>
      </c>
      <c r="X434" s="222">
        <f>PL!Y$947</f>
        <v>274</v>
      </c>
      <c r="Y434" s="222">
        <f>PL!Z$947</f>
        <v>273</v>
      </c>
      <c r="Z434" s="222">
        <f>PL!AA$947</f>
        <v>273</v>
      </c>
      <c r="AA434" s="222">
        <f>PL!AB$947</f>
        <v>272</v>
      </c>
      <c r="AB434" s="222">
        <f>PL!AC$947</f>
        <v>273</v>
      </c>
    </row>
    <row r="435" spans="1:28">
      <c r="A435" s="598">
        <v>1</v>
      </c>
      <c r="B435" s="598" t="s">
        <v>507</v>
      </c>
      <c r="C435" s="598" t="s">
        <v>432</v>
      </c>
      <c r="D435" s="598" t="s">
        <v>86</v>
      </c>
      <c r="E435" s="598" t="s">
        <v>508</v>
      </c>
      <c r="G435" s="244"/>
      <c r="H435" s="244"/>
      <c r="I435" s="245"/>
      <c r="J435" s="219" t="s">
        <v>60</v>
      </c>
      <c r="K435" s="233" t="s">
        <v>53</v>
      </c>
      <c r="L435" s="232" t="s">
        <v>3</v>
      </c>
      <c r="M435" s="468" t="s">
        <v>4</v>
      </c>
      <c r="N435" s="234" t="s">
        <v>68</v>
      </c>
      <c r="O435" s="219" t="str">
        <f>PL!$P$4</f>
        <v>BIN</v>
      </c>
      <c r="P435" s="219" t="s">
        <v>322</v>
      </c>
      <c r="Q435" s="222" t="str">
        <f>PL!Q$948</f>
        <v>HC PP FE/TTOC Service Total Remote Engineer</v>
      </c>
      <c r="R435" s="222">
        <f>PL!S$948</f>
        <v>0</v>
      </c>
      <c r="S435" s="222">
        <f>PL!T$948</f>
        <v>0</v>
      </c>
      <c r="T435" s="222">
        <f>PL!U$948</f>
        <v>0</v>
      </c>
      <c r="U435" s="222">
        <f>PL!V$948</f>
        <v>0</v>
      </c>
      <c r="V435" s="222">
        <f>PL!W$948</f>
        <v>0</v>
      </c>
      <c r="W435" s="222">
        <f>PL!X$948</f>
        <v>0</v>
      </c>
      <c r="X435" s="222">
        <f>PL!Y$948</f>
        <v>0</v>
      </c>
      <c r="Y435" s="222">
        <f>PL!Z$948</f>
        <v>0</v>
      </c>
      <c r="Z435" s="222">
        <f>PL!AA$948</f>
        <v>0</v>
      </c>
      <c r="AA435" s="222">
        <f>PL!AB$948</f>
        <v>0</v>
      </c>
      <c r="AB435" s="222">
        <f>PL!AC$948</f>
        <v>0</v>
      </c>
    </row>
    <row r="436" spans="1:28">
      <c r="A436" s="598">
        <v>1</v>
      </c>
      <c r="B436" s="598" t="s">
        <v>507</v>
      </c>
      <c r="C436" s="598" t="s">
        <v>432</v>
      </c>
      <c r="D436" s="598" t="s">
        <v>86</v>
      </c>
      <c r="E436" s="598" t="s">
        <v>508</v>
      </c>
      <c r="G436" s="244"/>
      <c r="H436" s="244"/>
      <c r="I436" s="245"/>
      <c r="J436" s="219" t="s">
        <v>60</v>
      </c>
      <c r="K436" s="233" t="s">
        <v>53</v>
      </c>
      <c r="L436" s="232" t="s">
        <v>3</v>
      </c>
      <c r="M436" s="468" t="s">
        <v>4</v>
      </c>
      <c r="N436" s="234" t="s">
        <v>69</v>
      </c>
      <c r="O436" s="219" t="str">
        <f>PL!$P$4</f>
        <v>BIN</v>
      </c>
      <c r="P436" s="219" t="s">
        <v>322</v>
      </c>
      <c r="Q436" s="222" t="str">
        <f>PL!Q$949</f>
        <v>HC PP FE/TTOC Service Total Technical support</v>
      </c>
      <c r="R436" s="222">
        <f>PL!S$949</f>
        <v>30</v>
      </c>
      <c r="S436" s="222">
        <f>PL!T$949</f>
        <v>29</v>
      </c>
      <c r="T436" s="222">
        <f>PL!U$949</f>
        <v>30</v>
      </c>
      <c r="U436" s="222">
        <f>PL!V$949</f>
        <v>30</v>
      </c>
      <c r="V436" s="222">
        <f>PL!W$949</f>
        <v>31</v>
      </c>
      <c r="W436" s="222">
        <f>PL!X$949</f>
        <v>31</v>
      </c>
      <c r="X436" s="222">
        <f>PL!Y$949</f>
        <v>31</v>
      </c>
      <c r="Y436" s="222">
        <f>PL!Z$949</f>
        <v>30</v>
      </c>
      <c r="Z436" s="222">
        <f>PL!AA$949</f>
        <v>31</v>
      </c>
      <c r="AA436" s="222">
        <f>PL!AB$949</f>
        <v>31</v>
      </c>
      <c r="AB436" s="222">
        <f>PL!AC$949</f>
        <v>31</v>
      </c>
    </row>
    <row r="437" spans="1:28">
      <c r="A437" s="598">
        <v>1</v>
      </c>
      <c r="B437" s="598" t="s">
        <v>507</v>
      </c>
      <c r="C437" s="598" t="s">
        <v>432</v>
      </c>
      <c r="D437" s="598" t="s">
        <v>86</v>
      </c>
      <c r="E437" s="598" t="s">
        <v>508</v>
      </c>
      <c r="G437" s="244"/>
      <c r="H437" s="244"/>
      <c r="I437" s="245"/>
      <c r="J437" s="219" t="s">
        <v>60</v>
      </c>
      <c r="K437" s="233" t="s">
        <v>53</v>
      </c>
      <c r="L437" s="232" t="s">
        <v>3</v>
      </c>
      <c r="M437" s="468" t="s">
        <v>4</v>
      </c>
      <c r="N437" s="234" t="s">
        <v>70</v>
      </c>
      <c r="O437" s="219" t="str">
        <f>PL!$P$4</f>
        <v>BIN</v>
      </c>
      <c r="P437" s="219" t="s">
        <v>322</v>
      </c>
      <c r="Q437" s="222" t="str">
        <f>PL!Q$950</f>
        <v>HC PP FE/TTOC Service Total Dealer(Indirect) support</v>
      </c>
      <c r="R437" s="222">
        <f>PL!S$950</f>
        <v>0</v>
      </c>
      <c r="S437" s="222">
        <f>PL!T$950</f>
        <v>0</v>
      </c>
      <c r="T437" s="222">
        <f>PL!U$950</f>
        <v>0</v>
      </c>
      <c r="U437" s="222">
        <f>PL!V$950</f>
        <v>0</v>
      </c>
      <c r="V437" s="222">
        <f>PL!W$950</f>
        <v>0</v>
      </c>
      <c r="W437" s="222">
        <f>PL!X$950</f>
        <v>0</v>
      </c>
      <c r="X437" s="222">
        <f>PL!Y$950</f>
        <v>0</v>
      </c>
      <c r="Y437" s="222">
        <f>PL!Z$950</f>
        <v>0</v>
      </c>
      <c r="Z437" s="222">
        <f>PL!AA$950</f>
        <v>0</v>
      </c>
      <c r="AA437" s="222">
        <f>PL!AB$950</f>
        <v>0</v>
      </c>
      <c r="AB437" s="222">
        <f>PL!AC$950</f>
        <v>0</v>
      </c>
    </row>
    <row r="438" spans="1:28">
      <c r="A438" s="598">
        <v>1</v>
      </c>
      <c r="B438" s="598" t="s">
        <v>507</v>
      </c>
      <c r="C438" s="598" t="s">
        <v>432</v>
      </c>
      <c r="D438" s="598" t="s">
        <v>86</v>
      </c>
      <c r="E438" s="598" t="s">
        <v>508</v>
      </c>
      <c r="G438" s="244"/>
      <c r="H438" s="244"/>
      <c r="I438" s="245"/>
      <c r="J438" s="219" t="s">
        <v>60</v>
      </c>
      <c r="K438" s="233" t="s">
        <v>53</v>
      </c>
      <c r="L438" s="232" t="s">
        <v>3</v>
      </c>
      <c r="M438" s="468" t="s">
        <v>4</v>
      </c>
      <c r="N438" s="234" t="s">
        <v>71</v>
      </c>
      <c r="O438" s="219" t="str">
        <f>PL!$P$4</f>
        <v>BIN</v>
      </c>
      <c r="P438" s="219" t="s">
        <v>322</v>
      </c>
      <c r="Q438" s="222" t="str">
        <f>PL!Q$951</f>
        <v>HC PP FE/TTOC Service Total Administration/Others</v>
      </c>
      <c r="R438" s="222">
        <f>PL!S$951</f>
        <v>13</v>
      </c>
      <c r="S438" s="222">
        <f>PL!T$951</f>
        <v>12</v>
      </c>
      <c r="T438" s="222">
        <f>PL!U$951</f>
        <v>12</v>
      </c>
      <c r="U438" s="222">
        <f>PL!V$951</f>
        <v>12</v>
      </c>
      <c r="V438" s="222">
        <f>PL!W$951</f>
        <v>11</v>
      </c>
      <c r="W438" s="222">
        <f>PL!X$951</f>
        <v>11</v>
      </c>
      <c r="X438" s="222">
        <f>PL!Y$951</f>
        <v>12</v>
      </c>
      <c r="Y438" s="222">
        <f>PL!Z$951</f>
        <v>12</v>
      </c>
      <c r="Z438" s="222">
        <f>PL!AA$951</f>
        <v>12</v>
      </c>
      <c r="AA438" s="222">
        <f>PL!AB$951</f>
        <v>13</v>
      </c>
      <c r="AB438" s="222">
        <f>PL!AC$951</f>
        <v>13</v>
      </c>
    </row>
    <row r="439" spans="1:28" s="682" customFormat="1">
      <c r="A439" s="682">
        <v>1</v>
      </c>
      <c r="F439" s="684"/>
      <c r="G439" s="697"/>
      <c r="H439" s="697"/>
      <c r="I439" s="698"/>
      <c r="J439" s="699" t="s">
        <v>60</v>
      </c>
      <c r="K439" s="688" t="s">
        <v>53</v>
      </c>
      <c r="L439" s="700" t="s">
        <v>3</v>
      </c>
      <c r="M439" s="701" t="s">
        <v>4</v>
      </c>
      <c r="N439" s="723" t="s">
        <v>72</v>
      </c>
      <c r="O439" s="699" t="str">
        <f>PL!$P$4</f>
        <v>BIN</v>
      </c>
      <c r="P439" s="699" t="s">
        <v>322</v>
      </c>
      <c r="Q439" s="693"/>
      <c r="R439" s="693"/>
      <c r="S439" s="693"/>
      <c r="T439" s="693"/>
      <c r="U439" s="693"/>
      <c r="V439" s="693"/>
      <c r="W439" s="693"/>
      <c r="X439" s="693"/>
      <c r="Y439" s="693"/>
      <c r="Z439" s="693"/>
      <c r="AA439" s="693"/>
      <c r="AB439" s="693"/>
    </row>
    <row r="440" spans="1:28">
      <c r="A440" s="598">
        <v>1</v>
      </c>
      <c r="B440" s="598" t="s">
        <v>507</v>
      </c>
      <c r="C440" s="598" t="s">
        <v>432</v>
      </c>
      <c r="D440" s="598" t="s">
        <v>72</v>
      </c>
      <c r="E440" s="598" t="s">
        <v>508</v>
      </c>
      <c r="G440" s="244"/>
      <c r="H440" s="244"/>
      <c r="I440" s="245"/>
      <c r="J440" s="219" t="s">
        <v>60</v>
      </c>
      <c r="K440" s="233" t="s">
        <v>53</v>
      </c>
      <c r="L440" s="232" t="s">
        <v>3</v>
      </c>
      <c r="M440" s="468" t="s">
        <v>4</v>
      </c>
      <c r="N440" s="234" t="s">
        <v>323</v>
      </c>
      <c r="O440" s="219" t="str">
        <f>PL!$P$4</f>
        <v>BIN</v>
      </c>
      <c r="P440" s="219" t="s">
        <v>322</v>
      </c>
      <c r="Q440" s="222" t="str">
        <f>PL!Q$953</f>
        <v>HC PP FE/TTOC Marketing Total Business Development</v>
      </c>
      <c r="R440" s="222">
        <f>PL!S$953</f>
        <v>6</v>
      </c>
      <c r="S440" s="222">
        <f>PL!T$953</f>
        <v>6</v>
      </c>
      <c r="T440" s="222">
        <f>PL!U$953</f>
        <v>6</v>
      </c>
      <c r="U440" s="222">
        <f>PL!V$953</f>
        <v>6</v>
      </c>
      <c r="V440" s="222">
        <f>PL!W$953</f>
        <v>6</v>
      </c>
      <c r="W440" s="222">
        <f>PL!X$953</f>
        <v>6</v>
      </c>
      <c r="X440" s="222">
        <f>PL!Y$953</f>
        <v>6</v>
      </c>
      <c r="Y440" s="222">
        <f>PL!Z$953</f>
        <v>6</v>
      </c>
      <c r="Z440" s="222">
        <f>PL!AA$953</f>
        <v>6</v>
      </c>
      <c r="AA440" s="222">
        <f>PL!AB$953</f>
        <v>6</v>
      </c>
      <c r="AB440" s="222">
        <f>PL!AC$953</f>
        <v>6</v>
      </c>
    </row>
    <row r="441" spans="1:28">
      <c r="A441" s="598">
        <v>1</v>
      </c>
      <c r="B441" s="598" t="s">
        <v>507</v>
      </c>
      <c r="C441" s="598" t="s">
        <v>432</v>
      </c>
      <c r="D441" s="598" t="s">
        <v>72</v>
      </c>
      <c r="E441" s="598" t="s">
        <v>508</v>
      </c>
      <c r="G441" s="244"/>
      <c r="H441" s="244"/>
      <c r="I441" s="245"/>
      <c r="J441" s="219" t="s">
        <v>60</v>
      </c>
      <c r="K441" s="233" t="s">
        <v>53</v>
      </c>
      <c r="L441" s="232" t="s">
        <v>3</v>
      </c>
      <c r="M441" s="468" t="s">
        <v>4</v>
      </c>
      <c r="N441" s="234" t="s">
        <v>324</v>
      </c>
      <c r="O441" s="219" t="str">
        <f>PL!$P$4</f>
        <v>BIN</v>
      </c>
      <c r="P441" s="219" t="s">
        <v>322</v>
      </c>
      <c r="Q441" s="222" t="str">
        <f>PL!Q$954</f>
        <v>HC PP FE/TTOC Marketing Total Channel Marketing</v>
      </c>
      <c r="R441" s="222">
        <f>PL!S$954</f>
        <v>0</v>
      </c>
      <c r="S441" s="222">
        <f>PL!T$954</f>
        <v>0</v>
      </c>
      <c r="T441" s="222">
        <f>PL!U$954</f>
        <v>0</v>
      </c>
      <c r="U441" s="222">
        <f>PL!V$954</f>
        <v>0</v>
      </c>
      <c r="V441" s="222">
        <f>PL!W$954</f>
        <v>0</v>
      </c>
      <c r="W441" s="222">
        <f>PL!X$954</f>
        <v>0</v>
      </c>
      <c r="X441" s="222">
        <f>PL!Y$954</f>
        <v>0</v>
      </c>
      <c r="Y441" s="222">
        <f>PL!Z$954</f>
        <v>0</v>
      </c>
      <c r="Z441" s="222">
        <f>PL!AA$954</f>
        <v>0</v>
      </c>
      <c r="AA441" s="222">
        <f>PL!AB$954</f>
        <v>0</v>
      </c>
      <c r="AB441" s="222">
        <f>PL!AC$954</f>
        <v>0</v>
      </c>
    </row>
    <row r="442" spans="1:28">
      <c r="A442" s="598">
        <v>1</v>
      </c>
      <c r="B442" s="598" t="s">
        <v>507</v>
      </c>
      <c r="C442" s="598" t="s">
        <v>432</v>
      </c>
      <c r="D442" s="598" t="s">
        <v>72</v>
      </c>
      <c r="E442" s="598" t="s">
        <v>508</v>
      </c>
      <c r="G442" s="244"/>
      <c r="H442" s="244"/>
      <c r="I442" s="245"/>
      <c r="J442" s="219" t="s">
        <v>60</v>
      </c>
      <c r="K442" s="233" t="s">
        <v>53</v>
      </c>
      <c r="L442" s="232" t="s">
        <v>3</v>
      </c>
      <c r="M442" s="468" t="s">
        <v>4</v>
      </c>
      <c r="N442" s="234" t="s">
        <v>325</v>
      </c>
      <c r="O442" s="219" t="str">
        <f>PL!$P$4</f>
        <v>BIN</v>
      </c>
      <c r="P442" s="219" t="s">
        <v>322</v>
      </c>
      <c r="Q442" s="222" t="str">
        <f>PL!Q$955</f>
        <v>HC PP FE/TTOC Marketing Total Product Marketing</v>
      </c>
      <c r="R442" s="222">
        <f>PL!S$955</f>
        <v>1</v>
      </c>
      <c r="S442" s="222">
        <f>PL!T$955</f>
        <v>1</v>
      </c>
      <c r="T442" s="222">
        <f>PL!U$955</f>
        <v>1</v>
      </c>
      <c r="U442" s="222">
        <f>PL!V$955</f>
        <v>1</v>
      </c>
      <c r="V442" s="222">
        <f>PL!W$955</f>
        <v>1</v>
      </c>
      <c r="W442" s="222">
        <f>PL!X$955</f>
        <v>1</v>
      </c>
      <c r="X442" s="222">
        <f>PL!Y$955</f>
        <v>1</v>
      </c>
      <c r="Y442" s="222">
        <f>PL!Z$955</f>
        <v>1</v>
      </c>
      <c r="Z442" s="222">
        <f>PL!AA$955</f>
        <v>1</v>
      </c>
      <c r="AA442" s="222">
        <f>PL!AB$955</f>
        <v>1</v>
      </c>
      <c r="AB442" s="222">
        <f>PL!AC$955</f>
        <v>1</v>
      </c>
    </row>
    <row r="443" spans="1:28">
      <c r="A443" s="598">
        <v>1</v>
      </c>
      <c r="B443" s="598" t="s">
        <v>507</v>
      </c>
      <c r="C443" s="598" t="s">
        <v>432</v>
      </c>
      <c r="D443" s="598" t="s">
        <v>72</v>
      </c>
      <c r="E443" s="598" t="s">
        <v>508</v>
      </c>
      <c r="G443" s="244"/>
      <c r="H443" s="244"/>
      <c r="I443" s="245"/>
      <c r="J443" s="219" t="s">
        <v>60</v>
      </c>
      <c r="K443" s="233" t="s">
        <v>53</v>
      </c>
      <c r="L443" s="232" t="s">
        <v>3</v>
      </c>
      <c r="M443" s="468" t="s">
        <v>4</v>
      </c>
      <c r="N443" s="234" t="s">
        <v>326</v>
      </c>
      <c r="O443" s="219" t="str">
        <f>PL!$P$4</f>
        <v>BIN</v>
      </c>
      <c r="P443" s="219" t="s">
        <v>322</v>
      </c>
      <c r="Q443" s="222" t="str">
        <f>PL!Q$956</f>
        <v>HC PP FE/TTOC Marketing Total MC / O</v>
      </c>
      <c r="R443" s="222">
        <f>PL!S$956</f>
        <v>2</v>
      </c>
      <c r="S443" s="222">
        <f>PL!T$956</f>
        <v>2</v>
      </c>
      <c r="T443" s="222">
        <f>PL!U$956</f>
        <v>2</v>
      </c>
      <c r="U443" s="222">
        <f>PL!V$956</f>
        <v>2</v>
      </c>
      <c r="V443" s="222">
        <f>PL!W$956</f>
        <v>2</v>
      </c>
      <c r="W443" s="222">
        <f>PL!X$956</f>
        <v>2</v>
      </c>
      <c r="X443" s="222">
        <f>PL!Y$956</f>
        <v>2</v>
      </c>
      <c r="Y443" s="222">
        <f>PL!Z$956</f>
        <v>2</v>
      </c>
      <c r="Z443" s="222">
        <f>PL!AA$956</f>
        <v>2</v>
      </c>
      <c r="AA443" s="222">
        <f>PL!AB$956</f>
        <v>2</v>
      </c>
      <c r="AB443" s="222">
        <f>PL!AC$956</f>
        <v>2</v>
      </c>
    </row>
    <row r="444" spans="1:28" s="682" customFormat="1">
      <c r="A444" s="682">
        <v>1</v>
      </c>
      <c r="F444" s="684"/>
      <c r="G444" s="697"/>
      <c r="H444" s="697"/>
      <c r="I444" s="698"/>
      <c r="J444" s="699" t="s">
        <v>60</v>
      </c>
      <c r="K444" s="688" t="s">
        <v>53</v>
      </c>
      <c r="L444" s="700" t="s">
        <v>3</v>
      </c>
      <c r="M444" s="701" t="s">
        <v>4</v>
      </c>
      <c r="N444" s="723" t="s">
        <v>73</v>
      </c>
      <c r="O444" s="699" t="str">
        <f>PL!$P$4</f>
        <v>BIN</v>
      </c>
      <c r="P444" s="699" t="s">
        <v>322</v>
      </c>
      <c r="Q444" s="693"/>
      <c r="R444" s="693"/>
      <c r="S444" s="693"/>
      <c r="T444" s="693"/>
      <c r="U444" s="693"/>
      <c r="V444" s="693"/>
      <c r="W444" s="693"/>
      <c r="X444" s="693"/>
      <c r="Y444" s="693"/>
      <c r="Z444" s="693"/>
      <c r="AA444" s="693"/>
      <c r="AB444" s="693"/>
    </row>
    <row r="445" spans="1:28">
      <c r="A445" s="598">
        <v>1</v>
      </c>
      <c r="B445" s="598" t="s">
        <v>507</v>
      </c>
      <c r="C445" s="598" t="s">
        <v>432</v>
      </c>
      <c r="D445" s="598" t="s">
        <v>73</v>
      </c>
      <c r="E445" s="598" t="s">
        <v>508</v>
      </c>
      <c r="G445" s="244"/>
      <c r="H445" s="244"/>
      <c r="I445" s="245"/>
      <c r="J445" s="219" t="s">
        <v>60</v>
      </c>
      <c r="K445" s="233" t="s">
        <v>53</v>
      </c>
      <c r="L445" s="232" t="s">
        <v>3</v>
      </c>
      <c r="M445" s="468" t="s">
        <v>4</v>
      </c>
      <c r="N445" s="234" t="s">
        <v>74</v>
      </c>
      <c r="O445" s="219" t="str">
        <f>PL!$P$4</f>
        <v>BIN</v>
      </c>
      <c r="P445" s="219" t="s">
        <v>322</v>
      </c>
      <c r="Q445" s="222" t="str">
        <f>PL!Q$958</f>
        <v>HC PP FE/TTOC Administration Total IT</v>
      </c>
      <c r="R445" s="222">
        <f>PL!S$958</f>
        <v>5</v>
      </c>
      <c r="S445" s="222">
        <f>PL!T$958</f>
        <v>5</v>
      </c>
      <c r="T445" s="222">
        <f>PL!U$958</f>
        <v>5</v>
      </c>
      <c r="U445" s="222">
        <f>PL!V$958</f>
        <v>5</v>
      </c>
      <c r="V445" s="222">
        <f>PL!W$958</f>
        <v>5</v>
      </c>
      <c r="W445" s="222">
        <f>PL!X$958</f>
        <v>5</v>
      </c>
      <c r="X445" s="222">
        <f>PL!Y$958</f>
        <v>5</v>
      </c>
      <c r="Y445" s="222">
        <f>PL!Z$958</f>
        <v>6</v>
      </c>
      <c r="Z445" s="222">
        <f>PL!AA$958</f>
        <v>6</v>
      </c>
      <c r="AA445" s="222">
        <f>PL!AB$958</f>
        <v>6</v>
      </c>
      <c r="AB445" s="222">
        <f>PL!AC$958</f>
        <v>6</v>
      </c>
    </row>
    <row r="446" spans="1:28">
      <c r="A446" s="598">
        <v>1</v>
      </c>
      <c r="B446" s="598" t="s">
        <v>507</v>
      </c>
      <c r="C446" s="598" t="s">
        <v>432</v>
      </c>
      <c r="D446" s="598" t="s">
        <v>73</v>
      </c>
      <c r="E446" s="598" t="s">
        <v>508</v>
      </c>
      <c r="G446" s="244"/>
      <c r="H446" s="244"/>
      <c r="I446" s="245"/>
      <c r="J446" s="219" t="s">
        <v>60</v>
      </c>
      <c r="K446" s="233" t="s">
        <v>53</v>
      </c>
      <c r="L446" s="232" t="s">
        <v>3</v>
      </c>
      <c r="M446" s="468" t="s">
        <v>4</v>
      </c>
      <c r="N446" s="234" t="s">
        <v>75</v>
      </c>
      <c r="O446" s="219" t="str">
        <f>PL!$P$4</f>
        <v>BIN</v>
      </c>
      <c r="P446" s="219" t="s">
        <v>322</v>
      </c>
      <c r="Q446" s="222" t="str">
        <f>PL!Q$959</f>
        <v>HC PP FE/TTOC Administration Total Finance</v>
      </c>
      <c r="R446" s="222">
        <f>PL!S$959</f>
        <v>28</v>
      </c>
      <c r="S446" s="222">
        <f>PL!T$959</f>
        <v>28</v>
      </c>
      <c r="T446" s="222">
        <f>PL!U$959</f>
        <v>28</v>
      </c>
      <c r="U446" s="222">
        <f>PL!V$959</f>
        <v>28</v>
      </c>
      <c r="V446" s="222">
        <f>PL!W$959</f>
        <v>29</v>
      </c>
      <c r="W446" s="222">
        <f>PL!X$959</f>
        <v>29</v>
      </c>
      <c r="X446" s="222">
        <f>PL!Y$959</f>
        <v>28</v>
      </c>
      <c r="Y446" s="222">
        <f>PL!Z$959</f>
        <v>27</v>
      </c>
      <c r="Z446" s="222">
        <f>PL!AA$959</f>
        <v>27</v>
      </c>
      <c r="AA446" s="222">
        <f>PL!AB$959</f>
        <v>27</v>
      </c>
      <c r="AB446" s="222">
        <f>PL!AC$959</f>
        <v>27</v>
      </c>
    </row>
    <row r="447" spans="1:28">
      <c r="A447" s="598">
        <v>1</v>
      </c>
      <c r="B447" s="598" t="s">
        <v>507</v>
      </c>
      <c r="C447" s="598" t="s">
        <v>432</v>
      </c>
      <c r="D447" s="598" t="s">
        <v>73</v>
      </c>
      <c r="E447" s="598" t="s">
        <v>508</v>
      </c>
      <c r="G447" s="244"/>
      <c r="H447" s="244"/>
      <c r="I447" s="245"/>
      <c r="J447" s="219" t="s">
        <v>60</v>
      </c>
      <c r="K447" s="233" t="s">
        <v>53</v>
      </c>
      <c r="L447" s="232" t="s">
        <v>3</v>
      </c>
      <c r="M447" s="468" t="s">
        <v>4</v>
      </c>
      <c r="N447" s="234" t="s">
        <v>76</v>
      </c>
      <c r="O447" s="219" t="str">
        <f>PL!$P$4</f>
        <v>BIN</v>
      </c>
      <c r="P447" s="219" t="s">
        <v>322</v>
      </c>
      <c r="Q447" s="222" t="str">
        <f>PL!Q$960</f>
        <v>HC PP FE/TTOC Administration Total HR</v>
      </c>
      <c r="R447" s="222">
        <f>PL!S$960</f>
        <v>4</v>
      </c>
      <c r="S447" s="222">
        <f>PL!T$960</f>
        <v>4</v>
      </c>
      <c r="T447" s="222">
        <f>PL!U$960</f>
        <v>4</v>
      </c>
      <c r="U447" s="222">
        <f>PL!V$960</f>
        <v>4</v>
      </c>
      <c r="V447" s="222">
        <f>PL!W$960</f>
        <v>4</v>
      </c>
      <c r="W447" s="222">
        <f>PL!X$960</f>
        <v>4</v>
      </c>
      <c r="X447" s="222">
        <f>PL!Y$960</f>
        <v>4</v>
      </c>
      <c r="Y447" s="222">
        <f>PL!Z$960</f>
        <v>4</v>
      </c>
      <c r="Z447" s="222">
        <f>PL!AA$960</f>
        <v>4</v>
      </c>
      <c r="AA447" s="222">
        <f>PL!AB$960</f>
        <v>4</v>
      </c>
      <c r="AB447" s="222">
        <f>PL!AC$960</f>
        <v>3</v>
      </c>
    </row>
    <row r="448" spans="1:28">
      <c r="A448" s="598">
        <v>1</v>
      </c>
      <c r="B448" s="598" t="s">
        <v>507</v>
      </c>
      <c r="C448" s="598" t="s">
        <v>432</v>
      </c>
      <c r="D448" s="598" t="s">
        <v>73</v>
      </c>
      <c r="E448" s="598" t="s">
        <v>508</v>
      </c>
      <c r="G448" s="244"/>
      <c r="H448" s="244"/>
      <c r="I448" s="245"/>
      <c r="J448" s="219" t="s">
        <v>60</v>
      </c>
      <c r="K448" s="233" t="s">
        <v>53</v>
      </c>
      <c r="L448" s="232" t="s">
        <v>3</v>
      </c>
      <c r="M448" s="468" t="s">
        <v>4</v>
      </c>
      <c r="N448" s="234" t="s">
        <v>77</v>
      </c>
      <c r="O448" s="219" t="str">
        <f>PL!$P$4</f>
        <v>BIN</v>
      </c>
      <c r="P448" s="219" t="s">
        <v>322</v>
      </c>
      <c r="Q448" s="222" t="str">
        <f>PL!Q$961</f>
        <v>HC PP FE/TTOC Administration Total Training</v>
      </c>
      <c r="R448" s="222">
        <f>PL!S$961</f>
        <v>0</v>
      </c>
      <c r="S448" s="222">
        <f>PL!T$961</f>
        <v>0</v>
      </c>
      <c r="T448" s="222">
        <f>PL!U$961</f>
        <v>0</v>
      </c>
      <c r="U448" s="222">
        <f>PL!V$961</f>
        <v>0</v>
      </c>
      <c r="V448" s="222">
        <f>PL!W$961</f>
        <v>0</v>
      </c>
      <c r="W448" s="222">
        <f>PL!X$961</f>
        <v>0</v>
      </c>
      <c r="X448" s="222">
        <f>PL!Y$961</f>
        <v>0</v>
      </c>
      <c r="Y448" s="222">
        <f>PL!Z$961</f>
        <v>0</v>
      </c>
      <c r="Z448" s="222">
        <f>PL!AA$961</f>
        <v>0</v>
      </c>
      <c r="AA448" s="222">
        <f>PL!AB$961</f>
        <v>0</v>
      </c>
      <c r="AB448" s="222">
        <f>PL!AC$961</f>
        <v>0</v>
      </c>
    </row>
    <row r="449" spans="1:28">
      <c r="A449" s="598">
        <v>1</v>
      </c>
      <c r="B449" s="598" t="s">
        <v>507</v>
      </c>
      <c r="C449" s="598" t="s">
        <v>432</v>
      </c>
      <c r="D449" s="598" t="s">
        <v>73</v>
      </c>
      <c r="E449" s="598" t="s">
        <v>508</v>
      </c>
      <c r="G449" s="244"/>
      <c r="H449" s="244"/>
      <c r="I449" s="245"/>
      <c r="J449" s="219" t="s">
        <v>60</v>
      </c>
      <c r="K449" s="233" t="s">
        <v>53</v>
      </c>
      <c r="L449" s="232" t="s">
        <v>3</v>
      </c>
      <c r="M449" s="468" t="s">
        <v>4</v>
      </c>
      <c r="N449" s="234" t="s">
        <v>78</v>
      </c>
      <c r="O449" s="219" t="str">
        <f>PL!$P$4</f>
        <v>BIN</v>
      </c>
      <c r="P449" s="219" t="s">
        <v>322</v>
      </c>
      <c r="Q449" s="222" t="str">
        <f>PL!Q$962</f>
        <v>HC PP FE/TTOC Administration Total Others</v>
      </c>
      <c r="R449" s="222">
        <f>PL!S$962</f>
        <v>10</v>
      </c>
      <c r="S449" s="222">
        <f>PL!T$962</f>
        <v>10</v>
      </c>
      <c r="T449" s="222">
        <f>PL!U$962</f>
        <v>10</v>
      </c>
      <c r="U449" s="222">
        <f>PL!V$962</f>
        <v>10</v>
      </c>
      <c r="V449" s="222">
        <f>PL!W$962</f>
        <v>10</v>
      </c>
      <c r="W449" s="222">
        <f>PL!X$962</f>
        <v>9</v>
      </c>
      <c r="X449" s="222">
        <f>PL!Y$962</f>
        <v>9</v>
      </c>
      <c r="Y449" s="222">
        <f>PL!Z$962</f>
        <v>9</v>
      </c>
      <c r="Z449" s="222">
        <f>PL!AA$962</f>
        <v>11</v>
      </c>
      <c r="AA449" s="222">
        <f>PL!AB$962</f>
        <v>11</v>
      </c>
      <c r="AB449" s="222">
        <f>PL!AC$962</f>
        <v>12</v>
      </c>
    </row>
    <row r="450" spans="1:28" s="682" customFormat="1">
      <c r="A450" s="682">
        <v>1</v>
      </c>
      <c r="F450" s="684"/>
      <c r="G450" s="697"/>
      <c r="H450" s="697"/>
      <c r="I450" s="698"/>
      <c r="J450" s="699" t="s">
        <v>60</v>
      </c>
      <c r="K450" s="688" t="s">
        <v>53</v>
      </c>
      <c r="L450" s="700" t="s">
        <v>3</v>
      </c>
      <c r="M450" s="701" t="s">
        <v>4</v>
      </c>
      <c r="N450" s="723" t="s">
        <v>87</v>
      </c>
      <c r="O450" s="699" t="str">
        <f>PL!$P$4</f>
        <v>BIN</v>
      </c>
      <c r="P450" s="699" t="s">
        <v>322</v>
      </c>
      <c r="Q450" s="693"/>
      <c r="R450" s="693"/>
      <c r="S450" s="693"/>
      <c r="T450" s="693"/>
      <c r="U450" s="693"/>
      <c r="V450" s="693"/>
      <c r="W450" s="693"/>
      <c r="X450" s="693"/>
      <c r="Y450" s="693"/>
      <c r="Z450" s="693"/>
      <c r="AA450" s="693"/>
      <c r="AB450" s="693"/>
    </row>
    <row r="451" spans="1:28">
      <c r="A451" s="598">
        <v>1</v>
      </c>
      <c r="B451" s="598" t="s">
        <v>507</v>
      </c>
      <c r="C451" s="598" t="s">
        <v>432</v>
      </c>
      <c r="D451" s="598" t="s">
        <v>87</v>
      </c>
      <c r="E451" s="598" t="s">
        <v>508</v>
      </c>
      <c r="G451" s="244"/>
      <c r="H451" s="244"/>
      <c r="I451" s="245"/>
      <c r="J451" s="219" t="s">
        <v>60</v>
      </c>
      <c r="K451" s="233" t="s">
        <v>53</v>
      </c>
      <c r="L451" s="232" t="s">
        <v>3</v>
      </c>
      <c r="M451" s="468" t="s">
        <v>4</v>
      </c>
      <c r="N451" s="234" t="s">
        <v>79</v>
      </c>
      <c r="O451" s="219" t="str">
        <f>PL!$P$4</f>
        <v>BIN</v>
      </c>
      <c r="P451" s="219" t="s">
        <v>322</v>
      </c>
      <c r="Q451" s="222" t="str">
        <f>PL!Q$964</f>
        <v>HC PP FE/TTOC Logistics Total Administration</v>
      </c>
      <c r="R451" s="222">
        <f>PL!S$964</f>
        <v>8</v>
      </c>
      <c r="S451" s="222">
        <f>PL!T$964</f>
        <v>8</v>
      </c>
      <c r="T451" s="222">
        <f>PL!U$964</f>
        <v>8</v>
      </c>
      <c r="U451" s="222">
        <f>PL!V$964</f>
        <v>8</v>
      </c>
      <c r="V451" s="222">
        <f>PL!W$964</f>
        <v>8</v>
      </c>
      <c r="W451" s="222">
        <f>PL!X$964</f>
        <v>8</v>
      </c>
      <c r="X451" s="222">
        <f>PL!Y$964</f>
        <v>7</v>
      </c>
      <c r="Y451" s="222">
        <f>PL!Z$964</f>
        <v>7</v>
      </c>
      <c r="Z451" s="222">
        <f>PL!AA$964</f>
        <v>7</v>
      </c>
      <c r="AA451" s="222">
        <f>PL!AB$964</f>
        <v>7</v>
      </c>
      <c r="AB451" s="222">
        <f>PL!AC$964</f>
        <v>7</v>
      </c>
    </row>
    <row r="452" spans="1:28">
      <c r="A452" s="598">
        <v>1</v>
      </c>
      <c r="B452" s="598" t="s">
        <v>507</v>
      </c>
      <c r="C452" s="598" t="s">
        <v>432</v>
      </c>
      <c r="D452" s="598" t="s">
        <v>87</v>
      </c>
      <c r="E452" s="598" t="s">
        <v>508</v>
      </c>
      <c r="G452" s="244"/>
      <c r="H452" s="244"/>
      <c r="I452" s="245"/>
      <c r="J452" s="219" t="s">
        <v>60</v>
      </c>
      <c r="K452" s="233" t="s">
        <v>53</v>
      </c>
      <c r="L452" s="232" t="s">
        <v>3</v>
      </c>
      <c r="M452" s="468" t="s">
        <v>4</v>
      </c>
      <c r="N452" s="234" t="s">
        <v>80</v>
      </c>
      <c r="O452" s="219" t="str">
        <f>PL!$P$4</f>
        <v>BIN</v>
      </c>
      <c r="P452" s="219" t="s">
        <v>322</v>
      </c>
      <c r="Q452" s="222" t="str">
        <f>PL!Q$965</f>
        <v>HC PP FE/TTOC Logistics Total Warehouse</v>
      </c>
      <c r="R452" s="222">
        <f>PL!S$965</f>
        <v>12</v>
      </c>
      <c r="S452" s="222">
        <f>PL!T$965</f>
        <v>13</v>
      </c>
      <c r="T452" s="222">
        <f>PL!U$965</f>
        <v>14</v>
      </c>
      <c r="U452" s="222">
        <f>PL!V$965</f>
        <v>14</v>
      </c>
      <c r="V452" s="222">
        <f>PL!W$965</f>
        <v>14</v>
      </c>
      <c r="W452" s="222">
        <f>PL!X$965</f>
        <v>14</v>
      </c>
      <c r="X452" s="222">
        <f>PL!Y$965</f>
        <v>16</v>
      </c>
      <c r="Y452" s="222">
        <f>PL!Z$965</f>
        <v>16</v>
      </c>
      <c r="Z452" s="222">
        <f>PL!AA$965</f>
        <v>16</v>
      </c>
      <c r="AA452" s="222">
        <f>PL!AB$965</f>
        <v>16</v>
      </c>
      <c r="AB452" s="222">
        <f>PL!AC$965</f>
        <v>16</v>
      </c>
    </row>
    <row r="453" spans="1:28">
      <c r="A453" s="598">
        <v>1</v>
      </c>
      <c r="B453" s="598" t="s">
        <v>507</v>
      </c>
      <c r="C453" s="598" t="s">
        <v>432</v>
      </c>
      <c r="D453" s="598" t="s">
        <v>87</v>
      </c>
      <c r="E453" s="598" t="s">
        <v>508</v>
      </c>
      <c r="G453" s="244"/>
      <c r="H453" s="244"/>
      <c r="I453" s="245"/>
      <c r="J453" s="219" t="s">
        <v>60</v>
      </c>
      <c r="K453" s="233" t="s">
        <v>53</v>
      </c>
      <c r="L453" s="232" t="s">
        <v>3</v>
      </c>
      <c r="M453" s="468" t="s">
        <v>4</v>
      </c>
      <c r="N453" s="234" t="s">
        <v>81</v>
      </c>
      <c r="O453" s="219" t="str">
        <f>PL!$P$4</f>
        <v>BIN</v>
      </c>
      <c r="P453" s="219" t="s">
        <v>322</v>
      </c>
      <c r="Q453" s="222" t="str">
        <f>PL!Q$966</f>
        <v>HC PP FE/TTOC Logistics Total Workshop</v>
      </c>
      <c r="R453" s="222">
        <f>PL!S$966</f>
        <v>0</v>
      </c>
      <c r="S453" s="222">
        <f>PL!T$966</f>
        <v>0</v>
      </c>
      <c r="T453" s="222">
        <f>PL!U$966</f>
        <v>0</v>
      </c>
      <c r="U453" s="222">
        <f>PL!V$966</f>
        <v>0</v>
      </c>
      <c r="V453" s="222">
        <f>PL!W$966</f>
        <v>0</v>
      </c>
      <c r="W453" s="222">
        <f>PL!X$966</f>
        <v>0</v>
      </c>
      <c r="X453" s="222">
        <f>PL!Y$966</f>
        <v>0</v>
      </c>
      <c r="Y453" s="222">
        <f>PL!Z$966</f>
        <v>0</v>
      </c>
      <c r="Z453" s="222">
        <f>PL!AA$966</f>
        <v>0</v>
      </c>
      <c r="AA453" s="222">
        <f>PL!AB$966</f>
        <v>0</v>
      </c>
      <c r="AB453" s="222">
        <f>PL!AC$966</f>
        <v>0</v>
      </c>
    </row>
    <row r="454" spans="1:28">
      <c r="A454" s="598">
        <v>1</v>
      </c>
      <c r="B454" s="598" t="s">
        <v>507</v>
      </c>
      <c r="C454" s="598" t="s">
        <v>432</v>
      </c>
      <c r="D454" s="598" t="s">
        <v>327</v>
      </c>
      <c r="E454" s="598" t="s">
        <v>327</v>
      </c>
      <c r="G454" s="244"/>
      <c r="H454" s="244"/>
      <c r="I454" s="245"/>
      <c r="J454" s="219" t="s">
        <v>60</v>
      </c>
      <c r="K454" s="233" t="s">
        <v>53</v>
      </c>
      <c r="L454" s="232" t="s">
        <v>3</v>
      </c>
      <c r="M454" s="468" t="s">
        <v>4</v>
      </c>
      <c r="N454" s="231" t="s">
        <v>327</v>
      </c>
      <c r="O454" s="219" t="str">
        <f>PL!$P$4</f>
        <v>BIN</v>
      </c>
      <c r="P454" s="219" t="s">
        <v>322</v>
      </c>
      <c r="Q454" s="222" t="str">
        <f>PL!Q$967</f>
        <v>HC PP Semi-Full-Time/Part-Time Employees /Contractors</v>
      </c>
      <c r="R454" s="222">
        <f>PL!S$967</f>
        <v>1</v>
      </c>
      <c r="S454" s="222">
        <f>PL!T$967</f>
        <v>1</v>
      </c>
      <c r="T454" s="222">
        <f>PL!U$967</f>
        <v>1</v>
      </c>
      <c r="U454" s="222">
        <f>PL!V$967</f>
        <v>1</v>
      </c>
      <c r="V454" s="222">
        <f>PL!W$967</f>
        <v>1</v>
      </c>
      <c r="W454" s="222">
        <f>PL!X$967</f>
        <v>1</v>
      </c>
      <c r="X454" s="222">
        <f>PL!Y$967</f>
        <v>1</v>
      </c>
      <c r="Y454" s="222">
        <f>PL!Z$967</f>
        <v>1</v>
      </c>
      <c r="Z454" s="222">
        <f>PL!AA$967</f>
        <v>1</v>
      </c>
      <c r="AA454" s="222">
        <f>PL!AB$967</f>
        <v>1</v>
      </c>
      <c r="AB454" s="222">
        <f>PL!AC$967</f>
        <v>1</v>
      </c>
    </row>
    <row r="455" spans="1:28">
      <c r="A455" s="598">
        <v>1</v>
      </c>
      <c r="G455" s="244"/>
      <c r="H455" s="246"/>
      <c r="I455" s="244"/>
      <c r="J455" s="253"/>
      <c r="K455" s="254"/>
      <c r="L455" s="254"/>
      <c r="M455" s="254"/>
      <c r="N455" s="254"/>
      <c r="O455" s="253"/>
      <c r="P455" s="253"/>
      <c r="Q455" s="253"/>
      <c r="R455" s="253"/>
      <c r="S455" s="253"/>
      <c r="T455" s="253"/>
      <c r="U455" s="253"/>
      <c r="V455" s="253"/>
      <c r="W455" s="253"/>
      <c r="X455" s="253"/>
      <c r="Y455" s="253"/>
      <c r="Z455" s="253"/>
      <c r="AA455" s="253"/>
      <c r="AB455" s="253"/>
    </row>
    <row r="456" spans="1:28" s="726" customFormat="1">
      <c r="A456" s="726">
        <v>1</v>
      </c>
      <c r="C456" s="727" t="s">
        <v>429</v>
      </c>
      <c r="F456" s="729"/>
      <c r="G456" s="739"/>
      <c r="H456" s="739"/>
      <c r="I456" s="740"/>
      <c r="J456" s="741" t="s">
        <v>60</v>
      </c>
      <c r="K456" s="742" t="s">
        <v>54</v>
      </c>
      <c r="L456" s="743" t="s">
        <v>3</v>
      </c>
      <c r="M456" s="744" t="s">
        <v>4</v>
      </c>
      <c r="N456" s="745" t="s">
        <v>62</v>
      </c>
      <c r="O456" s="741" t="str">
        <f>PL!$P$4</f>
        <v>BIN</v>
      </c>
      <c r="P456" s="741" t="s">
        <v>322</v>
      </c>
      <c r="Q456" s="738"/>
      <c r="R456" s="738"/>
      <c r="S456" s="738"/>
      <c r="T456" s="738"/>
      <c r="U456" s="738"/>
      <c r="V456" s="738"/>
      <c r="W456" s="738"/>
      <c r="X456" s="738"/>
      <c r="Y456" s="738"/>
      <c r="Z456" s="738"/>
      <c r="AA456" s="738"/>
      <c r="AB456" s="738"/>
    </row>
    <row r="457" spans="1:28">
      <c r="A457" s="598">
        <v>1</v>
      </c>
      <c r="B457" s="598" t="s">
        <v>507</v>
      </c>
      <c r="C457" s="598" t="s">
        <v>429</v>
      </c>
      <c r="D457" s="598" t="s">
        <v>62</v>
      </c>
      <c r="E457" s="598" t="s">
        <v>508</v>
      </c>
      <c r="G457" s="244"/>
      <c r="H457" s="244"/>
      <c r="I457" s="245"/>
      <c r="J457" s="219" t="s">
        <v>60</v>
      </c>
      <c r="K457" s="233" t="s">
        <v>321</v>
      </c>
      <c r="L457" s="232" t="s">
        <v>3</v>
      </c>
      <c r="M457" s="468" t="s">
        <v>4</v>
      </c>
      <c r="N457" s="234" t="s">
        <v>63</v>
      </c>
      <c r="O457" s="219" t="str">
        <f>PL!$P$4</f>
        <v>BIN</v>
      </c>
      <c r="P457" s="219" t="s">
        <v>322</v>
      </c>
      <c r="Q457" s="222" t="str">
        <f>PL!Q$972</f>
        <v>HC IP FE/TTOC Sales Total Direct sales rep.</v>
      </c>
      <c r="R457" s="222">
        <f>PL!S$972</f>
        <v>4</v>
      </c>
      <c r="S457" s="222">
        <f>PL!T$972</f>
        <v>4</v>
      </c>
      <c r="T457" s="222">
        <f>PL!U$972</f>
        <v>4</v>
      </c>
      <c r="U457" s="222">
        <f>PL!V$972</f>
        <v>4</v>
      </c>
      <c r="V457" s="222">
        <f>PL!W$972</f>
        <v>5</v>
      </c>
      <c r="W457" s="222">
        <f>PL!X$972</f>
        <v>5</v>
      </c>
      <c r="X457" s="222">
        <f>PL!Y$972</f>
        <v>5</v>
      </c>
      <c r="Y457" s="222">
        <f>PL!Z$972</f>
        <v>5</v>
      </c>
      <c r="Z457" s="222">
        <f>PL!AA$972</f>
        <v>5</v>
      </c>
      <c r="AA457" s="222">
        <f>PL!AB$972</f>
        <v>5</v>
      </c>
      <c r="AB457" s="222">
        <f>PL!AC$972</f>
        <v>5</v>
      </c>
    </row>
    <row r="458" spans="1:28">
      <c r="A458" s="598">
        <v>1</v>
      </c>
      <c r="B458" s="598" t="s">
        <v>507</v>
      </c>
      <c r="C458" s="598" t="s">
        <v>429</v>
      </c>
      <c r="D458" s="598" t="s">
        <v>62</v>
      </c>
      <c r="E458" s="598" t="s">
        <v>508</v>
      </c>
      <c r="G458" s="244"/>
      <c r="H458" s="244"/>
      <c r="I458" s="245"/>
      <c r="J458" s="219" t="s">
        <v>60</v>
      </c>
      <c r="K458" s="233" t="s">
        <v>321</v>
      </c>
      <c r="L458" s="232" t="s">
        <v>3</v>
      </c>
      <c r="M458" s="468" t="s">
        <v>4</v>
      </c>
      <c r="N458" s="234" t="s">
        <v>64</v>
      </c>
      <c r="O458" s="219" t="str">
        <f>PL!$P$4</f>
        <v>BIN</v>
      </c>
      <c r="P458" s="219" t="s">
        <v>322</v>
      </c>
      <c r="Q458" s="222" t="str">
        <f>PL!Q$973</f>
        <v>HC IP FE/TTOC Sales Total Direct sales engineers</v>
      </c>
      <c r="R458" s="222">
        <f>PL!S$973</f>
        <v>0</v>
      </c>
      <c r="S458" s="222">
        <f>PL!T$973</f>
        <v>0</v>
      </c>
      <c r="T458" s="222">
        <f>PL!U$973</f>
        <v>0</v>
      </c>
      <c r="U458" s="222">
        <f>PL!V$973</f>
        <v>0</v>
      </c>
      <c r="V458" s="222">
        <f>PL!W$973</f>
        <v>0</v>
      </c>
      <c r="W458" s="222">
        <f>PL!X$973</f>
        <v>0</v>
      </c>
      <c r="X458" s="222">
        <f>PL!Y$973</f>
        <v>0</v>
      </c>
      <c r="Y458" s="222">
        <f>PL!Z$973</f>
        <v>0</v>
      </c>
      <c r="Z458" s="222">
        <f>PL!AA$973</f>
        <v>0</v>
      </c>
      <c r="AA458" s="222">
        <f>PL!AB$973</f>
        <v>0</v>
      </c>
      <c r="AB458" s="222">
        <f>PL!AC$973</f>
        <v>0</v>
      </c>
    </row>
    <row r="459" spans="1:28">
      <c r="A459" s="598">
        <v>1</v>
      </c>
      <c r="B459" s="598" t="s">
        <v>507</v>
      </c>
      <c r="C459" s="598" t="s">
        <v>429</v>
      </c>
      <c r="D459" s="598" t="s">
        <v>62</v>
      </c>
      <c r="E459" s="598" t="s">
        <v>508</v>
      </c>
      <c r="G459" s="244"/>
      <c r="H459" s="244"/>
      <c r="I459" s="245"/>
      <c r="J459" s="219" t="s">
        <v>60</v>
      </c>
      <c r="K459" s="233" t="s">
        <v>321</v>
      </c>
      <c r="L459" s="232" t="s">
        <v>3</v>
      </c>
      <c r="M459" s="468" t="s">
        <v>4</v>
      </c>
      <c r="N459" s="234" t="s">
        <v>65</v>
      </c>
      <c r="O459" s="219" t="str">
        <f>PL!$P$4</f>
        <v>BIN</v>
      </c>
      <c r="P459" s="219" t="s">
        <v>322</v>
      </c>
      <c r="Q459" s="222" t="str">
        <f>PL!Q$974</f>
        <v>HC IP FE/TTOC Sales Total Dealer(Indirect) sales rep.</v>
      </c>
      <c r="R459" s="222">
        <f>PL!S$974</f>
        <v>1</v>
      </c>
      <c r="S459" s="222">
        <f>PL!T$974</f>
        <v>1</v>
      </c>
      <c r="T459" s="222">
        <f>PL!U$974</f>
        <v>1</v>
      </c>
      <c r="U459" s="222">
        <f>PL!V$974</f>
        <v>1</v>
      </c>
      <c r="V459" s="222">
        <f>PL!W$974</f>
        <v>1</v>
      </c>
      <c r="W459" s="222">
        <f>PL!X$974</f>
        <v>1</v>
      </c>
      <c r="X459" s="222">
        <f>PL!Y$974</f>
        <v>1</v>
      </c>
      <c r="Y459" s="222">
        <f>PL!Z$974</f>
        <v>1</v>
      </c>
      <c r="Z459" s="222">
        <f>PL!AA$974</f>
        <v>1</v>
      </c>
      <c r="AA459" s="222">
        <f>PL!AB$974</f>
        <v>1</v>
      </c>
      <c r="AB459" s="222">
        <f>PL!AC$974</f>
        <v>1</v>
      </c>
    </row>
    <row r="460" spans="1:28">
      <c r="A460" s="598">
        <v>1</v>
      </c>
      <c r="B460" s="598" t="s">
        <v>507</v>
      </c>
      <c r="C460" s="598" t="s">
        <v>429</v>
      </c>
      <c r="D460" s="598" t="s">
        <v>62</v>
      </c>
      <c r="E460" s="598" t="s">
        <v>508</v>
      </c>
      <c r="G460" s="244"/>
      <c r="H460" s="244"/>
      <c r="I460" s="245"/>
      <c r="J460" s="219" t="s">
        <v>60</v>
      </c>
      <c r="K460" s="233" t="s">
        <v>321</v>
      </c>
      <c r="L460" s="232" t="s">
        <v>3</v>
      </c>
      <c r="M460" s="468" t="s">
        <v>4</v>
      </c>
      <c r="N460" s="234" t="s">
        <v>66</v>
      </c>
      <c r="O460" s="219" t="str">
        <f>PL!$P$4</f>
        <v>BIN</v>
      </c>
      <c r="P460" s="219" t="s">
        <v>322</v>
      </c>
      <c r="Q460" s="222" t="str">
        <f>PL!Q$975</f>
        <v>HC IP FE/TTOC Sales Total Administration/Others</v>
      </c>
      <c r="R460" s="222">
        <f>PL!S$975</f>
        <v>0</v>
      </c>
      <c r="S460" s="222">
        <f>PL!T$975</f>
        <v>0</v>
      </c>
      <c r="T460" s="222">
        <f>PL!U$975</f>
        <v>0</v>
      </c>
      <c r="U460" s="222">
        <f>PL!V$975</f>
        <v>0</v>
      </c>
      <c r="V460" s="222">
        <f>PL!W$975</f>
        <v>0</v>
      </c>
      <c r="W460" s="222">
        <f>PL!X$975</f>
        <v>0</v>
      </c>
      <c r="X460" s="222">
        <f>PL!Y$975</f>
        <v>0</v>
      </c>
      <c r="Y460" s="222">
        <f>PL!Z$975</f>
        <v>0</v>
      </c>
      <c r="Z460" s="222">
        <f>PL!AA$975</f>
        <v>0</v>
      </c>
      <c r="AA460" s="222">
        <f>PL!AB$975</f>
        <v>0</v>
      </c>
      <c r="AB460" s="222">
        <f>PL!AC$975</f>
        <v>0</v>
      </c>
    </row>
    <row r="461" spans="1:28" s="682" customFormat="1">
      <c r="A461" s="682">
        <v>1</v>
      </c>
      <c r="F461" s="684"/>
      <c r="G461" s="697"/>
      <c r="H461" s="697"/>
      <c r="I461" s="698"/>
      <c r="J461" s="699" t="s">
        <v>60</v>
      </c>
      <c r="K461" s="688" t="s">
        <v>54</v>
      </c>
      <c r="L461" s="700" t="s">
        <v>3</v>
      </c>
      <c r="M461" s="701" t="s">
        <v>4</v>
      </c>
      <c r="N461" s="723" t="s">
        <v>86</v>
      </c>
      <c r="O461" s="699" t="str">
        <f>PL!$P$4</f>
        <v>BIN</v>
      </c>
      <c r="P461" s="699" t="s">
        <v>322</v>
      </c>
      <c r="Q461" s="693"/>
      <c r="R461" s="693"/>
      <c r="S461" s="693"/>
      <c r="T461" s="693"/>
      <c r="U461" s="693"/>
      <c r="V461" s="693"/>
      <c r="W461" s="693"/>
      <c r="X461" s="693"/>
      <c r="Y461" s="693"/>
      <c r="Z461" s="693"/>
      <c r="AA461" s="693"/>
      <c r="AB461" s="693"/>
    </row>
    <row r="462" spans="1:28">
      <c r="A462" s="598">
        <v>1</v>
      </c>
      <c r="B462" s="598" t="s">
        <v>507</v>
      </c>
      <c r="C462" s="598" t="s">
        <v>429</v>
      </c>
      <c r="D462" s="598" t="s">
        <v>86</v>
      </c>
      <c r="E462" s="598" t="s">
        <v>508</v>
      </c>
      <c r="G462" s="244"/>
      <c r="H462" s="244"/>
      <c r="I462" s="245"/>
      <c r="J462" s="219" t="s">
        <v>60</v>
      </c>
      <c r="K462" s="233" t="s">
        <v>321</v>
      </c>
      <c r="L462" s="232" t="s">
        <v>3</v>
      </c>
      <c r="M462" s="468" t="s">
        <v>4</v>
      </c>
      <c r="N462" s="234" t="s">
        <v>67</v>
      </c>
      <c r="O462" s="219" t="str">
        <f>PL!$P$4</f>
        <v>BIN</v>
      </c>
      <c r="P462" s="219" t="s">
        <v>322</v>
      </c>
      <c r="Q462" s="222" t="str">
        <f>PL!Q$977</f>
        <v>HC IP FE/TTOC Service Total Onsite Engineer</v>
      </c>
      <c r="R462" s="222">
        <f>PL!S$977</f>
        <v>14</v>
      </c>
      <c r="S462" s="222">
        <f>PL!T$977</f>
        <v>13</v>
      </c>
      <c r="T462" s="222">
        <f>PL!U$977</f>
        <v>13</v>
      </c>
      <c r="U462" s="222">
        <f>PL!V$977</f>
        <v>13</v>
      </c>
      <c r="V462" s="222">
        <f>PL!W$977</f>
        <v>13</v>
      </c>
      <c r="W462" s="222">
        <f>PL!X$977</f>
        <v>13</v>
      </c>
      <c r="X462" s="222">
        <f>PL!Y$977</f>
        <v>13</v>
      </c>
      <c r="Y462" s="222">
        <f>PL!Z$977</f>
        <v>13</v>
      </c>
      <c r="Z462" s="222">
        <f>PL!AA$977</f>
        <v>13</v>
      </c>
      <c r="AA462" s="222">
        <f>PL!AB$977</f>
        <v>13</v>
      </c>
      <c r="AB462" s="222">
        <f>PL!AC$977</f>
        <v>13</v>
      </c>
    </row>
    <row r="463" spans="1:28">
      <c r="A463" s="598">
        <v>1</v>
      </c>
      <c r="B463" s="598" t="s">
        <v>507</v>
      </c>
      <c r="C463" s="598" t="s">
        <v>429</v>
      </c>
      <c r="D463" s="598" t="s">
        <v>86</v>
      </c>
      <c r="E463" s="598" t="s">
        <v>508</v>
      </c>
      <c r="G463" s="244"/>
      <c r="H463" s="244"/>
      <c r="I463" s="245"/>
      <c r="J463" s="219" t="s">
        <v>60</v>
      </c>
      <c r="K463" s="233" t="s">
        <v>321</v>
      </c>
      <c r="L463" s="232" t="s">
        <v>3</v>
      </c>
      <c r="M463" s="468" t="s">
        <v>4</v>
      </c>
      <c r="N463" s="234" t="s">
        <v>68</v>
      </c>
      <c r="O463" s="219" t="str">
        <f>PL!$P$4</f>
        <v>BIN</v>
      </c>
      <c r="P463" s="219" t="s">
        <v>322</v>
      </c>
      <c r="Q463" s="222" t="str">
        <f>PL!Q$978</f>
        <v>HC IP FE/TTOC Service Total Remote Engineer</v>
      </c>
      <c r="R463" s="222">
        <f>PL!S$978</f>
        <v>0</v>
      </c>
      <c r="S463" s="222">
        <f>PL!T$978</f>
        <v>0</v>
      </c>
      <c r="T463" s="222">
        <f>PL!U$978</f>
        <v>0</v>
      </c>
      <c r="U463" s="222">
        <f>PL!V$978</f>
        <v>0</v>
      </c>
      <c r="V463" s="222">
        <f>PL!W$978</f>
        <v>0</v>
      </c>
      <c r="W463" s="222">
        <f>PL!X$978</f>
        <v>0</v>
      </c>
      <c r="X463" s="222">
        <f>PL!Y$978</f>
        <v>0</v>
      </c>
      <c r="Y463" s="222">
        <f>PL!Z$978</f>
        <v>0</v>
      </c>
      <c r="Z463" s="222">
        <f>PL!AA$978</f>
        <v>0</v>
      </c>
      <c r="AA463" s="222">
        <f>PL!AB$978</f>
        <v>0</v>
      </c>
      <c r="AB463" s="222">
        <f>PL!AC$978</f>
        <v>0</v>
      </c>
    </row>
    <row r="464" spans="1:28">
      <c r="A464" s="598">
        <v>1</v>
      </c>
      <c r="B464" s="598" t="s">
        <v>507</v>
      </c>
      <c r="C464" s="598" t="s">
        <v>429</v>
      </c>
      <c r="D464" s="598" t="s">
        <v>86</v>
      </c>
      <c r="E464" s="598" t="s">
        <v>508</v>
      </c>
      <c r="G464" s="244"/>
      <c r="H464" s="244"/>
      <c r="I464" s="245"/>
      <c r="J464" s="219" t="s">
        <v>60</v>
      </c>
      <c r="K464" s="233" t="s">
        <v>321</v>
      </c>
      <c r="L464" s="232" t="s">
        <v>3</v>
      </c>
      <c r="M464" s="468" t="s">
        <v>4</v>
      </c>
      <c r="N464" s="234" t="s">
        <v>69</v>
      </c>
      <c r="O464" s="219" t="str">
        <f>PL!$P$4</f>
        <v>BIN</v>
      </c>
      <c r="P464" s="219" t="s">
        <v>322</v>
      </c>
      <c r="Q464" s="222" t="str">
        <f>PL!Q$979</f>
        <v>HC IP FE/TTOC Service Total Technical support</v>
      </c>
      <c r="R464" s="222">
        <f>PL!S$979</f>
        <v>0</v>
      </c>
      <c r="S464" s="222">
        <f>PL!T$979</f>
        <v>0</v>
      </c>
      <c r="T464" s="222">
        <f>PL!U$979</f>
        <v>0</v>
      </c>
      <c r="U464" s="222">
        <f>PL!V$979</f>
        <v>0</v>
      </c>
      <c r="V464" s="222">
        <f>PL!W$979</f>
        <v>0</v>
      </c>
      <c r="W464" s="222">
        <f>PL!X$979</f>
        <v>0</v>
      </c>
      <c r="X464" s="222">
        <f>PL!Y$979</f>
        <v>0</v>
      </c>
      <c r="Y464" s="222">
        <f>PL!Z$979</f>
        <v>0</v>
      </c>
      <c r="Z464" s="222">
        <f>PL!AA$979</f>
        <v>0</v>
      </c>
      <c r="AA464" s="222">
        <f>PL!AB$979</f>
        <v>0</v>
      </c>
      <c r="AB464" s="222">
        <f>PL!AC$979</f>
        <v>0</v>
      </c>
    </row>
    <row r="465" spans="1:28">
      <c r="A465" s="598">
        <v>1</v>
      </c>
      <c r="B465" s="598" t="s">
        <v>507</v>
      </c>
      <c r="C465" s="598" t="s">
        <v>429</v>
      </c>
      <c r="D465" s="598" t="s">
        <v>86</v>
      </c>
      <c r="E465" s="598" t="s">
        <v>508</v>
      </c>
      <c r="G465" s="244"/>
      <c r="H465" s="244"/>
      <c r="I465" s="245"/>
      <c r="J465" s="219" t="s">
        <v>60</v>
      </c>
      <c r="K465" s="233" t="s">
        <v>321</v>
      </c>
      <c r="L465" s="232" t="s">
        <v>3</v>
      </c>
      <c r="M465" s="468" t="s">
        <v>4</v>
      </c>
      <c r="N465" s="234" t="s">
        <v>70</v>
      </c>
      <c r="O465" s="219" t="str">
        <f>PL!$P$4</f>
        <v>BIN</v>
      </c>
      <c r="P465" s="219" t="s">
        <v>322</v>
      </c>
      <c r="Q465" s="222" t="str">
        <f>PL!Q$980</f>
        <v>HC IP FE/TTOC Service Total Dealer(Indirect) support</v>
      </c>
      <c r="R465" s="222">
        <f>PL!S$980</f>
        <v>0</v>
      </c>
      <c r="S465" s="222">
        <f>PL!T$980</f>
        <v>0</v>
      </c>
      <c r="T465" s="222">
        <f>PL!U$980</f>
        <v>0</v>
      </c>
      <c r="U465" s="222">
        <f>PL!V$980</f>
        <v>0</v>
      </c>
      <c r="V465" s="222">
        <f>PL!W$980</f>
        <v>0</v>
      </c>
      <c r="W465" s="222">
        <f>PL!X$980</f>
        <v>0</v>
      </c>
      <c r="X465" s="222">
        <f>PL!Y$980</f>
        <v>0</v>
      </c>
      <c r="Y465" s="222">
        <f>PL!Z$980</f>
        <v>0</v>
      </c>
      <c r="Z465" s="222">
        <f>PL!AA$980</f>
        <v>0</v>
      </c>
      <c r="AA465" s="222">
        <f>PL!AB$980</f>
        <v>0</v>
      </c>
      <c r="AB465" s="222">
        <f>PL!AC$980</f>
        <v>0</v>
      </c>
    </row>
    <row r="466" spans="1:28">
      <c r="A466" s="598">
        <v>1</v>
      </c>
      <c r="B466" s="598" t="s">
        <v>507</v>
      </c>
      <c r="C466" s="598" t="s">
        <v>429</v>
      </c>
      <c r="D466" s="598" t="s">
        <v>86</v>
      </c>
      <c r="E466" s="598" t="s">
        <v>508</v>
      </c>
      <c r="G466" s="244"/>
      <c r="H466" s="244"/>
      <c r="I466" s="245"/>
      <c r="J466" s="219" t="s">
        <v>60</v>
      </c>
      <c r="K466" s="233" t="s">
        <v>321</v>
      </c>
      <c r="L466" s="232" t="s">
        <v>3</v>
      </c>
      <c r="M466" s="468" t="s">
        <v>4</v>
      </c>
      <c r="N466" s="234" t="s">
        <v>71</v>
      </c>
      <c r="O466" s="219" t="str">
        <f>PL!$P$4</f>
        <v>BIN</v>
      </c>
      <c r="P466" s="219" t="s">
        <v>322</v>
      </c>
      <c r="Q466" s="222" t="str">
        <f>PL!Q$981</f>
        <v>HC IP FE/TTOC Service Total Administration/Others</v>
      </c>
      <c r="R466" s="222">
        <f>PL!S$981</f>
        <v>0</v>
      </c>
      <c r="S466" s="222">
        <f>PL!T$981</f>
        <v>0</v>
      </c>
      <c r="T466" s="222">
        <f>PL!U$981</f>
        <v>0</v>
      </c>
      <c r="U466" s="222">
        <f>PL!V$981</f>
        <v>0</v>
      </c>
      <c r="V466" s="222">
        <f>PL!W$981</f>
        <v>0</v>
      </c>
      <c r="W466" s="222">
        <f>PL!X$981</f>
        <v>0</v>
      </c>
      <c r="X466" s="222">
        <f>PL!Y$981</f>
        <v>0</v>
      </c>
      <c r="Y466" s="222">
        <f>PL!Z$981</f>
        <v>0</v>
      </c>
      <c r="Z466" s="222">
        <f>PL!AA$981</f>
        <v>0</v>
      </c>
      <c r="AA466" s="222">
        <f>PL!AB$981</f>
        <v>0</v>
      </c>
      <c r="AB466" s="222">
        <f>PL!AC$981</f>
        <v>0</v>
      </c>
    </row>
    <row r="467" spans="1:28" s="682" customFormat="1">
      <c r="A467" s="682">
        <v>1</v>
      </c>
      <c r="F467" s="684"/>
      <c r="G467" s="697"/>
      <c r="H467" s="697"/>
      <c r="I467" s="698"/>
      <c r="J467" s="699" t="s">
        <v>60</v>
      </c>
      <c r="K467" s="688" t="s">
        <v>54</v>
      </c>
      <c r="L467" s="700" t="s">
        <v>3</v>
      </c>
      <c r="M467" s="701" t="s">
        <v>4</v>
      </c>
      <c r="N467" s="723" t="s">
        <v>72</v>
      </c>
      <c r="O467" s="699" t="str">
        <f>PL!$P$4</f>
        <v>BIN</v>
      </c>
      <c r="P467" s="699" t="s">
        <v>322</v>
      </c>
      <c r="Q467" s="693"/>
      <c r="R467" s="693"/>
      <c r="S467" s="693"/>
      <c r="T467" s="693"/>
      <c r="U467" s="693"/>
      <c r="V467" s="693"/>
      <c r="W467" s="693"/>
      <c r="X467" s="693"/>
      <c r="Y467" s="693"/>
      <c r="Z467" s="693"/>
      <c r="AA467" s="693"/>
      <c r="AB467" s="693"/>
    </row>
    <row r="468" spans="1:28">
      <c r="A468" s="598">
        <v>1</v>
      </c>
      <c r="B468" s="598" t="s">
        <v>507</v>
      </c>
      <c r="C468" s="598" t="s">
        <v>429</v>
      </c>
      <c r="D468" s="598" t="s">
        <v>72</v>
      </c>
      <c r="E468" s="598" t="s">
        <v>508</v>
      </c>
      <c r="G468" s="244"/>
      <c r="H468" s="244"/>
      <c r="I468" s="245"/>
      <c r="J468" s="219" t="s">
        <v>60</v>
      </c>
      <c r="K468" s="233" t="s">
        <v>321</v>
      </c>
      <c r="L468" s="232" t="s">
        <v>3</v>
      </c>
      <c r="M468" s="468" t="s">
        <v>4</v>
      </c>
      <c r="N468" s="234" t="s">
        <v>323</v>
      </c>
      <c r="O468" s="219" t="str">
        <f>PL!$P$4</f>
        <v>BIN</v>
      </c>
      <c r="P468" s="219" t="s">
        <v>322</v>
      </c>
      <c r="Q468" s="222" t="str">
        <f>PL!Q$983</f>
        <v>HC IP FE/TTOC Marketing Total Business Development</v>
      </c>
      <c r="R468" s="222">
        <f>PL!S$983</f>
        <v>2</v>
      </c>
      <c r="S468" s="222">
        <f>PL!T$983</f>
        <v>2</v>
      </c>
      <c r="T468" s="222">
        <f>PL!U$983</f>
        <v>2</v>
      </c>
      <c r="U468" s="222">
        <f>PL!V$983</f>
        <v>2</v>
      </c>
      <c r="V468" s="222">
        <f>PL!W$983</f>
        <v>1</v>
      </c>
      <c r="W468" s="222">
        <f>PL!X$983</f>
        <v>1</v>
      </c>
      <c r="X468" s="222">
        <f>PL!Y$983</f>
        <v>1</v>
      </c>
      <c r="Y468" s="222">
        <f>PL!Z$983</f>
        <v>1</v>
      </c>
      <c r="Z468" s="222">
        <f>PL!AA$983</f>
        <v>1</v>
      </c>
      <c r="AA468" s="222">
        <f>PL!AB$983</f>
        <v>1</v>
      </c>
      <c r="AB468" s="222">
        <f>PL!AC$983</f>
        <v>1</v>
      </c>
    </row>
    <row r="469" spans="1:28">
      <c r="A469" s="598">
        <v>1</v>
      </c>
      <c r="B469" s="598" t="s">
        <v>507</v>
      </c>
      <c r="C469" s="598" t="s">
        <v>429</v>
      </c>
      <c r="D469" s="598" t="s">
        <v>72</v>
      </c>
      <c r="E469" s="598" t="s">
        <v>508</v>
      </c>
      <c r="G469" s="244"/>
      <c r="H469" s="244"/>
      <c r="I469" s="245"/>
      <c r="J469" s="219" t="s">
        <v>60</v>
      </c>
      <c r="K469" s="233" t="s">
        <v>321</v>
      </c>
      <c r="L469" s="232" t="s">
        <v>3</v>
      </c>
      <c r="M469" s="468" t="s">
        <v>4</v>
      </c>
      <c r="N469" s="234" t="s">
        <v>324</v>
      </c>
      <c r="O469" s="219" t="str">
        <f>PL!$P$4</f>
        <v>BIN</v>
      </c>
      <c r="P469" s="219" t="s">
        <v>322</v>
      </c>
      <c r="Q469" s="222" t="str">
        <f>PL!Q$984</f>
        <v>HC IP FE/TTOC Marketing Total Channel Marketing</v>
      </c>
      <c r="R469" s="222">
        <f>PL!S$984</f>
        <v>0</v>
      </c>
      <c r="S469" s="222">
        <f>PL!T$984</f>
        <v>0</v>
      </c>
      <c r="T469" s="222">
        <f>PL!U$984</f>
        <v>0</v>
      </c>
      <c r="U469" s="222">
        <f>PL!V$984</f>
        <v>0</v>
      </c>
      <c r="V469" s="222">
        <f>PL!W$984</f>
        <v>0</v>
      </c>
      <c r="W469" s="222">
        <f>PL!X$984</f>
        <v>0</v>
      </c>
      <c r="X469" s="222">
        <f>PL!Y$984</f>
        <v>0</v>
      </c>
      <c r="Y469" s="222">
        <f>PL!Z$984</f>
        <v>0</v>
      </c>
      <c r="Z469" s="222">
        <f>PL!AA$984</f>
        <v>0</v>
      </c>
      <c r="AA469" s="222">
        <f>PL!AB$984</f>
        <v>0</v>
      </c>
      <c r="AB469" s="222">
        <f>PL!AC$984</f>
        <v>0</v>
      </c>
    </row>
    <row r="470" spans="1:28">
      <c r="A470" s="598">
        <v>1</v>
      </c>
      <c r="B470" s="598" t="s">
        <v>507</v>
      </c>
      <c r="C470" s="598" t="s">
        <v>429</v>
      </c>
      <c r="D470" s="598" t="s">
        <v>72</v>
      </c>
      <c r="E470" s="598" t="s">
        <v>508</v>
      </c>
      <c r="G470" s="244"/>
      <c r="H470" s="244"/>
      <c r="I470" s="245"/>
      <c r="J470" s="219" t="s">
        <v>60</v>
      </c>
      <c r="K470" s="233" t="s">
        <v>321</v>
      </c>
      <c r="L470" s="232" t="s">
        <v>3</v>
      </c>
      <c r="M470" s="468" t="s">
        <v>4</v>
      </c>
      <c r="N470" s="234" t="s">
        <v>325</v>
      </c>
      <c r="O470" s="219" t="str">
        <f>PL!$P$4</f>
        <v>BIN</v>
      </c>
      <c r="P470" s="219" t="s">
        <v>322</v>
      </c>
      <c r="Q470" s="222" t="str">
        <f>PL!Q$985</f>
        <v>HC IP FE/TTOC Marketing Total Product Marketing</v>
      </c>
      <c r="R470" s="222">
        <f>PL!S$985</f>
        <v>2</v>
      </c>
      <c r="S470" s="222">
        <f>PL!T$985</f>
        <v>2</v>
      </c>
      <c r="T470" s="222">
        <f>PL!U$985</f>
        <v>2</v>
      </c>
      <c r="U470" s="222">
        <f>PL!V$985</f>
        <v>2</v>
      </c>
      <c r="V470" s="222">
        <f>PL!W$985</f>
        <v>2</v>
      </c>
      <c r="W470" s="222">
        <f>PL!X$985</f>
        <v>2</v>
      </c>
      <c r="X470" s="222">
        <f>PL!Y$985</f>
        <v>1</v>
      </c>
      <c r="Y470" s="222">
        <f>PL!Z$985</f>
        <v>1</v>
      </c>
      <c r="Z470" s="222">
        <f>PL!AA$985</f>
        <v>1</v>
      </c>
      <c r="AA470" s="222">
        <f>PL!AB$985</f>
        <v>1</v>
      </c>
      <c r="AB470" s="222">
        <f>PL!AC$985</f>
        <v>1</v>
      </c>
    </row>
    <row r="471" spans="1:28">
      <c r="A471" s="598">
        <v>1</v>
      </c>
      <c r="B471" s="598" t="s">
        <v>507</v>
      </c>
      <c r="C471" s="598" t="s">
        <v>429</v>
      </c>
      <c r="D471" s="598" t="s">
        <v>72</v>
      </c>
      <c r="E471" s="598" t="s">
        <v>508</v>
      </c>
      <c r="G471" s="244"/>
      <c r="H471" s="244"/>
      <c r="I471" s="245"/>
      <c r="J471" s="219" t="s">
        <v>60</v>
      </c>
      <c r="K471" s="233" t="s">
        <v>321</v>
      </c>
      <c r="L471" s="232" t="s">
        <v>3</v>
      </c>
      <c r="M471" s="468" t="s">
        <v>4</v>
      </c>
      <c r="N471" s="234" t="s">
        <v>326</v>
      </c>
      <c r="O471" s="219" t="str">
        <f>PL!$P$4</f>
        <v>BIN</v>
      </c>
      <c r="P471" s="219" t="s">
        <v>322</v>
      </c>
      <c r="Q471" s="222" t="str">
        <f>PL!Q$986</f>
        <v>HC IP FE/TTOC Marketing Total MC / O</v>
      </c>
      <c r="R471" s="222">
        <f>PL!S$986</f>
        <v>0</v>
      </c>
      <c r="S471" s="222">
        <f>PL!T$986</f>
        <v>0</v>
      </c>
      <c r="T471" s="222">
        <f>PL!U$986</f>
        <v>0</v>
      </c>
      <c r="U471" s="222">
        <f>PL!V$986</f>
        <v>0</v>
      </c>
      <c r="V471" s="222">
        <f>PL!W$986</f>
        <v>0</v>
      </c>
      <c r="W471" s="222">
        <f>PL!X$986</f>
        <v>0</v>
      </c>
      <c r="X471" s="222">
        <f>PL!Y$986</f>
        <v>0</v>
      </c>
      <c r="Y471" s="222">
        <f>PL!Z$986</f>
        <v>0</v>
      </c>
      <c r="Z471" s="222">
        <f>PL!AA$986</f>
        <v>0</v>
      </c>
      <c r="AA471" s="222">
        <f>PL!AB$986</f>
        <v>0</v>
      </c>
      <c r="AB471" s="222">
        <f>PL!AC$986</f>
        <v>0</v>
      </c>
    </row>
    <row r="472" spans="1:28" s="682" customFormat="1">
      <c r="A472" s="682">
        <v>1</v>
      </c>
      <c r="F472" s="684"/>
      <c r="G472" s="697"/>
      <c r="H472" s="697"/>
      <c r="I472" s="698"/>
      <c r="J472" s="699" t="s">
        <v>60</v>
      </c>
      <c r="K472" s="688" t="s">
        <v>54</v>
      </c>
      <c r="L472" s="700" t="s">
        <v>3</v>
      </c>
      <c r="M472" s="701" t="s">
        <v>4</v>
      </c>
      <c r="N472" s="723" t="s">
        <v>73</v>
      </c>
      <c r="O472" s="699" t="str">
        <f>PL!$P$4</f>
        <v>BIN</v>
      </c>
      <c r="P472" s="699" t="s">
        <v>322</v>
      </c>
      <c r="Q472" s="693"/>
      <c r="R472" s="693"/>
      <c r="S472" s="693"/>
      <c r="T472" s="693"/>
      <c r="U472" s="693"/>
      <c r="V472" s="693"/>
      <c r="W472" s="693"/>
      <c r="X472" s="693"/>
      <c r="Y472" s="693"/>
      <c r="Z472" s="693"/>
      <c r="AA472" s="693"/>
      <c r="AB472" s="693"/>
    </row>
    <row r="473" spans="1:28">
      <c r="A473" s="598">
        <v>1</v>
      </c>
      <c r="B473" s="598" t="s">
        <v>507</v>
      </c>
      <c r="C473" s="598" t="s">
        <v>429</v>
      </c>
      <c r="D473" s="598" t="s">
        <v>73</v>
      </c>
      <c r="E473" s="598" t="s">
        <v>508</v>
      </c>
      <c r="G473" s="244"/>
      <c r="H473" s="244"/>
      <c r="I473" s="245"/>
      <c r="J473" s="219" t="s">
        <v>60</v>
      </c>
      <c r="K473" s="233" t="s">
        <v>321</v>
      </c>
      <c r="L473" s="232" t="s">
        <v>3</v>
      </c>
      <c r="M473" s="468" t="s">
        <v>4</v>
      </c>
      <c r="N473" s="234" t="s">
        <v>74</v>
      </c>
      <c r="O473" s="219" t="str">
        <f>PL!$P$4</f>
        <v>BIN</v>
      </c>
      <c r="P473" s="219" t="s">
        <v>322</v>
      </c>
      <c r="Q473" s="222" t="str">
        <f>PL!Q$988</f>
        <v>HC IP FE/TTOC Administration Total IT</v>
      </c>
      <c r="R473" s="222">
        <f>PL!S$988</f>
        <v>0</v>
      </c>
      <c r="S473" s="222">
        <f>PL!T$988</f>
        <v>0</v>
      </c>
      <c r="T473" s="222">
        <f>PL!U$988</f>
        <v>0</v>
      </c>
      <c r="U473" s="222">
        <f>PL!V$988</f>
        <v>0</v>
      </c>
      <c r="V473" s="222">
        <f>PL!W$988</f>
        <v>0</v>
      </c>
      <c r="W473" s="222">
        <f>PL!X$988</f>
        <v>0</v>
      </c>
      <c r="X473" s="222">
        <f>PL!Y$988</f>
        <v>0</v>
      </c>
      <c r="Y473" s="222">
        <f>PL!Z$988</f>
        <v>0</v>
      </c>
      <c r="Z473" s="222">
        <f>PL!AA$988</f>
        <v>0</v>
      </c>
      <c r="AA473" s="222">
        <f>PL!AB$988</f>
        <v>0</v>
      </c>
      <c r="AB473" s="222">
        <f>PL!AC$988</f>
        <v>0</v>
      </c>
    </row>
    <row r="474" spans="1:28">
      <c r="A474" s="598">
        <v>1</v>
      </c>
      <c r="B474" s="598" t="s">
        <v>507</v>
      </c>
      <c r="C474" s="598" t="s">
        <v>429</v>
      </c>
      <c r="D474" s="598" t="s">
        <v>73</v>
      </c>
      <c r="E474" s="598" t="s">
        <v>508</v>
      </c>
      <c r="G474" s="244"/>
      <c r="H474" s="244"/>
      <c r="I474" s="245"/>
      <c r="J474" s="219" t="s">
        <v>60</v>
      </c>
      <c r="K474" s="233" t="s">
        <v>321</v>
      </c>
      <c r="L474" s="232" t="s">
        <v>3</v>
      </c>
      <c r="M474" s="468" t="s">
        <v>4</v>
      </c>
      <c r="N474" s="234" t="s">
        <v>75</v>
      </c>
      <c r="O474" s="219" t="str">
        <f>PL!$P$4</f>
        <v>BIN</v>
      </c>
      <c r="P474" s="219" t="s">
        <v>322</v>
      </c>
      <c r="Q474" s="222" t="str">
        <f>PL!Q$989</f>
        <v>HC IP FE/TTOC Administration Total Finance</v>
      </c>
      <c r="R474" s="222">
        <f>PL!S$989</f>
        <v>0</v>
      </c>
      <c r="S474" s="222">
        <f>PL!T$989</f>
        <v>0</v>
      </c>
      <c r="T474" s="222">
        <f>PL!U$989</f>
        <v>0</v>
      </c>
      <c r="U474" s="222">
        <f>PL!V$989</f>
        <v>0</v>
      </c>
      <c r="V474" s="222">
        <f>PL!W$989</f>
        <v>0</v>
      </c>
      <c r="W474" s="222">
        <f>PL!X$989</f>
        <v>0</v>
      </c>
      <c r="X474" s="222">
        <f>PL!Y$989</f>
        <v>0</v>
      </c>
      <c r="Y474" s="222">
        <f>PL!Z$989</f>
        <v>0</v>
      </c>
      <c r="Z474" s="222">
        <f>PL!AA$989</f>
        <v>0</v>
      </c>
      <c r="AA474" s="222">
        <f>PL!AB$989</f>
        <v>0</v>
      </c>
      <c r="AB474" s="222">
        <f>PL!AC$989</f>
        <v>0</v>
      </c>
    </row>
    <row r="475" spans="1:28">
      <c r="A475" s="598">
        <v>1</v>
      </c>
      <c r="B475" s="598" t="s">
        <v>507</v>
      </c>
      <c r="C475" s="598" t="s">
        <v>429</v>
      </c>
      <c r="D475" s="598" t="s">
        <v>73</v>
      </c>
      <c r="E475" s="598" t="s">
        <v>508</v>
      </c>
      <c r="G475" s="244"/>
      <c r="H475" s="244"/>
      <c r="I475" s="245"/>
      <c r="J475" s="219" t="s">
        <v>60</v>
      </c>
      <c r="K475" s="233" t="s">
        <v>321</v>
      </c>
      <c r="L475" s="232" t="s">
        <v>3</v>
      </c>
      <c r="M475" s="468" t="s">
        <v>4</v>
      </c>
      <c r="N475" s="234" t="s">
        <v>76</v>
      </c>
      <c r="O475" s="219" t="str">
        <f>PL!$P$4</f>
        <v>BIN</v>
      </c>
      <c r="P475" s="219" t="s">
        <v>322</v>
      </c>
      <c r="Q475" s="222" t="str">
        <f>PL!Q$990</f>
        <v>HC IP FE/TTOC Administration Total HR</v>
      </c>
      <c r="R475" s="222">
        <f>PL!S$990</f>
        <v>0</v>
      </c>
      <c r="S475" s="222">
        <f>PL!T$990</f>
        <v>0</v>
      </c>
      <c r="T475" s="222">
        <f>PL!U$990</f>
        <v>0</v>
      </c>
      <c r="U475" s="222">
        <f>PL!V$990</f>
        <v>0</v>
      </c>
      <c r="V475" s="222">
        <f>PL!W$990</f>
        <v>0</v>
      </c>
      <c r="W475" s="222">
        <f>PL!X$990</f>
        <v>0</v>
      </c>
      <c r="X475" s="222">
        <f>PL!Y$990</f>
        <v>0</v>
      </c>
      <c r="Y475" s="222">
        <f>PL!Z$990</f>
        <v>0</v>
      </c>
      <c r="Z475" s="222">
        <f>PL!AA$990</f>
        <v>0</v>
      </c>
      <c r="AA475" s="222">
        <f>PL!AB$990</f>
        <v>0</v>
      </c>
      <c r="AB475" s="222">
        <f>PL!AC$990</f>
        <v>0</v>
      </c>
    </row>
    <row r="476" spans="1:28">
      <c r="A476" s="598">
        <v>1</v>
      </c>
      <c r="B476" s="598" t="s">
        <v>507</v>
      </c>
      <c r="C476" s="598" t="s">
        <v>429</v>
      </c>
      <c r="D476" s="598" t="s">
        <v>73</v>
      </c>
      <c r="E476" s="598" t="s">
        <v>508</v>
      </c>
      <c r="G476" s="244"/>
      <c r="H476" s="244"/>
      <c r="I476" s="245"/>
      <c r="J476" s="219" t="s">
        <v>60</v>
      </c>
      <c r="K476" s="233" t="s">
        <v>321</v>
      </c>
      <c r="L476" s="232" t="s">
        <v>3</v>
      </c>
      <c r="M476" s="468" t="s">
        <v>4</v>
      </c>
      <c r="N476" s="234" t="s">
        <v>77</v>
      </c>
      <c r="O476" s="219" t="str">
        <f>PL!$P$4</f>
        <v>BIN</v>
      </c>
      <c r="P476" s="219" t="s">
        <v>322</v>
      </c>
      <c r="Q476" s="222" t="str">
        <f>PL!Q$991</f>
        <v>HC IP FE/TTOC Administration Total Training</v>
      </c>
      <c r="R476" s="222">
        <f>PL!S$991</f>
        <v>0</v>
      </c>
      <c r="S476" s="222">
        <f>PL!T$991</f>
        <v>0</v>
      </c>
      <c r="T476" s="222">
        <f>PL!U$991</f>
        <v>0</v>
      </c>
      <c r="U476" s="222">
        <f>PL!V$991</f>
        <v>0</v>
      </c>
      <c r="V476" s="222">
        <f>PL!W$991</f>
        <v>0</v>
      </c>
      <c r="W476" s="222">
        <f>PL!X$991</f>
        <v>0</v>
      </c>
      <c r="X476" s="222">
        <f>PL!Y$991</f>
        <v>0</v>
      </c>
      <c r="Y476" s="222">
        <f>PL!Z$991</f>
        <v>0</v>
      </c>
      <c r="Z476" s="222">
        <f>PL!AA$991</f>
        <v>0</v>
      </c>
      <c r="AA476" s="222">
        <f>PL!AB$991</f>
        <v>0</v>
      </c>
      <c r="AB476" s="222">
        <f>PL!AC$991</f>
        <v>0</v>
      </c>
    </row>
    <row r="477" spans="1:28">
      <c r="A477" s="598">
        <v>1</v>
      </c>
      <c r="B477" s="598" t="s">
        <v>507</v>
      </c>
      <c r="C477" s="598" t="s">
        <v>429</v>
      </c>
      <c r="D477" s="598" t="s">
        <v>73</v>
      </c>
      <c r="E477" s="598" t="s">
        <v>508</v>
      </c>
      <c r="G477" s="244"/>
      <c r="H477" s="244"/>
      <c r="I477" s="245"/>
      <c r="J477" s="219" t="s">
        <v>60</v>
      </c>
      <c r="K477" s="233" t="s">
        <v>321</v>
      </c>
      <c r="L477" s="232" t="s">
        <v>3</v>
      </c>
      <c r="M477" s="468" t="s">
        <v>4</v>
      </c>
      <c r="N477" s="234" t="s">
        <v>78</v>
      </c>
      <c r="O477" s="219" t="str">
        <f>PL!$P$4</f>
        <v>BIN</v>
      </c>
      <c r="P477" s="219" t="s">
        <v>322</v>
      </c>
      <c r="Q477" s="222" t="str">
        <f>PL!Q$992</f>
        <v>HC IP FE/TTOC Administration Total Others</v>
      </c>
      <c r="R477" s="222">
        <f>PL!S$992</f>
        <v>0</v>
      </c>
      <c r="S477" s="222">
        <f>PL!T$992</f>
        <v>0</v>
      </c>
      <c r="T477" s="222">
        <f>PL!U$992</f>
        <v>0</v>
      </c>
      <c r="U477" s="222">
        <f>PL!V$992</f>
        <v>0</v>
      </c>
      <c r="V477" s="222">
        <f>PL!W$992</f>
        <v>0</v>
      </c>
      <c r="W477" s="222">
        <f>PL!X$992</f>
        <v>0</v>
      </c>
      <c r="X477" s="222">
        <f>PL!Y$992</f>
        <v>0</v>
      </c>
      <c r="Y477" s="222">
        <f>PL!Z$992</f>
        <v>0</v>
      </c>
      <c r="Z477" s="222">
        <f>PL!AA$992</f>
        <v>0</v>
      </c>
      <c r="AA477" s="222">
        <f>PL!AB$992</f>
        <v>0</v>
      </c>
      <c r="AB477" s="222">
        <f>PL!AC$992</f>
        <v>0</v>
      </c>
    </row>
    <row r="478" spans="1:28" s="682" customFormat="1">
      <c r="A478" s="682">
        <v>1</v>
      </c>
      <c r="F478" s="684"/>
      <c r="G478" s="697"/>
      <c r="H478" s="697"/>
      <c r="I478" s="698"/>
      <c r="J478" s="699" t="s">
        <v>60</v>
      </c>
      <c r="K478" s="688" t="s">
        <v>54</v>
      </c>
      <c r="L478" s="700" t="s">
        <v>3</v>
      </c>
      <c r="M478" s="701" t="s">
        <v>4</v>
      </c>
      <c r="N478" s="723" t="s">
        <v>87</v>
      </c>
      <c r="O478" s="699" t="str">
        <f>PL!$P$4</f>
        <v>BIN</v>
      </c>
      <c r="P478" s="699" t="s">
        <v>322</v>
      </c>
      <c r="Q478" s="693"/>
      <c r="R478" s="693"/>
      <c r="S478" s="693"/>
      <c r="T478" s="693"/>
      <c r="U478" s="693"/>
      <c r="V478" s="693"/>
      <c r="W478" s="693"/>
      <c r="X478" s="693"/>
      <c r="Y478" s="693"/>
      <c r="Z478" s="693"/>
      <c r="AA478" s="693"/>
      <c r="AB478" s="693"/>
    </row>
    <row r="479" spans="1:28">
      <c r="A479" s="598">
        <v>1</v>
      </c>
      <c r="B479" s="598" t="s">
        <v>507</v>
      </c>
      <c r="C479" s="598" t="s">
        <v>429</v>
      </c>
      <c r="D479" s="598" t="s">
        <v>87</v>
      </c>
      <c r="E479" s="598" t="s">
        <v>508</v>
      </c>
      <c r="G479" s="244"/>
      <c r="H479" s="244"/>
      <c r="I479" s="245"/>
      <c r="J479" s="219" t="s">
        <v>60</v>
      </c>
      <c r="K479" s="233" t="s">
        <v>321</v>
      </c>
      <c r="L479" s="232" t="s">
        <v>3</v>
      </c>
      <c r="M479" s="468" t="s">
        <v>4</v>
      </c>
      <c r="N479" s="234" t="s">
        <v>79</v>
      </c>
      <c r="O479" s="219" t="str">
        <f>PL!$P$4</f>
        <v>BIN</v>
      </c>
      <c r="P479" s="219" t="s">
        <v>322</v>
      </c>
      <c r="Q479" s="222" t="str">
        <f>PL!Q$994</f>
        <v>HC IP FE/TTOC Logistics Total Administration</v>
      </c>
      <c r="R479" s="222">
        <f>PL!S$994</f>
        <v>0</v>
      </c>
      <c r="S479" s="222">
        <f>PL!T$994</f>
        <v>0</v>
      </c>
      <c r="T479" s="222">
        <f>PL!U$994</f>
        <v>0</v>
      </c>
      <c r="U479" s="222">
        <f>PL!V$994</f>
        <v>0</v>
      </c>
      <c r="V479" s="222">
        <f>PL!W$994</f>
        <v>0</v>
      </c>
      <c r="W479" s="222">
        <f>PL!X$994</f>
        <v>0</v>
      </c>
      <c r="X479" s="222">
        <f>PL!Y$994</f>
        <v>0</v>
      </c>
      <c r="Y479" s="222">
        <f>PL!Z$994</f>
        <v>0</v>
      </c>
      <c r="Z479" s="222">
        <f>PL!AA$994</f>
        <v>0</v>
      </c>
      <c r="AA479" s="222">
        <f>PL!AB$994</f>
        <v>0</v>
      </c>
      <c r="AB479" s="222">
        <f>PL!AC$994</f>
        <v>0</v>
      </c>
    </row>
    <row r="480" spans="1:28">
      <c r="A480" s="598">
        <v>1</v>
      </c>
      <c r="B480" s="598" t="s">
        <v>507</v>
      </c>
      <c r="C480" s="598" t="s">
        <v>429</v>
      </c>
      <c r="D480" s="598" t="s">
        <v>87</v>
      </c>
      <c r="E480" s="598" t="s">
        <v>508</v>
      </c>
      <c r="G480" s="244"/>
      <c r="H480" s="244"/>
      <c r="I480" s="245"/>
      <c r="J480" s="219" t="s">
        <v>60</v>
      </c>
      <c r="K480" s="233" t="s">
        <v>321</v>
      </c>
      <c r="L480" s="232" t="s">
        <v>3</v>
      </c>
      <c r="M480" s="468" t="s">
        <v>4</v>
      </c>
      <c r="N480" s="234" t="s">
        <v>80</v>
      </c>
      <c r="O480" s="219" t="str">
        <f>PL!$P$4</f>
        <v>BIN</v>
      </c>
      <c r="P480" s="219" t="s">
        <v>322</v>
      </c>
      <c r="Q480" s="222" t="str">
        <f>PL!Q$995</f>
        <v>HC IP FE/TTOC Logistics Total Warehouse</v>
      </c>
      <c r="R480" s="222">
        <f>PL!S$995</f>
        <v>0</v>
      </c>
      <c r="S480" s="222">
        <f>PL!T$995</f>
        <v>0</v>
      </c>
      <c r="T480" s="222">
        <f>PL!U$995</f>
        <v>0</v>
      </c>
      <c r="U480" s="222">
        <f>PL!V$995</f>
        <v>0</v>
      </c>
      <c r="V480" s="222">
        <f>PL!W$995</f>
        <v>0</v>
      </c>
      <c r="W480" s="222">
        <f>PL!X$995</f>
        <v>0</v>
      </c>
      <c r="X480" s="222">
        <f>PL!Y$995</f>
        <v>0</v>
      </c>
      <c r="Y480" s="222">
        <f>PL!Z$995</f>
        <v>0</v>
      </c>
      <c r="Z480" s="222">
        <f>PL!AA$995</f>
        <v>0</v>
      </c>
      <c r="AA480" s="222">
        <f>PL!AB$995</f>
        <v>0</v>
      </c>
      <c r="AB480" s="222">
        <f>PL!AC$995</f>
        <v>0</v>
      </c>
    </row>
    <row r="481" spans="1:28">
      <c r="A481" s="598">
        <v>1</v>
      </c>
      <c r="B481" s="598" t="s">
        <v>507</v>
      </c>
      <c r="C481" s="598" t="s">
        <v>429</v>
      </c>
      <c r="D481" s="598" t="s">
        <v>87</v>
      </c>
      <c r="E481" s="598" t="s">
        <v>508</v>
      </c>
      <c r="G481" s="244"/>
      <c r="H481" s="244"/>
      <c r="I481" s="245"/>
      <c r="J481" s="219" t="s">
        <v>60</v>
      </c>
      <c r="K481" s="233" t="s">
        <v>321</v>
      </c>
      <c r="L481" s="232" t="s">
        <v>3</v>
      </c>
      <c r="M481" s="468" t="s">
        <v>4</v>
      </c>
      <c r="N481" s="234" t="s">
        <v>81</v>
      </c>
      <c r="O481" s="219" t="str">
        <f>PL!$P$4</f>
        <v>BIN</v>
      </c>
      <c r="P481" s="219" t="s">
        <v>322</v>
      </c>
      <c r="Q481" s="222" t="str">
        <f>PL!Q$996</f>
        <v>HC IP FE/TTOC Logistics Total Workshop</v>
      </c>
      <c r="R481" s="222">
        <f>PL!S$996</f>
        <v>0</v>
      </c>
      <c r="S481" s="222">
        <f>PL!T$996</f>
        <v>0</v>
      </c>
      <c r="T481" s="222">
        <f>PL!U$996</f>
        <v>0</v>
      </c>
      <c r="U481" s="222">
        <f>PL!V$996</f>
        <v>0</v>
      </c>
      <c r="V481" s="222">
        <f>PL!W$996</f>
        <v>0</v>
      </c>
      <c r="W481" s="222">
        <f>PL!X$996</f>
        <v>0</v>
      </c>
      <c r="X481" s="222">
        <f>PL!Y$996</f>
        <v>0</v>
      </c>
      <c r="Y481" s="222">
        <f>PL!Z$996</f>
        <v>0</v>
      </c>
      <c r="Z481" s="222">
        <f>PL!AA$996</f>
        <v>0</v>
      </c>
      <c r="AA481" s="222">
        <f>PL!AB$996</f>
        <v>0</v>
      </c>
      <c r="AB481" s="222">
        <f>PL!AC$996</f>
        <v>0</v>
      </c>
    </row>
    <row r="482" spans="1:28">
      <c r="A482" s="598">
        <v>1</v>
      </c>
      <c r="B482" s="598" t="s">
        <v>507</v>
      </c>
      <c r="C482" s="598" t="s">
        <v>429</v>
      </c>
      <c r="D482" s="598" t="s">
        <v>327</v>
      </c>
      <c r="E482" s="598" t="s">
        <v>327</v>
      </c>
      <c r="G482" s="244"/>
      <c r="H482" s="244"/>
      <c r="I482" s="245"/>
      <c r="J482" s="219" t="s">
        <v>60</v>
      </c>
      <c r="K482" s="233" t="s">
        <v>419</v>
      </c>
      <c r="L482" s="232" t="s">
        <v>3</v>
      </c>
      <c r="M482" s="468" t="s">
        <v>4</v>
      </c>
      <c r="N482" s="231" t="s">
        <v>327</v>
      </c>
      <c r="O482" s="219" t="str">
        <f>PL!$P$4</f>
        <v>BIN</v>
      </c>
      <c r="P482" s="219" t="s">
        <v>322</v>
      </c>
      <c r="Q482" s="222" t="str">
        <f>PL!Q$997</f>
        <v>HC IP Semi-Full-Time/Part-Time Employees /Contractors</v>
      </c>
      <c r="R482" s="222">
        <f>PL!S$997</f>
        <v>0</v>
      </c>
      <c r="S482" s="222">
        <f>PL!T$997</f>
        <v>0</v>
      </c>
      <c r="T482" s="222">
        <f>PL!U$997</f>
        <v>0</v>
      </c>
      <c r="U482" s="222">
        <f>PL!V$997</f>
        <v>0</v>
      </c>
      <c r="V482" s="222">
        <f>PL!W$997</f>
        <v>0</v>
      </c>
      <c r="W482" s="222">
        <f>PL!X$997</f>
        <v>0</v>
      </c>
      <c r="X482" s="222">
        <f>PL!Y$997</f>
        <v>0</v>
      </c>
      <c r="Y482" s="222">
        <f>PL!Z$997</f>
        <v>0</v>
      </c>
      <c r="Z482" s="222">
        <f>PL!AA$997</f>
        <v>0</v>
      </c>
      <c r="AA482" s="222">
        <f>PL!AB$997</f>
        <v>0</v>
      </c>
      <c r="AB482" s="222">
        <f>PL!AC$997</f>
        <v>0</v>
      </c>
    </row>
    <row r="483" spans="1:28">
      <c r="A483" s="598">
        <v>1</v>
      </c>
      <c r="G483" s="244"/>
      <c r="H483" s="246"/>
      <c r="I483" s="244"/>
      <c r="J483" s="253"/>
      <c r="K483" s="254"/>
      <c r="L483" s="254"/>
      <c r="M483" s="254"/>
      <c r="N483" s="254"/>
      <c r="O483" s="253"/>
      <c r="P483" s="253"/>
      <c r="Q483" s="253"/>
      <c r="R483" s="253"/>
      <c r="S483" s="253"/>
      <c r="T483" s="253"/>
      <c r="U483" s="253"/>
      <c r="V483" s="253"/>
      <c r="W483" s="253"/>
      <c r="X483" s="253"/>
      <c r="Y483" s="253"/>
      <c r="Z483" s="253"/>
      <c r="AA483" s="253"/>
      <c r="AB483" s="253"/>
    </row>
    <row r="484" spans="1:28" s="726" customFormat="1">
      <c r="A484" s="726">
        <v>1</v>
      </c>
      <c r="C484" s="727" t="s">
        <v>430</v>
      </c>
      <c r="F484" s="729"/>
      <c r="G484" s="739"/>
      <c r="H484" s="739"/>
      <c r="I484" s="740"/>
      <c r="J484" s="741" t="s">
        <v>60</v>
      </c>
      <c r="K484" s="742" t="s">
        <v>56</v>
      </c>
      <c r="L484" s="743" t="s">
        <v>3</v>
      </c>
      <c r="M484" s="744" t="s">
        <v>4</v>
      </c>
      <c r="N484" s="745" t="s">
        <v>62</v>
      </c>
      <c r="O484" s="741" t="str">
        <f>PL!$P$4</f>
        <v>BIN</v>
      </c>
      <c r="P484" s="741" t="s">
        <v>322</v>
      </c>
      <c r="Q484" s="738"/>
      <c r="R484" s="738"/>
      <c r="S484" s="738"/>
      <c r="T484" s="738"/>
      <c r="U484" s="738"/>
      <c r="V484" s="738"/>
      <c r="W484" s="738"/>
      <c r="X484" s="738"/>
      <c r="Y484" s="738"/>
      <c r="Z484" s="738"/>
      <c r="AA484" s="738"/>
      <c r="AB484" s="738"/>
    </row>
    <row r="485" spans="1:28">
      <c r="A485" s="598">
        <v>1</v>
      </c>
      <c r="B485" s="598" t="s">
        <v>507</v>
      </c>
      <c r="C485" s="598" t="s">
        <v>430</v>
      </c>
      <c r="D485" s="598" t="s">
        <v>62</v>
      </c>
      <c r="E485" s="598" t="s">
        <v>508</v>
      </c>
      <c r="G485" s="244"/>
      <c r="H485" s="244"/>
      <c r="I485" s="245"/>
      <c r="J485" s="219" t="s">
        <v>60</v>
      </c>
      <c r="K485" s="233" t="s">
        <v>56</v>
      </c>
      <c r="L485" s="232" t="s">
        <v>3</v>
      </c>
      <c r="M485" s="468" t="s">
        <v>4</v>
      </c>
      <c r="N485" s="234" t="s">
        <v>63</v>
      </c>
      <c r="O485" s="219" t="str">
        <f>PL!$P$4</f>
        <v>BIN</v>
      </c>
      <c r="P485" s="219" t="s">
        <v>322</v>
      </c>
      <c r="Q485" s="222" t="str">
        <f>PL!Q$1002</f>
        <v>HC MS FE/TTOC Sales Total Direct sales rep.</v>
      </c>
      <c r="R485" s="222">
        <f>PL!S$1002</f>
        <v>0</v>
      </c>
      <c r="S485" s="222">
        <f>PL!T$1002</f>
        <v>0</v>
      </c>
      <c r="T485" s="222">
        <f>PL!U$1002</f>
        <v>0</v>
      </c>
      <c r="U485" s="222">
        <f>PL!V$1002</f>
        <v>0</v>
      </c>
      <c r="V485" s="222">
        <f>PL!W$1002</f>
        <v>0</v>
      </c>
      <c r="W485" s="222">
        <f>PL!X$1002</f>
        <v>0</v>
      </c>
      <c r="X485" s="222">
        <f>PL!Y$1002</f>
        <v>0</v>
      </c>
      <c r="Y485" s="222">
        <f>PL!Z$1002</f>
        <v>0</v>
      </c>
      <c r="Z485" s="222">
        <f>PL!AA$1002</f>
        <v>0</v>
      </c>
      <c r="AA485" s="222">
        <f>PL!AB$1002</f>
        <v>0</v>
      </c>
      <c r="AB485" s="222">
        <f>PL!AC$1002</f>
        <v>0</v>
      </c>
    </row>
    <row r="486" spans="1:28">
      <c r="A486" s="598">
        <v>1</v>
      </c>
      <c r="B486" s="598" t="s">
        <v>507</v>
      </c>
      <c r="C486" s="598" t="s">
        <v>430</v>
      </c>
      <c r="D486" s="598" t="s">
        <v>62</v>
      </c>
      <c r="E486" s="598" t="s">
        <v>508</v>
      </c>
      <c r="G486" s="244"/>
      <c r="H486" s="244"/>
      <c r="I486" s="245"/>
      <c r="J486" s="219" t="s">
        <v>60</v>
      </c>
      <c r="K486" s="233" t="s">
        <v>56</v>
      </c>
      <c r="L486" s="232" t="s">
        <v>3</v>
      </c>
      <c r="M486" s="468" t="s">
        <v>4</v>
      </c>
      <c r="N486" s="234" t="s">
        <v>64</v>
      </c>
      <c r="O486" s="219" t="str">
        <f>PL!$P$4</f>
        <v>BIN</v>
      </c>
      <c r="P486" s="219" t="s">
        <v>322</v>
      </c>
      <c r="Q486" s="222" t="str">
        <f>PL!Q$1003</f>
        <v>HC MS FE/TTOC Sales Total Direct sales engineers</v>
      </c>
      <c r="R486" s="222">
        <f>PL!S$1003</f>
        <v>0</v>
      </c>
      <c r="S486" s="222">
        <f>PL!T$1003</f>
        <v>0</v>
      </c>
      <c r="T486" s="222">
        <f>PL!U$1003</f>
        <v>0</v>
      </c>
      <c r="U486" s="222">
        <f>PL!V$1003</f>
        <v>0</v>
      </c>
      <c r="V486" s="222">
        <f>PL!W$1003</f>
        <v>0</v>
      </c>
      <c r="W486" s="222">
        <f>PL!X$1003</f>
        <v>0</v>
      </c>
      <c r="X486" s="222">
        <f>PL!Y$1003</f>
        <v>0</v>
      </c>
      <c r="Y486" s="222">
        <f>PL!Z$1003</f>
        <v>0</v>
      </c>
      <c r="Z486" s="222">
        <f>PL!AA$1003</f>
        <v>0</v>
      </c>
      <c r="AA486" s="222">
        <f>PL!AB$1003</f>
        <v>0</v>
      </c>
      <c r="AB486" s="222">
        <f>PL!AC$1003</f>
        <v>0</v>
      </c>
    </row>
    <row r="487" spans="1:28">
      <c r="A487" s="598">
        <v>1</v>
      </c>
      <c r="B487" s="598" t="s">
        <v>507</v>
      </c>
      <c r="C487" s="598" t="s">
        <v>430</v>
      </c>
      <c r="D487" s="598" t="s">
        <v>62</v>
      </c>
      <c r="E487" s="598" t="s">
        <v>508</v>
      </c>
      <c r="G487" s="244"/>
      <c r="H487" s="244"/>
      <c r="I487" s="245"/>
      <c r="J487" s="219" t="s">
        <v>60</v>
      </c>
      <c r="K487" s="233" t="s">
        <v>56</v>
      </c>
      <c r="L487" s="232" t="s">
        <v>3</v>
      </c>
      <c r="M487" s="468" t="s">
        <v>4</v>
      </c>
      <c r="N487" s="234" t="s">
        <v>65</v>
      </c>
      <c r="O487" s="219" t="str">
        <f>PL!$P$4</f>
        <v>BIN</v>
      </c>
      <c r="P487" s="219" t="s">
        <v>322</v>
      </c>
      <c r="Q487" s="222" t="str">
        <f>PL!Q$1004</f>
        <v>HC MS FE/TTOC Sales Total Dealer(Indirect) sales rep.</v>
      </c>
      <c r="R487" s="222">
        <f>PL!S$1004</f>
        <v>0</v>
      </c>
      <c r="S487" s="222">
        <f>PL!T$1004</f>
        <v>0</v>
      </c>
      <c r="T487" s="222">
        <f>PL!U$1004</f>
        <v>0</v>
      </c>
      <c r="U487" s="222">
        <f>PL!V$1004</f>
        <v>0</v>
      </c>
      <c r="V487" s="222">
        <f>PL!W$1004</f>
        <v>0</v>
      </c>
      <c r="W487" s="222">
        <f>PL!X$1004</f>
        <v>0</v>
      </c>
      <c r="X487" s="222">
        <f>PL!Y$1004</f>
        <v>0</v>
      </c>
      <c r="Y487" s="222">
        <f>PL!Z$1004</f>
        <v>0</v>
      </c>
      <c r="Z487" s="222">
        <f>PL!AA$1004</f>
        <v>0</v>
      </c>
      <c r="AA487" s="222">
        <f>PL!AB$1004</f>
        <v>0</v>
      </c>
      <c r="AB487" s="222">
        <f>PL!AC$1004</f>
        <v>0</v>
      </c>
    </row>
    <row r="488" spans="1:28">
      <c r="A488" s="598">
        <v>1</v>
      </c>
      <c r="B488" s="598" t="s">
        <v>507</v>
      </c>
      <c r="C488" s="598" t="s">
        <v>430</v>
      </c>
      <c r="D488" s="598" t="s">
        <v>62</v>
      </c>
      <c r="E488" s="598" t="s">
        <v>508</v>
      </c>
      <c r="G488" s="244"/>
      <c r="H488" s="244"/>
      <c r="I488" s="245"/>
      <c r="J488" s="219" t="s">
        <v>60</v>
      </c>
      <c r="K488" s="233" t="s">
        <v>56</v>
      </c>
      <c r="L488" s="232" t="s">
        <v>3</v>
      </c>
      <c r="M488" s="468" t="s">
        <v>4</v>
      </c>
      <c r="N488" s="234" t="s">
        <v>66</v>
      </c>
      <c r="O488" s="219" t="str">
        <f>PL!$P$4</f>
        <v>BIN</v>
      </c>
      <c r="P488" s="219" t="s">
        <v>322</v>
      </c>
      <c r="Q488" s="222" t="str">
        <f>PL!Q$1005</f>
        <v>HC MS FE/TTOC Sales Total Administration/Others</v>
      </c>
      <c r="R488" s="222">
        <f>PL!S$1005</f>
        <v>0</v>
      </c>
      <c r="S488" s="222">
        <f>PL!T$1005</f>
        <v>0</v>
      </c>
      <c r="T488" s="222">
        <f>PL!U$1005</f>
        <v>0</v>
      </c>
      <c r="U488" s="222">
        <f>PL!V$1005</f>
        <v>0</v>
      </c>
      <c r="V488" s="222">
        <f>PL!W$1005</f>
        <v>0</v>
      </c>
      <c r="W488" s="222">
        <f>PL!X$1005</f>
        <v>0</v>
      </c>
      <c r="X488" s="222">
        <f>PL!Y$1005</f>
        <v>0</v>
      </c>
      <c r="Y488" s="222">
        <f>PL!Z$1005</f>
        <v>0</v>
      </c>
      <c r="Z488" s="222">
        <f>PL!AA$1005</f>
        <v>0</v>
      </c>
      <c r="AA488" s="222">
        <f>PL!AB$1005</f>
        <v>0</v>
      </c>
      <c r="AB488" s="222">
        <f>PL!AC$1005</f>
        <v>0</v>
      </c>
    </row>
    <row r="489" spans="1:28" s="682" customFormat="1">
      <c r="A489" s="682">
        <v>1</v>
      </c>
      <c r="F489" s="684"/>
      <c r="G489" s="697"/>
      <c r="H489" s="697"/>
      <c r="I489" s="698"/>
      <c r="J489" s="699" t="s">
        <v>60</v>
      </c>
      <c r="K489" s="688" t="s">
        <v>56</v>
      </c>
      <c r="L489" s="700" t="s">
        <v>3</v>
      </c>
      <c r="M489" s="701" t="s">
        <v>4</v>
      </c>
      <c r="N489" s="723" t="s">
        <v>86</v>
      </c>
      <c r="O489" s="699" t="str">
        <f>PL!$P$4</f>
        <v>BIN</v>
      </c>
      <c r="P489" s="699" t="s">
        <v>322</v>
      </c>
      <c r="Q489" s="693"/>
      <c r="R489" s="693"/>
      <c r="S489" s="693"/>
      <c r="T489" s="693"/>
      <c r="U489" s="693"/>
      <c r="V489" s="693"/>
      <c r="W489" s="693"/>
      <c r="X489" s="693"/>
      <c r="Y489" s="693"/>
      <c r="Z489" s="693"/>
      <c r="AA489" s="693"/>
      <c r="AB489" s="693"/>
    </row>
    <row r="490" spans="1:28">
      <c r="A490" s="598">
        <v>1</v>
      </c>
      <c r="B490" s="598" t="s">
        <v>507</v>
      </c>
      <c r="C490" s="598" t="s">
        <v>430</v>
      </c>
      <c r="D490" s="598" t="s">
        <v>86</v>
      </c>
      <c r="E490" s="598" t="s">
        <v>508</v>
      </c>
      <c r="G490" s="244"/>
      <c r="H490" s="244"/>
      <c r="I490" s="245"/>
      <c r="J490" s="219" t="s">
        <v>60</v>
      </c>
      <c r="K490" s="233" t="s">
        <v>56</v>
      </c>
      <c r="L490" s="232" t="s">
        <v>3</v>
      </c>
      <c r="M490" s="468" t="s">
        <v>4</v>
      </c>
      <c r="N490" s="234" t="s">
        <v>67</v>
      </c>
      <c r="O490" s="219" t="str">
        <f>PL!$P$4</f>
        <v>BIN</v>
      </c>
      <c r="P490" s="219" t="s">
        <v>322</v>
      </c>
      <c r="Q490" s="222" t="str">
        <f>PL!Q$1007</f>
        <v>HC MS FE/TTOC Service Total Onsite Engineer</v>
      </c>
      <c r="R490" s="222">
        <f>PL!S$1007</f>
        <v>0</v>
      </c>
      <c r="S490" s="222">
        <f>PL!T$1007</f>
        <v>0</v>
      </c>
      <c r="T490" s="222">
        <f>PL!U$1007</f>
        <v>0</v>
      </c>
      <c r="U490" s="222">
        <f>PL!V$1007</f>
        <v>0</v>
      </c>
      <c r="V490" s="222">
        <f>PL!W$1007</f>
        <v>0</v>
      </c>
      <c r="W490" s="222">
        <f>PL!X$1007</f>
        <v>0</v>
      </c>
      <c r="X490" s="222">
        <f>PL!Y$1007</f>
        <v>0</v>
      </c>
      <c r="Y490" s="222">
        <f>PL!Z$1007</f>
        <v>0</v>
      </c>
      <c r="Z490" s="222">
        <f>PL!AA$1007</f>
        <v>0</v>
      </c>
      <c r="AA490" s="222">
        <f>PL!AB$1007</f>
        <v>0</v>
      </c>
      <c r="AB490" s="222">
        <f>PL!AC$1007</f>
        <v>0</v>
      </c>
    </row>
    <row r="491" spans="1:28">
      <c r="A491" s="598">
        <v>1</v>
      </c>
      <c r="B491" s="598" t="s">
        <v>507</v>
      </c>
      <c r="C491" s="598" t="s">
        <v>430</v>
      </c>
      <c r="D491" s="598" t="s">
        <v>86</v>
      </c>
      <c r="E491" s="598" t="s">
        <v>508</v>
      </c>
      <c r="G491" s="244"/>
      <c r="H491" s="244"/>
      <c r="I491" s="245"/>
      <c r="J491" s="219" t="s">
        <v>60</v>
      </c>
      <c r="K491" s="233" t="s">
        <v>56</v>
      </c>
      <c r="L491" s="232" t="s">
        <v>3</v>
      </c>
      <c r="M491" s="468" t="s">
        <v>4</v>
      </c>
      <c r="N491" s="234" t="s">
        <v>68</v>
      </c>
      <c r="O491" s="219" t="str">
        <f>PL!$P$4</f>
        <v>BIN</v>
      </c>
      <c r="P491" s="219" t="s">
        <v>322</v>
      </c>
      <c r="Q491" s="222" t="str">
        <f>PL!Q$1008</f>
        <v>HC MS FE/TTOC Service Total Remote Engineer</v>
      </c>
      <c r="R491" s="222">
        <f>PL!S$1008</f>
        <v>0</v>
      </c>
      <c r="S491" s="222">
        <f>PL!T$1008</f>
        <v>0</v>
      </c>
      <c r="T491" s="222">
        <f>PL!U$1008</f>
        <v>0</v>
      </c>
      <c r="U491" s="222">
        <f>PL!V$1008</f>
        <v>0</v>
      </c>
      <c r="V491" s="222">
        <f>PL!W$1008</f>
        <v>0</v>
      </c>
      <c r="W491" s="222">
        <f>PL!X$1008</f>
        <v>0</v>
      </c>
      <c r="X491" s="222">
        <f>PL!Y$1008</f>
        <v>0</v>
      </c>
      <c r="Y491" s="222">
        <f>PL!Z$1008</f>
        <v>0</v>
      </c>
      <c r="Z491" s="222">
        <f>PL!AA$1008</f>
        <v>0</v>
      </c>
      <c r="AA491" s="222">
        <f>PL!AB$1008</f>
        <v>0</v>
      </c>
      <c r="AB491" s="222">
        <f>PL!AC$1008</f>
        <v>0</v>
      </c>
    </row>
    <row r="492" spans="1:28">
      <c r="A492" s="598">
        <v>1</v>
      </c>
      <c r="B492" s="598" t="s">
        <v>507</v>
      </c>
      <c r="C492" s="598" t="s">
        <v>430</v>
      </c>
      <c r="D492" s="598" t="s">
        <v>86</v>
      </c>
      <c r="E492" s="598" t="s">
        <v>508</v>
      </c>
      <c r="G492" s="244"/>
      <c r="H492" s="244"/>
      <c r="I492" s="245"/>
      <c r="J492" s="219" t="s">
        <v>60</v>
      </c>
      <c r="K492" s="233" t="s">
        <v>56</v>
      </c>
      <c r="L492" s="232" t="s">
        <v>3</v>
      </c>
      <c r="M492" s="468" t="s">
        <v>4</v>
      </c>
      <c r="N492" s="234" t="s">
        <v>69</v>
      </c>
      <c r="O492" s="219" t="str">
        <f>PL!$P$4</f>
        <v>BIN</v>
      </c>
      <c r="P492" s="219" t="s">
        <v>322</v>
      </c>
      <c r="Q492" s="222" t="str">
        <f>PL!Q$1009</f>
        <v>HC MS FE/TTOC Service Total Technical support</v>
      </c>
      <c r="R492" s="222">
        <f>PL!S$1009</f>
        <v>0</v>
      </c>
      <c r="S492" s="222">
        <f>PL!T$1009</f>
        <v>0</v>
      </c>
      <c r="T492" s="222">
        <f>PL!U$1009</f>
        <v>0</v>
      </c>
      <c r="U492" s="222">
        <f>PL!V$1009</f>
        <v>0</v>
      </c>
      <c r="V492" s="222">
        <f>PL!W$1009</f>
        <v>0</v>
      </c>
      <c r="W492" s="222">
        <f>PL!X$1009</f>
        <v>0</v>
      </c>
      <c r="X492" s="222">
        <f>PL!Y$1009</f>
        <v>0</v>
      </c>
      <c r="Y492" s="222">
        <f>PL!Z$1009</f>
        <v>0</v>
      </c>
      <c r="Z492" s="222">
        <f>PL!AA$1009</f>
        <v>0</v>
      </c>
      <c r="AA492" s="222">
        <f>PL!AB$1009</f>
        <v>0</v>
      </c>
      <c r="AB492" s="222">
        <f>PL!AC$1009</f>
        <v>0</v>
      </c>
    </row>
    <row r="493" spans="1:28">
      <c r="A493" s="598">
        <v>1</v>
      </c>
      <c r="B493" s="598" t="s">
        <v>507</v>
      </c>
      <c r="C493" s="598" t="s">
        <v>430</v>
      </c>
      <c r="D493" s="598" t="s">
        <v>86</v>
      </c>
      <c r="E493" s="598" t="s">
        <v>508</v>
      </c>
      <c r="G493" s="244"/>
      <c r="H493" s="244"/>
      <c r="I493" s="245"/>
      <c r="J493" s="219" t="s">
        <v>60</v>
      </c>
      <c r="K493" s="233" t="s">
        <v>56</v>
      </c>
      <c r="L493" s="232" t="s">
        <v>3</v>
      </c>
      <c r="M493" s="468" t="s">
        <v>4</v>
      </c>
      <c r="N493" s="234" t="s">
        <v>70</v>
      </c>
      <c r="O493" s="219" t="str">
        <f>PL!$P$4</f>
        <v>BIN</v>
      </c>
      <c r="P493" s="219" t="s">
        <v>322</v>
      </c>
      <c r="Q493" s="222" t="str">
        <f>PL!Q$1010</f>
        <v>HC MS FE/TTOC Service Total Dealer(Indirect) support</v>
      </c>
      <c r="R493" s="222">
        <f>PL!S$1010</f>
        <v>0</v>
      </c>
      <c r="S493" s="222">
        <f>PL!T$1010</f>
        <v>0</v>
      </c>
      <c r="T493" s="222">
        <f>PL!U$1010</f>
        <v>0</v>
      </c>
      <c r="U493" s="222">
        <f>PL!V$1010</f>
        <v>0</v>
      </c>
      <c r="V493" s="222">
        <f>PL!W$1010</f>
        <v>0</v>
      </c>
      <c r="W493" s="222">
        <f>PL!X$1010</f>
        <v>0</v>
      </c>
      <c r="X493" s="222">
        <f>PL!Y$1010</f>
        <v>0</v>
      </c>
      <c r="Y493" s="222">
        <f>PL!Z$1010</f>
        <v>0</v>
      </c>
      <c r="Z493" s="222">
        <f>PL!AA$1010</f>
        <v>0</v>
      </c>
      <c r="AA493" s="222">
        <f>PL!AB$1010</f>
        <v>0</v>
      </c>
      <c r="AB493" s="222">
        <f>PL!AC$1010</f>
        <v>0</v>
      </c>
    </row>
    <row r="494" spans="1:28">
      <c r="A494" s="598">
        <v>1</v>
      </c>
      <c r="B494" s="598" t="s">
        <v>507</v>
      </c>
      <c r="C494" s="598" t="s">
        <v>430</v>
      </c>
      <c r="D494" s="598" t="s">
        <v>86</v>
      </c>
      <c r="E494" s="598" t="s">
        <v>508</v>
      </c>
      <c r="G494" s="244"/>
      <c r="H494" s="244"/>
      <c r="I494" s="245"/>
      <c r="J494" s="219" t="s">
        <v>60</v>
      </c>
      <c r="K494" s="233" t="s">
        <v>56</v>
      </c>
      <c r="L494" s="232" t="s">
        <v>3</v>
      </c>
      <c r="M494" s="468" t="s">
        <v>4</v>
      </c>
      <c r="N494" s="234" t="s">
        <v>71</v>
      </c>
      <c r="O494" s="219" t="str">
        <f>PL!$P$4</f>
        <v>BIN</v>
      </c>
      <c r="P494" s="219" t="s">
        <v>322</v>
      </c>
      <c r="Q494" s="222" t="str">
        <f>PL!Q$1011</f>
        <v>HC MS FE/TTOC Service Total Administration/Others</v>
      </c>
      <c r="R494" s="222">
        <f>PL!S$1011</f>
        <v>0</v>
      </c>
      <c r="S494" s="222">
        <f>PL!T$1011</f>
        <v>0</v>
      </c>
      <c r="T494" s="222">
        <f>PL!U$1011</f>
        <v>0</v>
      </c>
      <c r="U494" s="222">
        <f>PL!V$1011</f>
        <v>0</v>
      </c>
      <c r="V494" s="222">
        <f>PL!W$1011</f>
        <v>0</v>
      </c>
      <c r="W494" s="222">
        <f>PL!X$1011</f>
        <v>0</v>
      </c>
      <c r="X494" s="222">
        <f>PL!Y$1011</f>
        <v>0</v>
      </c>
      <c r="Y494" s="222">
        <f>PL!Z$1011</f>
        <v>0</v>
      </c>
      <c r="Z494" s="222">
        <f>PL!AA$1011</f>
        <v>0</v>
      </c>
      <c r="AA494" s="222">
        <f>PL!AB$1011</f>
        <v>0</v>
      </c>
      <c r="AB494" s="222">
        <f>PL!AC$1011</f>
        <v>0</v>
      </c>
    </row>
    <row r="495" spans="1:28" s="682" customFormat="1">
      <c r="A495" s="682">
        <v>1</v>
      </c>
      <c r="F495" s="684"/>
      <c r="G495" s="697"/>
      <c r="H495" s="697"/>
      <c r="I495" s="698"/>
      <c r="J495" s="699" t="s">
        <v>60</v>
      </c>
      <c r="K495" s="688" t="s">
        <v>56</v>
      </c>
      <c r="L495" s="700" t="s">
        <v>3</v>
      </c>
      <c r="M495" s="701" t="s">
        <v>4</v>
      </c>
      <c r="N495" s="723" t="s">
        <v>72</v>
      </c>
      <c r="O495" s="699" t="str">
        <f>PL!$P$4</f>
        <v>BIN</v>
      </c>
      <c r="P495" s="699" t="s">
        <v>322</v>
      </c>
      <c r="Q495" s="693"/>
      <c r="R495" s="693"/>
      <c r="S495" s="693"/>
      <c r="T495" s="693"/>
      <c r="U495" s="693"/>
      <c r="V495" s="693"/>
      <c r="W495" s="693"/>
      <c r="X495" s="693"/>
      <c r="Y495" s="693"/>
      <c r="Z495" s="693"/>
      <c r="AA495" s="693"/>
      <c r="AB495" s="693"/>
    </row>
    <row r="496" spans="1:28">
      <c r="A496" s="598">
        <v>1</v>
      </c>
      <c r="B496" s="598" t="s">
        <v>507</v>
      </c>
      <c r="C496" s="598" t="s">
        <v>430</v>
      </c>
      <c r="D496" s="598" t="s">
        <v>72</v>
      </c>
      <c r="E496" s="598" t="s">
        <v>508</v>
      </c>
      <c r="G496" s="244"/>
      <c r="H496" s="244"/>
      <c r="I496" s="245"/>
      <c r="J496" s="219" t="s">
        <v>60</v>
      </c>
      <c r="K496" s="233" t="s">
        <v>56</v>
      </c>
      <c r="L496" s="232" t="s">
        <v>3</v>
      </c>
      <c r="M496" s="468" t="s">
        <v>4</v>
      </c>
      <c r="N496" s="234" t="s">
        <v>323</v>
      </c>
      <c r="O496" s="219" t="str">
        <f>PL!$P$4</f>
        <v>BIN</v>
      </c>
      <c r="P496" s="219" t="s">
        <v>322</v>
      </c>
      <c r="Q496" s="222" t="str">
        <f>PL!Q$1013</f>
        <v>HC MS FE/TTOC Marketing Total Business Development</v>
      </c>
      <c r="R496" s="222">
        <f>PL!S$1013</f>
        <v>0</v>
      </c>
      <c r="S496" s="222">
        <f>PL!T$1013</f>
        <v>0</v>
      </c>
      <c r="T496" s="222">
        <f>PL!U$1013</f>
        <v>0</v>
      </c>
      <c r="U496" s="222">
        <f>PL!V$1013</f>
        <v>0</v>
      </c>
      <c r="V496" s="222">
        <f>PL!W$1013</f>
        <v>0</v>
      </c>
      <c r="W496" s="222">
        <f>PL!X$1013</f>
        <v>0</v>
      </c>
      <c r="X496" s="222">
        <f>PL!Y$1013</f>
        <v>0</v>
      </c>
      <c r="Y496" s="222">
        <f>PL!Z$1013</f>
        <v>0</v>
      </c>
      <c r="Z496" s="222">
        <f>PL!AA$1013</f>
        <v>0</v>
      </c>
      <c r="AA496" s="222">
        <f>PL!AB$1013</f>
        <v>0</v>
      </c>
      <c r="AB496" s="222">
        <f>PL!AC$1013</f>
        <v>0</v>
      </c>
    </row>
    <row r="497" spans="1:28">
      <c r="A497" s="598">
        <v>1</v>
      </c>
      <c r="B497" s="598" t="s">
        <v>507</v>
      </c>
      <c r="C497" s="598" t="s">
        <v>430</v>
      </c>
      <c r="D497" s="598" t="s">
        <v>72</v>
      </c>
      <c r="E497" s="598" t="s">
        <v>508</v>
      </c>
      <c r="G497" s="244"/>
      <c r="H497" s="244"/>
      <c r="I497" s="245"/>
      <c r="J497" s="219" t="s">
        <v>60</v>
      </c>
      <c r="K497" s="233" t="s">
        <v>56</v>
      </c>
      <c r="L497" s="232" t="s">
        <v>3</v>
      </c>
      <c r="M497" s="468" t="s">
        <v>4</v>
      </c>
      <c r="N497" s="234" t="s">
        <v>324</v>
      </c>
      <c r="O497" s="219" t="str">
        <f>PL!$P$4</f>
        <v>BIN</v>
      </c>
      <c r="P497" s="219" t="s">
        <v>322</v>
      </c>
      <c r="Q497" s="222" t="str">
        <f>PL!Q$1014</f>
        <v>HC MS FE/TTOC Marketing Total Channel Marketing</v>
      </c>
      <c r="R497" s="222">
        <f>PL!S$1014</f>
        <v>0</v>
      </c>
      <c r="S497" s="222">
        <f>PL!T$1014</f>
        <v>0</v>
      </c>
      <c r="T497" s="222">
        <f>PL!U$1014</f>
        <v>0</v>
      </c>
      <c r="U497" s="222">
        <f>PL!V$1014</f>
        <v>0</v>
      </c>
      <c r="V497" s="222">
        <f>PL!W$1014</f>
        <v>0</v>
      </c>
      <c r="W497" s="222">
        <f>PL!X$1014</f>
        <v>0</v>
      </c>
      <c r="X497" s="222">
        <f>PL!Y$1014</f>
        <v>0</v>
      </c>
      <c r="Y497" s="222">
        <f>PL!Z$1014</f>
        <v>0</v>
      </c>
      <c r="Z497" s="222">
        <f>PL!AA$1014</f>
        <v>0</v>
      </c>
      <c r="AA497" s="222">
        <f>PL!AB$1014</f>
        <v>0</v>
      </c>
      <c r="AB497" s="222">
        <f>PL!AC$1014</f>
        <v>0</v>
      </c>
    </row>
    <row r="498" spans="1:28">
      <c r="A498" s="598">
        <v>1</v>
      </c>
      <c r="B498" s="598" t="s">
        <v>507</v>
      </c>
      <c r="C498" s="598" t="s">
        <v>430</v>
      </c>
      <c r="D498" s="598" t="s">
        <v>72</v>
      </c>
      <c r="E498" s="598" t="s">
        <v>508</v>
      </c>
      <c r="G498" s="244"/>
      <c r="H498" s="244"/>
      <c r="I498" s="245"/>
      <c r="J498" s="219" t="s">
        <v>60</v>
      </c>
      <c r="K498" s="233" t="s">
        <v>56</v>
      </c>
      <c r="L498" s="232" t="s">
        <v>3</v>
      </c>
      <c r="M498" s="468" t="s">
        <v>4</v>
      </c>
      <c r="N498" s="234" t="s">
        <v>325</v>
      </c>
      <c r="O498" s="219" t="str">
        <f>PL!$P$4</f>
        <v>BIN</v>
      </c>
      <c r="P498" s="219" t="s">
        <v>322</v>
      </c>
      <c r="Q498" s="222" t="str">
        <f>PL!Q$1015</f>
        <v>HC MS FE/TTOC Marketing Total Product Marketing</v>
      </c>
      <c r="R498" s="222">
        <f>PL!S$1015</f>
        <v>0</v>
      </c>
      <c r="S498" s="222">
        <f>PL!T$1015</f>
        <v>0</v>
      </c>
      <c r="T498" s="222">
        <f>PL!U$1015</f>
        <v>0</v>
      </c>
      <c r="U498" s="222">
        <f>PL!V$1015</f>
        <v>0</v>
      </c>
      <c r="V498" s="222">
        <f>PL!W$1015</f>
        <v>0</v>
      </c>
      <c r="W498" s="222">
        <f>PL!X$1015</f>
        <v>0</v>
      </c>
      <c r="X498" s="222">
        <f>PL!Y$1015</f>
        <v>0</v>
      </c>
      <c r="Y498" s="222">
        <f>PL!Z$1015</f>
        <v>0</v>
      </c>
      <c r="Z498" s="222">
        <f>PL!AA$1015</f>
        <v>0</v>
      </c>
      <c r="AA498" s="222">
        <f>PL!AB$1015</f>
        <v>0</v>
      </c>
      <c r="AB498" s="222">
        <f>PL!AC$1015</f>
        <v>0</v>
      </c>
    </row>
    <row r="499" spans="1:28">
      <c r="A499" s="598">
        <v>1</v>
      </c>
      <c r="B499" s="598" t="s">
        <v>507</v>
      </c>
      <c r="C499" s="598" t="s">
        <v>430</v>
      </c>
      <c r="D499" s="598" t="s">
        <v>72</v>
      </c>
      <c r="E499" s="598" t="s">
        <v>508</v>
      </c>
      <c r="G499" s="244"/>
      <c r="H499" s="244"/>
      <c r="I499" s="245"/>
      <c r="J499" s="219" t="s">
        <v>60</v>
      </c>
      <c r="K499" s="233" t="s">
        <v>56</v>
      </c>
      <c r="L499" s="232" t="s">
        <v>3</v>
      </c>
      <c r="M499" s="468" t="s">
        <v>4</v>
      </c>
      <c r="N499" s="234" t="s">
        <v>326</v>
      </c>
      <c r="O499" s="219" t="str">
        <f>PL!$P$4</f>
        <v>BIN</v>
      </c>
      <c r="P499" s="219" t="s">
        <v>322</v>
      </c>
      <c r="Q499" s="222" t="str">
        <f>PL!Q$1016</f>
        <v>HC MS FE/TTOC Marketing Total MC / O</v>
      </c>
      <c r="R499" s="222">
        <f>PL!S$1016</f>
        <v>0</v>
      </c>
      <c r="S499" s="222">
        <f>PL!T$1016</f>
        <v>0</v>
      </c>
      <c r="T499" s="222">
        <f>PL!U$1016</f>
        <v>0</v>
      </c>
      <c r="U499" s="222">
        <f>PL!V$1016</f>
        <v>0</v>
      </c>
      <c r="V499" s="222">
        <f>PL!W$1016</f>
        <v>0</v>
      </c>
      <c r="W499" s="222">
        <f>PL!X$1016</f>
        <v>0</v>
      </c>
      <c r="X499" s="222">
        <f>PL!Y$1016</f>
        <v>0</v>
      </c>
      <c r="Y499" s="222">
        <f>PL!Z$1016</f>
        <v>0</v>
      </c>
      <c r="Z499" s="222">
        <f>PL!AA$1016</f>
        <v>0</v>
      </c>
      <c r="AA499" s="222">
        <f>PL!AB$1016</f>
        <v>0</v>
      </c>
      <c r="AB499" s="222">
        <f>PL!AC$1016</f>
        <v>0</v>
      </c>
    </row>
    <row r="500" spans="1:28" s="682" customFormat="1">
      <c r="A500" s="682">
        <v>1</v>
      </c>
      <c r="F500" s="684"/>
      <c r="G500" s="697"/>
      <c r="H500" s="697"/>
      <c r="I500" s="698"/>
      <c r="J500" s="699" t="s">
        <v>60</v>
      </c>
      <c r="K500" s="688" t="s">
        <v>56</v>
      </c>
      <c r="L500" s="700" t="s">
        <v>3</v>
      </c>
      <c r="M500" s="701" t="s">
        <v>4</v>
      </c>
      <c r="N500" s="723" t="s">
        <v>73</v>
      </c>
      <c r="O500" s="699" t="str">
        <f>PL!$P$4</f>
        <v>BIN</v>
      </c>
      <c r="P500" s="699" t="s">
        <v>322</v>
      </c>
      <c r="Q500" s="693"/>
      <c r="R500" s="693"/>
      <c r="S500" s="693"/>
      <c r="T500" s="693"/>
      <c r="U500" s="693"/>
      <c r="V500" s="693"/>
      <c r="W500" s="693"/>
      <c r="X500" s="693"/>
      <c r="Y500" s="693"/>
      <c r="Z500" s="693"/>
      <c r="AA500" s="693"/>
      <c r="AB500" s="693"/>
    </row>
    <row r="501" spans="1:28">
      <c r="A501" s="598">
        <v>1</v>
      </c>
      <c r="B501" s="598" t="s">
        <v>507</v>
      </c>
      <c r="C501" s="598" t="s">
        <v>430</v>
      </c>
      <c r="D501" s="598" t="s">
        <v>73</v>
      </c>
      <c r="E501" s="598" t="s">
        <v>508</v>
      </c>
      <c r="G501" s="244"/>
      <c r="H501" s="244"/>
      <c r="I501" s="245"/>
      <c r="J501" s="219" t="s">
        <v>60</v>
      </c>
      <c r="K501" s="233" t="s">
        <v>56</v>
      </c>
      <c r="L501" s="232" t="s">
        <v>3</v>
      </c>
      <c r="M501" s="468" t="s">
        <v>4</v>
      </c>
      <c r="N501" s="234" t="s">
        <v>74</v>
      </c>
      <c r="O501" s="219" t="str">
        <f>PL!$P$4</f>
        <v>BIN</v>
      </c>
      <c r="P501" s="219" t="s">
        <v>322</v>
      </c>
      <c r="Q501" s="222" t="str">
        <f>PL!Q$1018</f>
        <v>HC MS FE/TTOC Administration Total IT</v>
      </c>
      <c r="R501" s="222">
        <f>PL!S$1018</f>
        <v>0</v>
      </c>
      <c r="S501" s="222">
        <f>PL!T$1018</f>
        <v>0</v>
      </c>
      <c r="T501" s="222">
        <f>PL!U$1018</f>
        <v>0</v>
      </c>
      <c r="U501" s="222">
        <f>PL!V$1018</f>
        <v>0</v>
      </c>
      <c r="V501" s="222">
        <f>PL!W$1018</f>
        <v>0</v>
      </c>
      <c r="W501" s="222">
        <f>PL!X$1018</f>
        <v>0</v>
      </c>
      <c r="X501" s="222">
        <f>PL!Y$1018</f>
        <v>0</v>
      </c>
      <c r="Y501" s="222">
        <f>PL!Z$1018</f>
        <v>0</v>
      </c>
      <c r="Z501" s="222">
        <f>PL!AA$1018</f>
        <v>0</v>
      </c>
      <c r="AA501" s="222">
        <f>PL!AB$1018</f>
        <v>0</v>
      </c>
      <c r="AB501" s="222">
        <f>PL!AC$1018</f>
        <v>0</v>
      </c>
    </row>
    <row r="502" spans="1:28">
      <c r="A502" s="598">
        <v>1</v>
      </c>
      <c r="B502" s="598" t="s">
        <v>507</v>
      </c>
      <c r="C502" s="598" t="s">
        <v>430</v>
      </c>
      <c r="D502" s="598" t="s">
        <v>73</v>
      </c>
      <c r="E502" s="598" t="s">
        <v>508</v>
      </c>
      <c r="G502" s="244"/>
      <c r="H502" s="244"/>
      <c r="I502" s="245"/>
      <c r="J502" s="219" t="s">
        <v>60</v>
      </c>
      <c r="K502" s="233" t="s">
        <v>56</v>
      </c>
      <c r="L502" s="232" t="s">
        <v>3</v>
      </c>
      <c r="M502" s="468" t="s">
        <v>4</v>
      </c>
      <c r="N502" s="234" t="s">
        <v>75</v>
      </c>
      <c r="O502" s="219" t="str">
        <f>PL!$P$4</f>
        <v>BIN</v>
      </c>
      <c r="P502" s="219" t="s">
        <v>322</v>
      </c>
      <c r="Q502" s="222" t="str">
        <f>PL!Q$1019</f>
        <v>HC MS FE/TTOC Administration Total Finance</v>
      </c>
      <c r="R502" s="222">
        <f>PL!S$1019</f>
        <v>0</v>
      </c>
      <c r="S502" s="222">
        <f>PL!T$1019</f>
        <v>0</v>
      </c>
      <c r="T502" s="222">
        <f>PL!U$1019</f>
        <v>0</v>
      </c>
      <c r="U502" s="222">
        <f>PL!V$1019</f>
        <v>0</v>
      </c>
      <c r="V502" s="222">
        <f>PL!W$1019</f>
        <v>0</v>
      </c>
      <c r="W502" s="222">
        <f>PL!X$1019</f>
        <v>0</v>
      </c>
      <c r="X502" s="222">
        <f>PL!Y$1019</f>
        <v>0</v>
      </c>
      <c r="Y502" s="222">
        <f>PL!Z$1019</f>
        <v>0</v>
      </c>
      <c r="Z502" s="222">
        <f>PL!AA$1019</f>
        <v>0</v>
      </c>
      <c r="AA502" s="222">
        <f>PL!AB$1019</f>
        <v>0</v>
      </c>
      <c r="AB502" s="222">
        <f>PL!AC$1019</f>
        <v>0</v>
      </c>
    </row>
    <row r="503" spans="1:28">
      <c r="A503" s="598">
        <v>1</v>
      </c>
      <c r="B503" s="598" t="s">
        <v>507</v>
      </c>
      <c r="C503" s="598" t="s">
        <v>430</v>
      </c>
      <c r="D503" s="598" t="s">
        <v>73</v>
      </c>
      <c r="E503" s="598" t="s">
        <v>508</v>
      </c>
      <c r="G503" s="244"/>
      <c r="H503" s="244"/>
      <c r="I503" s="245"/>
      <c r="J503" s="219" t="s">
        <v>60</v>
      </c>
      <c r="K503" s="233" t="s">
        <v>56</v>
      </c>
      <c r="L503" s="232" t="s">
        <v>3</v>
      </c>
      <c r="M503" s="468" t="s">
        <v>4</v>
      </c>
      <c r="N503" s="234" t="s">
        <v>76</v>
      </c>
      <c r="O503" s="219" t="str">
        <f>PL!$P$4</f>
        <v>BIN</v>
      </c>
      <c r="P503" s="219" t="s">
        <v>322</v>
      </c>
      <c r="Q503" s="222" t="str">
        <f>PL!Q$1020</f>
        <v>HC MS FE/TTOC Administration Total HR</v>
      </c>
      <c r="R503" s="222">
        <f>PL!S$1020</f>
        <v>0</v>
      </c>
      <c r="S503" s="222">
        <f>PL!T$1020</f>
        <v>0</v>
      </c>
      <c r="T503" s="222">
        <f>PL!U$1020</f>
        <v>0</v>
      </c>
      <c r="U503" s="222">
        <f>PL!V$1020</f>
        <v>0</v>
      </c>
      <c r="V503" s="222">
        <f>PL!W$1020</f>
        <v>0</v>
      </c>
      <c r="W503" s="222">
        <f>PL!X$1020</f>
        <v>0</v>
      </c>
      <c r="X503" s="222">
        <f>PL!Y$1020</f>
        <v>0</v>
      </c>
      <c r="Y503" s="222">
        <f>PL!Z$1020</f>
        <v>0</v>
      </c>
      <c r="Z503" s="222">
        <f>PL!AA$1020</f>
        <v>0</v>
      </c>
      <c r="AA503" s="222">
        <f>PL!AB$1020</f>
        <v>0</v>
      </c>
      <c r="AB503" s="222">
        <f>PL!AC$1020</f>
        <v>0</v>
      </c>
    </row>
    <row r="504" spans="1:28">
      <c r="A504" s="598">
        <v>1</v>
      </c>
      <c r="B504" s="598" t="s">
        <v>507</v>
      </c>
      <c r="C504" s="598" t="s">
        <v>430</v>
      </c>
      <c r="D504" s="598" t="s">
        <v>73</v>
      </c>
      <c r="E504" s="598" t="s">
        <v>508</v>
      </c>
      <c r="G504" s="244"/>
      <c r="H504" s="244"/>
      <c r="I504" s="245"/>
      <c r="J504" s="219" t="s">
        <v>60</v>
      </c>
      <c r="K504" s="233" t="s">
        <v>56</v>
      </c>
      <c r="L504" s="232" t="s">
        <v>3</v>
      </c>
      <c r="M504" s="468" t="s">
        <v>4</v>
      </c>
      <c r="N504" s="234" t="s">
        <v>77</v>
      </c>
      <c r="O504" s="219" t="str">
        <f>PL!$P$4</f>
        <v>BIN</v>
      </c>
      <c r="P504" s="219" t="s">
        <v>322</v>
      </c>
      <c r="Q504" s="222" t="str">
        <f>PL!Q$1021</f>
        <v>HC MS FE/TTOC Administration Total Training</v>
      </c>
      <c r="R504" s="222">
        <f>PL!S$1021</f>
        <v>0</v>
      </c>
      <c r="S504" s="222">
        <f>PL!T$1021</f>
        <v>0</v>
      </c>
      <c r="T504" s="222">
        <f>PL!U$1021</f>
        <v>0</v>
      </c>
      <c r="U504" s="222">
        <f>PL!V$1021</f>
        <v>0</v>
      </c>
      <c r="V504" s="222">
        <f>PL!W$1021</f>
        <v>0</v>
      </c>
      <c r="W504" s="222">
        <f>PL!X$1021</f>
        <v>0</v>
      </c>
      <c r="X504" s="222">
        <f>PL!Y$1021</f>
        <v>0</v>
      </c>
      <c r="Y504" s="222">
        <f>PL!Z$1021</f>
        <v>0</v>
      </c>
      <c r="Z504" s="222">
        <f>PL!AA$1021</f>
        <v>0</v>
      </c>
      <c r="AA504" s="222">
        <f>PL!AB$1021</f>
        <v>0</v>
      </c>
      <c r="AB504" s="222">
        <f>PL!AC$1021</f>
        <v>0</v>
      </c>
    </row>
    <row r="505" spans="1:28">
      <c r="A505" s="598">
        <v>1</v>
      </c>
      <c r="B505" s="598" t="s">
        <v>507</v>
      </c>
      <c r="C505" s="598" t="s">
        <v>430</v>
      </c>
      <c r="D505" s="598" t="s">
        <v>73</v>
      </c>
      <c r="E505" s="598" t="s">
        <v>508</v>
      </c>
      <c r="G505" s="244"/>
      <c r="H505" s="244"/>
      <c r="I505" s="245"/>
      <c r="J505" s="219" t="s">
        <v>60</v>
      </c>
      <c r="K505" s="233" t="s">
        <v>56</v>
      </c>
      <c r="L505" s="232" t="s">
        <v>3</v>
      </c>
      <c r="M505" s="468" t="s">
        <v>4</v>
      </c>
      <c r="N505" s="234" t="s">
        <v>78</v>
      </c>
      <c r="O505" s="219" t="str">
        <f>PL!$P$4</f>
        <v>BIN</v>
      </c>
      <c r="P505" s="219" t="s">
        <v>322</v>
      </c>
      <c r="Q505" s="222" t="str">
        <f>PL!Q$1022</f>
        <v>HC MS FE/TTOC Administration Total Others</v>
      </c>
      <c r="R505" s="222">
        <f>PL!S$1022</f>
        <v>0</v>
      </c>
      <c r="S505" s="222">
        <f>PL!T$1022</f>
        <v>0</v>
      </c>
      <c r="T505" s="222">
        <f>PL!U$1022</f>
        <v>0</v>
      </c>
      <c r="U505" s="222">
        <f>PL!V$1022</f>
        <v>0</v>
      </c>
      <c r="V505" s="222">
        <f>PL!W$1022</f>
        <v>0</v>
      </c>
      <c r="W505" s="222">
        <f>PL!X$1022</f>
        <v>0</v>
      </c>
      <c r="X505" s="222">
        <f>PL!Y$1022</f>
        <v>0</v>
      </c>
      <c r="Y505" s="222">
        <f>PL!Z$1022</f>
        <v>0</v>
      </c>
      <c r="Z505" s="222">
        <f>PL!AA$1022</f>
        <v>0</v>
      </c>
      <c r="AA505" s="222">
        <f>PL!AB$1022</f>
        <v>0</v>
      </c>
      <c r="AB505" s="222">
        <f>PL!AC$1022</f>
        <v>0</v>
      </c>
    </row>
    <row r="506" spans="1:28" s="682" customFormat="1">
      <c r="A506" s="682">
        <v>1</v>
      </c>
      <c r="F506" s="684"/>
      <c r="G506" s="697"/>
      <c r="H506" s="697"/>
      <c r="I506" s="698"/>
      <c r="J506" s="699" t="s">
        <v>60</v>
      </c>
      <c r="K506" s="688" t="s">
        <v>56</v>
      </c>
      <c r="L506" s="700" t="s">
        <v>3</v>
      </c>
      <c r="M506" s="701" t="s">
        <v>4</v>
      </c>
      <c r="N506" s="723" t="s">
        <v>87</v>
      </c>
      <c r="O506" s="699" t="str">
        <f>PL!$P$4</f>
        <v>BIN</v>
      </c>
      <c r="P506" s="699" t="s">
        <v>322</v>
      </c>
      <c r="Q506" s="693"/>
      <c r="R506" s="693"/>
      <c r="S506" s="693"/>
      <c r="T506" s="693"/>
      <c r="U506" s="693"/>
      <c r="V506" s="693"/>
      <c r="W506" s="693"/>
      <c r="X506" s="693"/>
      <c r="Y506" s="693"/>
      <c r="Z506" s="693"/>
      <c r="AA506" s="693"/>
      <c r="AB506" s="693"/>
    </row>
    <row r="507" spans="1:28">
      <c r="A507" s="598">
        <v>1</v>
      </c>
      <c r="B507" s="598" t="s">
        <v>507</v>
      </c>
      <c r="C507" s="598" t="s">
        <v>430</v>
      </c>
      <c r="D507" s="598" t="s">
        <v>87</v>
      </c>
      <c r="E507" s="598" t="s">
        <v>508</v>
      </c>
      <c r="G507" s="244"/>
      <c r="H507" s="244"/>
      <c r="I507" s="245"/>
      <c r="J507" s="219" t="s">
        <v>60</v>
      </c>
      <c r="K507" s="233" t="s">
        <v>56</v>
      </c>
      <c r="L507" s="232" t="s">
        <v>3</v>
      </c>
      <c r="M507" s="468" t="s">
        <v>4</v>
      </c>
      <c r="N507" s="234" t="s">
        <v>79</v>
      </c>
      <c r="O507" s="219" t="str">
        <f>PL!$P$4</f>
        <v>BIN</v>
      </c>
      <c r="P507" s="219" t="s">
        <v>322</v>
      </c>
      <c r="Q507" s="222" t="str">
        <f>PL!Q$1024</f>
        <v>HC MS FE/TTOC Logistics Total Administration</v>
      </c>
      <c r="R507" s="222">
        <f>PL!S$1024</f>
        <v>0</v>
      </c>
      <c r="S507" s="222">
        <f>PL!T$1024</f>
        <v>0</v>
      </c>
      <c r="T507" s="222">
        <f>PL!U$1024</f>
        <v>0</v>
      </c>
      <c r="U507" s="222">
        <f>PL!V$1024</f>
        <v>0</v>
      </c>
      <c r="V507" s="222">
        <f>PL!W$1024</f>
        <v>0</v>
      </c>
      <c r="W507" s="222">
        <f>PL!X$1024</f>
        <v>0</v>
      </c>
      <c r="X507" s="222">
        <f>PL!Y$1024</f>
        <v>0</v>
      </c>
      <c r="Y507" s="222">
        <f>PL!Z$1024</f>
        <v>0</v>
      </c>
      <c r="Z507" s="222">
        <f>PL!AA$1024</f>
        <v>0</v>
      </c>
      <c r="AA507" s="222">
        <f>PL!AB$1024</f>
        <v>0</v>
      </c>
      <c r="AB507" s="222">
        <f>PL!AC$1024</f>
        <v>0</v>
      </c>
    </row>
    <row r="508" spans="1:28">
      <c r="A508" s="598">
        <v>1</v>
      </c>
      <c r="B508" s="598" t="s">
        <v>507</v>
      </c>
      <c r="C508" s="598" t="s">
        <v>430</v>
      </c>
      <c r="D508" s="598" t="s">
        <v>87</v>
      </c>
      <c r="E508" s="598" t="s">
        <v>508</v>
      </c>
      <c r="G508" s="244"/>
      <c r="H508" s="244"/>
      <c r="I508" s="245"/>
      <c r="J508" s="219" t="s">
        <v>60</v>
      </c>
      <c r="K508" s="233" t="s">
        <v>56</v>
      </c>
      <c r="L508" s="232" t="s">
        <v>3</v>
      </c>
      <c r="M508" s="468" t="s">
        <v>4</v>
      </c>
      <c r="N508" s="234" t="s">
        <v>80</v>
      </c>
      <c r="O508" s="219" t="str">
        <f>PL!$P$4</f>
        <v>BIN</v>
      </c>
      <c r="P508" s="219" t="s">
        <v>322</v>
      </c>
      <c r="Q508" s="222" t="str">
        <f>PL!Q$1025</f>
        <v>HC MS FE/TTOC Logistics Total Warehouse</v>
      </c>
      <c r="R508" s="222">
        <f>PL!S$1025</f>
        <v>0</v>
      </c>
      <c r="S508" s="222">
        <f>PL!T$1025</f>
        <v>0</v>
      </c>
      <c r="T508" s="222">
        <f>PL!U$1025</f>
        <v>0</v>
      </c>
      <c r="U508" s="222">
        <f>PL!V$1025</f>
        <v>0</v>
      </c>
      <c r="V508" s="222">
        <f>PL!W$1025</f>
        <v>0</v>
      </c>
      <c r="W508" s="222">
        <f>PL!X$1025</f>
        <v>0</v>
      </c>
      <c r="X508" s="222">
        <f>PL!Y$1025</f>
        <v>0</v>
      </c>
      <c r="Y508" s="222">
        <f>PL!Z$1025</f>
        <v>0</v>
      </c>
      <c r="Z508" s="222">
        <f>PL!AA$1025</f>
        <v>0</v>
      </c>
      <c r="AA508" s="222">
        <f>PL!AB$1025</f>
        <v>0</v>
      </c>
      <c r="AB508" s="222">
        <f>PL!AC$1025</f>
        <v>0</v>
      </c>
    </row>
    <row r="509" spans="1:28">
      <c r="A509" s="598">
        <v>1</v>
      </c>
      <c r="B509" s="598" t="s">
        <v>507</v>
      </c>
      <c r="C509" s="598" t="s">
        <v>430</v>
      </c>
      <c r="D509" s="598" t="s">
        <v>87</v>
      </c>
      <c r="E509" s="598" t="s">
        <v>508</v>
      </c>
      <c r="G509" s="244"/>
      <c r="H509" s="244"/>
      <c r="I509" s="245"/>
      <c r="J509" s="219" t="s">
        <v>60</v>
      </c>
      <c r="K509" s="233" t="s">
        <v>56</v>
      </c>
      <c r="L509" s="232" t="s">
        <v>3</v>
      </c>
      <c r="M509" s="468" t="s">
        <v>4</v>
      </c>
      <c r="N509" s="234" t="s">
        <v>81</v>
      </c>
      <c r="O509" s="219" t="str">
        <f>PL!$P$4</f>
        <v>BIN</v>
      </c>
      <c r="P509" s="219" t="s">
        <v>322</v>
      </c>
      <c r="Q509" s="222" t="str">
        <f>PL!Q$1026</f>
        <v>HC MS FE/TTOC Logistics Total Workshop</v>
      </c>
      <c r="R509" s="222">
        <f>PL!S$1026</f>
        <v>0</v>
      </c>
      <c r="S509" s="222">
        <f>PL!T$1026</f>
        <v>0</v>
      </c>
      <c r="T509" s="222">
        <f>PL!U$1026</f>
        <v>0</v>
      </c>
      <c r="U509" s="222">
        <f>PL!V$1026</f>
        <v>0</v>
      </c>
      <c r="V509" s="222">
        <f>PL!W$1026</f>
        <v>0</v>
      </c>
      <c r="W509" s="222">
        <f>PL!X$1026</f>
        <v>0</v>
      </c>
      <c r="X509" s="222">
        <f>PL!Y$1026</f>
        <v>0</v>
      </c>
      <c r="Y509" s="222">
        <f>PL!Z$1026</f>
        <v>0</v>
      </c>
      <c r="Z509" s="222">
        <f>PL!AA$1026</f>
        <v>0</v>
      </c>
      <c r="AA509" s="222">
        <f>PL!AB$1026</f>
        <v>0</v>
      </c>
      <c r="AB509" s="222">
        <f>PL!AC$1026</f>
        <v>0</v>
      </c>
    </row>
    <row r="510" spans="1:28">
      <c r="A510" s="598">
        <v>1</v>
      </c>
      <c r="B510" s="598" t="s">
        <v>507</v>
      </c>
      <c r="C510" s="598" t="s">
        <v>430</v>
      </c>
      <c r="D510" s="598" t="s">
        <v>327</v>
      </c>
      <c r="E510" s="598" t="s">
        <v>327</v>
      </c>
      <c r="G510" s="244"/>
      <c r="H510" s="244"/>
      <c r="I510" s="245"/>
      <c r="J510" s="219" t="s">
        <v>60</v>
      </c>
      <c r="K510" s="233" t="s">
        <v>56</v>
      </c>
      <c r="L510" s="232" t="s">
        <v>3</v>
      </c>
      <c r="M510" s="468" t="s">
        <v>4</v>
      </c>
      <c r="N510" s="231" t="s">
        <v>327</v>
      </c>
      <c r="O510" s="219" t="str">
        <f>PL!$P$4</f>
        <v>BIN</v>
      </c>
      <c r="P510" s="219" t="s">
        <v>322</v>
      </c>
      <c r="Q510" s="222" t="str">
        <f>PL!Q$1027</f>
        <v>HC MS Semi-Full-Time/Part-Time Employees /Contractors</v>
      </c>
      <c r="R510" s="222">
        <f>PL!S$1027</f>
        <v>0</v>
      </c>
      <c r="S510" s="222">
        <f>PL!T$1027</f>
        <v>0</v>
      </c>
      <c r="T510" s="222">
        <f>PL!U$1027</f>
        <v>0</v>
      </c>
      <c r="U510" s="222">
        <f>PL!V$1027</f>
        <v>0</v>
      </c>
      <c r="V510" s="222">
        <f>PL!W$1027</f>
        <v>0</v>
      </c>
      <c r="W510" s="222">
        <f>PL!X$1027</f>
        <v>0</v>
      </c>
      <c r="X510" s="222">
        <f>PL!Y$1027</f>
        <v>0</v>
      </c>
      <c r="Y510" s="222">
        <f>PL!Z$1027</f>
        <v>0</v>
      </c>
      <c r="Z510" s="222">
        <f>PL!AA$1027</f>
        <v>0</v>
      </c>
      <c r="AA510" s="222">
        <f>PL!AB$1027</f>
        <v>0</v>
      </c>
      <c r="AB510" s="222">
        <f>PL!AC$1027</f>
        <v>0</v>
      </c>
    </row>
    <row r="511" spans="1:28">
      <c r="A511" s="598">
        <v>1</v>
      </c>
      <c r="G511" s="244"/>
      <c r="H511" s="244"/>
      <c r="I511" s="244"/>
      <c r="J511" s="255"/>
      <c r="K511" s="256"/>
      <c r="L511" s="256"/>
      <c r="M511" s="256"/>
      <c r="N511" s="256"/>
      <c r="O511" s="255"/>
      <c r="P511" s="255"/>
      <c r="Q511" s="255"/>
      <c r="R511" s="255"/>
      <c r="S511" s="255"/>
      <c r="T511" s="255"/>
      <c r="U511" s="255"/>
      <c r="V511" s="255"/>
      <c r="W511" s="255"/>
      <c r="X511" s="255"/>
      <c r="Y511" s="255"/>
      <c r="Z511" s="255"/>
      <c r="AA511" s="255"/>
      <c r="AB511" s="255"/>
    </row>
    <row r="512" spans="1:28" s="711" customFormat="1">
      <c r="A512" s="711">
        <v>1</v>
      </c>
      <c r="C512" s="712" t="s">
        <v>509</v>
      </c>
      <c r="F512" s="713"/>
      <c r="G512" s="717"/>
      <c r="H512" s="717"/>
      <c r="I512" s="718"/>
      <c r="J512" s="715"/>
      <c r="K512" s="719"/>
      <c r="L512" s="720"/>
      <c r="M512" s="721"/>
      <c r="N512" s="720"/>
      <c r="O512" s="722"/>
      <c r="P512" s="722"/>
      <c r="Q512" s="716"/>
      <c r="R512" s="716"/>
      <c r="S512" s="716"/>
      <c r="T512" s="716"/>
      <c r="U512" s="716"/>
      <c r="V512" s="716"/>
      <c r="W512" s="716"/>
      <c r="X512" s="716"/>
      <c r="Y512" s="716"/>
      <c r="Z512" s="716"/>
      <c r="AA512" s="716"/>
      <c r="AB512" s="716"/>
    </row>
    <row r="513" spans="1:28" s="726" customFormat="1">
      <c r="A513" s="726">
        <v>1</v>
      </c>
      <c r="C513" s="727" t="s">
        <v>431</v>
      </c>
      <c r="F513" s="729"/>
      <c r="G513" s="739"/>
      <c r="H513" s="739"/>
      <c r="I513" s="740"/>
      <c r="J513" s="741" t="s">
        <v>82</v>
      </c>
      <c r="K513" s="742" t="s">
        <v>52</v>
      </c>
      <c r="L513" s="743" t="s">
        <v>3</v>
      </c>
      <c r="M513" s="744" t="s">
        <v>4</v>
      </c>
      <c r="N513" s="745" t="s">
        <v>5</v>
      </c>
      <c r="O513" s="741" t="str">
        <f>PL!$P$4</f>
        <v>BIN</v>
      </c>
      <c r="P513" s="741" t="str">
        <f>PL!$I$6</f>
        <v>K_INR</v>
      </c>
      <c r="Q513" s="738"/>
      <c r="R513" s="738"/>
      <c r="S513" s="738"/>
      <c r="T513" s="738"/>
      <c r="U513" s="738"/>
      <c r="V513" s="738"/>
      <c r="W513" s="738"/>
      <c r="X513" s="738"/>
      <c r="Y513" s="738"/>
      <c r="Z513" s="738"/>
      <c r="AA513" s="738"/>
      <c r="AB513" s="738"/>
    </row>
    <row r="514" spans="1:28">
      <c r="A514" s="598">
        <v>1</v>
      </c>
      <c r="B514" s="598" t="s">
        <v>671</v>
      </c>
      <c r="C514" s="598" t="s">
        <v>669</v>
      </c>
      <c r="D514" s="598" t="s">
        <v>513</v>
      </c>
      <c r="E514" s="598" t="s">
        <v>672</v>
      </c>
      <c r="G514" s="246"/>
      <c r="H514" s="246"/>
      <c r="I514" s="247"/>
      <c r="J514" s="220" t="s">
        <v>442</v>
      </c>
      <c r="K514" s="233" t="s">
        <v>52</v>
      </c>
      <c r="L514" s="232" t="s">
        <v>3</v>
      </c>
      <c r="M514" s="468" t="s">
        <v>4</v>
      </c>
      <c r="N514" s="232" t="s">
        <v>5</v>
      </c>
      <c r="O514" s="216" t="str">
        <f>PL!$P$4</f>
        <v>BIN</v>
      </c>
      <c r="P514" s="216" t="str">
        <f>PL!$I$6</f>
        <v>K_INR</v>
      </c>
      <c r="Q514" s="222" t="str">
        <f>PL!Q$1067</f>
        <v>BS (1) Office Purchased from BT cons. companies</v>
      </c>
      <c r="R514" s="222">
        <f>PL!S$1067</f>
        <v>243760</v>
      </c>
      <c r="S514" s="222">
        <f>PL!T$1067</f>
        <v>251175</v>
      </c>
      <c r="T514" s="222">
        <f>PL!U$1067</f>
        <v>350102</v>
      </c>
      <c r="U514" s="222">
        <f>PL!V$1067</f>
        <v>332502</v>
      </c>
      <c r="V514" s="222">
        <f>PL!W$1067</f>
        <v>380405</v>
      </c>
      <c r="W514" s="222">
        <f>PL!X$1067</f>
        <v>353496.00989188929</v>
      </c>
      <c r="X514" s="222">
        <f>PL!Y$1067</f>
        <v>427338</v>
      </c>
      <c r="Y514" s="222">
        <f>PL!Z$1067</f>
        <v>405737</v>
      </c>
      <c r="Z514" s="222">
        <f>PL!AA$1067</f>
        <v>475891</v>
      </c>
      <c r="AA514" s="222">
        <f>PL!AB$1067</f>
        <v>582284.04480224964</v>
      </c>
      <c r="AB514" s="222">
        <f>PL!AC$1067</f>
        <v>575224</v>
      </c>
    </row>
    <row r="515" spans="1:28">
      <c r="A515" s="598">
        <v>1</v>
      </c>
      <c r="B515" s="598" t="s">
        <v>672</v>
      </c>
      <c r="C515" s="598" t="s">
        <v>636</v>
      </c>
      <c r="D515" s="598" t="s">
        <v>510</v>
      </c>
      <c r="E515" s="598" t="s">
        <v>672</v>
      </c>
      <c r="G515" s="246"/>
      <c r="H515" s="246"/>
      <c r="I515" s="247"/>
      <c r="J515" s="220" t="s">
        <v>84</v>
      </c>
      <c r="K515" s="233" t="s">
        <v>52</v>
      </c>
      <c r="L515" s="232" t="s">
        <v>3</v>
      </c>
      <c r="M515" s="468" t="s">
        <v>4</v>
      </c>
      <c r="N515" s="232" t="s">
        <v>734</v>
      </c>
      <c r="O515" s="216" t="str">
        <f>PL!$P$4</f>
        <v>BIN</v>
      </c>
      <c r="P515" s="216" t="str">
        <f>PL!$I$6</f>
        <v>K_INR</v>
      </c>
      <c r="Q515" s="222" t="str">
        <f>PL!Q$1068</f>
        <v>BS (1) Office 3rd Party</v>
      </c>
      <c r="R515" s="222">
        <f>PL!S$1068</f>
        <v>2246</v>
      </c>
      <c r="S515" s="222">
        <f>PL!T$1068</f>
        <v>2228</v>
      </c>
      <c r="T515" s="222">
        <f>PL!U$1068</f>
        <v>5258</v>
      </c>
      <c r="U515" s="222">
        <f>PL!V$1068</f>
        <v>4660</v>
      </c>
      <c r="V515" s="222">
        <f>PL!W$1068</f>
        <v>4282</v>
      </c>
      <c r="W515" s="222">
        <f>PL!X$1068</f>
        <v>5127</v>
      </c>
      <c r="X515" s="222">
        <f>PL!Y$1068</f>
        <v>4407</v>
      </c>
      <c r="Y515" s="222">
        <f>PL!Z$1068</f>
        <v>3574</v>
      </c>
      <c r="Z515" s="222">
        <f>PL!AA$1068</f>
        <v>3448</v>
      </c>
      <c r="AA515" s="222">
        <f>PL!AB$1068</f>
        <v>5313.5962700000055</v>
      </c>
      <c r="AB515" s="222">
        <f>PL!AC$1068</f>
        <v>11128.859670000002</v>
      </c>
    </row>
    <row r="516" spans="1:28" s="726" customFormat="1">
      <c r="A516" s="726">
        <v>1</v>
      </c>
      <c r="C516" s="1406" t="s">
        <v>926</v>
      </c>
      <c r="F516" s="729"/>
      <c r="G516" s="739"/>
      <c r="H516" s="739"/>
      <c r="I516" s="740"/>
      <c r="J516" s="741" t="s">
        <v>82</v>
      </c>
      <c r="K516" s="742" t="s">
        <v>47</v>
      </c>
      <c r="L516" s="743" t="s">
        <v>3</v>
      </c>
      <c r="M516" s="744" t="s">
        <v>4</v>
      </c>
      <c r="N516" s="745" t="s">
        <v>5</v>
      </c>
      <c r="O516" s="741" t="str">
        <f>PL!$P$4</f>
        <v>BIN</v>
      </c>
      <c r="P516" s="741" t="str">
        <f>PL!$I$6</f>
        <v>K_INR</v>
      </c>
      <c r="Q516" s="738"/>
      <c r="R516" s="738"/>
      <c r="S516" s="738"/>
      <c r="T516" s="738"/>
      <c r="U516" s="738"/>
      <c r="V516" s="738"/>
      <c r="W516" s="738"/>
      <c r="X516" s="738"/>
      <c r="Y516" s="738"/>
      <c r="Z516" s="738"/>
      <c r="AA516" s="738"/>
      <c r="AB516" s="738"/>
    </row>
    <row r="517" spans="1:28">
      <c r="A517" s="598">
        <v>1</v>
      </c>
      <c r="B517" s="598" t="s">
        <v>509</v>
      </c>
      <c r="C517" s="702" t="s">
        <v>954</v>
      </c>
      <c r="D517" s="598" t="s">
        <v>513</v>
      </c>
      <c r="E517" s="598" t="s">
        <v>509</v>
      </c>
      <c r="G517" s="246"/>
      <c r="H517" s="246"/>
      <c r="I517" s="247"/>
      <c r="J517" s="220" t="s">
        <v>442</v>
      </c>
      <c r="K517" s="233" t="s">
        <v>88</v>
      </c>
      <c r="L517" s="232" t="s">
        <v>3</v>
      </c>
      <c r="M517" s="468" t="s">
        <v>4</v>
      </c>
      <c r="N517" s="232" t="s">
        <v>5</v>
      </c>
      <c r="O517" s="216" t="str">
        <f>PL!$P$4</f>
        <v>BIN</v>
      </c>
      <c r="P517" s="216" t="str">
        <f>PL!$I$6</f>
        <v>K_INR</v>
      </c>
      <c r="Q517" s="222" t="str">
        <f>PL!Q$1080</f>
        <v>BS (5) DW-DX Purchased from BT cons. companies</v>
      </c>
      <c r="R517" s="222">
        <f>PL!S$1080</f>
        <v>250.02392099027634</v>
      </c>
      <c r="S517" s="222">
        <f>PL!T$1080</f>
        <v>221</v>
      </c>
      <c r="T517" s="222">
        <f>PL!U$1080</f>
        <v>269</v>
      </c>
      <c r="U517" s="222">
        <f>PL!V$1080</f>
        <v>230</v>
      </c>
      <c r="V517" s="222">
        <f>PL!W$1080</f>
        <v>239</v>
      </c>
      <c r="W517" s="222">
        <f>PL!X$1080</f>
        <v>219</v>
      </c>
      <c r="X517" s="222">
        <f>PL!Y$1080</f>
        <v>259</v>
      </c>
      <c r="Y517" s="222">
        <f>PL!Z$1080</f>
        <v>261</v>
      </c>
      <c r="Z517" s="222">
        <f>PL!AA$1080</f>
        <v>256.1728077848062</v>
      </c>
      <c r="AA517" s="222">
        <f>PL!AB$1080</f>
        <v>264.88892392758595</v>
      </c>
      <c r="AB517" s="222">
        <f>PL!AC$1080</f>
        <v>358.07444688886579</v>
      </c>
    </row>
    <row r="518" spans="1:28">
      <c r="A518" s="598">
        <v>1</v>
      </c>
      <c r="B518" s="598" t="s">
        <v>509</v>
      </c>
      <c r="C518" s="702" t="s">
        <v>954</v>
      </c>
      <c r="D518" s="598" t="s">
        <v>510</v>
      </c>
      <c r="E518" s="598" t="s">
        <v>509</v>
      </c>
      <c r="G518" s="246"/>
      <c r="H518" s="246"/>
      <c r="I518" s="247"/>
      <c r="J518" s="220" t="s">
        <v>84</v>
      </c>
      <c r="K518" s="233" t="s">
        <v>88</v>
      </c>
      <c r="L518" s="232" t="s">
        <v>3</v>
      </c>
      <c r="M518" s="468" t="s">
        <v>4</v>
      </c>
      <c r="N518" s="232" t="s">
        <v>734</v>
      </c>
      <c r="O518" s="216" t="str">
        <f>PL!$P$4</f>
        <v>BIN</v>
      </c>
      <c r="P518" s="216" t="str">
        <f>PL!$I$6</f>
        <v>K_INR</v>
      </c>
      <c r="Q518" s="222" t="str">
        <f>PL!Q$1081</f>
        <v>BS (5) DW-DX 3rd Party</v>
      </c>
      <c r="R518" s="222">
        <f>PL!S$1081</f>
        <v>675.76526000000035</v>
      </c>
      <c r="S518" s="222">
        <f>PL!T$1081</f>
        <v>563</v>
      </c>
      <c r="T518" s="222">
        <f>PL!U$1081</f>
        <v>2172</v>
      </c>
      <c r="U518" s="222">
        <f>PL!V$1081</f>
        <v>2056</v>
      </c>
      <c r="V518" s="222">
        <f>PL!W$1081</f>
        <v>2161</v>
      </c>
      <c r="W518" s="222">
        <f>PL!X$1081</f>
        <v>2396</v>
      </c>
      <c r="X518" s="222">
        <f>PL!Y$1081</f>
        <v>1241</v>
      </c>
      <c r="Y518" s="222">
        <f>PL!Z$1081</f>
        <v>570</v>
      </c>
      <c r="Z518" s="222">
        <f>PL!AA$1081</f>
        <v>1329.328780000001</v>
      </c>
      <c r="AA518" s="222">
        <f>PL!AB$1081</f>
        <v>1568.0585800000008</v>
      </c>
      <c r="AB518" s="222">
        <f>PL!AC$1081</f>
        <v>1047.115310000001</v>
      </c>
    </row>
    <row r="519" spans="1:28" s="726" customFormat="1">
      <c r="A519" s="726">
        <v>1</v>
      </c>
      <c r="C519" s="727" t="s">
        <v>432</v>
      </c>
      <c r="F519" s="729"/>
      <c r="G519" s="739"/>
      <c r="H519" s="739"/>
      <c r="I519" s="740"/>
      <c r="J519" s="741" t="s">
        <v>82</v>
      </c>
      <c r="K519" s="742" t="s">
        <v>53</v>
      </c>
      <c r="L519" s="743" t="s">
        <v>3</v>
      </c>
      <c r="M519" s="744" t="s">
        <v>4</v>
      </c>
      <c r="N519" s="745" t="s">
        <v>5</v>
      </c>
      <c r="O519" s="741" t="str">
        <f>PL!$P$4</f>
        <v>BIN</v>
      </c>
      <c r="P519" s="741" t="str">
        <f>PL!$I$6</f>
        <v>K_INR</v>
      </c>
      <c r="Q519" s="738"/>
      <c r="R519" s="738"/>
      <c r="S519" s="738"/>
      <c r="T519" s="738"/>
      <c r="U519" s="738"/>
      <c r="V519" s="738"/>
      <c r="W519" s="738"/>
      <c r="X519" s="738"/>
      <c r="Y519" s="738"/>
      <c r="Z519" s="738"/>
      <c r="AA519" s="738"/>
      <c r="AB519" s="738"/>
    </row>
    <row r="520" spans="1:28">
      <c r="A520" s="598">
        <v>1</v>
      </c>
      <c r="B520" s="598" t="s">
        <v>509</v>
      </c>
      <c r="C520" s="598" t="s">
        <v>432</v>
      </c>
      <c r="D520" s="598" t="s">
        <v>513</v>
      </c>
      <c r="E520" s="598" t="s">
        <v>509</v>
      </c>
      <c r="G520" s="246"/>
      <c r="H520" s="246"/>
      <c r="I520" s="247"/>
      <c r="J520" s="220" t="s">
        <v>442</v>
      </c>
      <c r="K520" s="233" t="s">
        <v>53</v>
      </c>
      <c r="L520" s="232" t="s">
        <v>3</v>
      </c>
      <c r="M520" s="468" t="s">
        <v>4</v>
      </c>
      <c r="N520" s="232" t="s">
        <v>5</v>
      </c>
      <c r="O520" s="216" t="str">
        <f>PL!$P$4</f>
        <v>BIN</v>
      </c>
      <c r="P520" s="216" t="str">
        <f>PL!$I$6</f>
        <v>K_INR</v>
      </c>
      <c r="Q520" s="222" t="str">
        <f>PL!Q$1070</f>
        <v>BS (2) PP Purchased from BT cons. companies</v>
      </c>
      <c r="R520" s="222">
        <f>PL!S$1070</f>
        <v>783863.16616188735</v>
      </c>
      <c r="S520" s="222">
        <f>PL!T$1070</f>
        <v>774370.53554354259</v>
      </c>
      <c r="T520" s="222">
        <f>PL!U$1070</f>
        <v>917600.50686830352</v>
      </c>
      <c r="U520" s="222">
        <f>PL!V$1070</f>
        <v>855220</v>
      </c>
      <c r="V520" s="222">
        <f>PL!W$1070</f>
        <v>952471.37722872349</v>
      </c>
      <c r="W520" s="222">
        <f>PL!X$1070</f>
        <v>983683.66618620232</v>
      </c>
      <c r="X520" s="222">
        <f>PL!Y$1070</f>
        <v>1102388.2130390673</v>
      </c>
      <c r="Y520" s="222">
        <f>PL!Z$1070</f>
        <v>1090795</v>
      </c>
      <c r="Z520" s="222">
        <f>PL!AA$1070</f>
        <v>1076297.3190482203</v>
      </c>
      <c r="AA520" s="222">
        <f>PL!AB$1070</f>
        <v>1150361.513350497</v>
      </c>
      <c r="AB520" s="222">
        <f>PL!AC$1070</f>
        <v>1090209.2609738512</v>
      </c>
    </row>
    <row r="521" spans="1:28">
      <c r="A521" s="598">
        <v>1</v>
      </c>
      <c r="B521" s="598" t="s">
        <v>509</v>
      </c>
      <c r="C521" s="598" t="s">
        <v>432</v>
      </c>
      <c r="D521" s="598" t="s">
        <v>510</v>
      </c>
      <c r="E521" s="598" t="s">
        <v>509</v>
      </c>
      <c r="G521" s="246"/>
      <c r="H521" s="246"/>
      <c r="I521" s="247"/>
      <c r="J521" s="220" t="s">
        <v>84</v>
      </c>
      <c r="K521" s="233" t="s">
        <v>53</v>
      </c>
      <c r="L521" s="232" t="s">
        <v>3</v>
      </c>
      <c r="M521" s="468" t="s">
        <v>4</v>
      </c>
      <c r="N521" s="232" t="s">
        <v>734</v>
      </c>
      <c r="O521" s="216" t="str">
        <f>PL!$P$4</f>
        <v>BIN</v>
      </c>
      <c r="P521" s="216" t="str">
        <f>PL!$I$6</f>
        <v>K_INR</v>
      </c>
      <c r="Q521" s="222" t="str">
        <f>PL!Q$1071</f>
        <v>BS (2) PP 3rd Party</v>
      </c>
      <c r="R521" s="222">
        <f>PL!S$1071</f>
        <v>59850.451990000038</v>
      </c>
      <c r="S521" s="222">
        <f>PL!T$1071</f>
        <v>66412.759210000047</v>
      </c>
      <c r="T521" s="222">
        <f>PL!U$1071</f>
        <v>68795.450030000051</v>
      </c>
      <c r="U521" s="222">
        <f>PL!V$1071</f>
        <v>60330</v>
      </c>
      <c r="V521" s="222">
        <f>PL!W$1071</f>
        <v>46095.553150000051</v>
      </c>
      <c r="W521" s="222">
        <f>PL!X$1071</f>
        <v>42217.133440000063</v>
      </c>
      <c r="X521" s="222">
        <f>PL!Y$1071</f>
        <v>14631.154330000025</v>
      </c>
      <c r="Y521" s="222">
        <f>PL!Z$1071</f>
        <v>13579.158520000008</v>
      </c>
      <c r="Z521" s="222">
        <f>PL!AA$1071</f>
        <v>12380.038890000023</v>
      </c>
      <c r="AA521" s="222">
        <f>PL!AB$1071</f>
        <v>10466.511440000017</v>
      </c>
      <c r="AB521" s="222">
        <f>PL!AC$1071</f>
        <v>10272.905820000015</v>
      </c>
    </row>
    <row r="522" spans="1:28" s="726" customFormat="1">
      <c r="A522" s="726">
        <v>1</v>
      </c>
      <c r="C522" s="727" t="s">
        <v>429</v>
      </c>
      <c r="F522" s="729"/>
      <c r="G522" s="739"/>
      <c r="H522" s="739"/>
      <c r="I522" s="740"/>
      <c r="J522" s="741" t="s">
        <v>82</v>
      </c>
      <c r="K522" s="742" t="s">
        <v>54</v>
      </c>
      <c r="L522" s="743" t="s">
        <v>3</v>
      </c>
      <c r="M522" s="744" t="s">
        <v>4</v>
      </c>
      <c r="N522" s="745" t="s">
        <v>5</v>
      </c>
      <c r="O522" s="741" t="str">
        <f>PL!$P$4</f>
        <v>BIN</v>
      </c>
      <c r="P522" s="741" t="str">
        <f>PL!$I$6</f>
        <v>K_INR</v>
      </c>
      <c r="Q522" s="738"/>
      <c r="R522" s="738"/>
      <c r="S522" s="738"/>
      <c r="T522" s="738"/>
      <c r="U522" s="738"/>
      <c r="V522" s="738"/>
      <c r="W522" s="738"/>
      <c r="X522" s="738"/>
      <c r="Y522" s="738"/>
      <c r="Z522" s="738"/>
      <c r="AA522" s="738"/>
      <c r="AB522" s="738"/>
    </row>
    <row r="523" spans="1:28">
      <c r="A523" s="598">
        <v>1</v>
      </c>
      <c r="B523" s="598" t="s">
        <v>671</v>
      </c>
      <c r="C523" s="598" t="s">
        <v>429</v>
      </c>
      <c r="D523" s="598" t="s">
        <v>513</v>
      </c>
      <c r="E523" s="598" t="s">
        <v>671</v>
      </c>
      <c r="G523" s="246"/>
      <c r="H523" s="246"/>
      <c r="I523" s="247"/>
      <c r="J523" s="220" t="s">
        <v>442</v>
      </c>
      <c r="K523" s="233" t="s">
        <v>321</v>
      </c>
      <c r="L523" s="232" t="s">
        <v>3</v>
      </c>
      <c r="M523" s="468" t="s">
        <v>4</v>
      </c>
      <c r="N523" s="232" t="s">
        <v>5</v>
      </c>
      <c r="O523" s="216" t="str">
        <f>PL!$P$4</f>
        <v>BIN</v>
      </c>
      <c r="P523" s="216" t="str">
        <f>PL!$I$6</f>
        <v>K_INR</v>
      </c>
      <c r="Q523" s="222" t="str">
        <f>PL!Q$1073</f>
        <v>BS (3) IP P BT &lt;exclude MGI&gt;</v>
      </c>
      <c r="R523" s="222">
        <f>PL!S$1073</f>
        <v>29855</v>
      </c>
      <c r="S523" s="222">
        <f>PL!T$1073</f>
        <v>38885</v>
      </c>
      <c r="T523" s="222">
        <f>PL!U$1073</f>
        <v>42651</v>
      </c>
      <c r="U523" s="222">
        <f>PL!V$1073</f>
        <v>33358</v>
      </c>
      <c r="V523" s="222">
        <f>PL!W$1073</f>
        <v>40406</v>
      </c>
      <c r="W523" s="222">
        <f>PL!X$1073</f>
        <v>44062</v>
      </c>
      <c r="X523" s="222">
        <f>PL!Y$1073</f>
        <v>41013</v>
      </c>
      <c r="Y523" s="222">
        <f>PL!Z$1073</f>
        <v>41728</v>
      </c>
      <c r="Z523" s="222">
        <f>PL!AA$1073</f>
        <v>48930</v>
      </c>
      <c r="AA523" s="222">
        <f>PL!AB$1073</f>
        <v>115180.70584332576</v>
      </c>
      <c r="AB523" s="222">
        <f>PL!AC$1073</f>
        <v>73505</v>
      </c>
    </row>
    <row r="524" spans="1:28">
      <c r="A524" s="598">
        <v>1</v>
      </c>
      <c r="B524" s="598" t="s">
        <v>672</v>
      </c>
      <c r="C524" s="598" t="s">
        <v>654</v>
      </c>
      <c r="D524" s="598" t="s">
        <v>674</v>
      </c>
      <c r="E524" s="598" t="s">
        <v>671</v>
      </c>
      <c r="G524" s="246"/>
      <c r="H524" s="246"/>
      <c r="I524" s="247"/>
      <c r="J524" s="220" t="s">
        <v>675</v>
      </c>
      <c r="K524" s="233" t="s">
        <v>321</v>
      </c>
      <c r="L524" s="232" t="s">
        <v>3</v>
      </c>
      <c r="M524" s="468" t="s">
        <v>4</v>
      </c>
      <c r="N524" s="232" t="s">
        <v>5</v>
      </c>
      <c r="O524" s="216" t="str">
        <f>PL!$P$4</f>
        <v>BIN</v>
      </c>
      <c r="P524" s="216" t="str">
        <f>PL!$I$6</f>
        <v>K_INR</v>
      </c>
      <c r="Q524" s="222" t="str">
        <f>PL!Q$1074</f>
        <v>BS (3) IP Purchased from MGI (BT-Gr)</v>
      </c>
      <c r="R524" s="222">
        <f>PL!S$1074</f>
        <v>18188</v>
      </c>
      <c r="S524" s="222">
        <f>PL!T$1074</f>
        <v>15879</v>
      </c>
      <c r="T524" s="222">
        <f>PL!U$1074</f>
        <v>20626</v>
      </c>
      <c r="U524" s="222">
        <f>PL!V$1074</f>
        <v>22247</v>
      </c>
      <c r="V524" s="222">
        <f>PL!W$1074</f>
        <v>22395</v>
      </c>
      <c r="W524" s="222">
        <f>PL!X$1074</f>
        <v>21938.57761</v>
      </c>
      <c r="X524" s="222">
        <f>PL!Y$1074</f>
        <v>18211</v>
      </c>
      <c r="Y524" s="222">
        <f>PL!Z$1074</f>
        <v>20238.521679999998</v>
      </c>
      <c r="Z524" s="222">
        <f>PL!AA$1074</f>
        <v>18741.294670000003</v>
      </c>
      <c r="AA524" s="222">
        <f>PL!AB$1074</f>
        <v>17607.8033</v>
      </c>
      <c r="AB524" s="222">
        <f>PL!AC$1074</f>
        <v>21659.121199999998</v>
      </c>
    </row>
    <row r="525" spans="1:28">
      <c r="A525" s="598">
        <v>1</v>
      </c>
      <c r="B525" s="598" t="s">
        <v>509</v>
      </c>
      <c r="C525" s="598" t="s">
        <v>654</v>
      </c>
      <c r="D525" s="598" t="s">
        <v>673</v>
      </c>
      <c r="E525" s="598" t="s">
        <v>509</v>
      </c>
      <c r="G525" s="246"/>
      <c r="H525" s="246"/>
      <c r="I525" s="247"/>
      <c r="J525" s="220" t="s">
        <v>84</v>
      </c>
      <c r="K525" s="233" t="s">
        <v>321</v>
      </c>
      <c r="L525" s="232" t="s">
        <v>3</v>
      </c>
      <c r="M525" s="468" t="s">
        <v>4</v>
      </c>
      <c r="N525" s="232" t="s">
        <v>734</v>
      </c>
      <c r="O525" s="216" t="str">
        <f>PL!$P$4</f>
        <v>BIN</v>
      </c>
      <c r="P525" s="216" t="str">
        <f>PL!$I$6</f>
        <v>K_INR</v>
      </c>
      <c r="Q525" s="222" t="str">
        <f>PL!Q$1075</f>
        <v>BS (3) IP 3rd Party</v>
      </c>
      <c r="R525" s="222">
        <f>PL!S$1075</f>
        <v>9995</v>
      </c>
      <c r="S525" s="222">
        <f>PL!T$1075</f>
        <v>7377.8522100000228</v>
      </c>
      <c r="T525" s="222">
        <f>PL!U$1075</f>
        <v>7343</v>
      </c>
      <c r="U525" s="222">
        <f>PL!V$1075</f>
        <v>7305</v>
      </c>
      <c r="V525" s="222">
        <f>PL!W$1075</f>
        <v>2067</v>
      </c>
      <c r="W525" s="222">
        <f>PL!X$1075</f>
        <v>7505.9961299999886</v>
      </c>
      <c r="X525" s="222">
        <f>PL!Y$1075</f>
        <v>7819</v>
      </c>
      <c r="Y525" s="222">
        <f>PL!Z$1075</f>
        <v>8057.6291000000165</v>
      </c>
      <c r="Z525" s="222">
        <f>PL!AA$1075</f>
        <v>5994.5671300000104</v>
      </c>
      <c r="AA525" s="222">
        <f>PL!AB$1075</f>
        <v>6359.6463200000144</v>
      </c>
      <c r="AB525" s="222">
        <f>PL!AC$1075</f>
        <v>10830.336350000023</v>
      </c>
    </row>
    <row r="526" spans="1:28" s="726" customFormat="1">
      <c r="A526" s="726">
        <v>1</v>
      </c>
      <c r="C526" s="727" t="s">
        <v>430</v>
      </c>
      <c r="F526" s="729"/>
      <c r="G526" s="739"/>
      <c r="H526" s="739"/>
      <c r="I526" s="740"/>
      <c r="J526" s="741" t="s">
        <v>82</v>
      </c>
      <c r="K526" s="742" t="s">
        <v>56</v>
      </c>
      <c r="L526" s="743" t="s">
        <v>3</v>
      </c>
      <c r="M526" s="744" t="s">
        <v>4</v>
      </c>
      <c r="N526" s="745" t="s">
        <v>5</v>
      </c>
      <c r="O526" s="741" t="str">
        <f>PL!$P$4</f>
        <v>BIN</v>
      </c>
      <c r="P526" s="741" t="str">
        <f>PL!$I$6</f>
        <v>K_INR</v>
      </c>
      <c r="Q526" s="738"/>
      <c r="R526" s="738"/>
      <c r="S526" s="738"/>
      <c r="T526" s="738"/>
      <c r="U526" s="738"/>
      <c r="V526" s="738"/>
      <c r="W526" s="738"/>
      <c r="X526" s="738"/>
      <c r="Y526" s="738"/>
      <c r="Z526" s="738"/>
      <c r="AA526" s="738"/>
      <c r="AB526" s="738"/>
    </row>
    <row r="527" spans="1:28">
      <c r="A527" s="598">
        <v>1</v>
      </c>
      <c r="B527" s="598" t="s">
        <v>509</v>
      </c>
      <c r="C527" s="598" t="s">
        <v>430</v>
      </c>
      <c r="D527" s="598" t="s">
        <v>513</v>
      </c>
      <c r="E527" s="598" t="s">
        <v>509</v>
      </c>
      <c r="G527" s="246"/>
      <c r="H527" s="246"/>
      <c r="I527" s="247"/>
      <c r="J527" s="220" t="s">
        <v>442</v>
      </c>
      <c r="K527" s="233" t="s">
        <v>56</v>
      </c>
      <c r="L527" s="232" t="s">
        <v>3</v>
      </c>
      <c r="M527" s="468" t="s">
        <v>4</v>
      </c>
      <c r="N527" s="232" t="s">
        <v>5</v>
      </c>
      <c r="O527" s="216" t="str">
        <f>PL!$P$4</f>
        <v>BIN</v>
      </c>
      <c r="P527" s="216" t="str">
        <f>PL!$I$6</f>
        <v>K_INR</v>
      </c>
      <c r="Q527" s="222" t="str">
        <f>PL!Q$1077</f>
        <v>BS (4) MS Purchased from BT cons. companies</v>
      </c>
      <c r="R527" s="222">
        <f>PL!S$1077</f>
        <v>0</v>
      </c>
      <c r="S527" s="222">
        <f>PL!T$1077</f>
        <v>0</v>
      </c>
      <c r="T527" s="222">
        <f>PL!U$1077</f>
        <v>0</v>
      </c>
      <c r="U527" s="222">
        <f>PL!V$1077</f>
        <v>0</v>
      </c>
      <c r="V527" s="222">
        <f>PL!W$1077</f>
        <v>0</v>
      </c>
      <c r="W527" s="222">
        <f>PL!X$1077</f>
        <v>0</v>
      </c>
      <c r="X527" s="222">
        <f>PL!Y$1077</f>
        <v>0</v>
      </c>
      <c r="Y527" s="222">
        <f>PL!Z$1077</f>
        <v>0</v>
      </c>
      <c r="Z527" s="222">
        <f>PL!AA$1077</f>
        <v>0</v>
      </c>
      <c r="AA527" s="222">
        <f>PL!AB$1077</f>
        <v>0</v>
      </c>
      <c r="AB527" s="222">
        <f>PL!AC$1077</f>
        <v>0</v>
      </c>
    </row>
    <row r="528" spans="1:28">
      <c r="A528" s="598">
        <v>1</v>
      </c>
      <c r="B528" s="598" t="s">
        <v>509</v>
      </c>
      <c r="C528" s="598" t="s">
        <v>430</v>
      </c>
      <c r="D528" s="598" t="s">
        <v>510</v>
      </c>
      <c r="E528" s="598" t="s">
        <v>509</v>
      </c>
      <c r="G528" s="246"/>
      <c r="H528" s="246"/>
      <c r="I528" s="247"/>
      <c r="J528" s="220" t="s">
        <v>84</v>
      </c>
      <c r="K528" s="233" t="s">
        <v>56</v>
      </c>
      <c r="L528" s="232" t="s">
        <v>3</v>
      </c>
      <c r="M528" s="468" t="s">
        <v>4</v>
      </c>
      <c r="N528" s="232" t="s">
        <v>734</v>
      </c>
      <c r="O528" s="216" t="str">
        <f>PL!$P$4</f>
        <v>BIN</v>
      </c>
      <c r="P528" s="216" t="str">
        <f>PL!$I$6</f>
        <v>K_INR</v>
      </c>
      <c r="Q528" s="222" t="str">
        <f>PL!Q$1078</f>
        <v>BS (4) MS 3rd Party</v>
      </c>
      <c r="R528" s="222">
        <f>PL!S$1078</f>
        <v>0</v>
      </c>
      <c r="S528" s="222">
        <f>PL!T$1078</f>
        <v>0</v>
      </c>
      <c r="T528" s="222">
        <f>PL!U$1078</f>
        <v>0</v>
      </c>
      <c r="U528" s="222">
        <f>PL!V$1078</f>
        <v>0</v>
      </c>
      <c r="V528" s="222">
        <f>PL!W$1078</f>
        <v>0</v>
      </c>
      <c r="W528" s="222">
        <f>PL!X$1078</f>
        <v>0</v>
      </c>
      <c r="X528" s="222">
        <f>PL!Y$1078</f>
        <v>0</v>
      </c>
      <c r="Y528" s="222">
        <f>PL!Z$1078</f>
        <v>0</v>
      </c>
      <c r="Z528" s="222">
        <f>PL!AA$1078</f>
        <v>0</v>
      </c>
      <c r="AA528" s="222">
        <f>PL!AB$1078</f>
        <v>0</v>
      </c>
      <c r="AB528" s="222">
        <f>PL!AC$1078</f>
        <v>0</v>
      </c>
    </row>
    <row r="529" spans="1:28">
      <c r="A529" s="598">
        <v>1</v>
      </c>
    </row>
    <row r="530" spans="1:28" s="711" customFormat="1">
      <c r="A530" s="711">
        <v>1</v>
      </c>
      <c r="C530" s="712" t="s">
        <v>676</v>
      </c>
      <c r="F530" s="713"/>
      <c r="G530" s="717"/>
      <c r="H530" s="717"/>
      <c r="I530" s="718"/>
      <c r="J530" s="715" t="s">
        <v>526</v>
      </c>
      <c r="K530" s="719" t="s">
        <v>83</v>
      </c>
      <c r="L530" s="720" t="s">
        <v>3</v>
      </c>
      <c r="M530" s="721" t="s">
        <v>4</v>
      </c>
      <c r="N530" s="720" t="s">
        <v>5</v>
      </c>
      <c r="O530" s="722" t="str">
        <f>PL!$P$4</f>
        <v>BIN</v>
      </c>
      <c r="P530" s="722" t="str">
        <f>PL!$I$6</f>
        <v>K_INR</v>
      </c>
      <c r="Q530" s="716"/>
      <c r="R530" s="716"/>
      <c r="S530" s="716"/>
      <c r="T530" s="716"/>
      <c r="U530" s="716"/>
      <c r="V530" s="716"/>
      <c r="W530" s="716"/>
      <c r="X530" s="716"/>
      <c r="Y530" s="716"/>
      <c r="Z530" s="716"/>
      <c r="AA530" s="716"/>
      <c r="AB530" s="716"/>
    </row>
    <row r="531" spans="1:28" s="726" customFormat="1">
      <c r="A531" s="726">
        <v>1</v>
      </c>
      <c r="C531" s="727" t="s">
        <v>505</v>
      </c>
      <c r="F531" s="729"/>
      <c r="G531" s="739"/>
      <c r="H531" s="739"/>
      <c r="I531" s="740"/>
      <c r="J531" s="741" t="s">
        <v>526</v>
      </c>
      <c r="K531" s="742" t="s">
        <v>2</v>
      </c>
      <c r="L531" s="743" t="s">
        <v>3</v>
      </c>
      <c r="M531" s="744" t="s">
        <v>4</v>
      </c>
      <c r="N531" s="745" t="s">
        <v>5</v>
      </c>
      <c r="O531" s="741" t="str">
        <f>PL!$P$4</f>
        <v>BIN</v>
      </c>
      <c r="P531" s="741" t="str">
        <f>PL!$I$6</f>
        <v>K_INR</v>
      </c>
      <c r="Q531" s="738"/>
      <c r="R531" s="738"/>
      <c r="S531" s="738"/>
      <c r="T531" s="738"/>
      <c r="U531" s="738"/>
      <c r="V531" s="738"/>
      <c r="W531" s="738"/>
      <c r="X531" s="738"/>
      <c r="Y531" s="738"/>
      <c r="Z531" s="738"/>
      <c r="AA531" s="738"/>
      <c r="AB531" s="738"/>
    </row>
    <row r="532" spans="1:28">
      <c r="A532" s="598">
        <v>1</v>
      </c>
      <c r="B532" s="598" t="s">
        <v>676</v>
      </c>
      <c r="C532" s="598" t="s">
        <v>696</v>
      </c>
      <c r="D532" s="598" t="s">
        <v>528</v>
      </c>
      <c r="E532" s="598" t="s">
        <v>676</v>
      </c>
      <c r="G532" s="244"/>
      <c r="H532" s="246"/>
      <c r="I532" s="246"/>
      <c r="J532" s="220" t="s">
        <v>528</v>
      </c>
      <c r="K532" s="233" t="s">
        <v>2</v>
      </c>
      <c r="L532" s="232" t="s">
        <v>3</v>
      </c>
      <c r="M532" s="468" t="s">
        <v>4</v>
      </c>
      <c r="N532" s="232" t="s">
        <v>5</v>
      </c>
      <c r="O532" s="216" t="str">
        <f>PL!$P$4</f>
        <v>BIN</v>
      </c>
      <c r="P532" s="216" t="str">
        <f>PL!$I$6</f>
        <v>K_INR</v>
      </c>
      <c r="Q532" s="222"/>
      <c r="R532" s="222"/>
      <c r="S532" s="222" t="e">
        <f>#REF!</f>
        <v>#REF!</v>
      </c>
      <c r="T532" s="222"/>
      <c r="U532" s="222"/>
      <c r="V532" s="222" t="e">
        <f>#REF!</f>
        <v>#REF!</v>
      </c>
      <c r="W532" s="222"/>
      <c r="X532" s="222"/>
      <c r="Y532" s="222" t="e">
        <f>#REF!</f>
        <v>#REF!</v>
      </c>
      <c r="Z532" s="222"/>
      <c r="AA532" s="222"/>
      <c r="AB532" s="222" t="e">
        <f>#REF!</f>
        <v>#REF!</v>
      </c>
    </row>
    <row r="533" spans="1:28">
      <c r="A533" s="598">
        <v>1</v>
      </c>
      <c r="B533" s="598" t="s">
        <v>676</v>
      </c>
      <c r="C533" s="598" t="s">
        <v>696</v>
      </c>
      <c r="D533" s="598" t="s">
        <v>527</v>
      </c>
      <c r="E533" s="598" t="s">
        <v>676</v>
      </c>
      <c r="G533" s="244"/>
      <c r="H533" s="246"/>
      <c r="I533" s="246"/>
      <c r="J533" s="220" t="s">
        <v>527</v>
      </c>
      <c r="K533" s="233" t="s">
        <v>2</v>
      </c>
      <c r="L533" s="232" t="s">
        <v>3</v>
      </c>
      <c r="M533" s="468" t="s">
        <v>4</v>
      </c>
      <c r="N533" s="232" t="s">
        <v>5</v>
      </c>
      <c r="O533" s="216" t="str">
        <f>PL!$P$4</f>
        <v>BIN</v>
      </c>
      <c r="P533" s="216" t="str">
        <f>PL!$I$6</f>
        <v>K_INR</v>
      </c>
      <c r="Q533" s="222"/>
      <c r="R533" s="222"/>
      <c r="S533" s="222" t="e">
        <f>#REF!</f>
        <v>#REF!</v>
      </c>
      <c r="T533" s="222"/>
      <c r="U533" s="222"/>
      <c r="V533" s="222" t="e">
        <f>#REF!</f>
        <v>#REF!</v>
      </c>
      <c r="W533" s="222"/>
      <c r="X533" s="222"/>
      <c r="Y533" s="222" t="e">
        <f>#REF!</f>
        <v>#REF!</v>
      </c>
      <c r="Z533" s="222"/>
      <c r="AA533" s="222"/>
      <c r="AB533" s="222" t="e">
        <f>#REF!</f>
        <v>#REF!</v>
      </c>
    </row>
    <row r="534" spans="1:28" s="726" customFormat="1">
      <c r="A534" s="218">
        <v>1</v>
      </c>
      <c r="B534" s="218"/>
      <c r="C534" s="218"/>
      <c r="D534" s="218"/>
      <c r="E534" s="218"/>
      <c r="F534" s="399"/>
      <c r="G534" s="244"/>
      <c r="H534" s="244"/>
      <c r="I534" s="245"/>
      <c r="J534" s="741" t="s">
        <v>707</v>
      </c>
      <c r="K534" s="742" t="s">
        <v>2</v>
      </c>
      <c r="L534" s="743" t="s">
        <v>3</v>
      </c>
      <c r="M534" s="744" t="s">
        <v>4</v>
      </c>
      <c r="N534" s="745" t="s">
        <v>5</v>
      </c>
      <c r="O534" s="741" t="str">
        <f>PL!$P$4</f>
        <v>BIN</v>
      </c>
      <c r="P534" s="741" t="str">
        <f>PL!$I$6</f>
        <v>K_INR</v>
      </c>
      <c r="Q534" s="738"/>
      <c r="R534" s="738"/>
      <c r="S534" s="738"/>
      <c r="T534" s="738"/>
      <c r="U534" s="738"/>
      <c r="V534" s="738"/>
      <c r="W534" s="738"/>
      <c r="X534" s="738"/>
      <c r="Y534" s="738"/>
      <c r="Z534" s="738"/>
      <c r="AA534" s="738"/>
      <c r="AB534" s="738"/>
    </row>
    <row r="535" spans="1:28">
      <c r="A535" s="598">
        <v>1</v>
      </c>
      <c r="B535" s="598" t="s">
        <v>708</v>
      </c>
      <c r="C535" s="598" t="s">
        <v>696</v>
      </c>
      <c r="D535" s="598" t="s">
        <v>709</v>
      </c>
      <c r="E535" s="598" t="s">
        <v>676</v>
      </c>
      <c r="G535" s="244"/>
      <c r="H535" s="246"/>
      <c r="I535" s="246"/>
      <c r="J535" s="220" t="s">
        <v>710</v>
      </c>
      <c r="K535" s="233" t="s">
        <v>2</v>
      </c>
      <c r="L535" s="232" t="s">
        <v>3</v>
      </c>
      <c r="M535" s="468" t="s">
        <v>4</v>
      </c>
      <c r="N535" s="232" t="s">
        <v>5</v>
      </c>
      <c r="O535" s="216" t="str">
        <f>PL!$P$4</f>
        <v>BIN</v>
      </c>
      <c r="P535" s="216" t="str">
        <f>PL!$I$6</f>
        <v>K_INR</v>
      </c>
      <c r="Q535" s="222"/>
      <c r="R535" s="222"/>
      <c r="S535" s="222" t="e">
        <f>#REF!</f>
        <v>#REF!</v>
      </c>
      <c r="T535" s="222"/>
      <c r="U535" s="222"/>
      <c r="V535" s="222" t="e">
        <f>#REF!</f>
        <v>#REF!</v>
      </c>
      <c r="W535" s="222"/>
      <c r="X535" s="222"/>
      <c r="Y535" s="222" t="e">
        <f>#REF!</f>
        <v>#REF!</v>
      </c>
      <c r="Z535" s="222"/>
      <c r="AA535" s="222"/>
      <c r="AB535" s="222" t="e">
        <f>#REF!</f>
        <v>#REF!</v>
      </c>
    </row>
    <row r="536" spans="1:28">
      <c r="A536" s="598">
        <v>1</v>
      </c>
      <c r="B536" s="598" t="s">
        <v>708</v>
      </c>
      <c r="C536" s="598" t="s">
        <v>696</v>
      </c>
      <c r="D536" s="598" t="s">
        <v>711</v>
      </c>
      <c r="E536" s="598" t="s">
        <v>676</v>
      </c>
      <c r="G536" s="244"/>
      <c r="H536" s="246"/>
      <c r="I536" s="246"/>
      <c r="J536" s="220" t="s">
        <v>712</v>
      </c>
      <c r="K536" s="233" t="s">
        <v>2</v>
      </c>
      <c r="L536" s="232" t="s">
        <v>3</v>
      </c>
      <c r="M536" s="468" t="s">
        <v>4</v>
      </c>
      <c r="N536" s="232" t="s">
        <v>5</v>
      </c>
      <c r="O536" s="216" t="str">
        <f>PL!$P$4</f>
        <v>BIN</v>
      </c>
      <c r="P536" s="216" t="str">
        <f>PL!$I$6</f>
        <v>K_INR</v>
      </c>
      <c r="Q536" s="222"/>
      <c r="R536" s="222"/>
      <c r="S536" s="222" t="e">
        <f>#REF!</f>
        <v>#REF!</v>
      </c>
      <c r="T536" s="222"/>
      <c r="U536" s="222"/>
      <c r="V536" s="222" t="e">
        <f>#REF!</f>
        <v>#REF!</v>
      </c>
      <c r="W536" s="222"/>
      <c r="X536" s="222"/>
      <c r="Y536" s="222" t="e">
        <f>#REF!</f>
        <v>#REF!</v>
      </c>
      <c r="Z536" s="222"/>
      <c r="AA536" s="222"/>
      <c r="AB536" s="222" t="e">
        <f>#REF!</f>
        <v>#REF!</v>
      </c>
    </row>
    <row r="537" spans="1:28">
      <c r="A537" s="598">
        <v>1</v>
      </c>
      <c r="B537" s="598" t="s">
        <v>708</v>
      </c>
      <c r="C537" s="598" t="s">
        <v>696</v>
      </c>
      <c r="D537" s="598" t="s">
        <v>713</v>
      </c>
      <c r="E537" s="598" t="s">
        <v>676</v>
      </c>
      <c r="G537" s="244"/>
      <c r="H537" s="246"/>
      <c r="I537" s="246"/>
      <c r="J537" s="220" t="s">
        <v>714</v>
      </c>
      <c r="K537" s="233" t="s">
        <v>2</v>
      </c>
      <c r="L537" s="232" t="s">
        <v>3</v>
      </c>
      <c r="M537" s="468" t="s">
        <v>4</v>
      </c>
      <c r="N537" s="232" t="s">
        <v>5</v>
      </c>
      <c r="O537" s="216" t="str">
        <f>PL!$P$4</f>
        <v>BIN</v>
      </c>
      <c r="P537" s="216" t="str">
        <f>PL!$I$6</f>
        <v>K_INR</v>
      </c>
      <c r="Q537" s="222"/>
      <c r="R537" s="222"/>
      <c r="S537" s="222" t="e">
        <f>#REF!</f>
        <v>#REF!</v>
      </c>
      <c r="T537" s="222"/>
      <c r="U537" s="222"/>
      <c r="V537" s="222" t="e">
        <f>#REF!</f>
        <v>#REF!</v>
      </c>
      <c r="W537" s="222"/>
      <c r="X537" s="222"/>
      <c r="Y537" s="222" t="e">
        <f>#REF!</f>
        <v>#REF!</v>
      </c>
      <c r="Z537" s="222"/>
      <c r="AA537" s="222"/>
      <c r="AB537" s="222" t="e">
        <f>#REF!</f>
        <v>#REF!</v>
      </c>
    </row>
    <row r="538" spans="1:28">
      <c r="A538" s="598">
        <v>1</v>
      </c>
      <c r="B538" s="598" t="s">
        <v>708</v>
      </c>
      <c r="C538" s="598" t="s">
        <v>696</v>
      </c>
      <c r="D538" s="598" t="s">
        <v>715</v>
      </c>
      <c r="E538" s="598" t="s">
        <v>676</v>
      </c>
      <c r="G538" s="244"/>
      <c r="H538" s="246"/>
      <c r="I538" s="246"/>
      <c r="J538" s="220" t="s">
        <v>716</v>
      </c>
      <c r="K538" s="233" t="s">
        <v>2</v>
      </c>
      <c r="L538" s="232" t="s">
        <v>3</v>
      </c>
      <c r="M538" s="468" t="s">
        <v>4</v>
      </c>
      <c r="N538" s="232" t="s">
        <v>5</v>
      </c>
      <c r="O538" s="216" t="str">
        <f>PL!$P$4</f>
        <v>BIN</v>
      </c>
      <c r="P538" s="216" t="str">
        <f>PL!$I$6</f>
        <v>K_INR</v>
      </c>
      <c r="Q538" s="222"/>
      <c r="R538" s="222"/>
      <c r="S538" s="222" t="e">
        <f>#REF!</f>
        <v>#REF!</v>
      </c>
      <c r="T538" s="222"/>
      <c r="U538" s="222"/>
      <c r="V538" s="222" t="e">
        <f>#REF!</f>
        <v>#REF!</v>
      </c>
      <c r="W538" s="222"/>
      <c r="X538" s="222"/>
      <c r="Y538" s="222" t="e">
        <f>#REF!</f>
        <v>#REF!</v>
      </c>
      <c r="Z538" s="222"/>
      <c r="AA538" s="222"/>
      <c r="AB538" s="222" t="e">
        <f>#REF!</f>
        <v>#REF!</v>
      </c>
    </row>
    <row r="539" spans="1:28">
      <c r="A539" s="598">
        <v>1</v>
      </c>
      <c r="B539" s="598" t="s">
        <v>708</v>
      </c>
      <c r="C539" s="598" t="s">
        <v>696</v>
      </c>
      <c r="D539" s="598" t="s">
        <v>717</v>
      </c>
      <c r="E539" s="598" t="s">
        <v>676</v>
      </c>
      <c r="G539" s="244"/>
      <c r="H539" s="246"/>
      <c r="I539" s="246"/>
      <c r="J539" s="220" t="s">
        <v>718</v>
      </c>
      <c r="K539" s="233" t="s">
        <v>2</v>
      </c>
      <c r="L539" s="232" t="s">
        <v>3</v>
      </c>
      <c r="M539" s="468" t="s">
        <v>4</v>
      </c>
      <c r="N539" s="232" t="s">
        <v>5</v>
      </c>
      <c r="O539" s="216" t="str">
        <f>PL!$P$4</f>
        <v>BIN</v>
      </c>
      <c r="P539" s="216" t="str">
        <f>PL!$I$6</f>
        <v>K_INR</v>
      </c>
      <c r="Q539" s="222"/>
      <c r="R539" s="222"/>
      <c r="S539" s="222" t="e">
        <f>#REF!</f>
        <v>#REF!</v>
      </c>
      <c r="T539" s="222"/>
      <c r="U539" s="222"/>
      <c r="V539" s="222" t="e">
        <f>#REF!</f>
        <v>#REF!</v>
      </c>
      <c r="W539" s="222"/>
      <c r="X539" s="222"/>
      <c r="Y539" s="222" t="e">
        <f>#REF!</f>
        <v>#REF!</v>
      </c>
      <c r="Z539" s="222"/>
      <c r="AA539" s="222"/>
      <c r="AB539" s="222" t="e">
        <f>#REF!</f>
        <v>#REF!</v>
      </c>
    </row>
    <row r="540" spans="1:28">
      <c r="A540" s="598">
        <v>1</v>
      </c>
      <c r="B540" s="598" t="s">
        <v>708</v>
      </c>
      <c r="C540" s="598" t="s">
        <v>696</v>
      </c>
      <c r="D540" s="598" t="s">
        <v>719</v>
      </c>
      <c r="E540" s="598" t="s">
        <v>676</v>
      </c>
      <c r="G540" s="244"/>
      <c r="H540" s="246"/>
      <c r="I540" s="246"/>
      <c r="J540" s="220" t="s">
        <v>720</v>
      </c>
      <c r="K540" s="233" t="s">
        <v>2</v>
      </c>
      <c r="L540" s="232" t="s">
        <v>3</v>
      </c>
      <c r="M540" s="468" t="s">
        <v>4</v>
      </c>
      <c r="N540" s="232" t="s">
        <v>5</v>
      </c>
      <c r="O540" s="216" t="str">
        <f>PL!$P$4</f>
        <v>BIN</v>
      </c>
      <c r="P540" s="216" t="str">
        <f>PL!$I$6</f>
        <v>K_INR</v>
      </c>
      <c r="Q540" s="222"/>
      <c r="R540" s="222"/>
      <c r="S540" s="222" t="e">
        <f>#REF!</f>
        <v>#REF!</v>
      </c>
      <c r="T540" s="222"/>
      <c r="U540" s="222"/>
      <c r="V540" s="222" t="e">
        <f>#REF!</f>
        <v>#REF!</v>
      </c>
      <c r="W540" s="222"/>
      <c r="X540" s="222"/>
      <c r="Y540" s="222" t="e">
        <f>#REF!</f>
        <v>#REF!</v>
      </c>
      <c r="Z540" s="222"/>
      <c r="AA540" s="222"/>
      <c r="AB540" s="222" t="e">
        <f>#REF!</f>
        <v>#REF!</v>
      </c>
    </row>
    <row r="541" spans="1:28">
      <c r="A541" s="218">
        <v>1</v>
      </c>
    </row>
    <row r="542" spans="1:28" s="711" customFormat="1">
      <c r="A542" s="711">
        <v>1</v>
      </c>
      <c r="C542" s="712" t="s">
        <v>732</v>
      </c>
      <c r="F542" s="713"/>
      <c r="G542" s="717"/>
      <c r="H542" s="717"/>
      <c r="I542" s="718"/>
      <c r="J542" s="712" t="s">
        <v>732</v>
      </c>
      <c r="K542" s="719" t="s">
        <v>2</v>
      </c>
      <c r="L542" s="720" t="s">
        <v>3</v>
      </c>
      <c r="M542" s="721" t="s">
        <v>4</v>
      </c>
      <c r="N542" s="720" t="s">
        <v>5</v>
      </c>
      <c r="O542" s="722" t="str">
        <f>PL!$P$4</f>
        <v>BIN</v>
      </c>
      <c r="P542" s="722" t="str">
        <f>PL!$I$6</f>
        <v>K_INR</v>
      </c>
      <c r="Q542" s="716"/>
      <c r="R542" s="716"/>
      <c r="S542" s="716"/>
      <c r="T542" s="716"/>
      <c r="U542" s="716"/>
      <c r="V542" s="716"/>
      <c r="W542" s="716"/>
      <c r="X542" s="716"/>
      <c r="Y542" s="716"/>
      <c r="Z542" s="716"/>
      <c r="AA542" s="716"/>
      <c r="AB542" s="716"/>
    </row>
    <row r="543" spans="1:28" s="726" customFormat="1">
      <c r="A543" s="726">
        <v>1</v>
      </c>
      <c r="C543" s="727" t="s">
        <v>505</v>
      </c>
      <c r="F543" s="729"/>
      <c r="G543" s="739"/>
      <c r="H543" s="739"/>
      <c r="I543" s="740"/>
      <c r="J543" s="741" t="s">
        <v>733</v>
      </c>
      <c r="K543" s="742" t="s">
        <v>2</v>
      </c>
      <c r="L543" s="743" t="s">
        <v>3</v>
      </c>
      <c r="M543" s="744" t="s">
        <v>4</v>
      </c>
      <c r="N543" s="745" t="s">
        <v>5</v>
      </c>
      <c r="O543" s="741" t="str">
        <f>PL!$P$4</f>
        <v>BIN</v>
      </c>
      <c r="P543" s="741" t="str">
        <f>PL!$I$6</f>
        <v>K_INR</v>
      </c>
      <c r="Q543" s="738"/>
      <c r="R543" s="738"/>
      <c r="S543" s="738"/>
      <c r="T543" s="738"/>
      <c r="U543" s="738"/>
      <c r="V543" s="738"/>
      <c r="W543" s="738"/>
      <c r="X543" s="738"/>
      <c r="Y543" s="738"/>
      <c r="Z543" s="738"/>
      <c r="AA543" s="738"/>
      <c r="AB543" s="738"/>
    </row>
    <row r="544" spans="1:28">
      <c r="A544" s="598">
        <v>1</v>
      </c>
      <c r="B544" s="598" t="s">
        <v>735</v>
      </c>
      <c r="C544" s="598" t="s">
        <v>505</v>
      </c>
      <c r="D544" s="598" t="s">
        <v>455</v>
      </c>
      <c r="E544" s="598" t="s">
        <v>746</v>
      </c>
      <c r="J544" s="220" t="s">
        <v>736</v>
      </c>
      <c r="K544" s="231" t="s">
        <v>2</v>
      </c>
      <c r="L544" s="232" t="s">
        <v>3</v>
      </c>
      <c r="M544" s="468" t="s">
        <v>4</v>
      </c>
      <c r="N544" s="232" t="s">
        <v>5</v>
      </c>
      <c r="O544" s="216" t="str">
        <f>PL!$P$4</f>
        <v>BIN</v>
      </c>
      <c r="P544" s="216" t="str">
        <f>PL!$I$6</f>
        <v>K_INR</v>
      </c>
      <c r="Q544" s="222" t="e">
        <f>#REF!</f>
        <v>#REF!</v>
      </c>
      <c r="R544" s="222"/>
      <c r="S544" s="222" t="e">
        <f>#REF!</f>
        <v>#REF!</v>
      </c>
      <c r="T544" s="222"/>
      <c r="U544" s="222"/>
      <c r="V544" s="222" t="e">
        <f>#REF!</f>
        <v>#REF!</v>
      </c>
      <c r="W544" s="222"/>
      <c r="X544" s="222"/>
      <c r="Y544" s="222" t="e">
        <f>#REF!</f>
        <v>#REF!</v>
      </c>
      <c r="Z544" s="222"/>
      <c r="AA544" s="222"/>
      <c r="AB544" s="222" t="e">
        <f>#REF!</f>
        <v>#REF!</v>
      </c>
    </row>
    <row r="545" spans="1:28">
      <c r="A545" s="598">
        <v>1</v>
      </c>
      <c r="B545" s="598" t="s">
        <v>735</v>
      </c>
      <c r="C545" s="598" t="s">
        <v>505</v>
      </c>
      <c r="D545" s="598" t="s">
        <v>456</v>
      </c>
      <c r="E545" s="598" t="s">
        <v>746</v>
      </c>
      <c r="J545" s="220" t="s">
        <v>736</v>
      </c>
      <c r="K545" s="231" t="s">
        <v>2</v>
      </c>
      <c r="L545" s="232" t="s">
        <v>3</v>
      </c>
      <c r="M545" s="468" t="s">
        <v>4</v>
      </c>
      <c r="N545" s="232" t="s">
        <v>734</v>
      </c>
      <c r="O545" s="216" t="str">
        <f>PL!$P$4</f>
        <v>BIN</v>
      </c>
      <c r="P545" s="216" t="str">
        <f>PL!$I$6</f>
        <v>K_INR</v>
      </c>
      <c r="Q545" s="222" t="e">
        <f>#REF!</f>
        <v>#REF!</v>
      </c>
      <c r="R545" s="222"/>
      <c r="S545" s="222" t="e">
        <f>#REF!</f>
        <v>#REF!</v>
      </c>
      <c r="T545" s="222"/>
      <c r="U545" s="222"/>
      <c r="V545" s="222" t="e">
        <f>#REF!</f>
        <v>#REF!</v>
      </c>
      <c r="W545" s="222"/>
      <c r="X545" s="222"/>
      <c r="Y545" s="222" t="e">
        <f>#REF!</f>
        <v>#REF!</v>
      </c>
      <c r="Z545" s="222"/>
      <c r="AA545" s="222"/>
      <c r="AB545" s="222" t="e">
        <f>#REF!</f>
        <v>#REF!</v>
      </c>
    </row>
    <row r="546" spans="1:28">
      <c r="A546" s="598">
        <v>1</v>
      </c>
      <c r="B546" s="598" t="s">
        <v>735</v>
      </c>
      <c r="C546" s="598" t="s">
        <v>505</v>
      </c>
      <c r="D546" s="598" t="s">
        <v>457</v>
      </c>
      <c r="E546" s="598" t="s">
        <v>746</v>
      </c>
      <c r="J546" s="220" t="s">
        <v>736</v>
      </c>
      <c r="K546" s="231" t="s">
        <v>2</v>
      </c>
      <c r="L546" s="232" t="s">
        <v>3</v>
      </c>
      <c r="M546" s="468" t="s">
        <v>4</v>
      </c>
      <c r="N546" s="232" t="s">
        <v>734</v>
      </c>
      <c r="O546" s="216" t="str">
        <f>PL!$P$4</f>
        <v>BIN</v>
      </c>
      <c r="P546" s="216" t="str">
        <f>PL!$I$6</f>
        <v>K_INR</v>
      </c>
      <c r="Q546" s="222" t="e">
        <f>#REF!</f>
        <v>#REF!</v>
      </c>
      <c r="R546" s="222"/>
      <c r="S546" s="222" t="e">
        <f>#REF!</f>
        <v>#REF!</v>
      </c>
      <c r="T546" s="222"/>
      <c r="U546" s="222"/>
      <c r="V546" s="222" t="e">
        <f>#REF!</f>
        <v>#REF!</v>
      </c>
      <c r="W546" s="222"/>
      <c r="X546" s="222"/>
      <c r="Y546" s="222" t="e">
        <f>#REF!</f>
        <v>#REF!</v>
      </c>
      <c r="Z546" s="222"/>
      <c r="AA546" s="222"/>
      <c r="AB546" s="222" t="e">
        <f>#REF!</f>
        <v>#REF!</v>
      </c>
    </row>
    <row r="547" spans="1:28">
      <c r="A547" s="598">
        <v>1</v>
      </c>
      <c r="B547" s="598" t="s">
        <v>735</v>
      </c>
      <c r="C547" s="598" t="s">
        <v>505</v>
      </c>
      <c r="D547" s="598" t="s">
        <v>737</v>
      </c>
      <c r="E547" s="598" t="s">
        <v>747</v>
      </c>
      <c r="J547" s="220" t="s">
        <v>736</v>
      </c>
      <c r="K547" s="231" t="s">
        <v>2</v>
      </c>
      <c r="L547" s="232" t="s">
        <v>3</v>
      </c>
      <c r="M547" s="468" t="s">
        <v>4</v>
      </c>
      <c r="N547" s="232" t="s">
        <v>734</v>
      </c>
      <c r="O547" s="216" t="str">
        <f>PL!$P$4</f>
        <v>BIN</v>
      </c>
      <c r="P547" s="216" t="str">
        <f>PL!$I$6</f>
        <v>K_INR</v>
      </c>
      <c r="Q547" s="222" t="e">
        <f>#REF!</f>
        <v>#REF!</v>
      </c>
      <c r="R547" s="222"/>
      <c r="S547" s="222" t="e">
        <f>#REF!</f>
        <v>#REF!</v>
      </c>
      <c r="T547" s="222"/>
      <c r="U547" s="222"/>
      <c r="V547" s="222" t="e">
        <f>#REF!</f>
        <v>#REF!</v>
      </c>
      <c r="W547" s="222"/>
      <c r="X547" s="222"/>
      <c r="Y547" s="222" t="e">
        <f>#REF!</f>
        <v>#REF!</v>
      </c>
      <c r="Z547" s="222"/>
      <c r="AA547" s="222"/>
      <c r="AB547" s="222" t="e">
        <f>#REF!</f>
        <v>#REF!</v>
      </c>
    </row>
    <row r="548" spans="1:28">
      <c r="A548" s="598">
        <v>1</v>
      </c>
      <c r="B548" s="598" t="s">
        <v>735</v>
      </c>
      <c r="C548" s="598" t="s">
        <v>505</v>
      </c>
      <c r="D548" s="598" t="s">
        <v>738</v>
      </c>
      <c r="E548" s="598" t="s">
        <v>747</v>
      </c>
      <c r="J548" s="220" t="s">
        <v>736</v>
      </c>
      <c r="K548" s="231" t="s">
        <v>2</v>
      </c>
      <c r="L548" s="232" t="s">
        <v>3</v>
      </c>
      <c r="M548" s="468" t="s">
        <v>4</v>
      </c>
      <c r="N548" s="232" t="s">
        <v>734</v>
      </c>
      <c r="O548" s="216" t="str">
        <f>PL!$P$4</f>
        <v>BIN</v>
      </c>
      <c r="P548" s="216" t="str">
        <f>PL!$I$6</f>
        <v>K_INR</v>
      </c>
      <c r="Q548" s="222" t="e">
        <f>#REF!</f>
        <v>#REF!</v>
      </c>
      <c r="R548" s="222"/>
      <c r="S548" s="222" t="e">
        <f>#REF!</f>
        <v>#REF!</v>
      </c>
      <c r="T548" s="222"/>
      <c r="U548" s="222"/>
      <c r="V548" s="222" t="e">
        <f>#REF!</f>
        <v>#REF!</v>
      </c>
      <c r="W548" s="222"/>
      <c r="X548" s="222"/>
      <c r="Y548" s="222" t="e">
        <f>#REF!</f>
        <v>#REF!</v>
      </c>
      <c r="Z548" s="222"/>
      <c r="AA548" s="222"/>
      <c r="AB548" s="222" t="e">
        <f>#REF!</f>
        <v>#REF!</v>
      </c>
    </row>
    <row r="549" spans="1:28">
      <c r="A549" s="598">
        <v>1</v>
      </c>
      <c r="B549" s="598" t="s">
        <v>735</v>
      </c>
      <c r="C549" s="598" t="s">
        <v>505</v>
      </c>
      <c r="D549" s="598" t="s">
        <v>739</v>
      </c>
      <c r="E549" s="598" t="s">
        <v>747</v>
      </c>
      <c r="J549" s="220" t="s">
        <v>736</v>
      </c>
      <c r="K549" s="231" t="s">
        <v>2</v>
      </c>
      <c r="L549" s="232" t="s">
        <v>3</v>
      </c>
      <c r="M549" s="468" t="s">
        <v>4</v>
      </c>
      <c r="N549" s="232" t="s">
        <v>734</v>
      </c>
      <c r="O549" s="216" t="str">
        <f>PL!$P$4</f>
        <v>BIN</v>
      </c>
      <c r="P549" s="216" t="str">
        <f>PL!$I$6</f>
        <v>K_INR</v>
      </c>
      <c r="Q549" s="222" t="e">
        <f>#REF!</f>
        <v>#REF!</v>
      </c>
      <c r="R549" s="222"/>
      <c r="S549" s="222" t="e">
        <f>#REF!</f>
        <v>#REF!</v>
      </c>
      <c r="T549" s="222"/>
      <c r="U549" s="222"/>
      <c r="V549" s="222" t="e">
        <f>#REF!</f>
        <v>#REF!</v>
      </c>
      <c r="W549" s="222"/>
      <c r="X549" s="222"/>
      <c r="Y549" s="222" t="e">
        <f>#REF!</f>
        <v>#REF!</v>
      </c>
      <c r="Z549" s="222"/>
      <c r="AA549" s="222"/>
      <c r="AB549" s="222" t="e">
        <f>#REF!</f>
        <v>#REF!</v>
      </c>
    </row>
    <row r="550" spans="1:28">
      <c r="A550" s="598">
        <v>1</v>
      </c>
      <c r="B550" s="598" t="s">
        <v>735</v>
      </c>
      <c r="C550" s="598" t="s">
        <v>505</v>
      </c>
      <c r="D550" s="598" t="s">
        <v>740</v>
      </c>
      <c r="E550" s="598" t="s">
        <v>747</v>
      </c>
      <c r="J550" s="220" t="s">
        <v>736</v>
      </c>
      <c r="K550" s="231" t="s">
        <v>2</v>
      </c>
      <c r="L550" s="232" t="s">
        <v>3</v>
      </c>
      <c r="M550" s="468" t="s">
        <v>4</v>
      </c>
      <c r="N550" s="232" t="s">
        <v>734</v>
      </c>
      <c r="O550" s="216" t="str">
        <f>PL!$P$4</f>
        <v>BIN</v>
      </c>
      <c r="P550" s="216" t="str">
        <f>PL!$I$6</f>
        <v>K_INR</v>
      </c>
      <c r="Q550" s="222" t="e">
        <f>#REF!</f>
        <v>#REF!</v>
      </c>
      <c r="R550" s="222"/>
      <c r="S550" s="222" t="e">
        <f>#REF!</f>
        <v>#REF!</v>
      </c>
      <c r="T550" s="222"/>
      <c r="U550" s="222"/>
      <c r="V550" s="222" t="e">
        <f>#REF!</f>
        <v>#REF!</v>
      </c>
      <c r="W550" s="222"/>
      <c r="X550" s="222"/>
      <c r="Y550" s="222" t="e">
        <f>#REF!</f>
        <v>#REF!</v>
      </c>
      <c r="Z550" s="222"/>
      <c r="AA550" s="222"/>
      <c r="AB550" s="222" t="e">
        <f>#REF!</f>
        <v>#REF!</v>
      </c>
    </row>
    <row r="551" spans="1:28">
      <c r="A551" s="598">
        <v>1</v>
      </c>
      <c r="B551" s="598" t="s">
        <v>735</v>
      </c>
      <c r="C551" s="598" t="s">
        <v>505</v>
      </c>
      <c r="D551" s="598" t="s">
        <v>741</v>
      </c>
      <c r="E551" s="598" t="s">
        <v>747</v>
      </c>
      <c r="J551" s="220" t="s">
        <v>736</v>
      </c>
      <c r="K551" s="231" t="s">
        <v>2</v>
      </c>
      <c r="L551" s="232" t="s">
        <v>3</v>
      </c>
      <c r="M551" s="468" t="s">
        <v>4</v>
      </c>
      <c r="N551" s="232" t="s">
        <v>734</v>
      </c>
      <c r="O551" s="216" t="str">
        <f>PL!$P$4</f>
        <v>BIN</v>
      </c>
      <c r="P551" s="216" t="str">
        <f>PL!$I$6</f>
        <v>K_INR</v>
      </c>
      <c r="Q551" s="222" t="e">
        <f>#REF!</f>
        <v>#REF!</v>
      </c>
      <c r="R551" s="222"/>
      <c r="S551" s="222" t="e">
        <f>#REF!</f>
        <v>#REF!</v>
      </c>
      <c r="T551" s="222"/>
      <c r="U551" s="222"/>
      <c r="V551" s="222" t="e">
        <f>#REF!</f>
        <v>#REF!</v>
      </c>
      <c r="W551" s="222"/>
      <c r="X551" s="222"/>
      <c r="Y551" s="222" t="e">
        <f>#REF!</f>
        <v>#REF!</v>
      </c>
      <c r="Z551" s="222"/>
      <c r="AA551" s="222"/>
      <c r="AB551" s="222" t="e">
        <f>#REF!</f>
        <v>#REF!</v>
      </c>
    </row>
    <row r="552" spans="1:28">
      <c r="A552" s="598">
        <v>1</v>
      </c>
      <c r="B552" s="598" t="s">
        <v>735</v>
      </c>
      <c r="C552" s="598" t="s">
        <v>505</v>
      </c>
      <c r="D552" s="598" t="s">
        <v>742</v>
      </c>
      <c r="E552" s="598" t="s">
        <v>747</v>
      </c>
      <c r="J552" s="220" t="s">
        <v>736</v>
      </c>
      <c r="K552" s="231" t="s">
        <v>2</v>
      </c>
      <c r="L552" s="232" t="s">
        <v>3</v>
      </c>
      <c r="M552" s="468" t="s">
        <v>4</v>
      </c>
      <c r="N552" s="232" t="s">
        <v>734</v>
      </c>
      <c r="O552" s="216" t="str">
        <f>PL!$P$4</f>
        <v>BIN</v>
      </c>
      <c r="P552" s="216" t="str">
        <f>PL!$I$6</f>
        <v>K_INR</v>
      </c>
      <c r="Q552" s="222" t="e">
        <f>#REF!</f>
        <v>#REF!</v>
      </c>
      <c r="R552" s="222"/>
      <c r="S552" s="222" t="e">
        <f>#REF!</f>
        <v>#REF!</v>
      </c>
      <c r="T552" s="222"/>
      <c r="U552" s="222"/>
      <c r="V552" s="222" t="e">
        <f>#REF!</f>
        <v>#REF!</v>
      </c>
      <c r="W552" s="222"/>
      <c r="X552" s="222"/>
      <c r="Y552" s="222" t="e">
        <f>#REF!</f>
        <v>#REF!</v>
      </c>
      <c r="Z552" s="222"/>
      <c r="AA552" s="222"/>
      <c r="AB552" s="222" t="e">
        <f>#REF!</f>
        <v>#REF!</v>
      </c>
    </row>
    <row r="553" spans="1:28" s="726" customFormat="1">
      <c r="A553" s="726">
        <v>1</v>
      </c>
      <c r="C553" s="727" t="s">
        <v>505</v>
      </c>
      <c r="F553" s="729"/>
      <c r="G553" s="739"/>
      <c r="H553" s="739"/>
      <c r="I553" s="740"/>
      <c r="J553" s="741" t="s">
        <v>743</v>
      </c>
      <c r="K553" s="742" t="s">
        <v>2</v>
      </c>
      <c r="L553" s="743" t="s">
        <v>3</v>
      </c>
      <c r="M553" s="744" t="s">
        <v>4</v>
      </c>
      <c r="N553" s="745" t="s">
        <v>5</v>
      </c>
      <c r="O553" s="741" t="str">
        <f>PL!$P$4</f>
        <v>BIN</v>
      </c>
      <c r="P553" s="741" t="str">
        <f>PL!$I$6</f>
        <v>K_INR</v>
      </c>
      <c r="Q553" s="738"/>
      <c r="R553" s="738"/>
      <c r="S553" s="738"/>
      <c r="T553" s="738"/>
      <c r="U553" s="738"/>
      <c r="V553" s="738"/>
      <c r="W553" s="738"/>
      <c r="X553" s="738"/>
      <c r="Y553" s="738"/>
      <c r="Z553" s="738"/>
      <c r="AA553" s="738"/>
      <c r="AB553" s="738"/>
    </row>
    <row r="554" spans="1:28">
      <c r="A554" s="598">
        <v>1</v>
      </c>
      <c r="B554" s="598" t="s">
        <v>735</v>
      </c>
      <c r="C554" s="598" t="s">
        <v>505</v>
      </c>
      <c r="D554" s="598" t="s">
        <v>455</v>
      </c>
      <c r="E554" s="598" t="s">
        <v>743</v>
      </c>
      <c r="J554" s="220" t="s">
        <v>743</v>
      </c>
      <c r="K554" s="231" t="s">
        <v>2</v>
      </c>
      <c r="L554" s="232" t="s">
        <v>3</v>
      </c>
      <c r="M554" s="468" t="s">
        <v>4</v>
      </c>
      <c r="N554" s="232" t="s">
        <v>5</v>
      </c>
      <c r="O554" s="216" t="str">
        <f>PL!$P$4</f>
        <v>BIN</v>
      </c>
      <c r="P554" s="216" t="str">
        <f>PL!$I$6</f>
        <v>K_INR</v>
      </c>
      <c r="Q554" s="222" t="e">
        <f>#REF!</f>
        <v>#REF!</v>
      </c>
      <c r="R554" s="222"/>
      <c r="S554" s="222" t="e">
        <f>#REF!</f>
        <v>#REF!</v>
      </c>
      <c r="T554" s="222"/>
      <c r="U554" s="222"/>
      <c r="V554" s="222" t="e">
        <f>#REF!</f>
        <v>#REF!</v>
      </c>
      <c r="W554" s="222"/>
      <c r="X554" s="222"/>
      <c r="Y554" s="222" t="e">
        <f>#REF!</f>
        <v>#REF!</v>
      </c>
      <c r="Z554" s="222"/>
      <c r="AA554" s="222"/>
      <c r="AB554" s="222" t="e">
        <f>#REF!</f>
        <v>#REF!</v>
      </c>
    </row>
    <row r="555" spans="1:28">
      <c r="A555" s="598">
        <v>1</v>
      </c>
      <c r="B555" s="598" t="s">
        <v>735</v>
      </c>
      <c r="C555" s="598" t="s">
        <v>505</v>
      </c>
      <c r="D555" s="598" t="s">
        <v>456</v>
      </c>
      <c r="E555" s="598" t="s">
        <v>743</v>
      </c>
      <c r="J555" s="220" t="s">
        <v>743</v>
      </c>
      <c r="K555" s="231" t="s">
        <v>2</v>
      </c>
      <c r="L555" s="232" t="s">
        <v>3</v>
      </c>
      <c r="M555" s="468" t="s">
        <v>4</v>
      </c>
      <c r="N555" s="232" t="s">
        <v>734</v>
      </c>
      <c r="O555" s="216" t="str">
        <f>PL!$P$4</f>
        <v>BIN</v>
      </c>
      <c r="P555" s="216" t="str">
        <f>PL!$I$6</f>
        <v>K_INR</v>
      </c>
      <c r="Q555" s="222" t="e">
        <f>#REF!</f>
        <v>#REF!</v>
      </c>
      <c r="R555" s="222"/>
      <c r="S555" s="222" t="e">
        <f>#REF!</f>
        <v>#REF!</v>
      </c>
      <c r="T555" s="222"/>
      <c r="U555" s="222"/>
      <c r="V555" s="222" t="e">
        <f>#REF!</f>
        <v>#REF!</v>
      </c>
      <c r="W555" s="222"/>
      <c r="X555" s="222"/>
      <c r="Y555" s="222" t="e">
        <f>#REF!</f>
        <v>#REF!</v>
      </c>
      <c r="Z555" s="222"/>
      <c r="AA555" s="222"/>
      <c r="AB555" s="222" t="e">
        <f>#REF!</f>
        <v>#REF!</v>
      </c>
    </row>
    <row r="556" spans="1:28">
      <c r="A556" s="598">
        <v>1</v>
      </c>
      <c r="B556" s="598" t="s">
        <v>735</v>
      </c>
      <c r="C556" s="598" t="s">
        <v>505</v>
      </c>
      <c r="D556" s="598" t="s">
        <v>457</v>
      </c>
      <c r="E556" s="598" t="s">
        <v>743</v>
      </c>
      <c r="J556" s="220" t="s">
        <v>743</v>
      </c>
      <c r="K556" s="231" t="s">
        <v>2</v>
      </c>
      <c r="L556" s="232" t="s">
        <v>3</v>
      </c>
      <c r="M556" s="468" t="s">
        <v>4</v>
      </c>
      <c r="N556" s="232" t="s">
        <v>734</v>
      </c>
      <c r="O556" s="216" t="str">
        <f>PL!$P$4</f>
        <v>BIN</v>
      </c>
      <c r="P556" s="216" t="str">
        <f>PL!$I$6</f>
        <v>K_INR</v>
      </c>
      <c r="Q556" s="222" t="e">
        <f>#REF!</f>
        <v>#REF!</v>
      </c>
      <c r="R556" s="222"/>
      <c r="S556" s="222" t="e">
        <f>#REF!</f>
        <v>#REF!</v>
      </c>
      <c r="T556" s="222"/>
      <c r="U556" s="222"/>
      <c r="V556" s="222" t="e">
        <f>#REF!</f>
        <v>#REF!</v>
      </c>
      <c r="W556" s="222"/>
      <c r="X556" s="222"/>
      <c r="Y556" s="222" t="e">
        <f>#REF!</f>
        <v>#REF!</v>
      </c>
      <c r="Z556" s="222"/>
      <c r="AA556" s="222"/>
      <c r="AB556" s="222" t="e">
        <f>#REF!</f>
        <v>#REF!</v>
      </c>
    </row>
    <row r="557" spans="1:28" s="726" customFormat="1">
      <c r="A557" s="726">
        <v>1</v>
      </c>
      <c r="C557" s="727" t="s">
        <v>505</v>
      </c>
      <c r="F557" s="729"/>
      <c r="G557" s="739"/>
      <c r="H557" s="739"/>
      <c r="I557" s="740"/>
      <c r="J557" s="741" t="s">
        <v>745</v>
      </c>
      <c r="K557" s="742" t="s">
        <v>2</v>
      </c>
      <c r="L557" s="743" t="s">
        <v>3</v>
      </c>
      <c r="M557" s="744" t="s">
        <v>4</v>
      </c>
      <c r="N557" s="745" t="s">
        <v>5</v>
      </c>
      <c r="O557" s="741" t="str">
        <f>PL!$P$4</f>
        <v>BIN</v>
      </c>
      <c r="P557" s="741" t="str">
        <f>PL!$I$6</f>
        <v>K_INR</v>
      </c>
      <c r="Q557" s="738"/>
      <c r="R557" s="738"/>
      <c r="S557" s="738"/>
      <c r="T557" s="738"/>
      <c r="U557" s="738"/>
      <c r="V557" s="738"/>
      <c r="W557" s="738"/>
      <c r="X557" s="738"/>
      <c r="Y557" s="738"/>
      <c r="Z557" s="738"/>
      <c r="AA557" s="738"/>
      <c r="AB557" s="738"/>
    </row>
    <row r="558" spans="1:28">
      <c r="A558" s="598">
        <v>1</v>
      </c>
      <c r="B558" s="598" t="s">
        <v>735</v>
      </c>
      <c r="C558" s="598" t="s">
        <v>505</v>
      </c>
      <c r="D558" s="598" t="s">
        <v>455</v>
      </c>
      <c r="E558" s="598" t="s">
        <v>744</v>
      </c>
      <c r="J558" s="220" t="s">
        <v>744</v>
      </c>
      <c r="K558" s="231" t="s">
        <v>2</v>
      </c>
      <c r="L558" s="232" t="s">
        <v>3</v>
      </c>
      <c r="M558" s="468" t="s">
        <v>4</v>
      </c>
      <c r="N558" s="232" t="s">
        <v>5</v>
      </c>
      <c r="O558" s="216" t="str">
        <f>PL!$P$4</f>
        <v>BIN</v>
      </c>
      <c r="P558" s="216" t="str">
        <f>PL!$I$6</f>
        <v>K_INR</v>
      </c>
      <c r="Q558" s="222" t="e">
        <f>#REF!</f>
        <v>#REF!</v>
      </c>
      <c r="R558" s="222"/>
      <c r="S558" s="222" t="e">
        <f>#REF!</f>
        <v>#REF!</v>
      </c>
      <c r="T558" s="222"/>
      <c r="U558" s="222"/>
      <c r="V558" s="222" t="e">
        <f>#REF!</f>
        <v>#REF!</v>
      </c>
      <c r="W558" s="222"/>
      <c r="X558" s="222"/>
      <c r="Y558" s="222" t="e">
        <f>#REF!</f>
        <v>#REF!</v>
      </c>
      <c r="Z558" s="222"/>
      <c r="AA558" s="222"/>
      <c r="AB558" s="222" t="e">
        <f>#REF!</f>
        <v>#REF!</v>
      </c>
    </row>
    <row r="559" spans="1:28">
      <c r="A559" s="598">
        <v>1</v>
      </c>
      <c r="B559" s="598" t="s">
        <v>735</v>
      </c>
      <c r="C559" s="598" t="s">
        <v>505</v>
      </c>
      <c r="D559" s="598" t="s">
        <v>456</v>
      </c>
      <c r="E559" s="598" t="s">
        <v>744</v>
      </c>
      <c r="J559" s="220" t="s">
        <v>744</v>
      </c>
      <c r="K559" s="231" t="s">
        <v>2</v>
      </c>
      <c r="L559" s="232" t="s">
        <v>3</v>
      </c>
      <c r="M559" s="468" t="s">
        <v>4</v>
      </c>
      <c r="N559" s="232" t="s">
        <v>734</v>
      </c>
      <c r="O559" s="216" t="str">
        <f>PL!$P$4</f>
        <v>BIN</v>
      </c>
      <c r="P559" s="216" t="str">
        <f>PL!$I$6</f>
        <v>K_INR</v>
      </c>
      <c r="Q559" s="222" t="e">
        <f>#REF!</f>
        <v>#REF!</v>
      </c>
      <c r="R559" s="222"/>
      <c r="S559" s="222" t="e">
        <f>#REF!</f>
        <v>#REF!</v>
      </c>
      <c r="T559" s="222"/>
      <c r="U559" s="222"/>
      <c r="V559" s="222" t="e">
        <f>#REF!</f>
        <v>#REF!</v>
      </c>
      <c r="W559" s="222"/>
      <c r="X559" s="222"/>
      <c r="Y559" s="222" t="e">
        <f>#REF!</f>
        <v>#REF!</v>
      </c>
      <c r="Z559" s="222"/>
      <c r="AA559" s="222"/>
      <c r="AB559" s="222" t="e">
        <f>#REF!</f>
        <v>#REF!</v>
      </c>
    </row>
    <row r="560" spans="1:28">
      <c r="A560" s="598">
        <v>1</v>
      </c>
      <c r="B560" s="598" t="s">
        <v>735</v>
      </c>
      <c r="C560" s="598" t="s">
        <v>505</v>
      </c>
      <c r="D560" s="598" t="s">
        <v>457</v>
      </c>
      <c r="E560" s="598" t="s">
        <v>744</v>
      </c>
      <c r="J560" s="220" t="s">
        <v>744</v>
      </c>
      <c r="K560" s="231" t="s">
        <v>2</v>
      </c>
      <c r="L560" s="232" t="s">
        <v>3</v>
      </c>
      <c r="M560" s="468" t="s">
        <v>4</v>
      </c>
      <c r="N560" s="232" t="s">
        <v>734</v>
      </c>
      <c r="O560" s="216" t="str">
        <f>PL!$P$4</f>
        <v>BIN</v>
      </c>
      <c r="P560" s="216" t="str">
        <f>PL!$I$6</f>
        <v>K_INR</v>
      </c>
      <c r="Q560" s="222" t="e">
        <f>#REF!</f>
        <v>#REF!</v>
      </c>
      <c r="R560" s="222"/>
      <c r="S560" s="222" t="e">
        <f>#REF!</f>
        <v>#REF!</v>
      </c>
      <c r="T560" s="222"/>
      <c r="U560" s="222"/>
      <c r="V560" s="222" t="e">
        <f>#REF!</f>
        <v>#REF!</v>
      </c>
      <c r="W560" s="222"/>
      <c r="X560" s="222"/>
      <c r="Y560" s="222" t="e">
        <f>#REF!</f>
        <v>#REF!</v>
      </c>
      <c r="Z560" s="222"/>
      <c r="AA560" s="222"/>
      <c r="AB560" s="222" t="e">
        <f>#REF!</f>
        <v>#REF!</v>
      </c>
    </row>
  </sheetData>
  <autoFilter ref="A6:P560" xr:uid="{00000000-0009-0000-0000-000006000000}"/>
  <phoneticPr fontId="5"/>
  <pageMargins left="0.7" right="0.7" top="0.75" bottom="0.75" header="0.3" footer="0.3"/>
  <pageSetup paperSize="9" orientation="portrait" r:id="rId1"/>
  <customProperties>
    <customPr name="CellIDs" r:id="rId2"/>
    <customPr name="ConnName" r:id="rId3"/>
    <customPr name="ConnPOV" r:id="rId4"/>
    <customPr name="HyperionXML" r:id="rId5"/>
    <customPr name="NameConnectionMap" r:id="rId6"/>
    <customPr name="POVPosition" r:id="rId7"/>
    <customPr name="SheetHasParityContent" r:id="rId8"/>
    <customPr name="SheetOptions" r:id="rId9"/>
    <customPr name="ShowPOV" r:id="rId10"/>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B1:Q34"/>
  <sheetViews>
    <sheetView workbookViewId="0">
      <selection activeCell="W1111" sqref="W1111"/>
    </sheetView>
  </sheetViews>
  <sheetFormatPr defaultColWidth="9" defaultRowHeight="12.5"/>
  <cols>
    <col min="1" max="1" width="1.453125" style="227" customWidth="1"/>
    <col min="2" max="2" width="9" style="227"/>
    <col min="3" max="3" width="9.81640625" style="227" bestFit="1" customWidth="1"/>
    <col min="4" max="5" width="9.453125" style="227" bestFit="1" customWidth="1"/>
    <col min="6" max="6" width="7.1796875" style="227" bestFit="1" customWidth="1"/>
    <col min="7" max="7" width="6.54296875" style="227" bestFit="1" customWidth="1"/>
    <col min="8" max="8" width="4.1796875" style="227" bestFit="1" customWidth="1"/>
    <col min="9" max="9" width="8.54296875" style="227" bestFit="1" customWidth="1"/>
    <col min="10" max="10" width="3.453125" style="227" customWidth="1"/>
    <col min="11" max="11" width="12.453125" style="227" bestFit="1" customWidth="1"/>
    <col min="12" max="12" width="6.54296875" style="227" bestFit="1" customWidth="1"/>
    <col min="13" max="13" width="4.1796875" style="227" bestFit="1" customWidth="1"/>
    <col min="14" max="14" width="8.54296875" style="227" bestFit="1" customWidth="1"/>
    <col min="15" max="15" width="6.54296875" style="227" bestFit="1" customWidth="1"/>
    <col min="16" max="16" width="4.1796875" style="227" bestFit="1" customWidth="1"/>
    <col min="17" max="17" width="8.54296875" style="227" bestFit="1" customWidth="1"/>
    <col min="18" max="16384" width="9" style="227"/>
  </cols>
  <sheetData>
    <row r="1" spans="2:17">
      <c r="B1" s="228" t="s">
        <v>274</v>
      </c>
    </row>
    <row r="2" spans="2:17">
      <c r="C2" s="227" t="s">
        <v>273</v>
      </c>
      <c r="D2" s="229">
        <v>44562</v>
      </c>
    </row>
    <row r="3" spans="2:17">
      <c r="C3" s="227" t="s">
        <v>272</v>
      </c>
      <c r="D3" s="229">
        <v>44652</v>
      </c>
    </row>
    <row r="4" spans="2:17" ht="13">
      <c r="F4" s="850" t="s">
        <v>791</v>
      </c>
      <c r="G4" s="844" t="s">
        <v>794</v>
      </c>
      <c r="H4" s="844"/>
      <c r="I4" s="845"/>
      <c r="K4" s="850" t="s">
        <v>813</v>
      </c>
      <c r="L4" s="841" t="s">
        <v>795</v>
      </c>
      <c r="M4" s="843"/>
      <c r="N4" s="842"/>
      <c r="O4" s="841" t="s">
        <v>796</v>
      </c>
      <c r="P4" s="843"/>
      <c r="Q4" s="842"/>
    </row>
    <row r="5" spans="2:17">
      <c r="B5" s="228" t="s">
        <v>271</v>
      </c>
      <c r="F5" s="846"/>
      <c r="G5" s="847" t="s">
        <v>799</v>
      </c>
      <c r="H5" s="847" t="s">
        <v>792</v>
      </c>
      <c r="I5" s="848" t="s">
        <v>793</v>
      </c>
      <c r="K5" s="846"/>
      <c r="L5" s="849" t="s">
        <v>799</v>
      </c>
      <c r="M5" s="847" t="s">
        <v>792</v>
      </c>
      <c r="N5" s="848" t="s">
        <v>793</v>
      </c>
      <c r="O5" s="849" t="s">
        <v>799</v>
      </c>
      <c r="P5" s="847" t="s">
        <v>792</v>
      </c>
      <c r="Q5" s="848" t="s">
        <v>793</v>
      </c>
    </row>
    <row r="6" spans="2:17">
      <c r="C6" s="227" t="s">
        <v>164</v>
      </c>
      <c r="D6" s="227" t="s">
        <v>268</v>
      </c>
      <c r="F6" s="851" t="s">
        <v>801</v>
      </c>
      <c r="G6" s="853" t="s">
        <v>913</v>
      </c>
      <c r="H6" s="853" t="s">
        <v>912</v>
      </c>
      <c r="I6" s="854" t="s">
        <v>912</v>
      </c>
      <c r="K6" s="851" t="s">
        <v>801</v>
      </c>
      <c r="L6" s="857" t="s">
        <v>1650</v>
      </c>
      <c r="M6" s="853" t="s">
        <v>912</v>
      </c>
      <c r="N6" s="854" t="s">
        <v>912</v>
      </c>
      <c r="O6" s="853" t="s">
        <v>913</v>
      </c>
      <c r="P6" s="853" t="s">
        <v>912</v>
      </c>
      <c r="Q6" s="854" t="s">
        <v>912</v>
      </c>
    </row>
    <row r="7" spans="2:17">
      <c r="C7" s="227" t="s">
        <v>721</v>
      </c>
      <c r="D7" s="227" t="s">
        <v>268</v>
      </c>
      <c r="F7" s="851" t="s">
        <v>802</v>
      </c>
      <c r="G7" s="853" t="s">
        <v>797</v>
      </c>
      <c r="H7" s="853" t="s">
        <v>913</v>
      </c>
      <c r="I7" s="854" t="s">
        <v>913</v>
      </c>
      <c r="K7" s="851" t="s">
        <v>802</v>
      </c>
      <c r="L7" s="857" t="s">
        <v>913</v>
      </c>
      <c r="M7" s="853" t="s">
        <v>912</v>
      </c>
      <c r="N7" s="854" t="s">
        <v>912</v>
      </c>
      <c r="O7" s="853" t="s">
        <v>913</v>
      </c>
      <c r="P7" s="853" t="s">
        <v>912</v>
      </c>
      <c r="Q7" s="854" t="s">
        <v>912</v>
      </c>
    </row>
    <row r="8" spans="2:17">
      <c r="C8" s="227" t="s">
        <v>1155</v>
      </c>
      <c r="D8" s="227" t="s">
        <v>268</v>
      </c>
      <c r="F8" s="851" t="s">
        <v>803</v>
      </c>
      <c r="G8" s="853" t="s">
        <v>914</v>
      </c>
      <c r="H8" s="853" t="s">
        <v>797</v>
      </c>
      <c r="I8" s="854" t="s">
        <v>797</v>
      </c>
      <c r="K8" s="851" t="s">
        <v>803</v>
      </c>
      <c r="L8" s="857" t="s">
        <v>913</v>
      </c>
      <c r="M8" s="853" t="s">
        <v>912</v>
      </c>
      <c r="N8" s="854" t="s">
        <v>912</v>
      </c>
      <c r="O8" s="853" t="s">
        <v>913</v>
      </c>
      <c r="P8" s="853" t="s">
        <v>912</v>
      </c>
      <c r="Q8" s="854" t="s">
        <v>912</v>
      </c>
    </row>
    <row r="9" spans="2:17">
      <c r="C9" s="227" t="s">
        <v>270</v>
      </c>
      <c r="D9" s="227" t="s">
        <v>268</v>
      </c>
      <c r="F9" s="851" t="s">
        <v>804</v>
      </c>
      <c r="G9" s="853" t="s">
        <v>915</v>
      </c>
      <c r="H9" s="853" t="s">
        <v>914</v>
      </c>
      <c r="I9" s="854" t="s">
        <v>914</v>
      </c>
      <c r="K9" s="851" t="s">
        <v>804</v>
      </c>
      <c r="L9" s="857" t="s">
        <v>1651</v>
      </c>
      <c r="M9" s="853" t="s">
        <v>914</v>
      </c>
      <c r="N9" s="854" t="s">
        <v>914</v>
      </c>
      <c r="O9" s="853" t="s">
        <v>913</v>
      </c>
      <c r="P9" s="853" t="s">
        <v>912</v>
      </c>
      <c r="Q9" s="854" t="s">
        <v>912</v>
      </c>
    </row>
    <row r="10" spans="2:17">
      <c r="C10" s="227" t="s">
        <v>269</v>
      </c>
      <c r="D10" s="227" t="s">
        <v>268</v>
      </c>
      <c r="F10" s="851" t="s">
        <v>805</v>
      </c>
      <c r="G10" s="853" t="s">
        <v>798</v>
      </c>
      <c r="H10" s="853" t="s">
        <v>915</v>
      </c>
      <c r="I10" s="854" t="s">
        <v>915</v>
      </c>
      <c r="K10" s="851" t="s">
        <v>805</v>
      </c>
      <c r="L10" s="857" t="s">
        <v>915</v>
      </c>
      <c r="M10" s="853" t="s">
        <v>914</v>
      </c>
      <c r="N10" s="854" t="s">
        <v>914</v>
      </c>
      <c r="O10" s="853" t="s">
        <v>913</v>
      </c>
      <c r="P10" s="853" t="s">
        <v>912</v>
      </c>
      <c r="Q10" s="854" t="s">
        <v>912</v>
      </c>
    </row>
    <row r="11" spans="2:17">
      <c r="C11" s="227" t="s">
        <v>147</v>
      </c>
      <c r="D11" s="227" t="s">
        <v>258</v>
      </c>
      <c r="F11" s="851" t="s">
        <v>806</v>
      </c>
      <c r="G11" s="853" t="s">
        <v>916</v>
      </c>
      <c r="H11" s="853" t="s">
        <v>798</v>
      </c>
      <c r="I11" s="854" t="s">
        <v>798</v>
      </c>
      <c r="K11" s="851" t="s">
        <v>806</v>
      </c>
      <c r="L11" s="857" t="s">
        <v>915</v>
      </c>
      <c r="M11" s="853" t="s">
        <v>914</v>
      </c>
      <c r="N11" s="854" t="s">
        <v>914</v>
      </c>
      <c r="O11" s="853" t="s">
        <v>913</v>
      </c>
      <c r="P11" s="853" t="s">
        <v>912</v>
      </c>
      <c r="Q11" s="854" t="s">
        <v>912</v>
      </c>
    </row>
    <row r="12" spans="2:17">
      <c r="C12" s="227" t="s">
        <v>267</v>
      </c>
      <c r="D12" s="227" t="s">
        <v>258</v>
      </c>
      <c r="F12" s="851" t="s">
        <v>807</v>
      </c>
      <c r="G12" s="853" t="s">
        <v>917</v>
      </c>
      <c r="H12" s="853" t="s">
        <v>916</v>
      </c>
      <c r="I12" s="854" t="s">
        <v>916</v>
      </c>
      <c r="K12" s="851" t="s">
        <v>807</v>
      </c>
      <c r="L12" s="857" t="s">
        <v>1652</v>
      </c>
      <c r="M12" s="853" t="s">
        <v>916</v>
      </c>
      <c r="N12" s="854" t="s">
        <v>916</v>
      </c>
      <c r="O12" s="853" t="s">
        <v>913</v>
      </c>
      <c r="P12" s="853" t="s">
        <v>912</v>
      </c>
      <c r="Q12" s="854" t="s">
        <v>912</v>
      </c>
    </row>
    <row r="13" spans="2:17">
      <c r="C13" s="227" t="s">
        <v>266</v>
      </c>
      <c r="D13" s="227" t="s">
        <v>241</v>
      </c>
      <c r="F13" s="851" t="s">
        <v>808</v>
      </c>
      <c r="G13" s="853" t="s">
        <v>800</v>
      </c>
      <c r="H13" s="853" t="s">
        <v>917</v>
      </c>
      <c r="I13" s="854" t="s">
        <v>917</v>
      </c>
      <c r="K13" s="851" t="s">
        <v>808</v>
      </c>
      <c r="L13" s="857" t="s">
        <v>917</v>
      </c>
      <c r="M13" s="853" t="s">
        <v>916</v>
      </c>
      <c r="N13" s="854" t="s">
        <v>916</v>
      </c>
      <c r="O13" s="853" t="s">
        <v>913</v>
      </c>
      <c r="P13" s="853" t="s">
        <v>912</v>
      </c>
      <c r="Q13" s="854" t="s">
        <v>912</v>
      </c>
    </row>
    <row r="14" spans="2:17">
      <c r="C14" s="227" t="s">
        <v>265</v>
      </c>
      <c r="D14" s="227" t="s">
        <v>241</v>
      </c>
      <c r="F14" s="851" t="s">
        <v>809</v>
      </c>
      <c r="G14" s="853" t="s">
        <v>918</v>
      </c>
      <c r="H14" s="853" t="s">
        <v>800</v>
      </c>
      <c r="I14" s="854" t="s">
        <v>800</v>
      </c>
      <c r="K14" s="851" t="s">
        <v>809</v>
      </c>
      <c r="L14" s="857" t="s">
        <v>917</v>
      </c>
      <c r="M14" s="853" t="s">
        <v>916</v>
      </c>
      <c r="N14" s="854" t="s">
        <v>916</v>
      </c>
      <c r="O14" s="853" t="s">
        <v>913</v>
      </c>
      <c r="P14" s="853" t="s">
        <v>912</v>
      </c>
      <c r="Q14" s="854" t="s">
        <v>912</v>
      </c>
    </row>
    <row r="15" spans="2:17">
      <c r="C15" s="227" t="s">
        <v>448</v>
      </c>
      <c r="D15" s="227" t="s">
        <v>258</v>
      </c>
      <c r="F15" s="851" t="s">
        <v>810</v>
      </c>
      <c r="G15" s="853" t="s">
        <v>919</v>
      </c>
      <c r="H15" s="853" t="s">
        <v>918</v>
      </c>
      <c r="I15" s="854" t="s">
        <v>918</v>
      </c>
      <c r="K15" s="851" t="s">
        <v>810</v>
      </c>
      <c r="L15" s="857" t="s">
        <v>1653</v>
      </c>
      <c r="M15" s="853" t="s">
        <v>918</v>
      </c>
      <c r="N15" s="854" t="s">
        <v>918</v>
      </c>
      <c r="O15" s="853" t="s">
        <v>913</v>
      </c>
      <c r="P15" s="853" t="s">
        <v>912</v>
      </c>
      <c r="Q15" s="854" t="s">
        <v>912</v>
      </c>
    </row>
    <row r="16" spans="2:17">
      <c r="C16" s="227" t="s">
        <v>264</v>
      </c>
      <c r="D16" s="227" t="s">
        <v>258</v>
      </c>
      <c r="F16" s="851" t="s">
        <v>811</v>
      </c>
      <c r="G16" s="853" t="s">
        <v>955</v>
      </c>
      <c r="H16" s="853" t="s">
        <v>919</v>
      </c>
      <c r="I16" s="854" t="s">
        <v>919</v>
      </c>
      <c r="K16" s="851" t="s">
        <v>811</v>
      </c>
      <c r="L16" s="857" t="s">
        <v>919</v>
      </c>
      <c r="M16" s="853" t="s">
        <v>918</v>
      </c>
      <c r="N16" s="854" t="s">
        <v>918</v>
      </c>
      <c r="O16" s="853" t="s">
        <v>913</v>
      </c>
      <c r="P16" s="853" t="s">
        <v>912</v>
      </c>
      <c r="Q16" s="854" t="s">
        <v>912</v>
      </c>
    </row>
    <row r="17" spans="3:17">
      <c r="C17" s="227" t="s">
        <v>965</v>
      </c>
      <c r="D17" s="227" t="s">
        <v>1654</v>
      </c>
      <c r="F17" s="852" t="s">
        <v>812</v>
      </c>
      <c r="G17" s="855" t="s">
        <v>1649</v>
      </c>
      <c r="H17" s="855" t="s">
        <v>955</v>
      </c>
      <c r="I17" s="856" t="s">
        <v>955</v>
      </c>
      <c r="K17" s="852" t="s">
        <v>812</v>
      </c>
      <c r="L17" s="858" t="s">
        <v>919</v>
      </c>
      <c r="M17" s="855" t="s">
        <v>918</v>
      </c>
      <c r="N17" s="856" t="s">
        <v>918</v>
      </c>
      <c r="O17" s="855" t="s">
        <v>913</v>
      </c>
      <c r="P17" s="855" t="s">
        <v>912</v>
      </c>
      <c r="Q17" s="856" t="s">
        <v>912</v>
      </c>
    </row>
    <row r="18" spans="3:17">
      <c r="C18" s="227" t="s">
        <v>263</v>
      </c>
      <c r="D18" s="227" t="s">
        <v>262</v>
      </c>
      <c r="F18" s="227">
        <v>1</v>
      </c>
      <c r="G18" s="227">
        <v>2</v>
      </c>
      <c r="H18" s="227">
        <v>3</v>
      </c>
      <c r="I18" s="227">
        <v>4</v>
      </c>
      <c r="K18" s="227">
        <v>1</v>
      </c>
      <c r="L18" s="227">
        <v>2</v>
      </c>
      <c r="M18" s="227">
        <v>3</v>
      </c>
      <c r="N18" s="227">
        <v>4</v>
      </c>
      <c r="O18" s="227">
        <v>5</v>
      </c>
      <c r="P18" s="227">
        <v>6</v>
      </c>
      <c r="Q18" s="227">
        <v>7</v>
      </c>
    </row>
    <row r="19" spans="3:17">
      <c r="C19" s="227" t="s">
        <v>261</v>
      </c>
      <c r="D19" s="227" t="s">
        <v>260</v>
      </c>
    </row>
    <row r="20" spans="3:17" ht="13">
      <c r="C20" s="227" t="s">
        <v>376</v>
      </c>
      <c r="D20" s="227" t="s">
        <v>377</v>
      </c>
      <c r="K20" s="850" t="s">
        <v>814</v>
      </c>
      <c r="L20" s="841" t="s">
        <v>795</v>
      </c>
      <c r="M20" s="843"/>
      <c r="N20" s="842"/>
      <c r="O20" s="841" t="s">
        <v>796</v>
      </c>
      <c r="P20" s="843"/>
      <c r="Q20" s="842"/>
    </row>
    <row r="21" spans="3:17">
      <c r="C21" s="227" t="s">
        <v>259</v>
      </c>
      <c r="D21" s="227" t="s">
        <v>258</v>
      </c>
      <c r="K21" s="846"/>
      <c r="L21" s="849" t="s">
        <v>799</v>
      </c>
      <c r="M21" s="847" t="s">
        <v>792</v>
      </c>
      <c r="N21" s="848" t="s">
        <v>793</v>
      </c>
      <c r="O21" s="849" t="s">
        <v>799</v>
      </c>
      <c r="P21" s="847" t="s">
        <v>792</v>
      </c>
      <c r="Q21" s="848" t="s">
        <v>793</v>
      </c>
    </row>
    <row r="22" spans="3:17">
      <c r="C22" s="227" t="s">
        <v>257</v>
      </c>
      <c r="D22" s="227" t="s">
        <v>256</v>
      </c>
      <c r="K22" s="851" t="s">
        <v>801</v>
      </c>
      <c r="L22" s="853" t="s">
        <v>913</v>
      </c>
      <c r="M22" s="853" t="s">
        <v>912</v>
      </c>
      <c r="N22" s="854" t="s">
        <v>912</v>
      </c>
      <c r="O22" s="853" t="s">
        <v>913</v>
      </c>
      <c r="P22" s="853" t="s">
        <v>912</v>
      </c>
      <c r="Q22" s="854" t="s">
        <v>912</v>
      </c>
    </row>
    <row r="23" spans="3:17">
      <c r="C23" s="227" t="s">
        <v>255</v>
      </c>
      <c r="D23" s="227" t="s">
        <v>242</v>
      </c>
      <c r="K23" s="851" t="s">
        <v>802</v>
      </c>
      <c r="L23" s="853" t="s">
        <v>797</v>
      </c>
      <c r="M23" s="853" t="s">
        <v>913</v>
      </c>
      <c r="N23" s="854" t="s">
        <v>913</v>
      </c>
      <c r="O23" s="853" t="s">
        <v>797</v>
      </c>
      <c r="P23" s="853" t="s">
        <v>913</v>
      </c>
      <c r="Q23" s="854" t="s">
        <v>913</v>
      </c>
    </row>
    <row r="24" spans="3:17">
      <c r="C24" s="227" t="s">
        <v>254</v>
      </c>
      <c r="D24" s="227" t="s">
        <v>253</v>
      </c>
      <c r="K24" s="851" t="s">
        <v>803</v>
      </c>
      <c r="L24" s="853" t="s">
        <v>914</v>
      </c>
      <c r="M24" s="853" t="s">
        <v>797</v>
      </c>
      <c r="N24" s="854" t="s">
        <v>797</v>
      </c>
      <c r="O24" s="853" t="s">
        <v>914</v>
      </c>
      <c r="P24" s="853" t="s">
        <v>797</v>
      </c>
      <c r="Q24" s="854" t="s">
        <v>797</v>
      </c>
    </row>
    <row r="25" spans="3:17">
      <c r="C25" s="227" t="s">
        <v>966</v>
      </c>
      <c r="D25" s="227" t="s">
        <v>245</v>
      </c>
      <c r="K25" s="851" t="s">
        <v>804</v>
      </c>
      <c r="L25" s="853" t="s">
        <v>915</v>
      </c>
      <c r="M25" s="853" t="s">
        <v>914</v>
      </c>
      <c r="N25" s="854" t="s">
        <v>914</v>
      </c>
      <c r="O25" s="853" t="s">
        <v>915</v>
      </c>
      <c r="P25" s="853" t="s">
        <v>914</v>
      </c>
      <c r="Q25" s="854" t="s">
        <v>914</v>
      </c>
    </row>
    <row r="26" spans="3:17">
      <c r="C26" s="227" t="s">
        <v>252</v>
      </c>
      <c r="D26" s="227" t="s">
        <v>245</v>
      </c>
      <c r="K26" s="851" t="s">
        <v>805</v>
      </c>
      <c r="L26" s="853" t="s">
        <v>798</v>
      </c>
      <c r="M26" s="853" t="s">
        <v>915</v>
      </c>
      <c r="N26" s="854" t="s">
        <v>915</v>
      </c>
      <c r="O26" s="853" t="s">
        <v>798</v>
      </c>
      <c r="P26" s="853" t="s">
        <v>915</v>
      </c>
      <c r="Q26" s="854" t="s">
        <v>915</v>
      </c>
    </row>
    <row r="27" spans="3:17">
      <c r="C27" s="227" t="s">
        <v>951</v>
      </c>
      <c r="D27" s="227" t="s">
        <v>952</v>
      </c>
      <c r="K27" s="851" t="s">
        <v>806</v>
      </c>
      <c r="L27" s="853" t="s">
        <v>916</v>
      </c>
      <c r="M27" s="853" t="s">
        <v>798</v>
      </c>
      <c r="N27" s="854" t="s">
        <v>798</v>
      </c>
      <c r="O27" s="853" t="s">
        <v>916</v>
      </c>
      <c r="P27" s="853" t="s">
        <v>798</v>
      </c>
      <c r="Q27" s="854" t="s">
        <v>798</v>
      </c>
    </row>
    <row r="28" spans="3:17">
      <c r="C28" s="227" t="s">
        <v>251</v>
      </c>
      <c r="D28" s="227" t="s">
        <v>250</v>
      </c>
      <c r="K28" s="851" t="s">
        <v>807</v>
      </c>
      <c r="L28" s="853" t="s">
        <v>917</v>
      </c>
      <c r="M28" s="853" t="s">
        <v>916</v>
      </c>
      <c r="N28" s="854" t="s">
        <v>916</v>
      </c>
      <c r="O28" s="853" t="s">
        <v>917</v>
      </c>
      <c r="P28" s="853" t="s">
        <v>916</v>
      </c>
      <c r="Q28" s="854" t="s">
        <v>916</v>
      </c>
    </row>
    <row r="29" spans="3:17">
      <c r="C29" s="227" t="s">
        <v>249</v>
      </c>
      <c r="D29" s="227" t="s">
        <v>247</v>
      </c>
      <c r="K29" s="851" t="s">
        <v>808</v>
      </c>
      <c r="L29" s="853" t="s">
        <v>800</v>
      </c>
      <c r="M29" s="853" t="s">
        <v>917</v>
      </c>
      <c r="N29" s="854" t="s">
        <v>917</v>
      </c>
      <c r="O29" s="853" t="s">
        <v>800</v>
      </c>
      <c r="P29" s="853" t="s">
        <v>917</v>
      </c>
      <c r="Q29" s="854" t="s">
        <v>917</v>
      </c>
    </row>
    <row r="30" spans="3:17">
      <c r="C30" s="227" t="s">
        <v>248</v>
      </c>
      <c r="D30" s="227" t="s">
        <v>247</v>
      </c>
      <c r="K30" s="851" t="s">
        <v>809</v>
      </c>
      <c r="L30" s="853" t="s">
        <v>918</v>
      </c>
      <c r="M30" s="853" t="s">
        <v>800</v>
      </c>
      <c r="N30" s="854" t="s">
        <v>800</v>
      </c>
      <c r="O30" s="853" t="s">
        <v>918</v>
      </c>
      <c r="P30" s="853" t="s">
        <v>800</v>
      </c>
      <c r="Q30" s="854" t="s">
        <v>800</v>
      </c>
    </row>
    <row r="31" spans="3:17">
      <c r="C31" s="227" t="s">
        <v>246</v>
      </c>
      <c r="D31" s="227" t="s">
        <v>245</v>
      </c>
      <c r="K31" s="851" t="s">
        <v>810</v>
      </c>
      <c r="L31" s="853" t="s">
        <v>919</v>
      </c>
      <c r="M31" s="853" t="s">
        <v>918</v>
      </c>
      <c r="N31" s="854" t="s">
        <v>918</v>
      </c>
      <c r="O31" s="853" t="s">
        <v>919</v>
      </c>
      <c r="P31" s="853" t="s">
        <v>918</v>
      </c>
      <c r="Q31" s="854" t="s">
        <v>918</v>
      </c>
    </row>
    <row r="32" spans="3:17">
      <c r="C32" s="227" t="s">
        <v>244</v>
      </c>
      <c r="D32" s="227" t="s">
        <v>243</v>
      </c>
      <c r="K32" s="851" t="s">
        <v>811</v>
      </c>
      <c r="L32" s="853" t="s">
        <v>955</v>
      </c>
      <c r="M32" s="853" t="s">
        <v>919</v>
      </c>
      <c r="N32" s="854" t="s">
        <v>919</v>
      </c>
      <c r="O32" s="853" t="s">
        <v>955</v>
      </c>
      <c r="P32" s="853" t="s">
        <v>919</v>
      </c>
      <c r="Q32" s="854" t="s">
        <v>919</v>
      </c>
    </row>
    <row r="33" spans="11:17">
      <c r="K33" s="852" t="s">
        <v>812</v>
      </c>
      <c r="L33" s="855" t="s">
        <v>1649</v>
      </c>
      <c r="M33" s="855" t="s">
        <v>955</v>
      </c>
      <c r="N33" s="856" t="s">
        <v>955</v>
      </c>
      <c r="O33" s="855" t="s">
        <v>1649</v>
      </c>
      <c r="P33" s="855" t="s">
        <v>955</v>
      </c>
      <c r="Q33" s="856" t="s">
        <v>955</v>
      </c>
    </row>
    <row r="34" spans="11:17">
      <c r="K34" s="227">
        <v>1</v>
      </c>
      <c r="L34" s="227">
        <v>2</v>
      </c>
      <c r="M34" s="227">
        <v>3</v>
      </c>
      <c r="N34" s="227">
        <v>4</v>
      </c>
      <c r="O34" s="227">
        <v>5</v>
      </c>
      <c r="P34" s="227">
        <v>6</v>
      </c>
      <c r="Q34" s="227">
        <v>7</v>
      </c>
    </row>
  </sheetData>
  <phoneticPr fontId="5"/>
  <pageMargins left="0.25" right="0.25" top="0.75" bottom="0.75" header="0.3" footer="0.3"/>
  <pageSetup paperSize="9" scale="8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2D25F7B4243BF4885202DCB795F9C06" ma:contentTypeVersion="4" ma:contentTypeDescription="新しいドキュメントを作成します。" ma:contentTypeScope="" ma:versionID="0123ce85a31afc8fbc734faf77c76f98">
  <xsd:schema xmlns:xsd="http://www.w3.org/2001/XMLSchema" xmlns:xs="http://www.w3.org/2001/XMLSchema" xmlns:p="http://schemas.microsoft.com/office/2006/metadata/properties" xmlns:ns2="4e2ac942-b266-4129-bff0-997fec905456" targetNamespace="http://schemas.microsoft.com/office/2006/metadata/properties" ma:root="true" ma:fieldsID="f2932b84bc5b92f72f7101ca5609a727" ns2:_="">
    <xsd:import namespace="4e2ac942-b266-4129-bff0-997fec90545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ac942-b266-4129-bff0-997fec9054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AFBA719-EE1B-4949-8530-736AFCA5BC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ac942-b266-4129-bff0-997fec9054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44214B-4006-490C-B8BB-5C592C8A0A8F}">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05D93F33-06CD-465D-8595-1BB0ACC917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vt:i4>
      </vt:variant>
    </vt:vector>
  </HeadingPairs>
  <TitlesOfParts>
    <vt:vector size="11" baseType="lpstr">
      <vt:lpstr>Instruction</vt:lpstr>
      <vt:lpstr>Due date</vt:lpstr>
      <vt:lpstr>PL</vt:lpstr>
      <vt:lpstr>Definition</vt:lpstr>
      <vt:lpstr>Previous</vt:lpstr>
      <vt:lpstr>OP</vt:lpstr>
      <vt:lpstr>DataSending</vt:lpstr>
      <vt:lpstr>Work1</vt:lpstr>
      <vt:lpstr>PL!AnaplanColHeader_c4cb70b2_6598_4c0e_aa8c_9c4deb501a87</vt:lpstr>
      <vt:lpstr>PL!AnaplanDescription_c4cb70b2_6598_4c0e_aa8c_9c4deb501a87</vt:lpstr>
      <vt:lpstr>PL!AnaplanRowHeader_c4cb70b2_6598_4c0e_aa8c_9c4deb501a87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Anoop Singh (Bp)</cp:lastModifiedBy>
  <cp:lastPrinted>2022-02-22T11:41:02Z</cp:lastPrinted>
  <dcterms:created xsi:type="dcterms:W3CDTF">2017-10-05T02:47:13Z</dcterms:created>
  <dcterms:modified xsi:type="dcterms:W3CDTF">2023-04-12T20:15:34Z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ContentTypeId">
    <vt:lpwstr>0x01010082D25F7B4243BF4885202DCB795F9C06</vt:lpwstr>
  </property>
  <property fmtid="{D5CDD505-2E9C-101B-9397-08002B2CF9AE}" pid="4" name="WorkbookVersion">
    <vt:lpwstr>"1.0.0.0"</vt:lpwstr>
  </property>
  <property fmtid="{D5CDD505-2E9C-101B-9397-08002B2CF9AE}" pid="5" name="AnaplanSettings">
    <vt:lpwstr>{"PreserveExcelFormulas":true,"PreserveExcelFormatting":true,"ApplyAnaplanStyling":false,"DisplayConnectionDetails":true,"InsertNewMembersOnRefresh":true}</vt:lpwstr>
  </property>
</Properties>
</file>